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416"/>
  <workbookPr showInkAnnotation="0" autoCompressPictures="0"/>
  <bookViews>
    <workbookView xWindow="9160" yWindow="0" windowWidth="19120" windowHeight="19340" firstSheet="49" activeTab="49"/>
  </bookViews>
  <sheets>
    <sheet name="Notes" sheetId="24" r:id="rId1"/>
    <sheet name="SSSM calculator" sheetId="57" r:id="rId2"/>
    <sheet name="Exercise 2.4" sheetId="4" r:id="rId3"/>
    <sheet name="Exercise 2.12" sheetId="8" r:id="rId4"/>
    <sheet name="Exercise 2.13" sheetId="15" r:id="rId5"/>
    <sheet name="Exercise 4.4" sheetId="10" r:id="rId6"/>
    <sheet name="Exercise 4.16" sheetId="11" r:id="rId7"/>
    <sheet name="Exercise 4.20" sheetId="12" r:id="rId8"/>
    <sheet name="Exercise 4.21" sheetId="13" r:id="rId9"/>
    <sheet name="Exercise 4.22" sheetId="14" r:id="rId10"/>
    <sheet name="Exercise 5.14" sheetId="16" r:id="rId11"/>
    <sheet name="Exercise 5.16" sheetId="17" r:id="rId12"/>
    <sheet name="Exercise 5.17" sheetId="18" r:id="rId13"/>
    <sheet name="Exercise 6.5" sheetId="19" r:id="rId14"/>
    <sheet name="Exercise 6.8" sheetId="20" r:id="rId15"/>
    <sheet name="Exercise 6.9" sheetId="21" r:id="rId16"/>
    <sheet name="Exercise 6.13" sheetId="22" r:id="rId17"/>
    <sheet name="Exercise 6.19" sheetId="23" r:id="rId18"/>
    <sheet name="Exercise 7.6" sheetId="25" r:id="rId19"/>
    <sheet name="Exercise 7.8" sheetId="26" r:id="rId20"/>
    <sheet name="Exercise 7.11" sheetId="27" r:id="rId21"/>
    <sheet name="Exercise 7.14" sheetId="28" r:id="rId22"/>
    <sheet name="Exercise 7.17" sheetId="29" r:id="rId23"/>
    <sheet name="Exercise 8.6" sheetId="30" r:id="rId24"/>
    <sheet name="Exercise 8.7" sheetId="31" r:id="rId25"/>
    <sheet name="Exercise 8.11" sheetId="33" r:id="rId26"/>
    <sheet name="Exercise 8.12" sheetId="34" r:id="rId27"/>
    <sheet name="Exercise 8.13" sheetId="41" r:id="rId28"/>
    <sheet name="Exercise 8.14" sheetId="42" r:id="rId29"/>
    <sheet name="Exercise 8.19" sheetId="40" r:id="rId30"/>
    <sheet name="Exercise 9.2" sheetId="35" r:id="rId31"/>
    <sheet name="Exercise 9.3" sheetId="36" r:id="rId32"/>
    <sheet name="Exercise 9.4" sheetId="37" r:id="rId33"/>
    <sheet name="Exercise 9.10" sheetId="38" r:id="rId34"/>
    <sheet name="Exercise 9.11" sheetId="39" r:id="rId35"/>
    <sheet name="Exercise 9.15" sheetId="32" r:id="rId36"/>
    <sheet name="Exercise 10.4" sheetId="43" r:id="rId37"/>
    <sheet name="Exercise 10.9" sheetId="44" r:id="rId38"/>
    <sheet name="Exercise 10.10" sheetId="45" r:id="rId39"/>
    <sheet name="Exercise 11.2" sheetId="46" r:id="rId40"/>
    <sheet name="Exercise 11.5" sheetId="47" r:id="rId41"/>
    <sheet name="Exercise 11.6" sheetId="48" r:id="rId42"/>
    <sheet name="Exercise 12.5" sheetId="49" r:id="rId43"/>
    <sheet name="Exercise 12.6" sheetId="50" r:id="rId44"/>
    <sheet name="Exercise 12.7" sheetId="51" r:id="rId45"/>
    <sheet name="Exercise 12.8" sheetId="52" r:id="rId46"/>
    <sheet name="Exercise 12.9" sheetId="53" r:id="rId47"/>
    <sheet name="Exercise 12.11" sheetId="55" r:id="rId48"/>
    <sheet name="Exercise 12.12" sheetId="54" r:id="rId49"/>
    <sheet name="Exercise 12.13" sheetId="69" r:id="rId50"/>
    <sheet name="Exercise 13.7" sheetId="68" r:id="rId51"/>
    <sheet name="Exercise 13.10" sheetId="67" r:id="rId52"/>
    <sheet name="Exercise 13.11" sheetId="66" r:id="rId53"/>
    <sheet name="Exercise 14.1" sheetId="58" r:id="rId54"/>
    <sheet name="Exercise 14.2" sheetId="59" r:id="rId55"/>
    <sheet name="Exercise 14.3" sheetId="60" r:id="rId56"/>
    <sheet name="Exercise 14.5" sheetId="61" r:id="rId57"/>
    <sheet name="Exercise 15.5" sheetId="56" r:id="rId58"/>
    <sheet name="Exercise 16.2" sheetId="62" r:id="rId59"/>
    <sheet name="Exercise 16.3" sheetId="63" r:id="rId60"/>
    <sheet name="Exercise 16.4" sheetId="64" r:id="rId61"/>
    <sheet name="Exercise 16.5" sheetId="65" r:id="rId62"/>
  </sheets>
  <externalReferences>
    <externalReference r:id="rId63"/>
  </externalReferences>
  <definedNames>
    <definedName name="_pr1">'Exercise 14.2'!$G$5</definedName>
    <definedName name="_pr2">'Exercise 14.2'!$G$6</definedName>
    <definedName name="_pr3">'Exercise 14.2'!$G$7</definedName>
    <definedName name="_pr4">'Exercise 14.2'!$G$8</definedName>
    <definedName name="A" localSheetId="1">'SSSM calculator'!$B$4</definedName>
    <definedName name="A">'[1]Exercise 6.2'!$B$3</definedName>
    <definedName name="B">'SSSM calculator'!$B$5</definedName>
    <definedName name="BB">'[1]Exercise 6.2'!$B$4</definedName>
    <definedName name="cc">'SSSM calculator'!$B$6</definedName>
    <definedName name="ccc">'[1]Exercise 6.2'!$B$5</definedName>
    <definedName name="delta" localSheetId="1">'SSSM calculator'!$F$6</definedName>
    <definedName name="g">'[1]Exercise 6.2'!$B$6</definedName>
    <definedName name="i" localSheetId="1">'SSSM calculator'!$F$4</definedName>
    <definedName name="IRR" localSheetId="43">'Exercise 12.6'!$K$3</definedName>
    <definedName name="m" localSheetId="1">'SSSM calculator'!$H$4</definedName>
    <definedName name="P" localSheetId="43">'Exercise 12.6'!$B$4</definedName>
    <definedName name="poo">'Exercise 12.13'!$M$9</definedName>
    <definedName name="pot">'Exercise 12.13'!$M$10</definedName>
    <definedName name="PP">'Exercise 12.13'!$B$132</definedName>
    <definedName name="pr0">'Exercise 14.2'!$G$4</definedName>
    <definedName name="pzo">'Exercise 12.13'!$M$7</definedName>
    <definedName name="pzt">'Exercise 12.13'!$M$8</definedName>
    <definedName name="pzz">'Exercise 12.13'!$M$6</definedName>
    <definedName name="rdr" localSheetId="43">'Exercise 12.6'!$B$5</definedName>
    <definedName name="s">'[1]Exercise 6.2'!$B$7</definedName>
    <definedName name="sel" localSheetId="1">'SSSM calculator'!$D$4</definedName>
    <definedName name="v">'SSSM calculator'!$F$5</definedName>
    <definedName name="x" localSheetId="1">'SSSM calculator'!$A$9:$A$121</definedName>
    <definedName name="z">'Exercise 13.7'!$B$7</definedName>
    <definedName name="zz">'Exercise 13.7'!$B$7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2" i="66" l="1"/>
  <c r="D62" i="66"/>
  <c r="D63" i="66"/>
  <c r="M8" i="66"/>
  <c r="AA8" i="66"/>
  <c r="N8" i="66"/>
  <c r="AB8" i="66"/>
  <c r="AC8" i="66"/>
  <c r="AF8" i="66"/>
  <c r="AK8" i="66"/>
  <c r="AL8" i="66"/>
  <c r="AL9" i="66"/>
  <c r="AL10" i="66"/>
  <c r="AL11" i="66"/>
  <c r="AL12" i="66"/>
  <c r="AL13" i="66"/>
  <c r="AL14" i="66"/>
  <c r="AL15" i="66"/>
  <c r="AL16" i="66"/>
  <c r="AL17" i="66"/>
  <c r="AL18" i="66"/>
  <c r="AL19" i="66"/>
  <c r="AL20" i="66"/>
  <c r="AL21" i="66"/>
  <c r="AL22" i="66"/>
  <c r="AL23" i="66"/>
  <c r="AL24" i="66"/>
  <c r="AL25" i="66"/>
  <c r="AL26" i="66"/>
  <c r="AL27" i="66"/>
  <c r="AL28" i="66"/>
  <c r="AL29" i="66"/>
  <c r="AL30" i="66"/>
  <c r="AL31" i="66"/>
  <c r="AL32" i="66"/>
  <c r="AL33" i="66"/>
  <c r="AL34" i="66"/>
  <c r="AL35" i="66"/>
  <c r="AL36" i="66"/>
  <c r="AL37" i="66"/>
  <c r="AL38" i="66"/>
  <c r="AL39" i="66"/>
  <c r="AL40" i="66"/>
  <c r="AL41" i="66"/>
  <c r="AL42" i="66"/>
  <c r="AL43" i="66"/>
  <c r="AL44" i="66"/>
  <c r="AL45" i="66"/>
  <c r="AL46" i="66"/>
  <c r="AL47" i="66"/>
  <c r="U51" i="66"/>
  <c r="AL49" i="66"/>
  <c r="M9" i="66"/>
  <c r="AA9" i="66"/>
  <c r="N9" i="66"/>
  <c r="AB9" i="66"/>
  <c r="AC9" i="66"/>
  <c r="AF9" i="66"/>
  <c r="AG9" i="66"/>
  <c r="AH9" i="66"/>
  <c r="Y10" i="66"/>
  <c r="M10" i="66"/>
  <c r="AA10" i="66"/>
  <c r="N10" i="66"/>
  <c r="AB10" i="66"/>
  <c r="AC10" i="66"/>
  <c r="Z10" i="66"/>
  <c r="AD10" i="66"/>
  <c r="AE10" i="66"/>
  <c r="AF10" i="66"/>
  <c r="AG10" i="66"/>
  <c r="AH10" i="66"/>
  <c r="Y11" i="66"/>
  <c r="M11" i="66"/>
  <c r="AA11" i="66"/>
  <c r="N11" i="66"/>
  <c r="AB11" i="66"/>
  <c r="AC11" i="66"/>
  <c r="Z11" i="66"/>
  <c r="AD11" i="66"/>
  <c r="AE11" i="66"/>
  <c r="AF11" i="66"/>
  <c r="AG11" i="66"/>
  <c r="AH11" i="66"/>
  <c r="Y12" i="66"/>
  <c r="M12" i="66"/>
  <c r="AA12" i="66"/>
  <c r="N12" i="66"/>
  <c r="AB12" i="66"/>
  <c r="AC12" i="66"/>
  <c r="Z12" i="66"/>
  <c r="AD12" i="66"/>
  <c r="AE12" i="66"/>
  <c r="AF12" i="66"/>
  <c r="AG12" i="66"/>
  <c r="AH12" i="66"/>
  <c r="Y13" i="66"/>
  <c r="M13" i="66"/>
  <c r="AA13" i="66"/>
  <c r="N13" i="66"/>
  <c r="AB13" i="66"/>
  <c r="AC13" i="66"/>
  <c r="Z13" i="66"/>
  <c r="AD13" i="66"/>
  <c r="AE13" i="66"/>
  <c r="AF13" i="66"/>
  <c r="AG13" i="66"/>
  <c r="AH13" i="66"/>
  <c r="Y14" i="66"/>
  <c r="M14" i="66"/>
  <c r="AA14" i="66"/>
  <c r="N14" i="66"/>
  <c r="AB14" i="66"/>
  <c r="AC14" i="66"/>
  <c r="Z14" i="66"/>
  <c r="AD14" i="66"/>
  <c r="AE14" i="66"/>
  <c r="AF14" i="66"/>
  <c r="AG14" i="66"/>
  <c r="AH14" i="66"/>
  <c r="Y15" i="66"/>
  <c r="M15" i="66"/>
  <c r="AA15" i="66"/>
  <c r="N15" i="66"/>
  <c r="AB15" i="66"/>
  <c r="AC15" i="66"/>
  <c r="Z15" i="66"/>
  <c r="AD15" i="66"/>
  <c r="AE15" i="66"/>
  <c r="AF15" i="66"/>
  <c r="AG15" i="66"/>
  <c r="AH15" i="66"/>
  <c r="Y16" i="66"/>
  <c r="M16" i="66"/>
  <c r="AA16" i="66"/>
  <c r="N16" i="66"/>
  <c r="AB16" i="66"/>
  <c r="AC16" i="66"/>
  <c r="Z16" i="66"/>
  <c r="AD16" i="66"/>
  <c r="AE16" i="66"/>
  <c r="AF16" i="66"/>
  <c r="AG16" i="66"/>
  <c r="AH16" i="66"/>
  <c r="Y17" i="66"/>
  <c r="M17" i="66"/>
  <c r="AA17" i="66"/>
  <c r="N17" i="66"/>
  <c r="AB17" i="66"/>
  <c r="AC17" i="66"/>
  <c r="Z17" i="66"/>
  <c r="AD17" i="66"/>
  <c r="AE17" i="66"/>
  <c r="AF17" i="66"/>
  <c r="AG17" i="66"/>
  <c r="AH17" i="66"/>
  <c r="Y18" i="66"/>
  <c r="M18" i="66"/>
  <c r="AA18" i="66"/>
  <c r="N18" i="66"/>
  <c r="AB18" i="66"/>
  <c r="AC18" i="66"/>
  <c r="Z18" i="66"/>
  <c r="AD18" i="66"/>
  <c r="AE18" i="66"/>
  <c r="AF18" i="66"/>
  <c r="AG18" i="66"/>
  <c r="AH18" i="66"/>
  <c r="Y19" i="66"/>
  <c r="M19" i="66"/>
  <c r="AA19" i="66"/>
  <c r="N19" i="66"/>
  <c r="AB19" i="66"/>
  <c r="AC19" i="66"/>
  <c r="Z19" i="66"/>
  <c r="AD19" i="66"/>
  <c r="AE19" i="66"/>
  <c r="AF19" i="66"/>
  <c r="AG19" i="66"/>
  <c r="AH19" i="66"/>
  <c r="Y20" i="66"/>
  <c r="M20" i="66"/>
  <c r="AA20" i="66"/>
  <c r="N20" i="66"/>
  <c r="AB20" i="66"/>
  <c r="AC20" i="66"/>
  <c r="Z20" i="66"/>
  <c r="AD20" i="66"/>
  <c r="AE20" i="66"/>
  <c r="AF20" i="66"/>
  <c r="AG20" i="66"/>
  <c r="AH20" i="66"/>
  <c r="Y21" i="66"/>
  <c r="M21" i="66"/>
  <c r="AA21" i="66"/>
  <c r="N21" i="66"/>
  <c r="AB21" i="66"/>
  <c r="AC21" i="66"/>
  <c r="Z21" i="66"/>
  <c r="AD21" i="66"/>
  <c r="AE21" i="66"/>
  <c r="AF21" i="66"/>
  <c r="AG21" i="66"/>
  <c r="AH21" i="66"/>
  <c r="Y22" i="66"/>
  <c r="M22" i="66"/>
  <c r="AA22" i="66"/>
  <c r="N22" i="66"/>
  <c r="AB22" i="66"/>
  <c r="AC22" i="66"/>
  <c r="Z22" i="66"/>
  <c r="AD22" i="66"/>
  <c r="AE22" i="66"/>
  <c r="AF22" i="66"/>
  <c r="AG22" i="66"/>
  <c r="AH22" i="66"/>
  <c r="Y23" i="66"/>
  <c r="M23" i="66"/>
  <c r="AA23" i="66"/>
  <c r="N23" i="66"/>
  <c r="AB23" i="66"/>
  <c r="AC23" i="66"/>
  <c r="Z23" i="66"/>
  <c r="AD23" i="66"/>
  <c r="AE23" i="66"/>
  <c r="AF23" i="66"/>
  <c r="AG23" i="66"/>
  <c r="AH23" i="66"/>
  <c r="Y24" i="66"/>
  <c r="M24" i="66"/>
  <c r="AA24" i="66"/>
  <c r="N24" i="66"/>
  <c r="AB24" i="66"/>
  <c r="AC24" i="66"/>
  <c r="Z24" i="66"/>
  <c r="AD24" i="66"/>
  <c r="AE24" i="66"/>
  <c r="AF24" i="66"/>
  <c r="AG24" i="66"/>
  <c r="AH24" i="66"/>
  <c r="Y25" i="66"/>
  <c r="M25" i="66"/>
  <c r="AA25" i="66"/>
  <c r="N25" i="66"/>
  <c r="AB25" i="66"/>
  <c r="AC25" i="66"/>
  <c r="Z25" i="66"/>
  <c r="AD25" i="66"/>
  <c r="AE25" i="66"/>
  <c r="AF25" i="66"/>
  <c r="AG25" i="66"/>
  <c r="AH25" i="66"/>
  <c r="Y26" i="66"/>
  <c r="M26" i="66"/>
  <c r="AA26" i="66"/>
  <c r="N26" i="66"/>
  <c r="AB26" i="66"/>
  <c r="AC26" i="66"/>
  <c r="Z26" i="66"/>
  <c r="AD26" i="66"/>
  <c r="AE26" i="66"/>
  <c r="AF26" i="66"/>
  <c r="AG26" i="66"/>
  <c r="AH26" i="66"/>
  <c r="Y27" i="66"/>
  <c r="M27" i="66"/>
  <c r="AA27" i="66"/>
  <c r="N27" i="66"/>
  <c r="AB27" i="66"/>
  <c r="AC27" i="66"/>
  <c r="Z27" i="66"/>
  <c r="AD27" i="66"/>
  <c r="AE27" i="66"/>
  <c r="AF27" i="66"/>
  <c r="AG27" i="66"/>
  <c r="AH27" i="66"/>
  <c r="Y28" i="66"/>
  <c r="M28" i="66"/>
  <c r="AA28" i="66"/>
  <c r="N28" i="66"/>
  <c r="AB28" i="66"/>
  <c r="AC28" i="66"/>
  <c r="Z28" i="66"/>
  <c r="AD28" i="66"/>
  <c r="AE28" i="66"/>
  <c r="AF28" i="66"/>
  <c r="AG28" i="66"/>
  <c r="AH28" i="66"/>
  <c r="Y29" i="66"/>
  <c r="M29" i="66"/>
  <c r="AA29" i="66"/>
  <c r="N29" i="66"/>
  <c r="AB29" i="66"/>
  <c r="AC29" i="66"/>
  <c r="Z29" i="66"/>
  <c r="AD29" i="66"/>
  <c r="AE29" i="66"/>
  <c r="AF29" i="66"/>
  <c r="AG29" i="66"/>
  <c r="AH29" i="66"/>
  <c r="Y30" i="66"/>
  <c r="M30" i="66"/>
  <c r="AA30" i="66"/>
  <c r="N30" i="66"/>
  <c r="AB30" i="66"/>
  <c r="AC30" i="66"/>
  <c r="Z30" i="66"/>
  <c r="AD30" i="66"/>
  <c r="AE30" i="66"/>
  <c r="AF30" i="66"/>
  <c r="AG30" i="66"/>
  <c r="AH30" i="66"/>
  <c r="Y31" i="66"/>
  <c r="M31" i="66"/>
  <c r="AA31" i="66"/>
  <c r="N31" i="66"/>
  <c r="AB31" i="66"/>
  <c r="AC31" i="66"/>
  <c r="Z31" i="66"/>
  <c r="AD31" i="66"/>
  <c r="AE31" i="66"/>
  <c r="AF31" i="66"/>
  <c r="AG31" i="66"/>
  <c r="AH31" i="66"/>
  <c r="Y32" i="66"/>
  <c r="M32" i="66"/>
  <c r="AA32" i="66"/>
  <c r="N32" i="66"/>
  <c r="AB32" i="66"/>
  <c r="AC32" i="66"/>
  <c r="Z32" i="66"/>
  <c r="AD32" i="66"/>
  <c r="AE32" i="66"/>
  <c r="AF32" i="66"/>
  <c r="AG32" i="66"/>
  <c r="AH32" i="66"/>
  <c r="Y33" i="66"/>
  <c r="M33" i="66"/>
  <c r="AA33" i="66"/>
  <c r="N33" i="66"/>
  <c r="AB33" i="66"/>
  <c r="AC33" i="66"/>
  <c r="Z33" i="66"/>
  <c r="AD33" i="66"/>
  <c r="AE33" i="66"/>
  <c r="AF33" i="66"/>
  <c r="AG33" i="66"/>
  <c r="AH33" i="66"/>
  <c r="Y34" i="66"/>
  <c r="M34" i="66"/>
  <c r="AA34" i="66"/>
  <c r="N34" i="66"/>
  <c r="AB34" i="66"/>
  <c r="AC34" i="66"/>
  <c r="Z34" i="66"/>
  <c r="AD34" i="66"/>
  <c r="AE34" i="66"/>
  <c r="AF34" i="66"/>
  <c r="AG34" i="66"/>
  <c r="AH34" i="66"/>
  <c r="Y35" i="66"/>
  <c r="M35" i="66"/>
  <c r="AA35" i="66"/>
  <c r="N35" i="66"/>
  <c r="AB35" i="66"/>
  <c r="AC35" i="66"/>
  <c r="Z35" i="66"/>
  <c r="AD35" i="66"/>
  <c r="AE35" i="66"/>
  <c r="AF35" i="66"/>
  <c r="AG35" i="66"/>
  <c r="AH35" i="66"/>
  <c r="Y36" i="66"/>
  <c r="M36" i="66"/>
  <c r="AA36" i="66"/>
  <c r="N36" i="66"/>
  <c r="AB36" i="66"/>
  <c r="AC36" i="66"/>
  <c r="Z36" i="66"/>
  <c r="AD36" i="66"/>
  <c r="AE36" i="66"/>
  <c r="AF36" i="66"/>
  <c r="AG36" i="66"/>
  <c r="AH36" i="66"/>
  <c r="Y37" i="66"/>
  <c r="M37" i="66"/>
  <c r="AA37" i="66"/>
  <c r="N37" i="66"/>
  <c r="AB37" i="66"/>
  <c r="AC37" i="66"/>
  <c r="Z37" i="66"/>
  <c r="AD37" i="66"/>
  <c r="AE37" i="66"/>
  <c r="AF37" i="66"/>
  <c r="AG37" i="66"/>
  <c r="AH37" i="66"/>
  <c r="Y38" i="66"/>
  <c r="M38" i="66"/>
  <c r="AA38" i="66"/>
  <c r="N38" i="66"/>
  <c r="AB38" i="66"/>
  <c r="AC38" i="66"/>
  <c r="Z38" i="66"/>
  <c r="AD38" i="66"/>
  <c r="AE38" i="66"/>
  <c r="AF38" i="66"/>
  <c r="AG38" i="66"/>
  <c r="AH38" i="66"/>
  <c r="Y39" i="66"/>
  <c r="M39" i="66"/>
  <c r="AA39" i="66"/>
  <c r="N39" i="66"/>
  <c r="AB39" i="66"/>
  <c r="AC39" i="66"/>
  <c r="Z39" i="66"/>
  <c r="AD39" i="66"/>
  <c r="AE39" i="66"/>
  <c r="AF39" i="66"/>
  <c r="AG39" i="66"/>
  <c r="AH39" i="66"/>
  <c r="Y40" i="66"/>
  <c r="M40" i="66"/>
  <c r="AA40" i="66"/>
  <c r="N40" i="66"/>
  <c r="AB40" i="66"/>
  <c r="AC40" i="66"/>
  <c r="Z40" i="66"/>
  <c r="AD40" i="66"/>
  <c r="AE40" i="66"/>
  <c r="AF40" i="66"/>
  <c r="AG40" i="66"/>
  <c r="AH40" i="66"/>
  <c r="Y41" i="66"/>
  <c r="M41" i="66"/>
  <c r="AA41" i="66"/>
  <c r="N41" i="66"/>
  <c r="AB41" i="66"/>
  <c r="AC41" i="66"/>
  <c r="Z41" i="66"/>
  <c r="AD41" i="66"/>
  <c r="AE41" i="66"/>
  <c r="AF41" i="66"/>
  <c r="AG41" i="66"/>
  <c r="AH41" i="66"/>
  <c r="Y42" i="66"/>
  <c r="M42" i="66"/>
  <c r="AA42" i="66"/>
  <c r="N42" i="66"/>
  <c r="AB42" i="66"/>
  <c r="AC42" i="66"/>
  <c r="Z42" i="66"/>
  <c r="AD42" i="66"/>
  <c r="AE42" i="66"/>
  <c r="AF42" i="66"/>
  <c r="AG42" i="66"/>
  <c r="AH42" i="66"/>
  <c r="Y43" i="66"/>
  <c r="M43" i="66"/>
  <c r="AA43" i="66"/>
  <c r="N43" i="66"/>
  <c r="AB43" i="66"/>
  <c r="AC43" i="66"/>
  <c r="Z43" i="66"/>
  <c r="AD43" i="66"/>
  <c r="AE43" i="66"/>
  <c r="AF43" i="66"/>
  <c r="AG43" i="66"/>
  <c r="AH43" i="66"/>
  <c r="Y44" i="66"/>
  <c r="M44" i="66"/>
  <c r="AA44" i="66"/>
  <c r="N44" i="66"/>
  <c r="AB44" i="66"/>
  <c r="AC44" i="66"/>
  <c r="Z44" i="66"/>
  <c r="AD44" i="66"/>
  <c r="AE44" i="66"/>
  <c r="AF44" i="66"/>
  <c r="AG44" i="66"/>
  <c r="AH44" i="66"/>
  <c r="Y45" i="66"/>
  <c r="M45" i="66"/>
  <c r="AA45" i="66"/>
  <c r="N45" i="66"/>
  <c r="AB45" i="66"/>
  <c r="AC45" i="66"/>
  <c r="Z45" i="66"/>
  <c r="AD45" i="66"/>
  <c r="AE45" i="66"/>
  <c r="AF45" i="66"/>
  <c r="AG45" i="66"/>
  <c r="AH45" i="66"/>
  <c r="Y46" i="66"/>
  <c r="M46" i="66"/>
  <c r="AA46" i="66"/>
  <c r="N46" i="66"/>
  <c r="AB46" i="66"/>
  <c r="AC46" i="66"/>
  <c r="Z46" i="66"/>
  <c r="AD46" i="66"/>
  <c r="AE46" i="66"/>
  <c r="AF46" i="66"/>
  <c r="AG46" i="66"/>
  <c r="AH46" i="66"/>
  <c r="Y47" i="66"/>
  <c r="M47" i="66"/>
  <c r="AA47" i="66"/>
  <c r="N47" i="66"/>
  <c r="AB47" i="66"/>
  <c r="AC47" i="66"/>
  <c r="Z47" i="66"/>
  <c r="AD47" i="66"/>
  <c r="AE47" i="66"/>
  <c r="AF47" i="66"/>
  <c r="AG47" i="66"/>
  <c r="AH47" i="66"/>
  <c r="Y48" i="66"/>
  <c r="Z48" i="66"/>
  <c r="O8" i="66"/>
  <c r="R8" i="66"/>
  <c r="S8" i="66"/>
  <c r="T8" i="66"/>
  <c r="O9" i="66"/>
  <c r="R9" i="66"/>
  <c r="S9" i="66"/>
  <c r="T9" i="66"/>
  <c r="O10" i="66"/>
  <c r="R10" i="66"/>
  <c r="S10" i="66"/>
  <c r="T10" i="66"/>
  <c r="O11" i="66"/>
  <c r="R11" i="66"/>
  <c r="S11" i="66"/>
  <c r="T11" i="66"/>
  <c r="O12" i="66"/>
  <c r="R12" i="66"/>
  <c r="S12" i="66"/>
  <c r="T12" i="66"/>
  <c r="O13" i="66"/>
  <c r="R13" i="66"/>
  <c r="S13" i="66"/>
  <c r="T13" i="66"/>
  <c r="O14" i="66"/>
  <c r="R14" i="66"/>
  <c r="S14" i="66"/>
  <c r="T14" i="66"/>
  <c r="O15" i="66"/>
  <c r="R15" i="66"/>
  <c r="S15" i="66"/>
  <c r="T15" i="66"/>
  <c r="O16" i="66"/>
  <c r="R16" i="66"/>
  <c r="S16" i="66"/>
  <c r="T16" i="66"/>
  <c r="O17" i="66"/>
  <c r="R17" i="66"/>
  <c r="S17" i="66"/>
  <c r="T17" i="66"/>
  <c r="O18" i="66"/>
  <c r="R18" i="66"/>
  <c r="S18" i="66"/>
  <c r="T18" i="66"/>
  <c r="O19" i="66"/>
  <c r="R19" i="66"/>
  <c r="S19" i="66"/>
  <c r="T19" i="66"/>
  <c r="O20" i="66"/>
  <c r="R20" i="66"/>
  <c r="S20" i="66"/>
  <c r="T20" i="66"/>
  <c r="O21" i="66"/>
  <c r="R21" i="66"/>
  <c r="S21" i="66"/>
  <c r="T21" i="66"/>
  <c r="O22" i="66"/>
  <c r="R22" i="66"/>
  <c r="S22" i="66"/>
  <c r="T22" i="66"/>
  <c r="O23" i="66"/>
  <c r="R23" i="66"/>
  <c r="S23" i="66"/>
  <c r="T23" i="66"/>
  <c r="O24" i="66"/>
  <c r="R24" i="66"/>
  <c r="S24" i="66"/>
  <c r="T24" i="66"/>
  <c r="O25" i="66"/>
  <c r="R25" i="66"/>
  <c r="S25" i="66"/>
  <c r="T25" i="66"/>
  <c r="O26" i="66"/>
  <c r="R26" i="66"/>
  <c r="S26" i="66"/>
  <c r="T26" i="66"/>
  <c r="O27" i="66"/>
  <c r="R27" i="66"/>
  <c r="S27" i="66"/>
  <c r="T27" i="66"/>
  <c r="O28" i="66"/>
  <c r="R28" i="66"/>
  <c r="S28" i="66"/>
  <c r="T28" i="66"/>
  <c r="O29" i="66"/>
  <c r="R29" i="66"/>
  <c r="S29" i="66"/>
  <c r="T29" i="66"/>
  <c r="O30" i="66"/>
  <c r="R30" i="66"/>
  <c r="S30" i="66"/>
  <c r="T30" i="66"/>
  <c r="O31" i="66"/>
  <c r="R31" i="66"/>
  <c r="S31" i="66"/>
  <c r="T31" i="66"/>
  <c r="O32" i="66"/>
  <c r="R32" i="66"/>
  <c r="S32" i="66"/>
  <c r="T32" i="66"/>
  <c r="O33" i="66"/>
  <c r="R33" i="66"/>
  <c r="S33" i="66"/>
  <c r="T33" i="66"/>
  <c r="O34" i="66"/>
  <c r="R34" i="66"/>
  <c r="S34" i="66"/>
  <c r="T34" i="66"/>
  <c r="O35" i="66"/>
  <c r="R35" i="66"/>
  <c r="S35" i="66"/>
  <c r="T35" i="66"/>
  <c r="O36" i="66"/>
  <c r="R36" i="66"/>
  <c r="S36" i="66"/>
  <c r="T36" i="66"/>
  <c r="O37" i="66"/>
  <c r="R37" i="66"/>
  <c r="S37" i="66"/>
  <c r="T37" i="66"/>
  <c r="O38" i="66"/>
  <c r="R38" i="66"/>
  <c r="S38" i="66"/>
  <c r="T38" i="66"/>
  <c r="O39" i="66"/>
  <c r="R39" i="66"/>
  <c r="S39" i="66"/>
  <c r="T39" i="66"/>
  <c r="O40" i="66"/>
  <c r="R40" i="66"/>
  <c r="S40" i="66"/>
  <c r="T40" i="66"/>
  <c r="O41" i="66"/>
  <c r="R41" i="66"/>
  <c r="S41" i="66"/>
  <c r="T41" i="66"/>
  <c r="O42" i="66"/>
  <c r="R42" i="66"/>
  <c r="S42" i="66"/>
  <c r="T42" i="66"/>
  <c r="O43" i="66"/>
  <c r="R43" i="66"/>
  <c r="S43" i="66"/>
  <c r="T43" i="66"/>
  <c r="O44" i="66"/>
  <c r="R44" i="66"/>
  <c r="S44" i="66"/>
  <c r="T44" i="66"/>
  <c r="O45" i="66"/>
  <c r="R45" i="66"/>
  <c r="S45" i="66"/>
  <c r="T45" i="66"/>
  <c r="O46" i="66"/>
  <c r="R46" i="66"/>
  <c r="S46" i="66"/>
  <c r="T46" i="66"/>
  <c r="O47" i="66"/>
  <c r="R47" i="66"/>
  <c r="S47" i="66"/>
  <c r="T47" i="66"/>
  <c r="U52" i="66"/>
  <c r="U49" i="66"/>
  <c r="L48" i="66"/>
  <c r="Q47" i="66"/>
  <c r="P7" i="69"/>
  <c r="Q7" i="69"/>
  <c r="R7" i="69"/>
  <c r="P8" i="69"/>
  <c r="Q8" i="69"/>
  <c r="R8" i="69"/>
  <c r="P9" i="69"/>
  <c r="Q9" i="69"/>
  <c r="R9" i="69"/>
  <c r="P10" i="69"/>
  <c r="Q10" i="69"/>
  <c r="R10" i="69"/>
  <c r="P11" i="69"/>
  <c r="Q11" i="69"/>
  <c r="R11" i="69"/>
  <c r="P12" i="69"/>
  <c r="Q12" i="69"/>
  <c r="R12" i="69"/>
  <c r="P13" i="69"/>
  <c r="Q13" i="69"/>
  <c r="R13" i="69"/>
  <c r="P14" i="69"/>
  <c r="Q14" i="69"/>
  <c r="R14" i="69"/>
  <c r="P15" i="69"/>
  <c r="Q15" i="69"/>
  <c r="R15" i="69"/>
  <c r="P16" i="69"/>
  <c r="Q16" i="69"/>
  <c r="R16" i="69"/>
  <c r="P17" i="69"/>
  <c r="Q17" i="69"/>
  <c r="R17" i="69"/>
  <c r="P18" i="69"/>
  <c r="Q18" i="69"/>
  <c r="R18" i="69"/>
  <c r="P19" i="69"/>
  <c r="Q19" i="69"/>
  <c r="R19" i="69"/>
  <c r="P20" i="69"/>
  <c r="Q20" i="69"/>
  <c r="R20" i="69"/>
  <c r="P21" i="69"/>
  <c r="Q21" i="69"/>
  <c r="R21" i="69"/>
  <c r="P22" i="69"/>
  <c r="Q22" i="69"/>
  <c r="R22" i="69"/>
  <c r="P23" i="69"/>
  <c r="Q23" i="69"/>
  <c r="R23" i="69"/>
  <c r="P24" i="69"/>
  <c r="Q24" i="69"/>
  <c r="R24" i="69"/>
  <c r="P25" i="69"/>
  <c r="Q25" i="69"/>
  <c r="R25" i="69"/>
  <c r="P26" i="69"/>
  <c r="Q26" i="69"/>
  <c r="R26" i="69"/>
  <c r="P27" i="69"/>
  <c r="Q27" i="69"/>
  <c r="R27" i="69"/>
  <c r="P28" i="69"/>
  <c r="Q28" i="69"/>
  <c r="R28" i="69"/>
  <c r="P29" i="69"/>
  <c r="Q29" i="69"/>
  <c r="R29" i="69"/>
  <c r="P30" i="69"/>
  <c r="Q30" i="69"/>
  <c r="R30" i="69"/>
  <c r="P31" i="69"/>
  <c r="Q31" i="69"/>
  <c r="R31" i="69"/>
  <c r="P32" i="69"/>
  <c r="Q32" i="69"/>
  <c r="R32" i="69"/>
  <c r="P33" i="69"/>
  <c r="Q33" i="69"/>
  <c r="R33" i="69"/>
  <c r="P34" i="69"/>
  <c r="Q34" i="69"/>
  <c r="R34" i="69"/>
  <c r="P35" i="69"/>
  <c r="Q35" i="69"/>
  <c r="R35" i="69"/>
  <c r="P36" i="69"/>
  <c r="Q36" i="69"/>
  <c r="R36" i="69"/>
  <c r="P37" i="69"/>
  <c r="Q37" i="69"/>
  <c r="R37" i="69"/>
  <c r="P38" i="69"/>
  <c r="Q38" i="69"/>
  <c r="R38" i="69"/>
  <c r="P39" i="69"/>
  <c r="Q39" i="69"/>
  <c r="R39" i="69"/>
  <c r="P40" i="69"/>
  <c r="Q40" i="69"/>
  <c r="R40" i="69"/>
  <c r="P41" i="69"/>
  <c r="Q41" i="69"/>
  <c r="R41" i="69"/>
  <c r="P42" i="69"/>
  <c r="Q42" i="69"/>
  <c r="R42" i="69"/>
  <c r="P43" i="69"/>
  <c r="Q43" i="69"/>
  <c r="R43" i="69"/>
  <c r="P44" i="69"/>
  <c r="Q44" i="69"/>
  <c r="R44" i="69"/>
  <c r="P45" i="69"/>
  <c r="Q45" i="69"/>
  <c r="R45" i="69"/>
  <c r="P46" i="69"/>
  <c r="Q46" i="69"/>
  <c r="R46" i="69"/>
  <c r="P47" i="69"/>
  <c r="Q47" i="69"/>
  <c r="R47" i="69"/>
  <c r="P48" i="69"/>
  <c r="Q48" i="69"/>
  <c r="R48" i="69"/>
  <c r="P49" i="69"/>
  <c r="Q49" i="69"/>
  <c r="R49" i="69"/>
  <c r="P50" i="69"/>
  <c r="Q50" i="69"/>
  <c r="R50" i="69"/>
  <c r="P51" i="69"/>
  <c r="Q51" i="69"/>
  <c r="R51" i="69"/>
  <c r="P52" i="69"/>
  <c r="Q52" i="69"/>
  <c r="R52" i="69"/>
  <c r="P53" i="69"/>
  <c r="Q53" i="69"/>
  <c r="R53" i="69"/>
  <c r="P54" i="69"/>
  <c r="Q54" i="69"/>
  <c r="R54" i="69"/>
  <c r="P55" i="69"/>
  <c r="Q55" i="69"/>
  <c r="R55" i="69"/>
  <c r="P56" i="69"/>
  <c r="Q56" i="69"/>
  <c r="R56" i="69"/>
  <c r="P57" i="69"/>
  <c r="Q57" i="69"/>
  <c r="R57" i="69"/>
  <c r="P58" i="69"/>
  <c r="Q58" i="69"/>
  <c r="R58" i="69"/>
  <c r="P59" i="69"/>
  <c r="Q59" i="69"/>
  <c r="R59" i="69"/>
  <c r="P60" i="69"/>
  <c r="Q60" i="69"/>
  <c r="R60" i="69"/>
  <c r="P61" i="69"/>
  <c r="Q61" i="69"/>
  <c r="R61" i="69"/>
  <c r="P62" i="69"/>
  <c r="Q62" i="69"/>
  <c r="R62" i="69"/>
  <c r="P63" i="69"/>
  <c r="Q63" i="69"/>
  <c r="R63" i="69"/>
  <c r="P64" i="69"/>
  <c r="Q64" i="69"/>
  <c r="R64" i="69"/>
  <c r="P65" i="69"/>
  <c r="Q65" i="69"/>
  <c r="R65" i="69"/>
  <c r="P66" i="69"/>
  <c r="Q66" i="69"/>
  <c r="R66" i="69"/>
  <c r="P67" i="69"/>
  <c r="Q67" i="69"/>
  <c r="R67" i="69"/>
  <c r="P68" i="69"/>
  <c r="Q68" i="69"/>
  <c r="R68" i="69"/>
  <c r="P69" i="69"/>
  <c r="Q69" i="69"/>
  <c r="R69" i="69"/>
  <c r="P70" i="69"/>
  <c r="Q70" i="69"/>
  <c r="R70" i="69"/>
  <c r="P71" i="69"/>
  <c r="Q71" i="69"/>
  <c r="R71" i="69"/>
  <c r="P72" i="69"/>
  <c r="Q72" i="69"/>
  <c r="R72" i="69"/>
  <c r="P73" i="69"/>
  <c r="Q73" i="69"/>
  <c r="R73" i="69"/>
  <c r="P74" i="69"/>
  <c r="Q74" i="69"/>
  <c r="R74" i="69"/>
  <c r="P75" i="69"/>
  <c r="Q75" i="69"/>
  <c r="R75" i="69"/>
  <c r="P76" i="69"/>
  <c r="Q76" i="69"/>
  <c r="R76" i="69"/>
  <c r="P77" i="69"/>
  <c r="Q77" i="69"/>
  <c r="R77" i="69"/>
  <c r="P78" i="69"/>
  <c r="Q78" i="69"/>
  <c r="R78" i="69"/>
  <c r="P79" i="69"/>
  <c r="Q79" i="69"/>
  <c r="R79" i="69"/>
  <c r="P80" i="69"/>
  <c r="Q80" i="69"/>
  <c r="R80" i="69"/>
  <c r="P81" i="69"/>
  <c r="Q81" i="69"/>
  <c r="R81" i="69"/>
  <c r="P82" i="69"/>
  <c r="Q82" i="69"/>
  <c r="R82" i="69"/>
  <c r="P83" i="69"/>
  <c r="Q83" i="69"/>
  <c r="R83" i="69"/>
  <c r="P84" i="69"/>
  <c r="Q84" i="69"/>
  <c r="R84" i="69"/>
  <c r="P85" i="69"/>
  <c r="Q85" i="69"/>
  <c r="R85" i="69"/>
  <c r="P86" i="69"/>
  <c r="Q86" i="69"/>
  <c r="R86" i="69"/>
  <c r="P87" i="69"/>
  <c r="Q87" i="69"/>
  <c r="R87" i="69"/>
  <c r="P88" i="69"/>
  <c r="Q88" i="69"/>
  <c r="R88" i="69"/>
  <c r="P89" i="69"/>
  <c r="Q89" i="69"/>
  <c r="R89" i="69"/>
  <c r="P90" i="69"/>
  <c r="Q90" i="69"/>
  <c r="R90" i="69"/>
  <c r="P91" i="69"/>
  <c r="Q91" i="69"/>
  <c r="R91" i="69"/>
  <c r="P92" i="69"/>
  <c r="Q92" i="69"/>
  <c r="R92" i="69"/>
  <c r="P93" i="69"/>
  <c r="Q93" i="69"/>
  <c r="R93" i="69"/>
  <c r="P94" i="69"/>
  <c r="Q94" i="69"/>
  <c r="R94" i="69"/>
  <c r="P95" i="69"/>
  <c r="Q95" i="69"/>
  <c r="R95" i="69"/>
  <c r="P96" i="69"/>
  <c r="Q96" i="69"/>
  <c r="R96" i="69"/>
  <c r="P97" i="69"/>
  <c r="Q97" i="69"/>
  <c r="R97" i="69"/>
  <c r="P98" i="69"/>
  <c r="Q98" i="69"/>
  <c r="R98" i="69"/>
  <c r="P99" i="69"/>
  <c r="Q99" i="69"/>
  <c r="R99" i="69"/>
  <c r="P100" i="69"/>
  <c r="Q100" i="69"/>
  <c r="R100" i="69"/>
  <c r="P101" i="69"/>
  <c r="Q101" i="69"/>
  <c r="R101" i="69"/>
  <c r="P102" i="69"/>
  <c r="Q102" i="69"/>
  <c r="R102" i="69"/>
  <c r="P103" i="69"/>
  <c r="Q103" i="69"/>
  <c r="R103" i="69"/>
  <c r="P104" i="69"/>
  <c r="Q104" i="69"/>
  <c r="R104" i="69"/>
  <c r="P105" i="69"/>
  <c r="Q105" i="69"/>
  <c r="R105" i="69"/>
  <c r="P106" i="69"/>
  <c r="Q106" i="69"/>
  <c r="R106" i="69"/>
  <c r="P107" i="69"/>
  <c r="Q107" i="69"/>
  <c r="R107" i="69"/>
  <c r="P108" i="69"/>
  <c r="Q108" i="69"/>
  <c r="R108" i="69"/>
  <c r="P109" i="69"/>
  <c r="Q109" i="69"/>
  <c r="R109" i="69"/>
  <c r="P110" i="69"/>
  <c r="Q110" i="69"/>
  <c r="R110" i="69"/>
  <c r="P111" i="69"/>
  <c r="Q111" i="69"/>
  <c r="R111" i="69"/>
  <c r="P112" i="69"/>
  <c r="Q112" i="69"/>
  <c r="R112" i="69"/>
  <c r="P113" i="69"/>
  <c r="Q113" i="69"/>
  <c r="R113" i="69"/>
  <c r="P114" i="69"/>
  <c r="Q114" i="69"/>
  <c r="R114" i="69"/>
  <c r="P115" i="69"/>
  <c r="Q115" i="69"/>
  <c r="R115" i="69"/>
  <c r="P116" i="69"/>
  <c r="Q116" i="69"/>
  <c r="R116" i="69"/>
  <c r="P117" i="69"/>
  <c r="Q117" i="69"/>
  <c r="R117" i="69"/>
  <c r="P118" i="69"/>
  <c r="Q118" i="69"/>
  <c r="R118" i="69"/>
  <c r="P119" i="69"/>
  <c r="Q119" i="69"/>
  <c r="R119" i="69"/>
  <c r="P120" i="69"/>
  <c r="Q120" i="69"/>
  <c r="R120" i="69"/>
  <c r="P121" i="69"/>
  <c r="Q121" i="69"/>
  <c r="R121" i="69"/>
  <c r="P122" i="69"/>
  <c r="Q122" i="69"/>
  <c r="R122" i="69"/>
  <c r="P123" i="69"/>
  <c r="Q123" i="69"/>
  <c r="R123" i="69"/>
  <c r="P124" i="69"/>
  <c r="Q124" i="69"/>
  <c r="R124" i="69"/>
  <c r="P125" i="69"/>
  <c r="Q125" i="69"/>
  <c r="R125" i="69"/>
  <c r="P126" i="69"/>
  <c r="Q126" i="69"/>
  <c r="R126" i="69"/>
  <c r="R6" i="69"/>
  <c r="Q6" i="69"/>
  <c r="P6" i="69"/>
  <c r="O8" i="69"/>
  <c r="O9" i="69"/>
  <c r="O10" i="69"/>
  <c r="O11" i="69"/>
  <c r="O12" i="69"/>
  <c r="O13" i="69"/>
  <c r="O14" i="69"/>
  <c r="O15" i="69"/>
  <c r="O16" i="69"/>
  <c r="O17" i="69"/>
  <c r="O18" i="69"/>
  <c r="O19" i="69"/>
  <c r="O20" i="69"/>
  <c r="O21" i="69"/>
  <c r="O22" i="69"/>
  <c r="O23" i="69"/>
  <c r="O24" i="69"/>
  <c r="O25" i="69"/>
  <c r="O26" i="69"/>
  <c r="O27" i="69"/>
  <c r="O28" i="69"/>
  <c r="O29" i="69"/>
  <c r="O30" i="69"/>
  <c r="O31" i="69"/>
  <c r="O32" i="69"/>
  <c r="O33" i="69"/>
  <c r="O34" i="69"/>
  <c r="O35" i="69"/>
  <c r="O36" i="69"/>
  <c r="O37" i="69"/>
  <c r="O38" i="69"/>
  <c r="O39" i="69"/>
  <c r="O40" i="69"/>
  <c r="O41" i="69"/>
  <c r="O42" i="69"/>
  <c r="O43" i="69"/>
  <c r="O44" i="69"/>
  <c r="O45" i="69"/>
  <c r="O46" i="69"/>
  <c r="O47" i="69"/>
  <c r="O48" i="69"/>
  <c r="O49" i="69"/>
  <c r="O50" i="69"/>
  <c r="O51" i="69"/>
  <c r="O52" i="69"/>
  <c r="O53" i="69"/>
  <c r="O54" i="69"/>
  <c r="O55" i="69"/>
  <c r="O56" i="69"/>
  <c r="O57" i="69"/>
  <c r="O58" i="69"/>
  <c r="O59" i="69"/>
  <c r="O60" i="69"/>
  <c r="O61" i="69"/>
  <c r="O62" i="69"/>
  <c r="O63" i="69"/>
  <c r="O64" i="69"/>
  <c r="O65" i="69"/>
  <c r="O66" i="69"/>
  <c r="O67" i="69"/>
  <c r="O68" i="69"/>
  <c r="O69" i="69"/>
  <c r="O70" i="69"/>
  <c r="O71" i="69"/>
  <c r="O72" i="69"/>
  <c r="O73" i="69"/>
  <c r="O74" i="69"/>
  <c r="O75" i="69"/>
  <c r="O76" i="69"/>
  <c r="O77" i="69"/>
  <c r="O78" i="69"/>
  <c r="O79" i="69"/>
  <c r="O80" i="69"/>
  <c r="O81" i="69"/>
  <c r="O82" i="69"/>
  <c r="O83" i="69"/>
  <c r="O84" i="69"/>
  <c r="O85" i="69"/>
  <c r="O86" i="69"/>
  <c r="O87" i="69"/>
  <c r="O88" i="69"/>
  <c r="O89" i="69"/>
  <c r="O90" i="69"/>
  <c r="O91" i="69"/>
  <c r="O92" i="69"/>
  <c r="O93" i="69"/>
  <c r="O94" i="69"/>
  <c r="O95" i="69"/>
  <c r="O96" i="69"/>
  <c r="O97" i="69"/>
  <c r="O98" i="69"/>
  <c r="O99" i="69"/>
  <c r="O100" i="69"/>
  <c r="O101" i="69"/>
  <c r="O102" i="69"/>
  <c r="O103" i="69"/>
  <c r="O104" i="69"/>
  <c r="O105" i="69"/>
  <c r="O106" i="69"/>
  <c r="O107" i="69"/>
  <c r="O108" i="69"/>
  <c r="O109" i="69"/>
  <c r="O110" i="69"/>
  <c r="O111" i="69"/>
  <c r="O112" i="69"/>
  <c r="O113" i="69"/>
  <c r="O114" i="69"/>
  <c r="O115" i="69"/>
  <c r="O116" i="69"/>
  <c r="O117" i="69"/>
  <c r="O118" i="69"/>
  <c r="O119" i="69"/>
  <c r="O120" i="69"/>
  <c r="O121" i="69"/>
  <c r="O122" i="69"/>
  <c r="O123" i="69"/>
  <c r="O124" i="69"/>
  <c r="O125" i="69"/>
  <c r="O126" i="69"/>
  <c r="O7" i="69"/>
  <c r="H8" i="69"/>
  <c r="H9" i="69"/>
  <c r="H10" i="69"/>
  <c r="H11" i="69"/>
  <c r="H12" i="69"/>
  <c r="H13" i="69"/>
  <c r="H14" i="69"/>
  <c r="H15" i="69"/>
  <c r="H16" i="69"/>
  <c r="H17" i="69"/>
  <c r="H18" i="69"/>
  <c r="H19" i="69"/>
  <c r="H20" i="69"/>
  <c r="H21" i="69"/>
  <c r="H22" i="69"/>
  <c r="H23" i="69"/>
  <c r="H24" i="69"/>
  <c r="H25" i="69"/>
  <c r="H26" i="69"/>
  <c r="H27" i="69"/>
  <c r="H28" i="69"/>
  <c r="H29" i="69"/>
  <c r="H30" i="69"/>
  <c r="H31" i="69"/>
  <c r="H32" i="69"/>
  <c r="H33" i="69"/>
  <c r="H34" i="69"/>
  <c r="H35" i="69"/>
  <c r="H36" i="69"/>
  <c r="H37" i="69"/>
  <c r="H38" i="69"/>
  <c r="H39" i="69"/>
  <c r="H40" i="69"/>
  <c r="H41" i="69"/>
  <c r="H42" i="69"/>
  <c r="H43" i="69"/>
  <c r="H44" i="69"/>
  <c r="H45" i="69"/>
  <c r="H46" i="69"/>
  <c r="H47" i="69"/>
  <c r="H48" i="69"/>
  <c r="H49" i="69"/>
  <c r="H50" i="69"/>
  <c r="H51" i="69"/>
  <c r="H52" i="69"/>
  <c r="H53" i="69"/>
  <c r="H54" i="69"/>
  <c r="H55" i="69"/>
  <c r="H56" i="69"/>
  <c r="H57" i="69"/>
  <c r="H58" i="69"/>
  <c r="H59" i="69"/>
  <c r="H60" i="69"/>
  <c r="H61" i="69"/>
  <c r="H62" i="69"/>
  <c r="H63" i="69"/>
  <c r="H64" i="69"/>
  <c r="H65" i="69"/>
  <c r="H66" i="69"/>
  <c r="H67" i="69"/>
  <c r="H68" i="69"/>
  <c r="H69" i="69"/>
  <c r="H70" i="69"/>
  <c r="H71" i="69"/>
  <c r="H72" i="69"/>
  <c r="H73" i="69"/>
  <c r="H74" i="69"/>
  <c r="H75" i="69"/>
  <c r="H76" i="69"/>
  <c r="H77" i="69"/>
  <c r="H78" i="69"/>
  <c r="H79" i="69"/>
  <c r="H80" i="69"/>
  <c r="H81" i="69"/>
  <c r="H82" i="69"/>
  <c r="H83" i="69"/>
  <c r="H84" i="69"/>
  <c r="H85" i="69"/>
  <c r="H86" i="69"/>
  <c r="H87" i="69"/>
  <c r="H88" i="69"/>
  <c r="H89" i="69"/>
  <c r="H90" i="69"/>
  <c r="H91" i="69"/>
  <c r="H92" i="69"/>
  <c r="H93" i="69"/>
  <c r="H94" i="69"/>
  <c r="H95" i="69"/>
  <c r="H96" i="69"/>
  <c r="H97" i="69"/>
  <c r="H98" i="69"/>
  <c r="H99" i="69"/>
  <c r="H100" i="69"/>
  <c r="H101" i="69"/>
  <c r="H102" i="69"/>
  <c r="H103" i="69"/>
  <c r="H104" i="69"/>
  <c r="H105" i="69"/>
  <c r="H106" i="69"/>
  <c r="H107" i="69"/>
  <c r="H108" i="69"/>
  <c r="H109" i="69"/>
  <c r="H110" i="69"/>
  <c r="H111" i="69"/>
  <c r="H112" i="69"/>
  <c r="H113" i="69"/>
  <c r="H114" i="69"/>
  <c r="H115" i="69"/>
  <c r="H116" i="69"/>
  <c r="H117" i="69"/>
  <c r="H118" i="69"/>
  <c r="H119" i="69"/>
  <c r="H120" i="69"/>
  <c r="H121" i="69"/>
  <c r="H122" i="69"/>
  <c r="H123" i="69"/>
  <c r="H124" i="69"/>
  <c r="H125" i="69"/>
  <c r="H126" i="69"/>
  <c r="H7" i="69"/>
  <c r="B7" i="69"/>
  <c r="C7" i="69"/>
  <c r="D7" i="69"/>
  <c r="B8" i="69"/>
  <c r="C8" i="69"/>
  <c r="D8" i="69"/>
  <c r="B9" i="69"/>
  <c r="C9" i="69"/>
  <c r="D9" i="69"/>
  <c r="B10" i="69"/>
  <c r="C10" i="69"/>
  <c r="D10" i="69"/>
  <c r="B11" i="69"/>
  <c r="C11" i="69"/>
  <c r="D11" i="69"/>
  <c r="B12" i="69"/>
  <c r="C12" i="69"/>
  <c r="D12" i="69"/>
  <c r="B13" i="69"/>
  <c r="C13" i="69"/>
  <c r="D13" i="69"/>
  <c r="B14" i="69"/>
  <c r="C14" i="69"/>
  <c r="D14" i="69"/>
  <c r="B15" i="69"/>
  <c r="C15" i="69"/>
  <c r="D15" i="69"/>
  <c r="B16" i="69"/>
  <c r="C16" i="69"/>
  <c r="D16" i="69"/>
  <c r="B17" i="69"/>
  <c r="C17" i="69"/>
  <c r="D17" i="69"/>
  <c r="B18" i="69"/>
  <c r="C18" i="69"/>
  <c r="D18" i="69"/>
  <c r="B19" i="69"/>
  <c r="C19" i="69"/>
  <c r="D19" i="69"/>
  <c r="B20" i="69"/>
  <c r="C20" i="69"/>
  <c r="D20" i="69"/>
  <c r="B21" i="69"/>
  <c r="C21" i="69"/>
  <c r="D21" i="69"/>
  <c r="B22" i="69"/>
  <c r="C22" i="69"/>
  <c r="D22" i="69"/>
  <c r="B23" i="69"/>
  <c r="C23" i="69"/>
  <c r="D23" i="69"/>
  <c r="B24" i="69"/>
  <c r="C24" i="69"/>
  <c r="D24" i="69"/>
  <c r="B25" i="69"/>
  <c r="C25" i="69"/>
  <c r="D25" i="69"/>
  <c r="B26" i="69"/>
  <c r="C26" i="69"/>
  <c r="D26" i="69"/>
  <c r="B27" i="69"/>
  <c r="C27" i="69"/>
  <c r="D27" i="69"/>
  <c r="B28" i="69"/>
  <c r="C28" i="69"/>
  <c r="D28" i="69"/>
  <c r="B29" i="69"/>
  <c r="C29" i="69"/>
  <c r="D29" i="69"/>
  <c r="B30" i="69"/>
  <c r="C30" i="69"/>
  <c r="D30" i="69"/>
  <c r="B31" i="69"/>
  <c r="C31" i="69"/>
  <c r="D31" i="69"/>
  <c r="B32" i="69"/>
  <c r="C32" i="69"/>
  <c r="D32" i="69"/>
  <c r="B33" i="69"/>
  <c r="C33" i="69"/>
  <c r="D33" i="69"/>
  <c r="B34" i="69"/>
  <c r="C34" i="69"/>
  <c r="D34" i="69"/>
  <c r="B35" i="69"/>
  <c r="C35" i="69"/>
  <c r="D35" i="69"/>
  <c r="B36" i="69"/>
  <c r="C36" i="69"/>
  <c r="D36" i="69"/>
  <c r="B37" i="69"/>
  <c r="C37" i="69"/>
  <c r="D37" i="69"/>
  <c r="B38" i="69"/>
  <c r="C38" i="69"/>
  <c r="D38" i="69"/>
  <c r="B39" i="69"/>
  <c r="C39" i="69"/>
  <c r="D39" i="69"/>
  <c r="B40" i="69"/>
  <c r="C40" i="69"/>
  <c r="D40" i="69"/>
  <c r="B41" i="69"/>
  <c r="C41" i="69"/>
  <c r="D41" i="69"/>
  <c r="B42" i="69"/>
  <c r="C42" i="69"/>
  <c r="D42" i="69"/>
  <c r="B43" i="69"/>
  <c r="C43" i="69"/>
  <c r="D43" i="69"/>
  <c r="B44" i="69"/>
  <c r="C44" i="69"/>
  <c r="D44" i="69"/>
  <c r="B45" i="69"/>
  <c r="C45" i="69"/>
  <c r="D45" i="69"/>
  <c r="B46" i="69"/>
  <c r="C46" i="69"/>
  <c r="D46" i="69"/>
  <c r="B47" i="69"/>
  <c r="C47" i="69"/>
  <c r="D47" i="69"/>
  <c r="B48" i="69"/>
  <c r="C48" i="69"/>
  <c r="D48" i="69"/>
  <c r="B49" i="69"/>
  <c r="C49" i="69"/>
  <c r="D49" i="69"/>
  <c r="B50" i="69"/>
  <c r="C50" i="69"/>
  <c r="D50" i="69"/>
  <c r="B51" i="69"/>
  <c r="C51" i="69"/>
  <c r="D51" i="69"/>
  <c r="B52" i="69"/>
  <c r="C52" i="69"/>
  <c r="D52" i="69"/>
  <c r="B53" i="69"/>
  <c r="C53" i="69"/>
  <c r="D53" i="69"/>
  <c r="B54" i="69"/>
  <c r="C54" i="69"/>
  <c r="D54" i="69"/>
  <c r="B55" i="69"/>
  <c r="C55" i="69"/>
  <c r="D55" i="69"/>
  <c r="B56" i="69"/>
  <c r="C56" i="69"/>
  <c r="D56" i="69"/>
  <c r="B57" i="69"/>
  <c r="C57" i="69"/>
  <c r="D57" i="69"/>
  <c r="B58" i="69"/>
  <c r="C58" i="69"/>
  <c r="D58" i="69"/>
  <c r="B59" i="69"/>
  <c r="C59" i="69"/>
  <c r="D59" i="69"/>
  <c r="B60" i="69"/>
  <c r="C60" i="69"/>
  <c r="D60" i="69"/>
  <c r="B61" i="69"/>
  <c r="C61" i="69"/>
  <c r="D61" i="69"/>
  <c r="B62" i="69"/>
  <c r="C62" i="69"/>
  <c r="D62" i="69"/>
  <c r="B63" i="69"/>
  <c r="C63" i="69"/>
  <c r="D63" i="69"/>
  <c r="B64" i="69"/>
  <c r="C64" i="69"/>
  <c r="D64" i="69"/>
  <c r="B65" i="69"/>
  <c r="C65" i="69"/>
  <c r="D65" i="69"/>
  <c r="B66" i="69"/>
  <c r="C66" i="69"/>
  <c r="D66" i="69"/>
  <c r="B67" i="69"/>
  <c r="C67" i="69"/>
  <c r="D67" i="69"/>
  <c r="B68" i="69"/>
  <c r="C68" i="69"/>
  <c r="D68" i="69"/>
  <c r="B69" i="69"/>
  <c r="C69" i="69"/>
  <c r="D69" i="69"/>
  <c r="B70" i="69"/>
  <c r="C70" i="69"/>
  <c r="D70" i="69"/>
  <c r="B71" i="69"/>
  <c r="C71" i="69"/>
  <c r="D71" i="69"/>
  <c r="B72" i="69"/>
  <c r="C72" i="69"/>
  <c r="D72" i="69"/>
  <c r="B73" i="69"/>
  <c r="C73" i="69"/>
  <c r="D73" i="69"/>
  <c r="B74" i="69"/>
  <c r="C74" i="69"/>
  <c r="D74" i="69"/>
  <c r="B75" i="69"/>
  <c r="C75" i="69"/>
  <c r="D75" i="69"/>
  <c r="B76" i="69"/>
  <c r="C76" i="69"/>
  <c r="D76" i="69"/>
  <c r="B77" i="69"/>
  <c r="C77" i="69"/>
  <c r="D77" i="69"/>
  <c r="B78" i="69"/>
  <c r="C78" i="69"/>
  <c r="D78" i="69"/>
  <c r="B79" i="69"/>
  <c r="C79" i="69"/>
  <c r="D79" i="69"/>
  <c r="B80" i="69"/>
  <c r="C80" i="69"/>
  <c r="D80" i="69"/>
  <c r="B81" i="69"/>
  <c r="C81" i="69"/>
  <c r="D81" i="69"/>
  <c r="B82" i="69"/>
  <c r="C82" i="69"/>
  <c r="D82" i="69"/>
  <c r="B83" i="69"/>
  <c r="C83" i="69"/>
  <c r="D83" i="69"/>
  <c r="B84" i="69"/>
  <c r="C84" i="69"/>
  <c r="D84" i="69"/>
  <c r="B85" i="69"/>
  <c r="C85" i="69"/>
  <c r="D85" i="69"/>
  <c r="B86" i="69"/>
  <c r="C86" i="69"/>
  <c r="D86" i="69"/>
  <c r="B87" i="69"/>
  <c r="C87" i="69"/>
  <c r="D87" i="69"/>
  <c r="B88" i="69"/>
  <c r="C88" i="69"/>
  <c r="D88" i="69"/>
  <c r="B89" i="69"/>
  <c r="C89" i="69"/>
  <c r="D89" i="69"/>
  <c r="B90" i="69"/>
  <c r="C90" i="69"/>
  <c r="D90" i="69"/>
  <c r="B91" i="69"/>
  <c r="C91" i="69"/>
  <c r="D91" i="69"/>
  <c r="B92" i="69"/>
  <c r="C92" i="69"/>
  <c r="D92" i="69"/>
  <c r="B93" i="69"/>
  <c r="C93" i="69"/>
  <c r="D93" i="69"/>
  <c r="B94" i="69"/>
  <c r="C94" i="69"/>
  <c r="D94" i="69"/>
  <c r="B95" i="69"/>
  <c r="C95" i="69"/>
  <c r="D95" i="69"/>
  <c r="B96" i="69"/>
  <c r="C96" i="69"/>
  <c r="D96" i="69"/>
  <c r="B97" i="69"/>
  <c r="C97" i="69"/>
  <c r="D97" i="69"/>
  <c r="B98" i="69"/>
  <c r="C98" i="69"/>
  <c r="D98" i="69"/>
  <c r="B99" i="69"/>
  <c r="C99" i="69"/>
  <c r="D99" i="69"/>
  <c r="B100" i="69"/>
  <c r="C100" i="69"/>
  <c r="D100" i="69"/>
  <c r="B101" i="69"/>
  <c r="C101" i="69"/>
  <c r="D101" i="69"/>
  <c r="B102" i="69"/>
  <c r="C102" i="69"/>
  <c r="D102" i="69"/>
  <c r="B103" i="69"/>
  <c r="C103" i="69"/>
  <c r="D103" i="69"/>
  <c r="B104" i="69"/>
  <c r="C104" i="69"/>
  <c r="D104" i="69"/>
  <c r="B105" i="69"/>
  <c r="C105" i="69"/>
  <c r="D105" i="69"/>
  <c r="B106" i="69"/>
  <c r="C106" i="69"/>
  <c r="D106" i="69"/>
  <c r="B107" i="69"/>
  <c r="C107" i="69"/>
  <c r="D107" i="69"/>
  <c r="B108" i="69"/>
  <c r="C108" i="69"/>
  <c r="D108" i="69"/>
  <c r="B109" i="69"/>
  <c r="C109" i="69"/>
  <c r="D109" i="69"/>
  <c r="B110" i="69"/>
  <c r="C110" i="69"/>
  <c r="D110" i="69"/>
  <c r="B111" i="69"/>
  <c r="C111" i="69"/>
  <c r="D111" i="69"/>
  <c r="B112" i="69"/>
  <c r="C112" i="69"/>
  <c r="D112" i="69"/>
  <c r="B113" i="69"/>
  <c r="C113" i="69"/>
  <c r="D113" i="69"/>
  <c r="B114" i="69"/>
  <c r="C114" i="69"/>
  <c r="D114" i="69"/>
  <c r="B115" i="69"/>
  <c r="C115" i="69"/>
  <c r="D115" i="69"/>
  <c r="B116" i="69"/>
  <c r="C116" i="69"/>
  <c r="D116" i="69"/>
  <c r="B117" i="69"/>
  <c r="C117" i="69"/>
  <c r="D117" i="69"/>
  <c r="B118" i="69"/>
  <c r="C118" i="69"/>
  <c r="D118" i="69"/>
  <c r="B119" i="69"/>
  <c r="C119" i="69"/>
  <c r="D119" i="69"/>
  <c r="B120" i="69"/>
  <c r="C120" i="69"/>
  <c r="D120" i="69"/>
  <c r="B121" i="69"/>
  <c r="C121" i="69"/>
  <c r="D121" i="69"/>
  <c r="B122" i="69"/>
  <c r="C122" i="69"/>
  <c r="D122" i="69"/>
  <c r="B123" i="69"/>
  <c r="C123" i="69"/>
  <c r="D123" i="69"/>
  <c r="B124" i="69"/>
  <c r="C124" i="69"/>
  <c r="D124" i="69"/>
  <c r="B125" i="69"/>
  <c r="C125" i="69"/>
  <c r="D125" i="69"/>
  <c r="B126" i="69"/>
  <c r="C126" i="69"/>
  <c r="D126" i="69"/>
  <c r="D6" i="69"/>
  <c r="C6" i="69"/>
  <c r="B6" i="69"/>
  <c r="A8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A56" i="69"/>
  <c r="A57" i="69"/>
  <c r="A58" i="69"/>
  <c r="A59" i="69"/>
  <c r="A60" i="69"/>
  <c r="A61" i="69"/>
  <c r="A62" i="69"/>
  <c r="A63" i="69"/>
  <c r="A64" i="69"/>
  <c r="A65" i="69"/>
  <c r="A66" i="69"/>
  <c r="A67" i="69"/>
  <c r="A68" i="69"/>
  <c r="A69" i="69"/>
  <c r="A70" i="69"/>
  <c r="A71" i="69"/>
  <c r="A72" i="69"/>
  <c r="A73" i="69"/>
  <c r="A74" i="69"/>
  <c r="A75" i="69"/>
  <c r="A76" i="69"/>
  <c r="A77" i="69"/>
  <c r="A78" i="69"/>
  <c r="A79" i="69"/>
  <c r="A80" i="69"/>
  <c r="A81" i="69"/>
  <c r="A82" i="69"/>
  <c r="A83" i="69"/>
  <c r="A84" i="69"/>
  <c r="A85" i="69"/>
  <c r="A86" i="69"/>
  <c r="A87" i="69"/>
  <c r="A88" i="69"/>
  <c r="A89" i="69"/>
  <c r="A90" i="69"/>
  <c r="A91" i="69"/>
  <c r="A92" i="69"/>
  <c r="A93" i="69"/>
  <c r="A94" i="69"/>
  <c r="A95" i="69"/>
  <c r="A96" i="69"/>
  <c r="A97" i="69"/>
  <c r="A98" i="69"/>
  <c r="A99" i="69"/>
  <c r="A100" i="69"/>
  <c r="A101" i="69"/>
  <c r="A102" i="69"/>
  <c r="A103" i="69"/>
  <c r="A104" i="69"/>
  <c r="A105" i="69"/>
  <c r="A106" i="69"/>
  <c r="A107" i="69"/>
  <c r="A108" i="69"/>
  <c r="A109" i="69"/>
  <c r="A110" i="69"/>
  <c r="A111" i="69"/>
  <c r="A112" i="69"/>
  <c r="A113" i="69"/>
  <c r="A114" i="69"/>
  <c r="A115" i="69"/>
  <c r="A116" i="69"/>
  <c r="A117" i="69"/>
  <c r="A118" i="69"/>
  <c r="A119" i="69"/>
  <c r="A120" i="69"/>
  <c r="A121" i="69"/>
  <c r="A122" i="69"/>
  <c r="A123" i="69"/>
  <c r="A124" i="69"/>
  <c r="A125" i="69"/>
  <c r="A126" i="69"/>
  <c r="A7" i="69"/>
  <c r="BB7" i="69"/>
  <c r="AQ126" i="69"/>
  <c r="BC7" i="69"/>
  <c r="BD7" i="69"/>
  <c r="AY8" i="69"/>
  <c r="BA8" i="69"/>
  <c r="BB8" i="69"/>
  <c r="BC8" i="69"/>
  <c r="BD8" i="69"/>
  <c r="AY9" i="69"/>
  <c r="AO8" i="69"/>
  <c r="AU7" i="69"/>
  <c r="AU8" i="69"/>
  <c r="AP8" i="69"/>
  <c r="AQ8" i="69"/>
  <c r="AR8" i="69"/>
  <c r="AZ9" i="69"/>
  <c r="BA9" i="69"/>
  <c r="BB9" i="69"/>
  <c r="BC9" i="69"/>
  <c r="BD9" i="69"/>
  <c r="AY10" i="69"/>
  <c r="AO9" i="69"/>
  <c r="AP9" i="69"/>
  <c r="AQ9" i="69"/>
  <c r="AR9" i="69"/>
  <c r="AZ10" i="69"/>
  <c r="BA10" i="69"/>
  <c r="BB10" i="69"/>
  <c r="BC10" i="69"/>
  <c r="BD10" i="69"/>
  <c r="AY11" i="69"/>
  <c r="AO10" i="69"/>
  <c r="AP10" i="69"/>
  <c r="AQ10" i="69"/>
  <c r="AR10" i="69"/>
  <c r="AZ11" i="69"/>
  <c r="BA11" i="69"/>
  <c r="BB11" i="69"/>
  <c r="BC11" i="69"/>
  <c r="BD11" i="69"/>
  <c r="AY12" i="69"/>
  <c r="AO11" i="69"/>
  <c r="AP11" i="69"/>
  <c r="AQ11" i="69"/>
  <c r="AR11" i="69"/>
  <c r="AZ12" i="69"/>
  <c r="BA12" i="69"/>
  <c r="BB12" i="69"/>
  <c r="BC12" i="69"/>
  <c r="BD12" i="69"/>
  <c r="AY13" i="69"/>
  <c r="AO12" i="69"/>
  <c r="AP12" i="69"/>
  <c r="AQ12" i="69"/>
  <c r="AR12" i="69"/>
  <c r="AZ13" i="69"/>
  <c r="BA13" i="69"/>
  <c r="BB13" i="69"/>
  <c r="BC13" i="69"/>
  <c r="BD13" i="69"/>
  <c r="AY14" i="69"/>
  <c r="AO13" i="69"/>
  <c r="AP13" i="69"/>
  <c r="AQ13" i="69"/>
  <c r="AR13" i="69"/>
  <c r="AZ14" i="69"/>
  <c r="BA14" i="69"/>
  <c r="BB14" i="69"/>
  <c r="BC14" i="69"/>
  <c r="BD14" i="69"/>
  <c r="AY15" i="69"/>
  <c r="AO14" i="69"/>
  <c r="AP14" i="69"/>
  <c r="AQ14" i="69"/>
  <c r="AR14" i="69"/>
  <c r="AZ15" i="69"/>
  <c r="BA15" i="69"/>
  <c r="BB15" i="69"/>
  <c r="BC15" i="69"/>
  <c r="BD15" i="69"/>
  <c r="AY16" i="69"/>
  <c r="AO15" i="69"/>
  <c r="AP15" i="69"/>
  <c r="AQ15" i="69"/>
  <c r="AR15" i="69"/>
  <c r="AZ16" i="69"/>
  <c r="BA16" i="69"/>
  <c r="BB16" i="69"/>
  <c r="BC16" i="69"/>
  <c r="BD16" i="69"/>
  <c r="AY17" i="69"/>
  <c r="AO16" i="69"/>
  <c r="AP16" i="69"/>
  <c r="AQ16" i="69"/>
  <c r="AR16" i="69"/>
  <c r="AZ17" i="69"/>
  <c r="BA17" i="69"/>
  <c r="BB17" i="69"/>
  <c r="BC17" i="69"/>
  <c r="BD17" i="69"/>
  <c r="AY18" i="69"/>
  <c r="AO17" i="69"/>
  <c r="AP17" i="69"/>
  <c r="AQ17" i="69"/>
  <c r="AR17" i="69"/>
  <c r="AZ18" i="69"/>
  <c r="BA18" i="69"/>
  <c r="BB18" i="69"/>
  <c r="BC18" i="69"/>
  <c r="BD18" i="69"/>
  <c r="AY19" i="69"/>
  <c r="AO18" i="69"/>
  <c r="AP18" i="69"/>
  <c r="AQ18" i="69"/>
  <c r="AR18" i="69"/>
  <c r="AZ19" i="69"/>
  <c r="BA19" i="69"/>
  <c r="BB19" i="69"/>
  <c r="BC19" i="69"/>
  <c r="BD19" i="69"/>
  <c r="AY20" i="69"/>
  <c r="AO19" i="69"/>
  <c r="AP19" i="69"/>
  <c r="AQ19" i="69"/>
  <c r="AR19" i="69"/>
  <c r="AZ20" i="69"/>
  <c r="BA20" i="69"/>
  <c r="BB20" i="69"/>
  <c r="BC20" i="69"/>
  <c r="BD20" i="69"/>
  <c r="AY21" i="69"/>
  <c r="AO20" i="69"/>
  <c r="AP20" i="69"/>
  <c r="AQ20" i="69"/>
  <c r="AR20" i="69"/>
  <c r="AZ21" i="69"/>
  <c r="BA21" i="69"/>
  <c r="BB21" i="69"/>
  <c r="BC21" i="69"/>
  <c r="BD21" i="69"/>
  <c r="AY22" i="69"/>
  <c r="AO21" i="69"/>
  <c r="AP21" i="69"/>
  <c r="AQ21" i="69"/>
  <c r="AR21" i="69"/>
  <c r="AZ22" i="69"/>
  <c r="BA22" i="69"/>
  <c r="BB22" i="69"/>
  <c r="BC22" i="69"/>
  <c r="BD22" i="69"/>
  <c r="AY23" i="69"/>
  <c r="AO22" i="69"/>
  <c r="AP22" i="69"/>
  <c r="AQ22" i="69"/>
  <c r="AR22" i="69"/>
  <c r="AZ23" i="69"/>
  <c r="BA23" i="69"/>
  <c r="BB23" i="69"/>
  <c r="BC23" i="69"/>
  <c r="BD23" i="69"/>
  <c r="AY24" i="69"/>
  <c r="AO23" i="69"/>
  <c r="AP23" i="69"/>
  <c r="AQ23" i="69"/>
  <c r="AR23" i="69"/>
  <c r="AZ24" i="69"/>
  <c r="BA24" i="69"/>
  <c r="BB24" i="69"/>
  <c r="BC24" i="69"/>
  <c r="BD24" i="69"/>
  <c r="AY25" i="69"/>
  <c r="AO24" i="69"/>
  <c r="AP24" i="69"/>
  <c r="AQ24" i="69"/>
  <c r="AR24" i="69"/>
  <c r="AZ25" i="69"/>
  <c r="BA25" i="69"/>
  <c r="BB25" i="69"/>
  <c r="BC25" i="69"/>
  <c r="BD25" i="69"/>
  <c r="AY26" i="69"/>
  <c r="AO25" i="69"/>
  <c r="AP25" i="69"/>
  <c r="AQ25" i="69"/>
  <c r="AR25" i="69"/>
  <c r="AZ26" i="69"/>
  <c r="BA26" i="69"/>
  <c r="BB26" i="69"/>
  <c r="BC26" i="69"/>
  <c r="BD26" i="69"/>
  <c r="AY27" i="69"/>
  <c r="AO26" i="69"/>
  <c r="AP26" i="69"/>
  <c r="AQ26" i="69"/>
  <c r="AR26" i="69"/>
  <c r="AZ27" i="69"/>
  <c r="BA27" i="69"/>
  <c r="BB27" i="69"/>
  <c r="BC27" i="69"/>
  <c r="BD27" i="69"/>
  <c r="AY28" i="69"/>
  <c r="AO27" i="69"/>
  <c r="AP27" i="69"/>
  <c r="AQ27" i="69"/>
  <c r="AR27" i="69"/>
  <c r="AZ28" i="69"/>
  <c r="BA28" i="69"/>
  <c r="BB28" i="69"/>
  <c r="BC28" i="69"/>
  <c r="BD28" i="69"/>
  <c r="AY29" i="69"/>
  <c r="AO28" i="69"/>
  <c r="AP28" i="69"/>
  <c r="AQ28" i="69"/>
  <c r="AR28" i="69"/>
  <c r="AZ29" i="69"/>
  <c r="BA29" i="69"/>
  <c r="BB29" i="69"/>
  <c r="BC29" i="69"/>
  <c r="BD29" i="69"/>
  <c r="AY30" i="69"/>
  <c r="AO29" i="69"/>
  <c r="AP29" i="69"/>
  <c r="AQ29" i="69"/>
  <c r="AR29" i="69"/>
  <c r="AZ30" i="69"/>
  <c r="BA30" i="69"/>
  <c r="BB30" i="69"/>
  <c r="BC30" i="69"/>
  <c r="BD30" i="69"/>
  <c r="AY31" i="69"/>
  <c r="AO30" i="69"/>
  <c r="AP30" i="69"/>
  <c r="AQ30" i="69"/>
  <c r="AR30" i="69"/>
  <c r="AZ31" i="69"/>
  <c r="BA31" i="69"/>
  <c r="BB31" i="69"/>
  <c r="BC31" i="69"/>
  <c r="BD31" i="69"/>
  <c r="AY32" i="69"/>
  <c r="AO31" i="69"/>
  <c r="AP31" i="69"/>
  <c r="AQ31" i="69"/>
  <c r="AR31" i="69"/>
  <c r="AZ32" i="69"/>
  <c r="BA32" i="69"/>
  <c r="BB32" i="69"/>
  <c r="BC32" i="69"/>
  <c r="BD32" i="69"/>
  <c r="AY33" i="69"/>
  <c r="AO32" i="69"/>
  <c r="AP32" i="69"/>
  <c r="AQ32" i="69"/>
  <c r="AR32" i="69"/>
  <c r="AZ33" i="69"/>
  <c r="BA33" i="69"/>
  <c r="BB33" i="69"/>
  <c r="BC33" i="69"/>
  <c r="BD33" i="69"/>
  <c r="AY34" i="69"/>
  <c r="AO33" i="69"/>
  <c r="AP33" i="69"/>
  <c r="AQ33" i="69"/>
  <c r="AR33" i="69"/>
  <c r="AZ34" i="69"/>
  <c r="BA34" i="69"/>
  <c r="BB34" i="69"/>
  <c r="BC34" i="69"/>
  <c r="BD34" i="69"/>
  <c r="AY35" i="69"/>
  <c r="AO34" i="69"/>
  <c r="AP34" i="69"/>
  <c r="AQ34" i="69"/>
  <c r="AR34" i="69"/>
  <c r="AZ35" i="69"/>
  <c r="BA35" i="69"/>
  <c r="BB35" i="69"/>
  <c r="BC35" i="69"/>
  <c r="BD35" i="69"/>
  <c r="AY36" i="69"/>
  <c r="AO35" i="69"/>
  <c r="AP35" i="69"/>
  <c r="AQ35" i="69"/>
  <c r="AR35" i="69"/>
  <c r="AZ36" i="69"/>
  <c r="BA36" i="69"/>
  <c r="BB36" i="69"/>
  <c r="BC36" i="69"/>
  <c r="BD36" i="69"/>
  <c r="AY37" i="69"/>
  <c r="AO36" i="69"/>
  <c r="AP36" i="69"/>
  <c r="AQ36" i="69"/>
  <c r="AR36" i="69"/>
  <c r="AZ37" i="69"/>
  <c r="BA37" i="69"/>
  <c r="BB37" i="69"/>
  <c r="BC37" i="69"/>
  <c r="BD37" i="69"/>
  <c r="AY38" i="69"/>
  <c r="AO37" i="69"/>
  <c r="AP37" i="69"/>
  <c r="AQ37" i="69"/>
  <c r="AR37" i="69"/>
  <c r="AZ38" i="69"/>
  <c r="BA38" i="69"/>
  <c r="BB38" i="69"/>
  <c r="BC38" i="69"/>
  <c r="BD38" i="69"/>
  <c r="AY39" i="69"/>
  <c r="AO38" i="69"/>
  <c r="AP38" i="69"/>
  <c r="AQ38" i="69"/>
  <c r="AR38" i="69"/>
  <c r="AZ39" i="69"/>
  <c r="BA39" i="69"/>
  <c r="BB39" i="69"/>
  <c r="BC39" i="69"/>
  <c r="BD39" i="69"/>
  <c r="AY40" i="69"/>
  <c r="AO39" i="69"/>
  <c r="AP39" i="69"/>
  <c r="AQ39" i="69"/>
  <c r="AR39" i="69"/>
  <c r="AZ40" i="69"/>
  <c r="BA40" i="69"/>
  <c r="BB40" i="69"/>
  <c r="BC40" i="69"/>
  <c r="BD40" i="69"/>
  <c r="AY41" i="69"/>
  <c r="AO40" i="69"/>
  <c r="AP40" i="69"/>
  <c r="AQ40" i="69"/>
  <c r="AR40" i="69"/>
  <c r="AZ41" i="69"/>
  <c r="BA41" i="69"/>
  <c r="BB41" i="69"/>
  <c r="BC41" i="69"/>
  <c r="BD41" i="69"/>
  <c r="AY42" i="69"/>
  <c r="AO41" i="69"/>
  <c r="AP41" i="69"/>
  <c r="AQ41" i="69"/>
  <c r="AR41" i="69"/>
  <c r="AZ42" i="69"/>
  <c r="BA42" i="69"/>
  <c r="BB42" i="69"/>
  <c r="BC42" i="69"/>
  <c r="BD42" i="69"/>
  <c r="AY43" i="69"/>
  <c r="AO42" i="69"/>
  <c r="AP42" i="69"/>
  <c r="AQ42" i="69"/>
  <c r="AR42" i="69"/>
  <c r="AZ43" i="69"/>
  <c r="BA43" i="69"/>
  <c r="BB43" i="69"/>
  <c r="BC43" i="69"/>
  <c r="BD43" i="69"/>
  <c r="AY44" i="69"/>
  <c r="AO43" i="69"/>
  <c r="AP43" i="69"/>
  <c r="AQ43" i="69"/>
  <c r="AR43" i="69"/>
  <c r="AZ44" i="69"/>
  <c r="BA44" i="69"/>
  <c r="BB44" i="69"/>
  <c r="BC44" i="69"/>
  <c r="BD44" i="69"/>
  <c r="AY45" i="69"/>
  <c r="AO44" i="69"/>
  <c r="AP44" i="69"/>
  <c r="AQ44" i="69"/>
  <c r="AR44" i="69"/>
  <c r="AZ45" i="69"/>
  <c r="BA45" i="69"/>
  <c r="BB45" i="69"/>
  <c r="BC45" i="69"/>
  <c r="BD45" i="69"/>
  <c r="AY46" i="69"/>
  <c r="AO45" i="69"/>
  <c r="AP45" i="69"/>
  <c r="AQ45" i="69"/>
  <c r="AR45" i="69"/>
  <c r="AZ46" i="69"/>
  <c r="BA46" i="69"/>
  <c r="BB46" i="69"/>
  <c r="BC46" i="69"/>
  <c r="BD46" i="69"/>
  <c r="AY47" i="69"/>
  <c r="AO46" i="69"/>
  <c r="AP46" i="69"/>
  <c r="AQ46" i="69"/>
  <c r="AR46" i="69"/>
  <c r="AZ47" i="69"/>
  <c r="BA47" i="69"/>
  <c r="BB47" i="69"/>
  <c r="BC47" i="69"/>
  <c r="BD47" i="69"/>
  <c r="AY48" i="69"/>
  <c r="AO47" i="69"/>
  <c r="AP47" i="69"/>
  <c r="AQ47" i="69"/>
  <c r="AR47" i="69"/>
  <c r="AZ48" i="69"/>
  <c r="BA48" i="69"/>
  <c r="BB48" i="69"/>
  <c r="BC48" i="69"/>
  <c r="BD48" i="69"/>
  <c r="AY49" i="69"/>
  <c r="AO48" i="69"/>
  <c r="AP48" i="69"/>
  <c r="AQ48" i="69"/>
  <c r="AR48" i="69"/>
  <c r="AZ49" i="69"/>
  <c r="BA49" i="69"/>
  <c r="BB49" i="69"/>
  <c r="BC49" i="69"/>
  <c r="BD49" i="69"/>
  <c r="AY50" i="69"/>
  <c r="AO49" i="69"/>
  <c r="AP49" i="69"/>
  <c r="AQ49" i="69"/>
  <c r="AR49" i="69"/>
  <c r="AZ50" i="69"/>
  <c r="BA50" i="69"/>
  <c r="BB50" i="69"/>
  <c r="BC50" i="69"/>
  <c r="BD50" i="69"/>
  <c r="AY51" i="69"/>
  <c r="AO50" i="69"/>
  <c r="AP50" i="69"/>
  <c r="AQ50" i="69"/>
  <c r="AR50" i="69"/>
  <c r="AZ51" i="69"/>
  <c r="BA51" i="69"/>
  <c r="BB51" i="69"/>
  <c r="BC51" i="69"/>
  <c r="BD51" i="69"/>
  <c r="AY52" i="69"/>
  <c r="AO51" i="69"/>
  <c r="AP51" i="69"/>
  <c r="AQ51" i="69"/>
  <c r="AR51" i="69"/>
  <c r="AZ52" i="69"/>
  <c r="BA52" i="69"/>
  <c r="BB52" i="69"/>
  <c r="BC52" i="69"/>
  <c r="BD52" i="69"/>
  <c r="AY53" i="69"/>
  <c r="AO52" i="69"/>
  <c r="AP52" i="69"/>
  <c r="AQ52" i="69"/>
  <c r="AR52" i="69"/>
  <c r="AZ53" i="69"/>
  <c r="BA53" i="69"/>
  <c r="BB53" i="69"/>
  <c r="BC53" i="69"/>
  <c r="BD53" i="69"/>
  <c r="AY54" i="69"/>
  <c r="AO53" i="69"/>
  <c r="AP53" i="69"/>
  <c r="AQ53" i="69"/>
  <c r="AR53" i="69"/>
  <c r="AZ54" i="69"/>
  <c r="BA54" i="69"/>
  <c r="BB54" i="69"/>
  <c r="BC54" i="69"/>
  <c r="BD54" i="69"/>
  <c r="AY55" i="69"/>
  <c r="AO54" i="69"/>
  <c r="AP54" i="69"/>
  <c r="AQ54" i="69"/>
  <c r="AR54" i="69"/>
  <c r="AZ55" i="69"/>
  <c r="BA55" i="69"/>
  <c r="BB55" i="69"/>
  <c r="BC55" i="69"/>
  <c r="BD55" i="69"/>
  <c r="AY56" i="69"/>
  <c r="AO55" i="69"/>
  <c r="AP55" i="69"/>
  <c r="AQ55" i="69"/>
  <c r="AR55" i="69"/>
  <c r="AZ56" i="69"/>
  <c r="BA56" i="69"/>
  <c r="BB56" i="69"/>
  <c r="BC56" i="69"/>
  <c r="BD56" i="69"/>
  <c r="AY57" i="69"/>
  <c r="AO56" i="69"/>
  <c r="AP56" i="69"/>
  <c r="AQ56" i="69"/>
  <c r="AR56" i="69"/>
  <c r="AZ57" i="69"/>
  <c r="BA57" i="69"/>
  <c r="BB57" i="69"/>
  <c r="BC57" i="69"/>
  <c r="BD57" i="69"/>
  <c r="AY58" i="69"/>
  <c r="AO57" i="69"/>
  <c r="AP57" i="69"/>
  <c r="AQ57" i="69"/>
  <c r="AR57" i="69"/>
  <c r="AZ58" i="69"/>
  <c r="BA58" i="69"/>
  <c r="BB58" i="69"/>
  <c r="BC58" i="69"/>
  <c r="BD58" i="69"/>
  <c r="AY59" i="69"/>
  <c r="AO58" i="69"/>
  <c r="AP58" i="69"/>
  <c r="AQ58" i="69"/>
  <c r="AR58" i="69"/>
  <c r="AZ59" i="69"/>
  <c r="BA59" i="69"/>
  <c r="BB59" i="69"/>
  <c r="BC59" i="69"/>
  <c r="BD59" i="69"/>
  <c r="AY60" i="69"/>
  <c r="AO59" i="69"/>
  <c r="AP59" i="69"/>
  <c r="AQ59" i="69"/>
  <c r="AR59" i="69"/>
  <c r="AZ60" i="69"/>
  <c r="BA60" i="69"/>
  <c r="BB60" i="69"/>
  <c r="BC60" i="69"/>
  <c r="BD60" i="69"/>
  <c r="AY61" i="69"/>
  <c r="AO60" i="69"/>
  <c r="AP60" i="69"/>
  <c r="AQ60" i="69"/>
  <c r="AR60" i="69"/>
  <c r="AZ61" i="69"/>
  <c r="BA61" i="69"/>
  <c r="BB61" i="69"/>
  <c r="BC61" i="69"/>
  <c r="BD61" i="69"/>
  <c r="AY62" i="69"/>
  <c r="AO61" i="69"/>
  <c r="AP61" i="69"/>
  <c r="AQ61" i="69"/>
  <c r="AR61" i="69"/>
  <c r="AZ62" i="69"/>
  <c r="BA62" i="69"/>
  <c r="BB62" i="69"/>
  <c r="BC62" i="69"/>
  <c r="BD62" i="69"/>
  <c r="AY63" i="69"/>
  <c r="AO62" i="69"/>
  <c r="AP62" i="69"/>
  <c r="AQ62" i="69"/>
  <c r="AR62" i="69"/>
  <c r="AZ63" i="69"/>
  <c r="BA63" i="69"/>
  <c r="BB63" i="69"/>
  <c r="BC63" i="69"/>
  <c r="BD63" i="69"/>
  <c r="AY64" i="69"/>
  <c r="AO63" i="69"/>
  <c r="AP63" i="69"/>
  <c r="AQ63" i="69"/>
  <c r="AR63" i="69"/>
  <c r="AZ64" i="69"/>
  <c r="BA64" i="69"/>
  <c r="BB64" i="69"/>
  <c r="BC64" i="69"/>
  <c r="BD64" i="69"/>
  <c r="AY65" i="69"/>
  <c r="AO64" i="69"/>
  <c r="AP64" i="69"/>
  <c r="AQ64" i="69"/>
  <c r="AR64" i="69"/>
  <c r="AZ65" i="69"/>
  <c r="BA65" i="69"/>
  <c r="BB65" i="69"/>
  <c r="BC65" i="69"/>
  <c r="BD65" i="69"/>
  <c r="AY66" i="69"/>
  <c r="AO65" i="69"/>
  <c r="AP65" i="69"/>
  <c r="AQ65" i="69"/>
  <c r="AR65" i="69"/>
  <c r="AZ66" i="69"/>
  <c r="BA66" i="69"/>
  <c r="BB66" i="69"/>
  <c r="BC66" i="69"/>
  <c r="BD66" i="69"/>
  <c r="AY67" i="69"/>
  <c r="AO66" i="69"/>
  <c r="AP66" i="69"/>
  <c r="AQ66" i="69"/>
  <c r="AR66" i="69"/>
  <c r="AZ67" i="69"/>
  <c r="BA67" i="69"/>
  <c r="BB67" i="69"/>
  <c r="BC67" i="69"/>
  <c r="BD67" i="69"/>
  <c r="AY68" i="69"/>
  <c r="AO67" i="69"/>
  <c r="AP67" i="69"/>
  <c r="AQ67" i="69"/>
  <c r="AR67" i="69"/>
  <c r="AZ68" i="69"/>
  <c r="BA68" i="69"/>
  <c r="BB68" i="69"/>
  <c r="BC68" i="69"/>
  <c r="BD68" i="69"/>
  <c r="AY69" i="69"/>
  <c r="AO68" i="69"/>
  <c r="AP68" i="69"/>
  <c r="AQ68" i="69"/>
  <c r="AR68" i="69"/>
  <c r="AZ69" i="69"/>
  <c r="BA69" i="69"/>
  <c r="BB69" i="69"/>
  <c r="BC69" i="69"/>
  <c r="BD69" i="69"/>
  <c r="AY70" i="69"/>
  <c r="AO69" i="69"/>
  <c r="AP69" i="69"/>
  <c r="AQ69" i="69"/>
  <c r="AR69" i="69"/>
  <c r="AZ70" i="69"/>
  <c r="BA70" i="69"/>
  <c r="BB70" i="69"/>
  <c r="BC70" i="69"/>
  <c r="BD70" i="69"/>
  <c r="AY71" i="69"/>
  <c r="AO70" i="69"/>
  <c r="AP70" i="69"/>
  <c r="AQ70" i="69"/>
  <c r="AR70" i="69"/>
  <c r="AZ71" i="69"/>
  <c r="BA71" i="69"/>
  <c r="BB71" i="69"/>
  <c r="BC71" i="69"/>
  <c r="BD71" i="69"/>
  <c r="AY72" i="69"/>
  <c r="AO71" i="69"/>
  <c r="AP71" i="69"/>
  <c r="AQ71" i="69"/>
  <c r="AR71" i="69"/>
  <c r="AZ72" i="69"/>
  <c r="BA72" i="69"/>
  <c r="BB72" i="69"/>
  <c r="BC72" i="69"/>
  <c r="BD72" i="69"/>
  <c r="AY73" i="69"/>
  <c r="AO72" i="69"/>
  <c r="AP72" i="69"/>
  <c r="AQ72" i="69"/>
  <c r="AR72" i="69"/>
  <c r="AZ73" i="69"/>
  <c r="BA73" i="69"/>
  <c r="BB73" i="69"/>
  <c r="BC73" i="69"/>
  <c r="BD73" i="69"/>
  <c r="AY74" i="69"/>
  <c r="AO73" i="69"/>
  <c r="AP73" i="69"/>
  <c r="AQ73" i="69"/>
  <c r="AR73" i="69"/>
  <c r="AZ74" i="69"/>
  <c r="BA74" i="69"/>
  <c r="BB74" i="69"/>
  <c r="BC74" i="69"/>
  <c r="BD74" i="69"/>
  <c r="AY75" i="69"/>
  <c r="AO74" i="69"/>
  <c r="AP74" i="69"/>
  <c r="AQ74" i="69"/>
  <c r="AR74" i="69"/>
  <c r="AZ75" i="69"/>
  <c r="BA75" i="69"/>
  <c r="BB75" i="69"/>
  <c r="BC75" i="69"/>
  <c r="BD75" i="69"/>
  <c r="AY76" i="69"/>
  <c r="AO75" i="69"/>
  <c r="AP75" i="69"/>
  <c r="AQ75" i="69"/>
  <c r="AR75" i="69"/>
  <c r="AZ76" i="69"/>
  <c r="BA76" i="69"/>
  <c r="BB76" i="69"/>
  <c r="BC76" i="69"/>
  <c r="BD76" i="69"/>
  <c r="AY77" i="69"/>
  <c r="AO76" i="69"/>
  <c r="AP76" i="69"/>
  <c r="AQ76" i="69"/>
  <c r="AR76" i="69"/>
  <c r="AZ77" i="69"/>
  <c r="BA77" i="69"/>
  <c r="BB77" i="69"/>
  <c r="BC77" i="69"/>
  <c r="BD77" i="69"/>
  <c r="AY78" i="69"/>
  <c r="AO77" i="69"/>
  <c r="AP77" i="69"/>
  <c r="AQ77" i="69"/>
  <c r="AR77" i="69"/>
  <c r="AZ78" i="69"/>
  <c r="BA78" i="69"/>
  <c r="BB78" i="69"/>
  <c r="BC78" i="69"/>
  <c r="BD78" i="69"/>
  <c r="AY79" i="69"/>
  <c r="AO78" i="69"/>
  <c r="AP78" i="69"/>
  <c r="AQ78" i="69"/>
  <c r="AR78" i="69"/>
  <c r="AZ79" i="69"/>
  <c r="BA79" i="69"/>
  <c r="BB79" i="69"/>
  <c r="BC79" i="69"/>
  <c r="BD79" i="69"/>
  <c r="AY80" i="69"/>
  <c r="AO79" i="69"/>
  <c r="AP79" i="69"/>
  <c r="AQ79" i="69"/>
  <c r="AR79" i="69"/>
  <c r="AZ80" i="69"/>
  <c r="BA80" i="69"/>
  <c r="BB80" i="69"/>
  <c r="BC80" i="69"/>
  <c r="BD80" i="69"/>
  <c r="AY81" i="69"/>
  <c r="AO80" i="69"/>
  <c r="AP80" i="69"/>
  <c r="AQ80" i="69"/>
  <c r="AR80" i="69"/>
  <c r="AZ81" i="69"/>
  <c r="BA81" i="69"/>
  <c r="BB81" i="69"/>
  <c r="BC81" i="69"/>
  <c r="BD81" i="69"/>
  <c r="AY82" i="69"/>
  <c r="AO81" i="69"/>
  <c r="AP81" i="69"/>
  <c r="AQ81" i="69"/>
  <c r="AR81" i="69"/>
  <c r="AZ82" i="69"/>
  <c r="BA82" i="69"/>
  <c r="BB82" i="69"/>
  <c r="BC82" i="69"/>
  <c r="BD82" i="69"/>
  <c r="AY83" i="69"/>
  <c r="AO82" i="69"/>
  <c r="AP82" i="69"/>
  <c r="AQ82" i="69"/>
  <c r="AR82" i="69"/>
  <c r="AZ83" i="69"/>
  <c r="BA83" i="69"/>
  <c r="BB83" i="69"/>
  <c r="BC83" i="69"/>
  <c r="BD83" i="69"/>
  <c r="AY84" i="69"/>
  <c r="AO83" i="69"/>
  <c r="AP83" i="69"/>
  <c r="AQ83" i="69"/>
  <c r="AR83" i="69"/>
  <c r="AZ84" i="69"/>
  <c r="BA84" i="69"/>
  <c r="BB84" i="69"/>
  <c r="BC84" i="69"/>
  <c r="BD84" i="69"/>
  <c r="AY85" i="69"/>
  <c r="AO84" i="69"/>
  <c r="AP84" i="69"/>
  <c r="AQ84" i="69"/>
  <c r="AR84" i="69"/>
  <c r="AZ85" i="69"/>
  <c r="BA85" i="69"/>
  <c r="BB85" i="69"/>
  <c r="BC85" i="69"/>
  <c r="BD85" i="69"/>
  <c r="AY86" i="69"/>
  <c r="AO85" i="69"/>
  <c r="AP85" i="69"/>
  <c r="AQ85" i="69"/>
  <c r="AR85" i="69"/>
  <c r="AZ86" i="69"/>
  <c r="BA86" i="69"/>
  <c r="BB86" i="69"/>
  <c r="BC86" i="69"/>
  <c r="BD86" i="69"/>
  <c r="AY87" i="69"/>
  <c r="AO86" i="69"/>
  <c r="AP86" i="69"/>
  <c r="AQ86" i="69"/>
  <c r="AR86" i="69"/>
  <c r="AZ87" i="69"/>
  <c r="BA87" i="69"/>
  <c r="BB87" i="69"/>
  <c r="BC87" i="69"/>
  <c r="BD87" i="69"/>
  <c r="AY88" i="69"/>
  <c r="AO87" i="69"/>
  <c r="AP87" i="69"/>
  <c r="AQ87" i="69"/>
  <c r="AR87" i="69"/>
  <c r="AZ88" i="69"/>
  <c r="BA88" i="69"/>
  <c r="BB88" i="69"/>
  <c r="BC88" i="69"/>
  <c r="BD88" i="69"/>
  <c r="AY89" i="69"/>
  <c r="AO88" i="69"/>
  <c r="AP88" i="69"/>
  <c r="AQ88" i="69"/>
  <c r="AR88" i="69"/>
  <c r="AZ89" i="69"/>
  <c r="BA89" i="69"/>
  <c r="BB89" i="69"/>
  <c r="BC89" i="69"/>
  <c r="BD89" i="69"/>
  <c r="AY90" i="69"/>
  <c r="AO89" i="69"/>
  <c r="AP89" i="69"/>
  <c r="AQ89" i="69"/>
  <c r="AR89" i="69"/>
  <c r="AZ90" i="69"/>
  <c r="BA90" i="69"/>
  <c r="BB90" i="69"/>
  <c r="BC90" i="69"/>
  <c r="BD90" i="69"/>
  <c r="AY91" i="69"/>
  <c r="AO90" i="69"/>
  <c r="AP90" i="69"/>
  <c r="AQ90" i="69"/>
  <c r="AR90" i="69"/>
  <c r="AZ91" i="69"/>
  <c r="BA91" i="69"/>
  <c r="BB91" i="69"/>
  <c r="BC91" i="69"/>
  <c r="BD91" i="69"/>
  <c r="AY92" i="69"/>
  <c r="AO91" i="69"/>
  <c r="AP91" i="69"/>
  <c r="AQ91" i="69"/>
  <c r="AR91" i="69"/>
  <c r="AZ92" i="69"/>
  <c r="BA92" i="69"/>
  <c r="BB92" i="69"/>
  <c r="BC92" i="69"/>
  <c r="BD92" i="69"/>
  <c r="AY93" i="69"/>
  <c r="AO92" i="69"/>
  <c r="AP92" i="69"/>
  <c r="AQ92" i="69"/>
  <c r="AR92" i="69"/>
  <c r="AZ93" i="69"/>
  <c r="BA93" i="69"/>
  <c r="BB93" i="69"/>
  <c r="BC93" i="69"/>
  <c r="BD93" i="69"/>
  <c r="AY94" i="69"/>
  <c r="AO93" i="69"/>
  <c r="AP93" i="69"/>
  <c r="AQ93" i="69"/>
  <c r="AR93" i="69"/>
  <c r="AZ94" i="69"/>
  <c r="BA94" i="69"/>
  <c r="BB94" i="69"/>
  <c r="BC94" i="69"/>
  <c r="BD94" i="69"/>
  <c r="AY95" i="69"/>
  <c r="AO94" i="69"/>
  <c r="AP94" i="69"/>
  <c r="AQ94" i="69"/>
  <c r="AR94" i="69"/>
  <c r="AZ95" i="69"/>
  <c r="BA95" i="69"/>
  <c r="BB95" i="69"/>
  <c r="BC95" i="69"/>
  <c r="BD95" i="69"/>
  <c r="AY96" i="69"/>
  <c r="AO95" i="69"/>
  <c r="AP95" i="69"/>
  <c r="AQ95" i="69"/>
  <c r="AR95" i="69"/>
  <c r="AZ96" i="69"/>
  <c r="BA96" i="69"/>
  <c r="BB96" i="69"/>
  <c r="BC96" i="69"/>
  <c r="BD96" i="69"/>
  <c r="AY97" i="69"/>
  <c r="AO96" i="69"/>
  <c r="AP96" i="69"/>
  <c r="AQ96" i="69"/>
  <c r="AR96" i="69"/>
  <c r="AZ97" i="69"/>
  <c r="BA97" i="69"/>
  <c r="BB97" i="69"/>
  <c r="BC97" i="69"/>
  <c r="BD97" i="69"/>
  <c r="AY98" i="69"/>
  <c r="AO97" i="69"/>
  <c r="AP97" i="69"/>
  <c r="AQ97" i="69"/>
  <c r="AR97" i="69"/>
  <c r="AZ98" i="69"/>
  <c r="BA98" i="69"/>
  <c r="BB98" i="69"/>
  <c r="BC98" i="69"/>
  <c r="BD98" i="69"/>
  <c r="AY99" i="69"/>
  <c r="AO98" i="69"/>
  <c r="AP98" i="69"/>
  <c r="AQ98" i="69"/>
  <c r="AR98" i="69"/>
  <c r="AZ99" i="69"/>
  <c r="BA99" i="69"/>
  <c r="BB99" i="69"/>
  <c r="BC99" i="69"/>
  <c r="BD99" i="69"/>
  <c r="AY100" i="69"/>
  <c r="AO99" i="69"/>
  <c r="AP99" i="69"/>
  <c r="AQ99" i="69"/>
  <c r="AR99" i="69"/>
  <c r="AZ100" i="69"/>
  <c r="BA100" i="69"/>
  <c r="BB100" i="69"/>
  <c r="BC100" i="69"/>
  <c r="BD100" i="69"/>
  <c r="AY101" i="69"/>
  <c r="AO100" i="69"/>
  <c r="AP100" i="69"/>
  <c r="AQ100" i="69"/>
  <c r="AR100" i="69"/>
  <c r="AZ101" i="69"/>
  <c r="BA101" i="69"/>
  <c r="BB101" i="69"/>
  <c r="BC101" i="69"/>
  <c r="BD101" i="69"/>
  <c r="AY102" i="69"/>
  <c r="AO101" i="69"/>
  <c r="AP101" i="69"/>
  <c r="AQ101" i="69"/>
  <c r="AR101" i="69"/>
  <c r="AZ102" i="69"/>
  <c r="BA102" i="69"/>
  <c r="BB102" i="69"/>
  <c r="BC102" i="69"/>
  <c r="BD102" i="69"/>
  <c r="AY103" i="69"/>
  <c r="AO102" i="69"/>
  <c r="AP102" i="69"/>
  <c r="AQ102" i="69"/>
  <c r="AR102" i="69"/>
  <c r="AZ103" i="69"/>
  <c r="BA103" i="69"/>
  <c r="BB103" i="69"/>
  <c r="BC103" i="69"/>
  <c r="BD103" i="69"/>
  <c r="AY104" i="69"/>
  <c r="AO103" i="69"/>
  <c r="AP103" i="69"/>
  <c r="AQ103" i="69"/>
  <c r="AR103" i="69"/>
  <c r="AZ104" i="69"/>
  <c r="BA104" i="69"/>
  <c r="BB104" i="69"/>
  <c r="BC104" i="69"/>
  <c r="BD104" i="69"/>
  <c r="AY105" i="69"/>
  <c r="AO104" i="69"/>
  <c r="AP104" i="69"/>
  <c r="AQ104" i="69"/>
  <c r="AR104" i="69"/>
  <c r="AZ105" i="69"/>
  <c r="BA105" i="69"/>
  <c r="BB105" i="69"/>
  <c r="BC105" i="69"/>
  <c r="BD105" i="69"/>
  <c r="AY106" i="69"/>
  <c r="AO105" i="69"/>
  <c r="AP105" i="69"/>
  <c r="AQ105" i="69"/>
  <c r="AR105" i="69"/>
  <c r="AZ106" i="69"/>
  <c r="BA106" i="69"/>
  <c r="BB106" i="69"/>
  <c r="BC106" i="69"/>
  <c r="BD106" i="69"/>
  <c r="AY107" i="69"/>
  <c r="AO106" i="69"/>
  <c r="AP106" i="69"/>
  <c r="AQ106" i="69"/>
  <c r="AR106" i="69"/>
  <c r="AZ107" i="69"/>
  <c r="BA107" i="69"/>
  <c r="BB107" i="69"/>
  <c r="BC107" i="69"/>
  <c r="BD107" i="69"/>
  <c r="AY108" i="69"/>
  <c r="AO107" i="69"/>
  <c r="AP107" i="69"/>
  <c r="AQ107" i="69"/>
  <c r="AR107" i="69"/>
  <c r="AZ108" i="69"/>
  <c r="BA108" i="69"/>
  <c r="BB108" i="69"/>
  <c r="BC108" i="69"/>
  <c r="BD108" i="69"/>
  <c r="AY109" i="69"/>
  <c r="AO108" i="69"/>
  <c r="AP108" i="69"/>
  <c r="AQ108" i="69"/>
  <c r="AR108" i="69"/>
  <c r="AZ109" i="69"/>
  <c r="BA109" i="69"/>
  <c r="BB109" i="69"/>
  <c r="BC109" i="69"/>
  <c r="BD109" i="69"/>
  <c r="AY110" i="69"/>
  <c r="AO109" i="69"/>
  <c r="AP109" i="69"/>
  <c r="AQ109" i="69"/>
  <c r="AR109" i="69"/>
  <c r="AZ110" i="69"/>
  <c r="BA110" i="69"/>
  <c r="BB110" i="69"/>
  <c r="BC110" i="69"/>
  <c r="BD110" i="69"/>
  <c r="AY111" i="69"/>
  <c r="AO110" i="69"/>
  <c r="AP110" i="69"/>
  <c r="AQ110" i="69"/>
  <c r="AR110" i="69"/>
  <c r="AZ111" i="69"/>
  <c r="BA111" i="69"/>
  <c r="BB111" i="69"/>
  <c r="BC111" i="69"/>
  <c r="BD111" i="69"/>
  <c r="AY112" i="69"/>
  <c r="AO111" i="69"/>
  <c r="AP111" i="69"/>
  <c r="AQ111" i="69"/>
  <c r="AR111" i="69"/>
  <c r="AZ112" i="69"/>
  <c r="BA112" i="69"/>
  <c r="BB112" i="69"/>
  <c r="BC112" i="69"/>
  <c r="BD112" i="69"/>
  <c r="AY113" i="69"/>
  <c r="AO112" i="69"/>
  <c r="AP112" i="69"/>
  <c r="AQ112" i="69"/>
  <c r="AR112" i="69"/>
  <c r="AZ113" i="69"/>
  <c r="BA113" i="69"/>
  <c r="BB113" i="69"/>
  <c r="BC113" i="69"/>
  <c r="BD113" i="69"/>
  <c r="AY114" i="69"/>
  <c r="AO113" i="69"/>
  <c r="AP113" i="69"/>
  <c r="AQ113" i="69"/>
  <c r="AR113" i="69"/>
  <c r="AZ114" i="69"/>
  <c r="BA114" i="69"/>
  <c r="BB114" i="69"/>
  <c r="BC114" i="69"/>
  <c r="BD114" i="69"/>
  <c r="AY115" i="69"/>
  <c r="AO114" i="69"/>
  <c r="AP114" i="69"/>
  <c r="AQ114" i="69"/>
  <c r="AR114" i="69"/>
  <c r="AZ115" i="69"/>
  <c r="BA115" i="69"/>
  <c r="BB115" i="69"/>
  <c r="BC115" i="69"/>
  <c r="BD115" i="69"/>
  <c r="AY116" i="69"/>
  <c r="AO115" i="69"/>
  <c r="AP115" i="69"/>
  <c r="AQ115" i="69"/>
  <c r="AR115" i="69"/>
  <c r="AZ116" i="69"/>
  <c r="BA116" i="69"/>
  <c r="BB116" i="69"/>
  <c r="BC116" i="69"/>
  <c r="BD116" i="69"/>
  <c r="AY117" i="69"/>
  <c r="AO116" i="69"/>
  <c r="AP116" i="69"/>
  <c r="AQ116" i="69"/>
  <c r="AR116" i="69"/>
  <c r="AZ117" i="69"/>
  <c r="BA117" i="69"/>
  <c r="BB117" i="69"/>
  <c r="BC117" i="69"/>
  <c r="BD117" i="69"/>
  <c r="AY118" i="69"/>
  <c r="AO117" i="69"/>
  <c r="AP117" i="69"/>
  <c r="AQ117" i="69"/>
  <c r="AR117" i="69"/>
  <c r="AZ118" i="69"/>
  <c r="BA118" i="69"/>
  <c r="BB118" i="69"/>
  <c r="BC118" i="69"/>
  <c r="BD118" i="69"/>
  <c r="AY119" i="69"/>
  <c r="AO118" i="69"/>
  <c r="AP118" i="69"/>
  <c r="AQ118" i="69"/>
  <c r="AR118" i="69"/>
  <c r="AZ119" i="69"/>
  <c r="BA119" i="69"/>
  <c r="BB119" i="69"/>
  <c r="BC119" i="69"/>
  <c r="BD119" i="69"/>
  <c r="AY120" i="69"/>
  <c r="AO119" i="69"/>
  <c r="AP119" i="69"/>
  <c r="AQ119" i="69"/>
  <c r="AR119" i="69"/>
  <c r="AZ120" i="69"/>
  <c r="BA120" i="69"/>
  <c r="BB120" i="69"/>
  <c r="BC120" i="69"/>
  <c r="BD120" i="69"/>
  <c r="AY121" i="69"/>
  <c r="AO120" i="69"/>
  <c r="AP120" i="69"/>
  <c r="AQ120" i="69"/>
  <c r="AR120" i="69"/>
  <c r="AZ121" i="69"/>
  <c r="BA121" i="69"/>
  <c r="BB121" i="69"/>
  <c r="BC121" i="69"/>
  <c r="BD121" i="69"/>
  <c r="AY122" i="69"/>
  <c r="AO121" i="69"/>
  <c r="AP121" i="69"/>
  <c r="AQ121" i="69"/>
  <c r="AR121" i="69"/>
  <c r="AZ122" i="69"/>
  <c r="BA122" i="69"/>
  <c r="BB122" i="69"/>
  <c r="BC122" i="69"/>
  <c r="BD122" i="69"/>
  <c r="AY123" i="69"/>
  <c r="AO122" i="69"/>
  <c r="AP122" i="69"/>
  <c r="AQ122" i="69"/>
  <c r="AR122" i="69"/>
  <c r="AZ123" i="69"/>
  <c r="BA123" i="69"/>
  <c r="BB123" i="69"/>
  <c r="BC123" i="69"/>
  <c r="BD123" i="69"/>
  <c r="AY124" i="69"/>
  <c r="AO123" i="69"/>
  <c r="AP123" i="69"/>
  <c r="AQ123" i="69"/>
  <c r="AR123" i="69"/>
  <c r="AZ124" i="69"/>
  <c r="BA124" i="69"/>
  <c r="BB124" i="69"/>
  <c r="BC124" i="69"/>
  <c r="BD124" i="69"/>
  <c r="AY125" i="69"/>
  <c r="AO124" i="69"/>
  <c r="AP124" i="69"/>
  <c r="AQ124" i="69"/>
  <c r="AR124" i="69"/>
  <c r="AZ125" i="69"/>
  <c r="BA125" i="69"/>
  <c r="BB125" i="69"/>
  <c r="BC125" i="69"/>
  <c r="BD125" i="69"/>
  <c r="AY126" i="69"/>
  <c r="AO125" i="69"/>
  <c r="AP125" i="69"/>
  <c r="AQ125" i="69"/>
  <c r="AR125" i="69"/>
  <c r="AZ126" i="69"/>
  <c r="BA126" i="69"/>
  <c r="BB126" i="69"/>
  <c r="BC126" i="69"/>
  <c r="BD126" i="69"/>
  <c r="AY127" i="69"/>
  <c r="AO126" i="69"/>
  <c r="AP126" i="69"/>
  <c r="AR126" i="69"/>
  <c r="AZ127" i="69"/>
  <c r="BA127" i="69"/>
  <c r="BB127" i="69"/>
  <c r="BC127" i="69"/>
  <c r="BD127" i="69"/>
  <c r="BD129" i="69"/>
  <c r="BE132" i="69"/>
  <c r="BE7" i="69"/>
  <c r="BE8" i="69"/>
  <c r="BE9" i="69"/>
  <c r="BE10" i="69"/>
  <c r="BE11" i="69"/>
  <c r="BE12" i="69"/>
  <c r="BE13" i="69"/>
  <c r="BE14" i="69"/>
  <c r="BE15" i="69"/>
  <c r="BE16" i="69"/>
  <c r="BE17" i="69"/>
  <c r="BE18" i="69"/>
  <c r="BE19" i="69"/>
  <c r="BE20" i="69"/>
  <c r="BE21" i="69"/>
  <c r="BE22" i="69"/>
  <c r="BE23" i="69"/>
  <c r="BE24" i="69"/>
  <c r="BE25" i="69"/>
  <c r="BE26" i="69"/>
  <c r="BE27" i="69"/>
  <c r="BE28" i="69"/>
  <c r="BE29" i="69"/>
  <c r="BE30" i="69"/>
  <c r="BE31" i="69"/>
  <c r="BE32" i="69"/>
  <c r="BE33" i="69"/>
  <c r="BE34" i="69"/>
  <c r="BE35" i="69"/>
  <c r="BE36" i="69"/>
  <c r="BE37" i="69"/>
  <c r="BE38" i="69"/>
  <c r="BE39" i="69"/>
  <c r="BE40" i="69"/>
  <c r="BE41" i="69"/>
  <c r="BE42" i="69"/>
  <c r="BE43" i="69"/>
  <c r="BE44" i="69"/>
  <c r="BE45" i="69"/>
  <c r="BE46" i="69"/>
  <c r="BE47" i="69"/>
  <c r="BE48" i="69"/>
  <c r="BE49" i="69"/>
  <c r="BE50" i="69"/>
  <c r="BE51" i="69"/>
  <c r="BE52" i="69"/>
  <c r="BE53" i="69"/>
  <c r="BE54" i="69"/>
  <c r="BE55" i="69"/>
  <c r="BE56" i="69"/>
  <c r="BE57" i="69"/>
  <c r="BE58" i="69"/>
  <c r="BE59" i="69"/>
  <c r="BE60" i="69"/>
  <c r="BE61" i="69"/>
  <c r="BE62" i="69"/>
  <c r="BE63" i="69"/>
  <c r="BE64" i="69"/>
  <c r="BE65" i="69"/>
  <c r="BE66" i="69"/>
  <c r="BE67" i="69"/>
  <c r="BE68" i="69"/>
  <c r="BE69" i="69"/>
  <c r="BE70" i="69"/>
  <c r="BE71" i="69"/>
  <c r="BE72" i="69"/>
  <c r="BE73" i="69"/>
  <c r="BE74" i="69"/>
  <c r="BE75" i="69"/>
  <c r="BE76" i="69"/>
  <c r="BE77" i="69"/>
  <c r="BE78" i="69"/>
  <c r="BE79" i="69"/>
  <c r="BE80" i="69"/>
  <c r="BE81" i="69"/>
  <c r="BE82" i="69"/>
  <c r="BE83" i="69"/>
  <c r="BE84" i="69"/>
  <c r="BE85" i="69"/>
  <c r="BE86" i="69"/>
  <c r="BE87" i="69"/>
  <c r="BE88" i="69"/>
  <c r="BE89" i="69"/>
  <c r="BE90" i="69"/>
  <c r="BE91" i="69"/>
  <c r="BE92" i="69"/>
  <c r="BE93" i="69"/>
  <c r="BE94" i="69"/>
  <c r="BE95" i="69"/>
  <c r="BE96" i="69"/>
  <c r="BE97" i="69"/>
  <c r="BE98" i="69"/>
  <c r="BE99" i="69"/>
  <c r="BE100" i="69"/>
  <c r="BE101" i="69"/>
  <c r="BE102" i="69"/>
  <c r="BE103" i="69"/>
  <c r="BE104" i="69"/>
  <c r="BE105" i="69"/>
  <c r="BE106" i="69"/>
  <c r="BE107" i="69"/>
  <c r="BE108" i="69"/>
  <c r="BE109" i="69"/>
  <c r="BE110" i="69"/>
  <c r="BE111" i="69"/>
  <c r="BE112" i="69"/>
  <c r="BE113" i="69"/>
  <c r="BE114" i="69"/>
  <c r="BE115" i="69"/>
  <c r="BE116" i="69"/>
  <c r="BE117" i="69"/>
  <c r="BE118" i="69"/>
  <c r="BE119" i="69"/>
  <c r="BE120" i="69"/>
  <c r="BE121" i="69"/>
  <c r="BE122" i="69"/>
  <c r="BE123" i="69"/>
  <c r="BE124" i="69"/>
  <c r="BE125" i="69"/>
  <c r="BE126" i="69"/>
  <c r="BE129" i="69"/>
  <c r="BE131" i="69"/>
  <c r="BB129" i="69"/>
  <c r="BB130" i="69"/>
  <c r="AM7" i="69"/>
  <c r="AM8" i="69"/>
  <c r="AM9" i="69"/>
  <c r="AM10" i="69"/>
  <c r="AM11" i="69"/>
  <c r="AM12" i="69"/>
  <c r="AM13" i="69"/>
  <c r="AM14" i="69"/>
  <c r="AM15" i="69"/>
  <c r="AM16" i="69"/>
  <c r="AM17" i="69"/>
  <c r="AM18" i="69"/>
  <c r="AM19" i="69"/>
  <c r="AM20" i="69"/>
  <c r="AM21" i="69"/>
  <c r="AM22" i="69"/>
  <c r="AM23" i="69"/>
  <c r="AM24" i="69"/>
  <c r="AM25" i="69"/>
  <c r="AM26" i="69"/>
  <c r="AM27" i="69"/>
  <c r="AM28" i="69"/>
  <c r="AM29" i="69"/>
  <c r="AM30" i="69"/>
  <c r="AM31" i="69"/>
  <c r="AM32" i="69"/>
  <c r="AM33" i="69"/>
  <c r="AM34" i="69"/>
  <c r="AM35" i="69"/>
  <c r="AM36" i="69"/>
  <c r="AM37" i="69"/>
  <c r="AM38" i="69"/>
  <c r="AM39" i="69"/>
  <c r="AM40" i="69"/>
  <c r="AM41" i="69"/>
  <c r="AM42" i="69"/>
  <c r="AM43" i="69"/>
  <c r="AM44" i="69"/>
  <c r="AM45" i="69"/>
  <c r="AM46" i="69"/>
  <c r="AM47" i="69"/>
  <c r="AM48" i="69"/>
  <c r="AM49" i="69"/>
  <c r="AM50" i="69"/>
  <c r="AM51" i="69"/>
  <c r="AM52" i="69"/>
  <c r="AM53" i="69"/>
  <c r="AM54" i="69"/>
  <c r="AM55" i="69"/>
  <c r="AM56" i="69"/>
  <c r="AM57" i="69"/>
  <c r="AM58" i="69"/>
  <c r="AM59" i="69"/>
  <c r="AM60" i="69"/>
  <c r="AM61" i="69"/>
  <c r="AM62" i="69"/>
  <c r="AM63" i="69"/>
  <c r="AM64" i="69"/>
  <c r="AM65" i="69"/>
  <c r="AM66" i="69"/>
  <c r="AM67" i="69"/>
  <c r="AM68" i="69"/>
  <c r="AM69" i="69"/>
  <c r="AM70" i="69"/>
  <c r="AM71" i="69"/>
  <c r="AM72" i="69"/>
  <c r="AM73" i="69"/>
  <c r="AM74" i="69"/>
  <c r="AM75" i="69"/>
  <c r="AM76" i="69"/>
  <c r="AM77" i="69"/>
  <c r="AM78" i="69"/>
  <c r="AM79" i="69"/>
  <c r="AM80" i="69"/>
  <c r="AM81" i="69"/>
  <c r="AM82" i="69"/>
  <c r="AM83" i="69"/>
  <c r="AM84" i="69"/>
  <c r="AM85" i="69"/>
  <c r="AM86" i="69"/>
  <c r="AM87" i="69"/>
  <c r="AM88" i="69"/>
  <c r="AM89" i="69"/>
  <c r="AM90" i="69"/>
  <c r="AM91" i="69"/>
  <c r="AM92" i="69"/>
  <c r="AM93" i="69"/>
  <c r="AM94" i="69"/>
  <c r="AM95" i="69"/>
  <c r="AM96" i="69"/>
  <c r="AM97" i="69"/>
  <c r="AM98" i="69"/>
  <c r="AM99" i="69"/>
  <c r="AM100" i="69"/>
  <c r="AM101" i="69"/>
  <c r="AM102" i="69"/>
  <c r="AM103" i="69"/>
  <c r="AM104" i="69"/>
  <c r="AM105" i="69"/>
  <c r="AM106" i="69"/>
  <c r="AM107" i="69"/>
  <c r="AM108" i="69"/>
  <c r="AM109" i="69"/>
  <c r="AM110" i="69"/>
  <c r="AM111" i="69"/>
  <c r="AM112" i="69"/>
  <c r="AM113" i="69"/>
  <c r="AM114" i="69"/>
  <c r="AM115" i="69"/>
  <c r="AM116" i="69"/>
  <c r="AM117" i="69"/>
  <c r="AM118" i="69"/>
  <c r="AM119" i="69"/>
  <c r="AM120" i="69"/>
  <c r="AM121" i="69"/>
  <c r="AM122" i="69"/>
  <c r="AM123" i="69"/>
  <c r="AM124" i="69"/>
  <c r="AM125" i="69"/>
  <c r="AM126" i="69"/>
  <c r="BF7" i="69"/>
  <c r="BF8" i="69"/>
  <c r="BF9" i="69"/>
  <c r="BF10" i="69"/>
  <c r="BF11" i="69"/>
  <c r="BF12" i="69"/>
  <c r="BF13" i="69"/>
  <c r="BF14" i="69"/>
  <c r="BF15" i="69"/>
  <c r="BF16" i="69"/>
  <c r="BF17" i="69"/>
  <c r="BF18" i="69"/>
  <c r="BF19" i="69"/>
  <c r="BF20" i="69"/>
  <c r="BF21" i="69"/>
  <c r="BF22" i="69"/>
  <c r="BF23" i="69"/>
  <c r="BF24" i="69"/>
  <c r="BF25" i="69"/>
  <c r="BF26" i="69"/>
  <c r="BF27" i="69"/>
  <c r="BF28" i="69"/>
  <c r="BF29" i="69"/>
  <c r="BF30" i="69"/>
  <c r="BF31" i="69"/>
  <c r="BF32" i="69"/>
  <c r="BF33" i="69"/>
  <c r="BF34" i="69"/>
  <c r="BF35" i="69"/>
  <c r="BF36" i="69"/>
  <c r="BF37" i="69"/>
  <c r="BF38" i="69"/>
  <c r="BF39" i="69"/>
  <c r="BF40" i="69"/>
  <c r="BF41" i="69"/>
  <c r="BF42" i="69"/>
  <c r="BF43" i="69"/>
  <c r="BF44" i="69"/>
  <c r="BF45" i="69"/>
  <c r="BF46" i="69"/>
  <c r="BF47" i="69"/>
  <c r="BF48" i="69"/>
  <c r="BF49" i="69"/>
  <c r="BF50" i="69"/>
  <c r="BF51" i="69"/>
  <c r="BF52" i="69"/>
  <c r="BF53" i="69"/>
  <c r="BF54" i="69"/>
  <c r="BF55" i="69"/>
  <c r="BF56" i="69"/>
  <c r="BF57" i="69"/>
  <c r="BF58" i="69"/>
  <c r="BF59" i="69"/>
  <c r="BF60" i="69"/>
  <c r="BF61" i="69"/>
  <c r="BF62" i="69"/>
  <c r="BF63" i="69"/>
  <c r="BF64" i="69"/>
  <c r="BF65" i="69"/>
  <c r="BF66" i="69"/>
  <c r="BF67" i="69"/>
  <c r="BF68" i="69"/>
  <c r="BF69" i="69"/>
  <c r="BF70" i="69"/>
  <c r="BF71" i="69"/>
  <c r="BF72" i="69"/>
  <c r="AE9" i="69"/>
  <c r="AE10" i="69"/>
  <c r="AE11" i="69"/>
  <c r="AE12" i="69"/>
  <c r="AE13" i="69"/>
  <c r="AE14" i="69"/>
  <c r="AE15" i="69"/>
  <c r="AE16" i="69"/>
  <c r="AE17" i="69"/>
  <c r="AE18" i="69"/>
  <c r="AE19" i="69"/>
  <c r="AE20" i="69"/>
  <c r="AE21" i="69"/>
  <c r="AE22" i="69"/>
  <c r="AE23" i="69"/>
  <c r="AE24" i="69"/>
  <c r="AE25" i="69"/>
  <c r="AE26" i="69"/>
  <c r="AE27" i="69"/>
  <c r="AE28" i="69"/>
  <c r="AE29" i="69"/>
  <c r="AE30" i="69"/>
  <c r="AE31" i="69"/>
  <c r="AE32" i="69"/>
  <c r="AE33" i="69"/>
  <c r="AE34" i="69"/>
  <c r="AE35" i="69"/>
  <c r="AE36" i="69"/>
  <c r="AE37" i="69"/>
  <c r="AE38" i="69"/>
  <c r="AE39" i="69"/>
  <c r="AE40" i="69"/>
  <c r="AE41" i="69"/>
  <c r="AE42" i="69"/>
  <c r="AE43" i="69"/>
  <c r="AE44" i="69"/>
  <c r="AE45" i="69"/>
  <c r="AE46" i="69"/>
  <c r="AE47" i="69"/>
  <c r="AE48" i="69"/>
  <c r="AE49" i="69"/>
  <c r="AE50" i="69"/>
  <c r="AE51" i="69"/>
  <c r="AE52" i="69"/>
  <c r="AE53" i="69"/>
  <c r="AE54" i="69"/>
  <c r="AE55" i="69"/>
  <c r="AE56" i="69"/>
  <c r="AE57" i="69"/>
  <c r="AE58" i="69"/>
  <c r="AE59" i="69"/>
  <c r="AE60" i="69"/>
  <c r="AE61" i="69"/>
  <c r="AE62" i="69"/>
  <c r="AE63" i="69"/>
  <c r="AE64" i="69"/>
  <c r="AE65" i="69"/>
  <c r="AE66" i="69"/>
  <c r="AE67" i="69"/>
  <c r="AE68" i="69"/>
  <c r="AE69" i="69"/>
  <c r="AE70" i="69"/>
  <c r="AE71" i="69"/>
  <c r="AE72" i="69"/>
  <c r="AE73" i="69"/>
  <c r="AE74" i="69"/>
  <c r="AE75" i="69"/>
  <c r="AE76" i="69"/>
  <c r="AE77" i="69"/>
  <c r="AE78" i="69"/>
  <c r="AE79" i="69"/>
  <c r="AE80" i="69"/>
  <c r="AE81" i="69"/>
  <c r="AE82" i="69"/>
  <c r="AE83" i="69"/>
  <c r="AE84" i="69"/>
  <c r="AE85" i="69"/>
  <c r="AE86" i="69"/>
  <c r="AE87" i="69"/>
  <c r="AE88" i="69"/>
  <c r="AE89" i="69"/>
  <c r="AE90" i="69"/>
  <c r="AE91" i="69"/>
  <c r="AE92" i="69"/>
  <c r="AE93" i="69"/>
  <c r="AE94" i="69"/>
  <c r="AE95" i="69"/>
  <c r="AE96" i="69"/>
  <c r="AE97" i="69"/>
  <c r="AE98" i="69"/>
  <c r="AE99" i="69"/>
  <c r="AE100" i="69"/>
  <c r="AE101" i="69"/>
  <c r="AE102" i="69"/>
  <c r="AE103" i="69"/>
  <c r="AE104" i="69"/>
  <c r="AE105" i="69"/>
  <c r="AE106" i="69"/>
  <c r="AE107" i="69"/>
  <c r="AE108" i="69"/>
  <c r="AE109" i="69"/>
  <c r="AE110" i="69"/>
  <c r="AE111" i="69"/>
  <c r="AE112" i="69"/>
  <c r="AE113" i="69"/>
  <c r="AE114" i="69"/>
  <c r="AE115" i="69"/>
  <c r="AE116" i="69"/>
  <c r="AE117" i="69"/>
  <c r="AE118" i="69"/>
  <c r="AE119" i="69"/>
  <c r="AE120" i="69"/>
  <c r="AE121" i="69"/>
  <c r="AE122" i="69"/>
  <c r="AE123" i="69"/>
  <c r="AE124" i="69"/>
  <c r="AE125" i="69"/>
  <c r="AE126" i="69"/>
  <c r="AE127" i="69"/>
  <c r="AE8" i="69"/>
  <c r="S7" i="69"/>
  <c r="S8" i="69"/>
  <c r="S9" i="69"/>
  <c r="S10" i="69"/>
  <c r="S11" i="69"/>
  <c r="S12" i="69"/>
  <c r="S13" i="69"/>
  <c r="S14" i="69"/>
  <c r="S15" i="69"/>
  <c r="S16" i="69"/>
  <c r="S17" i="69"/>
  <c r="S18" i="69"/>
  <c r="S19" i="69"/>
  <c r="S20" i="69"/>
  <c r="S21" i="69"/>
  <c r="S22" i="69"/>
  <c r="S23" i="69"/>
  <c r="S24" i="69"/>
  <c r="S25" i="69"/>
  <c r="S26" i="69"/>
  <c r="S27" i="69"/>
  <c r="S28" i="69"/>
  <c r="S29" i="69"/>
  <c r="S30" i="69"/>
  <c r="S31" i="69"/>
  <c r="S32" i="69"/>
  <c r="S33" i="69"/>
  <c r="S34" i="69"/>
  <c r="S35" i="69"/>
  <c r="S36" i="69"/>
  <c r="S37" i="69"/>
  <c r="S38" i="69"/>
  <c r="S39" i="69"/>
  <c r="S40" i="69"/>
  <c r="S41" i="69"/>
  <c r="S42" i="69"/>
  <c r="S43" i="69"/>
  <c r="S44" i="69"/>
  <c r="S45" i="69"/>
  <c r="S46" i="69"/>
  <c r="S47" i="69"/>
  <c r="S48" i="69"/>
  <c r="S49" i="69"/>
  <c r="S50" i="69"/>
  <c r="S51" i="69"/>
  <c r="S52" i="69"/>
  <c r="S53" i="69"/>
  <c r="S54" i="69"/>
  <c r="S55" i="69"/>
  <c r="S56" i="69"/>
  <c r="S57" i="69"/>
  <c r="S58" i="69"/>
  <c r="S59" i="69"/>
  <c r="S60" i="69"/>
  <c r="S61" i="69"/>
  <c r="S62" i="69"/>
  <c r="S63" i="69"/>
  <c r="S64" i="69"/>
  <c r="S65" i="69"/>
  <c r="S66" i="69"/>
  <c r="S67" i="69"/>
  <c r="S68" i="69"/>
  <c r="S69" i="69"/>
  <c r="S70" i="69"/>
  <c r="S71" i="69"/>
  <c r="S72" i="69"/>
  <c r="S73" i="69"/>
  <c r="S74" i="69"/>
  <c r="S75" i="69"/>
  <c r="S76" i="69"/>
  <c r="S77" i="69"/>
  <c r="S78" i="69"/>
  <c r="S79" i="69"/>
  <c r="S80" i="69"/>
  <c r="S81" i="69"/>
  <c r="S82" i="69"/>
  <c r="S83" i="69"/>
  <c r="S84" i="69"/>
  <c r="S85" i="69"/>
  <c r="S86" i="69"/>
  <c r="S87" i="69"/>
  <c r="S88" i="69"/>
  <c r="S89" i="69"/>
  <c r="S90" i="69"/>
  <c r="S91" i="69"/>
  <c r="S92" i="69"/>
  <c r="S93" i="69"/>
  <c r="S94" i="69"/>
  <c r="S95" i="69"/>
  <c r="S96" i="69"/>
  <c r="S97" i="69"/>
  <c r="S98" i="69"/>
  <c r="S99" i="69"/>
  <c r="S100" i="69"/>
  <c r="S101" i="69"/>
  <c r="S102" i="69"/>
  <c r="S103" i="69"/>
  <c r="S104" i="69"/>
  <c r="S105" i="69"/>
  <c r="S106" i="69"/>
  <c r="S107" i="69"/>
  <c r="S108" i="69"/>
  <c r="S109" i="69"/>
  <c r="S110" i="69"/>
  <c r="S111" i="69"/>
  <c r="S112" i="69"/>
  <c r="S113" i="69"/>
  <c r="S114" i="69"/>
  <c r="S115" i="69"/>
  <c r="S116" i="69"/>
  <c r="S117" i="69"/>
  <c r="S118" i="69"/>
  <c r="S119" i="69"/>
  <c r="S120" i="69"/>
  <c r="S121" i="69"/>
  <c r="S122" i="69"/>
  <c r="S123" i="69"/>
  <c r="S124" i="69"/>
  <c r="S125" i="69"/>
  <c r="S6" i="69"/>
  <c r="S126" i="69"/>
  <c r="T7" i="69"/>
  <c r="T8" i="69"/>
  <c r="T9" i="69"/>
  <c r="T10" i="69"/>
  <c r="T11" i="69"/>
  <c r="T12" i="69"/>
  <c r="T13" i="69"/>
  <c r="T14" i="69"/>
  <c r="T15" i="69"/>
  <c r="T16" i="69"/>
  <c r="T17" i="69"/>
  <c r="T18" i="69"/>
  <c r="T19" i="69"/>
  <c r="T20" i="69"/>
  <c r="T21" i="69"/>
  <c r="T22" i="69"/>
  <c r="T23" i="69"/>
  <c r="T24" i="69"/>
  <c r="T25" i="69"/>
  <c r="T26" i="69"/>
  <c r="T27" i="69"/>
  <c r="T28" i="69"/>
  <c r="T29" i="69"/>
  <c r="T30" i="69"/>
  <c r="T31" i="69"/>
  <c r="T32" i="69"/>
  <c r="T33" i="69"/>
  <c r="T34" i="69"/>
  <c r="T35" i="69"/>
  <c r="T36" i="69"/>
  <c r="T37" i="69"/>
  <c r="T38" i="69"/>
  <c r="T39" i="69"/>
  <c r="T40" i="69"/>
  <c r="T41" i="69"/>
  <c r="T42" i="69"/>
  <c r="T43" i="69"/>
  <c r="T44" i="69"/>
  <c r="T45" i="69"/>
  <c r="T46" i="69"/>
  <c r="T47" i="69"/>
  <c r="T48" i="69"/>
  <c r="T49" i="69"/>
  <c r="T50" i="69"/>
  <c r="T51" i="69"/>
  <c r="T52" i="69"/>
  <c r="T53" i="69"/>
  <c r="T54" i="69"/>
  <c r="T55" i="69"/>
  <c r="T56" i="69"/>
  <c r="T57" i="69"/>
  <c r="T58" i="69"/>
  <c r="T59" i="69"/>
  <c r="T60" i="69"/>
  <c r="T61" i="69"/>
  <c r="T62" i="69"/>
  <c r="T63" i="69"/>
  <c r="T64" i="69"/>
  <c r="T65" i="69"/>
  <c r="T66" i="69"/>
  <c r="T67" i="69"/>
  <c r="T68" i="69"/>
  <c r="T69" i="69"/>
  <c r="T70" i="69"/>
  <c r="T71" i="69"/>
  <c r="T72" i="69"/>
  <c r="T73" i="69"/>
  <c r="T74" i="69"/>
  <c r="T75" i="69"/>
  <c r="T76" i="69"/>
  <c r="T77" i="69"/>
  <c r="T78" i="69"/>
  <c r="T79" i="69"/>
  <c r="T80" i="69"/>
  <c r="T81" i="69"/>
  <c r="T82" i="69"/>
  <c r="T83" i="69"/>
  <c r="T84" i="69"/>
  <c r="T85" i="69"/>
  <c r="T86" i="69"/>
  <c r="T87" i="69"/>
  <c r="T88" i="69"/>
  <c r="T89" i="69"/>
  <c r="T90" i="69"/>
  <c r="T91" i="69"/>
  <c r="T92" i="69"/>
  <c r="T93" i="69"/>
  <c r="T94" i="69"/>
  <c r="T95" i="69"/>
  <c r="T96" i="69"/>
  <c r="T97" i="69"/>
  <c r="T98" i="69"/>
  <c r="T99" i="69"/>
  <c r="T100" i="69"/>
  <c r="T101" i="69"/>
  <c r="T102" i="69"/>
  <c r="T103" i="69"/>
  <c r="T104" i="69"/>
  <c r="T105" i="69"/>
  <c r="T106" i="69"/>
  <c r="T107" i="69"/>
  <c r="T108" i="69"/>
  <c r="T109" i="69"/>
  <c r="T110" i="69"/>
  <c r="T111" i="69"/>
  <c r="T112" i="69"/>
  <c r="T113" i="69"/>
  <c r="T114" i="69"/>
  <c r="T115" i="69"/>
  <c r="T116" i="69"/>
  <c r="T117" i="69"/>
  <c r="T118" i="69"/>
  <c r="T119" i="69"/>
  <c r="T120" i="69"/>
  <c r="T121" i="69"/>
  <c r="T122" i="69"/>
  <c r="T123" i="69"/>
  <c r="T124" i="69"/>
  <c r="T125" i="69"/>
  <c r="T6" i="69"/>
  <c r="T126" i="69"/>
  <c r="Q130" i="69"/>
  <c r="Q131" i="69"/>
  <c r="Q128" i="69"/>
  <c r="Q129" i="69"/>
  <c r="P133" i="69"/>
  <c r="X8" i="69"/>
  <c r="X9" i="69"/>
  <c r="AD9" i="69"/>
  <c r="X10" i="69"/>
  <c r="AD10" i="69"/>
  <c r="X11" i="69"/>
  <c r="AD11" i="69"/>
  <c r="X12" i="69"/>
  <c r="AD12" i="69"/>
  <c r="X13" i="69"/>
  <c r="AD13" i="69"/>
  <c r="X14" i="69"/>
  <c r="AD14" i="69"/>
  <c r="X15" i="69"/>
  <c r="AD15" i="69"/>
  <c r="X16" i="69"/>
  <c r="AD16" i="69"/>
  <c r="X17" i="69"/>
  <c r="AD17" i="69"/>
  <c r="X18" i="69"/>
  <c r="AD18" i="69"/>
  <c r="X19" i="69"/>
  <c r="AD19" i="69"/>
  <c r="X20" i="69"/>
  <c r="AD20" i="69"/>
  <c r="X21" i="69"/>
  <c r="AD21" i="69"/>
  <c r="X22" i="69"/>
  <c r="AD22" i="69"/>
  <c r="X23" i="69"/>
  <c r="AD23" i="69"/>
  <c r="X24" i="69"/>
  <c r="AD24" i="69"/>
  <c r="X25" i="69"/>
  <c r="AD25" i="69"/>
  <c r="X26" i="69"/>
  <c r="AD26" i="69"/>
  <c r="X27" i="69"/>
  <c r="AD27" i="69"/>
  <c r="X28" i="69"/>
  <c r="AD28" i="69"/>
  <c r="X29" i="69"/>
  <c r="AD29" i="69"/>
  <c r="X30" i="69"/>
  <c r="AD30" i="69"/>
  <c r="X31" i="69"/>
  <c r="AD31" i="69"/>
  <c r="X32" i="69"/>
  <c r="AD32" i="69"/>
  <c r="X33" i="69"/>
  <c r="AD33" i="69"/>
  <c r="X34" i="69"/>
  <c r="AD34" i="69"/>
  <c r="X35" i="69"/>
  <c r="AD35" i="69"/>
  <c r="X36" i="69"/>
  <c r="AD36" i="69"/>
  <c r="X37" i="69"/>
  <c r="AD37" i="69"/>
  <c r="X38" i="69"/>
  <c r="AD38" i="69"/>
  <c r="X39" i="69"/>
  <c r="AD39" i="69"/>
  <c r="X40" i="69"/>
  <c r="AD40" i="69"/>
  <c r="X41" i="69"/>
  <c r="AD41" i="69"/>
  <c r="X42" i="69"/>
  <c r="AD42" i="69"/>
  <c r="X43" i="69"/>
  <c r="AD43" i="69"/>
  <c r="X44" i="69"/>
  <c r="AD44" i="69"/>
  <c r="X45" i="69"/>
  <c r="AD45" i="69"/>
  <c r="X46" i="69"/>
  <c r="AD46" i="69"/>
  <c r="X47" i="69"/>
  <c r="AD47" i="69"/>
  <c r="X48" i="69"/>
  <c r="AD48" i="69"/>
  <c r="X49" i="69"/>
  <c r="AD49" i="69"/>
  <c r="X50" i="69"/>
  <c r="AD50" i="69"/>
  <c r="X51" i="69"/>
  <c r="AD51" i="69"/>
  <c r="X52" i="69"/>
  <c r="AD52" i="69"/>
  <c r="X53" i="69"/>
  <c r="AD53" i="69"/>
  <c r="X54" i="69"/>
  <c r="AD54" i="69"/>
  <c r="X55" i="69"/>
  <c r="AD55" i="69"/>
  <c r="X56" i="69"/>
  <c r="AD56" i="69"/>
  <c r="X57" i="69"/>
  <c r="AD57" i="69"/>
  <c r="X58" i="69"/>
  <c r="AD58" i="69"/>
  <c r="X59" i="69"/>
  <c r="AD59" i="69"/>
  <c r="X60" i="69"/>
  <c r="AD60" i="69"/>
  <c r="X61" i="69"/>
  <c r="AD61" i="69"/>
  <c r="X62" i="69"/>
  <c r="AD62" i="69"/>
  <c r="X63" i="69"/>
  <c r="AD63" i="69"/>
  <c r="X64" i="69"/>
  <c r="AD64" i="69"/>
  <c r="X65" i="69"/>
  <c r="AD65" i="69"/>
  <c r="X66" i="69"/>
  <c r="AD66" i="69"/>
  <c r="X67" i="69"/>
  <c r="AD67" i="69"/>
  <c r="X68" i="69"/>
  <c r="AD68" i="69"/>
  <c r="X69" i="69"/>
  <c r="AD69" i="69"/>
  <c r="X70" i="69"/>
  <c r="AD70" i="69"/>
  <c r="X71" i="69"/>
  <c r="AD71" i="69"/>
  <c r="X72" i="69"/>
  <c r="AD72" i="69"/>
  <c r="X73" i="69"/>
  <c r="AD73" i="69"/>
  <c r="X74" i="69"/>
  <c r="AD74" i="69"/>
  <c r="X75" i="69"/>
  <c r="AD75" i="69"/>
  <c r="X76" i="69"/>
  <c r="AD76" i="69"/>
  <c r="X77" i="69"/>
  <c r="AD77" i="69"/>
  <c r="X78" i="69"/>
  <c r="AD78" i="69"/>
  <c r="X79" i="69"/>
  <c r="AD79" i="69"/>
  <c r="X80" i="69"/>
  <c r="AD80" i="69"/>
  <c r="X81" i="69"/>
  <c r="AD81" i="69"/>
  <c r="X82" i="69"/>
  <c r="AD82" i="69"/>
  <c r="X83" i="69"/>
  <c r="AD83" i="69"/>
  <c r="X84" i="69"/>
  <c r="AD84" i="69"/>
  <c r="X85" i="69"/>
  <c r="AD85" i="69"/>
  <c r="X86" i="69"/>
  <c r="AD86" i="69"/>
  <c r="X87" i="69"/>
  <c r="AD87" i="69"/>
  <c r="X88" i="69"/>
  <c r="AD88" i="69"/>
  <c r="X89" i="69"/>
  <c r="AD89" i="69"/>
  <c r="X90" i="69"/>
  <c r="AD90" i="69"/>
  <c r="X91" i="69"/>
  <c r="AD91" i="69"/>
  <c r="X92" i="69"/>
  <c r="AD92" i="69"/>
  <c r="X93" i="69"/>
  <c r="AD93" i="69"/>
  <c r="X94" i="69"/>
  <c r="AD94" i="69"/>
  <c r="X95" i="69"/>
  <c r="AD95" i="69"/>
  <c r="X96" i="69"/>
  <c r="AD96" i="69"/>
  <c r="X97" i="69"/>
  <c r="AD97" i="69"/>
  <c r="X98" i="69"/>
  <c r="AD98" i="69"/>
  <c r="X99" i="69"/>
  <c r="AD99" i="69"/>
  <c r="X100" i="69"/>
  <c r="AD100" i="69"/>
  <c r="X101" i="69"/>
  <c r="AD101" i="69"/>
  <c r="X102" i="69"/>
  <c r="AD102" i="69"/>
  <c r="X103" i="69"/>
  <c r="AD103" i="69"/>
  <c r="X104" i="69"/>
  <c r="AD104" i="69"/>
  <c r="X105" i="69"/>
  <c r="AD105" i="69"/>
  <c r="X106" i="69"/>
  <c r="AD106" i="69"/>
  <c r="X107" i="69"/>
  <c r="AD107" i="69"/>
  <c r="X108" i="69"/>
  <c r="AD108" i="69"/>
  <c r="X109" i="69"/>
  <c r="AD109" i="69"/>
  <c r="X110" i="69"/>
  <c r="AD110" i="69"/>
  <c r="X111" i="69"/>
  <c r="AD111" i="69"/>
  <c r="X112" i="69"/>
  <c r="AD112" i="69"/>
  <c r="X113" i="69"/>
  <c r="AD113" i="69"/>
  <c r="X114" i="69"/>
  <c r="AD114" i="69"/>
  <c r="X115" i="69"/>
  <c r="AD115" i="69"/>
  <c r="X116" i="69"/>
  <c r="AD116" i="69"/>
  <c r="X117" i="69"/>
  <c r="AD117" i="69"/>
  <c r="X118" i="69"/>
  <c r="AD118" i="69"/>
  <c r="X119" i="69"/>
  <c r="AD119" i="69"/>
  <c r="X120" i="69"/>
  <c r="AD120" i="69"/>
  <c r="X121" i="69"/>
  <c r="AD121" i="69"/>
  <c r="X122" i="69"/>
  <c r="AD122" i="69"/>
  <c r="X123" i="69"/>
  <c r="AD123" i="69"/>
  <c r="X124" i="69"/>
  <c r="AD124" i="69"/>
  <c r="X125" i="69"/>
  <c r="AD125" i="69"/>
  <c r="X126" i="69"/>
  <c r="AD126" i="69"/>
  <c r="X127" i="69"/>
  <c r="AD127" i="69"/>
  <c r="AD8" i="69"/>
  <c r="AC9" i="69"/>
  <c r="AC10" i="69"/>
  <c r="AC11" i="69"/>
  <c r="AC12" i="69"/>
  <c r="AC13" i="69"/>
  <c r="AC14" i="69"/>
  <c r="AC15" i="69"/>
  <c r="AC16" i="69"/>
  <c r="AC17" i="69"/>
  <c r="AC18" i="69"/>
  <c r="AC19" i="69"/>
  <c r="AC20" i="69"/>
  <c r="AC21" i="69"/>
  <c r="AC22" i="69"/>
  <c r="AC23" i="69"/>
  <c r="AC24" i="69"/>
  <c r="AC25" i="69"/>
  <c r="AC26" i="69"/>
  <c r="AC27" i="69"/>
  <c r="AC28" i="69"/>
  <c r="AC29" i="69"/>
  <c r="AC30" i="69"/>
  <c r="AC31" i="69"/>
  <c r="AC32" i="69"/>
  <c r="AC33" i="69"/>
  <c r="AC34" i="69"/>
  <c r="AC35" i="69"/>
  <c r="AC36" i="69"/>
  <c r="AC37" i="69"/>
  <c r="AC38" i="69"/>
  <c r="AC39" i="69"/>
  <c r="AC40" i="69"/>
  <c r="AC41" i="69"/>
  <c r="AC42" i="69"/>
  <c r="AC43" i="69"/>
  <c r="AC44" i="69"/>
  <c r="AC45" i="69"/>
  <c r="AC46" i="69"/>
  <c r="AC47" i="69"/>
  <c r="AC48" i="69"/>
  <c r="AC49" i="69"/>
  <c r="AC50" i="69"/>
  <c r="AC51" i="69"/>
  <c r="AC52" i="69"/>
  <c r="AC53" i="69"/>
  <c r="AC54" i="69"/>
  <c r="AC55" i="69"/>
  <c r="AC56" i="69"/>
  <c r="AC57" i="69"/>
  <c r="AC58" i="69"/>
  <c r="AC59" i="69"/>
  <c r="AC60" i="69"/>
  <c r="AC61" i="69"/>
  <c r="AC62" i="69"/>
  <c r="AC63" i="69"/>
  <c r="AC64" i="69"/>
  <c r="AC65" i="69"/>
  <c r="AC66" i="69"/>
  <c r="AC67" i="69"/>
  <c r="AC68" i="69"/>
  <c r="AC69" i="69"/>
  <c r="AC70" i="69"/>
  <c r="AC71" i="69"/>
  <c r="AC72" i="69"/>
  <c r="AC73" i="69"/>
  <c r="AC74" i="69"/>
  <c r="AC75" i="69"/>
  <c r="AC76" i="69"/>
  <c r="AC77" i="69"/>
  <c r="AC78" i="69"/>
  <c r="AC79" i="69"/>
  <c r="AC80" i="69"/>
  <c r="AC81" i="69"/>
  <c r="AC82" i="69"/>
  <c r="AC83" i="69"/>
  <c r="AC84" i="69"/>
  <c r="AC85" i="69"/>
  <c r="AC86" i="69"/>
  <c r="AC87" i="69"/>
  <c r="AC88" i="69"/>
  <c r="AC89" i="69"/>
  <c r="AC90" i="69"/>
  <c r="AC91" i="69"/>
  <c r="AC92" i="69"/>
  <c r="AC93" i="69"/>
  <c r="AC94" i="69"/>
  <c r="AC95" i="69"/>
  <c r="AC96" i="69"/>
  <c r="AC97" i="69"/>
  <c r="AC98" i="69"/>
  <c r="AC99" i="69"/>
  <c r="AC100" i="69"/>
  <c r="AC101" i="69"/>
  <c r="AC102" i="69"/>
  <c r="AC103" i="69"/>
  <c r="AC104" i="69"/>
  <c r="AC105" i="69"/>
  <c r="AC106" i="69"/>
  <c r="AC107" i="69"/>
  <c r="AC108" i="69"/>
  <c r="AC109" i="69"/>
  <c r="AC110" i="69"/>
  <c r="AC111" i="69"/>
  <c r="AC112" i="69"/>
  <c r="AC113" i="69"/>
  <c r="AC114" i="69"/>
  <c r="AC115" i="69"/>
  <c r="AC116" i="69"/>
  <c r="AC117" i="69"/>
  <c r="AC118" i="69"/>
  <c r="AC119" i="69"/>
  <c r="AC120" i="69"/>
  <c r="AC121" i="69"/>
  <c r="AC122" i="69"/>
  <c r="AC123" i="69"/>
  <c r="AC124" i="69"/>
  <c r="AC125" i="69"/>
  <c r="AC126" i="69"/>
  <c r="AC127" i="69"/>
  <c r="AC8" i="69"/>
  <c r="AB9" i="69"/>
  <c r="AB10" i="69"/>
  <c r="AB11" i="69"/>
  <c r="AB12" i="69"/>
  <c r="AB13" i="69"/>
  <c r="AB14" i="69"/>
  <c r="AB15" i="69"/>
  <c r="AB16" i="69"/>
  <c r="AB17" i="69"/>
  <c r="AB18" i="69"/>
  <c r="AB19" i="69"/>
  <c r="AB20" i="69"/>
  <c r="AB21" i="69"/>
  <c r="AB22" i="69"/>
  <c r="AB23" i="69"/>
  <c r="AB24" i="69"/>
  <c r="AB25" i="69"/>
  <c r="AB26" i="69"/>
  <c r="AB27" i="69"/>
  <c r="AB28" i="69"/>
  <c r="AB29" i="69"/>
  <c r="AB30" i="69"/>
  <c r="AB31" i="69"/>
  <c r="AB32" i="69"/>
  <c r="AB33" i="69"/>
  <c r="AB34" i="69"/>
  <c r="AB35" i="69"/>
  <c r="AB36" i="69"/>
  <c r="AB37" i="69"/>
  <c r="AB38" i="69"/>
  <c r="AB39" i="69"/>
  <c r="AB40" i="69"/>
  <c r="AB41" i="69"/>
  <c r="AB42" i="69"/>
  <c r="AB43" i="69"/>
  <c r="AB44" i="69"/>
  <c r="AB45" i="69"/>
  <c r="AB46" i="69"/>
  <c r="AB47" i="69"/>
  <c r="AB48" i="69"/>
  <c r="AB49" i="69"/>
  <c r="AB50" i="69"/>
  <c r="AB51" i="69"/>
  <c r="AB52" i="69"/>
  <c r="AB53" i="69"/>
  <c r="AB54" i="69"/>
  <c r="AB55" i="69"/>
  <c r="AB56" i="69"/>
  <c r="AB57" i="69"/>
  <c r="AB58" i="69"/>
  <c r="AB59" i="69"/>
  <c r="AB60" i="69"/>
  <c r="AB61" i="69"/>
  <c r="AB62" i="69"/>
  <c r="AB63" i="69"/>
  <c r="AB64" i="69"/>
  <c r="AB65" i="69"/>
  <c r="AB66" i="69"/>
  <c r="AB67" i="69"/>
  <c r="AB68" i="69"/>
  <c r="AB69" i="69"/>
  <c r="AB70" i="69"/>
  <c r="AB71" i="69"/>
  <c r="AB72" i="69"/>
  <c r="AB73" i="69"/>
  <c r="AB74" i="69"/>
  <c r="AB75" i="69"/>
  <c r="AB76" i="69"/>
  <c r="AB77" i="69"/>
  <c r="AB78" i="69"/>
  <c r="AB79" i="69"/>
  <c r="AB80" i="69"/>
  <c r="AB81" i="69"/>
  <c r="AB82" i="69"/>
  <c r="AB83" i="69"/>
  <c r="AB84" i="69"/>
  <c r="AB85" i="69"/>
  <c r="AB86" i="69"/>
  <c r="AB87" i="69"/>
  <c r="AB88" i="69"/>
  <c r="AB89" i="69"/>
  <c r="AB90" i="69"/>
  <c r="AB91" i="69"/>
  <c r="AB92" i="69"/>
  <c r="AB93" i="69"/>
  <c r="AB94" i="69"/>
  <c r="AB95" i="69"/>
  <c r="AB96" i="69"/>
  <c r="AB97" i="69"/>
  <c r="AB98" i="69"/>
  <c r="AB99" i="69"/>
  <c r="AB100" i="69"/>
  <c r="AB101" i="69"/>
  <c r="AB102" i="69"/>
  <c r="AB103" i="69"/>
  <c r="AB104" i="69"/>
  <c r="AB105" i="69"/>
  <c r="AB106" i="69"/>
  <c r="AB107" i="69"/>
  <c r="AB108" i="69"/>
  <c r="AB109" i="69"/>
  <c r="AB110" i="69"/>
  <c r="AB111" i="69"/>
  <c r="AB112" i="69"/>
  <c r="AB113" i="69"/>
  <c r="AB114" i="69"/>
  <c r="AB115" i="69"/>
  <c r="AB116" i="69"/>
  <c r="AB117" i="69"/>
  <c r="AB118" i="69"/>
  <c r="AB119" i="69"/>
  <c r="AB120" i="69"/>
  <c r="AB121" i="69"/>
  <c r="AB122" i="69"/>
  <c r="AB123" i="69"/>
  <c r="AB124" i="69"/>
  <c r="AB125" i="69"/>
  <c r="AB126" i="69"/>
  <c r="AB127" i="69"/>
  <c r="AB8" i="69"/>
  <c r="AA9" i="69"/>
  <c r="AA10" i="69"/>
  <c r="AA11" i="69"/>
  <c r="AA12" i="69"/>
  <c r="AA13" i="69"/>
  <c r="AA14" i="69"/>
  <c r="AA15" i="69"/>
  <c r="AA16" i="69"/>
  <c r="AA17" i="69"/>
  <c r="AA18" i="69"/>
  <c r="AA19" i="69"/>
  <c r="AA20" i="69"/>
  <c r="AA21" i="69"/>
  <c r="AA22" i="69"/>
  <c r="AA23" i="69"/>
  <c r="AA24" i="69"/>
  <c r="AA25" i="69"/>
  <c r="AA26" i="69"/>
  <c r="AA27" i="69"/>
  <c r="AA28" i="69"/>
  <c r="AA29" i="69"/>
  <c r="AA30" i="69"/>
  <c r="AA31" i="69"/>
  <c r="AA32" i="69"/>
  <c r="AA33" i="69"/>
  <c r="AA34" i="69"/>
  <c r="AA35" i="69"/>
  <c r="AA36" i="69"/>
  <c r="AA37" i="69"/>
  <c r="AA38" i="69"/>
  <c r="AA39" i="69"/>
  <c r="AA40" i="69"/>
  <c r="AA41" i="69"/>
  <c r="AA42" i="69"/>
  <c r="AA43" i="69"/>
  <c r="AA44" i="69"/>
  <c r="AA45" i="69"/>
  <c r="AA46" i="69"/>
  <c r="AA47" i="69"/>
  <c r="AA48" i="69"/>
  <c r="AA49" i="69"/>
  <c r="AA50" i="69"/>
  <c r="AA51" i="69"/>
  <c r="AA52" i="69"/>
  <c r="AA53" i="69"/>
  <c r="AA54" i="69"/>
  <c r="AA55" i="69"/>
  <c r="AA56" i="69"/>
  <c r="AA57" i="69"/>
  <c r="AA58" i="69"/>
  <c r="AA59" i="69"/>
  <c r="AA60" i="69"/>
  <c r="AA61" i="69"/>
  <c r="AA62" i="69"/>
  <c r="AA63" i="69"/>
  <c r="AA64" i="69"/>
  <c r="AA65" i="69"/>
  <c r="AA66" i="69"/>
  <c r="AA67" i="69"/>
  <c r="AA68" i="69"/>
  <c r="AA69" i="69"/>
  <c r="AA70" i="69"/>
  <c r="AA71" i="69"/>
  <c r="AA72" i="69"/>
  <c r="AA73" i="69"/>
  <c r="AA74" i="69"/>
  <c r="AA75" i="69"/>
  <c r="AA76" i="69"/>
  <c r="AA77" i="69"/>
  <c r="AA78" i="69"/>
  <c r="AA79" i="69"/>
  <c r="AA80" i="69"/>
  <c r="AA81" i="69"/>
  <c r="AA82" i="69"/>
  <c r="AA83" i="69"/>
  <c r="AA84" i="69"/>
  <c r="AA85" i="69"/>
  <c r="AA86" i="69"/>
  <c r="AA87" i="69"/>
  <c r="AA88" i="69"/>
  <c r="AA89" i="69"/>
  <c r="AA90" i="69"/>
  <c r="AA91" i="69"/>
  <c r="AA92" i="69"/>
  <c r="AA93" i="69"/>
  <c r="AA94" i="69"/>
  <c r="AA95" i="69"/>
  <c r="AA96" i="69"/>
  <c r="AA97" i="69"/>
  <c r="AA98" i="69"/>
  <c r="AA99" i="69"/>
  <c r="AA100" i="69"/>
  <c r="AA101" i="69"/>
  <c r="AA102" i="69"/>
  <c r="AA103" i="69"/>
  <c r="AA104" i="69"/>
  <c r="AA105" i="69"/>
  <c r="AA106" i="69"/>
  <c r="AA107" i="69"/>
  <c r="AA108" i="69"/>
  <c r="AA109" i="69"/>
  <c r="AA110" i="69"/>
  <c r="AA111" i="69"/>
  <c r="AA112" i="69"/>
  <c r="AA113" i="69"/>
  <c r="AA114" i="69"/>
  <c r="AA115" i="69"/>
  <c r="AA116" i="69"/>
  <c r="AA117" i="69"/>
  <c r="AA118" i="69"/>
  <c r="AA119" i="69"/>
  <c r="AA120" i="69"/>
  <c r="AA121" i="69"/>
  <c r="AA122" i="69"/>
  <c r="AA123" i="69"/>
  <c r="AA124" i="69"/>
  <c r="AA125" i="69"/>
  <c r="AA126" i="69"/>
  <c r="AA127" i="69"/>
  <c r="AA8" i="69"/>
  <c r="AK11" i="69"/>
  <c r="Y127" i="69"/>
  <c r="Z127" i="69"/>
  <c r="AK8" i="69"/>
  <c r="AF127" i="69"/>
  <c r="Y126" i="69"/>
  <c r="Z126" i="69"/>
  <c r="AF126" i="69"/>
  <c r="Y125" i="69"/>
  <c r="Z125" i="69"/>
  <c r="AF125" i="69"/>
  <c r="Y124" i="69"/>
  <c r="Z124" i="69"/>
  <c r="AF124" i="69"/>
  <c r="Y123" i="69"/>
  <c r="Z123" i="69"/>
  <c r="AF123" i="69"/>
  <c r="Y122" i="69"/>
  <c r="Z122" i="69"/>
  <c r="AF122" i="69"/>
  <c r="Y121" i="69"/>
  <c r="Z121" i="69"/>
  <c r="AF121" i="69"/>
  <c r="Y120" i="69"/>
  <c r="Z120" i="69"/>
  <c r="AF120" i="69"/>
  <c r="Y119" i="69"/>
  <c r="Z119" i="69"/>
  <c r="AF119" i="69"/>
  <c r="Y118" i="69"/>
  <c r="Z118" i="69"/>
  <c r="AF118" i="69"/>
  <c r="Y117" i="69"/>
  <c r="Z117" i="69"/>
  <c r="AF117" i="69"/>
  <c r="Y116" i="69"/>
  <c r="Z116" i="69"/>
  <c r="AF116" i="69"/>
  <c r="Y115" i="69"/>
  <c r="Z115" i="69"/>
  <c r="AF115" i="69"/>
  <c r="Y114" i="69"/>
  <c r="Z114" i="69"/>
  <c r="AF114" i="69"/>
  <c r="Y113" i="69"/>
  <c r="Z113" i="69"/>
  <c r="AF113" i="69"/>
  <c r="Y112" i="69"/>
  <c r="Z112" i="69"/>
  <c r="AF112" i="69"/>
  <c r="Y111" i="69"/>
  <c r="Z111" i="69"/>
  <c r="AF111" i="69"/>
  <c r="Y110" i="69"/>
  <c r="Z110" i="69"/>
  <c r="AF110" i="69"/>
  <c r="Y109" i="69"/>
  <c r="Z109" i="69"/>
  <c r="AF109" i="69"/>
  <c r="Y108" i="69"/>
  <c r="Z108" i="69"/>
  <c r="AF108" i="69"/>
  <c r="Y107" i="69"/>
  <c r="Z107" i="69"/>
  <c r="AF107" i="69"/>
  <c r="Y106" i="69"/>
  <c r="Z106" i="69"/>
  <c r="AF106" i="69"/>
  <c r="Y105" i="69"/>
  <c r="Z105" i="69"/>
  <c r="AF105" i="69"/>
  <c r="Y104" i="69"/>
  <c r="Z104" i="69"/>
  <c r="AF104" i="69"/>
  <c r="Y103" i="69"/>
  <c r="Z103" i="69"/>
  <c r="AF103" i="69"/>
  <c r="Y102" i="69"/>
  <c r="Z102" i="69"/>
  <c r="AF102" i="69"/>
  <c r="Y101" i="69"/>
  <c r="Z101" i="69"/>
  <c r="AF101" i="69"/>
  <c r="Y100" i="69"/>
  <c r="Z100" i="69"/>
  <c r="AF100" i="69"/>
  <c r="Y99" i="69"/>
  <c r="Z99" i="69"/>
  <c r="AF99" i="69"/>
  <c r="Y98" i="69"/>
  <c r="Z98" i="69"/>
  <c r="AF98" i="69"/>
  <c r="Y97" i="69"/>
  <c r="Z97" i="69"/>
  <c r="AF97" i="69"/>
  <c r="Y96" i="69"/>
  <c r="Z96" i="69"/>
  <c r="AF96" i="69"/>
  <c r="Y95" i="69"/>
  <c r="Z95" i="69"/>
  <c r="AF95" i="69"/>
  <c r="Y94" i="69"/>
  <c r="Z94" i="69"/>
  <c r="AF94" i="69"/>
  <c r="Y93" i="69"/>
  <c r="Z93" i="69"/>
  <c r="AF93" i="69"/>
  <c r="Y92" i="69"/>
  <c r="Z92" i="69"/>
  <c r="AF92" i="69"/>
  <c r="Y91" i="69"/>
  <c r="Z91" i="69"/>
  <c r="AF91" i="69"/>
  <c r="Y90" i="69"/>
  <c r="Z90" i="69"/>
  <c r="AF90" i="69"/>
  <c r="Y89" i="69"/>
  <c r="Z89" i="69"/>
  <c r="AF89" i="69"/>
  <c r="Y88" i="69"/>
  <c r="Z88" i="69"/>
  <c r="AF88" i="69"/>
  <c r="Y87" i="69"/>
  <c r="Z87" i="69"/>
  <c r="AF87" i="69"/>
  <c r="Y86" i="69"/>
  <c r="Z86" i="69"/>
  <c r="AF86" i="69"/>
  <c r="Y85" i="69"/>
  <c r="Z85" i="69"/>
  <c r="AF85" i="69"/>
  <c r="Y84" i="69"/>
  <c r="Z84" i="69"/>
  <c r="AF84" i="69"/>
  <c r="Y83" i="69"/>
  <c r="Z83" i="69"/>
  <c r="AF83" i="69"/>
  <c r="Y82" i="69"/>
  <c r="Z82" i="69"/>
  <c r="AF82" i="69"/>
  <c r="Y81" i="69"/>
  <c r="Z81" i="69"/>
  <c r="AF81" i="69"/>
  <c r="Y80" i="69"/>
  <c r="Z80" i="69"/>
  <c r="AF80" i="69"/>
  <c r="Y79" i="69"/>
  <c r="Z79" i="69"/>
  <c r="AF79" i="69"/>
  <c r="Y78" i="69"/>
  <c r="Z78" i="69"/>
  <c r="AF78" i="69"/>
  <c r="Y77" i="69"/>
  <c r="Z77" i="69"/>
  <c r="AF77" i="69"/>
  <c r="Y76" i="69"/>
  <c r="Z76" i="69"/>
  <c r="AF76" i="69"/>
  <c r="Y75" i="69"/>
  <c r="Z75" i="69"/>
  <c r="AF75" i="69"/>
  <c r="Y74" i="69"/>
  <c r="Z74" i="69"/>
  <c r="AF74" i="69"/>
  <c r="Y73" i="69"/>
  <c r="Z73" i="69"/>
  <c r="AF73" i="69"/>
  <c r="Y72" i="69"/>
  <c r="Z72" i="69"/>
  <c r="AF72" i="69"/>
  <c r="Y71" i="69"/>
  <c r="Z71" i="69"/>
  <c r="AF71" i="69"/>
  <c r="Y70" i="69"/>
  <c r="Z70" i="69"/>
  <c r="AF70" i="69"/>
  <c r="Y69" i="69"/>
  <c r="Z69" i="69"/>
  <c r="AF69" i="69"/>
  <c r="Y68" i="69"/>
  <c r="Z68" i="69"/>
  <c r="AF68" i="69"/>
  <c r="Y67" i="69"/>
  <c r="Z67" i="69"/>
  <c r="AF67" i="69"/>
  <c r="Y66" i="69"/>
  <c r="Z66" i="69"/>
  <c r="AF66" i="69"/>
  <c r="Y65" i="69"/>
  <c r="Z65" i="69"/>
  <c r="AF65" i="69"/>
  <c r="Y64" i="69"/>
  <c r="Z64" i="69"/>
  <c r="AF64" i="69"/>
  <c r="Y63" i="69"/>
  <c r="Z63" i="69"/>
  <c r="AF63" i="69"/>
  <c r="Y62" i="69"/>
  <c r="Z62" i="69"/>
  <c r="AF62" i="69"/>
  <c r="Y61" i="69"/>
  <c r="Z61" i="69"/>
  <c r="AF61" i="69"/>
  <c r="Y60" i="69"/>
  <c r="Z60" i="69"/>
  <c r="AF60" i="69"/>
  <c r="Y59" i="69"/>
  <c r="Z59" i="69"/>
  <c r="AF59" i="69"/>
  <c r="Y58" i="69"/>
  <c r="Z58" i="69"/>
  <c r="AF58" i="69"/>
  <c r="Y57" i="69"/>
  <c r="Z57" i="69"/>
  <c r="AF57" i="69"/>
  <c r="Y56" i="69"/>
  <c r="Z56" i="69"/>
  <c r="AF56" i="69"/>
  <c r="Y55" i="69"/>
  <c r="Z55" i="69"/>
  <c r="AF55" i="69"/>
  <c r="Y54" i="69"/>
  <c r="Z54" i="69"/>
  <c r="AF54" i="69"/>
  <c r="Y53" i="69"/>
  <c r="Z53" i="69"/>
  <c r="AF53" i="69"/>
  <c r="Y52" i="69"/>
  <c r="Z52" i="69"/>
  <c r="AF52" i="69"/>
  <c r="Y51" i="69"/>
  <c r="Z51" i="69"/>
  <c r="AF51" i="69"/>
  <c r="Y50" i="69"/>
  <c r="Z50" i="69"/>
  <c r="AF50" i="69"/>
  <c r="Y49" i="69"/>
  <c r="Z49" i="69"/>
  <c r="AF49" i="69"/>
  <c r="Y48" i="69"/>
  <c r="Z48" i="69"/>
  <c r="AF48" i="69"/>
  <c r="Y47" i="69"/>
  <c r="Z47" i="69"/>
  <c r="AF47" i="69"/>
  <c r="Y46" i="69"/>
  <c r="Z46" i="69"/>
  <c r="AF46" i="69"/>
  <c r="Y45" i="69"/>
  <c r="Z45" i="69"/>
  <c r="AF45" i="69"/>
  <c r="Y44" i="69"/>
  <c r="Z44" i="69"/>
  <c r="AF44" i="69"/>
  <c r="Y43" i="69"/>
  <c r="Z43" i="69"/>
  <c r="AF43" i="69"/>
  <c r="Y42" i="69"/>
  <c r="Z42" i="69"/>
  <c r="AF42" i="69"/>
  <c r="Y41" i="69"/>
  <c r="Z41" i="69"/>
  <c r="AF41" i="69"/>
  <c r="Y40" i="69"/>
  <c r="Z40" i="69"/>
  <c r="AF40" i="69"/>
  <c r="Y39" i="69"/>
  <c r="Z39" i="69"/>
  <c r="AF39" i="69"/>
  <c r="Y38" i="69"/>
  <c r="Z38" i="69"/>
  <c r="AF38" i="69"/>
  <c r="Y37" i="69"/>
  <c r="Z37" i="69"/>
  <c r="AF37" i="69"/>
  <c r="Y36" i="69"/>
  <c r="Z36" i="69"/>
  <c r="AF36" i="69"/>
  <c r="Y35" i="69"/>
  <c r="Z35" i="69"/>
  <c r="AF35" i="69"/>
  <c r="Y34" i="69"/>
  <c r="Z34" i="69"/>
  <c r="AF34" i="69"/>
  <c r="Y33" i="69"/>
  <c r="Z33" i="69"/>
  <c r="AF33" i="69"/>
  <c r="Y32" i="69"/>
  <c r="Z32" i="69"/>
  <c r="AF32" i="69"/>
  <c r="Y31" i="69"/>
  <c r="Z31" i="69"/>
  <c r="AF31" i="69"/>
  <c r="Y30" i="69"/>
  <c r="Z30" i="69"/>
  <c r="AF30" i="69"/>
  <c r="Y29" i="69"/>
  <c r="Z29" i="69"/>
  <c r="AF29" i="69"/>
  <c r="Y28" i="69"/>
  <c r="Z28" i="69"/>
  <c r="AF28" i="69"/>
  <c r="Y27" i="69"/>
  <c r="Z27" i="69"/>
  <c r="AF27" i="69"/>
  <c r="Y26" i="69"/>
  <c r="Z26" i="69"/>
  <c r="AF26" i="69"/>
  <c r="Y25" i="69"/>
  <c r="Z25" i="69"/>
  <c r="AF25" i="69"/>
  <c r="Y24" i="69"/>
  <c r="Z24" i="69"/>
  <c r="AF24" i="69"/>
  <c r="Y23" i="69"/>
  <c r="Z23" i="69"/>
  <c r="AF23" i="69"/>
  <c r="Y22" i="69"/>
  <c r="Z22" i="69"/>
  <c r="AF22" i="69"/>
  <c r="Y21" i="69"/>
  <c r="Z21" i="69"/>
  <c r="AF21" i="69"/>
  <c r="Y20" i="69"/>
  <c r="Z20" i="69"/>
  <c r="AF20" i="69"/>
  <c r="Y19" i="69"/>
  <c r="Z19" i="69"/>
  <c r="AF19" i="69"/>
  <c r="Y18" i="69"/>
  <c r="Z18" i="69"/>
  <c r="AF18" i="69"/>
  <c r="Y17" i="69"/>
  <c r="Z17" i="69"/>
  <c r="AF17" i="69"/>
  <c r="Y16" i="69"/>
  <c r="Z16" i="69"/>
  <c r="AF16" i="69"/>
  <c r="Y15" i="69"/>
  <c r="Z15" i="69"/>
  <c r="AF15" i="69"/>
  <c r="Y14" i="69"/>
  <c r="Z14" i="69"/>
  <c r="AF14" i="69"/>
  <c r="AK9" i="69"/>
  <c r="AK10" i="69"/>
  <c r="AK13" i="69"/>
  <c r="Y13" i="69"/>
  <c r="Z13" i="69"/>
  <c r="AF13" i="69"/>
  <c r="AK12" i="69"/>
  <c r="Y12" i="69"/>
  <c r="Z12" i="69"/>
  <c r="AF12" i="69"/>
  <c r="Y11" i="69"/>
  <c r="Z11" i="69"/>
  <c r="AF11" i="69"/>
  <c r="Y10" i="69"/>
  <c r="Z10" i="69"/>
  <c r="AF10" i="69"/>
  <c r="Y9" i="69"/>
  <c r="Z9" i="69"/>
  <c r="AF9" i="69"/>
  <c r="Z8" i="69"/>
  <c r="AF8" i="69"/>
  <c r="Y7" i="69"/>
  <c r="AF7" i="69"/>
  <c r="M7" i="69"/>
  <c r="M9" i="69"/>
  <c r="M10" i="69"/>
  <c r="M6" i="69"/>
  <c r="M8" i="69"/>
  <c r="C129" i="69"/>
  <c r="E6" i="69"/>
  <c r="E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E104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F6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58" i="69"/>
  <c r="F59" i="69"/>
  <c r="F60" i="69"/>
  <c r="F61" i="69"/>
  <c r="F62" i="69"/>
  <c r="F63" i="69"/>
  <c r="F64" i="69"/>
  <c r="F65" i="69"/>
  <c r="F66" i="69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F104" i="69"/>
  <c r="F105" i="69"/>
  <c r="F106" i="69"/>
  <c r="F107" i="69"/>
  <c r="F108" i="69"/>
  <c r="F109" i="69"/>
  <c r="F110" i="69"/>
  <c r="F111" i="69"/>
  <c r="F112" i="69"/>
  <c r="F113" i="69"/>
  <c r="F114" i="69"/>
  <c r="F115" i="69"/>
  <c r="F116" i="69"/>
  <c r="F117" i="69"/>
  <c r="F118" i="69"/>
  <c r="F119" i="69"/>
  <c r="F120" i="69"/>
  <c r="F121" i="69"/>
  <c r="F122" i="69"/>
  <c r="F123" i="69"/>
  <c r="F124" i="69"/>
  <c r="F125" i="69"/>
  <c r="F126" i="69"/>
  <c r="C130" i="69"/>
  <c r="C131" i="69"/>
  <c r="C128" i="69"/>
  <c r="B132" i="69"/>
  <c r="J125" i="69"/>
  <c r="I125" i="69"/>
  <c r="J124" i="69"/>
  <c r="I124" i="69"/>
  <c r="J123" i="69"/>
  <c r="I123" i="69"/>
  <c r="J122" i="69"/>
  <c r="I122" i="69"/>
  <c r="J121" i="69"/>
  <c r="I121" i="69"/>
  <c r="J120" i="69"/>
  <c r="I120" i="69"/>
  <c r="J119" i="69"/>
  <c r="I119" i="69"/>
  <c r="J118" i="69"/>
  <c r="I118" i="69"/>
  <c r="J117" i="69"/>
  <c r="I117" i="69"/>
  <c r="J116" i="69"/>
  <c r="I116" i="69"/>
  <c r="J115" i="69"/>
  <c r="I115" i="69"/>
  <c r="J114" i="69"/>
  <c r="I114" i="69"/>
  <c r="J113" i="69"/>
  <c r="I113" i="69"/>
  <c r="J112" i="69"/>
  <c r="I112" i="69"/>
  <c r="J111" i="69"/>
  <c r="I111" i="69"/>
  <c r="J110" i="69"/>
  <c r="I110" i="69"/>
  <c r="J109" i="69"/>
  <c r="I109" i="69"/>
  <c r="J108" i="69"/>
  <c r="I108" i="69"/>
  <c r="J107" i="69"/>
  <c r="I107" i="69"/>
  <c r="J106" i="69"/>
  <c r="I106" i="69"/>
  <c r="J105" i="69"/>
  <c r="I105" i="69"/>
  <c r="J104" i="69"/>
  <c r="I104" i="69"/>
  <c r="J103" i="69"/>
  <c r="I103" i="69"/>
  <c r="J102" i="69"/>
  <c r="I102" i="69"/>
  <c r="J101" i="69"/>
  <c r="I101" i="69"/>
  <c r="J100" i="69"/>
  <c r="I100" i="69"/>
  <c r="J99" i="69"/>
  <c r="I99" i="69"/>
  <c r="J98" i="69"/>
  <c r="I98" i="69"/>
  <c r="J97" i="69"/>
  <c r="I97" i="69"/>
  <c r="J96" i="69"/>
  <c r="I96" i="69"/>
  <c r="J95" i="69"/>
  <c r="I95" i="69"/>
  <c r="J94" i="69"/>
  <c r="I94" i="69"/>
  <c r="J93" i="69"/>
  <c r="I93" i="69"/>
  <c r="J92" i="69"/>
  <c r="I92" i="69"/>
  <c r="J91" i="69"/>
  <c r="I91" i="69"/>
  <c r="J90" i="69"/>
  <c r="I90" i="69"/>
  <c r="J89" i="69"/>
  <c r="I89" i="69"/>
  <c r="J88" i="69"/>
  <c r="I88" i="69"/>
  <c r="J87" i="69"/>
  <c r="I87" i="69"/>
  <c r="J86" i="69"/>
  <c r="I86" i="69"/>
  <c r="J85" i="69"/>
  <c r="I85" i="69"/>
  <c r="J84" i="69"/>
  <c r="I84" i="69"/>
  <c r="J83" i="69"/>
  <c r="I83" i="69"/>
  <c r="J82" i="69"/>
  <c r="I82" i="69"/>
  <c r="J81" i="69"/>
  <c r="I81" i="69"/>
  <c r="J80" i="69"/>
  <c r="I80" i="69"/>
  <c r="J79" i="69"/>
  <c r="I79" i="69"/>
  <c r="J78" i="69"/>
  <c r="I78" i="69"/>
  <c r="J77" i="69"/>
  <c r="I77" i="69"/>
  <c r="J76" i="69"/>
  <c r="I76" i="69"/>
  <c r="J75" i="69"/>
  <c r="I75" i="69"/>
  <c r="J74" i="69"/>
  <c r="I74" i="69"/>
  <c r="J73" i="69"/>
  <c r="I73" i="69"/>
  <c r="J72" i="69"/>
  <c r="I72" i="69"/>
  <c r="J71" i="69"/>
  <c r="I71" i="69"/>
  <c r="J70" i="69"/>
  <c r="I70" i="69"/>
  <c r="J69" i="69"/>
  <c r="I69" i="69"/>
  <c r="J68" i="69"/>
  <c r="I68" i="69"/>
  <c r="J67" i="69"/>
  <c r="I67" i="69"/>
  <c r="J66" i="69"/>
  <c r="I66" i="69"/>
  <c r="J65" i="69"/>
  <c r="I65" i="69"/>
  <c r="J64" i="69"/>
  <c r="I64" i="69"/>
  <c r="J63" i="69"/>
  <c r="I63" i="69"/>
  <c r="J62" i="69"/>
  <c r="I62" i="69"/>
  <c r="J61" i="69"/>
  <c r="I61" i="69"/>
  <c r="J60" i="69"/>
  <c r="I60" i="69"/>
  <c r="J59" i="69"/>
  <c r="I59" i="69"/>
  <c r="J58" i="69"/>
  <c r="I58" i="69"/>
  <c r="J57" i="69"/>
  <c r="I57" i="69"/>
  <c r="J56" i="69"/>
  <c r="I56" i="69"/>
  <c r="J55" i="69"/>
  <c r="I55" i="69"/>
  <c r="J54" i="69"/>
  <c r="I54" i="69"/>
  <c r="J53" i="69"/>
  <c r="I53" i="69"/>
  <c r="J52" i="69"/>
  <c r="I52" i="69"/>
  <c r="J51" i="69"/>
  <c r="I51" i="69"/>
  <c r="J50" i="69"/>
  <c r="I50" i="69"/>
  <c r="J49" i="69"/>
  <c r="I49" i="69"/>
  <c r="J48" i="69"/>
  <c r="I48" i="69"/>
  <c r="J47" i="69"/>
  <c r="I47" i="69"/>
  <c r="J46" i="69"/>
  <c r="I46" i="69"/>
  <c r="J45" i="69"/>
  <c r="I45" i="69"/>
  <c r="J44" i="69"/>
  <c r="I44" i="69"/>
  <c r="J43" i="69"/>
  <c r="I43" i="69"/>
  <c r="J42" i="69"/>
  <c r="I42" i="69"/>
  <c r="J41" i="69"/>
  <c r="I41" i="69"/>
  <c r="J40" i="69"/>
  <c r="I40" i="69"/>
  <c r="J39" i="69"/>
  <c r="I39" i="69"/>
  <c r="J38" i="69"/>
  <c r="I38" i="69"/>
  <c r="J37" i="69"/>
  <c r="I37" i="69"/>
  <c r="J36" i="69"/>
  <c r="I36" i="69"/>
  <c r="J35" i="69"/>
  <c r="I35" i="69"/>
  <c r="J34" i="69"/>
  <c r="I34" i="69"/>
  <c r="J33" i="69"/>
  <c r="I33" i="69"/>
  <c r="J32" i="69"/>
  <c r="I32" i="69"/>
  <c r="J31" i="69"/>
  <c r="I31" i="69"/>
  <c r="J30" i="69"/>
  <c r="I30" i="69"/>
  <c r="J29" i="69"/>
  <c r="I29" i="69"/>
  <c r="J28" i="69"/>
  <c r="I28" i="69"/>
  <c r="J27" i="69"/>
  <c r="I27" i="69"/>
  <c r="J26" i="69"/>
  <c r="I26" i="69"/>
  <c r="J25" i="69"/>
  <c r="I25" i="69"/>
  <c r="J24" i="69"/>
  <c r="I24" i="69"/>
  <c r="J23" i="69"/>
  <c r="I23" i="69"/>
  <c r="J22" i="69"/>
  <c r="I22" i="69"/>
  <c r="J21" i="69"/>
  <c r="I21" i="69"/>
  <c r="J20" i="69"/>
  <c r="I20" i="69"/>
  <c r="J19" i="69"/>
  <c r="I19" i="69"/>
  <c r="J18" i="69"/>
  <c r="I18" i="69"/>
  <c r="J17" i="69"/>
  <c r="I17" i="69"/>
  <c r="J16" i="69"/>
  <c r="I16" i="69"/>
  <c r="J15" i="69"/>
  <c r="I15" i="69"/>
  <c r="J14" i="69"/>
  <c r="I14" i="69"/>
  <c r="J13" i="69"/>
  <c r="I13" i="69"/>
  <c r="J12" i="69"/>
  <c r="I12" i="69"/>
  <c r="J11" i="69"/>
  <c r="I11" i="69"/>
  <c r="J10" i="69"/>
  <c r="I10" i="69"/>
  <c r="J9" i="69"/>
  <c r="I9" i="69"/>
  <c r="J8" i="69"/>
  <c r="I8" i="69"/>
  <c r="J7" i="69"/>
  <c r="I7" i="69"/>
  <c r="I6" i="69"/>
  <c r="B7" i="66"/>
  <c r="B4" i="66"/>
  <c r="B6" i="66"/>
  <c r="B11" i="66"/>
  <c r="C11" i="66"/>
  <c r="D11" i="66"/>
  <c r="B12" i="66"/>
  <c r="C12" i="66"/>
  <c r="D12" i="66"/>
  <c r="B13" i="66"/>
  <c r="C13" i="66"/>
  <c r="D13" i="66"/>
  <c r="B14" i="66"/>
  <c r="C14" i="66"/>
  <c r="D14" i="66"/>
  <c r="B15" i="66"/>
  <c r="C15" i="66"/>
  <c r="D15" i="66"/>
  <c r="B16" i="66"/>
  <c r="C16" i="66"/>
  <c r="D16" i="66"/>
  <c r="B17" i="66"/>
  <c r="C17" i="66"/>
  <c r="D17" i="66"/>
  <c r="B18" i="66"/>
  <c r="C18" i="66"/>
  <c r="D18" i="66"/>
  <c r="B19" i="66"/>
  <c r="C19" i="66"/>
  <c r="D19" i="66"/>
  <c r="B20" i="66"/>
  <c r="C20" i="66"/>
  <c r="D20" i="66"/>
  <c r="B21" i="66"/>
  <c r="C21" i="66"/>
  <c r="D21" i="66"/>
  <c r="B22" i="66"/>
  <c r="C22" i="66"/>
  <c r="D22" i="66"/>
  <c r="B23" i="66"/>
  <c r="C23" i="66"/>
  <c r="D23" i="66"/>
  <c r="B24" i="66"/>
  <c r="C24" i="66"/>
  <c r="D24" i="66"/>
  <c r="B25" i="66"/>
  <c r="C25" i="66"/>
  <c r="D25" i="66"/>
  <c r="B26" i="66"/>
  <c r="C26" i="66"/>
  <c r="D26" i="66"/>
  <c r="B27" i="66"/>
  <c r="C27" i="66"/>
  <c r="D27" i="66"/>
  <c r="B28" i="66"/>
  <c r="C28" i="66"/>
  <c r="D28" i="66"/>
  <c r="B29" i="66"/>
  <c r="C29" i="66"/>
  <c r="D29" i="66"/>
  <c r="B30" i="66"/>
  <c r="C30" i="66"/>
  <c r="D30" i="66"/>
  <c r="B31" i="66"/>
  <c r="C31" i="66"/>
  <c r="D31" i="66"/>
  <c r="B32" i="66"/>
  <c r="C32" i="66"/>
  <c r="D32" i="66"/>
  <c r="B33" i="66"/>
  <c r="C33" i="66"/>
  <c r="D33" i="66"/>
  <c r="B34" i="66"/>
  <c r="C34" i="66"/>
  <c r="D34" i="66"/>
  <c r="B35" i="66"/>
  <c r="C35" i="66"/>
  <c r="D35" i="66"/>
  <c r="B36" i="66"/>
  <c r="C36" i="66"/>
  <c r="D36" i="66"/>
  <c r="B37" i="66"/>
  <c r="C37" i="66"/>
  <c r="D37" i="66"/>
  <c r="B38" i="66"/>
  <c r="C38" i="66"/>
  <c r="D38" i="66"/>
  <c r="B39" i="66"/>
  <c r="C39" i="66"/>
  <c r="D39" i="66"/>
  <c r="B40" i="66"/>
  <c r="C40" i="66"/>
  <c r="D40" i="66"/>
  <c r="B41" i="66"/>
  <c r="C41" i="66"/>
  <c r="D41" i="66"/>
  <c r="B42" i="66"/>
  <c r="C42" i="66"/>
  <c r="D42" i="66"/>
  <c r="B43" i="66"/>
  <c r="C43" i="66"/>
  <c r="D43" i="66"/>
  <c r="B44" i="66"/>
  <c r="C44" i="66"/>
  <c r="D44" i="66"/>
  <c r="B45" i="66"/>
  <c r="C45" i="66"/>
  <c r="D45" i="66"/>
  <c r="B46" i="66"/>
  <c r="C46" i="66"/>
  <c r="D46" i="66"/>
  <c r="B47" i="66"/>
  <c r="C47" i="66"/>
  <c r="D47" i="66"/>
  <c r="B48" i="66"/>
  <c r="C48" i="66"/>
  <c r="D48" i="66"/>
  <c r="B49" i="66"/>
  <c r="C49" i="66"/>
  <c r="D49" i="66"/>
  <c r="B50" i="66"/>
  <c r="C50" i="66"/>
  <c r="D50" i="66"/>
  <c r="B51" i="66"/>
  <c r="C51" i="66"/>
  <c r="D51" i="66"/>
  <c r="B52" i="66"/>
  <c r="C52" i="66"/>
  <c r="D52" i="66"/>
  <c r="B53" i="66"/>
  <c r="C53" i="66"/>
  <c r="D53" i="66"/>
  <c r="B54" i="66"/>
  <c r="C54" i="66"/>
  <c r="D54" i="66"/>
  <c r="B55" i="66"/>
  <c r="C55" i="66"/>
  <c r="D55" i="66"/>
  <c r="B56" i="66"/>
  <c r="C56" i="66"/>
  <c r="D56" i="66"/>
  <c r="B57" i="66"/>
  <c r="C57" i="66"/>
  <c r="D57" i="66"/>
  <c r="B58" i="66"/>
  <c r="C58" i="66"/>
  <c r="D58" i="66"/>
  <c r="B59" i="66"/>
  <c r="C59" i="66"/>
  <c r="D59" i="66"/>
  <c r="B60" i="66"/>
  <c r="C60" i="66"/>
  <c r="D60" i="66"/>
  <c r="B61" i="66"/>
  <c r="C61" i="66"/>
  <c r="D61" i="66"/>
  <c r="D66" i="66"/>
  <c r="D65" i="66"/>
  <c r="E12" i="66"/>
  <c r="E13" i="66"/>
  <c r="E14" i="66"/>
  <c r="E15" i="66"/>
  <c r="E16" i="66"/>
  <c r="E17" i="66"/>
  <c r="E18" i="66"/>
  <c r="E19" i="66"/>
  <c r="E20" i="66"/>
  <c r="E21" i="66"/>
  <c r="E22" i="66"/>
  <c r="E23" i="66"/>
  <c r="E24" i="66"/>
  <c r="E25" i="66"/>
  <c r="E26" i="66"/>
  <c r="E27" i="66"/>
  <c r="E28" i="66"/>
  <c r="E29" i="66"/>
  <c r="E30" i="66"/>
  <c r="E31" i="66"/>
  <c r="E32" i="66"/>
  <c r="E33" i="66"/>
  <c r="E34" i="66"/>
  <c r="E35" i="66"/>
  <c r="E36" i="66"/>
  <c r="E37" i="66"/>
  <c r="E38" i="66"/>
  <c r="E39" i="66"/>
  <c r="E40" i="66"/>
  <c r="E41" i="66"/>
  <c r="E42" i="66"/>
  <c r="E43" i="66"/>
  <c r="E44" i="66"/>
  <c r="E45" i="66"/>
  <c r="E46" i="66"/>
  <c r="E47" i="66"/>
  <c r="E48" i="66"/>
  <c r="E49" i="66"/>
  <c r="E50" i="66"/>
  <c r="E51" i="66"/>
  <c r="E52" i="66"/>
  <c r="E53" i="66"/>
  <c r="E54" i="66"/>
  <c r="E55" i="66"/>
  <c r="E56" i="66"/>
  <c r="E57" i="66"/>
  <c r="E58" i="66"/>
  <c r="E59" i="66"/>
  <c r="E60" i="66"/>
  <c r="E61" i="66"/>
  <c r="D64" i="66"/>
  <c r="S7" i="66"/>
  <c r="T7" i="66"/>
  <c r="P8" i="66"/>
  <c r="H11" i="66"/>
  <c r="I11" i="66"/>
  <c r="H10" i="66"/>
  <c r="I10" i="66"/>
  <c r="I6" i="66"/>
  <c r="L9" i="66"/>
  <c r="Q8" i="66"/>
  <c r="P9" i="66"/>
  <c r="H12" i="66"/>
  <c r="I12" i="66"/>
  <c r="L10" i="66"/>
  <c r="Q9" i="66"/>
  <c r="P10" i="66"/>
  <c r="H13" i="66"/>
  <c r="I13" i="66"/>
  <c r="L11" i="66"/>
  <c r="Q10" i="66"/>
  <c r="P11" i="66"/>
  <c r="H14" i="66"/>
  <c r="I14" i="66"/>
  <c r="L12" i="66"/>
  <c r="Q11" i="66"/>
  <c r="P12" i="66"/>
  <c r="H15" i="66"/>
  <c r="I15" i="66"/>
  <c r="L13" i="66"/>
  <c r="Q12" i="66"/>
  <c r="P13" i="66"/>
  <c r="H16" i="66"/>
  <c r="I16" i="66"/>
  <c r="L14" i="66"/>
  <c r="Q13" i="66"/>
  <c r="P14" i="66"/>
  <c r="H17" i="66"/>
  <c r="I17" i="66"/>
  <c r="L15" i="66"/>
  <c r="Q14" i="66"/>
  <c r="P15" i="66"/>
  <c r="H18" i="66"/>
  <c r="I18" i="66"/>
  <c r="L16" i="66"/>
  <c r="Q15" i="66"/>
  <c r="P16" i="66"/>
  <c r="H19" i="66"/>
  <c r="I19" i="66"/>
  <c r="L17" i="66"/>
  <c r="Q16" i="66"/>
  <c r="P17" i="66"/>
  <c r="H20" i="66"/>
  <c r="I20" i="66"/>
  <c r="L18" i="66"/>
  <c r="Q17" i="66"/>
  <c r="P18" i="66"/>
  <c r="H21" i="66"/>
  <c r="I21" i="66"/>
  <c r="L19" i="66"/>
  <c r="Q18" i="66"/>
  <c r="P19" i="66"/>
  <c r="H22" i="66"/>
  <c r="I22" i="66"/>
  <c r="L20" i="66"/>
  <c r="Q19" i="66"/>
  <c r="P20" i="66"/>
  <c r="H23" i="66"/>
  <c r="I23" i="66"/>
  <c r="L21" i="66"/>
  <c r="Q20" i="66"/>
  <c r="P21" i="66"/>
  <c r="H24" i="66"/>
  <c r="I24" i="66"/>
  <c r="L22" i="66"/>
  <c r="Q21" i="66"/>
  <c r="P22" i="66"/>
  <c r="H25" i="66"/>
  <c r="I25" i="66"/>
  <c r="L23" i="66"/>
  <c r="Q22" i="66"/>
  <c r="P23" i="66"/>
  <c r="H26" i="66"/>
  <c r="I26" i="66"/>
  <c r="L24" i="66"/>
  <c r="Q23" i="66"/>
  <c r="P24" i="66"/>
  <c r="H27" i="66"/>
  <c r="I27" i="66"/>
  <c r="L25" i="66"/>
  <c r="Q24" i="66"/>
  <c r="P25" i="66"/>
  <c r="H28" i="66"/>
  <c r="I28" i="66"/>
  <c r="L26" i="66"/>
  <c r="Q25" i="66"/>
  <c r="P26" i="66"/>
  <c r="H29" i="66"/>
  <c r="I29" i="66"/>
  <c r="L27" i="66"/>
  <c r="Q26" i="66"/>
  <c r="P27" i="66"/>
  <c r="H30" i="66"/>
  <c r="I30" i="66"/>
  <c r="L28" i="66"/>
  <c r="Q27" i="66"/>
  <c r="P28" i="66"/>
  <c r="H31" i="66"/>
  <c r="I31" i="66"/>
  <c r="L29" i="66"/>
  <c r="Q28" i="66"/>
  <c r="P29" i="66"/>
  <c r="H32" i="66"/>
  <c r="I32" i="66"/>
  <c r="L30" i="66"/>
  <c r="Q29" i="66"/>
  <c r="P30" i="66"/>
  <c r="H33" i="66"/>
  <c r="I33" i="66"/>
  <c r="L31" i="66"/>
  <c r="Q30" i="66"/>
  <c r="P31" i="66"/>
  <c r="H34" i="66"/>
  <c r="I34" i="66"/>
  <c r="L32" i="66"/>
  <c r="Q31" i="66"/>
  <c r="P32" i="66"/>
  <c r="H35" i="66"/>
  <c r="I35" i="66"/>
  <c r="L33" i="66"/>
  <c r="Q32" i="66"/>
  <c r="P33" i="66"/>
  <c r="H36" i="66"/>
  <c r="I36" i="66"/>
  <c r="L34" i="66"/>
  <c r="Q33" i="66"/>
  <c r="P34" i="66"/>
  <c r="H37" i="66"/>
  <c r="I37" i="66"/>
  <c r="L35" i="66"/>
  <c r="Q34" i="66"/>
  <c r="P35" i="66"/>
  <c r="H38" i="66"/>
  <c r="I38" i="66"/>
  <c r="L36" i="66"/>
  <c r="Q35" i="66"/>
  <c r="P36" i="66"/>
  <c r="H39" i="66"/>
  <c r="I39" i="66"/>
  <c r="L37" i="66"/>
  <c r="Q36" i="66"/>
  <c r="P37" i="66"/>
  <c r="H40" i="66"/>
  <c r="I40" i="66"/>
  <c r="L38" i="66"/>
  <c r="Q37" i="66"/>
  <c r="P38" i="66"/>
  <c r="H41" i="66"/>
  <c r="I41" i="66"/>
  <c r="L39" i="66"/>
  <c r="Q38" i="66"/>
  <c r="P39" i="66"/>
  <c r="H42" i="66"/>
  <c r="I42" i="66"/>
  <c r="L40" i="66"/>
  <c r="Q39" i="66"/>
  <c r="P40" i="66"/>
  <c r="H43" i="66"/>
  <c r="I43" i="66"/>
  <c r="L41" i="66"/>
  <c r="Q40" i="66"/>
  <c r="P41" i="66"/>
  <c r="H44" i="66"/>
  <c r="I44" i="66"/>
  <c r="L42" i="66"/>
  <c r="Q41" i="66"/>
  <c r="P42" i="66"/>
  <c r="H45" i="66"/>
  <c r="I45" i="66"/>
  <c r="L43" i="66"/>
  <c r="Q42" i="66"/>
  <c r="P43" i="66"/>
  <c r="H46" i="66"/>
  <c r="I46" i="66"/>
  <c r="L44" i="66"/>
  <c r="Q43" i="66"/>
  <c r="P44" i="66"/>
  <c r="H47" i="66"/>
  <c r="I47" i="66"/>
  <c r="L45" i="66"/>
  <c r="Q44" i="66"/>
  <c r="P45" i="66"/>
  <c r="H48" i="66"/>
  <c r="I48" i="66"/>
  <c r="L46" i="66"/>
  <c r="Q45" i="66"/>
  <c r="P46" i="66"/>
  <c r="H49" i="66"/>
  <c r="I49" i="66"/>
  <c r="L47" i="66"/>
  <c r="Q46" i="66"/>
  <c r="P47" i="66"/>
  <c r="H50" i="66"/>
  <c r="I50" i="66"/>
  <c r="H51" i="66"/>
  <c r="I51" i="66"/>
  <c r="H52" i="66"/>
  <c r="I52" i="66"/>
  <c r="H53" i="66"/>
  <c r="I53" i="66"/>
  <c r="H54" i="66"/>
  <c r="I54" i="66"/>
  <c r="H55" i="66"/>
  <c r="I55" i="66"/>
  <c r="H56" i="66"/>
  <c r="I56" i="66"/>
  <c r="H57" i="66"/>
  <c r="I57" i="66"/>
  <c r="H58" i="66"/>
  <c r="I58" i="66"/>
  <c r="H59" i="66"/>
  <c r="I59" i="66"/>
  <c r="U7" i="66"/>
  <c r="U8" i="66"/>
  <c r="U9" i="66"/>
  <c r="U10" i="66"/>
  <c r="U11" i="66"/>
  <c r="U12" i="66"/>
  <c r="U13" i="66"/>
  <c r="U14" i="66"/>
  <c r="U15" i="66"/>
  <c r="U16" i="66"/>
  <c r="U17" i="66"/>
  <c r="U18" i="66"/>
  <c r="U19" i="66"/>
  <c r="U20" i="66"/>
  <c r="U21" i="66"/>
  <c r="U22" i="66"/>
  <c r="U23" i="66"/>
  <c r="U24" i="66"/>
  <c r="U25" i="66"/>
  <c r="U26" i="66"/>
  <c r="U27" i="66"/>
  <c r="U28" i="66"/>
  <c r="U29" i="66"/>
  <c r="U30" i="66"/>
  <c r="U31" i="66"/>
  <c r="U32" i="66"/>
  <c r="U33" i="66"/>
  <c r="U34" i="66"/>
  <c r="U35" i="66"/>
  <c r="U36" i="66"/>
  <c r="U37" i="66"/>
  <c r="U38" i="66"/>
  <c r="U39" i="66"/>
  <c r="U40" i="66"/>
  <c r="U41" i="66"/>
  <c r="U42" i="66"/>
  <c r="U43" i="66"/>
  <c r="U44" i="66"/>
  <c r="U45" i="66"/>
  <c r="U46" i="66"/>
  <c r="U47" i="66"/>
  <c r="H60" i="66"/>
  <c r="I60" i="66"/>
  <c r="X9" i="66"/>
  <c r="AD9" i="66"/>
  <c r="X10" i="66"/>
  <c r="AE9" i="66"/>
  <c r="AH8" i="66"/>
  <c r="X11" i="66"/>
  <c r="X12" i="66"/>
  <c r="X13" i="66"/>
  <c r="X14" i="66"/>
  <c r="X15" i="66"/>
  <c r="X16" i="66"/>
  <c r="X17" i="66"/>
  <c r="X18" i="66"/>
  <c r="X19" i="66"/>
  <c r="X20" i="66"/>
  <c r="X21" i="66"/>
  <c r="X22" i="66"/>
  <c r="X23" i="66"/>
  <c r="X24" i="66"/>
  <c r="X25" i="66"/>
  <c r="X26" i="66"/>
  <c r="X27" i="66"/>
  <c r="X28" i="66"/>
  <c r="X29" i="66"/>
  <c r="X30" i="66"/>
  <c r="X31" i="66"/>
  <c r="X32" i="66"/>
  <c r="X33" i="66"/>
  <c r="X34" i="66"/>
  <c r="X35" i="66"/>
  <c r="X36" i="66"/>
  <c r="X37" i="66"/>
  <c r="X38" i="66"/>
  <c r="X39" i="66"/>
  <c r="X40" i="66"/>
  <c r="X41" i="66"/>
  <c r="X42" i="66"/>
  <c r="X43" i="66"/>
  <c r="X44" i="66"/>
  <c r="X45" i="66"/>
  <c r="X46" i="66"/>
  <c r="X47" i="66"/>
  <c r="X48" i="66"/>
  <c r="AB7" i="66"/>
  <c r="AK7" i="66"/>
  <c r="AL7" i="66"/>
  <c r="AD8" i="66"/>
  <c r="AE8" i="66"/>
  <c r="AK9" i="66"/>
  <c r="AK10" i="66"/>
  <c r="AK11" i="66"/>
  <c r="AK12" i="66"/>
  <c r="AK13" i="66"/>
  <c r="AK14" i="66"/>
  <c r="AK15" i="66"/>
  <c r="AK16" i="66"/>
  <c r="AK17" i="66"/>
  <c r="AK18" i="66"/>
  <c r="AK19" i="66"/>
  <c r="AK20" i="66"/>
  <c r="AK21" i="66"/>
  <c r="AK22" i="66"/>
  <c r="AK23" i="66"/>
  <c r="AK24" i="66"/>
  <c r="AK25" i="66"/>
  <c r="AK26" i="66"/>
  <c r="AK27" i="66"/>
  <c r="AK28" i="66"/>
  <c r="AK29" i="66"/>
  <c r="AK30" i="66"/>
  <c r="AK31" i="66"/>
  <c r="AK32" i="66"/>
  <c r="AK33" i="66"/>
  <c r="AK34" i="66"/>
  <c r="AK35" i="66"/>
  <c r="AK36" i="66"/>
  <c r="AK37" i="66"/>
  <c r="AK38" i="66"/>
  <c r="AK39" i="66"/>
  <c r="AK40" i="66"/>
  <c r="AK41" i="66"/>
  <c r="AK42" i="66"/>
  <c r="AK43" i="66"/>
  <c r="AK44" i="66"/>
  <c r="AK45" i="66"/>
  <c r="AK46" i="66"/>
  <c r="AK47" i="66"/>
  <c r="AM47" i="66"/>
  <c r="AI47" i="66"/>
  <c r="AM46" i="66"/>
  <c r="AI46" i="66"/>
  <c r="AM45" i="66"/>
  <c r="AI45" i="66"/>
  <c r="AM44" i="66"/>
  <c r="AI44" i="66"/>
  <c r="AM43" i="66"/>
  <c r="AI43" i="66"/>
  <c r="AM42" i="66"/>
  <c r="AI42" i="66"/>
  <c r="AM41" i="66"/>
  <c r="AI41" i="66"/>
  <c r="AM40" i="66"/>
  <c r="AI40" i="66"/>
  <c r="AM39" i="66"/>
  <c r="AI39" i="66"/>
  <c r="AM38" i="66"/>
  <c r="AI38" i="66"/>
  <c r="AM37" i="66"/>
  <c r="AI37" i="66"/>
  <c r="AM36" i="66"/>
  <c r="AI36" i="66"/>
  <c r="AM35" i="66"/>
  <c r="AI35" i="66"/>
  <c r="AM34" i="66"/>
  <c r="AI34" i="66"/>
  <c r="AM33" i="66"/>
  <c r="AI33" i="66"/>
  <c r="AM32" i="66"/>
  <c r="AI32" i="66"/>
  <c r="AM31" i="66"/>
  <c r="AI31" i="66"/>
  <c r="AM30" i="66"/>
  <c r="AI30" i="66"/>
  <c r="AM29" i="66"/>
  <c r="AI29" i="66"/>
  <c r="AM28" i="66"/>
  <c r="AI28" i="66"/>
  <c r="AM27" i="66"/>
  <c r="AI27" i="66"/>
  <c r="AM26" i="66"/>
  <c r="AI26" i="66"/>
  <c r="AM25" i="66"/>
  <c r="AI25" i="66"/>
  <c r="AM24" i="66"/>
  <c r="AI24" i="66"/>
  <c r="AM23" i="66"/>
  <c r="AI23" i="66"/>
  <c r="AM22" i="66"/>
  <c r="AI22" i="66"/>
  <c r="AM21" i="66"/>
  <c r="AI21" i="66"/>
  <c r="AM20" i="66"/>
  <c r="AI20" i="66"/>
  <c r="AM19" i="66"/>
  <c r="AI19" i="66"/>
  <c r="AM18" i="66"/>
  <c r="AI18" i="66"/>
  <c r="AM17" i="66"/>
  <c r="AI17" i="66"/>
  <c r="AM16" i="66"/>
  <c r="AI16" i="66"/>
  <c r="AM15" i="66"/>
  <c r="AI15" i="66"/>
  <c r="AM14" i="66"/>
  <c r="AI14" i="66"/>
  <c r="AM13" i="66"/>
  <c r="AI13" i="66"/>
  <c r="AM12" i="66"/>
  <c r="AI12" i="66"/>
  <c r="AM11" i="66"/>
  <c r="AI11" i="66"/>
  <c r="AM10" i="66"/>
  <c r="AI10" i="66"/>
  <c r="AM9" i="66"/>
  <c r="AI9" i="66"/>
  <c r="AM8" i="66"/>
  <c r="AJ8" i="66"/>
  <c r="AF7" i="66"/>
  <c r="M45" i="67"/>
  <c r="X24" i="67"/>
  <c r="L32" i="67"/>
  <c r="L33" i="67"/>
  <c r="L31" i="67"/>
  <c r="V24" i="67"/>
  <c r="V25" i="67"/>
  <c r="V26" i="67"/>
  <c r="V23" i="67"/>
  <c r="U23" i="67"/>
  <c r="U24" i="67"/>
  <c r="U25" i="67"/>
  <c r="U26" i="67"/>
  <c r="U22" i="67"/>
  <c r="L44" i="67"/>
  <c r="M22" i="67"/>
  <c r="Q22" i="67"/>
  <c r="V22" i="67"/>
  <c r="K23" i="67"/>
  <c r="L6" i="67"/>
  <c r="L23" i="67"/>
  <c r="M23" i="67"/>
  <c r="R23" i="67"/>
  <c r="N23" i="67"/>
  <c r="D6" i="67"/>
  <c r="G6" i="67"/>
  <c r="P23" i="67"/>
  <c r="Q23" i="67"/>
  <c r="B7" i="67"/>
  <c r="K24" i="67"/>
  <c r="L7" i="67"/>
  <c r="L24" i="67"/>
  <c r="M7" i="67"/>
  <c r="M24" i="67"/>
  <c r="R24" i="67"/>
  <c r="N24" i="67"/>
  <c r="D7" i="67"/>
  <c r="G7" i="67"/>
  <c r="P24" i="67"/>
  <c r="Q24" i="67"/>
  <c r="B8" i="67"/>
  <c r="K25" i="67"/>
  <c r="L8" i="67"/>
  <c r="L25" i="67"/>
  <c r="M8" i="67"/>
  <c r="M25" i="67"/>
  <c r="R25" i="67"/>
  <c r="N25" i="67"/>
  <c r="D8" i="67"/>
  <c r="G8" i="67"/>
  <c r="P25" i="67"/>
  <c r="Q25" i="67"/>
  <c r="B9" i="67"/>
  <c r="K26" i="67"/>
  <c r="L9" i="67"/>
  <c r="L26" i="67"/>
  <c r="M9" i="67"/>
  <c r="M26" i="67"/>
  <c r="R26" i="67"/>
  <c r="N26" i="67"/>
  <c r="D9" i="67"/>
  <c r="G9" i="67"/>
  <c r="P26" i="67"/>
  <c r="Q26" i="67"/>
  <c r="K40" i="67"/>
  <c r="L46" i="67"/>
  <c r="L47" i="67"/>
  <c r="L48" i="67"/>
  <c r="K39" i="67"/>
  <c r="L39" i="67"/>
  <c r="L40" i="67"/>
  <c r="K41" i="67"/>
  <c r="L41" i="67"/>
  <c r="Q15" i="67"/>
  <c r="U15" i="67"/>
  <c r="V15" i="67"/>
  <c r="K6" i="67"/>
  <c r="K16" i="67"/>
  <c r="L16" i="67"/>
  <c r="M16" i="67"/>
  <c r="N6" i="67"/>
  <c r="N16" i="67"/>
  <c r="H6" i="67"/>
  <c r="O16" i="67"/>
  <c r="P16" i="67"/>
  <c r="Q16" i="67"/>
  <c r="U16" i="67"/>
  <c r="V16" i="67"/>
  <c r="R16" i="67"/>
  <c r="Q5" i="67"/>
  <c r="U5" i="67"/>
  <c r="V5" i="67"/>
  <c r="O6" i="67"/>
  <c r="P6" i="67"/>
  <c r="Q6" i="67"/>
  <c r="U6" i="67"/>
  <c r="V6" i="67"/>
  <c r="K7" i="67"/>
  <c r="N7" i="67"/>
  <c r="H7" i="67"/>
  <c r="O7" i="67"/>
  <c r="P7" i="67"/>
  <c r="Q7" i="67"/>
  <c r="T7" i="67"/>
  <c r="U7" i="67"/>
  <c r="V7" i="67"/>
  <c r="K8" i="67"/>
  <c r="N8" i="67"/>
  <c r="H8" i="67"/>
  <c r="O8" i="67"/>
  <c r="P8" i="67"/>
  <c r="Q8" i="67"/>
  <c r="T8" i="67"/>
  <c r="U8" i="67"/>
  <c r="V8" i="67"/>
  <c r="K9" i="67"/>
  <c r="N9" i="67"/>
  <c r="H9" i="67"/>
  <c r="O9" i="67"/>
  <c r="P9" i="67"/>
  <c r="Q9" i="67"/>
  <c r="T9" i="67"/>
  <c r="U9" i="67"/>
  <c r="V9" i="67"/>
  <c r="S31" i="68"/>
  <c r="U31" i="68"/>
  <c r="V31" i="68"/>
  <c r="W31" i="68"/>
  <c r="S32" i="68"/>
  <c r="O32" i="68"/>
  <c r="R32" i="68"/>
  <c r="T32" i="68"/>
  <c r="U32" i="68"/>
  <c r="V32" i="68"/>
  <c r="W32" i="68"/>
  <c r="S33" i="68"/>
  <c r="O33" i="68"/>
  <c r="R33" i="68"/>
  <c r="T33" i="68"/>
  <c r="U33" i="68"/>
  <c r="V33" i="68"/>
  <c r="W33" i="68"/>
  <c r="S34" i="68"/>
  <c r="O34" i="68"/>
  <c r="R34" i="68"/>
  <c r="T34" i="68"/>
  <c r="U34" i="68"/>
  <c r="V34" i="68"/>
  <c r="W34" i="68"/>
  <c r="S35" i="68"/>
  <c r="O35" i="68"/>
  <c r="R35" i="68"/>
  <c r="T35" i="68"/>
  <c r="U35" i="68"/>
  <c r="V35" i="68"/>
  <c r="W35" i="68"/>
  <c r="S36" i="68"/>
  <c r="O36" i="68"/>
  <c r="R36" i="68"/>
  <c r="T36" i="68"/>
  <c r="U36" i="68"/>
  <c r="V36" i="68"/>
  <c r="W36" i="68"/>
  <c r="S37" i="68"/>
  <c r="S30" i="68"/>
  <c r="S29" i="68"/>
  <c r="S28" i="68"/>
  <c r="P29" i="68"/>
  <c r="P30" i="68"/>
  <c r="P31" i="68"/>
  <c r="P32" i="68"/>
  <c r="P33" i="68"/>
  <c r="P34" i="68"/>
  <c r="P35" i="68"/>
  <c r="P36" i="68"/>
  <c r="P37" i="68"/>
  <c r="P28" i="68"/>
  <c r="N30" i="68"/>
  <c r="N31" i="68"/>
  <c r="N32" i="68"/>
  <c r="N33" i="68"/>
  <c r="N34" i="68"/>
  <c r="N35" i="68"/>
  <c r="N36" i="68"/>
  <c r="N37" i="68"/>
  <c r="N38" i="68"/>
  <c r="N29" i="68"/>
  <c r="M16" i="68"/>
  <c r="N16" i="68"/>
  <c r="V16" i="68"/>
  <c r="W16" i="68"/>
  <c r="X16" i="68"/>
  <c r="Y16" i="68"/>
  <c r="M17" i="68"/>
  <c r="U17" i="68"/>
  <c r="N17" i="68"/>
  <c r="V17" i="68"/>
  <c r="W17" i="68"/>
  <c r="X17" i="68"/>
  <c r="Y17" i="68"/>
  <c r="M18" i="68"/>
  <c r="O17" i="68"/>
  <c r="Q18" i="68"/>
  <c r="T18" i="68"/>
  <c r="U18" i="68"/>
  <c r="N18" i="68"/>
  <c r="V18" i="68"/>
  <c r="W18" i="68"/>
  <c r="X18" i="68"/>
  <c r="Y18" i="68"/>
  <c r="M19" i="68"/>
  <c r="O18" i="68"/>
  <c r="Q19" i="68"/>
  <c r="T19" i="68"/>
  <c r="U19" i="68"/>
  <c r="N19" i="68"/>
  <c r="V19" i="68"/>
  <c r="W19" i="68"/>
  <c r="X19" i="68"/>
  <c r="Y19" i="68"/>
  <c r="M20" i="68"/>
  <c r="O19" i="68"/>
  <c r="Q20" i="68"/>
  <c r="T20" i="68"/>
  <c r="U20" i="68"/>
  <c r="N20" i="68"/>
  <c r="V20" i="68"/>
  <c r="W20" i="68"/>
  <c r="X20" i="68"/>
  <c r="Y20" i="68"/>
  <c r="M21" i="68"/>
  <c r="O20" i="68"/>
  <c r="Q21" i="68"/>
  <c r="T21" i="68"/>
  <c r="U21" i="68"/>
  <c r="N21" i="68"/>
  <c r="V21" i="68"/>
  <c r="W21" i="68"/>
  <c r="X21" i="68"/>
  <c r="Y21" i="68"/>
  <c r="M22" i="68"/>
  <c r="U16" i="68"/>
  <c r="U22" i="68"/>
  <c r="U15" i="68"/>
  <c r="M15" i="68"/>
  <c r="S15" i="68"/>
  <c r="S16" i="68"/>
  <c r="S17" i="68"/>
  <c r="S18" i="68"/>
  <c r="S19" i="68"/>
  <c r="S20" i="68"/>
  <c r="S21" i="68"/>
  <c r="S22" i="68"/>
  <c r="S14" i="68"/>
  <c r="S12" i="68"/>
  <c r="R14" i="68"/>
  <c r="R15" i="68"/>
  <c r="R16" i="68"/>
  <c r="R17" i="68"/>
  <c r="R18" i="68"/>
  <c r="R19" i="68"/>
  <c r="R20" i="68"/>
  <c r="R21" i="68"/>
  <c r="R22" i="68"/>
  <c r="R13" i="68"/>
  <c r="O13" i="68"/>
  <c r="M14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15" i="68"/>
  <c r="B13" i="68"/>
  <c r="B14" i="68"/>
  <c r="B12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D32" i="68"/>
  <c r="D33" i="68"/>
  <c r="D34" i="68"/>
  <c r="D35" i="68"/>
  <c r="D36" i="68"/>
  <c r="D37" i="68"/>
  <c r="D38" i="68"/>
  <c r="D39" i="68"/>
  <c r="D40" i="68"/>
  <c r="D41" i="68"/>
  <c r="D42" i="68"/>
  <c r="D43" i="68"/>
  <c r="D44" i="68"/>
  <c r="D45" i="68"/>
  <c r="D46" i="68"/>
  <c r="D47" i="68"/>
  <c r="D48" i="68"/>
  <c r="D49" i="68"/>
  <c r="D50" i="68"/>
  <c r="D51" i="68"/>
  <c r="D52" i="68"/>
  <c r="D53" i="68"/>
  <c r="D54" i="68"/>
  <c r="D55" i="68"/>
  <c r="D56" i="68"/>
  <c r="D57" i="68"/>
  <c r="D58" i="68"/>
  <c r="D59" i="68"/>
  <c r="D60" i="68"/>
  <c r="D61" i="68"/>
  <c r="D62" i="68"/>
  <c r="D63" i="68"/>
  <c r="D64" i="68"/>
  <c r="D65" i="68"/>
  <c r="D66" i="68"/>
  <c r="D67" i="68"/>
  <c r="D68" i="68"/>
  <c r="D69" i="68"/>
  <c r="D70" i="68"/>
  <c r="D71" i="68"/>
  <c r="D72" i="68"/>
  <c r="D73" i="68"/>
  <c r="D74" i="68"/>
  <c r="D75" i="68"/>
  <c r="D76" i="68"/>
  <c r="D77" i="68"/>
  <c r="D78" i="68"/>
  <c r="D79" i="68"/>
  <c r="D80" i="68"/>
  <c r="D81" i="68"/>
  <c r="D82" i="68"/>
  <c r="D83" i="68"/>
  <c r="D84" i="68"/>
  <c r="D85" i="68"/>
  <c r="D86" i="68"/>
  <c r="D87" i="68"/>
  <c r="F3" i="68"/>
  <c r="F4" i="68"/>
  <c r="H14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58" i="68"/>
  <c r="E59" i="68"/>
  <c r="E60" i="68"/>
  <c r="E61" i="68"/>
  <c r="E62" i="68"/>
  <c r="E63" i="68"/>
  <c r="E64" i="68"/>
  <c r="E65" i="68"/>
  <c r="E66" i="68"/>
  <c r="E67" i="68"/>
  <c r="E68" i="68"/>
  <c r="E69" i="68"/>
  <c r="E70" i="68"/>
  <c r="E71" i="68"/>
  <c r="E72" i="68"/>
  <c r="E73" i="68"/>
  <c r="E74" i="68"/>
  <c r="E75" i="68"/>
  <c r="E76" i="68"/>
  <c r="E77" i="68"/>
  <c r="E78" i="68"/>
  <c r="E79" i="68"/>
  <c r="E80" i="68"/>
  <c r="E81" i="68"/>
  <c r="E82" i="68"/>
  <c r="E83" i="68"/>
  <c r="E84" i="68"/>
  <c r="E85" i="68"/>
  <c r="E86" i="68"/>
  <c r="E87" i="68"/>
  <c r="F5" i="68"/>
  <c r="H19" i="68"/>
  <c r="H15" i="68"/>
  <c r="I13" i="68"/>
  <c r="I15" i="68"/>
  <c r="H20" i="68"/>
  <c r="H27" i="68"/>
  <c r="I27" i="68"/>
  <c r="M13" i="68"/>
  <c r="B7" i="68"/>
  <c r="C87" i="68"/>
  <c r="C86" i="68"/>
  <c r="C85" i="68"/>
  <c r="C84" i="68"/>
  <c r="C83" i="68"/>
  <c r="C82" i="68"/>
  <c r="C81" i="68"/>
  <c r="C80" i="68"/>
  <c r="C79" i="68"/>
  <c r="C78" i="68"/>
  <c r="C77" i="68"/>
  <c r="C76" i="68"/>
  <c r="C75" i="68"/>
  <c r="C74" i="68"/>
  <c r="C73" i="68"/>
  <c r="C72" i="68"/>
  <c r="C71" i="68"/>
  <c r="C70" i="68"/>
  <c r="C69" i="68"/>
  <c r="C68" i="68"/>
  <c r="C67" i="68"/>
  <c r="C66" i="68"/>
  <c r="C65" i="68"/>
  <c r="C64" i="68"/>
  <c r="C63" i="68"/>
  <c r="C62" i="68"/>
  <c r="C61" i="68"/>
  <c r="C60" i="68"/>
  <c r="C59" i="68"/>
  <c r="C58" i="68"/>
  <c r="C57" i="68"/>
  <c r="C56" i="68"/>
  <c r="C55" i="68"/>
  <c r="C54" i="68"/>
  <c r="C53" i="68"/>
  <c r="C52" i="68"/>
  <c r="C51" i="68"/>
  <c r="C50" i="68"/>
  <c r="C49" i="68"/>
  <c r="C48" i="68"/>
  <c r="C47" i="68"/>
  <c r="C46" i="68"/>
  <c r="C45" i="68"/>
  <c r="C44" i="68"/>
  <c r="C43" i="68"/>
  <c r="C42" i="68"/>
  <c r="C41" i="68"/>
  <c r="C40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H26" i="68"/>
  <c r="I26" i="68"/>
  <c r="G39" i="68"/>
  <c r="H36" i="68"/>
  <c r="I36" i="68"/>
  <c r="H35" i="68"/>
  <c r="I35" i="68"/>
  <c r="Q29" i="68"/>
  <c r="R29" i="68"/>
  <c r="AB14" i="68"/>
  <c r="H28" i="68"/>
  <c r="I28" i="68"/>
  <c r="T29" i="68"/>
  <c r="U29" i="68"/>
  <c r="V29" i="68"/>
  <c r="W29" i="68"/>
  <c r="O30" i="68"/>
  <c r="Q30" i="68"/>
  <c r="R30" i="68"/>
  <c r="AB15" i="68"/>
  <c r="H29" i="68"/>
  <c r="I29" i="68"/>
  <c r="T30" i="68"/>
  <c r="U30" i="68"/>
  <c r="V30" i="68"/>
  <c r="W30" i="68"/>
  <c r="O31" i="68"/>
  <c r="Q31" i="68"/>
  <c r="R31" i="68"/>
  <c r="AB16" i="68"/>
  <c r="H30" i="68"/>
  <c r="I30" i="68"/>
  <c r="T31" i="68"/>
  <c r="Q32" i="68"/>
  <c r="AB17" i="68"/>
  <c r="H31" i="68"/>
  <c r="I31" i="68"/>
  <c r="Q33" i="68"/>
  <c r="AB18" i="68"/>
  <c r="H32" i="68"/>
  <c r="I32" i="68"/>
  <c r="Q34" i="68"/>
  <c r="AB19" i="68"/>
  <c r="H33" i="68"/>
  <c r="I33" i="68"/>
  <c r="Q35" i="68"/>
  <c r="AB20" i="68"/>
  <c r="H34" i="68"/>
  <c r="I34" i="68"/>
  <c r="Q36" i="68"/>
  <c r="AB21" i="68"/>
  <c r="O37" i="68"/>
  <c r="AB37" i="68"/>
  <c r="Q37" i="68"/>
  <c r="AA37" i="68"/>
  <c r="R37" i="68"/>
  <c r="AB22" i="68"/>
  <c r="T37" i="68"/>
  <c r="U37" i="68"/>
  <c r="V37" i="68"/>
  <c r="X37" i="68"/>
  <c r="W37" i="68"/>
  <c r="AB36" i="68"/>
  <c r="AA36" i="68"/>
  <c r="X36" i="68"/>
  <c r="AB35" i="68"/>
  <c r="AA35" i="68"/>
  <c r="X35" i="68"/>
  <c r="AB34" i="68"/>
  <c r="AA34" i="68"/>
  <c r="X34" i="68"/>
  <c r="AB33" i="68"/>
  <c r="AA33" i="68"/>
  <c r="X33" i="68"/>
  <c r="AB32" i="68"/>
  <c r="AA32" i="68"/>
  <c r="X32" i="68"/>
  <c r="AB31" i="68"/>
  <c r="AA31" i="68"/>
  <c r="X31" i="68"/>
  <c r="AB30" i="68"/>
  <c r="AA30" i="68"/>
  <c r="X30" i="68"/>
  <c r="AB29" i="68"/>
  <c r="AA29" i="68"/>
  <c r="X29" i="68"/>
  <c r="Q28" i="68"/>
  <c r="R28" i="68"/>
  <c r="AB13" i="68"/>
  <c r="T28" i="68"/>
  <c r="U28" i="68"/>
  <c r="Q27" i="68"/>
  <c r="T14" i="68"/>
  <c r="U14" i="68"/>
  <c r="N14" i="68"/>
  <c r="V14" i="68"/>
  <c r="W14" i="68"/>
  <c r="X14" i="68"/>
  <c r="Y14" i="68"/>
  <c r="T15" i="68"/>
  <c r="N15" i="68"/>
  <c r="V15" i="68"/>
  <c r="W15" i="68"/>
  <c r="X15" i="68"/>
  <c r="Y15" i="68"/>
  <c r="T16" i="68"/>
  <c r="T17" i="68"/>
  <c r="O21" i="68"/>
  <c r="Q22" i="68"/>
  <c r="T22" i="68"/>
  <c r="N22" i="68"/>
  <c r="V22" i="68"/>
  <c r="W22" i="68"/>
  <c r="X22" i="68"/>
  <c r="Z22" i="68"/>
  <c r="Y22" i="68"/>
  <c r="O22" i="68"/>
  <c r="Z21" i="68"/>
  <c r="Z20" i="68"/>
  <c r="Z19" i="68"/>
  <c r="Z18" i="68"/>
  <c r="Z17" i="68"/>
  <c r="Z16" i="68"/>
  <c r="O16" i="68"/>
  <c r="H16" i="68"/>
  <c r="Z15" i="68"/>
  <c r="O15" i="68"/>
  <c r="Z14" i="68"/>
  <c r="O14" i="68"/>
  <c r="T13" i="68"/>
  <c r="U13" i="68"/>
  <c r="N13" i="68"/>
  <c r="V13" i="68"/>
  <c r="W13" i="68"/>
  <c r="B4" i="68"/>
  <c r="B6" i="68"/>
  <c r="B7" i="59"/>
  <c r="B6" i="59"/>
  <c r="O14" i="59"/>
  <c r="J33" i="59"/>
  <c r="O13" i="59"/>
  <c r="J32" i="59"/>
  <c r="O12" i="59"/>
  <c r="J31" i="59"/>
  <c r="O11" i="59"/>
  <c r="J30" i="59"/>
  <c r="O15" i="59"/>
  <c r="H34" i="59"/>
  <c r="H33" i="59"/>
  <c r="H32" i="59"/>
  <c r="H31" i="59"/>
  <c r="I34" i="59"/>
  <c r="H30" i="59"/>
  <c r="H16" i="59"/>
  <c r="G13" i="59"/>
  <c r="G14" i="59"/>
  <c r="G15" i="59"/>
  <c r="G16" i="59"/>
  <c r="G12" i="59"/>
  <c r="D30" i="59"/>
  <c r="G30" i="59"/>
  <c r="K30" i="59"/>
  <c r="N30" i="59"/>
  <c r="L30" i="59"/>
  <c r="M30" i="59"/>
  <c r="O30" i="59"/>
  <c r="D31" i="59"/>
  <c r="G31" i="59"/>
  <c r="K31" i="59"/>
  <c r="P12" i="59"/>
  <c r="N31" i="59"/>
  <c r="L31" i="59"/>
  <c r="M31" i="59"/>
  <c r="O31" i="59"/>
  <c r="D32" i="59"/>
  <c r="G32" i="59"/>
  <c r="K32" i="59"/>
  <c r="P13" i="59"/>
  <c r="N32" i="59"/>
  <c r="L32" i="59"/>
  <c r="M32" i="59"/>
  <c r="O32" i="59"/>
  <c r="D33" i="59"/>
  <c r="G33" i="59"/>
  <c r="K33" i="59"/>
  <c r="P14" i="59"/>
  <c r="N33" i="59"/>
  <c r="L33" i="59"/>
  <c r="M33" i="59"/>
  <c r="O33" i="59"/>
  <c r="D34" i="59"/>
  <c r="G34" i="59"/>
  <c r="K34" i="59"/>
  <c r="P15" i="59"/>
  <c r="N34" i="59"/>
  <c r="L34" i="59"/>
  <c r="M34" i="59"/>
  <c r="O34" i="59"/>
  <c r="M29" i="59"/>
  <c r="D29" i="59"/>
  <c r="G29" i="59"/>
  <c r="K29" i="59"/>
  <c r="N29" i="59"/>
  <c r="L29" i="59"/>
  <c r="O29" i="59"/>
  <c r="P34" i="59"/>
  <c r="B35" i="59"/>
  <c r="P35" i="59"/>
  <c r="B36" i="59"/>
  <c r="P36" i="59"/>
  <c r="B37" i="59"/>
  <c r="P37" i="59"/>
  <c r="B38" i="59"/>
  <c r="P38" i="59"/>
  <c r="B39" i="59"/>
  <c r="P39" i="59"/>
  <c r="H36" i="59"/>
  <c r="J36" i="59"/>
  <c r="C36" i="59"/>
  <c r="D36" i="59"/>
  <c r="E36" i="59"/>
  <c r="G36" i="59"/>
  <c r="I36" i="59"/>
  <c r="K36" i="59"/>
  <c r="N36" i="59"/>
  <c r="L36" i="59"/>
  <c r="M36" i="59"/>
  <c r="O36" i="59"/>
  <c r="H37" i="59"/>
  <c r="J37" i="59"/>
  <c r="C37" i="59"/>
  <c r="D37" i="59"/>
  <c r="E37" i="59"/>
  <c r="G37" i="59"/>
  <c r="I37" i="59"/>
  <c r="K37" i="59"/>
  <c r="N37" i="59"/>
  <c r="L37" i="59"/>
  <c r="M37" i="59"/>
  <c r="O37" i="59"/>
  <c r="H38" i="59"/>
  <c r="J38" i="59"/>
  <c r="C38" i="59"/>
  <c r="D38" i="59"/>
  <c r="E38" i="59"/>
  <c r="G38" i="59"/>
  <c r="I38" i="59"/>
  <c r="K38" i="59"/>
  <c r="N38" i="59"/>
  <c r="L38" i="59"/>
  <c r="M38" i="59"/>
  <c r="O38" i="59"/>
  <c r="H39" i="59"/>
  <c r="J39" i="59"/>
  <c r="C39" i="59"/>
  <c r="D39" i="59"/>
  <c r="E39" i="59"/>
  <c r="G39" i="59"/>
  <c r="I39" i="59"/>
  <c r="K39" i="59"/>
  <c r="N39" i="59"/>
  <c r="L39" i="59"/>
  <c r="M39" i="59"/>
  <c r="O39" i="59"/>
  <c r="H40" i="59"/>
  <c r="I40" i="59"/>
  <c r="B40" i="59"/>
  <c r="C40" i="59"/>
  <c r="D40" i="59"/>
  <c r="E40" i="59"/>
  <c r="G40" i="59"/>
  <c r="J40" i="59"/>
  <c r="K40" i="59"/>
  <c r="N40" i="59"/>
  <c r="L40" i="59"/>
  <c r="M40" i="59"/>
  <c r="O40" i="59"/>
  <c r="M35" i="59"/>
  <c r="C35" i="59"/>
  <c r="D35" i="59"/>
  <c r="E35" i="59"/>
  <c r="G35" i="59"/>
  <c r="H35" i="59"/>
  <c r="I35" i="59"/>
  <c r="J35" i="59"/>
  <c r="K35" i="59"/>
  <c r="N35" i="59"/>
  <c r="L35" i="59"/>
  <c r="O35" i="59"/>
  <c r="P40" i="59"/>
  <c r="B41" i="59"/>
  <c r="P41" i="59"/>
  <c r="B42" i="59"/>
  <c r="P42" i="59"/>
  <c r="B43" i="59"/>
  <c r="P43" i="59"/>
  <c r="B44" i="59"/>
  <c r="P44" i="59"/>
  <c r="B45" i="59"/>
  <c r="P45" i="59"/>
  <c r="H42" i="59"/>
  <c r="J42" i="59"/>
  <c r="C42" i="59"/>
  <c r="D42" i="59"/>
  <c r="E42" i="59"/>
  <c r="G42" i="59"/>
  <c r="I42" i="59"/>
  <c r="K42" i="59"/>
  <c r="N42" i="59"/>
  <c r="L42" i="59"/>
  <c r="M42" i="59"/>
  <c r="O42" i="59"/>
  <c r="H43" i="59"/>
  <c r="J43" i="59"/>
  <c r="C43" i="59"/>
  <c r="D43" i="59"/>
  <c r="E43" i="59"/>
  <c r="G43" i="59"/>
  <c r="I43" i="59"/>
  <c r="K43" i="59"/>
  <c r="N43" i="59"/>
  <c r="L43" i="59"/>
  <c r="M43" i="59"/>
  <c r="O43" i="59"/>
  <c r="H44" i="59"/>
  <c r="J44" i="59"/>
  <c r="C44" i="59"/>
  <c r="D44" i="59"/>
  <c r="E44" i="59"/>
  <c r="G44" i="59"/>
  <c r="I44" i="59"/>
  <c r="K44" i="59"/>
  <c r="N44" i="59"/>
  <c r="L44" i="59"/>
  <c r="M44" i="59"/>
  <c r="O44" i="59"/>
  <c r="H45" i="59"/>
  <c r="J45" i="59"/>
  <c r="C45" i="59"/>
  <c r="D45" i="59"/>
  <c r="E45" i="59"/>
  <c r="G45" i="59"/>
  <c r="I45" i="59"/>
  <c r="K45" i="59"/>
  <c r="N45" i="59"/>
  <c r="L45" i="59"/>
  <c r="M45" i="59"/>
  <c r="O45" i="59"/>
  <c r="H46" i="59"/>
  <c r="I46" i="59"/>
  <c r="B46" i="59"/>
  <c r="C46" i="59"/>
  <c r="D46" i="59"/>
  <c r="E46" i="59"/>
  <c r="G46" i="59"/>
  <c r="J46" i="59"/>
  <c r="K46" i="59"/>
  <c r="N46" i="59"/>
  <c r="L46" i="59"/>
  <c r="M46" i="59"/>
  <c r="O46" i="59"/>
  <c r="M41" i="59"/>
  <c r="C41" i="59"/>
  <c r="D41" i="59"/>
  <c r="E41" i="59"/>
  <c r="G41" i="59"/>
  <c r="H41" i="59"/>
  <c r="I41" i="59"/>
  <c r="J41" i="59"/>
  <c r="K41" i="59"/>
  <c r="N41" i="59"/>
  <c r="L41" i="59"/>
  <c r="O41" i="59"/>
  <c r="P46" i="59"/>
  <c r="B47" i="59"/>
  <c r="P47" i="59"/>
  <c r="B48" i="59"/>
  <c r="P48" i="59"/>
  <c r="B49" i="59"/>
  <c r="P49" i="59"/>
  <c r="B50" i="59"/>
  <c r="P50" i="59"/>
  <c r="B51" i="59"/>
  <c r="P51" i="59"/>
  <c r="H48" i="59"/>
  <c r="J48" i="59"/>
  <c r="C48" i="59"/>
  <c r="D48" i="59"/>
  <c r="E48" i="59"/>
  <c r="G48" i="59"/>
  <c r="I48" i="59"/>
  <c r="K48" i="59"/>
  <c r="N48" i="59"/>
  <c r="L48" i="59"/>
  <c r="M48" i="59"/>
  <c r="O48" i="59"/>
  <c r="H49" i="59"/>
  <c r="J49" i="59"/>
  <c r="C49" i="59"/>
  <c r="D49" i="59"/>
  <c r="E49" i="59"/>
  <c r="G49" i="59"/>
  <c r="I49" i="59"/>
  <c r="K49" i="59"/>
  <c r="N49" i="59"/>
  <c r="L49" i="59"/>
  <c r="M49" i="59"/>
  <c r="O49" i="59"/>
  <c r="H50" i="59"/>
  <c r="J50" i="59"/>
  <c r="C50" i="59"/>
  <c r="D50" i="59"/>
  <c r="E50" i="59"/>
  <c r="G50" i="59"/>
  <c r="I50" i="59"/>
  <c r="K50" i="59"/>
  <c r="N50" i="59"/>
  <c r="L50" i="59"/>
  <c r="M50" i="59"/>
  <c r="O50" i="59"/>
  <c r="H51" i="59"/>
  <c r="J51" i="59"/>
  <c r="C51" i="59"/>
  <c r="D51" i="59"/>
  <c r="E51" i="59"/>
  <c r="G51" i="59"/>
  <c r="I51" i="59"/>
  <c r="K51" i="59"/>
  <c r="N51" i="59"/>
  <c r="L51" i="59"/>
  <c r="M51" i="59"/>
  <c r="O51" i="59"/>
  <c r="H52" i="59"/>
  <c r="I52" i="59"/>
  <c r="B52" i="59"/>
  <c r="C52" i="59"/>
  <c r="D52" i="59"/>
  <c r="E52" i="59"/>
  <c r="G52" i="59"/>
  <c r="J52" i="59"/>
  <c r="K52" i="59"/>
  <c r="N52" i="59"/>
  <c r="L52" i="59"/>
  <c r="M52" i="59"/>
  <c r="O52" i="59"/>
  <c r="M47" i="59"/>
  <c r="C47" i="59"/>
  <c r="D47" i="59"/>
  <c r="E47" i="59"/>
  <c r="G47" i="59"/>
  <c r="H47" i="59"/>
  <c r="I47" i="59"/>
  <c r="J47" i="59"/>
  <c r="K47" i="59"/>
  <c r="N47" i="59"/>
  <c r="L47" i="59"/>
  <c r="O47" i="59"/>
  <c r="P52" i="59"/>
  <c r="B53" i="59"/>
  <c r="P53" i="59"/>
  <c r="B54" i="59"/>
  <c r="P54" i="59"/>
  <c r="B55" i="59"/>
  <c r="P55" i="59"/>
  <c r="B56" i="59"/>
  <c r="P56" i="59"/>
  <c r="B57" i="59"/>
  <c r="P57" i="59"/>
  <c r="H54" i="59"/>
  <c r="J54" i="59"/>
  <c r="C54" i="59"/>
  <c r="D54" i="59"/>
  <c r="E54" i="59"/>
  <c r="G54" i="59"/>
  <c r="I54" i="59"/>
  <c r="K54" i="59"/>
  <c r="N54" i="59"/>
  <c r="L54" i="59"/>
  <c r="M54" i="59"/>
  <c r="O54" i="59"/>
  <c r="H55" i="59"/>
  <c r="J55" i="59"/>
  <c r="C55" i="59"/>
  <c r="D55" i="59"/>
  <c r="E55" i="59"/>
  <c r="G55" i="59"/>
  <c r="I55" i="59"/>
  <c r="K55" i="59"/>
  <c r="N55" i="59"/>
  <c r="L55" i="59"/>
  <c r="M55" i="59"/>
  <c r="O55" i="59"/>
  <c r="H56" i="59"/>
  <c r="J56" i="59"/>
  <c r="C56" i="59"/>
  <c r="D56" i="59"/>
  <c r="E56" i="59"/>
  <c r="G56" i="59"/>
  <c r="I56" i="59"/>
  <c r="K56" i="59"/>
  <c r="N56" i="59"/>
  <c r="L56" i="59"/>
  <c r="M56" i="59"/>
  <c r="O56" i="59"/>
  <c r="H57" i="59"/>
  <c r="J57" i="59"/>
  <c r="C57" i="59"/>
  <c r="D57" i="59"/>
  <c r="E57" i="59"/>
  <c r="G57" i="59"/>
  <c r="I57" i="59"/>
  <c r="K57" i="59"/>
  <c r="N57" i="59"/>
  <c r="L57" i="59"/>
  <c r="M57" i="59"/>
  <c r="O57" i="59"/>
  <c r="H58" i="59"/>
  <c r="I58" i="59"/>
  <c r="B58" i="59"/>
  <c r="C58" i="59"/>
  <c r="D58" i="59"/>
  <c r="E58" i="59"/>
  <c r="G58" i="59"/>
  <c r="J58" i="59"/>
  <c r="K58" i="59"/>
  <c r="N58" i="59"/>
  <c r="L58" i="59"/>
  <c r="M58" i="59"/>
  <c r="O58" i="59"/>
  <c r="M53" i="59"/>
  <c r="C53" i="59"/>
  <c r="D53" i="59"/>
  <c r="E53" i="59"/>
  <c r="G53" i="59"/>
  <c r="H53" i="59"/>
  <c r="I53" i="59"/>
  <c r="J53" i="59"/>
  <c r="K53" i="59"/>
  <c r="N53" i="59"/>
  <c r="L53" i="59"/>
  <c r="O53" i="59"/>
  <c r="P58" i="59"/>
  <c r="B59" i="59"/>
  <c r="P59" i="59"/>
  <c r="B60" i="59"/>
  <c r="P60" i="59"/>
  <c r="B61" i="59"/>
  <c r="P61" i="59"/>
  <c r="B62" i="59"/>
  <c r="P62" i="59"/>
  <c r="B63" i="59"/>
  <c r="P63" i="59"/>
  <c r="H60" i="59"/>
  <c r="J60" i="59"/>
  <c r="C60" i="59"/>
  <c r="D60" i="59"/>
  <c r="E60" i="59"/>
  <c r="G60" i="59"/>
  <c r="I60" i="59"/>
  <c r="K60" i="59"/>
  <c r="N60" i="59"/>
  <c r="L60" i="59"/>
  <c r="M60" i="59"/>
  <c r="O60" i="59"/>
  <c r="H61" i="59"/>
  <c r="J61" i="59"/>
  <c r="C61" i="59"/>
  <c r="D61" i="59"/>
  <c r="E61" i="59"/>
  <c r="G61" i="59"/>
  <c r="I61" i="59"/>
  <c r="K61" i="59"/>
  <c r="N61" i="59"/>
  <c r="L61" i="59"/>
  <c r="M61" i="59"/>
  <c r="O61" i="59"/>
  <c r="H62" i="59"/>
  <c r="J62" i="59"/>
  <c r="C62" i="59"/>
  <c r="D62" i="59"/>
  <c r="E62" i="59"/>
  <c r="G62" i="59"/>
  <c r="I62" i="59"/>
  <c r="K62" i="59"/>
  <c r="N62" i="59"/>
  <c r="L62" i="59"/>
  <c r="M62" i="59"/>
  <c r="O62" i="59"/>
  <c r="H63" i="59"/>
  <c r="J63" i="59"/>
  <c r="C63" i="59"/>
  <c r="D63" i="59"/>
  <c r="E63" i="59"/>
  <c r="G63" i="59"/>
  <c r="I63" i="59"/>
  <c r="K63" i="59"/>
  <c r="N63" i="59"/>
  <c r="L63" i="59"/>
  <c r="M63" i="59"/>
  <c r="O63" i="59"/>
  <c r="H64" i="59"/>
  <c r="I64" i="59"/>
  <c r="B64" i="59"/>
  <c r="C64" i="59"/>
  <c r="D64" i="59"/>
  <c r="E64" i="59"/>
  <c r="G64" i="59"/>
  <c r="J64" i="59"/>
  <c r="K64" i="59"/>
  <c r="N64" i="59"/>
  <c r="L64" i="59"/>
  <c r="M64" i="59"/>
  <c r="O64" i="59"/>
  <c r="M59" i="59"/>
  <c r="C59" i="59"/>
  <c r="D59" i="59"/>
  <c r="E59" i="59"/>
  <c r="G59" i="59"/>
  <c r="H59" i="59"/>
  <c r="I59" i="59"/>
  <c r="J59" i="59"/>
  <c r="K59" i="59"/>
  <c r="N59" i="59"/>
  <c r="L59" i="59"/>
  <c r="O59" i="59"/>
  <c r="P64" i="59"/>
  <c r="B65" i="59"/>
  <c r="P65" i="59"/>
  <c r="B66" i="59"/>
  <c r="P66" i="59"/>
  <c r="B67" i="59"/>
  <c r="P67" i="59"/>
  <c r="B68" i="59"/>
  <c r="P68" i="59"/>
  <c r="B69" i="59"/>
  <c r="P69" i="59"/>
  <c r="H66" i="59"/>
  <c r="J66" i="59"/>
  <c r="C66" i="59"/>
  <c r="D66" i="59"/>
  <c r="E66" i="59"/>
  <c r="G66" i="59"/>
  <c r="I66" i="59"/>
  <c r="K66" i="59"/>
  <c r="N66" i="59"/>
  <c r="L66" i="59"/>
  <c r="M66" i="59"/>
  <c r="O66" i="59"/>
  <c r="H67" i="59"/>
  <c r="J67" i="59"/>
  <c r="C67" i="59"/>
  <c r="D67" i="59"/>
  <c r="E67" i="59"/>
  <c r="G67" i="59"/>
  <c r="I67" i="59"/>
  <c r="K67" i="59"/>
  <c r="N67" i="59"/>
  <c r="L67" i="59"/>
  <c r="M67" i="59"/>
  <c r="O67" i="59"/>
  <c r="H68" i="59"/>
  <c r="J68" i="59"/>
  <c r="C68" i="59"/>
  <c r="D68" i="59"/>
  <c r="E68" i="59"/>
  <c r="G68" i="59"/>
  <c r="I68" i="59"/>
  <c r="K68" i="59"/>
  <c r="N68" i="59"/>
  <c r="L68" i="59"/>
  <c r="M68" i="59"/>
  <c r="O68" i="59"/>
  <c r="H69" i="59"/>
  <c r="J69" i="59"/>
  <c r="C69" i="59"/>
  <c r="D69" i="59"/>
  <c r="E69" i="59"/>
  <c r="G69" i="59"/>
  <c r="I69" i="59"/>
  <c r="K69" i="59"/>
  <c r="N69" i="59"/>
  <c r="L69" i="59"/>
  <c r="M69" i="59"/>
  <c r="O69" i="59"/>
  <c r="H70" i="59"/>
  <c r="I70" i="59"/>
  <c r="B70" i="59"/>
  <c r="C70" i="59"/>
  <c r="D70" i="59"/>
  <c r="E70" i="59"/>
  <c r="G70" i="59"/>
  <c r="J70" i="59"/>
  <c r="K70" i="59"/>
  <c r="N70" i="59"/>
  <c r="L70" i="59"/>
  <c r="M70" i="59"/>
  <c r="O70" i="59"/>
  <c r="M65" i="59"/>
  <c r="C65" i="59"/>
  <c r="D65" i="59"/>
  <c r="E65" i="59"/>
  <c r="G65" i="59"/>
  <c r="H65" i="59"/>
  <c r="I65" i="59"/>
  <c r="J65" i="59"/>
  <c r="K65" i="59"/>
  <c r="N65" i="59"/>
  <c r="L65" i="59"/>
  <c r="O65" i="59"/>
  <c r="P70" i="59"/>
  <c r="B71" i="59"/>
  <c r="P71" i="59"/>
  <c r="B72" i="59"/>
  <c r="P72" i="59"/>
  <c r="B73" i="59"/>
  <c r="P73" i="59"/>
  <c r="B74" i="59"/>
  <c r="P74" i="59"/>
  <c r="B75" i="59"/>
  <c r="P75" i="59"/>
  <c r="H72" i="59"/>
  <c r="J72" i="59"/>
  <c r="C72" i="59"/>
  <c r="D72" i="59"/>
  <c r="E72" i="59"/>
  <c r="G72" i="59"/>
  <c r="I72" i="59"/>
  <c r="K72" i="59"/>
  <c r="N72" i="59"/>
  <c r="L72" i="59"/>
  <c r="M72" i="59"/>
  <c r="O72" i="59"/>
  <c r="H73" i="59"/>
  <c r="J73" i="59"/>
  <c r="C73" i="59"/>
  <c r="D73" i="59"/>
  <c r="E73" i="59"/>
  <c r="G73" i="59"/>
  <c r="I73" i="59"/>
  <c r="K73" i="59"/>
  <c r="N73" i="59"/>
  <c r="L73" i="59"/>
  <c r="M73" i="59"/>
  <c r="O73" i="59"/>
  <c r="H74" i="59"/>
  <c r="J74" i="59"/>
  <c r="C74" i="59"/>
  <c r="D74" i="59"/>
  <c r="E74" i="59"/>
  <c r="G74" i="59"/>
  <c r="I74" i="59"/>
  <c r="K74" i="59"/>
  <c r="N74" i="59"/>
  <c r="L74" i="59"/>
  <c r="M74" i="59"/>
  <c r="O74" i="59"/>
  <c r="H75" i="59"/>
  <c r="J75" i="59"/>
  <c r="C75" i="59"/>
  <c r="D75" i="59"/>
  <c r="E75" i="59"/>
  <c r="G75" i="59"/>
  <c r="I75" i="59"/>
  <c r="K75" i="59"/>
  <c r="N75" i="59"/>
  <c r="L75" i="59"/>
  <c r="M75" i="59"/>
  <c r="O75" i="59"/>
  <c r="H76" i="59"/>
  <c r="I76" i="59"/>
  <c r="B76" i="59"/>
  <c r="C76" i="59"/>
  <c r="D76" i="59"/>
  <c r="E76" i="59"/>
  <c r="G76" i="59"/>
  <c r="J76" i="59"/>
  <c r="K76" i="59"/>
  <c r="N76" i="59"/>
  <c r="L76" i="59"/>
  <c r="M76" i="59"/>
  <c r="O76" i="59"/>
  <c r="M71" i="59"/>
  <c r="C71" i="59"/>
  <c r="D71" i="59"/>
  <c r="E71" i="59"/>
  <c r="G71" i="59"/>
  <c r="H71" i="59"/>
  <c r="I71" i="59"/>
  <c r="J71" i="59"/>
  <c r="K71" i="59"/>
  <c r="N71" i="59"/>
  <c r="L71" i="59"/>
  <c r="O71" i="59"/>
  <c r="P76" i="59"/>
  <c r="B77" i="59"/>
  <c r="P77" i="59"/>
  <c r="B78" i="59"/>
  <c r="P78" i="59"/>
  <c r="B79" i="59"/>
  <c r="P79" i="59"/>
  <c r="B80" i="59"/>
  <c r="P80" i="59"/>
  <c r="B81" i="59"/>
  <c r="P81" i="59"/>
  <c r="H78" i="59"/>
  <c r="J78" i="59"/>
  <c r="C78" i="59"/>
  <c r="D78" i="59"/>
  <c r="E78" i="59"/>
  <c r="G78" i="59"/>
  <c r="I78" i="59"/>
  <c r="K78" i="59"/>
  <c r="N78" i="59"/>
  <c r="L78" i="59"/>
  <c r="M78" i="59"/>
  <c r="O78" i="59"/>
  <c r="H79" i="59"/>
  <c r="J79" i="59"/>
  <c r="C79" i="59"/>
  <c r="D79" i="59"/>
  <c r="E79" i="59"/>
  <c r="G79" i="59"/>
  <c r="I79" i="59"/>
  <c r="K79" i="59"/>
  <c r="N79" i="59"/>
  <c r="L79" i="59"/>
  <c r="M79" i="59"/>
  <c r="O79" i="59"/>
  <c r="H80" i="59"/>
  <c r="J80" i="59"/>
  <c r="C80" i="59"/>
  <c r="D80" i="59"/>
  <c r="E80" i="59"/>
  <c r="G80" i="59"/>
  <c r="I80" i="59"/>
  <c r="K80" i="59"/>
  <c r="N80" i="59"/>
  <c r="L80" i="59"/>
  <c r="M80" i="59"/>
  <c r="O80" i="59"/>
  <c r="H81" i="59"/>
  <c r="J81" i="59"/>
  <c r="C81" i="59"/>
  <c r="D81" i="59"/>
  <c r="E81" i="59"/>
  <c r="G81" i="59"/>
  <c r="I81" i="59"/>
  <c r="K81" i="59"/>
  <c r="N81" i="59"/>
  <c r="L81" i="59"/>
  <c r="M81" i="59"/>
  <c r="O81" i="59"/>
  <c r="H82" i="59"/>
  <c r="I82" i="59"/>
  <c r="B82" i="59"/>
  <c r="C82" i="59"/>
  <c r="D82" i="59"/>
  <c r="E82" i="59"/>
  <c r="G82" i="59"/>
  <c r="J82" i="59"/>
  <c r="K82" i="59"/>
  <c r="N82" i="59"/>
  <c r="L82" i="59"/>
  <c r="M82" i="59"/>
  <c r="O82" i="59"/>
  <c r="M77" i="59"/>
  <c r="C77" i="59"/>
  <c r="D77" i="59"/>
  <c r="E77" i="59"/>
  <c r="G77" i="59"/>
  <c r="H77" i="59"/>
  <c r="I77" i="59"/>
  <c r="J77" i="59"/>
  <c r="K77" i="59"/>
  <c r="N77" i="59"/>
  <c r="L77" i="59"/>
  <c r="O77" i="59"/>
  <c r="P82" i="59"/>
  <c r="B83" i="59"/>
  <c r="P83" i="59"/>
  <c r="B84" i="59"/>
  <c r="P84" i="59"/>
  <c r="B85" i="59"/>
  <c r="P85" i="59"/>
  <c r="B86" i="59"/>
  <c r="P86" i="59"/>
  <c r="B87" i="59"/>
  <c r="P87" i="59"/>
  <c r="H84" i="59"/>
  <c r="J84" i="59"/>
  <c r="C84" i="59"/>
  <c r="D84" i="59"/>
  <c r="E84" i="59"/>
  <c r="G84" i="59"/>
  <c r="I84" i="59"/>
  <c r="K84" i="59"/>
  <c r="N84" i="59"/>
  <c r="L84" i="59"/>
  <c r="M84" i="59"/>
  <c r="O84" i="59"/>
  <c r="H85" i="59"/>
  <c r="J85" i="59"/>
  <c r="C85" i="59"/>
  <c r="D85" i="59"/>
  <c r="E85" i="59"/>
  <c r="G85" i="59"/>
  <c r="I85" i="59"/>
  <c r="K85" i="59"/>
  <c r="N85" i="59"/>
  <c r="L85" i="59"/>
  <c r="M85" i="59"/>
  <c r="O85" i="59"/>
  <c r="H86" i="59"/>
  <c r="J86" i="59"/>
  <c r="C86" i="59"/>
  <c r="D86" i="59"/>
  <c r="E86" i="59"/>
  <c r="G86" i="59"/>
  <c r="I86" i="59"/>
  <c r="K86" i="59"/>
  <c r="N86" i="59"/>
  <c r="L86" i="59"/>
  <c r="M86" i="59"/>
  <c r="O86" i="59"/>
  <c r="H87" i="59"/>
  <c r="J87" i="59"/>
  <c r="C87" i="59"/>
  <c r="D87" i="59"/>
  <c r="E87" i="59"/>
  <c r="G87" i="59"/>
  <c r="I87" i="59"/>
  <c r="K87" i="59"/>
  <c r="N87" i="59"/>
  <c r="L87" i="59"/>
  <c r="M87" i="59"/>
  <c r="O87" i="59"/>
  <c r="H88" i="59"/>
  <c r="I88" i="59"/>
  <c r="B88" i="59"/>
  <c r="C88" i="59"/>
  <c r="D88" i="59"/>
  <c r="E88" i="59"/>
  <c r="G88" i="59"/>
  <c r="J88" i="59"/>
  <c r="K88" i="59"/>
  <c r="N88" i="59"/>
  <c r="L88" i="59"/>
  <c r="M88" i="59"/>
  <c r="O88" i="59"/>
  <c r="M83" i="59"/>
  <c r="C83" i="59"/>
  <c r="D83" i="59"/>
  <c r="E83" i="59"/>
  <c r="G83" i="59"/>
  <c r="H83" i="59"/>
  <c r="I83" i="59"/>
  <c r="J83" i="59"/>
  <c r="K83" i="59"/>
  <c r="N83" i="59"/>
  <c r="L83" i="59"/>
  <c r="O83" i="59"/>
  <c r="P88" i="59"/>
  <c r="L23" i="59"/>
  <c r="I25" i="59"/>
  <c r="I24" i="59"/>
  <c r="R30" i="59"/>
  <c r="R31" i="59"/>
  <c r="R32" i="59"/>
  <c r="R33" i="59"/>
  <c r="R34" i="59"/>
  <c r="R36" i="59"/>
  <c r="R37" i="59"/>
  <c r="R38" i="59"/>
  <c r="R39" i="59"/>
  <c r="R40" i="59"/>
  <c r="R42" i="59"/>
  <c r="R43" i="59"/>
  <c r="R44" i="59"/>
  <c r="R45" i="59"/>
  <c r="R46" i="59"/>
  <c r="R48" i="59"/>
  <c r="R49" i="59"/>
  <c r="R50" i="59"/>
  <c r="R51" i="59"/>
  <c r="R52" i="59"/>
  <c r="R54" i="59"/>
  <c r="R55" i="59"/>
  <c r="R56" i="59"/>
  <c r="R57" i="59"/>
  <c r="R58" i="59"/>
  <c r="R60" i="59"/>
  <c r="R61" i="59"/>
  <c r="R62" i="59"/>
  <c r="R63" i="59"/>
  <c r="R64" i="59"/>
  <c r="R66" i="59"/>
  <c r="R67" i="59"/>
  <c r="R68" i="59"/>
  <c r="R69" i="59"/>
  <c r="R70" i="59"/>
  <c r="R72" i="59"/>
  <c r="R73" i="59"/>
  <c r="R74" i="59"/>
  <c r="R75" i="59"/>
  <c r="R76" i="59"/>
  <c r="R78" i="59"/>
  <c r="R79" i="59"/>
  <c r="R80" i="59"/>
  <c r="R81" i="59"/>
  <c r="R82" i="59"/>
  <c r="R84" i="59"/>
  <c r="R85" i="59"/>
  <c r="R86" i="59"/>
  <c r="R87" i="59"/>
  <c r="R88" i="59"/>
  <c r="R29" i="59"/>
  <c r="R35" i="59"/>
  <c r="R41" i="59"/>
  <c r="R47" i="59"/>
  <c r="R53" i="59"/>
  <c r="R59" i="59"/>
  <c r="R65" i="59"/>
  <c r="R71" i="59"/>
  <c r="R77" i="59"/>
  <c r="R83" i="59"/>
  <c r="D23" i="59"/>
  <c r="B25" i="59"/>
  <c r="B24" i="59"/>
  <c r="I13" i="59"/>
  <c r="C13" i="59"/>
  <c r="D13" i="59"/>
  <c r="F13" i="59"/>
  <c r="J13" i="59"/>
  <c r="K13" i="59"/>
  <c r="I14" i="59"/>
  <c r="C14" i="59"/>
  <c r="D14" i="59"/>
  <c r="F14" i="59"/>
  <c r="J14" i="59"/>
  <c r="K14" i="59"/>
  <c r="I15" i="59"/>
  <c r="C15" i="59"/>
  <c r="D15" i="59"/>
  <c r="F15" i="59"/>
  <c r="J15" i="59"/>
  <c r="K15" i="59"/>
  <c r="C16" i="59"/>
  <c r="D16" i="59"/>
  <c r="F16" i="59"/>
  <c r="J16" i="59"/>
  <c r="K16" i="59"/>
  <c r="F12" i="59"/>
  <c r="I12" i="59"/>
  <c r="J12" i="59"/>
  <c r="K12" i="59"/>
  <c r="H32" i="61"/>
  <c r="D11" i="59"/>
  <c r="J11" i="59"/>
  <c r="K11" i="59"/>
  <c r="L11" i="59"/>
  <c r="M11" i="59"/>
  <c r="L12" i="59"/>
  <c r="M12" i="59"/>
  <c r="L13" i="59"/>
  <c r="M13" i="59"/>
  <c r="L14" i="59"/>
  <c r="M14" i="59"/>
  <c r="L15" i="59"/>
  <c r="M15" i="59"/>
  <c r="L16" i="59"/>
  <c r="M16" i="59"/>
  <c r="M17" i="59"/>
  <c r="M18" i="59"/>
  <c r="G394" i="26"/>
  <c r="H394" i="26"/>
  <c r="I394" i="26"/>
  <c r="G374" i="26"/>
  <c r="H374" i="26"/>
  <c r="I374" i="26"/>
  <c r="G354" i="26"/>
  <c r="H354" i="26"/>
  <c r="I354" i="26"/>
  <c r="G334" i="26"/>
  <c r="H334" i="26"/>
  <c r="I334" i="26"/>
  <c r="G314" i="26"/>
  <c r="H314" i="26"/>
  <c r="I314" i="26"/>
  <c r="G294" i="26"/>
  <c r="H294" i="26"/>
  <c r="I294" i="26"/>
  <c r="G274" i="26"/>
  <c r="H274" i="26"/>
  <c r="I274" i="26"/>
  <c r="G254" i="26"/>
  <c r="H254" i="26"/>
  <c r="I254" i="26"/>
  <c r="G234" i="26"/>
  <c r="H234" i="26"/>
  <c r="I234" i="26"/>
  <c r="G214" i="26"/>
  <c r="H214" i="26"/>
  <c r="I214" i="26"/>
  <c r="G194" i="26"/>
  <c r="H194" i="26"/>
  <c r="I194" i="26"/>
  <c r="G174" i="26"/>
  <c r="H174" i="26"/>
  <c r="I174" i="26"/>
  <c r="G154" i="26"/>
  <c r="H154" i="26"/>
  <c r="I154" i="26"/>
  <c r="G134" i="26"/>
  <c r="H134" i="26"/>
  <c r="I134" i="26"/>
  <c r="G114" i="26"/>
  <c r="H114" i="26"/>
  <c r="I114" i="26"/>
  <c r="G94" i="26"/>
  <c r="H94" i="26"/>
  <c r="I94" i="26"/>
  <c r="G74" i="26"/>
  <c r="H74" i="26"/>
  <c r="I74" i="26"/>
  <c r="G54" i="26"/>
  <c r="H54" i="26"/>
  <c r="I54" i="26"/>
  <c r="W84" i="65"/>
  <c r="B18" i="65"/>
  <c r="B3" i="65"/>
  <c r="B11" i="65"/>
  <c r="A25" i="65"/>
  <c r="B4" i="65"/>
  <c r="B12" i="65"/>
  <c r="B25" i="65"/>
  <c r="A26" i="65"/>
  <c r="B26" i="65"/>
  <c r="A27" i="65"/>
  <c r="B27" i="65"/>
  <c r="A28" i="65"/>
  <c r="B28" i="65"/>
  <c r="A29" i="65"/>
  <c r="B29" i="65"/>
  <c r="A30" i="65"/>
  <c r="B30" i="65"/>
  <c r="A31" i="65"/>
  <c r="B31" i="65"/>
  <c r="A32" i="65"/>
  <c r="B32" i="65"/>
  <c r="A33" i="65"/>
  <c r="B33" i="65"/>
  <c r="A34" i="65"/>
  <c r="B34" i="65"/>
  <c r="A35" i="65"/>
  <c r="B35" i="65"/>
  <c r="A36" i="65"/>
  <c r="B36" i="65"/>
  <c r="A37" i="65"/>
  <c r="B37" i="65"/>
  <c r="A38" i="65"/>
  <c r="B38" i="65"/>
  <c r="A39" i="65"/>
  <c r="B39" i="65"/>
  <c r="A40" i="65"/>
  <c r="B40" i="65"/>
  <c r="A41" i="65"/>
  <c r="B41" i="65"/>
  <c r="A42" i="65"/>
  <c r="B42" i="65"/>
  <c r="A43" i="65"/>
  <c r="B43" i="65"/>
  <c r="A44" i="65"/>
  <c r="B44" i="65"/>
  <c r="A45" i="65"/>
  <c r="B45" i="65"/>
  <c r="A46" i="65"/>
  <c r="B46" i="65"/>
  <c r="A47" i="65"/>
  <c r="B47" i="65"/>
  <c r="A48" i="65"/>
  <c r="B48" i="65"/>
  <c r="A49" i="65"/>
  <c r="B49" i="65"/>
  <c r="A50" i="65"/>
  <c r="B50" i="65"/>
  <c r="A51" i="65"/>
  <c r="B51" i="65"/>
  <c r="A52" i="65"/>
  <c r="B52" i="65"/>
  <c r="A53" i="65"/>
  <c r="B53" i="65"/>
  <c r="A54" i="65"/>
  <c r="B54" i="65"/>
  <c r="A55" i="65"/>
  <c r="B55" i="65"/>
  <c r="A56" i="65"/>
  <c r="B56" i="65"/>
  <c r="A57" i="65"/>
  <c r="B57" i="65"/>
  <c r="A58" i="65"/>
  <c r="B58" i="65"/>
  <c r="A59" i="65"/>
  <c r="B59" i="65"/>
  <c r="A60" i="65"/>
  <c r="B60" i="65"/>
  <c r="A61" i="65"/>
  <c r="B61" i="65"/>
  <c r="A62" i="65"/>
  <c r="B62" i="65"/>
  <c r="A63" i="65"/>
  <c r="B63" i="65"/>
  <c r="A64" i="65"/>
  <c r="B64" i="65"/>
  <c r="A65" i="65"/>
  <c r="B65" i="65"/>
  <c r="A66" i="65"/>
  <c r="B66" i="65"/>
  <c r="A67" i="65"/>
  <c r="B67" i="65"/>
  <c r="A68" i="65"/>
  <c r="B68" i="65"/>
  <c r="A69" i="65"/>
  <c r="B69" i="65"/>
  <c r="A70" i="65"/>
  <c r="B70" i="65"/>
  <c r="A71" i="65"/>
  <c r="B71" i="65"/>
  <c r="A72" i="65"/>
  <c r="B72" i="65"/>
  <c r="A73" i="65"/>
  <c r="B73" i="65"/>
  <c r="A74" i="65"/>
  <c r="B74" i="65"/>
  <c r="A75" i="65"/>
  <c r="B75" i="65"/>
  <c r="A76" i="65"/>
  <c r="B76" i="65"/>
  <c r="A77" i="65"/>
  <c r="B77" i="65"/>
  <c r="A78" i="65"/>
  <c r="B78" i="65"/>
  <c r="A79" i="65"/>
  <c r="B79" i="65"/>
  <c r="A80" i="65"/>
  <c r="B80" i="65"/>
  <c r="A81" i="65"/>
  <c r="B81" i="65"/>
  <c r="A82" i="65"/>
  <c r="B82" i="65"/>
  <c r="A83" i="65"/>
  <c r="B83" i="65"/>
  <c r="A84" i="65"/>
  <c r="B84" i="65"/>
  <c r="B24" i="65"/>
  <c r="C24" i="65"/>
  <c r="D24" i="65"/>
  <c r="C25" i="65"/>
  <c r="D25" i="65"/>
  <c r="C26" i="65"/>
  <c r="D26" i="65"/>
  <c r="C27" i="65"/>
  <c r="D27" i="65"/>
  <c r="C28" i="65"/>
  <c r="D28" i="65"/>
  <c r="C29" i="65"/>
  <c r="D29" i="65"/>
  <c r="C30" i="65"/>
  <c r="D30" i="65"/>
  <c r="C31" i="65"/>
  <c r="D31" i="65"/>
  <c r="C32" i="65"/>
  <c r="D32" i="65"/>
  <c r="C33" i="65"/>
  <c r="D33" i="65"/>
  <c r="C34" i="65"/>
  <c r="D34" i="65"/>
  <c r="C35" i="65"/>
  <c r="D35" i="65"/>
  <c r="C36" i="65"/>
  <c r="D36" i="65"/>
  <c r="C37" i="65"/>
  <c r="D37" i="65"/>
  <c r="C38" i="65"/>
  <c r="D38" i="65"/>
  <c r="C39" i="65"/>
  <c r="D39" i="65"/>
  <c r="C40" i="65"/>
  <c r="D40" i="65"/>
  <c r="C41" i="65"/>
  <c r="D41" i="65"/>
  <c r="C42" i="65"/>
  <c r="D42" i="65"/>
  <c r="C43" i="65"/>
  <c r="D43" i="65"/>
  <c r="C44" i="65"/>
  <c r="D44" i="65"/>
  <c r="C45" i="65"/>
  <c r="D45" i="65"/>
  <c r="C46" i="65"/>
  <c r="D46" i="65"/>
  <c r="C47" i="65"/>
  <c r="D47" i="65"/>
  <c r="C48" i="65"/>
  <c r="D48" i="65"/>
  <c r="C49" i="65"/>
  <c r="D49" i="65"/>
  <c r="C50" i="65"/>
  <c r="D50" i="65"/>
  <c r="C51" i="65"/>
  <c r="D51" i="65"/>
  <c r="C52" i="65"/>
  <c r="D52" i="65"/>
  <c r="C53" i="65"/>
  <c r="D53" i="65"/>
  <c r="C54" i="65"/>
  <c r="D54" i="65"/>
  <c r="C55" i="65"/>
  <c r="D55" i="65"/>
  <c r="C56" i="65"/>
  <c r="D56" i="65"/>
  <c r="C57" i="65"/>
  <c r="D57" i="65"/>
  <c r="C58" i="65"/>
  <c r="D58" i="65"/>
  <c r="C59" i="65"/>
  <c r="D59" i="65"/>
  <c r="C60" i="65"/>
  <c r="D60" i="65"/>
  <c r="C61" i="65"/>
  <c r="D61" i="65"/>
  <c r="C62" i="65"/>
  <c r="D62" i="65"/>
  <c r="C63" i="65"/>
  <c r="D63" i="65"/>
  <c r="C64" i="65"/>
  <c r="D64" i="65"/>
  <c r="C65" i="65"/>
  <c r="D65" i="65"/>
  <c r="C66" i="65"/>
  <c r="D66" i="65"/>
  <c r="C67" i="65"/>
  <c r="D67" i="65"/>
  <c r="C68" i="65"/>
  <c r="D68" i="65"/>
  <c r="C69" i="65"/>
  <c r="D69" i="65"/>
  <c r="C70" i="65"/>
  <c r="D70" i="65"/>
  <c r="C71" i="65"/>
  <c r="D71" i="65"/>
  <c r="C72" i="65"/>
  <c r="D72" i="65"/>
  <c r="C73" i="65"/>
  <c r="D73" i="65"/>
  <c r="C74" i="65"/>
  <c r="D74" i="65"/>
  <c r="C75" i="65"/>
  <c r="D75" i="65"/>
  <c r="C76" i="65"/>
  <c r="D76" i="65"/>
  <c r="C77" i="65"/>
  <c r="D77" i="65"/>
  <c r="C78" i="65"/>
  <c r="D78" i="65"/>
  <c r="C79" i="65"/>
  <c r="D79" i="65"/>
  <c r="C80" i="65"/>
  <c r="D80" i="65"/>
  <c r="C81" i="65"/>
  <c r="D81" i="65"/>
  <c r="C82" i="65"/>
  <c r="D82" i="65"/>
  <c r="C83" i="65"/>
  <c r="D83" i="65"/>
  <c r="D86" i="65"/>
  <c r="D87" i="65"/>
  <c r="S24" i="65"/>
  <c r="T24" i="65"/>
  <c r="U24" i="65"/>
  <c r="B15" i="65"/>
  <c r="B16" i="65"/>
  <c r="B17" i="65"/>
  <c r="C19" i="65"/>
  <c r="V24" i="65"/>
  <c r="W24" i="65"/>
  <c r="X24" i="65"/>
  <c r="Y24" i="65"/>
  <c r="Z24" i="65"/>
  <c r="S25" i="65"/>
  <c r="T25" i="65"/>
  <c r="U25" i="65"/>
  <c r="F25" i="65"/>
  <c r="H25" i="65"/>
  <c r="K25" i="65"/>
  <c r="I25" i="65"/>
  <c r="L25" i="65"/>
  <c r="J25" i="65"/>
  <c r="H24" i="65"/>
  <c r="I24" i="65"/>
  <c r="L24" i="65"/>
  <c r="K24" i="65"/>
  <c r="M25" i="65"/>
  <c r="N25" i="65"/>
  <c r="V25" i="65"/>
  <c r="W25" i="65"/>
  <c r="X25" i="65"/>
  <c r="R25" i="65"/>
  <c r="Y25" i="65"/>
  <c r="Z25" i="65"/>
  <c r="S26" i="65"/>
  <c r="T26" i="65"/>
  <c r="U26" i="65"/>
  <c r="F26" i="65"/>
  <c r="H26" i="65"/>
  <c r="K26" i="65"/>
  <c r="I26" i="65"/>
  <c r="L26" i="65"/>
  <c r="J26" i="65"/>
  <c r="M26" i="65"/>
  <c r="N26" i="65"/>
  <c r="V26" i="65"/>
  <c r="W26" i="65"/>
  <c r="X26" i="65"/>
  <c r="R26" i="65"/>
  <c r="Y26" i="65"/>
  <c r="Z26" i="65"/>
  <c r="S27" i="65"/>
  <c r="T27" i="65"/>
  <c r="U27" i="65"/>
  <c r="F27" i="65"/>
  <c r="H27" i="65"/>
  <c r="K27" i="65"/>
  <c r="I27" i="65"/>
  <c r="L27" i="65"/>
  <c r="J27" i="65"/>
  <c r="M27" i="65"/>
  <c r="N27" i="65"/>
  <c r="V27" i="65"/>
  <c r="W27" i="65"/>
  <c r="X27" i="65"/>
  <c r="R27" i="65"/>
  <c r="Y27" i="65"/>
  <c r="Z27" i="65"/>
  <c r="S28" i="65"/>
  <c r="T28" i="65"/>
  <c r="U28" i="65"/>
  <c r="F28" i="65"/>
  <c r="H28" i="65"/>
  <c r="K28" i="65"/>
  <c r="I28" i="65"/>
  <c r="L28" i="65"/>
  <c r="J28" i="65"/>
  <c r="M28" i="65"/>
  <c r="N28" i="65"/>
  <c r="V28" i="65"/>
  <c r="W28" i="65"/>
  <c r="X28" i="65"/>
  <c r="R28" i="65"/>
  <c r="Y28" i="65"/>
  <c r="Z28" i="65"/>
  <c r="S29" i="65"/>
  <c r="T29" i="65"/>
  <c r="U29" i="65"/>
  <c r="F29" i="65"/>
  <c r="H29" i="65"/>
  <c r="K29" i="65"/>
  <c r="I29" i="65"/>
  <c r="L29" i="65"/>
  <c r="J29" i="65"/>
  <c r="M29" i="65"/>
  <c r="N29" i="65"/>
  <c r="V29" i="65"/>
  <c r="W29" i="65"/>
  <c r="X29" i="65"/>
  <c r="R29" i="65"/>
  <c r="Y29" i="65"/>
  <c r="Z29" i="65"/>
  <c r="S30" i="65"/>
  <c r="T30" i="65"/>
  <c r="U30" i="65"/>
  <c r="F30" i="65"/>
  <c r="H30" i="65"/>
  <c r="K30" i="65"/>
  <c r="I30" i="65"/>
  <c r="L30" i="65"/>
  <c r="J30" i="65"/>
  <c r="M30" i="65"/>
  <c r="N30" i="65"/>
  <c r="V30" i="65"/>
  <c r="W30" i="65"/>
  <c r="X30" i="65"/>
  <c r="R30" i="65"/>
  <c r="Y30" i="65"/>
  <c r="Z30" i="65"/>
  <c r="S31" i="65"/>
  <c r="T31" i="65"/>
  <c r="U31" i="65"/>
  <c r="F31" i="65"/>
  <c r="H31" i="65"/>
  <c r="K31" i="65"/>
  <c r="I31" i="65"/>
  <c r="L31" i="65"/>
  <c r="J31" i="65"/>
  <c r="M31" i="65"/>
  <c r="N31" i="65"/>
  <c r="V31" i="65"/>
  <c r="W31" i="65"/>
  <c r="X31" i="65"/>
  <c r="R31" i="65"/>
  <c r="Y31" i="65"/>
  <c r="Z31" i="65"/>
  <c r="S32" i="65"/>
  <c r="T32" i="65"/>
  <c r="U32" i="65"/>
  <c r="F32" i="65"/>
  <c r="H32" i="65"/>
  <c r="K32" i="65"/>
  <c r="I32" i="65"/>
  <c r="L32" i="65"/>
  <c r="J32" i="65"/>
  <c r="M32" i="65"/>
  <c r="N32" i="65"/>
  <c r="V32" i="65"/>
  <c r="W32" i="65"/>
  <c r="X32" i="65"/>
  <c r="R32" i="65"/>
  <c r="Y32" i="65"/>
  <c r="Z32" i="65"/>
  <c r="S33" i="65"/>
  <c r="T33" i="65"/>
  <c r="U33" i="65"/>
  <c r="F33" i="65"/>
  <c r="H33" i="65"/>
  <c r="K33" i="65"/>
  <c r="I33" i="65"/>
  <c r="L33" i="65"/>
  <c r="J33" i="65"/>
  <c r="M33" i="65"/>
  <c r="N33" i="65"/>
  <c r="V33" i="65"/>
  <c r="W33" i="65"/>
  <c r="X33" i="65"/>
  <c r="R33" i="65"/>
  <c r="Y33" i="65"/>
  <c r="Z33" i="65"/>
  <c r="S34" i="65"/>
  <c r="T34" i="65"/>
  <c r="U34" i="65"/>
  <c r="F34" i="65"/>
  <c r="H34" i="65"/>
  <c r="K34" i="65"/>
  <c r="I34" i="65"/>
  <c r="L34" i="65"/>
  <c r="J34" i="65"/>
  <c r="M34" i="65"/>
  <c r="N34" i="65"/>
  <c r="V34" i="65"/>
  <c r="W34" i="65"/>
  <c r="X34" i="65"/>
  <c r="R34" i="65"/>
  <c r="Y34" i="65"/>
  <c r="Z34" i="65"/>
  <c r="S35" i="65"/>
  <c r="T35" i="65"/>
  <c r="U35" i="65"/>
  <c r="F35" i="65"/>
  <c r="H35" i="65"/>
  <c r="K35" i="65"/>
  <c r="I35" i="65"/>
  <c r="L35" i="65"/>
  <c r="J35" i="65"/>
  <c r="M35" i="65"/>
  <c r="N35" i="65"/>
  <c r="V35" i="65"/>
  <c r="W35" i="65"/>
  <c r="X35" i="65"/>
  <c r="R35" i="65"/>
  <c r="Y35" i="65"/>
  <c r="Z35" i="65"/>
  <c r="S36" i="65"/>
  <c r="T36" i="65"/>
  <c r="U36" i="65"/>
  <c r="F36" i="65"/>
  <c r="H36" i="65"/>
  <c r="K36" i="65"/>
  <c r="I36" i="65"/>
  <c r="L36" i="65"/>
  <c r="J36" i="65"/>
  <c r="M36" i="65"/>
  <c r="N36" i="65"/>
  <c r="V36" i="65"/>
  <c r="W36" i="65"/>
  <c r="X36" i="65"/>
  <c r="R36" i="65"/>
  <c r="Y36" i="65"/>
  <c r="Z36" i="65"/>
  <c r="S37" i="65"/>
  <c r="T37" i="65"/>
  <c r="U37" i="65"/>
  <c r="F37" i="65"/>
  <c r="H37" i="65"/>
  <c r="K37" i="65"/>
  <c r="I37" i="65"/>
  <c r="L37" i="65"/>
  <c r="J37" i="65"/>
  <c r="M37" i="65"/>
  <c r="N37" i="65"/>
  <c r="V37" i="65"/>
  <c r="W37" i="65"/>
  <c r="X37" i="65"/>
  <c r="R37" i="65"/>
  <c r="Y37" i="65"/>
  <c r="Z37" i="65"/>
  <c r="S38" i="65"/>
  <c r="T38" i="65"/>
  <c r="U38" i="65"/>
  <c r="F38" i="65"/>
  <c r="H38" i="65"/>
  <c r="K38" i="65"/>
  <c r="I38" i="65"/>
  <c r="L38" i="65"/>
  <c r="J38" i="65"/>
  <c r="M38" i="65"/>
  <c r="N38" i="65"/>
  <c r="V38" i="65"/>
  <c r="W38" i="65"/>
  <c r="X38" i="65"/>
  <c r="R38" i="65"/>
  <c r="Y38" i="65"/>
  <c r="Z38" i="65"/>
  <c r="S39" i="65"/>
  <c r="T39" i="65"/>
  <c r="U39" i="65"/>
  <c r="F39" i="65"/>
  <c r="H39" i="65"/>
  <c r="K39" i="65"/>
  <c r="I39" i="65"/>
  <c r="L39" i="65"/>
  <c r="J39" i="65"/>
  <c r="M39" i="65"/>
  <c r="N39" i="65"/>
  <c r="V39" i="65"/>
  <c r="W39" i="65"/>
  <c r="X39" i="65"/>
  <c r="R39" i="65"/>
  <c r="Y39" i="65"/>
  <c r="Z39" i="65"/>
  <c r="S40" i="65"/>
  <c r="T40" i="65"/>
  <c r="U40" i="65"/>
  <c r="F40" i="65"/>
  <c r="H40" i="65"/>
  <c r="K40" i="65"/>
  <c r="I40" i="65"/>
  <c r="L40" i="65"/>
  <c r="J40" i="65"/>
  <c r="M40" i="65"/>
  <c r="N40" i="65"/>
  <c r="V40" i="65"/>
  <c r="W40" i="65"/>
  <c r="X40" i="65"/>
  <c r="R40" i="65"/>
  <c r="Y40" i="65"/>
  <c r="Z40" i="65"/>
  <c r="S41" i="65"/>
  <c r="T41" i="65"/>
  <c r="U41" i="65"/>
  <c r="F41" i="65"/>
  <c r="H41" i="65"/>
  <c r="K41" i="65"/>
  <c r="I41" i="65"/>
  <c r="L41" i="65"/>
  <c r="J41" i="65"/>
  <c r="M41" i="65"/>
  <c r="N41" i="65"/>
  <c r="V41" i="65"/>
  <c r="W41" i="65"/>
  <c r="X41" i="65"/>
  <c r="R41" i="65"/>
  <c r="Y41" i="65"/>
  <c r="Z41" i="65"/>
  <c r="S42" i="65"/>
  <c r="T42" i="65"/>
  <c r="U42" i="65"/>
  <c r="F42" i="65"/>
  <c r="H42" i="65"/>
  <c r="K42" i="65"/>
  <c r="I42" i="65"/>
  <c r="L42" i="65"/>
  <c r="J42" i="65"/>
  <c r="M42" i="65"/>
  <c r="N42" i="65"/>
  <c r="V42" i="65"/>
  <c r="W42" i="65"/>
  <c r="X42" i="65"/>
  <c r="R42" i="65"/>
  <c r="Y42" i="65"/>
  <c r="Z42" i="65"/>
  <c r="S43" i="65"/>
  <c r="T43" i="65"/>
  <c r="U43" i="65"/>
  <c r="F43" i="65"/>
  <c r="H43" i="65"/>
  <c r="K43" i="65"/>
  <c r="I43" i="65"/>
  <c r="L43" i="65"/>
  <c r="J43" i="65"/>
  <c r="M43" i="65"/>
  <c r="N43" i="65"/>
  <c r="V43" i="65"/>
  <c r="W43" i="65"/>
  <c r="X43" i="65"/>
  <c r="R43" i="65"/>
  <c r="Y43" i="65"/>
  <c r="Z43" i="65"/>
  <c r="S44" i="65"/>
  <c r="T44" i="65"/>
  <c r="U44" i="65"/>
  <c r="F44" i="65"/>
  <c r="H44" i="65"/>
  <c r="K44" i="65"/>
  <c r="I44" i="65"/>
  <c r="L44" i="65"/>
  <c r="J44" i="65"/>
  <c r="M44" i="65"/>
  <c r="N44" i="65"/>
  <c r="V44" i="65"/>
  <c r="W44" i="65"/>
  <c r="X44" i="65"/>
  <c r="R44" i="65"/>
  <c r="Y44" i="65"/>
  <c r="Z44" i="65"/>
  <c r="S45" i="65"/>
  <c r="T45" i="65"/>
  <c r="U45" i="65"/>
  <c r="F45" i="65"/>
  <c r="H45" i="65"/>
  <c r="K45" i="65"/>
  <c r="I45" i="65"/>
  <c r="L45" i="65"/>
  <c r="J45" i="65"/>
  <c r="M45" i="65"/>
  <c r="N45" i="65"/>
  <c r="V45" i="65"/>
  <c r="W45" i="65"/>
  <c r="X45" i="65"/>
  <c r="R45" i="65"/>
  <c r="Y45" i="65"/>
  <c r="Z45" i="65"/>
  <c r="S46" i="65"/>
  <c r="T46" i="65"/>
  <c r="U46" i="65"/>
  <c r="F46" i="65"/>
  <c r="H46" i="65"/>
  <c r="K46" i="65"/>
  <c r="I46" i="65"/>
  <c r="L46" i="65"/>
  <c r="J46" i="65"/>
  <c r="M46" i="65"/>
  <c r="N46" i="65"/>
  <c r="V46" i="65"/>
  <c r="W46" i="65"/>
  <c r="X46" i="65"/>
  <c r="R46" i="65"/>
  <c r="Y46" i="65"/>
  <c r="Z46" i="65"/>
  <c r="S47" i="65"/>
  <c r="T47" i="65"/>
  <c r="U47" i="65"/>
  <c r="F47" i="65"/>
  <c r="H47" i="65"/>
  <c r="K47" i="65"/>
  <c r="I47" i="65"/>
  <c r="L47" i="65"/>
  <c r="J47" i="65"/>
  <c r="M47" i="65"/>
  <c r="N47" i="65"/>
  <c r="V47" i="65"/>
  <c r="W47" i="65"/>
  <c r="X47" i="65"/>
  <c r="R47" i="65"/>
  <c r="Y47" i="65"/>
  <c r="Z47" i="65"/>
  <c r="S48" i="65"/>
  <c r="T48" i="65"/>
  <c r="U48" i="65"/>
  <c r="F48" i="65"/>
  <c r="H48" i="65"/>
  <c r="K48" i="65"/>
  <c r="I48" i="65"/>
  <c r="L48" i="65"/>
  <c r="J48" i="65"/>
  <c r="M48" i="65"/>
  <c r="N48" i="65"/>
  <c r="V48" i="65"/>
  <c r="W48" i="65"/>
  <c r="X48" i="65"/>
  <c r="R48" i="65"/>
  <c r="Y48" i="65"/>
  <c r="Z48" i="65"/>
  <c r="S49" i="65"/>
  <c r="T49" i="65"/>
  <c r="U49" i="65"/>
  <c r="F49" i="65"/>
  <c r="H49" i="65"/>
  <c r="K49" i="65"/>
  <c r="I49" i="65"/>
  <c r="L49" i="65"/>
  <c r="J49" i="65"/>
  <c r="M49" i="65"/>
  <c r="N49" i="65"/>
  <c r="V49" i="65"/>
  <c r="W49" i="65"/>
  <c r="X49" i="65"/>
  <c r="R49" i="65"/>
  <c r="Y49" i="65"/>
  <c r="Z49" i="65"/>
  <c r="S50" i="65"/>
  <c r="T50" i="65"/>
  <c r="U50" i="65"/>
  <c r="F50" i="65"/>
  <c r="H50" i="65"/>
  <c r="K50" i="65"/>
  <c r="I50" i="65"/>
  <c r="L50" i="65"/>
  <c r="J50" i="65"/>
  <c r="M50" i="65"/>
  <c r="N50" i="65"/>
  <c r="V50" i="65"/>
  <c r="W50" i="65"/>
  <c r="X50" i="65"/>
  <c r="R50" i="65"/>
  <c r="Y50" i="65"/>
  <c r="Z50" i="65"/>
  <c r="S51" i="65"/>
  <c r="T51" i="65"/>
  <c r="U51" i="65"/>
  <c r="F51" i="65"/>
  <c r="H51" i="65"/>
  <c r="K51" i="65"/>
  <c r="I51" i="65"/>
  <c r="L51" i="65"/>
  <c r="J51" i="65"/>
  <c r="M51" i="65"/>
  <c r="N51" i="65"/>
  <c r="V51" i="65"/>
  <c r="W51" i="65"/>
  <c r="X51" i="65"/>
  <c r="R51" i="65"/>
  <c r="Y51" i="65"/>
  <c r="Z51" i="65"/>
  <c r="S52" i="65"/>
  <c r="T52" i="65"/>
  <c r="U52" i="65"/>
  <c r="F52" i="65"/>
  <c r="H52" i="65"/>
  <c r="K52" i="65"/>
  <c r="I52" i="65"/>
  <c r="L52" i="65"/>
  <c r="J52" i="65"/>
  <c r="M52" i="65"/>
  <c r="N52" i="65"/>
  <c r="V52" i="65"/>
  <c r="W52" i="65"/>
  <c r="X52" i="65"/>
  <c r="R52" i="65"/>
  <c r="Y52" i="65"/>
  <c r="Z52" i="65"/>
  <c r="S53" i="65"/>
  <c r="T53" i="65"/>
  <c r="U53" i="65"/>
  <c r="F53" i="65"/>
  <c r="H53" i="65"/>
  <c r="K53" i="65"/>
  <c r="I53" i="65"/>
  <c r="L53" i="65"/>
  <c r="J53" i="65"/>
  <c r="M53" i="65"/>
  <c r="N53" i="65"/>
  <c r="V53" i="65"/>
  <c r="W53" i="65"/>
  <c r="X53" i="65"/>
  <c r="R53" i="65"/>
  <c r="Y53" i="65"/>
  <c r="Z53" i="65"/>
  <c r="S54" i="65"/>
  <c r="T54" i="65"/>
  <c r="U54" i="65"/>
  <c r="F54" i="65"/>
  <c r="H54" i="65"/>
  <c r="K54" i="65"/>
  <c r="I54" i="65"/>
  <c r="L54" i="65"/>
  <c r="J54" i="65"/>
  <c r="M54" i="65"/>
  <c r="N54" i="65"/>
  <c r="V54" i="65"/>
  <c r="W54" i="65"/>
  <c r="X54" i="65"/>
  <c r="R54" i="65"/>
  <c r="Y54" i="65"/>
  <c r="Z54" i="65"/>
  <c r="S55" i="65"/>
  <c r="T55" i="65"/>
  <c r="U55" i="65"/>
  <c r="F55" i="65"/>
  <c r="H55" i="65"/>
  <c r="K55" i="65"/>
  <c r="I55" i="65"/>
  <c r="L55" i="65"/>
  <c r="J55" i="65"/>
  <c r="M55" i="65"/>
  <c r="N55" i="65"/>
  <c r="V55" i="65"/>
  <c r="W55" i="65"/>
  <c r="X55" i="65"/>
  <c r="R55" i="65"/>
  <c r="Y55" i="65"/>
  <c r="Z55" i="65"/>
  <c r="S56" i="65"/>
  <c r="T56" i="65"/>
  <c r="U56" i="65"/>
  <c r="F56" i="65"/>
  <c r="H56" i="65"/>
  <c r="K56" i="65"/>
  <c r="I56" i="65"/>
  <c r="L56" i="65"/>
  <c r="J56" i="65"/>
  <c r="M56" i="65"/>
  <c r="N56" i="65"/>
  <c r="V56" i="65"/>
  <c r="W56" i="65"/>
  <c r="X56" i="65"/>
  <c r="R56" i="65"/>
  <c r="Y56" i="65"/>
  <c r="Z56" i="65"/>
  <c r="S57" i="65"/>
  <c r="T57" i="65"/>
  <c r="U57" i="65"/>
  <c r="F57" i="65"/>
  <c r="H57" i="65"/>
  <c r="K57" i="65"/>
  <c r="I57" i="65"/>
  <c r="L57" i="65"/>
  <c r="J57" i="65"/>
  <c r="M57" i="65"/>
  <c r="N57" i="65"/>
  <c r="V57" i="65"/>
  <c r="W57" i="65"/>
  <c r="X57" i="65"/>
  <c r="R57" i="65"/>
  <c r="Y57" i="65"/>
  <c r="Z57" i="65"/>
  <c r="S58" i="65"/>
  <c r="T58" i="65"/>
  <c r="U58" i="65"/>
  <c r="F58" i="65"/>
  <c r="H58" i="65"/>
  <c r="K58" i="65"/>
  <c r="I58" i="65"/>
  <c r="L58" i="65"/>
  <c r="J58" i="65"/>
  <c r="M58" i="65"/>
  <c r="N58" i="65"/>
  <c r="V58" i="65"/>
  <c r="W58" i="65"/>
  <c r="X58" i="65"/>
  <c r="R58" i="65"/>
  <c r="Y58" i="65"/>
  <c r="Z58" i="65"/>
  <c r="S59" i="65"/>
  <c r="T59" i="65"/>
  <c r="U59" i="65"/>
  <c r="F59" i="65"/>
  <c r="H59" i="65"/>
  <c r="K59" i="65"/>
  <c r="I59" i="65"/>
  <c r="L59" i="65"/>
  <c r="J59" i="65"/>
  <c r="M59" i="65"/>
  <c r="N59" i="65"/>
  <c r="V59" i="65"/>
  <c r="W59" i="65"/>
  <c r="X59" i="65"/>
  <c r="R59" i="65"/>
  <c r="Y59" i="65"/>
  <c r="Z59" i="65"/>
  <c r="S60" i="65"/>
  <c r="T60" i="65"/>
  <c r="U60" i="65"/>
  <c r="F60" i="65"/>
  <c r="H60" i="65"/>
  <c r="K60" i="65"/>
  <c r="I60" i="65"/>
  <c r="L60" i="65"/>
  <c r="J60" i="65"/>
  <c r="M60" i="65"/>
  <c r="N60" i="65"/>
  <c r="V60" i="65"/>
  <c r="W60" i="65"/>
  <c r="X60" i="65"/>
  <c r="R60" i="65"/>
  <c r="Y60" i="65"/>
  <c r="Z60" i="65"/>
  <c r="S61" i="65"/>
  <c r="T61" i="65"/>
  <c r="U61" i="65"/>
  <c r="F61" i="65"/>
  <c r="H61" i="65"/>
  <c r="K61" i="65"/>
  <c r="I61" i="65"/>
  <c r="L61" i="65"/>
  <c r="J61" i="65"/>
  <c r="M61" i="65"/>
  <c r="N61" i="65"/>
  <c r="V61" i="65"/>
  <c r="W61" i="65"/>
  <c r="X61" i="65"/>
  <c r="R61" i="65"/>
  <c r="Y61" i="65"/>
  <c r="Z61" i="65"/>
  <c r="S62" i="65"/>
  <c r="T62" i="65"/>
  <c r="U62" i="65"/>
  <c r="F62" i="65"/>
  <c r="H62" i="65"/>
  <c r="K62" i="65"/>
  <c r="I62" i="65"/>
  <c r="L62" i="65"/>
  <c r="J62" i="65"/>
  <c r="M62" i="65"/>
  <c r="N62" i="65"/>
  <c r="V62" i="65"/>
  <c r="W62" i="65"/>
  <c r="X62" i="65"/>
  <c r="R62" i="65"/>
  <c r="Y62" i="65"/>
  <c r="Z62" i="65"/>
  <c r="S63" i="65"/>
  <c r="T63" i="65"/>
  <c r="U63" i="65"/>
  <c r="F63" i="65"/>
  <c r="H63" i="65"/>
  <c r="K63" i="65"/>
  <c r="I63" i="65"/>
  <c r="L63" i="65"/>
  <c r="J63" i="65"/>
  <c r="M63" i="65"/>
  <c r="N63" i="65"/>
  <c r="V63" i="65"/>
  <c r="W63" i="65"/>
  <c r="X63" i="65"/>
  <c r="R63" i="65"/>
  <c r="Y63" i="65"/>
  <c r="Z63" i="65"/>
  <c r="S64" i="65"/>
  <c r="T64" i="65"/>
  <c r="U64" i="65"/>
  <c r="F64" i="65"/>
  <c r="H64" i="65"/>
  <c r="K64" i="65"/>
  <c r="I64" i="65"/>
  <c r="L64" i="65"/>
  <c r="J64" i="65"/>
  <c r="M64" i="65"/>
  <c r="N64" i="65"/>
  <c r="V64" i="65"/>
  <c r="W64" i="65"/>
  <c r="X64" i="65"/>
  <c r="R64" i="65"/>
  <c r="Y64" i="65"/>
  <c r="Z64" i="65"/>
  <c r="S65" i="65"/>
  <c r="T65" i="65"/>
  <c r="U65" i="65"/>
  <c r="F65" i="65"/>
  <c r="H65" i="65"/>
  <c r="K65" i="65"/>
  <c r="I65" i="65"/>
  <c r="L65" i="65"/>
  <c r="J65" i="65"/>
  <c r="M65" i="65"/>
  <c r="N65" i="65"/>
  <c r="V65" i="65"/>
  <c r="W65" i="65"/>
  <c r="X65" i="65"/>
  <c r="R65" i="65"/>
  <c r="Y65" i="65"/>
  <c r="Z65" i="65"/>
  <c r="S66" i="65"/>
  <c r="T66" i="65"/>
  <c r="U66" i="65"/>
  <c r="F66" i="65"/>
  <c r="H66" i="65"/>
  <c r="K66" i="65"/>
  <c r="I66" i="65"/>
  <c r="L66" i="65"/>
  <c r="J66" i="65"/>
  <c r="M66" i="65"/>
  <c r="N66" i="65"/>
  <c r="V66" i="65"/>
  <c r="W66" i="65"/>
  <c r="X66" i="65"/>
  <c r="R66" i="65"/>
  <c r="Y66" i="65"/>
  <c r="Z66" i="65"/>
  <c r="S67" i="65"/>
  <c r="T67" i="65"/>
  <c r="U67" i="65"/>
  <c r="F67" i="65"/>
  <c r="H67" i="65"/>
  <c r="K67" i="65"/>
  <c r="I67" i="65"/>
  <c r="L67" i="65"/>
  <c r="J67" i="65"/>
  <c r="M67" i="65"/>
  <c r="N67" i="65"/>
  <c r="V67" i="65"/>
  <c r="W67" i="65"/>
  <c r="X67" i="65"/>
  <c r="R67" i="65"/>
  <c r="Y67" i="65"/>
  <c r="Z67" i="65"/>
  <c r="S68" i="65"/>
  <c r="T68" i="65"/>
  <c r="U68" i="65"/>
  <c r="F68" i="65"/>
  <c r="H68" i="65"/>
  <c r="K68" i="65"/>
  <c r="I68" i="65"/>
  <c r="L68" i="65"/>
  <c r="J68" i="65"/>
  <c r="M68" i="65"/>
  <c r="N68" i="65"/>
  <c r="V68" i="65"/>
  <c r="W68" i="65"/>
  <c r="X68" i="65"/>
  <c r="R68" i="65"/>
  <c r="Y68" i="65"/>
  <c r="Z68" i="65"/>
  <c r="S69" i="65"/>
  <c r="T69" i="65"/>
  <c r="U69" i="65"/>
  <c r="F69" i="65"/>
  <c r="H69" i="65"/>
  <c r="K69" i="65"/>
  <c r="I69" i="65"/>
  <c r="L69" i="65"/>
  <c r="J69" i="65"/>
  <c r="M69" i="65"/>
  <c r="N69" i="65"/>
  <c r="V69" i="65"/>
  <c r="W69" i="65"/>
  <c r="X69" i="65"/>
  <c r="R69" i="65"/>
  <c r="Y69" i="65"/>
  <c r="Z69" i="65"/>
  <c r="S70" i="65"/>
  <c r="T70" i="65"/>
  <c r="U70" i="65"/>
  <c r="F70" i="65"/>
  <c r="H70" i="65"/>
  <c r="K70" i="65"/>
  <c r="I70" i="65"/>
  <c r="L70" i="65"/>
  <c r="J70" i="65"/>
  <c r="M70" i="65"/>
  <c r="N70" i="65"/>
  <c r="V70" i="65"/>
  <c r="W70" i="65"/>
  <c r="X70" i="65"/>
  <c r="R70" i="65"/>
  <c r="Y70" i="65"/>
  <c r="Z70" i="65"/>
  <c r="S71" i="65"/>
  <c r="T71" i="65"/>
  <c r="U71" i="65"/>
  <c r="F71" i="65"/>
  <c r="H71" i="65"/>
  <c r="K71" i="65"/>
  <c r="I71" i="65"/>
  <c r="L71" i="65"/>
  <c r="J71" i="65"/>
  <c r="M71" i="65"/>
  <c r="N71" i="65"/>
  <c r="V71" i="65"/>
  <c r="W71" i="65"/>
  <c r="X71" i="65"/>
  <c r="R71" i="65"/>
  <c r="Y71" i="65"/>
  <c r="Z71" i="65"/>
  <c r="S72" i="65"/>
  <c r="T72" i="65"/>
  <c r="U72" i="65"/>
  <c r="F72" i="65"/>
  <c r="H72" i="65"/>
  <c r="K72" i="65"/>
  <c r="I72" i="65"/>
  <c r="L72" i="65"/>
  <c r="J72" i="65"/>
  <c r="M72" i="65"/>
  <c r="N72" i="65"/>
  <c r="V72" i="65"/>
  <c r="W72" i="65"/>
  <c r="X72" i="65"/>
  <c r="R72" i="65"/>
  <c r="Y72" i="65"/>
  <c r="Z72" i="65"/>
  <c r="S73" i="65"/>
  <c r="T73" i="65"/>
  <c r="U73" i="65"/>
  <c r="F73" i="65"/>
  <c r="H73" i="65"/>
  <c r="K73" i="65"/>
  <c r="I73" i="65"/>
  <c r="L73" i="65"/>
  <c r="J73" i="65"/>
  <c r="M73" i="65"/>
  <c r="N73" i="65"/>
  <c r="V73" i="65"/>
  <c r="W73" i="65"/>
  <c r="X73" i="65"/>
  <c r="R73" i="65"/>
  <c r="Y73" i="65"/>
  <c r="Z73" i="65"/>
  <c r="S74" i="65"/>
  <c r="T74" i="65"/>
  <c r="U74" i="65"/>
  <c r="F74" i="65"/>
  <c r="H74" i="65"/>
  <c r="K74" i="65"/>
  <c r="I74" i="65"/>
  <c r="L74" i="65"/>
  <c r="J74" i="65"/>
  <c r="M74" i="65"/>
  <c r="N74" i="65"/>
  <c r="V74" i="65"/>
  <c r="W74" i="65"/>
  <c r="X74" i="65"/>
  <c r="R74" i="65"/>
  <c r="Y74" i="65"/>
  <c r="Z74" i="65"/>
  <c r="S75" i="65"/>
  <c r="T75" i="65"/>
  <c r="U75" i="65"/>
  <c r="F75" i="65"/>
  <c r="H75" i="65"/>
  <c r="K75" i="65"/>
  <c r="I75" i="65"/>
  <c r="L75" i="65"/>
  <c r="J75" i="65"/>
  <c r="M75" i="65"/>
  <c r="N75" i="65"/>
  <c r="V75" i="65"/>
  <c r="W75" i="65"/>
  <c r="X75" i="65"/>
  <c r="R75" i="65"/>
  <c r="Y75" i="65"/>
  <c r="Z75" i="65"/>
  <c r="S76" i="65"/>
  <c r="T76" i="65"/>
  <c r="U76" i="65"/>
  <c r="F76" i="65"/>
  <c r="H76" i="65"/>
  <c r="K76" i="65"/>
  <c r="I76" i="65"/>
  <c r="L76" i="65"/>
  <c r="J76" i="65"/>
  <c r="M76" i="65"/>
  <c r="N76" i="65"/>
  <c r="V76" i="65"/>
  <c r="W76" i="65"/>
  <c r="X76" i="65"/>
  <c r="R76" i="65"/>
  <c r="Y76" i="65"/>
  <c r="Z76" i="65"/>
  <c r="S77" i="65"/>
  <c r="T77" i="65"/>
  <c r="U77" i="65"/>
  <c r="F77" i="65"/>
  <c r="H77" i="65"/>
  <c r="K77" i="65"/>
  <c r="I77" i="65"/>
  <c r="L77" i="65"/>
  <c r="J77" i="65"/>
  <c r="M77" i="65"/>
  <c r="N77" i="65"/>
  <c r="V77" i="65"/>
  <c r="W77" i="65"/>
  <c r="X77" i="65"/>
  <c r="R77" i="65"/>
  <c r="Y77" i="65"/>
  <c r="Z77" i="65"/>
  <c r="S78" i="65"/>
  <c r="T78" i="65"/>
  <c r="U78" i="65"/>
  <c r="F78" i="65"/>
  <c r="H78" i="65"/>
  <c r="K78" i="65"/>
  <c r="I78" i="65"/>
  <c r="L78" i="65"/>
  <c r="J78" i="65"/>
  <c r="M78" i="65"/>
  <c r="N78" i="65"/>
  <c r="V78" i="65"/>
  <c r="W78" i="65"/>
  <c r="X78" i="65"/>
  <c r="R78" i="65"/>
  <c r="Y78" i="65"/>
  <c r="Z78" i="65"/>
  <c r="S79" i="65"/>
  <c r="T79" i="65"/>
  <c r="U79" i="65"/>
  <c r="F79" i="65"/>
  <c r="H79" i="65"/>
  <c r="K79" i="65"/>
  <c r="I79" i="65"/>
  <c r="L79" i="65"/>
  <c r="J79" i="65"/>
  <c r="M79" i="65"/>
  <c r="N79" i="65"/>
  <c r="V79" i="65"/>
  <c r="W79" i="65"/>
  <c r="X79" i="65"/>
  <c r="R79" i="65"/>
  <c r="Y79" i="65"/>
  <c r="Z79" i="65"/>
  <c r="S80" i="65"/>
  <c r="T80" i="65"/>
  <c r="U80" i="65"/>
  <c r="F80" i="65"/>
  <c r="H80" i="65"/>
  <c r="K80" i="65"/>
  <c r="I80" i="65"/>
  <c r="L80" i="65"/>
  <c r="J80" i="65"/>
  <c r="M80" i="65"/>
  <c r="N80" i="65"/>
  <c r="V80" i="65"/>
  <c r="W80" i="65"/>
  <c r="X80" i="65"/>
  <c r="R80" i="65"/>
  <c r="Y80" i="65"/>
  <c r="Z80" i="65"/>
  <c r="S81" i="65"/>
  <c r="T81" i="65"/>
  <c r="U81" i="65"/>
  <c r="F81" i="65"/>
  <c r="H81" i="65"/>
  <c r="K81" i="65"/>
  <c r="I81" i="65"/>
  <c r="L81" i="65"/>
  <c r="J81" i="65"/>
  <c r="M81" i="65"/>
  <c r="N81" i="65"/>
  <c r="V81" i="65"/>
  <c r="W81" i="65"/>
  <c r="X81" i="65"/>
  <c r="R81" i="65"/>
  <c r="Y81" i="65"/>
  <c r="Z81" i="65"/>
  <c r="S82" i="65"/>
  <c r="T82" i="65"/>
  <c r="U82" i="65"/>
  <c r="F82" i="65"/>
  <c r="H82" i="65"/>
  <c r="K82" i="65"/>
  <c r="I82" i="65"/>
  <c r="L82" i="65"/>
  <c r="J82" i="65"/>
  <c r="M82" i="65"/>
  <c r="N82" i="65"/>
  <c r="V82" i="65"/>
  <c r="W82" i="65"/>
  <c r="X82" i="65"/>
  <c r="R82" i="65"/>
  <c r="Y82" i="65"/>
  <c r="Z82" i="65"/>
  <c r="S83" i="65"/>
  <c r="T83" i="65"/>
  <c r="U83" i="65"/>
  <c r="F83" i="65"/>
  <c r="H83" i="65"/>
  <c r="K83" i="65"/>
  <c r="I83" i="65"/>
  <c r="L83" i="65"/>
  <c r="J83" i="65"/>
  <c r="M83" i="65"/>
  <c r="N83" i="65"/>
  <c r="V83" i="65"/>
  <c r="W83" i="65"/>
  <c r="X83" i="65"/>
  <c r="R83" i="65"/>
  <c r="Y83" i="65"/>
  <c r="Z83" i="65"/>
  <c r="M84" i="65"/>
  <c r="N84" i="65"/>
  <c r="V84" i="65"/>
  <c r="X84" i="65"/>
  <c r="R84" i="65"/>
  <c r="Y84" i="65"/>
  <c r="Z84" i="65"/>
  <c r="Z85" i="65"/>
  <c r="Z86" i="65"/>
  <c r="O24" i="65"/>
  <c r="P24" i="65"/>
  <c r="O25" i="65"/>
  <c r="P25" i="65"/>
  <c r="O26" i="65"/>
  <c r="P26" i="65"/>
  <c r="O27" i="65"/>
  <c r="P27" i="65"/>
  <c r="O28" i="65"/>
  <c r="P28" i="65"/>
  <c r="O29" i="65"/>
  <c r="P29" i="65"/>
  <c r="O30" i="65"/>
  <c r="P30" i="65"/>
  <c r="O31" i="65"/>
  <c r="P31" i="65"/>
  <c r="O32" i="65"/>
  <c r="P32" i="65"/>
  <c r="O33" i="65"/>
  <c r="P33" i="65"/>
  <c r="O34" i="65"/>
  <c r="P34" i="65"/>
  <c r="O35" i="65"/>
  <c r="P35" i="65"/>
  <c r="O36" i="65"/>
  <c r="P36" i="65"/>
  <c r="O37" i="65"/>
  <c r="P37" i="65"/>
  <c r="O38" i="65"/>
  <c r="P38" i="65"/>
  <c r="O39" i="65"/>
  <c r="P39" i="65"/>
  <c r="O40" i="65"/>
  <c r="P40" i="65"/>
  <c r="O41" i="65"/>
  <c r="P41" i="65"/>
  <c r="O42" i="65"/>
  <c r="P42" i="65"/>
  <c r="O43" i="65"/>
  <c r="P43" i="65"/>
  <c r="O44" i="65"/>
  <c r="P44" i="65"/>
  <c r="O45" i="65"/>
  <c r="P45" i="65"/>
  <c r="O46" i="65"/>
  <c r="P46" i="65"/>
  <c r="O47" i="65"/>
  <c r="P47" i="65"/>
  <c r="O48" i="65"/>
  <c r="P48" i="65"/>
  <c r="O49" i="65"/>
  <c r="P49" i="65"/>
  <c r="O50" i="65"/>
  <c r="P50" i="65"/>
  <c r="O51" i="65"/>
  <c r="P51" i="65"/>
  <c r="O52" i="65"/>
  <c r="P52" i="65"/>
  <c r="O53" i="65"/>
  <c r="P53" i="65"/>
  <c r="O54" i="65"/>
  <c r="P54" i="65"/>
  <c r="O55" i="65"/>
  <c r="P55" i="65"/>
  <c r="O56" i="65"/>
  <c r="P56" i="65"/>
  <c r="O57" i="65"/>
  <c r="P57" i="65"/>
  <c r="O58" i="65"/>
  <c r="P58" i="65"/>
  <c r="O59" i="65"/>
  <c r="P59" i="65"/>
  <c r="O60" i="65"/>
  <c r="P60" i="65"/>
  <c r="O61" i="65"/>
  <c r="P61" i="65"/>
  <c r="O62" i="65"/>
  <c r="P62" i="65"/>
  <c r="O63" i="65"/>
  <c r="P63" i="65"/>
  <c r="O64" i="65"/>
  <c r="P64" i="65"/>
  <c r="O65" i="65"/>
  <c r="P65" i="65"/>
  <c r="O66" i="65"/>
  <c r="P66" i="65"/>
  <c r="O67" i="65"/>
  <c r="P67" i="65"/>
  <c r="O68" i="65"/>
  <c r="P68" i="65"/>
  <c r="O69" i="65"/>
  <c r="P69" i="65"/>
  <c r="O70" i="65"/>
  <c r="P70" i="65"/>
  <c r="O71" i="65"/>
  <c r="P71" i="65"/>
  <c r="O72" i="65"/>
  <c r="P72" i="65"/>
  <c r="O73" i="65"/>
  <c r="P73" i="65"/>
  <c r="O74" i="65"/>
  <c r="P74" i="65"/>
  <c r="O75" i="65"/>
  <c r="P75" i="65"/>
  <c r="O76" i="65"/>
  <c r="P76" i="65"/>
  <c r="O77" i="65"/>
  <c r="P77" i="65"/>
  <c r="O78" i="65"/>
  <c r="P78" i="65"/>
  <c r="O79" i="65"/>
  <c r="P79" i="65"/>
  <c r="O80" i="65"/>
  <c r="P80" i="65"/>
  <c r="O81" i="65"/>
  <c r="P81" i="65"/>
  <c r="O82" i="65"/>
  <c r="P82" i="65"/>
  <c r="O83" i="65"/>
  <c r="P83" i="65"/>
  <c r="F84" i="65"/>
  <c r="O84" i="65"/>
  <c r="P84" i="65"/>
  <c r="P85" i="65"/>
  <c r="AB23" i="65"/>
  <c r="AB25" i="65"/>
  <c r="J24" i="65"/>
  <c r="C20" i="65"/>
  <c r="C21" i="65"/>
  <c r="B22" i="64"/>
  <c r="F12" i="64"/>
  <c r="F24" i="64"/>
  <c r="F25" i="64"/>
  <c r="F26" i="64"/>
  <c r="F27" i="64"/>
  <c r="F28" i="64"/>
  <c r="B24" i="64"/>
  <c r="B25" i="64"/>
  <c r="B26" i="64"/>
  <c r="B27" i="64"/>
  <c r="B28" i="64"/>
  <c r="B8" i="64"/>
  <c r="B12" i="64"/>
  <c r="B13" i="64"/>
  <c r="B14" i="64"/>
  <c r="B15" i="64"/>
  <c r="B16" i="64"/>
  <c r="K56" i="61"/>
  <c r="K57" i="61"/>
  <c r="K58" i="61"/>
  <c r="K59" i="61"/>
  <c r="K55" i="61"/>
  <c r="H56" i="61"/>
  <c r="H57" i="61"/>
  <c r="H58" i="61"/>
  <c r="G59" i="61"/>
  <c r="G56" i="61"/>
  <c r="G57" i="61"/>
  <c r="G58" i="61"/>
  <c r="G55" i="61"/>
  <c r="K33" i="61"/>
  <c r="K34" i="61"/>
  <c r="K35" i="61"/>
  <c r="K36" i="61"/>
  <c r="K32" i="61"/>
  <c r="H35" i="61"/>
  <c r="H33" i="61"/>
  <c r="H34" i="61"/>
  <c r="F22" i="61"/>
  <c r="J23" i="61"/>
  <c r="J19" i="61"/>
  <c r="J20" i="61"/>
  <c r="J21" i="61"/>
  <c r="J22" i="61"/>
  <c r="J18" i="61"/>
  <c r="I19" i="61"/>
  <c r="I20" i="61"/>
  <c r="I21" i="61"/>
  <c r="G22" i="61"/>
  <c r="I22" i="61"/>
  <c r="I18" i="61"/>
  <c r="I32" i="61"/>
  <c r="J32" i="61"/>
  <c r="I33" i="61"/>
  <c r="J33" i="61"/>
  <c r="I34" i="61"/>
  <c r="J34" i="61"/>
  <c r="I35" i="61"/>
  <c r="J35" i="61"/>
  <c r="F19" i="61"/>
  <c r="F20" i="61"/>
  <c r="F21" i="61"/>
  <c r="F18" i="61"/>
  <c r="C9" i="61"/>
  <c r="B19" i="61"/>
  <c r="B33" i="61"/>
  <c r="B56" i="61"/>
  <c r="C19" i="61"/>
  <c r="D33" i="61"/>
  <c r="D56" i="61"/>
  <c r="E33" i="61"/>
  <c r="E56" i="61"/>
  <c r="C44" i="61"/>
  <c r="H44" i="61"/>
  <c r="D44" i="61"/>
  <c r="E44" i="61"/>
  <c r="C45" i="61"/>
  <c r="H45" i="61"/>
  <c r="D45" i="61"/>
  <c r="F56" i="61"/>
  <c r="E45" i="61"/>
  <c r="I56" i="61"/>
  <c r="Q19" i="61"/>
  <c r="Q18" i="61"/>
  <c r="L17" i="61"/>
  <c r="M18" i="61"/>
  <c r="N18" i="61"/>
  <c r="J56" i="61"/>
  <c r="C10" i="61"/>
  <c r="B20" i="61"/>
  <c r="B34" i="61"/>
  <c r="B57" i="61"/>
  <c r="C20" i="61"/>
  <c r="D34" i="61"/>
  <c r="D57" i="61"/>
  <c r="E34" i="61"/>
  <c r="E57" i="61"/>
  <c r="C46" i="61"/>
  <c r="H46" i="61"/>
  <c r="D46" i="61"/>
  <c r="F57" i="61"/>
  <c r="E46" i="61"/>
  <c r="I57" i="61"/>
  <c r="L18" i="61"/>
  <c r="M19" i="61"/>
  <c r="N19" i="61"/>
  <c r="J57" i="61"/>
  <c r="C11" i="61"/>
  <c r="B21" i="61"/>
  <c r="B35" i="61"/>
  <c r="B58" i="61"/>
  <c r="C21" i="61"/>
  <c r="D35" i="61"/>
  <c r="D58" i="61"/>
  <c r="E35" i="61"/>
  <c r="E58" i="61"/>
  <c r="C47" i="61"/>
  <c r="H47" i="61"/>
  <c r="D47" i="61"/>
  <c r="F58" i="61"/>
  <c r="E47" i="61"/>
  <c r="I58" i="61"/>
  <c r="L19" i="61"/>
  <c r="M20" i="61"/>
  <c r="N20" i="61"/>
  <c r="J58" i="61"/>
  <c r="C12" i="61"/>
  <c r="B22" i="61"/>
  <c r="B36" i="61"/>
  <c r="B59" i="61"/>
  <c r="C22" i="61"/>
  <c r="D36" i="61"/>
  <c r="D59" i="61"/>
  <c r="E36" i="61"/>
  <c r="E59" i="61"/>
  <c r="C48" i="61"/>
  <c r="H48" i="61"/>
  <c r="D48" i="61"/>
  <c r="F59" i="61"/>
  <c r="E48" i="61"/>
  <c r="H59" i="61"/>
  <c r="I59" i="61"/>
  <c r="L20" i="61"/>
  <c r="M21" i="61"/>
  <c r="N21" i="61"/>
  <c r="J59" i="61"/>
  <c r="C8" i="61"/>
  <c r="B18" i="61"/>
  <c r="B32" i="61"/>
  <c r="B55" i="61"/>
  <c r="E32" i="61"/>
  <c r="E55" i="61"/>
  <c r="F55" i="61"/>
  <c r="H55" i="61"/>
  <c r="I55" i="61"/>
  <c r="N17" i="61"/>
  <c r="J55" i="61"/>
  <c r="D8" i="61"/>
  <c r="E8" i="61"/>
  <c r="D9" i="61"/>
  <c r="E19" i="61"/>
  <c r="F33" i="61"/>
  <c r="E9" i="61"/>
  <c r="G33" i="61"/>
  <c r="D10" i="61"/>
  <c r="E20" i="61"/>
  <c r="F34" i="61"/>
  <c r="E10" i="61"/>
  <c r="G34" i="61"/>
  <c r="D11" i="61"/>
  <c r="E21" i="61"/>
  <c r="F35" i="61"/>
  <c r="E11" i="61"/>
  <c r="G35" i="61"/>
  <c r="D12" i="61"/>
  <c r="E22" i="61"/>
  <c r="F36" i="61"/>
  <c r="E12" i="61"/>
  <c r="G36" i="61"/>
  <c r="I36" i="61"/>
  <c r="J36" i="61"/>
  <c r="E18" i="61"/>
  <c r="F32" i="61"/>
  <c r="G32" i="61"/>
  <c r="D19" i="61"/>
  <c r="G19" i="61"/>
  <c r="H19" i="61"/>
  <c r="D20" i="61"/>
  <c r="G20" i="61"/>
  <c r="H20" i="61"/>
  <c r="D21" i="61"/>
  <c r="G21" i="61"/>
  <c r="H21" i="61"/>
  <c r="D22" i="61"/>
  <c r="H22" i="61"/>
  <c r="D18" i="61"/>
  <c r="G18" i="61"/>
  <c r="H18" i="61"/>
  <c r="L21" i="61"/>
  <c r="E30" i="64"/>
  <c r="F13" i="64"/>
  <c r="F14" i="64"/>
  <c r="F15" i="64"/>
  <c r="F16" i="64"/>
  <c r="G17" i="64"/>
  <c r="C17" i="64"/>
  <c r="C12" i="63"/>
  <c r="D12" i="63"/>
  <c r="E12" i="63"/>
  <c r="C13" i="63"/>
  <c r="D13" i="63"/>
  <c r="E13" i="63"/>
  <c r="C14" i="63"/>
  <c r="D14" i="63"/>
  <c r="E14" i="63"/>
  <c r="C15" i="63"/>
  <c r="D15" i="63"/>
  <c r="E15" i="63"/>
  <c r="C16" i="63"/>
  <c r="D16" i="63"/>
  <c r="E16" i="63"/>
  <c r="C17" i="63"/>
  <c r="D17" i="63"/>
  <c r="E17" i="63"/>
  <c r="C18" i="63"/>
  <c r="D18" i="63"/>
  <c r="E18" i="63"/>
  <c r="C19" i="63"/>
  <c r="D19" i="63"/>
  <c r="E19" i="63"/>
  <c r="C20" i="63"/>
  <c r="D20" i="63"/>
  <c r="E20" i="63"/>
  <c r="C21" i="63"/>
  <c r="D21" i="63"/>
  <c r="E21" i="63"/>
  <c r="C22" i="63"/>
  <c r="D22" i="63"/>
  <c r="E22" i="63"/>
  <c r="C23" i="63"/>
  <c r="D23" i="63"/>
  <c r="E23" i="63"/>
  <c r="C24" i="63"/>
  <c r="D24" i="63"/>
  <c r="E24" i="63"/>
  <c r="C25" i="63"/>
  <c r="D25" i="63"/>
  <c r="E25" i="63"/>
  <c r="C26" i="63"/>
  <c r="D26" i="63"/>
  <c r="E26" i="63"/>
  <c r="C27" i="63"/>
  <c r="D27" i="63"/>
  <c r="E27" i="63"/>
  <c r="C28" i="63"/>
  <c r="D28" i="63"/>
  <c r="E28" i="63"/>
  <c r="C29" i="63"/>
  <c r="D29" i="63"/>
  <c r="E29" i="63"/>
  <c r="C30" i="63"/>
  <c r="D30" i="63"/>
  <c r="E30" i="63"/>
  <c r="C31" i="63"/>
  <c r="D31" i="63"/>
  <c r="E31" i="63"/>
  <c r="C32" i="63"/>
  <c r="D32" i="63"/>
  <c r="E32" i="63"/>
  <c r="C33" i="63"/>
  <c r="D33" i="63"/>
  <c r="E33" i="63"/>
  <c r="C34" i="63"/>
  <c r="D34" i="63"/>
  <c r="E34" i="63"/>
  <c r="C35" i="63"/>
  <c r="D35" i="63"/>
  <c r="E35" i="63"/>
  <c r="C36" i="63"/>
  <c r="D36" i="63"/>
  <c r="E36" i="63"/>
  <c r="C37" i="63"/>
  <c r="D37" i="63"/>
  <c r="E37" i="63"/>
  <c r="C38" i="63"/>
  <c r="D38" i="63"/>
  <c r="E38" i="63"/>
  <c r="C39" i="63"/>
  <c r="D39" i="63"/>
  <c r="E39" i="63"/>
  <c r="C40" i="63"/>
  <c r="D40" i="63"/>
  <c r="E40" i="63"/>
  <c r="C41" i="63"/>
  <c r="D41" i="63"/>
  <c r="E41" i="63"/>
  <c r="C42" i="63"/>
  <c r="D42" i="63"/>
  <c r="E42" i="63"/>
  <c r="C43" i="63"/>
  <c r="D43" i="63"/>
  <c r="E43" i="63"/>
  <c r="C44" i="63"/>
  <c r="D44" i="63"/>
  <c r="E44" i="63"/>
  <c r="C45" i="63"/>
  <c r="D45" i="63"/>
  <c r="E45" i="63"/>
  <c r="C46" i="63"/>
  <c r="D46" i="63"/>
  <c r="E46" i="63"/>
  <c r="C47" i="63"/>
  <c r="D47" i="63"/>
  <c r="E47" i="63"/>
  <c r="C48" i="63"/>
  <c r="D48" i="63"/>
  <c r="E48" i="63"/>
  <c r="C49" i="63"/>
  <c r="D49" i="63"/>
  <c r="E49" i="63"/>
  <c r="C50" i="63"/>
  <c r="D50" i="63"/>
  <c r="E50" i="63"/>
  <c r="C51" i="63"/>
  <c r="D51" i="63"/>
  <c r="E51" i="63"/>
  <c r="C52" i="63"/>
  <c r="D52" i="63"/>
  <c r="E52" i="63"/>
  <c r="C53" i="63"/>
  <c r="D53" i="63"/>
  <c r="E53" i="63"/>
  <c r="C54" i="63"/>
  <c r="D54" i="63"/>
  <c r="E54" i="63"/>
  <c r="C55" i="63"/>
  <c r="D55" i="63"/>
  <c r="E55" i="63"/>
  <c r="C56" i="63"/>
  <c r="D56" i="63"/>
  <c r="E56" i="63"/>
  <c r="C57" i="63"/>
  <c r="D57" i="63"/>
  <c r="E57" i="63"/>
  <c r="C58" i="63"/>
  <c r="D58" i="63"/>
  <c r="E58" i="63"/>
  <c r="C59" i="63"/>
  <c r="D59" i="63"/>
  <c r="E59" i="63"/>
  <c r="C60" i="63"/>
  <c r="D60" i="63"/>
  <c r="E60" i="63"/>
  <c r="C61" i="63"/>
  <c r="D61" i="63"/>
  <c r="E61" i="63"/>
  <c r="C62" i="63"/>
  <c r="D62" i="63"/>
  <c r="E62" i="63"/>
  <c r="C63" i="63"/>
  <c r="D63" i="63"/>
  <c r="E63" i="63"/>
  <c r="C64" i="63"/>
  <c r="D64" i="63"/>
  <c r="E64" i="63"/>
  <c r="C65" i="63"/>
  <c r="D65" i="63"/>
  <c r="E65" i="63"/>
  <c r="C66" i="63"/>
  <c r="D66" i="63"/>
  <c r="E66" i="63"/>
  <c r="C67" i="63"/>
  <c r="D67" i="63"/>
  <c r="E67" i="63"/>
  <c r="C68" i="63"/>
  <c r="D68" i="63"/>
  <c r="E68" i="63"/>
  <c r="C69" i="63"/>
  <c r="D69" i="63"/>
  <c r="E69" i="63"/>
  <c r="C70" i="63"/>
  <c r="D70" i="63"/>
  <c r="E70" i="63"/>
  <c r="C71" i="63"/>
  <c r="D71" i="63"/>
  <c r="E71" i="63"/>
  <c r="C72" i="63"/>
  <c r="D72" i="63"/>
  <c r="E72" i="63"/>
  <c r="C73" i="63"/>
  <c r="D73" i="63"/>
  <c r="E73" i="63"/>
  <c r="C74" i="63"/>
  <c r="D74" i="63"/>
  <c r="E74" i="63"/>
  <c r="C75" i="63"/>
  <c r="D75" i="63"/>
  <c r="E75" i="63"/>
  <c r="C76" i="63"/>
  <c r="D76" i="63"/>
  <c r="E76" i="63"/>
  <c r="C77" i="63"/>
  <c r="D77" i="63"/>
  <c r="E77" i="63"/>
  <c r="C78" i="63"/>
  <c r="D78" i="63"/>
  <c r="E78" i="63"/>
  <c r="C79" i="63"/>
  <c r="D79" i="63"/>
  <c r="E79" i="63"/>
  <c r="C80" i="63"/>
  <c r="D80" i="63"/>
  <c r="E80" i="63"/>
  <c r="C81" i="63"/>
  <c r="D81" i="63"/>
  <c r="E81" i="63"/>
  <c r="C82" i="63"/>
  <c r="D82" i="63"/>
  <c r="E82" i="63"/>
  <c r="C83" i="63"/>
  <c r="D83" i="63"/>
  <c r="E83" i="63"/>
  <c r="C84" i="63"/>
  <c r="D84" i="63"/>
  <c r="E84" i="63"/>
  <c r="C85" i="63"/>
  <c r="D85" i="63"/>
  <c r="E85" i="63"/>
  <c r="C86" i="63"/>
  <c r="D86" i="63"/>
  <c r="E86" i="63"/>
  <c r="C87" i="63"/>
  <c r="D87" i="63"/>
  <c r="E87" i="63"/>
  <c r="C88" i="63"/>
  <c r="D88" i="63"/>
  <c r="E88" i="63"/>
  <c r="C89" i="63"/>
  <c r="D89" i="63"/>
  <c r="E89" i="63"/>
  <c r="C90" i="63"/>
  <c r="D90" i="63"/>
  <c r="E90" i="63"/>
  <c r="C91" i="63"/>
  <c r="D91" i="63"/>
  <c r="E91" i="63"/>
  <c r="C92" i="63"/>
  <c r="D92" i="63"/>
  <c r="E92" i="63"/>
  <c r="C93" i="63"/>
  <c r="D93" i="63"/>
  <c r="E93" i="63"/>
  <c r="C94" i="63"/>
  <c r="D94" i="63"/>
  <c r="E94" i="63"/>
  <c r="C95" i="63"/>
  <c r="D95" i="63"/>
  <c r="E95" i="63"/>
  <c r="C96" i="63"/>
  <c r="D96" i="63"/>
  <c r="E96" i="63"/>
  <c r="C97" i="63"/>
  <c r="D97" i="63"/>
  <c r="E97" i="63"/>
  <c r="C98" i="63"/>
  <c r="D98" i="63"/>
  <c r="E98" i="63"/>
  <c r="C99" i="63"/>
  <c r="D99" i="63"/>
  <c r="E99" i="63"/>
  <c r="C100" i="63"/>
  <c r="D100" i="63"/>
  <c r="E100" i="63"/>
  <c r="C101" i="63"/>
  <c r="D101" i="63"/>
  <c r="E101" i="63"/>
  <c r="C102" i="63"/>
  <c r="D102" i="63"/>
  <c r="E102" i="63"/>
  <c r="C103" i="63"/>
  <c r="D103" i="63"/>
  <c r="E103" i="63"/>
  <c r="C104" i="63"/>
  <c r="D104" i="63"/>
  <c r="E104" i="63"/>
  <c r="C105" i="63"/>
  <c r="D105" i="63"/>
  <c r="E105" i="63"/>
  <c r="C106" i="63"/>
  <c r="D106" i="63"/>
  <c r="E106" i="63"/>
  <c r="C107" i="63"/>
  <c r="D107" i="63"/>
  <c r="E107" i="63"/>
  <c r="C108" i="63"/>
  <c r="D108" i="63"/>
  <c r="E108" i="63"/>
  <c r="C109" i="63"/>
  <c r="D109" i="63"/>
  <c r="E109" i="63"/>
  <c r="C110" i="63"/>
  <c r="D110" i="63"/>
  <c r="E110" i="63"/>
  <c r="C111" i="63"/>
  <c r="D111" i="63"/>
  <c r="E111" i="63"/>
  <c r="C112" i="63"/>
  <c r="D112" i="63"/>
  <c r="E112" i="63"/>
  <c r="C113" i="63"/>
  <c r="D113" i="63"/>
  <c r="E113" i="63"/>
  <c r="C114" i="63"/>
  <c r="D114" i="63"/>
  <c r="E114" i="63"/>
  <c r="C115" i="63"/>
  <c r="D115" i="63"/>
  <c r="E115" i="63"/>
  <c r="C116" i="63"/>
  <c r="D116" i="63"/>
  <c r="E116" i="63"/>
  <c r="C117" i="63"/>
  <c r="D117" i="63"/>
  <c r="E117" i="63"/>
  <c r="C118" i="63"/>
  <c r="D118" i="63"/>
  <c r="E118" i="63"/>
  <c r="C119" i="63"/>
  <c r="D119" i="63"/>
  <c r="E119" i="63"/>
  <c r="C120" i="63"/>
  <c r="D120" i="63"/>
  <c r="E120" i="63"/>
  <c r="C121" i="63"/>
  <c r="D121" i="63"/>
  <c r="E121" i="63"/>
  <c r="C122" i="63"/>
  <c r="D122" i="63"/>
  <c r="E122" i="63"/>
  <c r="C123" i="63"/>
  <c r="D123" i="63"/>
  <c r="E123" i="63"/>
  <c r="C124" i="63"/>
  <c r="D124" i="63"/>
  <c r="E124" i="63"/>
  <c r="C125" i="63"/>
  <c r="D125" i="63"/>
  <c r="E125" i="63"/>
  <c r="C126" i="63"/>
  <c r="D126" i="63"/>
  <c r="E126" i="63"/>
  <c r="C127" i="63"/>
  <c r="D127" i="63"/>
  <c r="E127" i="63"/>
  <c r="C128" i="63"/>
  <c r="D128" i="63"/>
  <c r="E128" i="63"/>
  <c r="C129" i="63"/>
  <c r="D129" i="63"/>
  <c r="E129" i="63"/>
  <c r="C130" i="63"/>
  <c r="D130" i="63"/>
  <c r="E130" i="63"/>
  <c r="C131" i="63"/>
  <c r="D131" i="63"/>
  <c r="E131" i="63"/>
  <c r="C132" i="63"/>
  <c r="D132" i="63"/>
  <c r="E132" i="63"/>
  <c r="C133" i="63"/>
  <c r="D133" i="63"/>
  <c r="E133" i="63"/>
  <c r="C134" i="63"/>
  <c r="D134" i="63"/>
  <c r="E134" i="63"/>
  <c r="C135" i="63"/>
  <c r="D135" i="63"/>
  <c r="E135" i="63"/>
  <c r="C136" i="63"/>
  <c r="D136" i="63"/>
  <c r="E136" i="63"/>
  <c r="C137" i="63"/>
  <c r="D137" i="63"/>
  <c r="E137" i="63"/>
  <c r="C138" i="63"/>
  <c r="D138" i="63"/>
  <c r="E138" i="63"/>
  <c r="C139" i="63"/>
  <c r="D139" i="63"/>
  <c r="E139" i="63"/>
  <c r="C140" i="63"/>
  <c r="D140" i="63"/>
  <c r="E140" i="63"/>
  <c r="C141" i="63"/>
  <c r="D141" i="63"/>
  <c r="E141" i="63"/>
  <c r="C142" i="63"/>
  <c r="D142" i="63"/>
  <c r="E142" i="63"/>
  <c r="C143" i="63"/>
  <c r="D143" i="63"/>
  <c r="E143" i="63"/>
  <c r="C144" i="63"/>
  <c r="D144" i="63"/>
  <c r="E144" i="63"/>
  <c r="C145" i="63"/>
  <c r="D145" i="63"/>
  <c r="E145" i="63"/>
  <c r="C146" i="63"/>
  <c r="D146" i="63"/>
  <c r="E146" i="63"/>
  <c r="C147" i="63"/>
  <c r="D147" i="63"/>
  <c r="E147" i="63"/>
  <c r="C148" i="63"/>
  <c r="D148" i="63"/>
  <c r="E148" i="63"/>
  <c r="C149" i="63"/>
  <c r="D149" i="63"/>
  <c r="E149" i="63"/>
  <c r="C150" i="63"/>
  <c r="D150" i="63"/>
  <c r="E150" i="63"/>
  <c r="C151" i="63"/>
  <c r="D151" i="63"/>
  <c r="E151" i="63"/>
  <c r="C152" i="63"/>
  <c r="D152" i="63"/>
  <c r="E152" i="63"/>
  <c r="C153" i="63"/>
  <c r="D153" i="63"/>
  <c r="E153" i="63"/>
  <c r="C154" i="63"/>
  <c r="D154" i="63"/>
  <c r="E154" i="63"/>
  <c r="C155" i="63"/>
  <c r="D155" i="63"/>
  <c r="E155" i="63"/>
  <c r="C156" i="63"/>
  <c r="D156" i="63"/>
  <c r="E156" i="63"/>
  <c r="C157" i="63"/>
  <c r="D157" i="63"/>
  <c r="E157" i="63"/>
  <c r="C158" i="63"/>
  <c r="D158" i="63"/>
  <c r="E158" i="63"/>
  <c r="C159" i="63"/>
  <c r="D159" i="63"/>
  <c r="E159" i="63"/>
  <c r="C160" i="63"/>
  <c r="D160" i="63"/>
  <c r="E160" i="63"/>
  <c r="C161" i="63"/>
  <c r="D161" i="63"/>
  <c r="E161" i="63"/>
  <c r="C162" i="63"/>
  <c r="D162" i="63"/>
  <c r="E162" i="63"/>
  <c r="C163" i="63"/>
  <c r="D163" i="63"/>
  <c r="E163" i="63"/>
  <c r="C164" i="63"/>
  <c r="D164" i="63"/>
  <c r="E164" i="63"/>
  <c r="C165" i="63"/>
  <c r="D165" i="63"/>
  <c r="E165" i="63"/>
  <c r="C166" i="63"/>
  <c r="D166" i="63"/>
  <c r="E166" i="63"/>
  <c r="C167" i="63"/>
  <c r="D167" i="63"/>
  <c r="E167" i="63"/>
  <c r="C168" i="63"/>
  <c r="D168" i="63"/>
  <c r="E168" i="63"/>
  <c r="C169" i="63"/>
  <c r="D169" i="63"/>
  <c r="E169" i="63"/>
  <c r="C170" i="63"/>
  <c r="D170" i="63"/>
  <c r="E170" i="63"/>
  <c r="C171" i="63"/>
  <c r="D171" i="63"/>
  <c r="E171" i="63"/>
  <c r="C172" i="63"/>
  <c r="D172" i="63"/>
  <c r="E172" i="63"/>
  <c r="C173" i="63"/>
  <c r="D173" i="63"/>
  <c r="E173" i="63"/>
  <c r="C174" i="63"/>
  <c r="D174" i="63"/>
  <c r="E174" i="63"/>
  <c r="C175" i="63"/>
  <c r="D175" i="63"/>
  <c r="E175" i="63"/>
  <c r="C176" i="63"/>
  <c r="D176" i="63"/>
  <c r="E176" i="63"/>
  <c r="C177" i="63"/>
  <c r="D177" i="63"/>
  <c r="E177" i="63"/>
  <c r="C178" i="63"/>
  <c r="D178" i="63"/>
  <c r="E178" i="63"/>
  <c r="C179" i="63"/>
  <c r="D179" i="63"/>
  <c r="E179" i="63"/>
  <c r="C180" i="63"/>
  <c r="D180" i="63"/>
  <c r="E180" i="63"/>
  <c r="C181" i="63"/>
  <c r="D181" i="63"/>
  <c r="E181" i="63"/>
  <c r="C182" i="63"/>
  <c r="D182" i="63"/>
  <c r="E182" i="63"/>
  <c r="C183" i="63"/>
  <c r="D183" i="63"/>
  <c r="E183" i="63"/>
  <c r="C184" i="63"/>
  <c r="D184" i="63"/>
  <c r="E184" i="63"/>
  <c r="C185" i="63"/>
  <c r="D185" i="63"/>
  <c r="E185" i="63"/>
  <c r="C186" i="63"/>
  <c r="D186" i="63"/>
  <c r="E186" i="63"/>
  <c r="C187" i="63"/>
  <c r="D187" i="63"/>
  <c r="E187" i="63"/>
  <c r="C188" i="63"/>
  <c r="D188" i="63"/>
  <c r="E188" i="63"/>
  <c r="C189" i="63"/>
  <c r="D189" i="63"/>
  <c r="E189" i="63"/>
  <c r="C190" i="63"/>
  <c r="D190" i="63"/>
  <c r="E190" i="63"/>
  <c r="C191" i="63"/>
  <c r="D191" i="63"/>
  <c r="E191" i="63"/>
  <c r="C192" i="63"/>
  <c r="D192" i="63"/>
  <c r="E192" i="63"/>
  <c r="C193" i="63"/>
  <c r="D193" i="63"/>
  <c r="E193" i="63"/>
  <c r="C194" i="63"/>
  <c r="D194" i="63"/>
  <c r="E194" i="63"/>
  <c r="C195" i="63"/>
  <c r="D195" i="63"/>
  <c r="E195" i="63"/>
  <c r="C196" i="63"/>
  <c r="D196" i="63"/>
  <c r="E196" i="63"/>
  <c r="C197" i="63"/>
  <c r="D197" i="63"/>
  <c r="E197" i="63"/>
  <c r="C198" i="63"/>
  <c r="D198" i="63"/>
  <c r="E198" i="63"/>
  <c r="C199" i="63"/>
  <c r="D199" i="63"/>
  <c r="E199" i="63"/>
  <c r="C200" i="63"/>
  <c r="D200" i="63"/>
  <c r="E200" i="63"/>
  <c r="C201" i="63"/>
  <c r="D201" i="63"/>
  <c r="E201" i="63"/>
  <c r="C202" i="63"/>
  <c r="D202" i="63"/>
  <c r="E202" i="63"/>
  <c r="C203" i="63"/>
  <c r="D203" i="63"/>
  <c r="E203" i="63"/>
  <c r="C204" i="63"/>
  <c r="D204" i="63"/>
  <c r="E204" i="63"/>
  <c r="C205" i="63"/>
  <c r="D205" i="63"/>
  <c r="E205" i="63"/>
  <c r="C206" i="63"/>
  <c r="D206" i="63"/>
  <c r="E206" i="63"/>
  <c r="C207" i="63"/>
  <c r="D207" i="63"/>
  <c r="E207" i="63"/>
  <c r="C208" i="63"/>
  <c r="D208" i="63"/>
  <c r="E208" i="63"/>
  <c r="C209" i="63"/>
  <c r="D209" i="63"/>
  <c r="E209" i="63"/>
  <c r="C210" i="63"/>
  <c r="D210" i="63"/>
  <c r="E210" i="63"/>
  <c r="C211" i="63"/>
  <c r="D211" i="63"/>
  <c r="E211" i="63"/>
  <c r="C212" i="63"/>
  <c r="D212" i="63"/>
  <c r="E212" i="63"/>
  <c r="C213" i="63"/>
  <c r="D213" i="63"/>
  <c r="E213" i="63"/>
  <c r="C214" i="63"/>
  <c r="D214" i="63"/>
  <c r="E214" i="63"/>
  <c r="C215" i="63"/>
  <c r="D215" i="63"/>
  <c r="E215" i="63"/>
  <c r="C216" i="63"/>
  <c r="D216" i="63"/>
  <c r="E216" i="63"/>
  <c r="C217" i="63"/>
  <c r="D217" i="63"/>
  <c r="E217" i="63"/>
  <c r="C218" i="63"/>
  <c r="D218" i="63"/>
  <c r="E218" i="63"/>
  <c r="C219" i="63"/>
  <c r="D219" i="63"/>
  <c r="E219" i="63"/>
  <c r="C220" i="63"/>
  <c r="D220" i="63"/>
  <c r="E220" i="63"/>
  <c r="C221" i="63"/>
  <c r="D221" i="63"/>
  <c r="E221" i="63"/>
  <c r="C222" i="63"/>
  <c r="D222" i="63"/>
  <c r="E222" i="63"/>
  <c r="C223" i="63"/>
  <c r="D223" i="63"/>
  <c r="E223" i="63"/>
  <c r="C224" i="63"/>
  <c r="D224" i="63"/>
  <c r="E224" i="63"/>
  <c r="C225" i="63"/>
  <c r="D225" i="63"/>
  <c r="E225" i="63"/>
  <c r="C226" i="63"/>
  <c r="D226" i="63"/>
  <c r="E226" i="63"/>
  <c r="C227" i="63"/>
  <c r="D227" i="63"/>
  <c r="E227" i="63"/>
  <c r="C228" i="63"/>
  <c r="D228" i="63"/>
  <c r="E228" i="63"/>
  <c r="C229" i="63"/>
  <c r="D229" i="63"/>
  <c r="E229" i="63"/>
  <c r="C230" i="63"/>
  <c r="D230" i="63"/>
  <c r="E230" i="63"/>
  <c r="C231" i="63"/>
  <c r="D231" i="63"/>
  <c r="E231" i="63"/>
  <c r="C232" i="63"/>
  <c r="D232" i="63"/>
  <c r="E232" i="63"/>
  <c r="C233" i="63"/>
  <c r="D233" i="63"/>
  <c r="E233" i="63"/>
  <c r="C234" i="63"/>
  <c r="D234" i="63"/>
  <c r="E234" i="63"/>
  <c r="C235" i="63"/>
  <c r="D235" i="63"/>
  <c r="E235" i="63"/>
  <c r="C236" i="63"/>
  <c r="D236" i="63"/>
  <c r="E236" i="63"/>
  <c r="C237" i="63"/>
  <c r="D237" i="63"/>
  <c r="E237" i="63"/>
  <c r="C238" i="63"/>
  <c r="D238" i="63"/>
  <c r="E238" i="63"/>
  <c r="C239" i="63"/>
  <c r="D239" i="63"/>
  <c r="E239" i="63"/>
  <c r="C240" i="63"/>
  <c r="D240" i="63"/>
  <c r="E240" i="63"/>
  <c r="C241" i="63"/>
  <c r="D241" i="63"/>
  <c r="E241" i="63"/>
  <c r="C242" i="63"/>
  <c r="D242" i="63"/>
  <c r="E242" i="63"/>
  <c r="C243" i="63"/>
  <c r="D243" i="63"/>
  <c r="E243" i="63"/>
  <c r="C244" i="63"/>
  <c r="D244" i="63"/>
  <c r="E244" i="63"/>
  <c r="C245" i="63"/>
  <c r="D245" i="63"/>
  <c r="E245" i="63"/>
  <c r="C246" i="63"/>
  <c r="D246" i="63"/>
  <c r="E246" i="63"/>
  <c r="C247" i="63"/>
  <c r="D247" i="63"/>
  <c r="E247" i="63"/>
  <c r="C248" i="63"/>
  <c r="D248" i="63"/>
  <c r="E248" i="63"/>
  <c r="C249" i="63"/>
  <c r="D249" i="63"/>
  <c r="E249" i="63"/>
  <c r="C250" i="63"/>
  <c r="D250" i="63"/>
  <c r="E250" i="63"/>
  <c r="C251" i="63"/>
  <c r="D251" i="63"/>
  <c r="E251" i="63"/>
  <c r="C252" i="63"/>
  <c r="D252" i="63"/>
  <c r="E252" i="63"/>
  <c r="C253" i="63"/>
  <c r="D253" i="63"/>
  <c r="E253" i="63"/>
  <c r="C254" i="63"/>
  <c r="D254" i="63"/>
  <c r="E254" i="63"/>
  <c r="C255" i="63"/>
  <c r="D255" i="63"/>
  <c r="E255" i="63"/>
  <c r="C256" i="63"/>
  <c r="D256" i="63"/>
  <c r="E256" i="63"/>
  <c r="C257" i="63"/>
  <c r="D257" i="63"/>
  <c r="E257" i="63"/>
  <c r="C258" i="63"/>
  <c r="D258" i="63"/>
  <c r="E258" i="63"/>
  <c r="C259" i="63"/>
  <c r="D259" i="63"/>
  <c r="E259" i="63"/>
  <c r="C260" i="63"/>
  <c r="D260" i="63"/>
  <c r="E260" i="63"/>
  <c r="C261" i="63"/>
  <c r="D261" i="63"/>
  <c r="E261" i="63"/>
  <c r="C262" i="63"/>
  <c r="D262" i="63"/>
  <c r="E262" i="63"/>
  <c r="C263" i="63"/>
  <c r="D263" i="63"/>
  <c r="E263" i="63"/>
  <c r="C264" i="63"/>
  <c r="D264" i="63"/>
  <c r="E264" i="63"/>
  <c r="C265" i="63"/>
  <c r="D265" i="63"/>
  <c r="E265" i="63"/>
  <c r="C266" i="63"/>
  <c r="D266" i="63"/>
  <c r="E266" i="63"/>
  <c r="C267" i="63"/>
  <c r="D267" i="63"/>
  <c r="E267" i="63"/>
  <c r="C268" i="63"/>
  <c r="D268" i="63"/>
  <c r="E268" i="63"/>
  <c r="C269" i="63"/>
  <c r="D269" i="63"/>
  <c r="E269" i="63"/>
  <c r="C270" i="63"/>
  <c r="D270" i="63"/>
  <c r="E270" i="63"/>
  <c r="C271" i="63"/>
  <c r="D271" i="63"/>
  <c r="E271" i="63"/>
  <c r="C272" i="63"/>
  <c r="D272" i="63"/>
  <c r="E272" i="63"/>
  <c r="C273" i="63"/>
  <c r="D273" i="63"/>
  <c r="E273" i="63"/>
  <c r="C274" i="63"/>
  <c r="D274" i="63"/>
  <c r="E274" i="63"/>
  <c r="C275" i="63"/>
  <c r="D275" i="63"/>
  <c r="E275" i="63"/>
  <c r="C276" i="63"/>
  <c r="D276" i="63"/>
  <c r="E276" i="63"/>
  <c r="C277" i="63"/>
  <c r="D277" i="63"/>
  <c r="E277" i="63"/>
  <c r="C278" i="63"/>
  <c r="D278" i="63"/>
  <c r="E278" i="63"/>
  <c r="C279" i="63"/>
  <c r="D279" i="63"/>
  <c r="E279" i="63"/>
  <c r="C280" i="63"/>
  <c r="D280" i="63"/>
  <c r="E280" i="63"/>
  <c r="C281" i="63"/>
  <c r="D281" i="63"/>
  <c r="E281" i="63"/>
  <c r="C282" i="63"/>
  <c r="D282" i="63"/>
  <c r="E282" i="63"/>
  <c r="C283" i="63"/>
  <c r="D283" i="63"/>
  <c r="E283" i="63"/>
  <c r="C284" i="63"/>
  <c r="D284" i="63"/>
  <c r="E284" i="63"/>
  <c r="C285" i="63"/>
  <c r="D285" i="63"/>
  <c r="E285" i="63"/>
  <c r="C286" i="63"/>
  <c r="D286" i="63"/>
  <c r="E286" i="63"/>
  <c r="C287" i="63"/>
  <c r="D287" i="63"/>
  <c r="E287" i="63"/>
  <c r="C288" i="63"/>
  <c r="D288" i="63"/>
  <c r="E288" i="63"/>
  <c r="C289" i="63"/>
  <c r="D289" i="63"/>
  <c r="E289" i="63"/>
  <c r="C290" i="63"/>
  <c r="D290" i="63"/>
  <c r="E290" i="63"/>
  <c r="C291" i="63"/>
  <c r="D291" i="63"/>
  <c r="E291" i="63"/>
  <c r="C292" i="63"/>
  <c r="D292" i="63"/>
  <c r="E292" i="63"/>
  <c r="C293" i="63"/>
  <c r="D293" i="63"/>
  <c r="E293" i="63"/>
  <c r="C294" i="63"/>
  <c r="D294" i="63"/>
  <c r="E294" i="63"/>
  <c r="C295" i="63"/>
  <c r="D295" i="63"/>
  <c r="E295" i="63"/>
  <c r="C296" i="63"/>
  <c r="D296" i="63"/>
  <c r="E296" i="63"/>
  <c r="C297" i="63"/>
  <c r="D297" i="63"/>
  <c r="E297" i="63"/>
  <c r="C298" i="63"/>
  <c r="D298" i="63"/>
  <c r="E298" i="63"/>
  <c r="C299" i="63"/>
  <c r="D299" i="63"/>
  <c r="E299" i="63"/>
  <c r="C300" i="63"/>
  <c r="D300" i="63"/>
  <c r="E300" i="63"/>
  <c r="C301" i="63"/>
  <c r="D301" i="63"/>
  <c r="E301" i="63"/>
  <c r="C302" i="63"/>
  <c r="D302" i="63"/>
  <c r="E302" i="63"/>
  <c r="C303" i="63"/>
  <c r="D303" i="63"/>
  <c r="E303" i="63"/>
  <c r="C304" i="63"/>
  <c r="D304" i="63"/>
  <c r="E304" i="63"/>
  <c r="C305" i="63"/>
  <c r="D305" i="63"/>
  <c r="E305" i="63"/>
  <c r="C306" i="63"/>
  <c r="D306" i="63"/>
  <c r="E306" i="63"/>
  <c r="C307" i="63"/>
  <c r="D307" i="63"/>
  <c r="E307" i="63"/>
  <c r="C308" i="63"/>
  <c r="D308" i="63"/>
  <c r="E308" i="63"/>
  <c r="C309" i="63"/>
  <c r="D309" i="63"/>
  <c r="E309" i="63"/>
  <c r="C310" i="63"/>
  <c r="D310" i="63"/>
  <c r="E310" i="63"/>
  <c r="C311" i="63"/>
  <c r="D311" i="63"/>
  <c r="E311" i="63"/>
  <c r="C312" i="63"/>
  <c r="D312" i="63"/>
  <c r="E312" i="63"/>
  <c r="C313" i="63"/>
  <c r="D313" i="63"/>
  <c r="E313" i="63"/>
  <c r="C314" i="63"/>
  <c r="D314" i="63"/>
  <c r="E314" i="63"/>
  <c r="C315" i="63"/>
  <c r="D315" i="63"/>
  <c r="E315" i="63"/>
  <c r="C316" i="63"/>
  <c r="D316" i="63"/>
  <c r="E316" i="63"/>
  <c r="C317" i="63"/>
  <c r="D317" i="63"/>
  <c r="E317" i="63"/>
  <c r="C318" i="63"/>
  <c r="D318" i="63"/>
  <c r="E318" i="63"/>
  <c r="C319" i="63"/>
  <c r="D319" i="63"/>
  <c r="E319" i="63"/>
  <c r="C320" i="63"/>
  <c r="D320" i="63"/>
  <c r="E320" i="63"/>
  <c r="C321" i="63"/>
  <c r="D321" i="63"/>
  <c r="E321" i="63"/>
  <c r="C322" i="63"/>
  <c r="D322" i="63"/>
  <c r="E322" i="63"/>
  <c r="C323" i="63"/>
  <c r="D323" i="63"/>
  <c r="E323" i="63"/>
  <c r="C324" i="63"/>
  <c r="D324" i="63"/>
  <c r="E324" i="63"/>
  <c r="C325" i="63"/>
  <c r="D325" i="63"/>
  <c r="E325" i="63"/>
  <c r="C326" i="63"/>
  <c r="D326" i="63"/>
  <c r="E326" i="63"/>
  <c r="C327" i="63"/>
  <c r="D327" i="63"/>
  <c r="E327" i="63"/>
  <c r="C328" i="63"/>
  <c r="D328" i="63"/>
  <c r="E328" i="63"/>
  <c r="C329" i="63"/>
  <c r="D329" i="63"/>
  <c r="E329" i="63"/>
  <c r="C330" i="63"/>
  <c r="D330" i="63"/>
  <c r="E330" i="63"/>
  <c r="C331" i="63"/>
  <c r="D331" i="63"/>
  <c r="E331" i="63"/>
  <c r="C332" i="63"/>
  <c r="D332" i="63"/>
  <c r="E332" i="63"/>
  <c r="C333" i="63"/>
  <c r="D333" i="63"/>
  <c r="E333" i="63"/>
  <c r="C334" i="63"/>
  <c r="D334" i="63"/>
  <c r="E334" i="63"/>
  <c r="C335" i="63"/>
  <c r="D335" i="63"/>
  <c r="E335" i="63"/>
  <c r="C336" i="63"/>
  <c r="D336" i="63"/>
  <c r="E336" i="63"/>
  <c r="C337" i="63"/>
  <c r="D337" i="63"/>
  <c r="E337" i="63"/>
  <c r="C338" i="63"/>
  <c r="D338" i="63"/>
  <c r="E338" i="63"/>
  <c r="C339" i="63"/>
  <c r="D339" i="63"/>
  <c r="E339" i="63"/>
  <c r="C340" i="63"/>
  <c r="D340" i="63"/>
  <c r="E340" i="63"/>
  <c r="C341" i="63"/>
  <c r="D341" i="63"/>
  <c r="E341" i="63"/>
  <c r="C342" i="63"/>
  <c r="D342" i="63"/>
  <c r="E342" i="63"/>
  <c r="C343" i="63"/>
  <c r="D343" i="63"/>
  <c r="E343" i="63"/>
  <c r="C344" i="63"/>
  <c r="D344" i="63"/>
  <c r="E344" i="63"/>
  <c r="C345" i="63"/>
  <c r="D345" i="63"/>
  <c r="E345" i="63"/>
  <c r="C346" i="63"/>
  <c r="D346" i="63"/>
  <c r="E346" i="63"/>
  <c r="C347" i="63"/>
  <c r="D347" i="63"/>
  <c r="E347" i="63"/>
  <c r="C348" i="63"/>
  <c r="D348" i="63"/>
  <c r="E348" i="63"/>
  <c r="C349" i="63"/>
  <c r="D349" i="63"/>
  <c r="E349" i="63"/>
  <c r="C350" i="63"/>
  <c r="D350" i="63"/>
  <c r="E350" i="63"/>
  <c r="C351" i="63"/>
  <c r="D351" i="63"/>
  <c r="E351" i="63"/>
  <c r="C352" i="63"/>
  <c r="D352" i="63"/>
  <c r="E352" i="63"/>
  <c r="C353" i="63"/>
  <c r="D353" i="63"/>
  <c r="E353" i="63"/>
  <c r="C354" i="63"/>
  <c r="D354" i="63"/>
  <c r="E354" i="63"/>
  <c r="C355" i="63"/>
  <c r="D355" i="63"/>
  <c r="E355" i="63"/>
  <c r="C356" i="63"/>
  <c r="D356" i="63"/>
  <c r="E356" i="63"/>
  <c r="C357" i="63"/>
  <c r="D357" i="63"/>
  <c r="E357" i="63"/>
  <c r="C358" i="63"/>
  <c r="D358" i="63"/>
  <c r="E358" i="63"/>
  <c r="C359" i="63"/>
  <c r="D359" i="63"/>
  <c r="E359" i="63"/>
  <c r="C360" i="63"/>
  <c r="D360" i="63"/>
  <c r="E360" i="63"/>
  <c r="C361" i="63"/>
  <c r="D361" i="63"/>
  <c r="E361" i="63"/>
  <c r="C362" i="63"/>
  <c r="D362" i="63"/>
  <c r="E362" i="63"/>
  <c r="C363" i="63"/>
  <c r="D363" i="63"/>
  <c r="E363" i="63"/>
  <c r="C364" i="63"/>
  <c r="D364" i="63"/>
  <c r="E364" i="63"/>
  <c r="C365" i="63"/>
  <c r="D365" i="63"/>
  <c r="E365" i="63"/>
  <c r="C366" i="63"/>
  <c r="D366" i="63"/>
  <c r="E366" i="63"/>
  <c r="C367" i="63"/>
  <c r="D367" i="63"/>
  <c r="E367" i="63"/>
  <c r="C368" i="63"/>
  <c r="D368" i="63"/>
  <c r="E368" i="63"/>
  <c r="C369" i="63"/>
  <c r="D369" i="63"/>
  <c r="E369" i="63"/>
  <c r="C370" i="63"/>
  <c r="D370" i="63"/>
  <c r="E370" i="63"/>
  <c r="C371" i="63"/>
  <c r="D371" i="63"/>
  <c r="E371" i="63"/>
  <c r="C372" i="63"/>
  <c r="D372" i="63"/>
  <c r="E372" i="63"/>
  <c r="C373" i="63"/>
  <c r="D373" i="63"/>
  <c r="E373" i="63"/>
  <c r="C374" i="63"/>
  <c r="D374" i="63"/>
  <c r="E374" i="63"/>
  <c r="C375" i="63"/>
  <c r="D375" i="63"/>
  <c r="E375" i="63"/>
  <c r="C376" i="63"/>
  <c r="D376" i="63"/>
  <c r="E376" i="63"/>
  <c r="C377" i="63"/>
  <c r="D377" i="63"/>
  <c r="E377" i="63"/>
  <c r="C378" i="63"/>
  <c r="D378" i="63"/>
  <c r="E378" i="63"/>
  <c r="C379" i="63"/>
  <c r="D379" i="63"/>
  <c r="E379" i="63"/>
  <c r="C380" i="63"/>
  <c r="D380" i="63"/>
  <c r="E380" i="63"/>
  <c r="C381" i="63"/>
  <c r="D381" i="63"/>
  <c r="E381" i="63"/>
  <c r="C382" i="63"/>
  <c r="D382" i="63"/>
  <c r="E382" i="63"/>
  <c r="C383" i="63"/>
  <c r="D383" i="63"/>
  <c r="E383" i="63"/>
  <c r="C384" i="63"/>
  <c r="D384" i="63"/>
  <c r="E384" i="63"/>
  <c r="C385" i="63"/>
  <c r="D385" i="63"/>
  <c r="E385" i="63"/>
  <c r="C386" i="63"/>
  <c r="D386" i="63"/>
  <c r="E386" i="63"/>
  <c r="C387" i="63"/>
  <c r="D387" i="63"/>
  <c r="E387" i="63"/>
  <c r="C388" i="63"/>
  <c r="D388" i="63"/>
  <c r="E388" i="63"/>
  <c r="C389" i="63"/>
  <c r="D389" i="63"/>
  <c r="E389" i="63"/>
  <c r="C390" i="63"/>
  <c r="D390" i="63"/>
  <c r="E390" i="63"/>
  <c r="C391" i="63"/>
  <c r="D391" i="63"/>
  <c r="E391" i="63"/>
  <c r="C392" i="63"/>
  <c r="D392" i="63"/>
  <c r="E392" i="63"/>
  <c r="C393" i="63"/>
  <c r="D393" i="63"/>
  <c r="E393" i="63"/>
  <c r="C394" i="63"/>
  <c r="D394" i="63"/>
  <c r="E394" i="63"/>
  <c r="C395" i="63"/>
  <c r="D395" i="63"/>
  <c r="E395" i="63"/>
  <c r="C396" i="63"/>
  <c r="D396" i="63"/>
  <c r="E396" i="63"/>
  <c r="C397" i="63"/>
  <c r="D397" i="63"/>
  <c r="E397" i="63"/>
  <c r="C398" i="63"/>
  <c r="D398" i="63"/>
  <c r="E398" i="63"/>
  <c r="C399" i="63"/>
  <c r="D399" i="63"/>
  <c r="E399" i="63"/>
  <c r="C400" i="63"/>
  <c r="D400" i="63"/>
  <c r="E400" i="63"/>
  <c r="C401" i="63"/>
  <c r="D401" i="63"/>
  <c r="E401" i="63"/>
  <c r="C402" i="63"/>
  <c r="D402" i="63"/>
  <c r="E402" i="63"/>
  <c r="C403" i="63"/>
  <c r="D403" i="63"/>
  <c r="E403" i="63"/>
  <c r="C404" i="63"/>
  <c r="D404" i="63"/>
  <c r="E404" i="63"/>
  <c r="C405" i="63"/>
  <c r="D405" i="63"/>
  <c r="E405" i="63"/>
  <c r="C406" i="63"/>
  <c r="D406" i="63"/>
  <c r="E406" i="63"/>
  <c r="C407" i="63"/>
  <c r="D407" i="63"/>
  <c r="E407" i="63"/>
  <c r="C408" i="63"/>
  <c r="D408" i="63"/>
  <c r="E408" i="63"/>
  <c r="C409" i="63"/>
  <c r="D409" i="63"/>
  <c r="E409" i="63"/>
  <c r="C410" i="63"/>
  <c r="D410" i="63"/>
  <c r="E410" i="63"/>
  <c r="C411" i="63"/>
  <c r="D411" i="63"/>
  <c r="E411" i="63"/>
  <c r="C412" i="63"/>
  <c r="D412" i="63"/>
  <c r="E412" i="63"/>
  <c r="C413" i="63"/>
  <c r="D413" i="63"/>
  <c r="E413" i="63"/>
  <c r="C414" i="63"/>
  <c r="D414" i="63"/>
  <c r="E414" i="63"/>
  <c r="C415" i="63"/>
  <c r="D415" i="63"/>
  <c r="E415" i="63"/>
  <c r="C416" i="63"/>
  <c r="D416" i="63"/>
  <c r="E416" i="63"/>
  <c r="C417" i="63"/>
  <c r="D417" i="63"/>
  <c r="E417" i="63"/>
  <c r="C418" i="63"/>
  <c r="D418" i="63"/>
  <c r="E418" i="63"/>
  <c r="C419" i="63"/>
  <c r="D419" i="63"/>
  <c r="E419" i="63"/>
  <c r="C420" i="63"/>
  <c r="D420" i="63"/>
  <c r="E420" i="63"/>
  <c r="C421" i="63"/>
  <c r="D421" i="63"/>
  <c r="E421" i="63"/>
  <c r="C422" i="63"/>
  <c r="D422" i="63"/>
  <c r="E422" i="63"/>
  <c r="C423" i="63"/>
  <c r="D423" i="63"/>
  <c r="E423" i="63"/>
  <c r="C424" i="63"/>
  <c r="D424" i="63"/>
  <c r="E424" i="63"/>
  <c r="C425" i="63"/>
  <c r="D425" i="63"/>
  <c r="E425" i="63"/>
  <c r="C426" i="63"/>
  <c r="D426" i="63"/>
  <c r="E426" i="63"/>
  <c r="C427" i="63"/>
  <c r="D427" i="63"/>
  <c r="E427" i="63"/>
  <c r="C428" i="63"/>
  <c r="D428" i="63"/>
  <c r="E428" i="63"/>
  <c r="C429" i="63"/>
  <c r="D429" i="63"/>
  <c r="E429" i="63"/>
  <c r="C430" i="63"/>
  <c r="D430" i="63"/>
  <c r="E430" i="63"/>
  <c r="C431" i="63"/>
  <c r="D431" i="63"/>
  <c r="E431" i="63"/>
  <c r="C432" i="63"/>
  <c r="D432" i="63"/>
  <c r="E432" i="63"/>
  <c r="C433" i="63"/>
  <c r="D433" i="63"/>
  <c r="E433" i="63"/>
  <c r="C434" i="63"/>
  <c r="D434" i="63"/>
  <c r="E434" i="63"/>
  <c r="C435" i="63"/>
  <c r="D435" i="63"/>
  <c r="E435" i="63"/>
  <c r="C436" i="63"/>
  <c r="D436" i="63"/>
  <c r="E436" i="63"/>
  <c r="C437" i="63"/>
  <c r="D437" i="63"/>
  <c r="E437" i="63"/>
  <c r="C438" i="63"/>
  <c r="D438" i="63"/>
  <c r="E438" i="63"/>
  <c r="C439" i="63"/>
  <c r="D439" i="63"/>
  <c r="E439" i="63"/>
  <c r="C440" i="63"/>
  <c r="D440" i="63"/>
  <c r="E440" i="63"/>
  <c r="C441" i="63"/>
  <c r="D441" i="63"/>
  <c r="E441" i="63"/>
  <c r="C442" i="63"/>
  <c r="D442" i="63"/>
  <c r="E442" i="63"/>
  <c r="C443" i="63"/>
  <c r="D443" i="63"/>
  <c r="E443" i="63"/>
  <c r="C444" i="63"/>
  <c r="D444" i="63"/>
  <c r="E444" i="63"/>
  <c r="C445" i="63"/>
  <c r="D445" i="63"/>
  <c r="E445" i="63"/>
  <c r="C446" i="63"/>
  <c r="D446" i="63"/>
  <c r="E446" i="63"/>
  <c r="C447" i="63"/>
  <c r="D447" i="63"/>
  <c r="E447" i="63"/>
  <c r="C448" i="63"/>
  <c r="D448" i="63"/>
  <c r="E448" i="63"/>
  <c r="C449" i="63"/>
  <c r="D449" i="63"/>
  <c r="E449" i="63"/>
  <c r="C450" i="63"/>
  <c r="D450" i="63"/>
  <c r="E450" i="63"/>
  <c r="C451" i="63"/>
  <c r="D451" i="63"/>
  <c r="E451" i="63"/>
  <c r="C452" i="63"/>
  <c r="D452" i="63"/>
  <c r="E452" i="63"/>
  <c r="C453" i="63"/>
  <c r="D453" i="63"/>
  <c r="E453" i="63"/>
  <c r="C454" i="63"/>
  <c r="D454" i="63"/>
  <c r="E454" i="63"/>
  <c r="C455" i="63"/>
  <c r="D455" i="63"/>
  <c r="E455" i="63"/>
  <c r="C456" i="63"/>
  <c r="D456" i="63"/>
  <c r="E456" i="63"/>
  <c r="C457" i="63"/>
  <c r="D457" i="63"/>
  <c r="E457" i="63"/>
  <c r="C458" i="63"/>
  <c r="D458" i="63"/>
  <c r="E458" i="63"/>
  <c r="C459" i="63"/>
  <c r="D459" i="63"/>
  <c r="E459" i="63"/>
  <c r="C460" i="63"/>
  <c r="D460" i="63"/>
  <c r="E460" i="63"/>
  <c r="C461" i="63"/>
  <c r="D461" i="63"/>
  <c r="E461" i="63"/>
  <c r="C462" i="63"/>
  <c r="D462" i="63"/>
  <c r="E462" i="63"/>
  <c r="C463" i="63"/>
  <c r="D463" i="63"/>
  <c r="E463" i="63"/>
  <c r="C464" i="63"/>
  <c r="D464" i="63"/>
  <c r="E464" i="63"/>
  <c r="C465" i="63"/>
  <c r="D465" i="63"/>
  <c r="E465" i="63"/>
  <c r="C466" i="63"/>
  <c r="D466" i="63"/>
  <c r="E466" i="63"/>
  <c r="C467" i="63"/>
  <c r="D467" i="63"/>
  <c r="E467" i="63"/>
  <c r="C468" i="63"/>
  <c r="D468" i="63"/>
  <c r="E468" i="63"/>
  <c r="C469" i="63"/>
  <c r="D469" i="63"/>
  <c r="E469" i="63"/>
  <c r="C470" i="63"/>
  <c r="D470" i="63"/>
  <c r="E470" i="63"/>
  <c r="C471" i="63"/>
  <c r="D471" i="63"/>
  <c r="E471" i="63"/>
  <c r="C472" i="63"/>
  <c r="D472" i="63"/>
  <c r="E472" i="63"/>
  <c r="C473" i="63"/>
  <c r="D473" i="63"/>
  <c r="E473" i="63"/>
  <c r="C474" i="63"/>
  <c r="D474" i="63"/>
  <c r="E474" i="63"/>
  <c r="C475" i="63"/>
  <c r="D475" i="63"/>
  <c r="E475" i="63"/>
  <c r="C476" i="63"/>
  <c r="D476" i="63"/>
  <c r="E476" i="63"/>
  <c r="C477" i="63"/>
  <c r="D477" i="63"/>
  <c r="E477" i="63"/>
  <c r="C478" i="63"/>
  <c r="D478" i="63"/>
  <c r="E478" i="63"/>
  <c r="C479" i="63"/>
  <c r="D479" i="63"/>
  <c r="E479" i="63"/>
  <c r="C480" i="63"/>
  <c r="D480" i="63"/>
  <c r="E480" i="63"/>
  <c r="C481" i="63"/>
  <c r="D481" i="63"/>
  <c r="E481" i="63"/>
  <c r="C482" i="63"/>
  <c r="D482" i="63"/>
  <c r="E482" i="63"/>
  <c r="C483" i="63"/>
  <c r="D483" i="63"/>
  <c r="E483" i="63"/>
  <c r="C484" i="63"/>
  <c r="D484" i="63"/>
  <c r="E484" i="63"/>
  <c r="C485" i="63"/>
  <c r="D485" i="63"/>
  <c r="E485" i="63"/>
  <c r="C486" i="63"/>
  <c r="D486" i="63"/>
  <c r="E486" i="63"/>
  <c r="C487" i="63"/>
  <c r="D487" i="63"/>
  <c r="E487" i="63"/>
  <c r="C488" i="63"/>
  <c r="D488" i="63"/>
  <c r="E488" i="63"/>
  <c r="C489" i="63"/>
  <c r="D489" i="63"/>
  <c r="E489" i="63"/>
  <c r="C490" i="63"/>
  <c r="D490" i="63"/>
  <c r="E490" i="63"/>
  <c r="C491" i="63"/>
  <c r="D491" i="63"/>
  <c r="E491" i="63"/>
  <c r="C492" i="63"/>
  <c r="D492" i="63"/>
  <c r="E492" i="63"/>
  <c r="C493" i="63"/>
  <c r="D493" i="63"/>
  <c r="E493" i="63"/>
  <c r="C494" i="63"/>
  <c r="D494" i="63"/>
  <c r="E494" i="63"/>
  <c r="C495" i="63"/>
  <c r="D495" i="63"/>
  <c r="E495" i="63"/>
  <c r="C496" i="63"/>
  <c r="D496" i="63"/>
  <c r="E496" i="63"/>
  <c r="C497" i="63"/>
  <c r="D497" i="63"/>
  <c r="E497" i="63"/>
  <c r="C498" i="63"/>
  <c r="D498" i="63"/>
  <c r="E498" i="63"/>
  <c r="C499" i="63"/>
  <c r="D499" i="63"/>
  <c r="E499" i="63"/>
  <c r="C500" i="63"/>
  <c r="D500" i="63"/>
  <c r="E500" i="63"/>
  <c r="C501" i="63"/>
  <c r="D501" i="63"/>
  <c r="E501" i="63"/>
  <c r="C502" i="63"/>
  <c r="D502" i="63"/>
  <c r="E502" i="63"/>
  <c r="C503" i="63"/>
  <c r="D503" i="63"/>
  <c r="E503" i="63"/>
  <c r="C504" i="63"/>
  <c r="D504" i="63"/>
  <c r="E504" i="63"/>
  <c r="C505" i="63"/>
  <c r="D505" i="63"/>
  <c r="E505" i="63"/>
  <c r="C506" i="63"/>
  <c r="D506" i="63"/>
  <c r="E506" i="63"/>
  <c r="C507" i="63"/>
  <c r="D507" i="63"/>
  <c r="E507" i="63"/>
  <c r="C508" i="63"/>
  <c r="D508" i="63"/>
  <c r="E508" i="63"/>
  <c r="C509" i="63"/>
  <c r="D509" i="63"/>
  <c r="E509" i="63"/>
  <c r="C510" i="63"/>
  <c r="D510" i="63"/>
  <c r="E510" i="63"/>
  <c r="C511" i="63"/>
  <c r="D511" i="63"/>
  <c r="E511" i="63"/>
  <c r="C512" i="63"/>
  <c r="D512" i="63"/>
  <c r="E512" i="63"/>
  <c r="C513" i="63"/>
  <c r="D513" i="63"/>
  <c r="E513" i="63"/>
  <c r="C514" i="63"/>
  <c r="D514" i="63"/>
  <c r="E514" i="63"/>
  <c r="C515" i="63"/>
  <c r="D515" i="63"/>
  <c r="E515" i="63"/>
  <c r="C516" i="63"/>
  <c r="D516" i="63"/>
  <c r="E516" i="63"/>
  <c r="C517" i="63"/>
  <c r="D517" i="63"/>
  <c r="E517" i="63"/>
  <c r="C518" i="63"/>
  <c r="D518" i="63"/>
  <c r="E518" i="63"/>
  <c r="C519" i="63"/>
  <c r="D519" i="63"/>
  <c r="E519" i="63"/>
  <c r="C520" i="63"/>
  <c r="D520" i="63"/>
  <c r="E520" i="63"/>
  <c r="C521" i="63"/>
  <c r="D521" i="63"/>
  <c r="E521" i="63"/>
  <c r="C522" i="63"/>
  <c r="D522" i="63"/>
  <c r="E522" i="63"/>
  <c r="C523" i="63"/>
  <c r="D523" i="63"/>
  <c r="E523" i="63"/>
  <c r="C524" i="63"/>
  <c r="D524" i="63"/>
  <c r="E524" i="63"/>
  <c r="C525" i="63"/>
  <c r="D525" i="63"/>
  <c r="E525" i="63"/>
  <c r="C526" i="63"/>
  <c r="D526" i="63"/>
  <c r="E526" i="63"/>
  <c r="C527" i="63"/>
  <c r="D527" i="63"/>
  <c r="E527" i="63"/>
  <c r="C528" i="63"/>
  <c r="D528" i="63"/>
  <c r="E528" i="63"/>
  <c r="C529" i="63"/>
  <c r="D529" i="63"/>
  <c r="E529" i="63"/>
  <c r="C530" i="63"/>
  <c r="D530" i="63"/>
  <c r="E530" i="63"/>
  <c r="C531" i="63"/>
  <c r="D531" i="63"/>
  <c r="E531" i="63"/>
  <c r="C532" i="63"/>
  <c r="D532" i="63"/>
  <c r="E532" i="63"/>
  <c r="C533" i="63"/>
  <c r="D533" i="63"/>
  <c r="E533" i="63"/>
  <c r="C534" i="63"/>
  <c r="D534" i="63"/>
  <c r="E534" i="63"/>
  <c r="C535" i="63"/>
  <c r="D535" i="63"/>
  <c r="E535" i="63"/>
  <c r="C536" i="63"/>
  <c r="D536" i="63"/>
  <c r="E536" i="63"/>
  <c r="C537" i="63"/>
  <c r="D537" i="63"/>
  <c r="E537" i="63"/>
  <c r="C538" i="63"/>
  <c r="D538" i="63"/>
  <c r="E538" i="63"/>
  <c r="C539" i="63"/>
  <c r="D539" i="63"/>
  <c r="E539" i="63"/>
  <c r="C540" i="63"/>
  <c r="D540" i="63"/>
  <c r="E540" i="63"/>
  <c r="C541" i="63"/>
  <c r="D541" i="63"/>
  <c r="E541" i="63"/>
  <c r="C542" i="63"/>
  <c r="D542" i="63"/>
  <c r="E542" i="63"/>
  <c r="C543" i="63"/>
  <c r="D543" i="63"/>
  <c r="E543" i="63"/>
  <c r="C544" i="63"/>
  <c r="D544" i="63"/>
  <c r="E544" i="63"/>
  <c r="C545" i="63"/>
  <c r="D545" i="63"/>
  <c r="E545" i="63"/>
  <c r="C546" i="63"/>
  <c r="D546" i="63"/>
  <c r="E546" i="63"/>
  <c r="C547" i="63"/>
  <c r="D547" i="63"/>
  <c r="E547" i="63"/>
  <c r="C548" i="63"/>
  <c r="D548" i="63"/>
  <c r="E548" i="63"/>
  <c r="C549" i="63"/>
  <c r="D549" i="63"/>
  <c r="E549" i="63"/>
  <c r="C550" i="63"/>
  <c r="D550" i="63"/>
  <c r="E550" i="63"/>
  <c r="C551" i="63"/>
  <c r="D551" i="63"/>
  <c r="E551" i="63"/>
  <c r="C552" i="63"/>
  <c r="D552" i="63"/>
  <c r="E552" i="63"/>
  <c r="C553" i="63"/>
  <c r="D553" i="63"/>
  <c r="E553" i="63"/>
  <c r="C554" i="63"/>
  <c r="D554" i="63"/>
  <c r="E554" i="63"/>
  <c r="C555" i="63"/>
  <c r="D555" i="63"/>
  <c r="E555" i="63"/>
  <c r="C556" i="63"/>
  <c r="D556" i="63"/>
  <c r="E556" i="63"/>
  <c r="C557" i="63"/>
  <c r="D557" i="63"/>
  <c r="E557" i="63"/>
  <c r="C558" i="63"/>
  <c r="D558" i="63"/>
  <c r="E558" i="63"/>
  <c r="C559" i="63"/>
  <c r="D559" i="63"/>
  <c r="E559" i="63"/>
  <c r="C560" i="63"/>
  <c r="D560" i="63"/>
  <c r="E560" i="63"/>
  <c r="C561" i="63"/>
  <c r="D561" i="63"/>
  <c r="E561" i="63"/>
  <c r="C562" i="63"/>
  <c r="D562" i="63"/>
  <c r="E562" i="63"/>
  <c r="C563" i="63"/>
  <c r="D563" i="63"/>
  <c r="E563" i="63"/>
  <c r="C564" i="63"/>
  <c r="D564" i="63"/>
  <c r="E564" i="63"/>
  <c r="C565" i="63"/>
  <c r="D565" i="63"/>
  <c r="E565" i="63"/>
  <c r="C566" i="63"/>
  <c r="D566" i="63"/>
  <c r="E566" i="63"/>
  <c r="C567" i="63"/>
  <c r="D567" i="63"/>
  <c r="E567" i="63"/>
  <c r="C568" i="63"/>
  <c r="D568" i="63"/>
  <c r="E568" i="63"/>
  <c r="C569" i="63"/>
  <c r="D569" i="63"/>
  <c r="E569" i="63"/>
  <c r="C570" i="63"/>
  <c r="D570" i="63"/>
  <c r="E570" i="63"/>
  <c r="C571" i="63"/>
  <c r="D571" i="63"/>
  <c r="E571" i="63"/>
  <c r="C572" i="63"/>
  <c r="D572" i="63"/>
  <c r="E572" i="63"/>
  <c r="C573" i="63"/>
  <c r="D573" i="63"/>
  <c r="E573" i="63"/>
  <c r="C574" i="63"/>
  <c r="D574" i="63"/>
  <c r="E574" i="63"/>
  <c r="C575" i="63"/>
  <c r="D575" i="63"/>
  <c r="E575" i="63"/>
  <c r="C576" i="63"/>
  <c r="D576" i="63"/>
  <c r="E576" i="63"/>
  <c r="C577" i="63"/>
  <c r="D577" i="63"/>
  <c r="E577" i="63"/>
  <c r="C578" i="63"/>
  <c r="D578" i="63"/>
  <c r="E578" i="63"/>
  <c r="C579" i="63"/>
  <c r="D579" i="63"/>
  <c r="E579" i="63"/>
  <c r="C580" i="63"/>
  <c r="D580" i="63"/>
  <c r="E580" i="63"/>
  <c r="C581" i="63"/>
  <c r="D581" i="63"/>
  <c r="E581" i="63"/>
  <c r="C582" i="63"/>
  <c r="D582" i="63"/>
  <c r="E582" i="63"/>
  <c r="C583" i="63"/>
  <c r="D583" i="63"/>
  <c r="E583" i="63"/>
  <c r="C584" i="63"/>
  <c r="D584" i="63"/>
  <c r="E584" i="63"/>
  <c r="C585" i="63"/>
  <c r="D585" i="63"/>
  <c r="E585" i="63"/>
  <c r="C586" i="63"/>
  <c r="D586" i="63"/>
  <c r="E586" i="63"/>
  <c r="C587" i="63"/>
  <c r="D587" i="63"/>
  <c r="E587" i="63"/>
  <c r="C588" i="63"/>
  <c r="D588" i="63"/>
  <c r="E588" i="63"/>
  <c r="C589" i="63"/>
  <c r="D589" i="63"/>
  <c r="E589" i="63"/>
  <c r="C590" i="63"/>
  <c r="D590" i="63"/>
  <c r="E590" i="63"/>
  <c r="C591" i="63"/>
  <c r="D591" i="63"/>
  <c r="E591" i="63"/>
  <c r="C592" i="63"/>
  <c r="D592" i="63"/>
  <c r="E592" i="63"/>
  <c r="C593" i="63"/>
  <c r="D593" i="63"/>
  <c r="E593" i="63"/>
  <c r="C594" i="63"/>
  <c r="D594" i="63"/>
  <c r="E594" i="63"/>
  <c r="C595" i="63"/>
  <c r="D595" i="63"/>
  <c r="E595" i="63"/>
  <c r="C596" i="63"/>
  <c r="D596" i="63"/>
  <c r="E596" i="63"/>
  <c r="C597" i="63"/>
  <c r="D597" i="63"/>
  <c r="E597" i="63"/>
  <c r="C598" i="63"/>
  <c r="D598" i="63"/>
  <c r="E598" i="63"/>
  <c r="C599" i="63"/>
  <c r="D599" i="63"/>
  <c r="E599" i="63"/>
  <c r="C600" i="63"/>
  <c r="D600" i="63"/>
  <c r="E600" i="63"/>
  <c r="C601" i="63"/>
  <c r="D601" i="63"/>
  <c r="E601" i="63"/>
  <c r="C602" i="63"/>
  <c r="D602" i="63"/>
  <c r="E602" i="63"/>
  <c r="C603" i="63"/>
  <c r="D603" i="63"/>
  <c r="E603" i="63"/>
  <c r="C604" i="63"/>
  <c r="D604" i="63"/>
  <c r="E604" i="63"/>
  <c r="C605" i="63"/>
  <c r="D605" i="63"/>
  <c r="E605" i="63"/>
  <c r="C606" i="63"/>
  <c r="D606" i="63"/>
  <c r="E606" i="63"/>
  <c r="C607" i="63"/>
  <c r="D607" i="63"/>
  <c r="E607" i="63"/>
  <c r="C608" i="63"/>
  <c r="D608" i="63"/>
  <c r="E608" i="63"/>
  <c r="C609" i="63"/>
  <c r="D609" i="63"/>
  <c r="E609" i="63"/>
  <c r="C610" i="63"/>
  <c r="D610" i="63"/>
  <c r="E610" i="63"/>
  <c r="C611" i="63"/>
  <c r="D611" i="63"/>
  <c r="E611" i="63"/>
  <c r="C612" i="63"/>
  <c r="D612" i="63"/>
  <c r="E612" i="63"/>
  <c r="C613" i="63"/>
  <c r="D613" i="63"/>
  <c r="E613" i="63"/>
  <c r="C614" i="63"/>
  <c r="D614" i="63"/>
  <c r="E614" i="63"/>
  <c r="C615" i="63"/>
  <c r="D615" i="63"/>
  <c r="E615" i="63"/>
  <c r="C616" i="63"/>
  <c r="D616" i="63"/>
  <c r="E616" i="63"/>
  <c r="C617" i="63"/>
  <c r="D617" i="63"/>
  <c r="E617" i="63"/>
  <c r="C618" i="63"/>
  <c r="D618" i="63"/>
  <c r="E618" i="63"/>
  <c r="C619" i="63"/>
  <c r="D619" i="63"/>
  <c r="E619" i="63"/>
  <c r="C620" i="63"/>
  <c r="D620" i="63"/>
  <c r="E620" i="63"/>
  <c r="C621" i="63"/>
  <c r="D621" i="63"/>
  <c r="E621" i="63"/>
  <c r="C622" i="63"/>
  <c r="D622" i="63"/>
  <c r="E622" i="63"/>
  <c r="C623" i="63"/>
  <c r="D623" i="63"/>
  <c r="E623" i="63"/>
  <c r="C624" i="63"/>
  <c r="D624" i="63"/>
  <c r="E624" i="63"/>
  <c r="C625" i="63"/>
  <c r="D625" i="63"/>
  <c r="E625" i="63"/>
  <c r="C626" i="63"/>
  <c r="D626" i="63"/>
  <c r="E626" i="63"/>
  <c r="C627" i="63"/>
  <c r="D627" i="63"/>
  <c r="E627" i="63"/>
  <c r="C628" i="63"/>
  <c r="D628" i="63"/>
  <c r="E628" i="63"/>
  <c r="C629" i="63"/>
  <c r="D629" i="63"/>
  <c r="E629" i="63"/>
  <c r="C630" i="63"/>
  <c r="D630" i="63"/>
  <c r="E630" i="63"/>
  <c r="C631" i="63"/>
  <c r="D631" i="63"/>
  <c r="E631" i="63"/>
  <c r="C632" i="63"/>
  <c r="D632" i="63"/>
  <c r="E632" i="63"/>
  <c r="C633" i="63"/>
  <c r="D633" i="63"/>
  <c r="E633" i="63"/>
  <c r="C634" i="63"/>
  <c r="D634" i="63"/>
  <c r="E634" i="63"/>
  <c r="C635" i="63"/>
  <c r="D635" i="63"/>
  <c r="E635" i="63"/>
  <c r="C636" i="63"/>
  <c r="D636" i="63"/>
  <c r="E636" i="63"/>
  <c r="C637" i="63"/>
  <c r="D637" i="63"/>
  <c r="E637" i="63"/>
  <c r="C638" i="63"/>
  <c r="D638" i="63"/>
  <c r="E638" i="63"/>
  <c r="C639" i="63"/>
  <c r="D639" i="63"/>
  <c r="E639" i="63"/>
  <c r="C640" i="63"/>
  <c r="D640" i="63"/>
  <c r="E640" i="63"/>
  <c r="C641" i="63"/>
  <c r="D641" i="63"/>
  <c r="E641" i="63"/>
  <c r="C642" i="63"/>
  <c r="D642" i="63"/>
  <c r="E642" i="63"/>
  <c r="C643" i="63"/>
  <c r="D643" i="63"/>
  <c r="E643" i="63"/>
  <c r="C644" i="63"/>
  <c r="D644" i="63"/>
  <c r="E644" i="63"/>
  <c r="C645" i="63"/>
  <c r="D645" i="63"/>
  <c r="E645" i="63"/>
  <c r="C646" i="63"/>
  <c r="D646" i="63"/>
  <c r="E646" i="63"/>
  <c r="C647" i="63"/>
  <c r="D647" i="63"/>
  <c r="E647" i="63"/>
  <c r="C648" i="63"/>
  <c r="D648" i="63"/>
  <c r="E648" i="63"/>
  <c r="C649" i="63"/>
  <c r="D649" i="63"/>
  <c r="E649" i="63"/>
  <c r="C650" i="63"/>
  <c r="D650" i="63"/>
  <c r="E650" i="63"/>
  <c r="C651" i="63"/>
  <c r="D651" i="63"/>
  <c r="E651" i="63"/>
  <c r="C652" i="63"/>
  <c r="D652" i="63"/>
  <c r="E652" i="63"/>
  <c r="C653" i="63"/>
  <c r="D653" i="63"/>
  <c r="E653" i="63"/>
  <c r="C654" i="63"/>
  <c r="D654" i="63"/>
  <c r="E654" i="63"/>
  <c r="C655" i="63"/>
  <c r="D655" i="63"/>
  <c r="E655" i="63"/>
  <c r="C656" i="63"/>
  <c r="D656" i="63"/>
  <c r="E656" i="63"/>
  <c r="C657" i="63"/>
  <c r="D657" i="63"/>
  <c r="E657" i="63"/>
  <c r="C658" i="63"/>
  <c r="D658" i="63"/>
  <c r="E658" i="63"/>
  <c r="C659" i="63"/>
  <c r="D659" i="63"/>
  <c r="E659" i="63"/>
  <c r="C660" i="63"/>
  <c r="D660" i="63"/>
  <c r="E660" i="63"/>
  <c r="C661" i="63"/>
  <c r="D661" i="63"/>
  <c r="E661" i="63"/>
  <c r="C662" i="63"/>
  <c r="D662" i="63"/>
  <c r="E662" i="63"/>
  <c r="C663" i="63"/>
  <c r="D663" i="63"/>
  <c r="E663" i="63"/>
  <c r="C664" i="63"/>
  <c r="D664" i="63"/>
  <c r="E664" i="63"/>
  <c r="C665" i="63"/>
  <c r="D665" i="63"/>
  <c r="E665" i="63"/>
  <c r="C666" i="63"/>
  <c r="D666" i="63"/>
  <c r="E666" i="63"/>
  <c r="C667" i="63"/>
  <c r="D667" i="63"/>
  <c r="E667" i="63"/>
  <c r="C668" i="63"/>
  <c r="D668" i="63"/>
  <c r="E668" i="63"/>
  <c r="C669" i="63"/>
  <c r="D669" i="63"/>
  <c r="E669" i="63"/>
  <c r="C670" i="63"/>
  <c r="D670" i="63"/>
  <c r="E670" i="63"/>
  <c r="C671" i="63"/>
  <c r="D671" i="63"/>
  <c r="E671" i="63"/>
  <c r="C672" i="63"/>
  <c r="D672" i="63"/>
  <c r="E672" i="63"/>
  <c r="C673" i="63"/>
  <c r="D673" i="63"/>
  <c r="E673" i="63"/>
  <c r="C674" i="63"/>
  <c r="D674" i="63"/>
  <c r="E674" i="63"/>
  <c r="C675" i="63"/>
  <c r="D675" i="63"/>
  <c r="E675" i="63"/>
  <c r="C676" i="63"/>
  <c r="D676" i="63"/>
  <c r="E676" i="63"/>
  <c r="C677" i="63"/>
  <c r="D677" i="63"/>
  <c r="E677" i="63"/>
  <c r="C678" i="63"/>
  <c r="D678" i="63"/>
  <c r="E678" i="63"/>
  <c r="C679" i="63"/>
  <c r="D679" i="63"/>
  <c r="E679" i="63"/>
  <c r="C680" i="63"/>
  <c r="D680" i="63"/>
  <c r="E680" i="63"/>
  <c r="C681" i="63"/>
  <c r="D681" i="63"/>
  <c r="E681" i="63"/>
  <c r="C682" i="63"/>
  <c r="D682" i="63"/>
  <c r="E682" i="63"/>
  <c r="C683" i="63"/>
  <c r="D683" i="63"/>
  <c r="E683" i="63"/>
  <c r="C684" i="63"/>
  <c r="D684" i="63"/>
  <c r="E684" i="63"/>
  <c r="C685" i="63"/>
  <c r="D685" i="63"/>
  <c r="E685" i="63"/>
  <c r="C686" i="63"/>
  <c r="D686" i="63"/>
  <c r="E686" i="63"/>
  <c r="C687" i="63"/>
  <c r="D687" i="63"/>
  <c r="E687" i="63"/>
  <c r="C688" i="63"/>
  <c r="D688" i="63"/>
  <c r="E688" i="63"/>
  <c r="C689" i="63"/>
  <c r="D689" i="63"/>
  <c r="E689" i="63"/>
  <c r="C690" i="63"/>
  <c r="D690" i="63"/>
  <c r="E690" i="63"/>
  <c r="C691" i="63"/>
  <c r="D691" i="63"/>
  <c r="E691" i="63"/>
  <c r="C692" i="63"/>
  <c r="D692" i="63"/>
  <c r="E692" i="63"/>
  <c r="C693" i="63"/>
  <c r="D693" i="63"/>
  <c r="E693" i="63"/>
  <c r="C694" i="63"/>
  <c r="D694" i="63"/>
  <c r="E694" i="63"/>
  <c r="C695" i="63"/>
  <c r="D695" i="63"/>
  <c r="E695" i="63"/>
  <c r="C696" i="63"/>
  <c r="D696" i="63"/>
  <c r="E696" i="63"/>
  <c r="C697" i="63"/>
  <c r="D697" i="63"/>
  <c r="E697" i="63"/>
  <c r="C698" i="63"/>
  <c r="D698" i="63"/>
  <c r="E698" i="63"/>
  <c r="C699" i="63"/>
  <c r="D699" i="63"/>
  <c r="E699" i="63"/>
  <c r="C700" i="63"/>
  <c r="D700" i="63"/>
  <c r="E700" i="63"/>
  <c r="C701" i="63"/>
  <c r="D701" i="63"/>
  <c r="E701" i="63"/>
  <c r="C702" i="63"/>
  <c r="D702" i="63"/>
  <c r="E702" i="63"/>
  <c r="C703" i="63"/>
  <c r="D703" i="63"/>
  <c r="E703" i="63"/>
  <c r="C704" i="63"/>
  <c r="D704" i="63"/>
  <c r="E704" i="63"/>
  <c r="C705" i="63"/>
  <c r="D705" i="63"/>
  <c r="E705" i="63"/>
  <c r="C706" i="63"/>
  <c r="D706" i="63"/>
  <c r="E706" i="63"/>
  <c r="C707" i="63"/>
  <c r="D707" i="63"/>
  <c r="E707" i="63"/>
  <c r="C708" i="63"/>
  <c r="D708" i="63"/>
  <c r="E708" i="63"/>
  <c r="C709" i="63"/>
  <c r="D709" i="63"/>
  <c r="E709" i="63"/>
  <c r="C710" i="63"/>
  <c r="D710" i="63"/>
  <c r="E710" i="63"/>
  <c r="C711" i="63"/>
  <c r="D711" i="63"/>
  <c r="E711" i="63"/>
  <c r="C712" i="63"/>
  <c r="D712" i="63"/>
  <c r="E712" i="63"/>
  <c r="C713" i="63"/>
  <c r="D713" i="63"/>
  <c r="E713" i="63"/>
  <c r="C714" i="63"/>
  <c r="D714" i="63"/>
  <c r="E714" i="63"/>
  <c r="C715" i="63"/>
  <c r="D715" i="63"/>
  <c r="E715" i="63"/>
  <c r="C716" i="63"/>
  <c r="D716" i="63"/>
  <c r="E716" i="63"/>
  <c r="C717" i="63"/>
  <c r="D717" i="63"/>
  <c r="E717" i="63"/>
  <c r="C718" i="63"/>
  <c r="D718" i="63"/>
  <c r="E718" i="63"/>
  <c r="C719" i="63"/>
  <c r="D719" i="63"/>
  <c r="E719" i="63"/>
  <c r="C720" i="63"/>
  <c r="D720" i="63"/>
  <c r="E720" i="63"/>
  <c r="C721" i="63"/>
  <c r="D721" i="63"/>
  <c r="E721" i="63"/>
  <c r="C722" i="63"/>
  <c r="D722" i="63"/>
  <c r="E722" i="63"/>
  <c r="C723" i="63"/>
  <c r="D723" i="63"/>
  <c r="E723" i="63"/>
  <c r="C724" i="63"/>
  <c r="D724" i="63"/>
  <c r="E724" i="63"/>
  <c r="C725" i="63"/>
  <c r="D725" i="63"/>
  <c r="E725" i="63"/>
  <c r="C726" i="63"/>
  <c r="D726" i="63"/>
  <c r="E726" i="63"/>
  <c r="C727" i="63"/>
  <c r="D727" i="63"/>
  <c r="E727" i="63"/>
  <c r="C728" i="63"/>
  <c r="D728" i="63"/>
  <c r="E728" i="63"/>
  <c r="C729" i="63"/>
  <c r="D729" i="63"/>
  <c r="E729" i="63"/>
  <c r="C730" i="63"/>
  <c r="D730" i="63"/>
  <c r="E730" i="63"/>
  <c r="C731" i="63"/>
  <c r="D731" i="63"/>
  <c r="E731" i="63"/>
  <c r="C732" i="63"/>
  <c r="D732" i="63"/>
  <c r="E732" i="63"/>
  <c r="C733" i="63"/>
  <c r="D733" i="63"/>
  <c r="E733" i="63"/>
  <c r="C734" i="63"/>
  <c r="D734" i="63"/>
  <c r="E734" i="63"/>
  <c r="C735" i="63"/>
  <c r="D735" i="63"/>
  <c r="E735" i="63"/>
  <c r="C736" i="63"/>
  <c r="D736" i="63"/>
  <c r="E736" i="63"/>
  <c r="C737" i="63"/>
  <c r="D737" i="63"/>
  <c r="E737" i="63"/>
  <c r="C738" i="63"/>
  <c r="D738" i="63"/>
  <c r="E738" i="63"/>
  <c r="C739" i="63"/>
  <c r="D739" i="63"/>
  <c r="E739" i="63"/>
  <c r="C740" i="63"/>
  <c r="D740" i="63"/>
  <c r="E740" i="63"/>
  <c r="C741" i="63"/>
  <c r="D741" i="63"/>
  <c r="E741" i="63"/>
  <c r="C742" i="63"/>
  <c r="D742" i="63"/>
  <c r="E742" i="63"/>
  <c r="C743" i="63"/>
  <c r="D743" i="63"/>
  <c r="E743" i="63"/>
  <c r="C744" i="63"/>
  <c r="D744" i="63"/>
  <c r="E744" i="63"/>
  <c r="C745" i="63"/>
  <c r="D745" i="63"/>
  <c r="E745" i="63"/>
  <c r="C746" i="63"/>
  <c r="D746" i="63"/>
  <c r="E746" i="63"/>
  <c r="C747" i="63"/>
  <c r="D747" i="63"/>
  <c r="E747" i="63"/>
  <c r="C748" i="63"/>
  <c r="D748" i="63"/>
  <c r="E748" i="63"/>
  <c r="C749" i="63"/>
  <c r="D749" i="63"/>
  <c r="E749" i="63"/>
  <c r="C750" i="63"/>
  <c r="D750" i="63"/>
  <c r="E750" i="63"/>
  <c r="C751" i="63"/>
  <c r="D751" i="63"/>
  <c r="E751" i="63"/>
  <c r="C752" i="63"/>
  <c r="D752" i="63"/>
  <c r="E752" i="63"/>
  <c r="C753" i="63"/>
  <c r="D753" i="63"/>
  <c r="E753" i="63"/>
  <c r="C754" i="63"/>
  <c r="D754" i="63"/>
  <c r="E754" i="63"/>
  <c r="C755" i="63"/>
  <c r="D755" i="63"/>
  <c r="E755" i="63"/>
  <c r="C756" i="63"/>
  <c r="D756" i="63"/>
  <c r="E756" i="63"/>
  <c r="C757" i="63"/>
  <c r="D757" i="63"/>
  <c r="E757" i="63"/>
  <c r="C758" i="63"/>
  <c r="D758" i="63"/>
  <c r="E758" i="63"/>
  <c r="C759" i="63"/>
  <c r="D759" i="63"/>
  <c r="E759" i="63"/>
  <c r="C760" i="63"/>
  <c r="D760" i="63"/>
  <c r="E760" i="63"/>
  <c r="C761" i="63"/>
  <c r="D761" i="63"/>
  <c r="E761" i="63"/>
  <c r="C762" i="63"/>
  <c r="D762" i="63"/>
  <c r="E762" i="63"/>
  <c r="C763" i="63"/>
  <c r="D763" i="63"/>
  <c r="E763" i="63"/>
  <c r="C764" i="63"/>
  <c r="D764" i="63"/>
  <c r="E764" i="63"/>
  <c r="C765" i="63"/>
  <c r="D765" i="63"/>
  <c r="E765" i="63"/>
  <c r="C766" i="63"/>
  <c r="D766" i="63"/>
  <c r="E766" i="63"/>
  <c r="C767" i="63"/>
  <c r="D767" i="63"/>
  <c r="E767" i="63"/>
  <c r="C768" i="63"/>
  <c r="D768" i="63"/>
  <c r="E768" i="63"/>
  <c r="C769" i="63"/>
  <c r="D769" i="63"/>
  <c r="E769" i="63"/>
  <c r="C770" i="63"/>
  <c r="D770" i="63"/>
  <c r="E770" i="63"/>
  <c r="C771" i="63"/>
  <c r="D771" i="63"/>
  <c r="E771" i="63"/>
  <c r="C772" i="63"/>
  <c r="D772" i="63"/>
  <c r="E772" i="63"/>
  <c r="C773" i="63"/>
  <c r="D773" i="63"/>
  <c r="E773" i="63"/>
  <c r="C774" i="63"/>
  <c r="D774" i="63"/>
  <c r="E774" i="63"/>
  <c r="C775" i="63"/>
  <c r="D775" i="63"/>
  <c r="E775" i="63"/>
  <c r="C776" i="63"/>
  <c r="D776" i="63"/>
  <c r="E776" i="63"/>
  <c r="C777" i="63"/>
  <c r="D777" i="63"/>
  <c r="E777" i="63"/>
  <c r="C778" i="63"/>
  <c r="D778" i="63"/>
  <c r="E778" i="63"/>
  <c r="C779" i="63"/>
  <c r="D779" i="63"/>
  <c r="E779" i="63"/>
  <c r="C780" i="63"/>
  <c r="D780" i="63"/>
  <c r="E780" i="63"/>
  <c r="C781" i="63"/>
  <c r="D781" i="63"/>
  <c r="E781" i="63"/>
  <c r="C782" i="63"/>
  <c r="D782" i="63"/>
  <c r="E782" i="63"/>
  <c r="C783" i="63"/>
  <c r="D783" i="63"/>
  <c r="E783" i="63"/>
  <c r="C784" i="63"/>
  <c r="D784" i="63"/>
  <c r="E784" i="63"/>
  <c r="C785" i="63"/>
  <c r="D785" i="63"/>
  <c r="E785" i="63"/>
  <c r="C786" i="63"/>
  <c r="D786" i="63"/>
  <c r="E786" i="63"/>
  <c r="C787" i="63"/>
  <c r="D787" i="63"/>
  <c r="E787" i="63"/>
  <c r="C788" i="63"/>
  <c r="D788" i="63"/>
  <c r="E788" i="63"/>
  <c r="C789" i="63"/>
  <c r="D789" i="63"/>
  <c r="E789" i="63"/>
  <c r="C790" i="63"/>
  <c r="D790" i="63"/>
  <c r="E790" i="63"/>
  <c r="C791" i="63"/>
  <c r="D791" i="63"/>
  <c r="E791" i="63"/>
  <c r="C792" i="63"/>
  <c r="D792" i="63"/>
  <c r="E792" i="63"/>
  <c r="C793" i="63"/>
  <c r="D793" i="63"/>
  <c r="E793" i="63"/>
  <c r="C794" i="63"/>
  <c r="D794" i="63"/>
  <c r="E794" i="63"/>
  <c r="C795" i="63"/>
  <c r="D795" i="63"/>
  <c r="E795" i="63"/>
  <c r="C796" i="63"/>
  <c r="D796" i="63"/>
  <c r="E796" i="63"/>
  <c r="C797" i="63"/>
  <c r="D797" i="63"/>
  <c r="E797" i="63"/>
  <c r="C798" i="63"/>
  <c r="D798" i="63"/>
  <c r="E798" i="63"/>
  <c r="C799" i="63"/>
  <c r="D799" i="63"/>
  <c r="E799" i="63"/>
  <c r="C800" i="63"/>
  <c r="D800" i="63"/>
  <c r="E800" i="63"/>
  <c r="C801" i="63"/>
  <c r="D801" i="63"/>
  <c r="E801" i="63"/>
  <c r="C802" i="63"/>
  <c r="D802" i="63"/>
  <c r="E802" i="63"/>
  <c r="C803" i="63"/>
  <c r="D803" i="63"/>
  <c r="E803" i="63"/>
  <c r="C804" i="63"/>
  <c r="D804" i="63"/>
  <c r="E804" i="63"/>
  <c r="C805" i="63"/>
  <c r="D805" i="63"/>
  <c r="E805" i="63"/>
  <c r="C806" i="63"/>
  <c r="D806" i="63"/>
  <c r="E806" i="63"/>
  <c r="C807" i="63"/>
  <c r="D807" i="63"/>
  <c r="E807" i="63"/>
  <c r="C808" i="63"/>
  <c r="D808" i="63"/>
  <c r="E808" i="63"/>
  <c r="C809" i="63"/>
  <c r="D809" i="63"/>
  <c r="E809" i="63"/>
  <c r="C810" i="63"/>
  <c r="D810" i="63"/>
  <c r="E810" i="63"/>
  <c r="C811" i="63"/>
  <c r="D811" i="63"/>
  <c r="E811" i="63"/>
  <c r="C812" i="63"/>
  <c r="D812" i="63"/>
  <c r="E812" i="63"/>
  <c r="C813" i="63"/>
  <c r="D813" i="63"/>
  <c r="E813" i="63"/>
  <c r="C814" i="63"/>
  <c r="D814" i="63"/>
  <c r="E814" i="63"/>
  <c r="C815" i="63"/>
  <c r="D815" i="63"/>
  <c r="E815" i="63"/>
  <c r="C816" i="63"/>
  <c r="D816" i="63"/>
  <c r="E816" i="63"/>
  <c r="C817" i="63"/>
  <c r="D817" i="63"/>
  <c r="E817" i="63"/>
  <c r="C818" i="63"/>
  <c r="D818" i="63"/>
  <c r="E818" i="63"/>
  <c r="C819" i="63"/>
  <c r="D819" i="63"/>
  <c r="E819" i="63"/>
  <c r="C820" i="63"/>
  <c r="D820" i="63"/>
  <c r="E820" i="63"/>
  <c r="C821" i="63"/>
  <c r="D821" i="63"/>
  <c r="E821" i="63"/>
  <c r="C822" i="63"/>
  <c r="D822" i="63"/>
  <c r="E822" i="63"/>
  <c r="C823" i="63"/>
  <c r="D823" i="63"/>
  <c r="E823" i="63"/>
  <c r="C824" i="63"/>
  <c r="D824" i="63"/>
  <c r="E824" i="63"/>
  <c r="C825" i="63"/>
  <c r="D825" i="63"/>
  <c r="E825" i="63"/>
  <c r="C826" i="63"/>
  <c r="D826" i="63"/>
  <c r="E826" i="63"/>
  <c r="C827" i="63"/>
  <c r="D827" i="63"/>
  <c r="E827" i="63"/>
  <c r="C828" i="63"/>
  <c r="D828" i="63"/>
  <c r="E828" i="63"/>
  <c r="C829" i="63"/>
  <c r="D829" i="63"/>
  <c r="E829" i="63"/>
  <c r="C830" i="63"/>
  <c r="D830" i="63"/>
  <c r="E830" i="63"/>
  <c r="C831" i="63"/>
  <c r="D831" i="63"/>
  <c r="E831" i="63"/>
  <c r="C832" i="63"/>
  <c r="D832" i="63"/>
  <c r="E832" i="63"/>
  <c r="C833" i="63"/>
  <c r="D833" i="63"/>
  <c r="E833" i="63"/>
  <c r="C834" i="63"/>
  <c r="D834" i="63"/>
  <c r="E834" i="63"/>
  <c r="C835" i="63"/>
  <c r="D835" i="63"/>
  <c r="E835" i="63"/>
  <c r="C836" i="63"/>
  <c r="D836" i="63"/>
  <c r="E836" i="63"/>
  <c r="C837" i="63"/>
  <c r="D837" i="63"/>
  <c r="E837" i="63"/>
  <c r="C838" i="63"/>
  <c r="D838" i="63"/>
  <c r="E838" i="63"/>
  <c r="C839" i="63"/>
  <c r="D839" i="63"/>
  <c r="E839" i="63"/>
  <c r="C840" i="63"/>
  <c r="D840" i="63"/>
  <c r="E840" i="63"/>
  <c r="C841" i="63"/>
  <c r="D841" i="63"/>
  <c r="E841" i="63"/>
  <c r="C842" i="63"/>
  <c r="D842" i="63"/>
  <c r="E842" i="63"/>
  <c r="C843" i="63"/>
  <c r="D843" i="63"/>
  <c r="E843" i="63"/>
  <c r="C844" i="63"/>
  <c r="D844" i="63"/>
  <c r="E844" i="63"/>
  <c r="C845" i="63"/>
  <c r="D845" i="63"/>
  <c r="E845" i="63"/>
  <c r="C846" i="63"/>
  <c r="D846" i="63"/>
  <c r="E846" i="63"/>
  <c r="C847" i="63"/>
  <c r="D847" i="63"/>
  <c r="E847" i="63"/>
  <c r="C848" i="63"/>
  <c r="D848" i="63"/>
  <c r="E848" i="63"/>
  <c r="C849" i="63"/>
  <c r="D849" i="63"/>
  <c r="E849" i="63"/>
  <c r="C850" i="63"/>
  <c r="D850" i="63"/>
  <c r="E850" i="63"/>
  <c r="C851" i="63"/>
  <c r="D851" i="63"/>
  <c r="E851" i="63"/>
  <c r="C852" i="63"/>
  <c r="D852" i="63"/>
  <c r="E852" i="63"/>
  <c r="C853" i="63"/>
  <c r="D853" i="63"/>
  <c r="E853" i="63"/>
  <c r="C854" i="63"/>
  <c r="D854" i="63"/>
  <c r="E854" i="63"/>
  <c r="C855" i="63"/>
  <c r="D855" i="63"/>
  <c r="E855" i="63"/>
  <c r="C856" i="63"/>
  <c r="D856" i="63"/>
  <c r="E856" i="63"/>
  <c r="C857" i="63"/>
  <c r="D857" i="63"/>
  <c r="E857" i="63"/>
  <c r="C858" i="63"/>
  <c r="D858" i="63"/>
  <c r="E858" i="63"/>
  <c r="C859" i="63"/>
  <c r="D859" i="63"/>
  <c r="E859" i="63"/>
  <c r="C860" i="63"/>
  <c r="D860" i="63"/>
  <c r="E860" i="63"/>
  <c r="C861" i="63"/>
  <c r="D861" i="63"/>
  <c r="E861" i="63"/>
  <c r="C862" i="63"/>
  <c r="D862" i="63"/>
  <c r="E862" i="63"/>
  <c r="C863" i="63"/>
  <c r="D863" i="63"/>
  <c r="E863" i="63"/>
  <c r="C864" i="63"/>
  <c r="D864" i="63"/>
  <c r="E864" i="63"/>
  <c r="C865" i="63"/>
  <c r="D865" i="63"/>
  <c r="E865" i="63"/>
  <c r="C866" i="63"/>
  <c r="D866" i="63"/>
  <c r="E866" i="63"/>
  <c r="C867" i="63"/>
  <c r="D867" i="63"/>
  <c r="E867" i="63"/>
  <c r="C868" i="63"/>
  <c r="D868" i="63"/>
  <c r="E868" i="63"/>
  <c r="C869" i="63"/>
  <c r="D869" i="63"/>
  <c r="E869" i="63"/>
  <c r="C870" i="63"/>
  <c r="D870" i="63"/>
  <c r="E870" i="63"/>
  <c r="C871" i="63"/>
  <c r="D871" i="63"/>
  <c r="E871" i="63"/>
  <c r="C872" i="63"/>
  <c r="D872" i="63"/>
  <c r="E872" i="63"/>
  <c r="C873" i="63"/>
  <c r="D873" i="63"/>
  <c r="E873" i="63"/>
  <c r="C874" i="63"/>
  <c r="D874" i="63"/>
  <c r="E874" i="63"/>
  <c r="C875" i="63"/>
  <c r="D875" i="63"/>
  <c r="E875" i="63"/>
  <c r="C876" i="63"/>
  <c r="D876" i="63"/>
  <c r="E876" i="63"/>
  <c r="C877" i="63"/>
  <c r="D877" i="63"/>
  <c r="E877" i="63"/>
  <c r="C878" i="63"/>
  <c r="D878" i="63"/>
  <c r="E878" i="63"/>
  <c r="C879" i="63"/>
  <c r="D879" i="63"/>
  <c r="E879" i="63"/>
  <c r="C880" i="63"/>
  <c r="D880" i="63"/>
  <c r="E880" i="63"/>
  <c r="C881" i="63"/>
  <c r="D881" i="63"/>
  <c r="E881" i="63"/>
  <c r="C882" i="63"/>
  <c r="D882" i="63"/>
  <c r="E882" i="63"/>
  <c r="C883" i="63"/>
  <c r="D883" i="63"/>
  <c r="E883" i="63"/>
  <c r="C884" i="63"/>
  <c r="D884" i="63"/>
  <c r="E884" i="63"/>
  <c r="C885" i="63"/>
  <c r="D885" i="63"/>
  <c r="E885" i="63"/>
  <c r="C886" i="63"/>
  <c r="D886" i="63"/>
  <c r="E886" i="63"/>
  <c r="C887" i="63"/>
  <c r="D887" i="63"/>
  <c r="E887" i="63"/>
  <c r="C888" i="63"/>
  <c r="D888" i="63"/>
  <c r="E888" i="63"/>
  <c r="C889" i="63"/>
  <c r="D889" i="63"/>
  <c r="E889" i="63"/>
  <c r="C890" i="63"/>
  <c r="D890" i="63"/>
  <c r="E890" i="63"/>
  <c r="C891" i="63"/>
  <c r="D891" i="63"/>
  <c r="E891" i="63"/>
  <c r="C892" i="63"/>
  <c r="D892" i="63"/>
  <c r="E892" i="63"/>
  <c r="C893" i="63"/>
  <c r="D893" i="63"/>
  <c r="E893" i="63"/>
  <c r="C894" i="63"/>
  <c r="D894" i="63"/>
  <c r="E894" i="63"/>
  <c r="C895" i="63"/>
  <c r="D895" i="63"/>
  <c r="E895" i="63"/>
  <c r="C896" i="63"/>
  <c r="D896" i="63"/>
  <c r="E896" i="63"/>
  <c r="C897" i="63"/>
  <c r="D897" i="63"/>
  <c r="E897" i="63"/>
  <c r="C898" i="63"/>
  <c r="D898" i="63"/>
  <c r="E898" i="63"/>
  <c r="C899" i="63"/>
  <c r="D899" i="63"/>
  <c r="E899" i="63"/>
  <c r="C900" i="63"/>
  <c r="D900" i="63"/>
  <c r="E900" i="63"/>
  <c r="C901" i="63"/>
  <c r="D901" i="63"/>
  <c r="E901" i="63"/>
  <c r="C902" i="63"/>
  <c r="D902" i="63"/>
  <c r="E902" i="63"/>
  <c r="C903" i="63"/>
  <c r="D903" i="63"/>
  <c r="E903" i="63"/>
  <c r="C904" i="63"/>
  <c r="D904" i="63"/>
  <c r="E904" i="63"/>
  <c r="C905" i="63"/>
  <c r="D905" i="63"/>
  <c r="E905" i="63"/>
  <c r="C906" i="63"/>
  <c r="D906" i="63"/>
  <c r="E906" i="63"/>
  <c r="C907" i="63"/>
  <c r="D907" i="63"/>
  <c r="E907" i="63"/>
  <c r="C908" i="63"/>
  <c r="D908" i="63"/>
  <c r="E908" i="63"/>
  <c r="C909" i="63"/>
  <c r="D909" i="63"/>
  <c r="E909" i="63"/>
  <c r="C910" i="63"/>
  <c r="D910" i="63"/>
  <c r="E910" i="63"/>
  <c r="C911" i="63"/>
  <c r="D911" i="63"/>
  <c r="E911" i="63"/>
  <c r="C912" i="63"/>
  <c r="D912" i="63"/>
  <c r="E912" i="63"/>
  <c r="C913" i="63"/>
  <c r="D913" i="63"/>
  <c r="E913" i="63"/>
  <c r="C914" i="63"/>
  <c r="D914" i="63"/>
  <c r="E914" i="63"/>
  <c r="C915" i="63"/>
  <c r="D915" i="63"/>
  <c r="E915" i="63"/>
  <c r="C916" i="63"/>
  <c r="D916" i="63"/>
  <c r="E916" i="63"/>
  <c r="C917" i="63"/>
  <c r="D917" i="63"/>
  <c r="E917" i="63"/>
  <c r="C918" i="63"/>
  <c r="D918" i="63"/>
  <c r="E918" i="63"/>
  <c r="C919" i="63"/>
  <c r="D919" i="63"/>
  <c r="E919" i="63"/>
  <c r="C920" i="63"/>
  <c r="D920" i="63"/>
  <c r="E920" i="63"/>
  <c r="C921" i="63"/>
  <c r="D921" i="63"/>
  <c r="E921" i="63"/>
  <c r="C922" i="63"/>
  <c r="D922" i="63"/>
  <c r="E922" i="63"/>
  <c r="C923" i="63"/>
  <c r="D923" i="63"/>
  <c r="E923" i="63"/>
  <c r="C924" i="63"/>
  <c r="D924" i="63"/>
  <c r="E924" i="63"/>
  <c r="C925" i="63"/>
  <c r="D925" i="63"/>
  <c r="E925" i="63"/>
  <c r="C926" i="63"/>
  <c r="D926" i="63"/>
  <c r="E926" i="63"/>
  <c r="C927" i="63"/>
  <c r="D927" i="63"/>
  <c r="E927" i="63"/>
  <c r="C928" i="63"/>
  <c r="D928" i="63"/>
  <c r="E928" i="63"/>
  <c r="C929" i="63"/>
  <c r="D929" i="63"/>
  <c r="E929" i="63"/>
  <c r="C930" i="63"/>
  <c r="D930" i="63"/>
  <c r="E930" i="63"/>
  <c r="C931" i="63"/>
  <c r="D931" i="63"/>
  <c r="E931" i="63"/>
  <c r="C932" i="63"/>
  <c r="D932" i="63"/>
  <c r="E932" i="63"/>
  <c r="C933" i="63"/>
  <c r="D933" i="63"/>
  <c r="E933" i="63"/>
  <c r="C934" i="63"/>
  <c r="D934" i="63"/>
  <c r="E934" i="63"/>
  <c r="C935" i="63"/>
  <c r="D935" i="63"/>
  <c r="E935" i="63"/>
  <c r="C936" i="63"/>
  <c r="D936" i="63"/>
  <c r="E936" i="63"/>
  <c r="C937" i="63"/>
  <c r="D937" i="63"/>
  <c r="E937" i="63"/>
  <c r="C938" i="63"/>
  <c r="D938" i="63"/>
  <c r="E938" i="63"/>
  <c r="C939" i="63"/>
  <c r="D939" i="63"/>
  <c r="E939" i="63"/>
  <c r="C940" i="63"/>
  <c r="D940" i="63"/>
  <c r="E940" i="63"/>
  <c r="C941" i="63"/>
  <c r="D941" i="63"/>
  <c r="E941" i="63"/>
  <c r="C942" i="63"/>
  <c r="D942" i="63"/>
  <c r="E942" i="63"/>
  <c r="C943" i="63"/>
  <c r="D943" i="63"/>
  <c r="E943" i="63"/>
  <c r="C944" i="63"/>
  <c r="D944" i="63"/>
  <c r="E944" i="63"/>
  <c r="C945" i="63"/>
  <c r="D945" i="63"/>
  <c r="E945" i="63"/>
  <c r="C946" i="63"/>
  <c r="D946" i="63"/>
  <c r="E946" i="63"/>
  <c r="C947" i="63"/>
  <c r="D947" i="63"/>
  <c r="E947" i="63"/>
  <c r="C948" i="63"/>
  <c r="D948" i="63"/>
  <c r="E948" i="63"/>
  <c r="C949" i="63"/>
  <c r="D949" i="63"/>
  <c r="E949" i="63"/>
  <c r="C950" i="63"/>
  <c r="D950" i="63"/>
  <c r="E950" i="63"/>
  <c r="C951" i="63"/>
  <c r="D951" i="63"/>
  <c r="E951" i="63"/>
  <c r="C952" i="63"/>
  <c r="D952" i="63"/>
  <c r="E952" i="63"/>
  <c r="C953" i="63"/>
  <c r="D953" i="63"/>
  <c r="E953" i="63"/>
  <c r="C954" i="63"/>
  <c r="D954" i="63"/>
  <c r="E954" i="63"/>
  <c r="C955" i="63"/>
  <c r="D955" i="63"/>
  <c r="E955" i="63"/>
  <c r="C956" i="63"/>
  <c r="D956" i="63"/>
  <c r="E956" i="63"/>
  <c r="C957" i="63"/>
  <c r="D957" i="63"/>
  <c r="E957" i="63"/>
  <c r="C958" i="63"/>
  <c r="D958" i="63"/>
  <c r="E958" i="63"/>
  <c r="C959" i="63"/>
  <c r="D959" i="63"/>
  <c r="E959" i="63"/>
  <c r="C960" i="63"/>
  <c r="D960" i="63"/>
  <c r="E960" i="63"/>
  <c r="C961" i="63"/>
  <c r="D961" i="63"/>
  <c r="E961" i="63"/>
  <c r="C962" i="63"/>
  <c r="D962" i="63"/>
  <c r="E962" i="63"/>
  <c r="C963" i="63"/>
  <c r="D963" i="63"/>
  <c r="E963" i="63"/>
  <c r="C964" i="63"/>
  <c r="D964" i="63"/>
  <c r="E964" i="63"/>
  <c r="C965" i="63"/>
  <c r="D965" i="63"/>
  <c r="E965" i="63"/>
  <c r="C966" i="63"/>
  <c r="D966" i="63"/>
  <c r="E966" i="63"/>
  <c r="C967" i="63"/>
  <c r="D967" i="63"/>
  <c r="E967" i="63"/>
  <c r="C968" i="63"/>
  <c r="D968" i="63"/>
  <c r="E968" i="63"/>
  <c r="C969" i="63"/>
  <c r="D969" i="63"/>
  <c r="E969" i="63"/>
  <c r="C970" i="63"/>
  <c r="D970" i="63"/>
  <c r="E970" i="63"/>
  <c r="C971" i="63"/>
  <c r="D971" i="63"/>
  <c r="E971" i="63"/>
  <c r="C972" i="63"/>
  <c r="D972" i="63"/>
  <c r="E972" i="63"/>
  <c r="C973" i="63"/>
  <c r="D973" i="63"/>
  <c r="E973" i="63"/>
  <c r="C974" i="63"/>
  <c r="D974" i="63"/>
  <c r="E974" i="63"/>
  <c r="C975" i="63"/>
  <c r="D975" i="63"/>
  <c r="E975" i="63"/>
  <c r="C976" i="63"/>
  <c r="D976" i="63"/>
  <c r="E976" i="63"/>
  <c r="C977" i="63"/>
  <c r="D977" i="63"/>
  <c r="E977" i="63"/>
  <c r="C978" i="63"/>
  <c r="D978" i="63"/>
  <c r="E978" i="63"/>
  <c r="C979" i="63"/>
  <c r="D979" i="63"/>
  <c r="E979" i="63"/>
  <c r="C980" i="63"/>
  <c r="D980" i="63"/>
  <c r="E980" i="63"/>
  <c r="C981" i="63"/>
  <c r="D981" i="63"/>
  <c r="E981" i="63"/>
  <c r="C982" i="63"/>
  <c r="D982" i="63"/>
  <c r="E982" i="63"/>
  <c r="C983" i="63"/>
  <c r="D983" i="63"/>
  <c r="E983" i="63"/>
  <c r="C984" i="63"/>
  <c r="D984" i="63"/>
  <c r="E984" i="63"/>
  <c r="C985" i="63"/>
  <c r="D985" i="63"/>
  <c r="E985" i="63"/>
  <c r="C986" i="63"/>
  <c r="D986" i="63"/>
  <c r="E986" i="63"/>
  <c r="C987" i="63"/>
  <c r="D987" i="63"/>
  <c r="E987" i="63"/>
  <c r="C988" i="63"/>
  <c r="D988" i="63"/>
  <c r="E988" i="63"/>
  <c r="C989" i="63"/>
  <c r="D989" i="63"/>
  <c r="E989" i="63"/>
  <c r="C990" i="63"/>
  <c r="D990" i="63"/>
  <c r="E990" i="63"/>
  <c r="C991" i="63"/>
  <c r="D991" i="63"/>
  <c r="E991" i="63"/>
  <c r="C992" i="63"/>
  <c r="D992" i="63"/>
  <c r="E992" i="63"/>
  <c r="C993" i="63"/>
  <c r="D993" i="63"/>
  <c r="E993" i="63"/>
  <c r="C994" i="63"/>
  <c r="D994" i="63"/>
  <c r="E994" i="63"/>
  <c r="C995" i="63"/>
  <c r="D995" i="63"/>
  <c r="E995" i="63"/>
  <c r="C996" i="63"/>
  <c r="D996" i="63"/>
  <c r="E996" i="63"/>
  <c r="C997" i="63"/>
  <c r="D997" i="63"/>
  <c r="E997" i="63"/>
  <c r="C998" i="63"/>
  <c r="D998" i="63"/>
  <c r="E998" i="63"/>
  <c r="C999" i="63"/>
  <c r="D999" i="63"/>
  <c r="E999" i="63"/>
  <c r="C1000" i="63"/>
  <c r="D1000" i="63"/>
  <c r="E1000" i="63"/>
  <c r="C1001" i="63"/>
  <c r="D1001" i="63"/>
  <c r="E1001" i="63"/>
  <c r="C1002" i="63"/>
  <c r="D1002" i="63"/>
  <c r="E1002" i="63"/>
  <c r="C1003" i="63"/>
  <c r="D1003" i="63"/>
  <c r="E1003" i="63"/>
  <c r="C1004" i="63"/>
  <c r="D1004" i="63"/>
  <c r="E1004" i="63"/>
  <c r="C1005" i="63"/>
  <c r="D1005" i="63"/>
  <c r="E1005" i="63"/>
  <c r="C1006" i="63"/>
  <c r="D1006" i="63"/>
  <c r="E1006" i="63"/>
  <c r="C1007" i="63"/>
  <c r="D1007" i="63"/>
  <c r="E1007" i="63"/>
  <c r="C1008" i="63"/>
  <c r="D1008" i="63"/>
  <c r="E1008" i="63"/>
  <c r="C1009" i="63"/>
  <c r="D1009" i="63"/>
  <c r="E1009" i="63"/>
  <c r="C1010" i="63"/>
  <c r="D1010" i="63"/>
  <c r="E1010" i="63"/>
  <c r="C1011" i="63"/>
  <c r="D1011" i="63"/>
  <c r="E1011" i="63"/>
  <c r="G12" i="63"/>
  <c r="B18" i="62"/>
  <c r="I18" i="62"/>
  <c r="A19" i="62"/>
  <c r="B19" i="62"/>
  <c r="I19" i="62"/>
  <c r="A20" i="62"/>
  <c r="B20" i="62"/>
  <c r="H20" i="62"/>
  <c r="I20" i="62"/>
  <c r="A21" i="62"/>
  <c r="B21" i="62"/>
  <c r="H21" i="62"/>
  <c r="I21" i="62"/>
  <c r="A22" i="62"/>
  <c r="B22" i="62"/>
  <c r="H22" i="62"/>
  <c r="I22" i="62"/>
  <c r="A23" i="62"/>
  <c r="B23" i="62"/>
  <c r="H23" i="62"/>
  <c r="I23" i="62"/>
  <c r="A24" i="62"/>
  <c r="B24" i="62"/>
  <c r="H24" i="62"/>
  <c r="I24" i="62"/>
  <c r="A25" i="62"/>
  <c r="B25" i="62"/>
  <c r="H25" i="62"/>
  <c r="I25" i="62"/>
  <c r="A26" i="62"/>
  <c r="B26" i="62"/>
  <c r="H26" i="62"/>
  <c r="I26" i="62"/>
  <c r="A27" i="62"/>
  <c r="B27" i="62"/>
  <c r="H27" i="62"/>
  <c r="I27" i="62"/>
  <c r="A28" i="62"/>
  <c r="B28" i="62"/>
  <c r="H28" i="62"/>
  <c r="I28" i="62"/>
  <c r="A29" i="62"/>
  <c r="B29" i="62"/>
  <c r="H29" i="62"/>
  <c r="I29" i="62"/>
  <c r="A30" i="62"/>
  <c r="B30" i="62"/>
  <c r="H30" i="62"/>
  <c r="I30" i="62"/>
  <c r="A31" i="62"/>
  <c r="B31" i="62"/>
  <c r="H31" i="62"/>
  <c r="I31" i="62"/>
  <c r="A32" i="62"/>
  <c r="B32" i="62"/>
  <c r="H32" i="62"/>
  <c r="I32" i="62"/>
  <c r="A33" i="62"/>
  <c r="B33" i="62"/>
  <c r="H33" i="62"/>
  <c r="I33" i="62"/>
  <c r="A34" i="62"/>
  <c r="B34" i="62"/>
  <c r="H34" i="62"/>
  <c r="I34" i="62"/>
  <c r="A35" i="62"/>
  <c r="B35" i="62"/>
  <c r="H35" i="62"/>
  <c r="I35" i="62"/>
  <c r="A36" i="62"/>
  <c r="B36" i="62"/>
  <c r="H36" i="62"/>
  <c r="I36" i="62"/>
  <c r="A37" i="62"/>
  <c r="B37" i="62"/>
  <c r="H37" i="62"/>
  <c r="I37" i="62"/>
  <c r="A38" i="62"/>
  <c r="B38" i="62"/>
  <c r="H38" i="62"/>
  <c r="I38" i="62"/>
  <c r="A39" i="62"/>
  <c r="B39" i="62"/>
  <c r="H39" i="62"/>
  <c r="I39" i="62"/>
  <c r="A40" i="62"/>
  <c r="B40" i="62"/>
  <c r="H40" i="62"/>
  <c r="I40" i="62"/>
  <c r="A41" i="62"/>
  <c r="B41" i="62"/>
  <c r="H41" i="62"/>
  <c r="I41" i="62"/>
  <c r="A42" i="62"/>
  <c r="B42" i="62"/>
  <c r="H42" i="62"/>
  <c r="I42" i="62"/>
  <c r="A43" i="62"/>
  <c r="B43" i="62"/>
  <c r="H43" i="62"/>
  <c r="I43" i="62"/>
  <c r="A44" i="62"/>
  <c r="B44" i="62"/>
  <c r="H44" i="62"/>
  <c r="I44" i="62"/>
  <c r="A45" i="62"/>
  <c r="B45" i="62"/>
  <c r="H45" i="62"/>
  <c r="I45" i="62"/>
  <c r="A46" i="62"/>
  <c r="B46" i="62"/>
  <c r="H46" i="62"/>
  <c r="I46" i="62"/>
  <c r="A47" i="62"/>
  <c r="B47" i="62"/>
  <c r="H47" i="62"/>
  <c r="I47" i="62"/>
  <c r="A48" i="62"/>
  <c r="B48" i="62"/>
  <c r="H48" i="62"/>
  <c r="I48" i="62"/>
  <c r="A49" i="62"/>
  <c r="B49" i="62"/>
  <c r="H49" i="62"/>
  <c r="I49" i="62"/>
  <c r="A50" i="62"/>
  <c r="B50" i="62"/>
  <c r="H50" i="62"/>
  <c r="I50" i="62"/>
  <c r="A51" i="62"/>
  <c r="B51" i="62"/>
  <c r="H51" i="62"/>
  <c r="I51" i="62"/>
  <c r="A52" i="62"/>
  <c r="B52" i="62"/>
  <c r="H52" i="62"/>
  <c r="I52" i="62"/>
  <c r="A53" i="62"/>
  <c r="B53" i="62"/>
  <c r="H53" i="62"/>
  <c r="I53" i="62"/>
  <c r="A54" i="62"/>
  <c r="B54" i="62"/>
  <c r="H54" i="62"/>
  <c r="I54" i="62"/>
  <c r="A55" i="62"/>
  <c r="B55" i="62"/>
  <c r="H55" i="62"/>
  <c r="I55" i="62"/>
  <c r="A56" i="62"/>
  <c r="B56" i="62"/>
  <c r="H56" i="62"/>
  <c r="I56" i="62"/>
  <c r="A57" i="62"/>
  <c r="B57" i="62"/>
  <c r="H57" i="62"/>
  <c r="I57" i="62"/>
  <c r="A58" i="62"/>
  <c r="B58" i="62"/>
  <c r="H58" i="62"/>
  <c r="I58" i="62"/>
  <c r="A59" i="62"/>
  <c r="B59" i="62"/>
  <c r="H59" i="62"/>
  <c r="I59" i="62"/>
  <c r="A60" i="62"/>
  <c r="B60" i="62"/>
  <c r="H60" i="62"/>
  <c r="I60" i="62"/>
  <c r="A61" i="62"/>
  <c r="B61" i="62"/>
  <c r="H61" i="62"/>
  <c r="I61" i="62"/>
  <c r="A62" i="62"/>
  <c r="B62" i="62"/>
  <c r="H62" i="62"/>
  <c r="I62" i="62"/>
  <c r="A63" i="62"/>
  <c r="B63" i="62"/>
  <c r="H63" i="62"/>
  <c r="I63" i="62"/>
  <c r="A64" i="62"/>
  <c r="B64" i="62"/>
  <c r="H64" i="62"/>
  <c r="I64" i="62"/>
  <c r="A65" i="62"/>
  <c r="B65" i="62"/>
  <c r="H65" i="62"/>
  <c r="I65" i="62"/>
  <c r="A66" i="62"/>
  <c r="B66" i="62"/>
  <c r="H66" i="62"/>
  <c r="I66" i="62"/>
  <c r="A67" i="62"/>
  <c r="B67" i="62"/>
  <c r="H67" i="62"/>
  <c r="I67" i="62"/>
  <c r="A68" i="62"/>
  <c r="B68" i="62"/>
  <c r="H68" i="62"/>
  <c r="I68" i="62"/>
  <c r="A69" i="62"/>
  <c r="B69" i="62"/>
  <c r="H69" i="62"/>
  <c r="I69" i="62"/>
  <c r="A70" i="62"/>
  <c r="B70" i="62"/>
  <c r="H70" i="62"/>
  <c r="I70" i="62"/>
  <c r="A71" i="62"/>
  <c r="B71" i="62"/>
  <c r="H71" i="62"/>
  <c r="I71" i="62"/>
  <c r="A72" i="62"/>
  <c r="B72" i="62"/>
  <c r="H72" i="62"/>
  <c r="I72" i="62"/>
  <c r="A73" i="62"/>
  <c r="B73" i="62"/>
  <c r="H73" i="62"/>
  <c r="I73" i="62"/>
  <c r="A74" i="62"/>
  <c r="B74" i="62"/>
  <c r="H74" i="62"/>
  <c r="I74" i="62"/>
  <c r="A75" i="62"/>
  <c r="B75" i="62"/>
  <c r="H75" i="62"/>
  <c r="I75" i="62"/>
  <c r="A76" i="62"/>
  <c r="B76" i="62"/>
  <c r="H76" i="62"/>
  <c r="I76" i="62"/>
  <c r="A77" i="62"/>
  <c r="B77" i="62"/>
  <c r="H77" i="62"/>
  <c r="I77" i="62"/>
  <c r="A78" i="62"/>
  <c r="B78" i="62"/>
  <c r="H78" i="62"/>
  <c r="I78" i="62"/>
  <c r="A79" i="62"/>
  <c r="B79" i="62"/>
  <c r="H79" i="62"/>
  <c r="I79" i="62"/>
  <c r="A80" i="62"/>
  <c r="B80" i="62"/>
  <c r="H80" i="62"/>
  <c r="I80" i="62"/>
  <c r="A81" i="62"/>
  <c r="B81" i="62"/>
  <c r="H81" i="62"/>
  <c r="I81" i="62"/>
  <c r="A82" i="62"/>
  <c r="B82" i="62"/>
  <c r="H82" i="62"/>
  <c r="I82" i="62"/>
  <c r="A83" i="62"/>
  <c r="B83" i="62"/>
  <c r="H83" i="62"/>
  <c r="I83" i="62"/>
  <c r="A84" i="62"/>
  <c r="B84" i="62"/>
  <c r="H84" i="62"/>
  <c r="I84" i="62"/>
  <c r="A85" i="62"/>
  <c r="B85" i="62"/>
  <c r="H85" i="62"/>
  <c r="I85" i="62"/>
  <c r="A86" i="62"/>
  <c r="B86" i="62"/>
  <c r="H86" i="62"/>
  <c r="I86" i="62"/>
  <c r="A87" i="62"/>
  <c r="B87" i="62"/>
  <c r="H87" i="62"/>
  <c r="I87" i="62"/>
  <c r="A88" i="62"/>
  <c r="B88" i="62"/>
  <c r="H88" i="62"/>
  <c r="I88" i="62"/>
  <c r="A89" i="62"/>
  <c r="B89" i="62"/>
  <c r="H89" i="62"/>
  <c r="I89" i="62"/>
  <c r="A90" i="62"/>
  <c r="B90" i="62"/>
  <c r="H90" i="62"/>
  <c r="I90" i="62"/>
  <c r="A91" i="62"/>
  <c r="B91" i="62"/>
  <c r="H91" i="62"/>
  <c r="I91" i="62"/>
  <c r="A92" i="62"/>
  <c r="B92" i="62"/>
  <c r="H92" i="62"/>
  <c r="I92" i="62"/>
  <c r="A93" i="62"/>
  <c r="B93" i="62"/>
  <c r="H93" i="62"/>
  <c r="I93" i="62"/>
  <c r="A94" i="62"/>
  <c r="B94" i="62"/>
  <c r="H94" i="62"/>
  <c r="I94" i="62"/>
  <c r="A95" i="62"/>
  <c r="B95" i="62"/>
  <c r="H95" i="62"/>
  <c r="I95" i="62"/>
  <c r="A96" i="62"/>
  <c r="B96" i="62"/>
  <c r="H96" i="62"/>
  <c r="I96" i="62"/>
  <c r="A97" i="62"/>
  <c r="B97" i="62"/>
  <c r="H97" i="62"/>
  <c r="I97" i="62"/>
  <c r="A98" i="62"/>
  <c r="B98" i="62"/>
  <c r="H98" i="62"/>
  <c r="I98" i="62"/>
  <c r="A99" i="62"/>
  <c r="B99" i="62"/>
  <c r="H99" i="62"/>
  <c r="I99" i="62"/>
  <c r="A100" i="62"/>
  <c r="B100" i="62"/>
  <c r="H100" i="62"/>
  <c r="I100" i="62"/>
  <c r="A101" i="62"/>
  <c r="B101" i="62"/>
  <c r="H101" i="62"/>
  <c r="I101" i="62"/>
  <c r="A102" i="62"/>
  <c r="B102" i="62"/>
  <c r="H102" i="62"/>
  <c r="I102" i="62"/>
  <c r="A103" i="62"/>
  <c r="B103" i="62"/>
  <c r="H103" i="62"/>
  <c r="I103" i="62"/>
  <c r="A104" i="62"/>
  <c r="B104" i="62"/>
  <c r="H104" i="62"/>
  <c r="I104" i="62"/>
  <c r="A105" i="62"/>
  <c r="B105" i="62"/>
  <c r="H105" i="62"/>
  <c r="I105" i="62"/>
  <c r="A106" i="62"/>
  <c r="B106" i="62"/>
  <c r="H106" i="62"/>
  <c r="I106" i="62"/>
  <c r="A107" i="62"/>
  <c r="B107" i="62"/>
  <c r="H107" i="62"/>
  <c r="I107" i="62"/>
  <c r="A108" i="62"/>
  <c r="B108" i="62"/>
  <c r="H108" i="62"/>
  <c r="I108" i="62"/>
  <c r="A109" i="62"/>
  <c r="B109" i="62"/>
  <c r="H109" i="62"/>
  <c r="I109" i="62"/>
  <c r="A110" i="62"/>
  <c r="B110" i="62"/>
  <c r="H110" i="62"/>
  <c r="I110" i="62"/>
  <c r="A111" i="62"/>
  <c r="B111" i="62"/>
  <c r="H111" i="62"/>
  <c r="I111" i="62"/>
  <c r="A112" i="62"/>
  <c r="B112" i="62"/>
  <c r="H112" i="62"/>
  <c r="I112" i="62"/>
  <c r="A113" i="62"/>
  <c r="B113" i="62"/>
  <c r="H113" i="62"/>
  <c r="I113" i="62"/>
  <c r="A114" i="62"/>
  <c r="B114" i="62"/>
  <c r="H114" i="62"/>
  <c r="I114" i="62"/>
  <c r="A115" i="62"/>
  <c r="B115" i="62"/>
  <c r="H115" i="62"/>
  <c r="I115" i="62"/>
  <c r="A116" i="62"/>
  <c r="B116" i="62"/>
  <c r="H116" i="62"/>
  <c r="I116" i="62"/>
  <c r="A117" i="62"/>
  <c r="B117" i="62"/>
  <c r="H117" i="62"/>
  <c r="I117" i="62"/>
  <c r="A118" i="62"/>
  <c r="B118" i="62"/>
  <c r="H118" i="62"/>
  <c r="I118" i="62"/>
  <c r="A119" i="62"/>
  <c r="B119" i="62"/>
  <c r="H119" i="62"/>
  <c r="I119" i="62"/>
  <c r="A120" i="62"/>
  <c r="B120" i="62"/>
  <c r="H120" i="62"/>
  <c r="I120" i="62"/>
  <c r="A121" i="62"/>
  <c r="B121" i="62"/>
  <c r="H121" i="62"/>
  <c r="I121" i="62"/>
  <c r="A122" i="62"/>
  <c r="B122" i="62"/>
  <c r="H122" i="62"/>
  <c r="I122" i="62"/>
  <c r="A123" i="62"/>
  <c r="B123" i="62"/>
  <c r="H123" i="62"/>
  <c r="I123" i="62"/>
  <c r="A124" i="62"/>
  <c r="B124" i="62"/>
  <c r="H124" i="62"/>
  <c r="I124" i="62"/>
  <c r="A125" i="62"/>
  <c r="B125" i="62"/>
  <c r="H125" i="62"/>
  <c r="I125" i="62"/>
  <c r="A126" i="62"/>
  <c r="B126" i="62"/>
  <c r="H126" i="62"/>
  <c r="I126" i="62"/>
  <c r="A127" i="62"/>
  <c r="B127" i="62"/>
  <c r="H127" i="62"/>
  <c r="I127" i="62"/>
  <c r="A128" i="62"/>
  <c r="B128" i="62"/>
  <c r="H128" i="62"/>
  <c r="I128" i="62"/>
  <c r="A129" i="62"/>
  <c r="B129" i="62"/>
  <c r="H129" i="62"/>
  <c r="I129" i="62"/>
  <c r="A130" i="62"/>
  <c r="B130" i="62"/>
  <c r="H130" i="62"/>
  <c r="I130" i="62"/>
  <c r="A131" i="62"/>
  <c r="B131" i="62"/>
  <c r="H131" i="62"/>
  <c r="I131" i="62"/>
  <c r="A132" i="62"/>
  <c r="B132" i="62"/>
  <c r="H132" i="62"/>
  <c r="I132" i="62"/>
  <c r="A133" i="62"/>
  <c r="B133" i="62"/>
  <c r="H133" i="62"/>
  <c r="I133" i="62"/>
  <c r="A134" i="62"/>
  <c r="B134" i="62"/>
  <c r="H134" i="62"/>
  <c r="I134" i="62"/>
  <c r="A135" i="62"/>
  <c r="B135" i="62"/>
  <c r="H135" i="62"/>
  <c r="I135" i="62"/>
  <c r="A136" i="62"/>
  <c r="B136" i="62"/>
  <c r="H136" i="62"/>
  <c r="I136" i="62"/>
  <c r="A137" i="62"/>
  <c r="B137" i="62"/>
  <c r="H137" i="62"/>
  <c r="I137" i="62"/>
  <c r="A138" i="62"/>
  <c r="B138" i="62"/>
  <c r="I138" i="62"/>
  <c r="I139" i="62"/>
  <c r="E138" i="62"/>
  <c r="F138" i="62"/>
  <c r="G138" i="62"/>
  <c r="D138" i="62"/>
  <c r="C138" i="62"/>
  <c r="E137" i="62"/>
  <c r="F137" i="62"/>
  <c r="G137" i="62"/>
  <c r="D137" i="62"/>
  <c r="C137" i="62"/>
  <c r="E136" i="62"/>
  <c r="F136" i="62"/>
  <c r="G136" i="62"/>
  <c r="D136" i="62"/>
  <c r="C136" i="62"/>
  <c r="E135" i="62"/>
  <c r="F135" i="62"/>
  <c r="G135" i="62"/>
  <c r="D135" i="62"/>
  <c r="C135" i="62"/>
  <c r="E134" i="62"/>
  <c r="F134" i="62"/>
  <c r="G134" i="62"/>
  <c r="D134" i="62"/>
  <c r="C134" i="62"/>
  <c r="E133" i="62"/>
  <c r="F133" i="62"/>
  <c r="G133" i="62"/>
  <c r="D133" i="62"/>
  <c r="C133" i="62"/>
  <c r="E132" i="62"/>
  <c r="F132" i="62"/>
  <c r="G132" i="62"/>
  <c r="D132" i="62"/>
  <c r="C132" i="62"/>
  <c r="E131" i="62"/>
  <c r="F131" i="62"/>
  <c r="G131" i="62"/>
  <c r="D131" i="62"/>
  <c r="C131" i="62"/>
  <c r="E130" i="62"/>
  <c r="F130" i="62"/>
  <c r="G130" i="62"/>
  <c r="D130" i="62"/>
  <c r="C130" i="62"/>
  <c r="E129" i="62"/>
  <c r="F129" i="62"/>
  <c r="G129" i="62"/>
  <c r="D129" i="62"/>
  <c r="C129" i="62"/>
  <c r="E128" i="62"/>
  <c r="F128" i="62"/>
  <c r="G128" i="62"/>
  <c r="D128" i="62"/>
  <c r="C128" i="62"/>
  <c r="E127" i="62"/>
  <c r="F127" i="62"/>
  <c r="G127" i="62"/>
  <c r="D127" i="62"/>
  <c r="C127" i="62"/>
  <c r="E126" i="62"/>
  <c r="F126" i="62"/>
  <c r="G126" i="62"/>
  <c r="D126" i="62"/>
  <c r="C126" i="62"/>
  <c r="E125" i="62"/>
  <c r="F125" i="62"/>
  <c r="G125" i="62"/>
  <c r="D125" i="62"/>
  <c r="C125" i="62"/>
  <c r="E124" i="62"/>
  <c r="F124" i="62"/>
  <c r="G124" i="62"/>
  <c r="D124" i="62"/>
  <c r="C124" i="62"/>
  <c r="E123" i="62"/>
  <c r="F123" i="62"/>
  <c r="G123" i="62"/>
  <c r="D123" i="62"/>
  <c r="C123" i="62"/>
  <c r="E122" i="62"/>
  <c r="F122" i="62"/>
  <c r="G122" i="62"/>
  <c r="D122" i="62"/>
  <c r="C122" i="62"/>
  <c r="E121" i="62"/>
  <c r="F121" i="62"/>
  <c r="G121" i="62"/>
  <c r="D121" i="62"/>
  <c r="C121" i="62"/>
  <c r="E120" i="62"/>
  <c r="F120" i="62"/>
  <c r="G120" i="62"/>
  <c r="D120" i="62"/>
  <c r="C120" i="62"/>
  <c r="E119" i="62"/>
  <c r="F119" i="62"/>
  <c r="G119" i="62"/>
  <c r="D119" i="62"/>
  <c r="C119" i="62"/>
  <c r="E118" i="62"/>
  <c r="F118" i="62"/>
  <c r="G118" i="62"/>
  <c r="D118" i="62"/>
  <c r="C118" i="62"/>
  <c r="E117" i="62"/>
  <c r="F117" i="62"/>
  <c r="G117" i="62"/>
  <c r="D117" i="62"/>
  <c r="C117" i="62"/>
  <c r="E116" i="62"/>
  <c r="F116" i="62"/>
  <c r="G116" i="62"/>
  <c r="D116" i="62"/>
  <c r="C116" i="62"/>
  <c r="E115" i="62"/>
  <c r="F115" i="62"/>
  <c r="G115" i="62"/>
  <c r="D115" i="62"/>
  <c r="C115" i="62"/>
  <c r="E114" i="62"/>
  <c r="F114" i="62"/>
  <c r="G114" i="62"/>
  <c r="D114" i="62"/>
  <c r="C114" i="62"/>
  <c r="E113" i="62"/>
  <c r="F113" i="62"/>
  <c r="G113" i="62"/>
  <c r="D113" i="62"/>
  <c r="C113" i="62"/>
  <c r="E112" i="62"/>
  <c r="F112" i="62"/>
  <c r="G112" i="62"/>
  <c r="D112" i="62"/>
  <c r="C112" i="62"/>
  <c r="E111" i="62"/>
  <c r="F111" i="62"/>
  <c r="G111" i="62"/>
  <c r="D111" i="62"/>
  <c r="C111" i="62"/>
  <c r="E110" i="62"/>
  <c r="F110" i="62"/>
  <c r="G110" i="62"/>
  <c r="D110" i="62"/>
  <c r="C110" i="62"/>
  <c r="E109" i="62"/>
  <c r="F109" i="62"/>
  <c r="G109" i="62"/>
  <c r="D109" i="62"/>
  <c r="C109" i="62"/>
  <c r="E108" i="62"/>
  <c r="F108" i="62"/>
  <c r="G108" i="62"/>
  <c r="D108" i="62"/>
  <c r="C108" i="62"/>
  <c r="E107" i="62"/>
  <c r="F107" i="62"/>
  <c r="G107" i="62"/>
  <c r="D107" i="62"/>
  <c r="C107" i="62"/>
  <c r="E106" i="62"/>
  <c r="F106" i="62"/>
  <c r="G106" i="62"/>
  <c r="D106" i="62"/>
  <c r="C106" i="62"/>
  <c r="E105" i="62"/>
  <c r="F105" i="62"/>
  <c r="G105" i="62"/>
  <c r="D105" i="62"/>
  <c r="C105" i="62"/>
  <c r="E104" i="62"/>
  <c r="F104" i="62"/>
  <c r="G104" i="62"/>
  <c r="D104" i="62"/>
  <c r="C104" i="62"/>
  <c r="E103" i="62"/>
  <c r="F103" i="62"/>
  <c r="G103" i="62"/>
  <c r="D103" i="62"/>
  <c r="C103" i="62"/>
  <c r="E102" i="62"/>
  <c r="F102" i="62"/>
  <c r="G102" i="62"/>
  <c r="D102" i="62"/>
  <c r="C102" i="62"/>
  <c r="E101" i="62"/>
  <c r="F101" i="62"/>
  <c r="G101" i="62"/>
  <c r="D101" i="62"/>
  <c r="C101" i="62"/>
  <c r="E100" i="62"/>
  <c r="F100" i="62"/>
  <c r="G100" i="62"/>
  <c r="D100" i="62"/>
  <c r="C100" i="62"/>
  <c r="E99" i="62"/>
  <c r="F99" i="62"/>
  <c r="G99" i="62"/>
  <c r="D99" i="62"/>
  <c r="C99" i="62"/>
  <c r="E98" i="62"/>
  <c r="F98" i="62"/>
  <c r="G98" i="62"/>
  <c r="D98" i="62"/>
  <c r="C98" i="62"/>
  <c r="E97" i="62"/>
  <c r="F97" i="62"/>
  <c r="G97" i="62"/>
  <c r="D97" i="62"/>
  <c r="C97" i="62"/>
  <c r="E96" i="62"/>
  <c r="F96" i="62"/>
  <c r="G96" i="62"/>
  <c r="D96" i="62"/>
  <c r="C96" i="62"/>
  <c r="E95" i="62"/>
  <c r="F95" i="62"/>
  <c r="G95" i="62"/>
  <c r="D95" i="62"/>
  <c r="C95" i="62"/>
  <c r="E94" i="62"/>
  <c r="F94" i="62"/>
  <c r="G94" i="62"/>
  <c r="D94" i="62"/>
  <c r="C94" i="62"/>
  <c r="E93" i="62"/>
  <c r="F93" i="62"/>
  <c r="G93" i="62"/>
  <c r="D93" i="62"/>
  <c r="C93" i="62"/>
  <c r="E92" i="62"/>
  <c r="F92" i="62"/>
  <c r="G92" i="62"/>
  <c r="D92" i="62"/>
  <c r="C92" i="62"/>
  <c r="E91" i="62"/>
  <c r="F91" i="62"/>
  <c r="G91" i="62"/>
  <c r="D91" i="62"/>
  <c r="C91" i="62"/>
  <c r="E90" i="62"/>
  <c r="F90" i="62"/>
  <c r="G90" i="62"/>
  <c r="D90" i="62"/>
  <c r="C90" i="62"/>
  <c r="E89" i="62"/>
  <c r="F89" i="62"/>
  <c r="G89" i="62"/>
  <c r="D89" i="62"/>
  <c r="C89" i="62"/>
  <c r="E88" i="62"/>
  <c r="F88" i="62"/>
  <c r="G88" i="62"/>
  <c r="D88" i="62"/>
  <c r="C88" i="62"/>
  <c r="E87" i="62"/>
  <c r="F87" i="62"/>
  <c r="G87" i="62"/>
  <c r="D87" i="62"/>
  <c r="C87" i="62"/>
  <c r="E86" i="62"/>
  <c r="F86" i="62"/>
  <c r="G86" i="62"/>
  <c r="D86" i="62"/>
  <c r="C86" i="62"/>
  <c r="E85" i="62"/>
  <c r="F85" i="62"/>
  <c r="G85" i="62"/>
  <c r="D85" i="62"/>
  <c r="C85" i="62"/>
  <c r="E84" i="62"/>
  <c r="F84" i="62"/>
  <c r="G84" i="62"/>
  <c r="D84" i="62"/>
  <c r="C84" i="62"/>
  <c r="E83" i="62"/>
  <c r="F83" i="62"/>
  <c r="G83" i="62"/>
  <c r="D83" i="62"/>
  <c r="C83" i="62"/>
  <c r="E82" i="62"/>
  <c r="F82" i="62"/>
  <c r="G82" i="62"/>
  <c r="D82" i="62"/>
  <c r="C82" i="62"/>
  <c r="E81" i="62"/>
  <c r="F81" i="62"/>
  <c r="G81" i="62"/>
  <c r="D81" i="62"/>
  <c r="C81" i="62"/>
  <c r="E80" i="62"/>
  <c r="F80" i="62"/>
  <c r="G80" i="62"/>
  <c r="D80" i="62"/>
  <c r="C80" i="62"/>
  <c r="E79" i="62"/>
  <c r="F79" i="62"/>
  <c r="G79" i="62"/>
  <c r="D79" i="62"/>
  <c r="C79" i="62"/>
  <c r="E78" i="62"/>
  <c r="F78" i="62"/>
  <c r="G78" i="62"/>
  <c r="D78" i="62"/>
  <c r="C78" i="62"/>
  <c r="E77" i="62"/>
  <c r="F77" i="62"/>
  <c r="G77" i="62"/>
  <c r="D77" i="62"/>
  <c r="C77" i="62"/>
  <c r="E76" i="62"/>
  <c r="F76" i="62"/>
  <c r="G76" i="62"/>
  <c r="D76" i="62"/>
  <c r="C76" i="62"/>
  <c r="E75" i="62"/>
  <c r="F75" i="62"/>
  <c r="G75" i="62"/>
  <c r="D75" i="62"/>
  <c r="C75" i="62"/>
  <c r="E74" i="62"/>
  <c r="F74" i="62"/>
  <c r="G74" i="62"/>
  <c r="D74" i="62"/>
  <c r="C74" i="62"/>
  <c r="E73" i="62"/>
  <c r="F73" i="62"/>
  <c r="G73" i="62"/>
  <c r="D73" i="62"/>
  <c r="C73" i="62"/>
  <c r="E72" i="62"/>
  <c r="F72" i="62"/>
  <c r="G72" i="62"/>
  <c r="D72" i="62"/>
  <c r="C72" i="62"/>
  <c r="E71" i="62"/>
  <c r="F71" i="62"/>
  <c r="G71" i="62"/>
  <c r="D71" i="62"/>
  <c r="C71" i="62"/>
  <c r="E70" i="62"/>
  <c r="F70" i="62"/>
  <c r="G70" i="62"/>
  <c r="D70" i="62"/>
  <c r="C70" i="62"/>
  <c r="E69" i="62"/>
  <c r="F69" i="62"/>
  <c r="G69" i="62"/>
  <c r="D69" i="62"/>
  <c r="C69" i="62"/>
  <c r="E68" i="62"/>
  <c r="F68" i="62"/>
  <c r="G68" i="62"/>
  <c r="D68" i="62"/>
  <c r="C68" i="62"/>
  <c r="E67" i="62"/>
  <c r="F67" i="62"/>
  <c r="G67" i="62"/>
  <c r="D67" i="62"/>
  <c r="C67" i="62"/>
  <c r="E66" i="62"/>
  <c r="F66" i="62"/>
  <c r="G66" i="62"/>
  <c r="D66" i="62"/>
  <c r="C66" i="62"/>
  <c r="E65" i="62"/>
  <c r="F65" i="62"/>
  <c r="G65" i="62"/>
  <c r="D65" i="62"/>
  <c r="C65" i="62"/>
  <c r="E64" i="62"/>
  <c r="F64" i="62"/>
  <c r="G64" i="62"/>
  <c r="D64" i="62"/>
  <c r="C64" i="62"/>
  <c r="E63" i="62"/>
  <c r="F63" i="62"/>
  <c r="G63" i="62"/>
  <c r="D63" i="62"/>
  <c r="C63" i="62"/>
  <c r="E62" i="62"/>
  <c r="F62" i="62"/>
  <c r="G62" i="62"/>
  <c r="D62" i="62"/>
  <c r="C62" i="62"/>
  <c r="E61" i="62"/>
  <c r="F61" i="62"/>
  <c r="G61" i="62"/>
  <c r="D61" i="62"/>
  <c r="C61" i="62"/>
  <c r="E60" i="62"/>
  <c r="F60" i="62"/>
  <c r="G60" i="62"/>
  <c r="D60" i="62"/>
  <c r="C60" i="62"/>
  <c r="E59" i="62"/>
  <c r="F59" i="62"/>
  <c r="G59" i="62"/>
  <c r="D59" i="62"/>
  <c r="C59" i="62"/>
  <c r="E58" i="62"/>
  <c r="F58" i="62"/>
  <c r="G58" i="62"/>
  <c r="D58" i="62"/>
  <c r="C58" i="62"/>
  <c r="E57" i="62"/>
  <c r="F57" i="62"/>
  <c r="G57" i="62"/>
  <c r="D57" i="62"/>
  <c r="C57" i="62"/>
  <c r="E56" i="62"/>
  <c r="F56" i="62"/>
  <c r="G56" i="62"/>
  <c r="D56" i="62"/>
  <c r="C56" i="62"/>
  <c r="E55" i="62"/>
  <c r="F55" i="62"/>
  <c r="G55" i="62"/>
  <c r="D55" i="62"/>
  <c r="C55" i="62"/>
  <c r="E54" i="62"/>
  <c r="F54" i="62"/>
  <c r="G54" i="62"/>
  <c r="D54" i="62"/>
  <c r="C54" i="62"/>
  <c r="E53" i="62"/>
  <c r="F53" i="62"/>
  <c r="G53" i="62"/>
  <c r="D53" i="62"/>
  <c r="C53" i="62"/>
  <c r="E52" i="62"/>
  <c r="F52" i="62"/>
  <c r="G52" i="62"/>
  <c r="D52" i="62"/>
  <c r="C52" i="62"/>
  <c r="E51" i="62"/>
  <c r="F51" i="62"/>
  <c r="G51" i="62"/>
  <c r="D51" i="62"/>
  <c r="C51" i="62"/>
  <c r="E50" i="62"/>
  <c r="F50" i="62"/>
  <c r="G50" i="62"/>
  <c r="D50" i="62"/>
  <c r="C50" i="62"/>
  <c r="E49" i="62"/>
  <c r="F49" i="62"/>
  <c r="G49" i="62"/>
  <c r="D49" i="62"/>
  <c r="C49" i="62"/>
  <c r="E48" i="62"/>
  <c r="F48" i="62"/>
  <c r="G48" i="62"/>
  <c r="D48" i="62"/>
  <c r="C48" i="62"/>
  <c r="E47" i="62"/>
  <c r="F47" i="62"/>
  <c r="G47" i="62"/>
  <c r="D47" i="62"/>
  <c r="C47" i="62"/>
  <c r="E46" i="62"/>
  <c r="F46" i="62"/>
  <c r="G46" i="62"/>
  <c r="D46" i="62"/>
  <c r="C46" i="62"/>
  <c r="E45" i="62"/>
  <c r="F45" i="62"/>
  <c r="G45" i="62"/>
  <c r="D45" i="62"/>
  <c r="C45" i="62"/>
  <c r="E44" i="62"/>
  <c r="F44" i="62"/>
  <c r="G44" i="62"/>
  <c r="D44" i="62"/>
  <c r="C44" i="62"/>
  <c r="E43" i="62"/>
  <c r="F43" i="62"/>
  <c r="G43" i="62"/>
  <c r="D43" i="62"/>
  <c r="C43" i="62"/>
  <c r="E42" i="62"/>
  <c r="F42" i="62"/>
  <c r="G42" i="62"/>
  <c r="D42" i="62"/>
  <c r="C42" i="62"/>
  <c r="E41" i="62"/>
  <c r="F41" i="62"/>
  <c r="G41" i="62"/>
  <c r="D41" i="62"/>
  <c r="C41" i="62"/>
  <c r="E40" i="62"/>
  <c r="F40" i="62"/>
  <c r="G40" i="62"/>
  <c r="D40" i="62"/>
  <c r="C40" i="62"/>
  <c r="E39" i="62"/>
  <c r="F39" i="62"/>
  <c r="G39" i="62"/>
  <c r="D39" i="62"/>
  <c r="C39" i="62"/>
  <c r="E38" i="62"/>
  <c r="F38" i="62"/>
  <c r="G38" i="62"/>
  <c r="D38" i="62"/>
  <c r="C38" i="62"/>
  <c r="E37" i="62"/>
  <c r="F37" i="62"/>
  <c r="G37" i="62"/>
  <c r="D37" i="62"/>
  <c r="C37" i="62"/>
  <c r="E36" i="62"/>
  <c r="F36" i="62"/>
  <c r="G36" i="62"/>
  <c r="D36" i="62"/>
  <c r="C36" i="62"/>
  <c r="E35" i="62"/>
  <c r="F35" i="62"/>
  <c r="G35" i="62"/>
  <c r="D35" i="62"/>
  <c r="C35" i="62"/>
  <c r="E34" i="62"/>
  <c r="F34" i="62"/>
  <c r="G34" i="62"/>
  <c r="D34" i="62"/>
  <c r="C34" i="62"/>
  <c r="E33" i="62"/>
  <c r="F33" i="62"/>
  <c r="G33" i="62"/>
  <c r="D33" i="62"/>
  <c r="C33" i="62"/>
  <c r="E32" i="62"/>
  <c r="F32" i="62"/>
  <c r="G32" i="62"/>
  <c r="D32" i="62"/>
  <c r="C32" i="62"/>
  <c r="E31" i="62"/>
  <c r="F31" i="62"/>
  <c r="G31" i="62"/>
  <c r="D31" i="62"/>
  <c r="C31" i="62"/>
  <c r="E30" i="62"/>
  <c r="F30" i="62"/>
  <c r="G30" i="62"/>
  <c r="D30" i="62"/>
  <c r="C30" i="62"/>
  <c r="E29" i="62"/>
  <c r="F29" i="62"/>
  <c r="G29" i="62"/>
  <c r="D29" i="62"/>
  <c r="C29" i="62"/>
  <c r="E28" i="62"/>
  <c r="F28" i="62"/>
  <c r="G28" i="62"/>
  <c r="D28" i="62"/>
  <c r="C28" i="62"/>
  <c r="E27" i="62"/>
  <c r="F27" i="62"/>
  <c r="G27" i="62"/>
  <c r="D27" i="62"/>
  <c r="C27" i="62"/>
  <c r="E26" i="62"/>
  <c r="F26" i="62"/>
  <c r="G26" i="62"/>
  <c r="D26" i="62"/>
  <c r="C26" i="62"/>
  <c r="E25" i="62"/>
  <c r="F25" i="62"/>
  <c r="G25" i="62"/>
  <c r="D25" i="62"/>
  <c r="C25" i="62"/>
  <c r="E24" i="62"/>
  <c r="F24" i="62"/>
  <c r="G24" i="62"/>
  <c r="D24" i="62"/>
  <c r="C24" i="62"/>
  <c r="E23" i="62"/>
  <c r="F23" i="62"/>
  <c r="G23" i="62"/>
  <c r="D23" i="62"/>
  <c r="C23" i="62"/>
  <c r="C19" i="62"/>
  <c r="C20" i="62"/>
  <c r="C21" i="62"/>
  <c r="C22" i="62"/>
  <c r="D19" i="62"/>
  <c r="D20" i="62"/>
  <c r="D21" i="62"/>
  <c r="D22" i="62"/>
  <c r="O17" i="62"/>
  <c r="E19" i="62"/>
  <c r="F19" i="62"/>
  <c r="G19" i="62"/>
  <c r="E20" i="62"/>
  <c r="F20" i="62"/>
  <c r="G20" i="62"/>
  <c r="E21" i="62"/>
  <c r="F21" i="62"/>
  <c r="G21" i="62"/>
  <c r="E22" i="62"/>
  <c r="F22" i="62"/>
  <c r="G22" i="62"/>
  <c r="O18" i="62"/>
  <c r="O19" i="62"/>
  <c r="M22" i="62"/>
  <c r="C17" i="61"/>
  <c r="D31" i="61"/>
  <c r="D54" i="61"/>
  <c r="I54" i="61"/>
  <c r="J54" i="61"/>
  <c r="J60" i="61"/>
  <c r="K60" i="61"/>
  <c r="K61" i="61"/>
  <c r="B48" i="61"/>
  <c r="B47" i="61"/>
  <c r="B46" i="61"/>
  <c r="B45" i="61"/>
  <c r="I31" i="61"/>
  <c r="G17" i="61"/>
  <c r="H17" i="61"/>
  <c r="B9" i="61"/>
  <c r="B10" i="61"/>
  <c r="B11" i="61"/>
  <c r="B12" i="61"/>
  <c r="J31" i="61"/>
  <c r="J37" i="61"/>
  <c r="K37" i="61"/>
  <c r="K38" i="61"/>
  <c r="I17" i="61"/>
  <c r="I23" i="61"/>
  <c r="J24" i="61"/>
  <c r="D16" i="60"/>
  <c r="D17" i="60"/>
  <c r="D18" i="60"/>
  <c r="D19" i="60"/>
  <c r="D15" i="60"/>
  <c r="F16" i="60"/>
  <c r="F17" i="60"/>
  <c r="F18" i="60"/>
  <c r="F19" i="60"/>
  <c r="F15" i="60"/>
  <c r="C16" i="60"/>
  <c r="C17" i="60"/>
  <c r="C18" i="60"/>
  <c r="C19" i="60"/>
  <c r="C15" i="60"/>
  <c r="C6" i="60"/>
  <c r="D6" i="60"/>
  <c r="B7" i="60"/>
  <c r="C7" i="60"/>
  <c r="D7" i="60"/>
  <c r="B8" i="60"/>
  <c r="C8" i="60"/>
  <c r="D8" i="60"/>
  <c r="B9" i="60"/>
  <c r="C9" i="60"/>
  <c r="D9" i="60"/>
  <c r="B10" i="60"/>
  <c r="C10" i="60"/>
  <c r="D10" i="60"/>
  <c r="E7" i="60"/>
  <c r="E8" i="60"/>
  <c r="E9" i="60"/>
  <c r="E10" i="60"/>
  <c r="E6" i="60"/>
  <c r="I16" i="60"/>
  <c r="I17" i="60"/>
  <c r="I18" i="60"/>
  <c r="I19" i="60"/>
  <c r="E19" i="60"/>
  <c r="G19" i="60"/>
  <c r="H19" i="60"/>
  <c r="E18" i="60"/>
  <c r="G18" i="60"/>
  <c r="H18" i="60"/>
  <c r="E17" i="60"/>
  <c r="G17" i="60"/>
  <c r="H17" i="60"/>
  <c r="E16" i="60"/>
  <c r="G16" i="60"/>
  <c r="H16" i="60"/>
  <c r="E15" i="60"/>
  <c r="G15" i="60"/>
  <c r="H15" i="60"/>
  <c r="C7" i="58"/>
  <c r="E7" i="58"/>
  <c r="C8" i="58"/>
  <c r="E8" i="58"/>
  <c r="C9" i="58"/>
  <c r="E9" i="58"/>
  <c r="C10" i="58"/>
  <c r="E10" i="58"/>
  <c r="C11" i="58"/>
  <c r="E11" i="58"/>
  <c r="C12" i="58"/>
  <c r="E12" i="58"/>
  <c r="C13" i="58"/>
  <c r="E13" i="58"/>
  <c r="C14" i="58"/>
  <c r="E14" i="58"/>
  <c r="C15" i="58"/>
  <c r="E15" i="58"/>
  <c r="C16" i="58"/>
  <c r="E16" i="58"/>
  <c r="C17" i="58"/>
  <c r="E17" i="58"/>
  <c r="C18" i="58"/>
  <c r="E18" i="58"/>
  <c r="C19" i="58"/>
  <c r="E19" i="58"/>
  <c r="C20" i="58"/>
  <c r="E20" i="58"/>
  <c r="C21" i="58"/>
  <c r="E21" i="58"/>
  <c r="C22" i="58"/>
  <c r="E22" i="58"/>
  <c r="C23" i="58"/>
  <c r="E23" i="58"/>
  <c r="C24" i="58"/>
  <c r="E24" i="58"/>
  <c r="C25" i="58"/>
  <c r="E25" i="58"/>
  <c r="C26" i="58"/>
  <c r="E26" i="58"/>
  <c r="C27" i="58"/>
  <c r="E27" i="58"/>
  <c r="C28" i="58"/>
  <c r="E28" i="58"/>
  <c r="C29" i="58"/>
  <c r="E29" i="58"/>
  <c r="C30" i="58"/>
  <c r="E30" i="58"/>
  <c r="C31" i="58"/>
  <c r="E31" i="58"/>
  <c r="C32" i="58"/>
  <c r="E32" i="58"/>
  <c r="C33" i="58"/>
  <c r="E33" i="58"/>
  <c r="C34" i="58"/>
  <c r="E34" i="58"/>
  <c r="C35" i="58"/>
  <c r="E35" i="58"/>
  <c r="C36" i="58"/>
  <c r="E36" i="58"/>
  <c r="C37" i="58"/>
  <c r="E37" i="58"/>
  <c r="C38" i="58"/>
  <c r="E38" i="58"/>
  <c r="C39" i="58"/>
  <c r="E39" i="58"/>
  <c r="C40" i="58"/>
  <c r="E40" i="58"/>
  <c r="C41" i="58"/>
  <c r="E41" i="58"/>
  <c r="C42" i="58"/>
  <c r="E42" i="58"/>
  <c r="C43" i="58"/>
  <c r="E43" i="58"/>
  <c r="C44" i="58"/>
  <c r="E44" i="58"/>
  <c r="C45" i="58"/>
  <c r="E45" i="58"/>
  <c r="C46" i="58"/>
  <c r="E46" i="58"/>
  <c r="C47" i="58"/>
  <c r="E47" i="58"/>
  <c r="C48" i="58"/>
  <c r="E48" i="58"/>
  <c r="C49" i="58"/>
  <c r="E49" i="58"/>
  <c r="C50" i="58"/>
  <c r="E50" i="58"/>
  <c r="C51" i="58"/>
  <c r="E51" i="58"/>
  <c r="C52" i="58"/>
  <c r="E52" i="58"/>
  <c r="C53" i="58"/>
  <c r="E53" i="58"/>
  <c r="C54" i="58"/>
  <c r="E54" i="58"/>
  <c r="C55" i="58"/>
  <c r="E55" i="58"/>
  <c r="C56" i="58"/>
  <c r="E56" i="58"/>
  <c r="C57" i="58"/>
  <c r="E57" i="58"/>
  <c r="C58" i="58"/>
  <c r="E58" i="58"/>
  <c r="C59" i="58"/>
  <c r="E59" i="58"/>
  <c r="C60" i="58"/>
  <c r="E60" i="58"/>
  <c r="C61" i="58"/>
  <c r="E61" i="58"/>
  <c r="C62" i="58"/>
  <c r="E62" i="58"/>
  <c r="C63" i="58"/>
  <c r="E63" i="58"/>
  <c r="C64" i="58"/>
  <c r="E64" i="58"/>
  <c r="C65" i="58"/>
  <c r="E65" i="58"/>
  <c r="C66" i="58"/>
  <c r="E66" i="58"/>
  <c r="C67" i="58"/>
  <c r="E67" i="58"/>
  <c r="C68" i="58"/>
  <c r="E68" i="58"/>
  <c r="C69" i="58"/>
  <c r="E69" i="58"/>
  <c r="C70" i="58"/>
  <c r="E70" i="58"/>
  <c r="C71" i="58"/>
  <c r="E71" i="58"/>
  <c r="C72" i="58"/>
  <c r="E72" i="58"/>
  <c r="C73" i="58"/>
  <c r="E73" i="58"/>
  <c r="C74" i="58"/>
  <c r="E74" i="58"/>
  <c r="C75" i="58"/>
  <c r="E75" i="58"/>
  <c r="C76" i="58"/>
  <c r="E76" i="58"/>
  <c r="C77" i="58"/>
  <c r="E77" i="58"/>
  <c r="C78" i="58"/>
  <c r="E78" i="58"/>
  <c r="C79" i="58"/>
  <c r="E79" i="58"/>
  <c r="C80" i="58"/>
  <c r="E80" i="58"/>
  <c r="C81" i="58"/>
  <c r="E81" i="58"/>
  <c r="C82" i="58"/>
  <c r="E82" i="58"/>
  <c r="C83" i="58"/>
  <c r="E83" i="58"/>
  <c r="C84" i="58"/>
  <c r="E84" i="58"/>
  <c r="C85" i="58"/>
  <c r="E85" i="58"/>
  <c r="C86" i="58"/>
  <c r="E86" i="58"/>
  <c r="C87" i="58"/>
  <c r="E87" i="58"/>
  <c r="C88" i="58"/>
  <c r="E88" i="58"/>
  <c r="C89" i="58"/>
  <c r="E89" i="58"/>
  <c r="C90" i="58"/>
  <c r="E90" i="58"/>
  <c r="C91" i="58"/>
  <c r="E91" i="58"/>
  <c r="C92" i="58"/>
  <c r="E92" i="58"/>
  <c r="C93" i="58"/>
  <c r="E93" i="58"/>
  <c r="C94" i="58"/>
  <c r="E94" i="58"/>
  <c r="C95" i="58"/>
  <c r="E95" i="58"/>
  <c r="C96" i="58"/>
  <c r="E96" i="58"/>
  <c r="C97" i="58"/>
  <c r="E97" i="58"/>
  <c r="C98" i="58"/>
  <c r="E98" i="58"/>
  <c r="C99" i="58"/>
  <c r="E99" i="58"/>
  <c r="C100" i="58"/>
  <c r="E100" i="58"/>
  <c r="C101" i="58"/>
  <c r="E101" i="58"/>
  <c r="C102" i="58"/>
  <c r="E102" i="58"/>
  <c r="C103" i="58"/>
  <c r="E103" i="58"/>
  <c r="C104" i="58"/>
  <c r="E104" i="58"/>
  <c r="C105" i="58"/>
  <c r="E105" i="58"/>
  <c r="C106" i="58"/>
  <c r="E106" i="58"/>
  <c r="I10" i="58"/>
  <c r="D7" i="58"/>
  <c r="D8" i="58"/>
  <c r="D9" i="58"/>
  <c r="D10" i="58"/>
  <c r="D11" i="58"/>
  <c r="D12" i="58"/>
  <c r="D13" i="58"/>
  <c r="D14" i="58"/>
  <c r="D15" i="58"/>
  <c r="D16" i="58"/>
  <c r="D17" i="58"/>
  <c r="D18" i="58"/>
  <c r="D19" i="58"/>
  <c r="D20" i="58"/>
  <c r="D21" i="58"/>
  <c r="D22" i="58"/>
  <c r="D23" i="58"/>
  <c r="D24" i="58"/>
  <c r="D25" i="58"/>
  <c r="D26" i="58"/>
  <c r="D27" i="58"/>
  <c r="D28" i="58"/>
  <c r="D29" i="58"/>
  <c r="D30" i="58"/>
  <c r="D31" i="58"/>
  <c r="D32" i="58"/>
  <c r="D33" i="58"/>
  <c r="D34" i="58"/>
  <c r="D35" i="58"/>
  <c r="D36" i="58"/>
  <c r="D37" i="58"/>
  <c r="D38" i="58"/>
  <c r="D39" i="58"/>
  <c r="D40" i="58"/>
  <c r="D41" i="58"/>
  <c r="D42" i="58"/>
  <c r="D43" i="58"/>
  <c r="D44" i="58"/>
  <c r="D45" i="58"/>
  <c r="D46" i="58"/>
  <c r="D47" i="58"/>
  <c r="D48" i="58"/>
  <c r="D49" i="58"/>
  <c r="D50" i="58"/>
  <c r="D51" i="58"/>
  <c r="D52" i="58"/>
  <c r="D53" i="58"/>
  <c r="D54" i="58"/>
  <c r="D55" i="58"/>
  <c r="D56" i="58"/>
  <c r="D57" i="58"/>
  <c r="D58" i="58"/>
  <c r="D59" i="58"/>
  <c r="D60" i="58"/>
  <c r="D61" i="58"/>
  <c r="D62" i="58"/>
  <c r="D63" i="58"/>
  <c r="D64" i="58"/>
  <c r="D65" i="58"/>
  <c r="D66" i="58"/>
  <c r="D67" i="58"/>
  <c r="D68" i="58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84" i="58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100" i="58"/>
  <c r="D101" i="58"/>
  <c r="D102" i="58"/>
  <c r="D103" i="58"/>
  <c r="D104" i="58"/>
  <c r="D105" i="58"/>
  <c r="D106" i="58"/>
  <c r="I7" i="58"/>
  <c r="I12" i="58"/>
  <c r="I11" i="58"/>
  <c r="I9" i="58"/>
  <c r="I8" i="58"/>
  <c r="F5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A104" i="57"/>
  <c r="A105" i="57"/>
  <c r="A106" i="57"/>
  <c r="A107" i="57"/>
  <c r="A108" i="57"/>
  <c r="A109" i="57"/>
  <c r="A110" i="57"/>
  <c r="A111" i="57"/>
  <c r="A112" i="57"/>
  <c r="A113" i="57"/>
  <c r="A114" i="57"/>
  <c r="A115" i="57"/>
  <c r="A116" i="57"/>
  <c r="A117" i="57"/>
  <c r="A118" i="57"/>
  <c r="A119" i="57"/>
  <c r="A120" i="57"/>
  <c r="A121" i="57"/>
  <c r="D121" i="57"/>
  <c r="J121" i="57"/>
  <c r="C121" i="57"/>
  <c r="I121" i="57"/>
  <c r="B121" i="57"/>
  <c r="H121" i="57"/>
  <c r="D11" i="57"/>
  <c r="G12" i="57"/>
  <c r="A12" i="57"/>
  <c r="D12" i="57"/>
  <c r="G13" i="57"/>
  <c r="A13" i="57"/>
  <c r="D13" i="57"/>
  <c r="G14" i="57"/>
  <c r="A14" i="57"/>
  <c r="D14" i="57"/>
  <c r="G15" i="57"/>
  <c r="A15" i="57"/>
  <c r="D15" i="57"/>
  <c r="G16" i="57"/>
  <c r="A16" i="57"/>
  <c r="D16" i="57"/>
  <c r="G17" i="57"/>
  <c r="A17" i="57"/>
  <c r="D17" i="57"/>
  <c r="G18" i="57"/>
  <c r="A18" i="57"/>
  <c r="D18" i="57"/>
  <c r="G19" i="57"/>
  <c r="A19" i="57"/>
  <c r="D19" i="57"/>
  <c r="G20" i="57"/>
  <c r="A20" i="57"/>
  <c r="D20" i="57"/>
  <c r="G21" i="57"/>
  <c r="A21" i="57"/>
  <c r="D21" i="57"/>
  <c r="G22" i="57"/>
  <c r="A22" i="57"/>
  <c r="D22" i="57"/>
  <c r="G23" i="57"/>
  <c r="A23" i="57"/>
  <c r="D23" i="57"/>
  <c r="G24" i="57"/>
  <c r="A24" i="57"/>
  <c r="D24" i="57"/>
  <c r="G25" i="57"/>
  <c r="A25" i="57"/>
  <c r="D25" i="57"/>
  <c r="G26" i="57"/>
  <c r="A26" i="57"/>
  <c r="D26" i="57"/>
  <c r="G27" i="57"/>
  <c r="A27" i="57"/>
  <c r="D27" i="57"/>
  <c r="G28" i="57"/>
  <c r="A28" i="57"/>
  <c r="D28" i="57"/>
  <c r="G29" i="57"/>
  <c r="A29" i="57"/>
  <c r="D29" i="57"/>
  <c r="G30" i="57"/>
  <c r="D30" i="57"/>
  <c r="G31" i="57"/>
  <c r="D31" i="57"/>
  <c r="G32" i="57"/>
  <c r="D32" i="57"/>
  <c r="G33" i="57"/>
  <c r="D33" i="57"/>
  <c r="G34" i="57"/>
  <c r="D34" i="57"/>
  <c r="G35" i="57"/>
  <c r="D35" i="57"/>
  <c r="G36" i="57"/>
  <c r="D36" i="57"/>
  <c r="G37" i="57"/>
  <c r="D37" i="57"/>
  <c r="G38" i="57"/>
  <c r="D38" i="57"/>
  <c r="G39" i="57"/>
  <c r="D39" i="57"/>
  <c r="G40" i="57"/>
  <c r="D40" i="57"/>
  <c r="G41" i="57"/>
  <c r="D41" i="57"/>
  <c r="G42" i="57"/>
  <c r="D42" i="57"/>
  <c r="G43" i="57"/>
  <c r="D43" i="57"/>
  <c r="G44" i="57"/>
  <c r="D44" i="57"/>
  <c r="G45" i="57"/>
  <c r="D45" i="57"/>
  <c r="G46" i="57"/>
  <c r="D46" i="57"/>
  <c r="G47" i="57"/>
  <c r="D47" i="57"/>
  <c r="G48" i="57"/>
  <c r="D48" i="57"/>
  <c r="G49" i="57"/>
  <c r="D49" i="57"/>
  <c r="G50" i="57"/>
  <c r="D50" i="57"/>
  <c r="G51" i="57"/>
  <c r="D51" i="57"/>
  <c r="G52" i="57"/>
  <c r="D52" i="57"/>
  <c r="G53" i="57"/>
  <c r="D53" i="57"/>
  <c r="G54" i="57"/>
  <c r="D54" i="57"/>
  <c r="G55" i="57"/>
  <c r="D55" i="57"/>
  <c r="G56" i="57"/>
  <c r="D56" i="57"/>
  <c r="G57" i="57"/>
  <c r="D57" i="57"/>
  <c r="G58" i="57"/>
  <c r="D58" i="57"/>
  <c r="G59" i="57"/>
  <c r="D59" i="57"/>
  <c r="G60" i="57"/>
  <c r="D60" i="57"/>
  <c r="G61" i="57"/>
  <c r="D61" i="57"/>
  <c r="G62" i="57"/>
  <c r="D62" i="57"/>
  <c r="G63" i="57"/>
  <c r="D63" i="57"/>
  <c r="G64" i="57"/>
  <c r="D64" i="57"/>
  <c r="G65" i="57"/>
  <c r="D65" i="57"/>
  <c r="G66" i="57"/>
  <c r="D66" i="57"/>
  <c r="G67" i="57"/>
  <c r="D67" i="57"/>
  <c r="G68" i="57"/>
  <c r="D68" i="57"/>
  <c r="G69" i="57"/>
  <c r="D69" i="57"/>
  <c r="G70" i="57"/>
  <c r="D70" i="57"/>
  <c r="G71" i="57"/>
  <c r="D71" i="57"/>
  <c r="G72" i="57"/>
  <c r="D72" i="57"/>
  <c r="G73" i="57"/>
  <c r="D73" i="57"/>
  <c r="G74" i="57"/>
  <c r="D74" i="57"/>
  <c r="G75" i="57"/>
  <c r="D75" i="57"/>
  <c r="G76" i="57"/>
  <c r="D76" i="57"/>
  <c r="G77" i="57"/>
  <c r="D77" i="57"/>
  <c r="G78" i="57"/>
  <c r="D78" i="57"/>
  <c r="G79" i="57"/>
  <c r="D79" i="57"/>
  <c r="G80" i="57"/>
  <c r="D80" i="57"/>
  <c r="G81" i="57"/>
  <c r="D81" i="57"/>
  <c r="G82" i="57"/>
  <c r="D82" i="57"/>
  <c r="G83" i="57"/>
  <c r="D83" i="57"/>
  <c r="G84" i="57"/>
  <c r="D84" i="57"/>
  <c r="G85" i="57"/>
  <c r="D85" i="57"/>
  <c r="G86" i="57"/>
  <c r="D86" i="57"/>
  <c r="G87" i="57"/>
  <c r="D87" i="57"/>
  <c r="G88" i="57"/>
  <c r="D88" i="57"/>
  <c r="G89" i="57"/>
  <c r="D89" i="57"/>
  <c r="G90" i="57"/>
  <c r="D90" i="57"/>
  <c r="G91" i="57"/>
  <c r="D91" i="57"/>
  <c r="G92" i="57"/>
  <c r="D92" i="57"/>
  <c r="G93" i="57"/>
  <c r="D93" i="57"/>
  <c r="G94" i="57"/>
  <c r="D94" i="57"/>
  <c r="G95" i="57"/>
  <c r="D95" i="57"/>
  <c r="G96" i="57"/>
  <c r="D96" i="57"/>
  <c r="G97" i="57"/>
  <c r="D97" i="57"/>
  <c r="G98" i="57"/>
  <c r="D98" i="57"/>
  <c r="G99" i="57"/>
  <c r="D99" i="57"/>
  <c r="G100" i="57"/>
  <c r="D100" i="57"/>
  <c r="G101" i="57"/>
  <c r="D101" i="57"/>
  <c r="G102" i="57"/>
  <c r="D102" i="57"/>
  <c r="G103" i="57"/>
  <c r="D103" i="57"/>
  <c r="G104" i="57"/>
  <c r="D104" i="57"/>
  <c r="G105" i="57"/>
  <c r="D105" i="57"/>
  <c r="G106" i="57"/>
  <c r="D106" i="57"/>
  <c r="G107" i="57"/>
  <c r="D107" i="57"/>
  <c r="G108" i="57"/>
  <c r="D108" i="57"/>
  <c r="G109" i="57"/>
  <c r="D109" i="57"/>
  <c r="G110" i="57"/>
  <c r="D110" i="57"/>
  <c r="G111" i="57"/>
  <c r="D111" i="57"/>
  <c r="G112" i="57"/>
  <c r="D112" i="57"/>
  <c r="G113" i="57"/>
  <c r="D113" i="57"/>
  <c r="G114" i="57"/>
  <c r="D114" i="57"/>
  <c r="G115" i="57"/>
  <c r="D115" i="57"/>
  <c r="G116" i="57"/>
  <c r="D116" i="57"/>
  <c r="G117" i="57"/>
  <c r="D117" i="57"/>
  <c r="G118" i="57"/>
  <c r="D118" i="57"/>
  <c r="G119" i="57"/>
  <c r="D119" i="57"/>
  <c r="G120" i="57"/>
  <c r="D120" i="57"/>
  <c r="G121" i="57"/>
  <c r="F121" i="57"/>
  <c r="E121" i="57"/>
  <c r="J120" i="57"/>
  <c r="C120" i="57"/>
  <c r="I120" i="57"/>
  <c r="B120" i="57"/>
  <c r="H120" i="57"/>
  <c r="F120" i="57"/>
  <c r="E120" i="57"/>
  <c r="J119" i="57"/>
  <c r="C119" i="57"/>
  <c r="I119" i="57"/>
  <c r="B119" i="57"/>
  <c r="H119" i="57"/>
  <c r="F119" i="57"/>
  <c r="E119" i="57"/>
  <c r="J118" i="57"/>
  <c r="C118" i="57"/>
  <c r="I118" i="57"/>
  <c r="B118" i="57"/>
  <c r="H118" i="57"/>
  <c r="F118" i="57"/>
  <c r="E118" i="57"/>
  <c r="J117" i="57"/>
  <c r="C117" i="57"/>
  <c r="I117" i="57"/>
  <c r="B117" i="57"/>
  <c r="H117" i="57"/>
  <c r="F117" i="57"/>
  <c r="E117" i="57"/>
  <c r="J116" i="57"/>
  <c r="C116" i="57"/>
  <c r="I116" i="57"/>
  <c r="B116" i="57"/>
  <c r="H116" i="57"/>
  <c r="F116" i="57"/>
  <c r="E116" i="57"/>
  <c r="J115" i="57"/>
  <c r="C115" i="57"/>
  <c r="I115" i="57"/>
  <c r="B115" i="57"/>
  <c r="H115" i="57"/>
  <c r="F115" i="57"/>
  <c r="E115" i="57"/>
  <c r="J114" i="57"/>
  <c r="C114" i="57"/>
  <c r="I114" i="57"/>
  <c r="B114" i="57"/>
  <c r="H114" i="57"/>
  <c r="F114" i="57"/>
  <c r="E114" i="57"/>
  <c r="J113" i="57"/>
  <c r="C113" i="57"/>
  <c r="I113" i="57"/>
  <c r="B113" i="57"/>
  <c r="H113" i="57"/>
  <c r="F113" i="57"/>
  <c r="E113" i="57"/>
  <c r="J112" i="57"/>
  <c r="C112" i="57"/>
  <c r="I112" i="57"/>
  <c r="B112" i="57"/>
  <c r="H112" i="57"/>
  <c r="F112" i="57"/>
  <c r="E112" i="57"/>
  <c r="J111" i="57"/>
  <c r="X111" i="57"/>
  <c r="C111" i="57"/>
  <c r="I111" i="57"/>
  <c r="W111" i="57"/>
  <c r="B111" i="57"/>
  <c r="H111" i="57"/>
  <c r="V111" i="57"/>
  <c r="F6" i="57"/>
  <c r="Q111" i="57"/>
  <c r="E111" i="57"/>
  <c r="M111" i="57"/>
  <c r="U111" i="57"/>
  <c r="K111" i="57"/>
  <c r="T111" i="57"/>
  <c r="S111" i="57"/>
  <c r="R111" i="57"/>
  <c r="O111" i="57"/>
  <c r="P111" i="57"/>
  <c r="N111" i="57"/>
  <c r="L111" i="57"/>
  <c r="F111" i="57"/>
  <c r="J110" i="57"/>
  <c r="X110" i="57"/>
  <c r="C110" i="57"/>
  <c r="I110" i="57"/>
  <c r="W110" i="57"/>
  <c r="B110" i="57"/>
  <c r="H110" i="57"/>
  <c r="V110" i="57"/>
  <c r="Q110" i="57"/>
  <c r="E110" i="57"/>
  <c r="M110" i="57"/>
  <c r="U110" i="57"/>
  <c r="K110" i="57"/>
  <c r="T110" i="57"/>
  <c r="S110" i="57"/>
  <c r="R110" i="57"/>
  <c r="O110" i="57"/>
  <c r="P110" i="57"/>
  <c r="N110" i="57"/>
  <c r="L110" i="57"/>
  <c r="F110" i="57"/>
  <c r="J109" i="57"/>
  <c r="X109" i="57"/>
  <c r="C109" i="57"/>
  <c r="I109" i="57"/>
  <c r="W109" i="57"/>
  <c r="B109" i="57"/>
  <c r="H109" i="57"/>
  <c r="V109" i="57"/>
  <c r="Q109" i="57"/>
  <c r="E109" i="57"/>
  <c r="M109" i="57"/>
  <c r="U109" i="57"/>
  <c r="K109" i="57"/>
  <c r="T109" i="57"/>
  <c r="S109" i="57"/>
  <c r="R109" i="57"/>
  <c r="O109" i="57"/>
  <c r="P109" i="57"/>
  <c r="N109" i="57"/>
  <c r="L109" i="57"/>
  <c r="F109" i="57"/>
  <c r="J108" i="57"/>
  <c r="X108" i="57"/>
  <c r="C108" i="57"/>
  <c r="I108" i="57"/>
  <c r="W108" i="57"/>
  <c r="B108" i="57"/>
  <c r="H108" i="57"/>
  <c r="V108" i="57"/>
  <c r="Q108" i="57"/>
  <c r="E108" i="57"/>
  <c r="M108" i="57"/>
  <c r="U108" i="57"/>
  <c r="K108" i="57"/>
  <c r="T108" i="57"/>
  <c r="S108" i="57"/>
  <c r="R108" i="57"/>
  <c r="O108" i="57"/>
  <c r="P108" i="57"/>
  <c r="N108" i="57"/>
  <c r="L108" i="57"/>
  <c r="F108" i="57"/>
  <c r="J107" i="57"/>
  <c r="X107" i="57"/>
  <c r="C107" i="57"/>
  <c r="I107" i="57"/>
  <c r="W107" i="57"/>
  <c r="B107" i="57"/>
  <c r="H107" i="57"/>
  <c r="V107" i="57"/>
  <c r="Q107" i="57"/>
  <c r="E107" i="57"/>
  <c r="M107" i="57"/>
  <c r="U107" i="57"/>
  <c r="K107" i="57"/>
  <c r="T107" i="57"/>
  <c r="S107" i="57"/>
  <c r="R107" i="57"/>
  <c r="O107" i="57"/>
  <c r="P107" i="57"/>
  <c r="N107" i="57"/>
  <c r="L107" i="57"/>
  <c r="F107" i="57"/>
  <c r="J106" i="57"/>
  <c r="X106" i="57"/>
  <c r="C106" i="57"/>
  <c r="I106" i="57"/>
  <c r="W106" i="57"/>
  <c r="B106" i="57"/>
  <c r="H106" i="57"/>
  <c r="V106" i="57"/>
  <c r="Q106" i="57"/>
  <c r="E106" i="57"/>
  <c r="M106" i="57"/>
  <c r="U106" i="57"/>
  <c r="K106" i="57"/>
  <c r="T106" i="57"/>
  <c r="S106" i="57"/>
  <c r="R106" i="57"/>
  <c r="O106" i="57"/>
  <c r="P106" i="57"/>
  <c r="N106" i="57"/>
  <c r="L106" i="57"/>
  <c r="F106" i="57"/>
  <c r="J105" i="57"/>
  <c r="X105" i="57"/>
  <c r="C105" i="57"/>
  <c r="I105" i="57"/>
  <c r="W105" i="57"/>
  <c r="B105" i="57"/>
  <c r="H105" i="57"/>
  <c r="V105" i="57"/>
  <c r="Q105" i="57"/>
  <c r="E105" i="57"/>
  <c r="M105" i="57"/>
  <c r="U105" i="57"/>
  <c r="K105" i="57"/>
  <c r="T105" i="57"/>
  <c r="S105" i="57"/>
  <c r="R105" i="57"/>
  <c r="O105" i="57"/>
  <c r="P105" i="57"/>
  <c r="N105" i="57"/>
  <c r="L105" i="57"/>
  <c r="F105" i="57"/>
  <c r="J104" i="57"/>
  <c r="X104" i="57"/>
  <c r="C104" i="57"/>
  <c r="I104" i="57"/>
  <c r="W104" i="57"/>
  <c r="B104" i="57"/>
  <c r="H104" i="57"/>
  <c r="V104" i="57"/>
  <c r="Q104" i="57"/>
  <c r="E104" i="57"/>
  <c r="M104" i="57"/>
  <c r="U104" i="57"/>
  <c r="K104" i="57"/>
  <c r="T104" i="57"/>
  <c r="S104" i="57"/>
  <c r="R104" i="57"/>
  <c r="O104" i="57"/>
  <c r="P104" i="57"/>
  <c r="N104" i="57"/>
  <c r="L104" i="57"/>
  <c r="F104" i="57"/>
  <c r="J103" i="57"/>
  <c r="X103" i="57"/>
  <c r="C103" i="57"/>
  <c r="I103" i="57"/>
  <c r="W103" i="57"/>
  <c r="B103" i="57"/>
  <c r="H103" i="57"/>
  <c r="V103" i="57"/>
  <c r="Q103" i="57"/>
  <c r="E103" i="57"/>
  <c r="M103" i="57"/>
  <c r="U103" i="57"/>
  <c r="K103" i="57"/>
  <c r="T103" i="57"/>
  <c r="S103" i="57"/>
  <c r="R103" i="57"/>
  <c r="O103" i="57"/>
  <c r="P103" i="57"/>
  <c r="N103" i="57"/>
  <c r="L103" i="57"/>
  <c r="F103" i="57"/>
  <c r="J102" i="57"/>
  <c r="X102" i="57"/>
  <c r="C102" i="57"/>
  <c r="I102" i="57"/>
  <c r="W102" i="57"/>
  <c r="B102" i="57"/>
  <c r="H102" i="57"/>
  <c r="V102" i="57"/>
  <c r="Q102" i="57"/>
  <c r="E102" i="57"/>
  <c r="M102" i="57"/>
  <c r="U102" i="57"/>
  <c r="K102" i="57"/>
  <c r="T102" i="57"/>
  <c r="S102" i="57"/>
  <c r="R102" i="57"/>
  <c r="O102" i="57"/>
  <c r="P102" i="57"/>
  <c r="N102" i="57"/>
  <c r="L102" i="57"/>
  <c r="F102" i="57"/>
  <c r="J101" i="57"/>
  <c r="X101" i="57"/>
  <c r="C101" i="57"/>
  <c r="I101" i="57"/>
  <c r="W101" i="57"/>
  <c r="B101" i="57"/>
  <c r="H101" i="57"/>
  <c r="V101" i="57"/>
  <c r="Q101" i="57"/>
  <c r="E101" i="57"/>
  <c r="M101" i="57"/>
  <c r="U101" i="57"/>
  <c r="K101" i="57"/>
  <c r="T101" i="57"/>
  <c r="S101" i="57"/>
  <c r="R101" i="57"/>
  <c r="O101" i="57"/>
  <c r="P101" i="57"/>
  <c r="N101" i="57"/>
  <c r="L101" i="57"/>
  <c r="F101" i="57"/>
  <c r="J100" i="57"/>
  <c r="X100" i="57"/>
  <c r="C100" i="57"/>
  <c r="I100" i="57"/>
  <c r="W100" i="57"/>
  <c r="B100" i="57"/>
  <c r="H100" i="57"/>
  <c r="V100" i="57"/>
  <c r="Q100" i="57"/>
  <c r="E100" i="57"/>
  <c r="M100" i="57"/>
  <c r="U100" i="57"/>
  <c r="K100" i="57"/>
  <c r="T100" i="57"/>
  <c r="S100" i="57"/>
  <c r="R100" i="57"/>
  <c r="O100" i="57"/>
  <c r="P100" i="57"/>
  <c r="N100" i="57"/>
  <c r="L100" i="57"/>
  <c r="F100" i="57"/>
  <c r="J99" i="57"/>
  <c r="X99" i="57"/>
  <c r="C99" i="57"/>
  <c r="I99" i="57"/>
  <c r="W99" i="57"/>
  <c r="B99" i="57"/>
  <c r="H99" i="57"/>
  <c r="V99" i="57"/>
  <c r="Q99" i="57"/>
  <c r="E99" i="57"/>
  <c r="M99" i="57"/>
  <c r="U99" i="57"/>
  <c r="K99" i="57"/>
  <c r="T99" i="57"/>
  <c r="S99" i="57"/>
  <c r="R99" i="57"/>
  <c r="O99" i="57"/>
  <c r="P99" i="57"/>
  <c r="N99" i="57"/>
  <c r="L99" i="57"/>
  <c r="F99" i="57"/>
  <c r="J98" i="57"/>
  <c r="X98" i="57"/>
  <c r="C98" i="57"/>
  <c r="I98" i="57"/>
  <c r="W98" i="57"/>
  <c r="B98" i="57"/>
  <c r="H98" i="57"/>
  <c r="V98" i="57"/>
  <c r="Q98" i="57"/>
  <c r="E98" i="57"/>
  <c r="M98" i="57"/>
  <c r="U98" i="57"/>
  <c r="K98" i="57"/>
  <c r="T98" i="57"/>
  <c r="S98" i="57"/>
  <c r="R98" i="57"/>
  <c r="O98" i="57"/>
  <c r="P98" i="57"/>
  <c r="N98" i="57"/>
  <c r="L98" i="57"/>
  <c r="F98" i="57"/>
  <c r="J97" i="57"/>
  <c r="X97" i="57"/>
  <c r="C97" i="57"/>
  <c r="I97" i="57"/>
  <c r="W97" i="57"/>
  <c r="B97" i="57"/>
  <c r="H97" i="57"/>
  <c r="V97" i="57"/>
  <c r="Q97" i="57"/>
  <c r="E97" i="57"/>
  <c r="M97" i="57"/>
  <c r="U97" i="57"/>
  <c r="K97" i="57"/>
  <c r="T97" i="57"/>
  <c r="S97" i="57"/>
  <c r="R97" i="57"/>
  <c r="O97" i="57"/>
  <c r="P97" i="57"/>
  <c r="N97" i="57"/>
  <c r="L97" i="57"/>
  <c r="F97" i="57"/>
  <c r="J96" i="57"/>
  <c r="X96" i="57"/>
  <c r="C96" i="57"/>
  <c r="I96" i="57"/>
  <c r="W96" i="57"/>
  <c r="B96" i="57"/>
  <c r="H96" i="57"/>
  <c r="V96" i="57"/>
  <c r="Q96" i="57"/>
  <c r="E96" i="57"/>
  <c r="M96" i="57"/>
  <c r="U96" i="57"/>
  <c r="K96" i="57"/>
  <c r="T96" i="57"/>
  <c r="S96" i="57"/>
  <c r="R96" i="57"/>
  <c r="O96" i="57"/>
  <c r="P96" i="57"/>
  <c r="N96" i="57"/>
  <c r="L96" i="57"/>
  <c r="F96" i="57"/>
  <c r="J95" i="57"/>
  <c r="X95" i="57"/>
  <c r="C95" i="57"/>
  <c r="I95" i="57"/>
  <c r="W95" i="57"/>
  <c r="B95" i="57"/>
  <c r="H95" i="57"/>
  <c r="V95" i="57"/>
  <c r="Q95" i="57"/>
  <c r="E95" i="57"/>
  <c r="M95" i="57"/>
  <c r="U95" i="57"/>
  <c r="K95" i="57"/>
  <c r="T95" i="57"/>
  <c r="S95" i="57"/>
  <c r="R95" i="57"/>
  <c r="O95" i="57"/>
  <c r="P95" i="57"/>
  <c r="N95" i="57"/>
  <c r="L95" i="57"/>
  <c r="F95" i="57"/>
  <c r="J94" i="57"/>
  <c r="X94" i="57"/>
  <c r="C94" i="57"/>
  <c r="I94" i="57"/>
  <c r="W94" i="57"/>
  <c r="B94" i="57"/>
  <c r="H94" i="57"/>
  <c r="V94" i="57"/>
  <c r="Q94" i="57"/>
  <c r="E94" i="57"/>
  <c r="M94" i="57"/>
  <c r="U94" i="57"/>
  <c r="K94" i="57"/>
  <c r="T94" i="57"/>
  <c r="S94" i="57"/>
  <c r="R94" i="57"/>
  <c r="O94" i="57"/>
  <c r="P94" i="57"/>
  <c r="N94" i="57"/>
  <c r="L94" i="57"/>
  <c r="F94" i="57"/>
  <c r="J93" i="57"/>
  <c r="X93" i="57"/>
  <c r="C93" i="57"/>
  <c r="I93" i="57"/>
  <c r="W93" i="57"/>
  <c r="B93" i="57"/>
  <c r="H93" i="57"/>
  <c r="V93" i="57"/>
  <c r="Q93" i="57"/>
  <c r="E93" i="57"/>
  <c r="M93" i="57"/>
  <c r="U93" i="57"/>
  <c r="K93" i="57"/>
  <c r="T93" i="57"/>
  <c r="S93" i="57"/>
  <c r="R93" i="57"/>
  <c r="O93" i="57"/>
  <c r="P93" i="57"/>
  <c r="N93" i="57"/>
  <c r="L93" i="57"/>
  <c r="F93" i="57"/>
  <c r="J92" i="57"/>
  <c r="X92" i="57"/>
  <c r="C92" i="57"/>
  <c r="I92" i="57"/>
  <c r="W92" i="57"/>
  <c r="B92" i="57"/>
  <c r="H92" i="57"/>
  <c r="V92" i="57"/>
  <c r="Q92" i="57"/>
  <c r="E92" i="57"/>
  <c r="M92" i="57"/>
  <c r="U92" i="57"/>
  <c r="K92" i="57"/>
  <c r="T92" i="57"/>
  <c r="S92" i="57"/>
  <c r="R92" i="57"/>
  <c r="O92" i="57"/>
  <c r="P92" i="57"/>
  <c r="N92" i="57"/>
  <c r="L92" i="57"/>
  <c r="F92" i="57"/>
  <c r="J91" i="57"/>
  <c r="X91" i="57"/>
  <c r="C91" i="57"/>
  <c r="I91" i="57"/>
  <c r="W91" i="57"/>
  <c r="B91" i="57"/>
  <c r="H91" i="57"/>
  <c r="V91" i="57"/>
  <c r="Q91" i="57"/>
  <c r="E91" i="57"/>
  <c r="M91" i="57"/>
  <c r="U91" i="57"/>
  <c r="K91" i="57"/>
  <c r="T91" i="57"/>
  <c r="S91" i="57"/>
  <c r="R91" i="57"/>
  <c r="O91" i="57"/>
  <c r="P91" i="57"/>
  <c r="N91" i="57"/>
  <c r="L91" i="57"/>
  <c r="F91" i="57"/>
  <c r="J90" i="57"/>
  <c r="X90" i="57"/>
  <c r="C90" i="57"/>
  <c r="I90" i="57"/>
  <c r="W90" i="57"/>
  <c r="B90" i="57"/>
  <c r="H90" i="57"/>
  <c r="V90" i="57"/>
  <c r="Q90" i="57"/>
  <c r="E90" i="57"/>
  <c r="M90" i="57"/>
  <c r="U90" i="57"/>
  <c r="K90" i="57"/>
  <c r="T90" i="57"/>
  <c r="S90" i="57"/>
  <c r="R90" i="57"/>
  <c r="O90" i="57"/>
  <c r="P90" i="57"/>
  <c r="N90" i="57"/>
  <c r="L90" i="57"/>
  <c r="F90" i="57"/>
  <c r="J89" i="57"/>
  <c r="X89" i="57"/>
  <c r="C89" i="57"/>
  <c r="I89" i="57"/>
  <c r="W89" i="57"/>
  <c r="B89" i="57"/>
  <c r="H89" i="57"/>
  <c r="V89" i="57"/>
  <c r="Q89" i="57"/>
  <c r="E89" i="57"/>
  <c r="M89" i="57"/>
  <c r="U89" i="57"/>
  <c r="K89" i="57"/>
  <c r="T89" i="57"/>
  <c r="S89" i="57"/>
  <c r="R89" i="57"/>
  <c r="O89" i="57"/>
  <c r="P89" i="57"/>
  <c r="N89" i="57"/>
  <c r="L89" i="57"/>
  <c r="F89" i="57"/>
  <c r="J88" i="57"/>
  <c r="X88" i="57"/>
  <c r="C88" i="57"/>
  <c r="I88" i="57"/>
  <c r="W88" i="57"/>
  <c r="B88" i="57"/>
  <c r="H88" i="57"/>
  <c r="V88" i="57"/>
  <c r="Q88" i="57"/>
  <c r="E88" i="57"/>
  <c r="M88" i="57"/>
  <c r="U88" i="57"/>
  <c r="K88" i="57"/>
  <c r="T88" i="57"/>
  <c r="S88" i="57"/>
  <c r="R88" i="57"/>
  <c r="O88" i="57"/>
  <c r="P88" i="57"/>
  <c r="N88" i="57"/>
  <c r="L88" i="57"/>
  <c r="F88" i="57"/>
  <c r="J87" i="57"/>
  <c r="X87" i="57"/>
  <c r="C87" i="57"/>
  <c r="I87" i="57"/>
  <c r="W87" i="57"/>
  <c r="B87" i="57"/>
  <c r="H87" i="57"/>
  <c r="V87" i="57"/>
  <c r="Q87" i="57"/>
  <c r="E87" i="57"/>
  <c r="M87" i="57"/>
  <c r="U87" i="57"/>
  <c r="K87" i="57"/>
  <c r="T87" i="57"/>
  <c r="S87" i="57"/>
  <c r="R87" i="57"/>
  <c r="O87" i="57"/>
  <c r="P87" i="57"/>
  <c r="N87" i="57"/>
  <c r="L87" i="57"/>
  <c r="F87" i="57"/>
  <c r="J86" i="57"/>
  <c r="X86" i="57"/>
  <c r="C86" i="57"/>
  <c r="I86" i="57"/>
  <c r="W86" i="57"/>
  <c r="B86" i="57"/>
  <c r="H86" i="57"/>
  <c r="V86" i="57"/>
  <c r="Q86" i="57"/>
  <c r="E86" i="57"/>
  <c r="M86" i="57"/>
  <c r="U86" i="57"/>
  <c r="K86" i="57"/>
  <c r="T86" i="57"/>
  <c r="S86" i="57"/>
  <c r="R86" i="57"/>
  <c r="O86" i="57"/>
  <c r="P86" i="57"/>
  <c r="N86" i="57"/>
  <c r="L86" i="57"/>
  <c r="F86" i="57"/>
  <c r="J85" i="57"/>
  <c r="X85" i="57"/>
  <c r="C85" i="57"/>
  <c r="I85" i="57"/>
  <c r="W85" i="57"/>
  <c r="B85" i="57"/>
  <c r="H85" i="57"/>
  <c r="V85" i="57"/>
  <c r="Q85" i="57"/>
  <c r="E85" i="57"/>
  <c r="M85" i="57"/>
  <c r="U85" i="57"/>
  <c r="K85" i="57"/>
  <c r="T85" i="57"/>
  <c r="S85" i="57"/>
  <c r="R85" i="57"/>
  <c r="O85" i="57"/>
  <c r="P85" i="57"/>
  <c r="N85" i="57"/>
  <c r="L85" i="57"/>
  <c r="F85" i="57"/>
  <c r="J84" i="57"/>
  <c r="X84" i="57"/>
  <c r="C84" i="57"/>
  <c r="I84" i="57"/>
  <c r="W84" i="57"/>
  <c r="B84" i="57"/>
  <c r="H84" i="57"/>
  <c r="V84" i="57"/>
  <c r="Q84" i="57"/>
  <c r="E84" i="57"/>
  <c r="M84" i="57"/>
  <c r="U84" i="57"/>
  <c r="K84" i="57"/>
  <c r="T84" i="57"/>
  <c r="S84" i="57"/>
  <c r="R84" i="57"/>
  <c r="O84" i="57"/>
  <c r="P84" i="57"/>
  <c r="N84" i="57"/>
  <c r="L84" i="57"/>
  <c r="F84" i="57"/>
  <c r="J83" i="57"/>
  <c r="X83" i="57"/>
  <c r="C83" i="57"/>
  <c r="I83" i="57"/>
  <c r="W83" i="57"/>
  <c r="B83" i="57"/>
  <c r="H83" i="57"/>
  <c r="V83" i="57"/>
  <c r="Q83" i="57"/>
  <c r="E83" i="57"/>
  <c r="M83" i="57"/>
  <c r="U83" i="57"/>
  <c r="K83" i="57"/>
  <c r="T83" i="57"/>
  <c r="S83" i="57"/>
  <c r="R83" i="57"/>
  <c r="O83" i="57"/>
  <c r="P83" i="57"/>
  <c r="N83" i="57"/>
  <c r="L83" i="57"/>
  <c r="F83" i="57"/>
  <c r="J82" i="57"/>
  <c r="X82" i="57"/>
  <c r="C82" i="57"/>
  <c r="I82" i="57"/>
  <c r="W82" i="57"/>
  <c r="B82" i="57"/>
  <c r="H82" i="57"/>
  <c r="V82" i="57"/>
  <c r="Q82" i="57"/>
  <c r="E82" i="57"/>
  <c r="M82" i="57"/>
  <c r="U82" i="57"/>
  <c r="K82" i="57"/>
  <c r="T82" i="57"/>
  <c r="S82" i="57"/>
  <c r="R82" i="57"/>
  <c r="O82" i="57"/>
  <c r="P82" i="57"/>
  <c r="N82" i="57"/>
  <c r="L82" i="57"/>
  <c r="F82" i="57"/>
  <c r="J81" i="57"/>
  <c r="X81" i="57"/>
  <c r="C81" i="57"/>
  <c r="I81" i="57"/>
  <c r="W81" i="57"/>
  <c r="B81" i="57"/>
  <c r="H81" i="57"/>
  <c r="V81" i="57"/>
  <c r="Q81" i="57"/>
  <c r="E81" i="57"/>
  <c r="M81" i="57"/>
  <c r="U81" i="57"/>
  <c r="K81" i="57"/>
  <c r="T81" i="57"/>
  <c r="S81" i="57"/>
  <c r="R81" i="57"/>
  <c r="O81" i="57"/>
  <c r="P81" i="57"/>
  <c r="N81" i="57"/>
  <c r="L81" i="57"/>
  <c r="F81" i="57"/>
  <c r="J80" i="57"/>
  <c r="X80" i="57"/>
  <c r="C80" i="57"/>
  <c r="I80" i="57"/>
  <c r="W80" i="57"/>
  <c r="B80" i="57"/>
  <c r="H80" i="57"/>
  <c r="V80" i="57"/>
  <c r="Q80" i="57"/>
  <c r="E80" i="57"/>
  <c r="M80" i="57"/>
  <c r="U80" i="57"/>
  <c r="K80" i="57"/>
  <c r="T80" i="57"/>
  <c r="S80" i="57"/>
  <c r="R80" i="57"/>
  <c r="O80" i="57"/>
  <c r="P80" i="57"/>
  <c r="N80" i="57"/>
  <c r="L80" i="57"/>
  <c r="F80" i="57"/>
  <c r="J79" i="57"/>
  <c r="X79" i="57"/>
  <c r="C79" i="57"/>
  <c r="I79" i="57"/>
  <c r="W79" i="57"/>
  <c r="B79" i="57"/>
  <c r="H79" i="57"/>
  <c r="V79" i="57"/>
  <c r="Q79" i="57"/>
  <c r="E79" i="57"/>
  <c r="M79" i="57"/>
  <c r="U79" i="57"/>
  <c r="K79" i="57"/>
  <c r="T79" i="57"/>
  <c r="S79" i="57"/>
  <c r="R79" i="57"/>
  <c r="O79" i="57"/>
  <c r="P79" i="57"/>
  <c r="N79" i="57"/>
  <c r="L79" i="57"/>
  <c r="F79" i="57"/>
  <c r="J78" i="57"/>
  <c r="X78" i="57"/>
  <c r="C78" i="57"/>
  <c r="I78" i="57"/>
  <c r="W78" i="57"/>
  <c r="B78" i="57"/>
  <c r="H78" i="57"/>
  <c r="V78" i="57"/>
  <c r="Q78" i="57"/>
  <c r="E78" i="57"/>
  <c r="M78" i="57"/>
  <c r="U78" i="57"/>
  <c r="K78" i="57"/>
  <c r="T78" i="57"/>
  <c r="S78" i="57"/>
  <c r="R78" i="57"/>
  <c r="O78" i="57"/>
  <c r="P78" i="57"/>
  <c r="N78" i="57"/>
  <c r="L78" i="57"/>
  <c r="F78" i="57"/>
  <c r="J77" i="57"/>
  <c r="X77" i="57"/>
  <c r="C77" i="57"/>
  <c r="I77" i="57"/>
  <c r="W77" i="57"/>
  <c r="B77" i="57"/>
  <c r="H77" i="57"/>
  <c r="V77" i="57"/>
  <c r="Q77" i="57"/>
  <c r="E77" i="57"/>
  <c r="M77" i="57"/>
  <c r="U77" i="57"/>
  <c r="K77" i="57"/>
  <c r="T77" i="57"/>
  <c r="S77" i="57"/>
  <c r="R77" i="57"/>
  <c r="O77" i="57"/>
  <c r="P77" i="57"/>
  <c r="N77" i="57"/>
  <c r="L77" i="57"/>
  <c r="F77" i="57"/>
  <c r="J76" i="57"/>
  <c r="X76" i="57"/>
  <c r="C76" i="57"/>
  <c r="I76" i="57"/>
  <c r="W76" i="57"/>
  <c r="B76" i="57"/>
  <c r="H76" i="57"/>
  <c r="V76" i="57"/>
  <c r="Q76" i="57"/>
  <c r="E76" i="57"/>
  <c r="M76" i="57"/>
  <c r="U76" i="57"/>
  <c r="K76" i="57"/>
  <c r="T76" i="57"/>
  <c r="S76" i="57"/>
  <c r="R76" i="57"/>
  <c r="O76" i="57"/>
  <c r="P76" i="57"/>
  <c r="N76" i="57"/>
  <c r="L76" i="57"/>
  <c r="F76" i="57"/>
  <c r="J75" i="57"/>
  <c r="X75" i="57"/>
  <c r="C75" i="57"/>
  <c r="I75" i="57"/>
  <c r="W75" i="57"/>
  <c r="B75" i="57"/>
  <c r="H75" i="57"/>
  <c r="V75" i="57"/>
  <c r="Q75" i="57"/>
  <c r="E75" i="57"/>
  <c r="M75" i="57"/>
  <c r="U75" i="57"/>
  <c r="K75" i="57"/>
  <c r="T75" i="57"/>
  <c r="S75" i="57"/>
  <c r="R75" i="57"/>
  <c r="O75" i="57"/>
  <c r="P75" i="57"/>
  <c r="N75" i="57"/>
  <c r="L75" i="57"/>
  <c r="F75" i="57"/>
  <c r="J74" i="57"/>
  <c r="X74" i="57"/>
  <c r="C74" i="57"/>
  <c r="I74" i="57"/>
  <c r="W74" i="57"/>
  <c r="B74" i="57"/>
  <c r="H74" i="57"/>
  <c r="V74" i="57"/>
  <c r="Q74" i="57"/>
  <c r="E74" i="57"/>
  <c r="M74" i="57"/>
  <c r="U74" i="57"/>
  <c r="K74" i="57"/>
  <c r="T74" i="57"/>
  <c r="S74" i="57"/>
  <c r="R74" i="57"/>
  <c r="O74" i="57"/>
  <c r="P74" i="57"/>
  <c r="N74" i="57"/>
  <c r="L74" i="57"/>
  <c r="F74" i="57"/>
  <c r="J73" i="57"/>
  <c r="X73" i="57"/>
  <c r="C73" i="57"/>
  <c r="I73" i="57"/>
  <c r="W73" i="57"/>
  <c r="B73" i="57"/>
  <c r="H73" i="57"/>
  <c r="V73" i="57"/>
  <c r="Q73" i="57"/>
  <c r="E73" i="57"/>
  <c r="M73" i="57"/>
  <c r="U73" i="57"/>
  <c r="K73" i="57"/>
  <c r="T73" i="57"/>
  <c r="S73" i="57"/>
  <c r="R73" i="57"/>
  <c r="O73" i="57"/>
  <c r="P73" i="57"/>
  <c r="N73" i="57"/>
  <c r="L73" i="57"/>
  <c r="F73" i="57"/>
  <c r="J72" i="57"/>
  <c r="X72" i="57"/>
  <c r="C72" i="57"/>
  <c r="I72" i="57"/>
  <c r="W72" i="57"/>
  <c r="B72" i="57"/>
  <c r="H72" i="57"/>
  <c r="V72" i="57"/>
  <c r="Q72" i="57"/>
  <c r="E72" i="57"/>
  <c r="M72" i="57"/>
  <c r="U72" i="57"/>
  <c r="K72" i="57"/>
  <c r="T72" i="57"/>
  <c r="S72" i="57"/>
  <c r="R72" i="57"/>
  <c r="O72" i="57"/>
  <c r="P72" i="57"/>
  <c r="N72" i="57"/>
  <c r="L72" i="57"/>
  <c r="F72" i="57"/>
  <c r="J71" i="57"/>
  <c r="X71" i="57"/>
  <c r="C71" i="57"/>
  <c r="I71" i="57"/>
  <c r="W71" i="57"/>
  <c r="B71" i="57"/>
  <c r="H71" i="57"/>
  <c r="V71" i="57"/>
  <c r="Q71" i="57"/>
  <c r="E71" i="57"/>
  <c r="M71" i="57"/>
  <c r="U71" i="57"/>
  <c r="K71" i="57"/>
  <c r="T71" i="57"/>
  <c r="S71" i="57"/>
  <c r="R71" i="57"/>
  <c r="O71" i="57"/>
  <c r="P71" i="57"/>
  <c r="N71" i="57"/>
  <c r="L71" i="57"/>
  <c r="F71" i="57"/>
  <c r="J70" i="57"/>
  <c r="X70" i="57"/>
  <c r="C70" i="57"/>
  <c r="I70" i="57"/>
  <c r="W70" i="57"/>
  <c r="B70" i="57"/>
  <c r="H70" i="57"/>
  <c r="V70" i="57"/>
  <c r="Q70" i="57"/>
  <c r="E70" i="57"/>
  <c r="M70" i="57"/>
  <c r="U70" i="57"/>
  <c r="K70" i="57"/>
  <c r="T70" i="57"/>
  <c r="S70" i="57"/>
  <c r="R70" i="57"/>
  <c r="O70" i="57"/>
  <c r="P70" i="57"/>
  <c r="N70" i="57"/>
  <c r="L70" i="57"/>
  <c r="F70" i="57"/>
  <c r="J69" i="57"/>
  <c r="X69" i="57"/>
  <c r="C69" i="57"/>
  <c r="I69" i="57"/>
  <c r="W69" i="57"/>
  <c r="B69" i="57"/>
  <c r="H69" i="57"/>
  <c r="V69" i="57"/>
  <c r="Q69" i="57"/>
  <c r="E69" i="57"/>
  <c r="M69" i="57"/>
  <c r="U69" i="57"/>
  <c r="K69" i="57"/>
  <c r="T69" i="57"/>
  <c r="S69" i="57"/>
  <c r="R69" i="57"/>
  <c r="O69" i="57"/>
  <c r="P69" i="57"/>
  <c r="N69" i="57"/>
  <c r="L69" i="57"/>
  <c r="F69" i="57"/>
  <c r="J68" i="57"/>
  <c r="X68" i="57"/>
  <c r="C68" i="57"/>
  <c r="I68" i="57"/>
  <c r="W68" i="57"/>
  <c r="B68" i="57"/>
  <c r="H68" i="57"/>
  <c r="V68" i="57"/>
  <c r="Q68" i="57"/>
  <c r="E68" i="57"/>
  <c r="M68" i="57"/>
  <c r="U68" i="57"/>
  <c r="K68" i="57"/>
  <c r="T68" i="57"/>
  <c r="S68" i="57"/>
  <c r="R68" i="57"/>
  <c r="O68" i="57"/>
  <c r="P68" i="57"/>
  <c r="N68" i="57"/>
  <c r="L68" i="57"/>
  <c r="F68" i="57"/>
  <c r="J67" i="57"/>
  <c r="X67" i="57"/>
  <c r="C67" i="57"/>
  <c r="I67" i="57"/>
  <c r="W67" i="57"/>
  <c r="B67" i="57"/>
  <c r="H67" i="57"/>
  <c r="V67" i="57"/>
  <c r="Q67" i="57"/>
  <c r="E67" i="57"/>
  <c r="M67" i="57"/>
  <c r="U67" i="57"/>
  <c r="K67" i="57"/>
  <c r="T67" i="57"/>
  <c r="S67" i="57"/>
  <c r="R67" i="57"/>
  <c r="O67" i="57"/>
  <c r="P67" i="57"/>
  <c r="N67" i="57"/>
  <c r="L67" i="57"/>
  <c r="F67" i="57"/>
  <c r="J66" i="57"/>
  <c r="X66" i="57"/>
  <c r="C66" i="57"/>
  <c r="I66" i="57"/>
  <c r="W66" i="57"/>
  <c r="B66" i="57"/>
  <c r="H66" i="57"/>
  <c r="V66" i="57"/>
  <c r="Q66" i="57"/>
  <c r="E66" i="57"/>
  <c r="M66" i="57"/>
  <c r="U66" i="57"/>
  <c r="K66" i="57"/>
  <c r="T66" i="57"/>
  <c r="S66" i="57"/>
  <c r="R66" i="57"/>
  <c r="O66" i="57"/>
  <c r="P66" i="57"/>
  <c r="N66" i="57"/>
  <c r="L66" i="57"/>
  <c r="F66" i="57"/>
  <c r="J65" i="57"/>
  <c r="X65" i="57"/>
  <c r="C65" i="57"/>
  <c r="I65" i="57"/>
  <c r="W65" i="57"/>
  <c r="B65" i="57"/>
  <c r="H65" i="57"/>
  <c r="V65" i="57"/>
  <c r="Q65" i="57"/>
  <c r="E65" i="57"/>
  <c r="M65" i="57"/>
  <c r="U65" i="57"/>
  <c r="K65" i="57"/>
  <c r="T65" i="57"/>
  <c r="S65" i="57"/>
  <c r="R65" i="57"/>
  <c r="O65" i="57"/>
  <c r="P65" i="57"/>
  <c r="N65" i="57"/>
  <c r="L65" i="57"/>
  <c r="F65" i="57"/>
  <c r="J64" i="57"/>
  <c r="X64" i="57"/>
  <c r="C64" i="57"/>
  <c r="I64" i="57"/>
  <c r="W64" i="57"/>
  <c r="B64" i="57"/>
  <c r="H64" i="57"/>
  <c r="V64" i="57"/>
  <c r="Q64" i="57"/>
  <c r="E64" i="57"/>
  <c r="M64" i="57"/>
  <c r="U64" i="57"/>
  <c r="K64" i="57"/>
  <c r="T64" i="57"/>
  <c r="S64" i="57"/>
  <c r="R64" i="57"/>
  <c r="O64" i="57"/>
  <c r="P64" i="57"/>
  <c r="N64" i="57"/>
  <c r="L64" i="57"/>
  <c r="F64" i="57"/>
  <c r="J63" i="57"/>
  <c r="X63" i="57"/>
  <c r="C63" i="57"/>
  <c r="I63" i="57"/>
  <c r="W63" i="57"/>
  <c r="B63" i="57"/>
  <c r="H63" i="57"/>
  <c r="V63" i="57"/>
  <c r="Q63" i="57"/>
  <c r="E63" i="57"/>
  <c r="M63" i="57"/>
  <c r="U63" i="57"/>
  <c r="K63" i="57"/>
  <c r="T63" i="57"/>
  <c r="S63" i="57"/>
  <c r="R63" i="57"/>
  <c r="O63" i="57"/>
  <c r="P63" i="57"/>
  <c r="N63" i="57"/>
  <c r="L63" i="57"/>
  <c r="F63" i="57"/>
  <c r="J62" i="57"/>
  <c r="X62" i="57"/>
  <c r="C62" i="57"/>
  <c r="I62" i="57"/>
  <c r="W62" i="57"/>
  <c r="B62" i="57"/>
  <c r="H62" i="57"/>
  <c r="V62" i="57"/>
  <c r="Q62" i="57"/>
  <c r="E62" i="57"/>
  <c r="M62" i="57"/>
  <c r="U62" i="57"/>
  <c r="K62" i="57"/>
  <c r="T62" i="57"/>
  <c r="S62" i="57"/>
  <c r="R62" i="57"/>
  <c r="O62" i="57"/>
  <c r="P62" i="57"/>
  <c r="N62" i="57"/>
  <c r="L62" i="57"/>
  <c r="F62" i="57"/>
  <c r="J61" i="57"/>
  <c r="X61" i="57"/>
  <c r="C61" i="57"/>
  <c r="I61" i="57"/>
  <c r="W61" i="57"/>
  <c r="B61" i="57"/>
  <c r="H61" i="57"/>
  <c r="V61" i="57"/>
  <c r="Q61" i="57"/>
  <c r="E61" i="57"/>
  <c r="M61" i="57"/>
  <c r="U61" i="57"/>
  <c r="K61" i="57"/>
  <c r="T61" i="57"/>
  <c r="S61" i="57"/>
  <c r="R61" i="57"/>
  <c r="O61" i="57"/>
  <c r="P61" i="57"/>
  <c r="N61" i="57"/>
  <c r="L61" i="57"/>
  <c r="F61" i="57"/>
  <c r="J60" i="57"/>
  <c r="X60" i="57"/>
  <c r="C60" i="57"/>
  <c r="I60" i="57"/>
  <c r="W60" i="57"/>
  <c r="B60" i="57"/>
  <c r="H60" i="57"/>
  <c r="V60" i="57"/>
  <c r="Q60" i="57"/>
  <c r="E60" i="57"/>
  <c r="M60" i="57"/>
  <c r="U60" i="57"/>
  <c r="K60" i="57"/>
  <c r="T60" i="57"/>
  <c r="S60" i="57"/>
  <c r="R60" i="57"/>
  <c r="O60" i="57"/>
  <c r="P60" i="57"/>
  <c r="N60" i="57"/>
  <c r="L60" i="57"/>
  <c r="F60" i="57"/>
  <c r="J59" i="57"/>
  <c r="X59" i="57"/>
  <c r="C59" i="57"/>
  <c r="I59" i="57"/>
  <c r="W59" i="57"/>
  <c r="B59" i="57"/>
  <c r="H59" i="57"/>
  <c r="V59" i="57"/>
  <c r="Q59" i="57"/>
  <c r="E59" i="57"/>
  <c r="M59" i="57"/>
  <c r="U59" i="57"/>
  <c r="K59" i="57"/>
  <c r="T59" i="57"/>
  <c r="S59" i="57"/>
  <c r="R59" i="57"/>
  <c r="O59" i="57"/>
  <c r="P59" i="57"/>
  <c r="N59" i="57"/>
  <c r="L59" i="57"/>
  <c r="F59" i="57"/>
  <c r="J58" i="57"/>
  <c r="X58" i="57"/>
  <c r="C58" i="57"/>
  <c r="I58" i="57"/>
  <c r="W58" i="57"/>
  <c r="B58" i="57"/>
  <c r="H58" i="57"/>
  <c r="V58" i="57"/>
  <c r="Q58" i="57"/>
  <c r="E58" i="57"/>
  <c r="M58" i="57"/>
  <c r="U58" i="57"/>
  <c r="K58" i="57"/>
  <c r="T58" i="57"/>
  <c r="S58" i="57"/>
  <c r="R58" i="57"/>
  <c r="O58" i="57"/>
  <c r="P58" i="57"/>
  <c r="N58" i="57"/>
  <c r="L58" i="57"/>
  <c r="F58" i="57"/>
  <c r="J57" i="57"/>
  <c r="X57" i="57"/>
  <c r="C57" i="57"/>
  <c r="I57" i="57"/>
  <c r="W57" i="57"/>
  <c r="B57" i="57"/>
  <c r="H57" i="57"/>
  <c r="V57" i="57"/>
  <c r="Q57" i="57"/>
  <c r="E57" i="57"/>
  <c r="M57" i="57"/>
  <c r="U57" i="57"/>
  <c r="K57" i="57"/>
  <c r="T57" i="57"/>
  <c r="S57" i="57"/>
  <c r="R57" i="57"/>
  <c r="O57" i="57"/>
  <c r="P57" i="57"/>
  <c r="N57" i="57"/>
  <c r="L57" i="57"/>
  <c r="F57" i="57"/>
  <c r="J56" i="57"/>
  <c r="X56" i="57"/>
  <c r="C56" i="57"/>
  <c r="I56" i="57"/>
  <c r="W56" i="57"/>
  <c r="B56" i="57"/>
  <c r="H56" i="57"/>
  <c r="V56" i="57"/>
  <c r="Q56" i="57"/>
  <c r="E56" i="57"/>
  <c r="M56" i="57"/>
  <c r="U56" i="57"/>
  <c r="K56" i="57"/>
  <c r="T56" i="57"/>
  <c r="S56" i="57"/>
  <c r="R56" i="57"/>
  <c r="O56" i="57"/>
  <c r="P56" i="57"/>
  <c r="N56" i="57"/>
  <c r="L56" i="57"/>
  <c r="F56" i="57"/>
  <c r="J55" i="57"/>
  <c r="X55" i="57"/>
  <c r="C55" i="57"/>
  <c r="I55" i="57"/>
  <c r="W55" i="57"/>
  <c r="B55" i="57"/>
  <c r="H55" i="57"/>
  <c r="V55" i="57"/>
  <c r="Q55" i="57"/>
  <c r="E55" i="57"/>
  <c r="M55" i="57"/>
  <c r="U55" i="57"/>
  <c r="K55" i="57"/>
  <c r="T55" i="57"/>
  <c r="S55" i="57"/>
  <c r="R55" i="57"/>
  <c r="O55" i="57"/>
  <c r="P55" i="57"/>
  <c r="N55" i="57"/>
  <c r="L55" i="57"/>
  <c r="F55" i="57"/>
  <c r="J54" i="57"/>
  <c r="X54" i="57"/>
  <c r="C54" i="57"/>
  <c r="I54" i="57"/>
  <c r="W54" i="57"/>
  <c r="B54" i="57"/>
  <c r="H54" i="57"/>
  <c r="V54" i="57"/>
  <c r="Q54" i="57"/>
  <c r="E54" i="57"/>
  <c r="M54" i="57"/>
  <c r="U54" i="57"/>
  <c r="K54" i="57"/>
  <c r="T54" i="57"/>
  <c r="S54" i="57"/>
  <c r="R54" i="57"/>
  <c r="O54" i="57"/>
  <c r="P54" i="57"/>
  <c r="N54" i="57"/>
  <c r="L54" i="57"/>
  <c r="F54" i="57"/>
  <c r="J53" i="57"/>
  <c r="X53" i="57"/>
  <c r="C53" i="57"/>
  <c r="I53" i="57"/>
  <c r="W53" i="57"/>
  <c r="B53" i="57"/>
  <c r="H53" i="57"/>
  <c r="V53" i="57"/>
  <c r="Q53" i="57"/>
  <c r="E53" i="57"/>
  <c r="M53" i="57"/>
  <c r="U53" i="57"/>
  <c r="K53" i="57"/>
  <c r="T53" i="57"/>
  <c r="S53" i="57"/>
  <c r="R53" i="57"/>
  <c r="O53" i="57"/>
  <c r="P53" i="57"/>
  <c r="N53" i="57"/>
  <c r="L53" i="57"/>
  <c r="F53" i="57"/>
  <c r="J52" i="57"/>
  <c r="X52" i="57"/>
  <c r="C52" i="57"/>
  <c r="I52" i="57"/>
  <c r="W52" i="57"/>
  <c r="B52" i="57"/>
  <c r="H52" i="57"/>
  <c r="V52" i="57"/>
  <c r="Q52" i="57"/>
  <c r="E52" i="57"/>
  <c r="M52" i="57"/>
  <c r="U52" i="57"/>
  <c r="K52" i="57"/>
  <c r="T52" i="57"/>
  <c r="S52" i="57"/>
  <c r="R52" i="57"/>
  <c r="O52" i="57"/>
  <c r="P52" i="57"/>
  <c r="N52" i="57"/>
  <c r="L52" i="57"/>
  <c r="F52" i="57"/>
  <c r="J51" i="57"/>
  <c r="X51" i="57"/>
  <c r="C51" i="57"/>
  <c r="I51" i="57"/>
  <c r="W51" i="57"/>
  <c r="B51" i="57"/>
  <c r="H51" i="57"/>
  <c r="V51" i="57"/>
  <c r="Q51" i="57"/>
  <c r="E51" i="57"/>
  <c r="M51" i="57"/>
  <c r="U51" i="57"/>
  <c r="K51" i="57"/>
  <c r="T51" i="57"/>
  <c r="S51" i="57"/>
  <c r="R51" i="57"/>
  <c r="O51" i="57"/>
  <c r="P51" i="57"/>
  <c r="N51" i="57"/>
  <c r="L51" i="57"/>
  <c r="F51" i="57"/>
  <c r="J50" i="57"/>
  <c r="X50" i="57"/>
  <c r="C50" i="57"/>
  <c r="I50" i="57"/>
  <c r="W50" i="57"/>
  <c r="B50" i="57"/>
  <c r="H50" i="57"/>
  <c r="V50" i="57"/>
  <c r="Q50" i="57"/>
  <c r="E50" i="57"/>
  <c r="M50" i="57"/>
  <c r="U50" i="57"/>
  <c r="K50" i="57"/>
  <c r="T50" i="57"/>
  <c r="S50" i="57"/>
  <c r="R50" i="57"/>
  <c r="O50" i="57"/>
  <c r="P50" i="57"/>
  <c r="N50" i="57"/>
  <c r="L50" i="57"/>
  <c r="F50" i="57"/>
  <c r="J49" i="57"/>
  <c r="X49" i="57"/>
  <c r="C49" i="57"/>
  <c r="I49" i="57"/>
  <c r="W49" i="57"/>
  <c r="B49" i="57"/>
  <c r="H49" i="57"/>
  <c r="V49" i="57"/>
  <c r="Q49" i="57"/>
  <c r="E49" i="57"/>
  <c r="M49" i="57"/>
  <c r="U49" i="57"/>
  <c r="K49" i="57"/>
  <c r="T49" i="57"/>
  <c r="S49" i="57"/>
  <c r="R49" i="57"/>
  <c r="O49" i="57"/>
  <c r="P49" i="57"/>
  <c r="N49" i="57"/>
  <c r="L49" i="57"/>
  <c r="F49" i="57"/>
  <c r="J48" i="57"/>
  <c r="X48" i="57"/>
  <c r="C48" i="57"/>
  <c r="I48" i="57"/>
  <c r="W48" i="57"/>
  <c r="B48" i="57"/>
  <c r="H48" i="57"/>
  <c r="V48" i="57"/>
  <c r="Q48" i="57"/>
  <c r="E48" i="57"/>
  <c r="M48" i="57"/>
  <c r="U48" i="57"/>
  <c r="K48" i="57"/>
  <c r="T48" i="57"/>
  <c r="S48" i="57"/>
  <c r="R48" i="57"/>
  <c r="O48" i="57"/>
  <c r="P48" i="57"/>
  <c r="N48" i="57"/>
  <c r="L48" i="57"/>
  <c r="F48" i="57"/>
  <c r="J47" i="57"/>
  <c r="X47" i="57"/>
  <c r="C47" i="57"/>
  <c r="I47" i="57"/>
  <c r="W47" i="57"/>
  <c r="B47" i="57"/>
  <c r="H47" i="57"/>
  <c r="V47" i="57"/>
  <c r="Q47" i="57"/>
  <c r="E47" i="57"/>
  <c r="M47" i="57"/>
  <c r="U47" i="57"/>
  <c r="K47" i="57"/>
  <c r="T47" i="57"/>
  <c r="S47" i="57"/>
  <c r="R47" i="57"/>
  <c r="O47" i="57"/>
  <c r="P47" i="57"/>
  <c r="N47" i="57"/>
  <c r="L47" i="57"/>
  <c r="F47" i="57"/>
  <c r="J46" i="57"/>
  <c r="X46" i="57"/>
  <c r="C46" i="57"/>
  <c r="I46" i="57"/>
  <c r="W46" i="57"/>
  <c r="B46" i="57"/>
  <c r="H46" i="57"/>
  <c r="V46" i="57"/>
  <c r="Q46" i="57"/>
  <c r="E46" i="57"/>
  <c r="M46" i="57"/>
  <c r="U46" i="57"/>
  <c r="K46" i="57"/>
  <c r="T46" i="57"/>
  <c r="S46" i="57"/>
  <c r="R46" i="57"/>
  <c r="O46" i="57"/>
  <c r="P46" i="57"/>
  <c r="N46" i="57"/>
  <c r="L46" i="57"/>
  <c r="F46" i="57"/>
  <c r="J45" i="57"/>
  <c r="X45" i="57"/>
  <c r="C45" i="57"/>
  <c r="I45" i="57"/>
  <c r="W45" i="57"/>
  <c r="B45" i="57"/>
  <c r="H45" i="57"/>
  <c r="V45" i="57"/>
  <c r="Q45" i="57"/>
  <c r="E45" i="57"/>
  <c r="M45" i="57"/>
  <c r="U45" i="57"/>
  <c r="K45" i="57"/>
  <c r="T45" i="57"/>
  <c r="S45" i="57"/>
  <c r="R45" i="57"/>
  <c r="O45" i="57"/>
  <c r="P45" i="57"/>
  <c r="N45" i="57"/>
  <c r="L45" i="57"/>
  <c r="F45" i="57"/>
  <c r="J44" i="57"/>
  <c r="X44" i="57"/>
  <c r="C44" i="57"/>
  <c r="I44" i="57"/>
  <c r="W44" i="57"/>
  <c r="B44" i="57"/>
  <c r="H44" i="57"/>
  <c r="V44" i="57"/>
  <c r="Q44" i="57"/>
  <c r="E44" i="57"/>
  <c r="M44" i="57"/>
  <c r="U44" i="57"/>
  <c r="K44" i="57"/>
  <c r="T44" i="57"/>
  <c r="S44" i="57"/>
  <c r="R44" i="57"/>
  <c r="O44" i="57"/>
  <c r="P44" i="57"/>
  <c r="N44" i="57"/>
  <c r="L44" i="57"/>
  <c r="F44" i="57"/>
  <c r="J43" i="57"/>
  <c r="X43" i="57"/>
  <c r="C43" i="57"/>
  <c r="I43" i="57"/>
  <c r="W43" i="57"/>
  <c r="B43" i="57"/>
  <c r="H43" i="57"/>
  <c r="V43" i="57"/>
  <c r="Q43" i="57"/>
  <c r="E43" i="57"/>
  <c r="M43" i="57"/>
  <c r="U43" i="57"/>
  <c r="K43" i="57"/>
  <c r="T43" i="57"/>
  <c r="S43" i="57"/>
  <c r="R43" i="57"/>
  <c r="O43" i="57"/>
  <c r="P43" i="57"/>
  <c r="N43" i="57"/>
  <c r="L43" i="57"/>
  <c r="F43" i="57"/>
  <c r="J42" i="57"/>
  <c r="X42" i="57"/>
  <c r="C42" i="57"/>
  <c r="I42" i="57"/>
  <c r="W42" i="57"/>
  <c r="B42" i="57"/>
  <c r="H42" i="57"/>
  <c r="V42" i="57"/>
  <c r="Q42" i="57"/>
  <c r="E42" i="57"/>
  <c r="M42" i="57"/>
  <c r="U42" i="57"/>
  <c r="K42" i="57"/>
  <c r="T42" i="57"/>
  <c r="S42" i="57"/>
  <c r="R42" i="57"/>
  <c r="O42" i="57"/>
  <c r="P42" i="57"/>
  <c r="N42" i="57"/>
  <c r="L42" i="57"/>
  <c r="F42" i="57"/>
  <c r="J41" i="57"/>
  <c r="X41" i="57"/>
  <c r="C41" i="57"/>
  <c r="I41" i="57"/>
  <c r="W41" i="57"/>
  <c r="B41" i="57"/>
  <c r="H41" i="57"/>
  <c r="V41" i="57"/>
  <c r="Q41" i="57"/>
  <c r="E41" i="57"/>
  <c r="M41" i="57"/>
  <c r="U41" i="57"/>
  <c r="K41" i="57"/>
  <c r="T41" i="57"/>
  <c r="S41" i="57"/>
  <c r="R41" i="57"/>
  <c r="O41" i="57"/>
  <c r="P41" i="57"/>
  <c r="N41" i="57"/>
  <c r="L41" i="57"/>
  <c r="F41" i="57"/>
  <c r="J40" i="57"/>
  <c r="X40" i="57"/>
  <c r="C40" i="57"/>
  <c r="I40" i="57"/>
  <c r="W40" i="57"/>
  <c r="B40" i="57"/>
  <c r="H40" i="57"/>
  <c r="V40" i="57"/>
  <c r="Q40" i="57"/>
  <c r="E40" i="57"/>
  <c r="M40" i="57"/>
  <c r="U40" i="57"/>
  <c r="K40" i="57"/>
  <c r="T40" i="57"/>
  <c r="S40" i="57"/>
  <c r="R40" i="57"/>
  <c r="O40" i="57"/>
  <c r="P40" i="57"/>
  <c r="N40" i="57"/>
  <c r="L40" i="57"/>
  <c r="F40" i="57"/>
  <c r="J39" i="57"/>
  <c r="X39" i="57"/>
  <c r="C39" i="57"/>
  <c r="I39" i="57"/>
  <c r="W39" i="57"/>
  <c r="B39" i="57"/>
  <c r="H39" i="57"/>
  <c r="V39" i="57"/>
  <c r="Q39" i="57"/>
  <c r="E39" i="57"/>
  <c r="M39" i="57"/>
  <c r="U39" i="57"/>
  <c r="K39" i="57"/>
  <c r="T39" i="57"/>
  <c r="S39" i="57"/>
  <c r="R39" i="57"/>
  <c r="O39" i="57"/>
  <c r="P39" i="57"/>
  <c r="N39" i="57"/>
  <c r="L39" i="57"/>
  <c r="F39" i="57"/>
  <c r="J38" i="57"/>
  <c r="X38" i="57"/>
  <c r="C38" i="57"/>
  <c r="I38" i="57"/>
  <c r="W38" i="57"/>
  <c r="B38" i="57"/>
  <c r="H38" i="57"/>
  <c r="V38" i="57"/>
  <c r="Q38" i="57"/>
  <c r="E38" i="57"/>
  <c r="M38" i="57"/>
  <c r="U38" i="57"/>
  <c r="K38" i="57"/>
  <c r="T38" i="57"/>
  <c r="S38" i="57"/>
  <c r="R38" i="57"/>
  <c r="O38" i="57"/>
  <c r="P38" i="57"/>
  <c r="N38" i="57"/>
  <c r="L38" i="57"/>
  <c r="F38" i="57"/>
  <c r="J37" i="57"/>
  <c r="X37" i="57"/>
  <c r="C37" i="57"/>
  <c r="I37" i="57"/>
  <c r="W37" i="57"/>
  <c r="B37" i="57"/>
  <c r="H37" i="57"/>
  <c r="V37" i="57"/>
  <c r="Q37" i="57"/>
  <c r="E37" i="57"/>
  <c r="M37" i="57"/>
  <c r="U37" i="57"/>
  <c r="K37" i="57"/>
  <c r="T37" i="57"/>
  <c r="S37" i="57"/>
  <c r="R37" i="57"/>
  <c r="O37" i="57"/>
  <c r="P37" i="57"/>
  <c r="N37" i="57"/>
  <c r="L37" i="57"/>
  <c r="F37" i="57"/>
  <c r="J36" i="57"/>
  <c r="X36" i="57"/>
  <c r="C36" i="57"/>
  <c r="I36" i="57"/>
  <c r="W36" i="57"/>
  <c r="B36" i="57"/>
  <c r="H36" i="57"/>
  <c r="V36" i="57"/>
  <c r="Q36" i="57"/>
  <c r="E36" i="57"/>
  <c r="M36" i="57"/>
  <c r="U36" i="57"/>
  <c r="K36" i="57"/>
  <c r="T36" i="57"/>
  <c r="S36" i="57"/>
  <c r="R36" i="57"/>
  <c r="O36" i="57"/>
  <c r="P36" i="57"/>
  <c r="N36" i="57"/>
  <c r="L36" i="57"/>
  <c r="F36" i="57"/>
  <c r="J35" i="57"/>
  <c r="X35" i="57"/>
  <c r="C35" i="57"/>
  <c r="I35" i="57"/>
  <c r="W35" i="57"/>
  <c r="B35" i="57"/>
  <c r="H35" i="57"/>
  <c r="V35" i="57"/>
  <c r="Q35" i="57"/>
  <c r="E35" i="57"/>
  <c r="M35" i="57"/>
  <c r="U35" i="57"/>
  <c r="K35" i="57"/>
  <c r="T35" i="57"/>
  <c r="S35" i="57"/>
  <c r="R35" i="57"/>
  <c r="O35" i="57"/>
  <c r="P35" i="57"/>
  <c r="N35" i="57"/>
  <c r="L35" i="57"/>
  <c r="F35" i="57"/>
  <c r="J34" i="57"/>
  <c r="X34" i="57"/>
  <c r="C34" i="57"/>
  <c r="I34" i="57"/>
  <c r="W34" i="57"/>
  <c r="B34" i="57"/>
  <c r="H34" i="57"/>
  <c r="V34" i="57"/>
  <c r="Q34" i="57"/>
  <c r="E34" i="57"/>
  <c r="M34" i="57"/>
  <c r="U34" i="57"/>
  <c r="K34" i="57"/>
  <c r="T34" i="57"/>
  <c r="S34" i="57"/>
  <c r="R34" i="57"/>
  <c r="O34" i="57"/>
  <c r="P34" i="57"/>
  <c r="N34" i="57"/>
  <c r="L34" i="57"/>
  <c r="F34" i="57"/>
  <c r="J33" i="57"/>
  <c r="X33" i="57"/>
  <c r="C33" i="57"/>
  <c r="I33" i="57"/>
  <c r="W33" i="57"/>
  <c r="B33" i="57"/>
  <c r="H33" i="57"/>
  <c r="V33" i="57"/>
  <c r="Q33" i="57"/>
  <c r="E33" i="57"/>
  <c r="M33" i="57"/>
  <c r="U33" i="57"/>
  <c r="K33" i="57"/>
  <c r="T33" i="57"/>
  <c r="S33" i="57"/>
  <c r="R33" i="57"/>
  <c r="O33" i="57"/>
  <c r="P33" i="57"/>
  <c r="N33" i="57"/>
  <c r="L33" i="57"/>
  <c r="F33" i="57"/>
  <c r="J32" i="57"/>
  <c r="X32" i="57"/>
  <c r="C32" i="57"/>
  <c r="I32" i="57"/>
  <c r="W32" i="57"/>
  <c r="B32" i="57"/>
  <c r="H32" i="57"/>
  <c r="V32" i="57"/>
  <c r="Q32" i="57"/>
  <c r="E32" i="57"/>
  <c r="M32" i="57"/>
  <c r="U32" i="57"/>
  <c r="K32" i="57"/>
  <c r="T32" i="57"/>
  <c r="S32" i="57"/>
  <c r="R32" i="57"/>
  <c r="O32" i="57"/>
  <c r="P32" i="57"/>
  <c r="N32" i="57"/>
  <c r="L32" i="57"/>
  <c r="F32" i="57"/>
  <c r="J31" i="57"/>
  <c r="X31" i="57"/>
  <c r="C31" i="57"/>
  <c r="I31" i="57"/>
  <c r="W31" i="57"/>
  <c r="B31" i="57"/>
  <c r="H31" i="57"/>
  <c r="V31" i="57"/>
  <c r="Q31" i="57"/>
  <c r="E31" i="57"/>
  <c r="M31" i="57"/>
  <c r="U31" i="57"/>
  <c r="K31" i="57"/>
  <c r="T31" i="57"/>
  <c r="S31" i="57"/>
  <c r="R31" i="57"/>
  <c r="O31" i="57"/>
  <c r="P31" i="57"/>
  <c r="N31" i="57"/>
  <c r="L31" i="57"/>
  <c r="F31" i="57"/>
  <c r="J30" i="57"/>
  <c r="X30" i="57"/>
  <c r="C30" i="57"/>
  <c r="I30" i="57"/>
  <c r="W30" i="57"/>
  <c r="B30" i="57"/>
  <c r="H30" i="57"/>
  <c r="V30" i="57"/>
  <c r="Q30" i="57"/>
  <c r="E30" i="57"/>
  <c r="M30" i="57"/>
  <c r="U30" i="57"/>
  <c r="K30" i="57"/>
  <c r="T30" i="57"/>
  <c r="S30" i="57"/>
  <c r="R30" i="57"/>
  <c r="O30" i="57"/>
  <c r="P30" i="57"/>
  <c r="N30" i="57"/>
  <c r="L30" i="57"/>
  <c r="F30" i="57"/>
  <c r="J29" i="57"/>
  <c r="X29" i="57"/>
  <c r="C29" i="57"/>
  <c r="I29" i="57"/>
  <c r="W29" i="57"/>
  <c r="B29" i="57"/>
  <c r="H29" i="57"/>
  <c r="V29" i="57"/>
  <c r="Q29" i="57"/>
  <c r="E29" i="57"/>
  <c r="M29" i="57"/>
  <c r="U29" i="57"/>
  <c r="K29" i="57"/>
  <c r="T29" i="57"/>
  <c r="S29" i="57"/>
  <c r="R29" i="57"/>
  <c r="O29" i="57"/>
  <c r="P29" i="57"/>
  <c r="N29" i="57"/>
  <c r="L29" i="57"/>
  <c r="F29" i="57"/>
  <c r="J28" i="57"/>
  <c r="X28" i="57"/>
  <c r="C28" i="57"/>
  <c r="I28" i="57"/>
  <c r="W28" i="57"/>
  <c r="B28" i="57"/>
  <c r="H28" i="57"/>
  <c r="V28" i="57"/>
  <c r="Q28" i="57"/>
  <c r="E28" i="57"/>
  <c r="M28" i="57"/>
  <c r="U28" i="57"/>
  <c r="K28" i="57"/>
  <c r="T28" i="57"/>
  <c r="S28" i="57"/>
  <c r="R28" i="57"/>
  <c r="O28" i="57"/>
  <c r="P28" i="57"/>
  <c r="N28" i="57"/>
  <c r="L28" i="57"/>
  <c r="F28" i="57"/>
  <c r="J27" i="57"/>
  <c r="X27" i="57"/>
  <c r="C27" i="57"/>
  <c r="I27" i="57"/>
  <c r="W27" i="57"/>
  <c r="B27" i="57"/>
  <c r="H27" i="57"/>
  <c r="V27" i="57"/>
  <c r="Q27" i="57"/>
  <c r="E27" i="57"/>
  <c r="M27" i="57"/>
  <c r="U27" i="57"/>
  <c r="K27" i="57"/>
  <c r="T27" i="57"/>
  <c r="S27" i="57"/>
  <c r="R27" i="57"/>
  <c r="O27" i="57"/>
  <c r="P27" i="57"/>
  <c r="N27" i="57"/>
  <c r="L27" i="57"/>
  <c r="F27" i="57"/>
  <c r="J26" i="57"/>
  <c r="X26" i="57"/>
  <c r="C26" i="57"/>
  <c r="I26" i="57"/>
  <c r="W26" i="57"/>
  <c r="B26" i="57"/>
  <c r="H26" i="57"/>
  <c r="V26" i="57"/>
  <c r="Q26" i="57"/>
  <c r="E26" i="57"/>
  <c r="M26" i="57"/>
  <c r="U26" i="57"/>
  <c r="K26" i="57"/>
  <c r="T26" i="57"/>
  <c r="S26" i="57"/>
  <c r="R26" i="57"/>
  <c r="O26" i="57"/>
  <c r="P26" i="57"/>
  <c r="N26" i="57"/>
  <c r="L26" i="57"/>
  <c r="F26" i="57"/>
  <c r="J25" i="57"/>
  <c r="X25" i="57"/>
  <c r="C25" i="57"/>
  <c r="I25" i="57"/>
  <c r="W25" i="57"/>
  <c r="B25" i="57"/>
  <c r="H25" i="57"/>
  <c r="V25" i="57"/>
  <c r="Q25" i="57"/>
  <c r="E25" i="57"/>
  <c r="M25" i="57"/>
  <c r="U25" i="57"/>
  <c r="K25" i="57"/>
  <c r="T25" i="57"/>
  <c r="S25" i="57"/>
  <c r="R25" i="57"/>
  <c r="O25" i="57"/>
  <c r="P25" i="57"/>
  <c r="N25" i="57"/>
  <c r="L25" i="57"/>
  <c r="F25" i="57"/>
  <c r="J24" i="57"/>
  <c r="X24" i="57"/>
  <c r="C24" i="57"/>
  <c r="I24" i="57"/>
  <c r="W24" i="57"/>
  <c r="B24" i="57"/>
  <c r="H24" i="57"/>
  <c r="V24" i="57"/>
  <c r="Q24" i="57"/>
  <c r="E24" i="57"/>
  <c r="M24" i="57"/>
  <c r="U24" i="57"/>
  <c r="K24" i="57"/>
  <c r="T24" i="57"/>
  <c r="S24" i="57"/>
  <c r="R24" i="57"/>
  <c r="O24" i="57"/>
  <c r="P24" i="57"/>
  <c r="N24" i="57"/>
  <c r="L24" i="57"/>
  <c r="F24" i="57"/>
  <c r="J23" i="57"/>
  <c r="X23" i="57"/>
  <c r="C23" i="57"/>
  <c r="I23" i="57"/>
  <c r="W23" i="57"/>
  <c r="B23" i="57"/>
  <c r="H23" i="57"/>
  <c r="V23" i="57"/>
  <c r="Q23" i="57"/>
  <c r="E23" i="57"/>
  <c r="M23" i="57"/>
  <c r="U23" i="57"/>
  <c r="K23" i="57"/>
  <c r="T23" i="57"/>
  <c r="S23" i="57"/>
  <c r="R23" i="57"/>
  <c r="O23" i="57"/>
  <c r="P23" i="57"/>
  <c r="N23" i="57"/>
  <c r="L23" i="57"/>
  <c r="F23" i="57"/>
  <c r="J22" i="57"/>
  <c r="X22" i="57"/>
  <c r="C22" i="57"/>
  <c r="I22" i="57"/>
  <c r="W22" i="57"/>
  <c r="B22" i="57"/>
  <c r="H22" i="57"/>
  <c r="V22" i="57"/>
  <c r="Q22" i="57"/>
  <c r="E22" i="57"/>
  <c r="M22" i="57"/>
  <c r="U22" i="57"/>
  <c r="K22" i="57"/>
  <c r="T22" i="57"/>
  <c r="S22" i="57"/>
  <c r="R22" i="57"/>
  <c r="O22" i="57"/>
  <c r="P22" i="57"/>
  <c r="N22" i="57"/>
  <c r="L22" i="57"/>
  <c r="F22" i="57"/>
  <c r="J21" i="57"/>
  <c r="X21" i="57"/>
  <c r="C21" i="57"/>
  <c r="I21" i="57"/>
  <c r="W21" i="57"/>
  <c r="B21" i="57"/>
  <c r="H21" i="57"/>
  <c r="V21" i="57"/>
  <c r="Q21" i="57"/>
  <c r="E21" i="57"/>
  <c r="M21" i="57"/>
  <c r="U21" i="57"/>
  <c r="K21" i="57"/>
  <c r="T21" i="57"/>
  <c r="S21" i="57"/>
  <c r="R21" i="57"/>
  <c r="O21" i="57"/>
  <c r="P21" i="57"/>
  <c r="N21" i="57"/>
  <c r="L21" i="57"/>
  <c r="F21" i="57"/>
  <c r="J20" i="57"/>
  <c r="X20" i="57"/>
  <c r="C20" i="57"/>
  <c r="I20" i="57"/>
  <c r="W20" i="57"/>
  <c r="B20" i="57"/>
  <c r="H20" i="57"/>
  <c r="V20" i="57"/>
  <c r="Q20" i="57"/>
  <c r="E20" i="57"/>
  <c r="M20" i="57"/>
  <c r="U20" i="57"/>
  <c r="K20" i="57"/>
  <c r="T20" i="57"/>
  <c r="S20" i="57"/>
  <c r="R20" i="57"/>
  <c r="O20" i="57"/>
  <c r="P20" i="57"/>
  <c r="N20" i="57"/>
  <c r="L20" i="57"/>
  <c r="F20" i="57"/>
  <c r="J19" i="57"/>
  <c r="X19" i="57"/>
  <c r="C19" i="57"/>
  <c r="I19" i="57"/>
  <c r="W19" i="57"/>
  <c r="B19" i="57"/>
  <c r="H19" i="57"/>
  <c r="V19" i="57"/>
  <c r="Q19" i="57"/>
  <c r="E19" i="57"/>
  <c r="M19" i="57"/>
  <c r="U19" i="57"/>
  <c r="K19" i="57"/>
  <c r="T19" i="57"/>
  <c r="S19" i="57"/>
  <c r="R19" i="57"/>
  <c r="O19" i="57"/>
  <c r="P19" i="57"/>
  <c r="N19" i="57"/>
  <c r="L19" i="57"/>
  <c r="F19" i="57"/>
  <c r="J18" i="57"/>
  <c r="X18" i="57"/>
  <c r="C18" i="57"/>
  <c r="I18" i="57"/>
  <c r="W18" i="57"/>
  <c r="B18" i="57"/>
  <c r="H18" i="57"/>
  <c r="V18" i="57"/>
  <c r="Q18" i="57"/>
  <c r="E18" i="57"/>
  <c r="M18" i="57"/>
  <c r="U18" i="57"/>
  <c r="K18" i="57"/>
  <c r="T18" i="57"/>
  <c r="S18" i="57"/>
  <c r="R18" i="57"/>
  <c r="O18" i="57"/>
  <c r="P18" i="57"/>
  <c r="N18" i="57"/>
  <c r="L18" i="57"/>
  <c r="F18" i="57"/>
  <c r="J17" i="57"/>
  <c r="X17" i="57"/>
  <c r="C17" i="57"/>
  <c r="I17" i="57"/>
  <c r="W17" i="57"/>
  <c r="B17" i="57"/>
  <c r="H17" i="57"/>
  <c r="V17" i="57"/>
  <c r="Q17" i="57"/>
  <c r="E17" i="57"/>
  <c r="M17" i="57"/>
  <c r="U17" i="57"/>
  <c r="K17" i="57"/>
  <c r="T17" i="57"/>
  <c r="S17" i="57"/>
  <c r="R17" i="57"/>
  <c r="O17" i="57"/>
  <c r="P17" i="57"/>
  <c r="N17" i="57"/>
  <c r="L17" i="57"/>
  <c r="F17" i="57"/>
  <c r="J16" i="57"/>
  <c r="X16" i="57"/>
  <c r="C16" i="57"/>
  <c r="I16" i="57"/>
  <c r="W16" i="57"/>
  <c r="B16" i="57"/>
  <c r="H16" i="57"/>
  <c r="V16" i="57"/>
  <c r="Q16" i="57"/>
  <c r="E16" i="57"/>
  <c r="M16" i="57"/>
  <c r="U16" i="57"/>
  <c r="K16" i="57"/>
  <c r="T16" i="57"/>
  <c r="S16" i="57"/>
  <c r="R16" i="57"/>
  <c r="O16" i="57"/>
  <c r="P16" i="57"/>
  <c r="N16" i="57"/>
  <c r="L16" i="57"/>
  <c r="F16" i="57"/>
  <c r="J15" i="57"/>
  <c r="X15" i="57"/>
  <c r="C15" i="57"/>
  <c r="I15" i="57"/>
  <c r="W15" i="57"/>
  <c r="B15" i="57"/>
  <c r="H15" i="57"/>
  <c r="V15" i="57"/>
  <c r="Q15" i="57"/>
  <c r="E15" i="57"/>
  <c r="M15" i="57"/>
  <c r="U15" i="57"/>
  <c r="K15" i="57"/>
  <c r="T15" i="57"/>
  <c r="S15" i="57"/>
  <c r="R15" i="57"/>
  <c r="O15" i="57"/>
  <c r="P15" i="57"/>
  <c r="N15" i="57"/>
  <c r="L15" i="57"/>
  <c r="F15" i="57"/>
  <c r="J14" i="57"/>
  <c r="X14" i="57"/>
  <c r="C14" i="57"/>
  <c r="I14" i="57"/>
  <c r="W14" i="57"/>
  <c r="B14" i="57"/>
  <c r="H14" i="57"/>
  <c r="V14" i="57"/>
  <c r="Q14" i="57"/>
  <c r="E14" i="57"/>
  <c r="M14" i="57"/>
  <c r="U14" i="57"/>
  <c r="K14" i="57"/>
  <c r="T14" i="57"/>
  <c r="S14" i="57"/>
  <c r="R14" i="57"/>
  <c r="O14" i="57"/>
  <c r="P14" i="57"/>
  <c r="N14" i="57"/>
  <c r="L14" i="57"/>
  <c r="F14" i="57"/>
  <c r="J13" i="57"/>
  <c r="X13" i="57"/>
  <c r="C13" i="57"/>
  <c r="I13" i="57"/>
  <c r="W13" i="57"/>
  <c r="B13" i="57"/>
  <c r="H13" i="57"/>
  <c r="V13" i="57"/>
  <c r="Q13" i="57"/>
  <c r="E13" i="57"/>
  <c r="M13" i="57"/>
  <c r="U13" i="57"/>
  <c r="K13" i="57"/>
  <c r="T13" i="57"/>
  <c r="S13" i="57"/>
  <c r="R13" i="57"/>
  <c r="O13" i="57"/>
  <c r="P13" i="57"/>
  <c r="N13" i="57"/>
  <c r="L13" i="57"/>
  <c r="F13" i="57"/>
  <c r="J12" i="57"/>
  <c r="X12" i="57"/>
  <c r="C12" i="57"/>
  <c r="I12" i="57"/>
  <c r="W12" i="57"/>
  <c r="B12" i="57"/>
  <c r="H12" i="57"/>
  <c r="V12" i="57"/>
  <c r="Q12" i="57"/>
  <c r="E12" i="57"/>
  <c r="M12" i="57"/>
  <c r="U12" i="57"/>
  <c r="K12" i="57"/>
  <c r="T12" i="57"/>
  <c r="S12" i="57"/>
  <c r="R12" i="57"/>
  <c r="O12" i="57"/>
  <c r="P12" i="57"/>
  <c r="N12" i="57"/>
  <c r="L12" i="57"/>
  <c r="F12" i="57"/>
  <c r="J11" i="57"/>
  <c r="X11" i="57"/>
  <c r="C11" i="57"/>
  <c r="I11" i="57"/>
  <c r="W11" i="57"/>
  <c r="B11" i="57"/>
  <c r="H11" i="57"/>
  <c r="V11" i="57"/>
  <c r="Q11" i="57"/>
  <c r="E11" i="57"/>
  <c r="M11" i="57"/>
  <c r="U11" i="57"/>
  <c r="K11" i="57"/>
  <c r="T11" i="57"/>
  <c r="S11" i="57"/>
  <c r="R11" i="57"/>
  <c r="O11" i="57"/>
  <c r="P11" i="57"/>
  <c r="N11" i="57"/>
  <c r="L11" i="57"/>
  <c r="F11" i="57"/>
  <c r="B10" i="57"/>
  <c r="H10" i="57"/>
  <c r="Q10" i="57"/>
  <c r="E10" i="57"/>
  <c r="O10" i="57"/>
  <c r="P10" i="57"/>
  <c r="M10" i="57"/>
  <c r="N10" i="57"/>
  <c r="K10" i="57"/>
  <c r="L10" i="57"/>
  <c r="C10" i="57"/>
  <c r="I10" i="57"/>
  <c r="F10" i="57"/>
  <c r="B9" i="57"/>
  <c r="H9" i="57"/>
  <c r="Q9" i="57"/>
  <c r="E9" i="57"/>
  <c r="O9" i="57"/>
  <c r="P9" i="57"/>
  <c r="M9" i="57"/>
  <c r="N9" i="57"/>
  <c r="K9" i="57"/>
  <c r="L9" i="57"/>
  <c r="X20" i="38"/>
  <c r="X17" i="38"/>
  <c r="X15" i="38"/>
  <c r="X16" i="38"/>
  <c r="X14" i="38"/>
  <c r="M15" i="38"/>
  <c r="M16" i="38"/>
  <c r="M17" i="38"/>
  <c r="M18" i="38"/>
  <c r="M19" i="38"/>
  <c r="M20" i="38"/>
  <c r="M21" i="38"/>
  <c r="M22" i="38"/>
  <c r="M23" i="38"/>
  <c r="M24" i="38"/>
  <c r="M25" i="38"/>
  <c r="M26" i="38"/>
  <c r="M27" i="38"/>
  <c r="M28" i="38"/>
  <c r="M29" i="38"/>
  <c r="M30" i="38"/>
  <c r="M31" i="38"/>
  <c r="M32" i="38"/>
  <c r="M33" i="38"/>
  <c r="M34" i="38"/>
  <c r="M35" i="38"/>
  <c r="M36" i="38"/>
  <c r="M37" i="38"/>
  <c r="M38" i="38"/>
  <c r="M39" i="38"/>
  <c r="M40" i="38"/>
  <c r="M41" i="38"/>
  <c r="M42" i="38"/>
  <c r="M43" i="38"/>
  <c r="M44" i="38"/>
  <c r="M45" i="38"/>
  <c r="M46" i="38"/>
  <c r="M47" i="38"/>
  <c r="M48" i="38"/>
  <c r="M49" i="38"/>
  <c r="M50" i="38"/>
  <c r="M51" i="38"/>
  <c r="M52" i="38"/>
  <c r="M53" i="38"/>
  <c r="M54" i="38"/>
  <c r="M55" i="38"/>
  <c r="M56" i="38"/>
  <c r="M57" i="38"/>
  <c r="M58" i="38"/>
  <c r="M59" i="38"/>
  <c r="M60" i="38"/>
  <c r="M61" i="38"/>
  <c r="M62" i="38"/>
  <c r="M63" i="38"/>
  <c r="M64" i="38"/>
  <c r="M65" i="38"/>
  <c r="M66" i="38"/>
  <c r="M67" i="38"/>
  <c r="M68" i="38"/>
  <c r="M69" i="38"/>
  <c r="M70" i="38"/>
  <c r="M71" i="38"/>
  <c r="M72" i="38"/>
  <c r="M73" i="38"/>
  <c r="M74" i="38"/>
  <c r="M75" i="38"/>
  <c r="M76" i="38"/>
  <c r="M77" i="38"/>
  <c r="M78" i="38"/>
  <c r="M79" i="38"/>
  <c r="M80" i="38"/>
  <c r="M81" i="38"/>
  <c r="M82" i="38"/>
  <c r="M83" i="38"/>
  <c r="M84" i="38"/>
  <c r="M85" i="38"/>
  <c r="M86" i="38"/>
  <c r="M87" i="38"/>
  <c r="M88" i="38"/>
  <c r="M89" i="38"/>
  <c r="M90" i="38"/>
  <c r="M91" i="38"/>
  <c r="M92" i="38"/>
  <c r="M93" i="38"/>
  <c r="M94" i="38"/>
  <c r="M95" i="38"/>
  <c r="M96" i="38"/>
  <c r="M97" i="38"/>
  <c r="M98" i="38"/>
  <c r="M99" i="38"/>
  <c r="M100" i="38"/>
  <c r="M101" i="38"/>
  <c r="M102" i="38"/>
  <c r="M103" i="38"/>
  <c r="M104" i="38"/>
  <c r="M105" i="38"/>
  <c r="M106" i="38"/>
  <c r="M107" i="38"/>
  <c r="M108" i="38"/>
  <c r="M109" i="38"/>
  <c r="M110" i="38"/>
  <c r="M111" i="38"/>
  <c r="M112" i="38"/>
  <c r="M113" i="38"/>
  <c r="M114" i="38"/>
  <c r="M115" i="38"/>
  <c r="M116" i="38"/>
  <c r="M117" i="38"/>
  <c r="M118" i="38"/>
  <c r="M119" i="38"/>
  <c r="M120" i="38"/>
  <c r="M121" i="38"/>
  <c r="M122" i="38"/>
  <c r="M123" i="38"/>
  <c r="M124" i="38"/>
  <c r="M125" i="38"/>
  <c r="M126" i="38"/>
  <c r="M127" i="38"/>
  <c r="M128" i="38"/>
  <c r="M129" i="38"/>
  <c r="M130" i="38"/>
  <c r="M131" i="38"/>
  <c r="M132" i="38"/>
  <c r="M133" i="38"/>
  <c r="M134" i="38"/>
  <c r="M135" i="38"/>
  <c r="M136" i="38"/>
  <c r="M137" i="38"/>
  <c r="M138" i="38"/>
  <c r="M139" i="38"/>
  <c r="M140" i="38"/>
  <c r="M141" i="38"/>
  <c r="M142" i="38"/>
  <c r="M143" i="38"/>
  <c r="M144" i="38"/>
  <c r="M145" i="38"/>
  <c r="M146" i="38"/>
  <c r="M147" i="38"/>
  <c r="M148" i="38"/>
  <c r="M149" i="38"/>
  <c r="M150" i="38"/>
  <c r="M151" i="38"/>
  <c r="M152" i="38"/>
  <c r="M153" i="38"/>
  <c r="M154" i="38"/>
  <c r="M155" i="38"/>
  <c r="M156" i="38"/>
  <c r="M157" i="38"/>
  <c r="M158" i="38"/>
  <c r="M159" i="38"/>
  <c r="M160" i="38"/>
  <c r="M161" i="38"/>
  <c r="M162" i="38"/>
  <c r="M163" i="38"/>
  <c r="M164" i="38"/>
  <c r="M165" i="38"/>
  <c r="M166" i="38"/>
  <c r="M167" i="38"/>
  <c r="M168" i="38"/>
  <c r="M169" i="38"/>
  <c r="M170" i="38"/>
  <c r="M171" i="38"/>
  <c r="M172" i="38"/>
  <c r="M173" i="38"/>
  <c r="M174" i="38"/>
  <c r="M175" i="38"/>
  <c r="M176" i="38"/>
  <c r="M177" i="38"/>
  <c r="M178" i="38"/>
  <c r="M179" i="38"/>
  <c r="M180" i="38"/>
  <c r="M181" i="38"/>
  <c r="M182" i="38"/>
  <c r="M183" i="38"/>
  <c r="M184" i="38"/>
  <c r="M185" i="38"/>
  <c r="M186" i="38"/>
  <c r="M187" i="38"/>
  <c r="M188" i="38"/>
  <c r="M189" i="38"/>
  <c r="M190" i="38"/>
  <c r="M191" i="38"/>
  <c r="M192" i="38"/>
  <c r="M193" i="38"/>
  <c r="M194" i="38"/>
  <c r="M195" i="38"/>
  <c r="M196" i="38"/>
  <c r="M197" i="38"/>
  <c r="M198" i="38"/>
  <c r="M199" i="38"/>
  <c r="M200" i="38"/>
  <c r="M201" i="38"/>
  <c r="M202" i="38"/>
  <c r="M203" i="38"/>
  <c r="M204" i="38"/>
  <c r="M205" i="38"/>
  <c r="M206" i="38"/>
  <c r="M207" i="38"/>
  <c r="M208" i="38"/>
  <c r="M209" i="38"/>
  <c r="M210" i="38"/>
  <c r="M211" i="38"/>
  <c r="M212" i="38"/>
  <c r="M213" i="38"/>
  <c r="M214" i="38"/>
  <c r="M215" i="38"/>
  <c r="M216" i="38"/>
  <c r="M217" i="38"/>
  <c r="M218" i="38"/>
  <c r="M219" i="38"/>
  <c r="M220" i="38"/>
  <c r="M221" i="38"/>
  <c r="M222" i="38"/>
  <c r="M223" i="38"/>
  <c r="M224" i="38"/>
  <c r="M225" i="38"/>
  <c r="M226" i="38"/>
  <c r="M227" i="38"/>
  <c r="M228" i="38"/>
  <c r="M229" i="38"/>
  <c r="M230" i="38"/>
  <c r="M231" i="38"/>
  <c r="M232" i="38"/>
  <c r="M233" i="38"/>
  <c r="M234" i="38"/>
  <c r="M235" i="38"/>
  <c r="M236" i="38"/>
  <c r="M237" i="38"/>
  <c r="M238" i="38"/>
  <c r="M239" i="38"/>
  <c r="M240" i="38"/>
  <c r="M241" i="38"/>
  <c r="M242" i="38"/>
  <c r="M243" i="38"/>
  <c r="M244" i="38"/>
  <c r="M245" i="38"/>
  <c r="M246" i="38"/>
  <c r="M247" i="38"/>
  <c r="M248" i="38"/>
  <c r="M249" i="38"/>
  <c r="M250" i="38"/>
  <c r="M251" i="38"/>
  <c r="M252" i="38"/>
  <c r="M253" i="38"/>
  <c r="M254" i="38"/>
  <c r="M255" i="38"/>
  <c r="M256" i="38"/>
  <c r="M257" i="38"/>
  <c r="M258" i="38"/>
  <c r="M259" i="38"/>
  <c r="M260" i="38"/>
  <c r="M261" i="38"/>
  <c r="M262" i="38"/>
  <c r="M263" i="38"/>
  <c r="M264" i="38"/>
  <c r="M265" i="38"/>
  <c r="M266" i="38"/>
  <c r="M267" i="38"/>
  <c r="M268" i="38"/>
  <c r="M269" i="38"/>
  <c r="M270" i="38"/>
  <c r="M271" i="38"/>
  <c r="M272" i="38"/>
  <c r="M273" i="38"/>
  <c r="M274" i="38"/>
  <c r="M275" i="38"/>
  <c r="M276" i="38"/>
  <c r="M277" i="38"/>
  <c r="M278" i="38"/>
  <c r="M279" i="38"/>
  <c r="M280" i="38"/>
  <c r="M281" i="38"/>
  <c r="M282" i="38"/>
  <c r="M283" i="38"/>
  <c r="M284" i="38"/>
  <c r="M285" i="38"/>
  <c r="M286" i="38"/>
  <c r="M287" i="38"/>
  <c r="M288" i="38"/>
  <c r="M289" i="38"/>
  <c r="M290" i="38"/>
  <c r="M291" i="38"/>
  <c r="M292" i="38"/>
  <c r="M293" i="38"/>
  <c r="M294" i="38"/>
  <c r="M295" i="38"/>
  <c r="M296" i="38"/>
  <c r="M297" i="38"/>
  <c r="M298" i="38"/>
  <c r="M299" i="38"/>
  <c r="M300" i="38"/>
  <c r="M301" i="38"/>
  <c r="M302" i="38"/>
  <c r="M303" i="38"/>
  <c r="M304" i="38"/>
  <c r="M305" i="38"/>
  <c r="M306" i="38"/>
  <c r="M307" i="38"/>
  <c r="M308" i="38"/>
  <c r="M309" i="38"/>
  <c r="M310" i="38"/>
  <c r="M311" i="38"/>
  <c r="M312" i="38"/>
  <c r="M313" i="38"/>
  <c r="M314" i="38"/>
  <c r="M315" i="38"/>
  <c r="M316" i="38"/>
  <c r="M317" i="38"/>
  <c r="M318" i="38"/>
  <c r="M319" i="38"/>
  <c r="M320" i="38"/>
  <c r="M321" i="38"/>
  <c r="M322" i="38"/>
  <c r="M323" i="38"/>
  <c r="M324" i="38"/>
  <c r="M325" i="38"/>
  <c r="M326" i="38"/>
  <c r="M327" i="38"/>
  <c r="M328" i="38"/>
  <c r="M329" i="38"/>
  <c r="M330" i="38"/>
  <c r="M331" i="38"/>
  <c r="M332" i="38"/>
  <c r="M333" i="38"/>
  <c r="M334" i="38"/>
  <c r="M335" i="38"/>
  <c r="M336" i="38"/>
  <c r="M337" i="38"/>
  <c r="M338" i="38"/>
  <c r="M339" i="38"/>
  <c r="M340" i="38"/>
  <c r="M341" i="38"/>
  <c r="M342" i="38"/>
  <c r="M343" i="38"/>
  <c r="M344" i="38"/>
  <c r="M345" i="38"/>
  <c r="M346" i="38"/>
  <c r="M347" i="38"/>
  <c r="M348" i="38"/>
  <c r="M349" i="38"/>
  <c r="M350" i="38"/>
  <c r="M351" i="38"/>
  <c r="M352" i="38"/>
  <c r="M353" i="38"/>
  <c r="M354" i="38"/>
  <c r="M355" i="38"/>
  <c r="M356" i="38"/>
  <c r="M357" i="38"/>
  <c r="M358" i="38"/>
  <c r="M359" i="38"/>
  <c r="M360" i="38"/>
  <c r="M361" i="38"/>
  <c r="M362" i="38"/>
  <c r="M363" i="38"/>
  <c r="M364" i="38"/>
  <c r="M365" i="38"/>
  <c r="M366" i="38"/>
  <c r="M367" i="38"/>
  <c r="M368" i="38"/>
  <c r="M369" i="38"/>
  <c r="M370" i="38"/>
  <c r="M371" i="38"/>
  <c r="M372" i="38"/>
  <c r="M373" i="38"/>
  <c r="M374" i="38"/>
  <c r="M375" i="38"/>
  <c r="M376" i="38"/>
  <c r="M377" i="38"/>
  <c r="M378" i="38"/>
  <c r="M379" i="38"/>
  <c r="M380" i="38"/>
  <c r="M381" i="38"/>
  <c r="M382" i="38"/>
  <c r="M383" i="38"/>
  <c r="M384" i="38"/>
  <c r="M385" i="38"/>
  <c r="M386" i="38"/>
  <c r="M387" i="38"/>
  <c r="M388" i="38"/>
  <c r="M389" i="38"/>
  <c r="M390" i="38"/>
  <c r="M391" i="38"/>
  <c r="M392" i="38"/>
  <c r="M393" i="38"/>
  <c r="M394" i="38"/>
  <c r="M395" i="38"/>
  <c r="M396" i="38"/>
  <c r="M397" i="38"/>
  <c r="M398" i="38"/>
  <c r="M399" i="38"/>
  <c r="M400" i="38"/>
  <c r="M401" i="38"/>
  <c r="M402" i="38"/>
  <c r="M403" i="38"/>
  <c r="M404" i="38"/>
  <c r="M405" i="38"/>
  <c r="M406" i="38"/>
  <c r="M407" i="38"/>
  <c r="M408" i="38"/>
  <c r="M409" i="38"/>
  <c r="M410" i="38"/>
  <c r="M411" i="38"/>
  <c r="M412" i="38"/>
  <c r="M413" i="38"/>
  <c r="M414" i="38"/>
  <c r="M415" i="38"/>
  <c r="M416" i="38"/>
  <c r="M417" i="38"/>
  <c r="M418" i="38"/>
  <c r="M419" i="38"/>
  <c r="M420" i="38"/>
  <c r="M421" i="38"/>
  <c r="M422" i="38"/>
  <c r="M423" i="38"/>
  <c r="M424" i="38"/>
  <c r="M425" i="38"/>
  <c r="M426" i="38"/>
  <c r="M427" i="38"/>
  <c r="M428" i="38"/>
  <c r="M429" i="38"/>
  <c r="M430" i="38"/>
  <c r="M431" i="38"/>
  <c r="M432" i="38"/>
  <c r="M433" i="38"/>
  <c r="M434" i="38"/>
  <c r="M435" i="38"/>
  <c r="M436" i="38"/>
  <c r="M437" i="38"/>
  <c r="M438" i="38"/>
  <c r="M439" i="38"/>
  <c r="M440" i="38"/>
  <c r="M441" i="38"/>
  <c r="M442" i="38"/>
  <c r="M443" i="38"/>
  <c r="M444" i="38"/>
  <c r="M445" i="38"/>
  <c r="M446" i="38"/>
  <c r="M447" i="38"/>
  <c r="M448" i="38"/>
  <c r="M449" i="38"/>
  <c r="M450" i="38"/>
  <c r="M451" i="38"/>
  <c r="M452" i="38"/>
  <c r="M453" i="38"/>
  <c r="M454" i="38"/>
  <c r="M455" i="38"/>
  <c r="M456" i="38"/>
  <c r="M457" i="38"/>
  <c r="M458" i="38"/>
  <c r="M459" i="38"/>
  <c r="M460" i="38"/>
  <c r="M461" i="38"/>
  <c r="M462" i="38"/>
  <c r="M463" i="38"/>
  <c r="M464" i="38"/>
  <c r="M465" i="38"/>
  <c r="M466" i="38"/>
  <c r="M467" i="38"/>
  <c r="M468" i="38"/>
  <c r="M469" i="38"/>
  <c r="M470" i="38"/>
  <c r="M471" i="38"/>
  <c r="M472" i="38"/>
  <c r="M473" i="38"/>
  <c r="M474" i="38"/>
  <c r="M475" i="38"/>
  <c r="M476" i="38"/>
  <c r="M477" i="38"/>
  <c r="M478" i="38"/>
  <c r="M479" i="38"/>
  <c r="M480" i="38"/>
  <c r="M481" i="38"/>
  <c r="M482" i="38"/>
  <c r="M483" i="38"/>
  <c r="M484" i="38"/>
  <c r="M485" i="38"/>
  <c r="M486" i="38"/>
  <c r="M487" i="38"/>
  <c r="M488" i="38"/>
  <c r="M489" i="38"/>
  <c r="M490" i="38"/>
  <c r="M491" i="38"/>
  <c r="M492" i="38"/>
  <c r="M493" i="38"/>
  <c r="M494" i="38"/>
  <c r="M495" i="38"/>
  <c r="M496" i="38"/>
  <c r="M497" i="38"/>
  <c r="M498" i="38"/>
  <c r="M499" i="38"/>
  <c r="M500" i="38"/>
  <c r="M501" i="38"/>
  <c r="M502" i="38"/>
  <c r="M503" i="38"/>
  <c r="M504" i="38"/>
  <c r="M505" i="38"/>
  <c r="M506" i="38"/>
  <c r="M507" i="38"/>
  <c r="M508" i="38"/>
  <c r="M509" i="38"/>
  <c r="M510" i="38"/>
  <c r="M511" i="38"/>
  <c r="M512" i="38"/>
  <c r="M513" i="38"/>
  <c r="M514" i="38"/>
  <c r="M515" i="38"/>
  <c r="M516" i="38"/>
  <c r="M517" i="38"/>
  <c r="M518" i="38"/>
  <c r="M519" i="38"/>
  <c r="M520" i="38"/>
  <c r="M521" i="38"/>
  <c r="M522" i="38"/>
  <c r="M523" i="38"/>
  <c r="M524" i="38"/>
  <c r="M525" i="38"/>
  <c r="M526" i="38"/>
  <c r="M527" i="38"/>
  <c r="M528" i="38"/>
  <c r="M529" i="38"/>
  <c r="M530" i="38"/>
  <c r="M531" i="38"/>
  <c r="M532" i="38"/>
  <c r="M533" i="38"/>
  <c r="M534" i="38"/>
  <c r="M535" i="38"/>
  <c r="M536" i="38"/>
  <c r="M537" i="38"/>
  <c r="M538" i="38"/>
  <c r="M539" i="38"/>
  <c r="M540" i="38"/>
  <c r="M541" i="38"/>
  <c r="M542" i="38"/>
  <c r="M543" i="38"/>
  <c r="M544" i="38"/>
  <c r="M545" i="38"/>
  <c r="M546" i="38"/>
  <c r="M547" i="38"/>
  <c r="M548" i="38"/>
  <c r="M549" i="38"/>
  <c r="M550" i="38"/>
  <c r="M551" i="38"/>
  <c r="M552" i="38"/>
  <c r="M553" i="38"/>
  <c r="M554" i="38"/>
  <c r="M555" i="38"/>
  <c r="M556" i="38"/>
  <c r="M557" i="38"/>
  <c r="M558" i="38"/>
  <c r="M559" i="38"/>
  <c r="M560" i="38"/>
  <c r="M561" i="38"/>
  <c r="M562" i="38"/>
  <c r="M563" i="38"/>
  <c r="M564" i="38"/>
  <c r="M565" i="38"/>
  <c r="M566" i="38"/>
  <c r="M567" i="38"/>
  <c r="M568" i="38"/>
  <c r="M569" i="38"/>
  <c r="M570" i="38"/>
  <c r="M571" i="38"/>
  <c r="M572" i="38"/>
  <c r="M573" i="38"/>
  <c r="M574" i="38"/>
  <c r="M575" i="38"/>
  <c r="M576" i="38"/>
  <c r="M577" i="38"/>
  <c r="M578" i="38"/>
  <c r="M579" i="38"/>
  <c r="M580" i="38"/>
  <c r="M581" i="38"/>
  <c r="M582" i="38"/>
  <c r="M583" i="38"/>
  <c r="M584" i="38"/>
  <c r="M585" i="38"/>
  <c r="M586" i="38"/>
  <c r="M587" i="38"/>
  <c r="M588" i="38"/>
  <c r="M589" i="38"/>
  <c r="M590" i="38"/>
  <c r="M591" i="38"/>
  <c r="M592" i="38"/>
  <c r="M593" i="38"/>
  <c r="M594" i="38"/>
  <c r="M595" i="38"/>
  <c r="M596" i="38"/>
  <c r="M597" i="38"/>
  <c r="M598" i="38"/>
  <c r="M599" i="38"/>
  <c r="M600" i="38"/>
  <c r="M601" i="38"/>
  <c r="M602" i="38"/>
  <c r="M603" i="38"/>
  <c r="M604" i="38"/>
  <c r="M605" i="38"/>
  <c r="M606" i="38"/>
  <c r="M607" i="38"/>
  <c r="M608" i="38"/>
  <c r="M609" i="38"/>
  <c r="M610" i="38"/>
  <c r="M611" i="38"/>
  <c r="M612" i="38"/>
  <c r="M613" i="38"/>
  <c r="M614" i="38"/>
  <c r="M615" i="38"/>
  <c r="M616" i="38"/>
  <c r="M617" i="38"/>
  <c r="M618" i="38"/>
  <c r="M619" i="38"/>
  <c r="M620" i="38"/>
  <c r="M621" i="38"/>
  <c r="M622" i="38"/>
  <c r="M623" i="38"/>
  <c r="M624" i="38"/>
  <c r="M625" i="38"/>
  <c r="M626" i="38"/>
  <c r="M627" i="38"/>
  <c r="M628" i="38"/>
  <c r="M629" i="38"/>
  <c r="M630" i="38"/>
  <c r="M631" i="38"/>
  <c r="M632" i="38"/>
  <c r="M633" i="38"/>
  <c r="M634" i="38"/>
  <c r="M635" i="38"/>
  <c r="M636" i="38"/>
  <c r="M637" i="38"/>
  <c r="M638" i="38"/>
  <c r="M639" i="38"/>
  <c r="M640" i="38"/>
  <c r="M641" i="38"/>
  <c r="M642" i="38"/>
  <c r="M643" i="38"/>
  <c r="M644" i="38"/>
  <c r="M645" i="38"/>
  <c r="M646" i="38"/>
  <c r="M647" i="38"/>
  <c r="M648" i="38"/>
  <c r="M649" i="38"/>
  <c r="M650" i="38"/>
  <c r="M651" i="38"/>
  <c r="M652" i="38"/>
  <c r="M653" i="38"/>
  <c r="M654" i="38"/>
  <c r="M655" i="38"/>
  <c r="M656" i="38"/>
  <c r="M657" i="38"/>
  <c r="M658" i="38"/>
  <c r="M659" i="38"/>
  <c r="M660" i="38"/>
  <c r="M661" i="38"/>
  <c r="M662" i="38"/>
  <c r="M663" i="38"/>
  <c r="M664" i="38"/>
  <c r="M665" i="38"/>
  <c r="M666" i="38"/>
  <c r="M667" i="38"/>
  <c r="M668" i="38"/>
  <c r="M669" i="38"/>
  <c r="M670" i="38"/>
  <c r="M671" i="38"/>
  <c r="M672" i="38"/>
  <c r="M673" i="38"/>
  <c r="M674" i="38"/>
  <c r="M675" i="38"/>
  <c r="M676" i="38"/>
  <c r="M677" i="38"/>
  <c r="M678" i="38"/>
  <c r="M679" i="38"/>
  <c r="M680" i="38"/>
  <c r="M681" i="38"/>
  <c r="M682" i="38"/>
  <c r="M683" i="38"/>
  <c r="M684" i="38"/>
  <c r="M685" i="38"/>
  <c r="M686" i="38"/>
  <c r="M687" i="38"/>
  <c r="M688" i="38"/>
  <c r="M689" i="38"/>
  <c r="M690" i="38"/>
  <c r="M691" i="38"/>
  <c r="M692" i="38"/>
  <c r="M693" i="38"/>
  <c r="M694" i="38"/>
  <c r="M695" i="38"/>
  <c r="M696" i="38"/>
  <c r="M697" i="38"/>
  <c r="M698" i="38"/>
  <c r="M699" i="38"/>
  <c r="M700" i="38"/>
  <c r="M701" i="38"/>
  <c r="M702" i="38"/>
  <c r="M703" i="38"/>
  <c r="M704" i="38"/>
  <c r="M705" i="38"/>
  <c r="M706" i="38"/>
  <c r="M707" i="38"/>
  <c r="M708" i="38"/>
  <c r="M709" i="38"/>
  <c r="M710" i="38"/>
  <c r="M711" i="38"/>
  <c r="M712" i="38"/>
  <c r="M713" i="38"/>
  <c r="M714" i="38"/>
  <c r="M715" i="38"/>
  <c r="M716" i="38"/>
  <c r="M717" i="38"/>
  <c r="M718" i="38"/>
  <c r="M719" i="38"/>
  <c r="M720" i="38"/>
  <c r="M721" i="38"/>
  <c r="M722" i="38"/>
  <c r="M723" i="38"/>
  <c r="M724" i="38"/>
  <c r="M725" i="38"/>
  <c r="M726" i="38"/>
  <c r="M727" i="38"/>
  <c r="M728" i="38"/>
  <c r="M729" i="38"/>
  <c r="M730" i="38"/>
  <c r="M731" i="38"/>
  <c r="M732" i="38"/>
  <c r="M733" i="38"/>
  <c r="M734" i="38"/>
  <c r="M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0" i="38"/>
  <c r="L141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4" i="38"/>
  <c r="L155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68" i="38"/>
  <c r="L169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2" i="38"/>
  <c r="L183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6" i="38"/>
  <c r="L197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0" i="38"/>
  <c r="L211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4" i="38"/>
  <c r="L225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38" i="38"/>
  <c r="L239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2" i="38"/>
  <c r="L253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6" i="38"/>
  <c r="L267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0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299" i="38"/>
  <c r="L300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19" i="38"/>
  <c r="L320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3" i="38"/>
  <c r="L334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7" i="38"/>
  <c r="L348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1" i="38"/>
  <c r="L362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5" i="38"/>
  <c r="L376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89" i="38"/>
  <c r="L390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3" i="38"/>
  <c r="L404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7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6" i="38"/>
  <c r="L437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0" i="38"/>
  <c r="L451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4" i="38"/>
  <c r="L465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78" i="38"/>
  <c r="L479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2" i="38"/>
  <c r="L493" i="38"/>
  <c r="L494" i="38"/>
  <c r="L495" i="38"/>
  <c r="L496" i="38"/>
  <c r="L497" i="38"/>
  <c r="L498" i="38"/>
  <c r="L499" i="38"/>
  <c r="L500" i="38"/>
  <c r="L501" i="38"/>
  <c r="L502" i="38"/>
  <c r="L503" i="38"/>
  <c r="L504" i="38"/>
  <c r="L505" i="38"/>
  <c r="L506" i="38"/>
  <c r="L507" i="38"/>
  <c r="L508" i="38"/>
  <c r="L509" i="38"/>
  <c r="L510" i="38"/>
  <c r="L511" i="38"/>
  <c r="L512" i="38"/>
  <c r="L513" i="38"/>
  <c r="L514" i="38"/>
  <c r="L515" i="38"/>
  <c r="L516" i="38"/>
  <c r="L517" i="38"/>
  <c r="L518" i="38"/>
  <c r="L519" i="38"/>
  <c r="L520" i="38"/>
  <c r="L521" i="38"/>
  <c r="L522" i="38"/>
  <c r="L523" i="38"/>
  <c r="L524" i="38"/>
  <c r="L525" i="38"/>
  <c r="L526" i="38"/>
  <c r="L527" i="38"/>
  <c r="L528" i="38"/>
  <c r="L529" i="38"/>
  <c r="L530" i="38"/>
  <c r="L531" i="38"/>
  <c r="L532" i="38"/>
  <c r="L533" i="38"/>
  <c r="L534" i="38"/>
  <c r="L535" i="38"/>
  <c r="L536" i="38"/>
  <c r="L537" i="38"/>
  <c r="L538" i="38"/>
  <c r="L539" i="38"/>
  <c r="L540" i="38"/>
  <c r="L541" i="38"/>
  <c r="L542" i="38"/>
  <c r="L543" i="38"/>
  <c r="L544" i="38"/>
  <c r="L545" i="38"/>
  <c r="L546" i="38"/>
  <c r="L547" i="38"/>
  <c r="L548" i="38"/>
  <c r="L549" i="38"/>
  <c r="L550" i="38"/>
  <c r="L551" i="38"/>
  <c r="L552" i="38"/>
  <c r="L553" i="38"/>
  <c r="L554" i="38"/>
  <c r="L555" i="38"/>
  <c r="L556" i="38"/>
  <c r="L557" i="38"/>
  <c r="L558" i="38"/>
  <c r="L559" i="38"/>
  <c r="L560" i="38"/>
  <c r="L561" i="38"/>
  <c r="L562" i="38"/>
  <c r="L563" i="38"/>
  <c r="L564" i="38"/>
  <c r="L565" i="38"/>
  <c r="L566" i="38"/>
  <c r="L567" i="38"/>
  <c r="L568" i="38"/>
  <c r="L569" i="38"/>
  <c r="L570" i="38"/>
  <c r="L571" i="38"/>
  <c r="L572" i="38"/>
  <c r="L573" i="38"/>
  <c r="L574" i="38"/>
  <c r="L575" i="38"/>
  <c r="L576" i="38"/>
  <c r="L577" i="38"/>
  <c r="L578" i="38"/>
  <c r="L579" i="38"/>
  <c r="L580" i="38"/>
  <c r="L581" i="38"/>
  <c r="L582" i="38"/>
  <c r="L583" i="38"/>
  <c r="L584" i="38"/>
  <c r="L585" i="38"/>
  <c r="L586" i="38"/>
  <c r="L587" i="38"/>
  <c r="L588" i="38"/>
  <c r="L589" i="38"/>
  <c r="L590" i="38"/>
  <c r="L591" i="38"/>
  <c r="L592" i="38"/>
  <c r="L593" i="38"/>
  <c r="L594" i="38"/>
  <c r="L595" i="38"/>
  <c r="L596" i="38"/>
  <c r="L597" i="38"/>
  <c r="L598" i="38"/>
  <c r="L599" i="38"/>
  <c r="L600" i="38"/>
  <c r="L601" i="38"/>
  <c r="L602" i="38"/>
  <c r="L603" i="38"/>
  <c r="L604" i="38"/>
  <c r="L605" i="38"/>
  <c r="L606" i="38"/>
  <c r="L607" i="38"/>
  <c r="L608" i="38"/>
  <c r="L609" i="38"/>
  <c r="L610" i="38"/>
  <c r="L611" i="38"/>
  <c r="L612" i="38"/>
  <c r="L613" i="38"/>
  <c r="L614" i="38"/>
  <c r="L615" i="38"/>
  <c r="L616" i="38"/>
  <c r="L617" i="38"/>
  <c r="L618" i="38"/>
  <c r="L619" i="38"/>
  <c r="L620" i="38"/>
  <c r="L621" i="38"/>
  <c r="L622" i="38"/>
  <c r="L623" i="38"/>
  <c r="L624" i="38"/>
  <c r="L625" i="38"/>
  <c r="L626" i="38"/>
  <c r="L627" i="38"/>
  <c r="L628" i="38"/>
  <c r="L629" i="38"/>
  <c r="L630" i="38"/>
  <c r="L631" i="38"/>
  <c r="L632" i="38"/>
  <c r="L633" i="38"/>
  <c r="L634" i="38"/>
  <c r="L635" i="38"/>
  <c r="L636" i="38"/>
  <c r="L637" i="38"/>
  <c r="L638" i="38"/>
  <c r="L639" i="38"/>
  <c r="L640" i="38"/>
  <c r="L641" i="38"/>
  <c r="L642" i="38"/>
  <c r="L643" i="38"/>
  <c r="L644" i="38"/>
  <c r="L645" i="38"/>
  <c r="L646" i="38"/>
  <c r="L647" i="38"/>
  <c r="L648" i="38"/>
  <c r="L649" i="38"/>
  <c r="L650" i="38"/>
  <c r="L651" i="38"/>
  <c r="L652" i="38"/>
  <c r="L653" i="38"/>
  <c r="L654" i="38"/>
  <c r="L655" i="38"/>
  <c r="L656" i="38"/>
  <c r="L657" i="38"/>
  <c r="L658" i="38"/>
  <c r="L659" i="38"/>
  <c r="L660" i="38"/>
  <c r="L661" i="38"/>
  <c r="L662" i="38"/>
  <c r="L663" i="38"/>
  <c r="L664" i="38"/>
  <c r="L665" i="38"/>
  <c r="L666" i="38"/>
  <c r="L667" i="38"/>
  <c r="L668" i="38"/>
  <c r="L669" i="38"/>
  <c r="L670" i="38"/>
  <c r="L671" i="38"/>
  <c r="L672" i="38"/>
  <c r="L673" i="38"/>
  <c r="L674" i="38"/>
  <c r="L675" i="38"/>
  <c r="L676" i="38"/>
  <c r="L677" i="38"/>
  <c r="L678" i="38"/>
  <c r="L679" i="38"/>
  <c r="L680" i="38"/>
  <c r="L681" i="38"/>
  <c r="L682" i="38"/>
  <c r="L683" i="38"/>
  <c r="L684" i="38"/>
  <c r="L685" i="38"/>
  <c r="L686" i="38"/>
  <c r="L687" i="38"/>
  <c r="L688" i="38"/>
  <c r="L689" i="38"/>
  <c r="L690" i="38"/>
  <c r="L691" i="38"/>
  <c r="L692" i="38"/>
  <c r="L693" i="38"/>
  <c r="L694" i="38"/>
  <c r="L695" i="38"/>
  <c r="L696" i="38"/>
  <c r="L697" i="38"/>
  <c r="L698" i="38"/>
  <c r="L699" i="38"/>
  <c r="L700" i="38"/>
  <c r="L701" i="38"/>
  <c r="L702" i="38"/>
  <c r="L703" i="38"/>
  <c r="L704" i="38"/>
  <c r="L705" i="38"/>
  <c r="L706" i="38"/>
  <c r="L707" i="38"/>
  <c r="L708" i="38"/>
  <c r="L709" i="38"/>
  <c r="L710" i="38"/>
  <c r="L711" i="38"/>
  <c r="L712" i="38"/>
  <c r="L713" i="38"/>
  <c r="L714" i="38"/>
  <c r="L715" i="38"/>
  <c r="L716" i="38"/>
  <c r="L717" i="38"/>
  <c r="L718" i="38"/>
  <c r="L719" i="38"/>
  <c r="L720" i="38"/>
  <c r="L721" i="38"/>
  <c r="L722" i="38"/>
  <c r="L723" i="38"/>
  <c r="L724" i="38"/>
  <c r="L725" i="38"/>
  <c r="L726" i="38"/>
  <c r="L727" i="38"/>
  <c r="L728" i="38"/>
  <c r="L729" i="38"/>
  <c r="L730" i="38"/>
  <c r="L731" i="38"/>
  <c r="L732" i="38"/>
  <c r="L733" i="38"/>
  <c r="L734" i="38"/>
  <c r="L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J146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0" i="38"/>
  <c r="J161" i="38"/>
  <c r="J162" i="38"/>
  <c r="J163" i="38"/>
  <c r="J164" i="38"/>
  <c r="J165" i="38"/>
  <c r="J166" i="38"/>
  <c r="J167" i="38"/>
  <c r="J168" i="38"/>
  <c r="J169" i="38"/>
  <c r="J170" i="38"/>
  <c r="J171" i="38"/>
  <c r="J172" i="38"/>
  <c r="J173" i="38"/>
  <c r="J174" i="38"/>
  <c r="J175" i="38"/>
  <c r="J176" i="38"/>
  <c r="J177" i="38"/>
  <c r="J178" i="38"/>
  <c r="J179" i="38"/>
  <c r="J180" i="38"/>
  <c r="J181" i="38"/>
  <c r="J182" i="38"/>
  <c r="J183" i="38"/>
  <c r="J184" i="38"/>
  <c r="J185" i="38"/>
  <c r="J186" i="38"/>
  <c r="J187" i="38"/>
  <c r="J188" i="38"/>
  <c r="J189" i="38"/>
  <c r="J190" i="38"/>
  <c r="J191" i="38"/>
  <c r="J192" i="38"/>
  <c r="J193" i="38"/>
  <c r="J194" i="38"/>
  <c r="J195" i="38"/>
  <c r="J196" i="38"/>
  <c r="J197" i="38"/>
  <c r="J198" i="38"/>
  <c r="J199" i="38"/>
  <c r="J200" i="38"/>
  <c r="J201" i="38"/>
  <c r="J202" i="38"/>
  <c r="J203" i="38"/>
  <c r="J204" i="38"/>
  <c r="J205" i="38"/>
  <c r="J206" i="38"/>
  <c r="J207" i="38"/>
  <c r="J208" i="38"/>
  <c r="J209" i="38"/>
  <c r="J210" i="38"/>
  <c r="J211" i="38"/>
  <c r="J212" i="38"/>
  <c r="J213" i="38"/>
  <c r="J214" i="38"/>
  <c r="J215" i="38"/>
  <c r="J216" i="38"/>
  <c r="J217" i="38"/>
  <c r="J218" i="38"/>
  <c r="J219" i="38"/>
  <c r="J220" i="38"/>
  <c r="J221" i="38"/>
  <c r="J222" i="38"/>
  <c r="J223" i="38"/>
  <c r="J224" i="38"/>
  <c r="J225" i="38"/>
  <c r="J226" i="38"/>
  <c r="J227" i="38"/>
  <c r="J228" i="38"/>
  <c r="J229" i="38"/>
  <c r="J230" i="38"/>
  <c r="J231" i="38"/>
  <c r="J232" i="38"/>
  <c r="J233" i="38"/>
  <c r="J234" i="38"/>
  <c r="J235" i="38"/>
  <c r="J236" i="38"/>
  <c r="J237" i="38"/>
  <c r="J238" i="38"/>
  <c r="J239" i="38"/>
  <c r="J240" i="38"/>
  <c r="J241" i="38"/>
  <c r="J242" i="38"/>
  <c r="J243" i="38"/>
  <c r="J244" i="38"/>
  <c r="J245" i="38"/>
  <c r="J246" i="38"/>
  <c r="J247" i="38"/>
  <c r="J248" i="38"/>
  <c r="J249" i="38"/>
  <c r="J250" i="38"/>
  <c r="J251" i="38"/>
  <c r="J252" i="38"/>
  <c r="J253" i="38"/>
  <c r="J254" i="38"/>
  <c r="J255" i="38"/>
  <c r="J256" i="38"/>
  <c r="J257" i="38"/>
  <c r="J258" i="38"/>
  <c r="J259" i="38"/>
  <c r="J260" i="38"/>
  <c r="J261" i="38"/>
  <c r="J262" i="38"/>
  <c r="J263" i="38"/>
  <c r="J264" i="38"/>
  <c r="J265" i="38"/>
  <c r="J266" i="38"/>
  <c r="J267" i="38"/>
  <c r="J268" i="38"/>
  <c r="J269" i="38"/>
  <c r="J270" i="38"/>
  <c r="J271" i="38"/>
  <c r="J272" i="38"/>
  <c r="J273" i="38"/>
  <c r="J274" i="38"/>
  <c r="J275" i="38"/>
  <c r="J276" i="38"/>
  <c r="J277" i="38"/>
  <c r="J278" i="38"/>
  <c r="J279" i="38"/>
  <c r="J280" i="38"/>
  <c r="J281" i="38"/>
  <c r="J282" i="38"/>
  <c r="J283" i="38"/>
  <c r="J284" i="38"/>
  <c r="J285" i="38"/>
  <c r="J286" i="38"/>
  <c r="J287" i="38"/>
  <c r="J288" i="38"/>
  <c r="J289" i="38"/>
  <c r="J290" i="38"/>
  <c r="J291" i="38"/>
  <c r="J292" i="38"/>
  <c r="J293" i="38"/>
  <c r="J294" i="38"/>
  <c r="J295" i="38"/>
  <c r="J296" i="38"/>
  <c r="J297" i="38"/>
  <c r="J298" i="38"/>
  <c r="J299" i="38"/>
  <c r="J300" i="38"/>
  <c r="J301" i="38"/>
  <c r="J302" i="38"/>
  <c r="J303" i="38"/>
  <c r="J304" i="38"/>
  <c r="J305" i="38"/>
  <c r="J306" i="38"/>
  <c r="J307" i="38"/>
  <c r="J308" i="38"/>
  <c r="J309" i="38"/>
  <c r="J310" i="38"/>
  <c r="J311" i="38"/>
  <c r="J312" i="38"/>
  <c r="J313" i="38"/>
  <c r="J314" i="38"/>
  <c r="J315" i="38"/>
  <c r="J316" i="38"/>
  <c r="J317" i="38"/>
  <c r="J318" i="38"/>
  <c r="J319" i="38"/>
  <c r="J320" i="38"/>
  <c r="J321" i="38"/>
  <c r="J322" i="38"/>
  <c r="J323" i="38"/>
  <c r="J324" i="38"/>
  <c r="J325" i="38"/>
  <c r="J326" i="38"/>
  <c r="J327" i="38"/>
  <c r="J328" i="38"/>
  <c r="J329" i="38"/>
  <c r="J330" i="38"/>
  <c r="J331" i="38"/>
  <c r="J332" i="38"/>
  <c r="J333" i="38"/>
  <c r="J334" i="38"/>
  <c r="J335" i="38"/>
  <c r="J336" i="38"/>
  <c r="J337" i="38"/>
  <c r="J338" i="38"/>
  <c r="J339" i="38"/>
  <c r="J340" i="38"/>
  <c r="J341" i="38"/>
  <c r="J342" i="38"/>
  <c r="J343" i="38"/>
  <c r="J344" i="38"/>
  <c r="J345" i="38"/>
  <c r="J346" i="38"/>
  <c r="J347" i="38"/>
  <c r="J348" i="38"/>
  <c r="J349" i="38"/>
  <c r="J350" i="38"/>
  <c r="J351" i="38"/>
  <c r="J352" i="38"/>
  <c r="J353" i="38"/>
  <c r="J354" i="38"/>
  <c r="J355" i="38"/>
  <c r="J356" i="38"/>
  <c r="J357" i="38"/>
  <c r="J358" i="38"/>
  <c r="J359" i="38"/>
  <c r="J360" i="38"/>
  <c r="J361" i="38"/>
  <c r="J362" i="38"/>
  <c r="J363" i="38"/>
  <c r="J364" i="38"/>
  <c r="J365" i="38"/>
  <c r="J366" i="38"/>
  <c r="J367" i="38"/>
  <c r="J368" i="38"/>
  <c r="J369" i="38"/>
  <c r="J370" i="38"/>
  <c r="J371" i="38"/>
  <c r="J372" i="38"/>
  <c r="J373" i="38"/>
  <c r="J374" i="38"/>
  <c r="J375" i="38"/>
  <c r="J376" i="38"/>
  <c r="J377" i="38"/>
  <c r="J378" i="38"/>
  <c r="J379" i="38"/>
  <c r="J380" i="38"/>
  <c r="J381" i="38"/>
  <c r="J382" i="38"/>
  <c r="J383" i="38"/>
  <c r="J384" i="38"/>
  <c r="J385" i="38"/>
  <c r="J386" i="38"/>
  <c r="J387" i="38"/>
  <c r="J388" i="38"/>
  <c r="J389" i="38"/>
  <c r="J390" i="38"/>
  <c r="J391" i="38"/>
  <c r="J392" i="38"/>
  <c r="J393" i="38"/>
  <c r="J394" i="38"/>
  <c r="J395" i="38"/>
  <c r="J396" i="38"/>
  <c r="J397" i="38"/>
  <c r="J398" i="38"/>
  <c r="J399" i="38"/>
  <c r="J400" i="38"/>
  <c r="J401" i="38"/>
  <c r="J402" i="38"/>
  <c r="J403" i="38"/>
  <c r="J404" i="38"/>
  <c r="J405" i="38"/>
  <c r="J406" i="38"/>
  <c r="J407" i="38"/>
  <c r="J408" i="38"/>
  <c r="J409" i="38"/>
  <c r="J410" i="38"/>
  <c r="J411" i="38"/>
  <c r="J412" i="38"/>
  <c r="J413" i="38"/>
  <c r="J414" i="38"/>
  <c r="J415" i="38"/>
  <c r="J416" i="38"/>
  <c r="J417" i="38"/>
  <c r="J418" i="38"/>
  <c r="J419" i="38"/>
  <c r="J420" i="38"/>
  <c r="J421" i="38"/>
  <c r="J422" i="38"/>
  <c r="J423" i="38"/>
  <c r="J424" i="38"/>
  <c r="J425" i="38"/>
  <c r="J426" i="38"/>
  <c r="J427" i="38"/>
  <c r="J428" i="38"/>
  <c r="J429" i="38"/>
  <c r="J430" i="38"/>
  <c r="J431" i="38"/>
  <c r="J432" i="38"/>
  <c r="J433" i="38"/>
  <c r="J434" i="38"/>
  <c r="J435" i="38"/>
  <c r="J436" i="38"/>
  <c r="J437" i="38"/>
  <c r="J438" i="38"/>
  <c r="J439" i="38"/>
  <c r="J440" i="38"/>
  <c r="J441" i="38"/>
  <c r="J442" i="38"/>
  <c r="J443" i="38"/>
  <c r="J444" i="38"/>
  <c r="J445" i="38"/>
  <c r="J446" i="38"/>
  <c r="J447" i="38"/>
  <c r="J448" i="38"/>
  <c r="J449" i="38"/>
  <c r="J450" i="38"/>
  <c r="J451" i="38"/>
  <c r="J452" i="38"/>
  <c r="J453" i="38"/>
  <c r="J454" i="38"/>
  <c r="J455" i="38"/>
  <c r="J456" i="38"/>
  <c r="J457" i="38"/>
  <c r="J458" i="38"/>
  <c r="J459" i="38"/>
  <c r="J460" i="38"/>
  <c r="J461" i="38"/>
  <c r="J462" i="38"/>
  <c r="J463" i="38"/>
  <c r="J464" i="38"/>
  <c r="J465" i="38"/>
  <c r="J466" i="38"/>
  <c r="J467" i="38"/>
  <c r="J468" i="38"/>
  <c r="J469" i="38"/>
  <c r="J470" i="38"/>
  <c r="J471" i="38"/>
  <c r="J472" i="38"/>
  <c r="J473" i="38"/>
  <c r="J474" i="38"/>
  <c r="J475" i="38"/>
  <c r="J476" i="38"/>
  <c r="J477" i="38"/>
  <c r="J478" i="38"/>
  <c r="J479" i="38"/>
  <c r="J480" i="38"/>
  <c r="J481" i="38"/>
  <c r="J482" i="38"/>
  <c r="J483" i="38"/>
  <c r="J484" i="38"/>
  <c r="J485" i="38"/>
  <c r="J486" i="38"/>
  <c r="J487" i="38"/>
  <c r="J488" i="38"/>
  <c r="J489" i="38"/>
  <c r="J490" i="38"/>
  <c r="J491" i="38"/>
  <c r="J492" i="38"/>
  <c r="J493" i="38"/>
  <c r="J494" i="38"/>
  <c r="J495" i="38"/>
  <c r="J496" i="38"/>
  <c r="J497" i="38"/>
  <c r="J498" i="38"/>
  <c r="J499" i="38"/>
  <c r="J500" i="38"/>
  <c r="J501" i="38"/>
  <c r="J502" i="38"/>
  <c r="J503" i="38"/>
  <c r="J504" i="38"/>
  <c r="J505" i="38"/>
  <c r="J506" i="38"/>
  <c r="J507" i="38"/>
  <c r="J508" i="38"/>
  <c r="J509" i="38"/>
  <c r="J510" i="38"/>
  <c r="J511" i="38"/>
  <c r="J512" i="38"/>
  <c r="J513" i="38"/>
  <c r="J514" i="38"/>
  <c r="J515" i="38"/>
  <c r="J516" i="38"/>
  <c r="J517" i="38"/>
  <c r="J518" i="38"/>
  <c r="J519" i="38"/>
  <c r="J520" i="38"/>
  <c r="J521" i="38"/>
  <c r="J522" i="38"/>
  <c r="J523" i="38"/>
  <c r="J524" i="38"/>
  <c r="J525" i="38"/>
  <c r="J526" i="38"/>
  <c r="J527" i="38"/>
  <c r="J528" i="38"/>
  <c r="J529" i="38"/>
  <c r="J530" i="38"/>
  <c r="J531" i="38"/>
  <c r="J532" i="38"/>
  <c r="J533" i="38"/>
  <c r="J534" i="38"/>
  <c r="J535" i="38"/>
  <c r="J536" i="38"/>
  <c r="J537" i="38"/>
  <c r="J538" i="38"/>
  <c r="J539" i="38"/>
  <c r="J540" i="38"/>
  <c r="J541" i="38"/>
  <c r="J542" i="38"/>
  <c r="J543" i="38"/>
  <c r="J544" i="38"/>
  <c r="J545" i="38"/>
  <c r="J546" i="38"/>
  <c r="J547" i="38"/>
  <c r="J548" i="38"/>
  <c r="J549" i="38"/>
  <c r="J550" i="38"/>
  <c r="J551" i="38"/>
  <c r="J552" i="38"/>
  <c r="J553" i="38"/>
  <c r="J554" i="38"/>
  <c r="J555" i="38"/>
  <c r="J556" i="38"/>
  <c r="J557" i="38"/>
  <c r="J558" i="38"/>
  <c r="J559" i="38"/>
  <c r="J560" i="38"/>
  <c r="J561" i="38"/>
  <c r="J562" i="38"/>
  <c r="J563" i="38"/>
  <c r="J564" i="38"/>
  <c r="J565" i="38"/>
  <c r="J566" i="38"/>
  <c r="J567" i="38"/>
  <c r="J568" i="38"/>
  <c r="J569" i="38"/>
  <c r="J570" i="38"/>
  <c r="J571" i="38"/>
  <c r="J572" i="38"/>
  <c r="J573" i="38"/>
  <c r="J574" i="38"/>
  <c r="J575" i="38"/>
  <c r="J576" i="38"/>
  <c r="J577" i="38"/>
  <c r="J578" i="38"/>
  <c r="J579" i="38"/>
  <c r="J580" i="38"/>
  <c r="J581" i="38"/>
  <c r="J582" i="38"/>
  <c r="J583" i="38"/>
  <c r="J584" i="38"/>
  <c r="J585" i="38"/>
  <c r="J586" i="38"/>
  <c r="J587" i="38"/>
  <c r="J588" i="38"/>
  <c r="J589" i="38"/>
  <c r="J590" i="38"/>
  <c r="J591" i="38"/>
  <c r="J592" i="38"/>
  <c r="J593" i="38"/>
  <c r="J594" i="38"/>
  <c r="J595" i="38"/>
  <c r="J596" i="38"/>
  <c r="J597" i="38"/>
  <c r="J598" i="38"/>
  <c r="J599" i="38"/>
  <c r="J600" i="38"/>
  <c r="J601" i="38"/>
  <c r="J602" i="38"/>
  <c r="J603" i="38"/>
  <c r="J604" i="38"/>
  <c r="J605" i="38"/>
  <c r="J606" i="38"/>
  <c r="J607" i="38"/>
  <c r="J608" i="38"/>
  <c r="J609" i="38"/>
  <c r="J610" i="38"/>
  <c r="J611" i="38"/>
  <c r="J612" i="38"/>
  <c r="J613" i="38"/>
  <c r="J614" i="38"/>
  <c r="J615" i="38"/>
  <c r="J616" i="38"/>
  <c r="J617" i="38"/>
  <c r="J618" i="38"/>
  <c r="J619" i="38"/>
  <c r="J620" i="38"/>
  <c r="J621" i="38"/>
  <c r="J622" i="38"/>
  <c r="J623" i="38"/>
  <c r="J624" i="38"/>
  <c r="J625" i="38"/>
  <c r="J626" i="38"/>
  <c r="J627" i="38"/>
  <c r="J628" i="38"/>
  <c r="J629" i="38"/>
  <c r="J630" i="38"/>
  <c r="J631" i="38"/>
  <c r="J632" i="38"/>
  <c r="J633" i="38"/>
  <c r="J634" i="38"/>
  <c r="J635" i="38"/>
  <c r="J636" i="38"/>
  <c r="J637" i="38"/>
  <c r="J638" i="38"/>
  <c r="J639" i="38"/>
  <c r="J640" i="38"/>
  <c r="J641" i="38"/>
  <c r="J642" i="38"/>
  <c r="J643" i="38"/>
  <c r="J644" i="38"/>
  <c r="J645" i="38"/>
  <c r="J646" i="38"/>
  <c r="J647" i="38"/>
  <c r="J648" i="38"/>
  <c r="J649" i="38"/>
  <c r="J650" i="38"/>
  <c r="J651" i="38"/>
  <c r="J652" i="38"/>
  <c r="J653" i="38"/>
  <c r="J654" i="38"/>
  <c r="J655" i="38"/>
  <c r="J656" i="38"/>
  <c r="J657" i="38"/>
  <c r="J658" i="38"/>
  <c r="J659" i="38"/>
  <c r="J660" i="38"/>
  <c r="J661" i="38"/>
  <c r="J662" i="38"/>
  <c r="J663" i="38"/>
  <c r="J664" i="38"/>
  <c r="J665" i="38"/>
  <c r="J666" i="38"/>
  <c r="J667" i="38"/>
  <c r="J668" i="38"/>
  <c r="J669" i="38"/>
  <c r="J670" i="38"/>
  <c r="J671" i="38"/>
  <c r="J672" i="38"/>
  <c r="J673" i="38"/>
  <c r="J674" i="38"/>
  <c r="J675" i="38"/>
  <c r="J676" i="38"/>
  <c r="J677" i="38"/>
  <c r="J678" i="38"/>
  <c r="J679" i="38"/>
  <c r="J680" i="38"/>
  <c r="J681" i="38"/>
  <c r="J682" i="38"/>
  <c r="J683" i="38"/>
  <c r="J684" i="38"/>
  <c r="J685" i="38"/>
  <c r="J686" i="38"/>
  <c r="J687" i="38"/>
  <c r="J688" i="38"/>
  <c r="J689" i="38"/>
  <c r="J690" i="38"/>
  <c r="J691" i="38"/>
  <c r="J692" i="38"/>
  <c r="J693" i="38"/>
  <c r="J694" i="38"/>
  <c r="J695" i="38"/>
  <c r="J696" i="38"/>
  <c r="J697" i="38"/>
  <c r="J698" i="38"/>
  <c r="J699" i="38"/>
  <c r="J700" i="38"/>
  <c r="J701" i="38"/>
  <c r="J702" i="38"/>
  <c r="J703" i="38"/>
  <c r="J704" i="38"/>
  <c r="J705" i="38"/>
  <c r="J706" i="38"/>
  <c r="J707" i="38"/>
  <c r="J708" i="38"/>
  <c r="J709" i="38"/>
  <c r="J710" i="38"/>
  <c r="J711" i="38"/>
  <c r="J712" i="38"/>
  <c r="J713" i="38"/>
  <c r="J714" i="38"/>
  <c r="J715" i="38"/>
  <c r="J716" i="38"/>
  <c r="J717" i="38"/>
  <c r="J718" i="38"/>
  <c r="J719" i="38"/>
  <c r="J720" i="38"/>
  <c r="J721" i="38"/>
  <c r="J722" i="38"/>
  <c r="J723" i="38"/>
  <c r="J724" i="38"/>
  <c r="J725" i="38"/>
  <c r="J726" i="38"/>
  <c r="J727" i="38"/>
  <c r="J728" i="38"/>
  <c r="J729" i="38"/>
  <c r="J730" i="38"/>
  <c r="J731" i="38"/>
  <c r="J732" i="38"/>
  <c r="J733" i="38"/>
  <c r="J734" i="38"/>
  <c r="S15" i="38"/>
  <c r="T15" i="38"/>
  <c r="O14" i="38"/>
  <c r="P15" i="38"/>
  <c r="U15" i="38"/>
  <c r="S16" i="38"/>
  <c r="T16" i="38"/>
  <c r="O15" i="38"/>
  <c r="P16" i="38"/>
  <c r="U16" i="38"/>
  <c r="S17" i="38"/>
  <c r="T17" i="38"/>
  <c r="O16" i="38"/>
  <c r="P17" i="38"/>
  <c r="U17" i="38"/>
  <c r="S18" i="38"/>
  <c r="T18" i="38"/>
  <c r="O17" i="38"/>
  <c r="P18" i="38"/>
  <c r="U18" i="38"/>
  <c r="S19" i="38"/>
  <c r="T19" i="38"/>
  <c r="O18" i="38"/>
  <c r="P19" i="38"/>
  <c r="U19" i="38"/>
  <c r="S20" i="38"/>
  <c r="T20" i="38"/>
  <c r="O19" i="38"/>
  <c r="P20" i="38"/>
  <c r="U20" i="38"/>
  <c r="S21" i="38"/>
  <c r="T21" i="38"/>
  <c r="O20" i="38"/>
  <c r="P21" i="38"/>
  <c r="U21" i="38"/>
  <c r="S22" i="38"/>
  <c r="T22" i="38"/>
  <c r="O21" i="38"/>
  <c r="P22" i="38"/>
  <c r="U22" i="38"/>
  <c r="S23" i="38"/>
  <c r="T23" i="38"/>
  <c r="O22" i="38"/>
  <c r="P23" i="38"/>
  <c r="U23" i="38"/>
  <c r="S24" i="38"/>
  <c r="T24" i="38"/>
  <c r="O23" i="38"/>
  <c r="P24" i="38"/>
  <c r="U24" i="38"/>
  <c r="S25" i="38"/>
  <c r="T25" i="38"/>
  <c r="O24" i="38"/>
  <c r="P25" i="38"/>
  <c r="U25" i="38"/>
  <c r="S26" i="38"/>
  <c r="T26" i="38"/>
  <c r="O25" i="38"/>
  <c r="P26" i="38"/>
  <c r="U26" i="38"/>
  <c r="S27" i="38"/>
  <c r="T27" i="38"/>
  <c r="O26" i="38"/>
  <c r="P27" i="38"/>
  <c r="U27" i="38"/>
  <c r="S28" i="38"/>
  <c r="T28" i="38"/>
  <c r="O27" i="38"/>
  <c r="P28" i="38"/>
  <c r="U28" i="38"/>
  <c r="S29" i="38"/>
  <c r="T29" i="38"/>
  <c r="O28" i="38"/>
  <c r="P29" i="38"/>
  <c r="U29" i="38"/>
  <c r="S30" i="38"/>
  <c r="T30" i="38"/>
  <c r="O29" i="38"/>
  <c r="P30" i="38"/>
  <c r="U30" i="38"/>
  <c r="S31" i="38"/>
  <c r="T31" i="38"/>
  <c r="O30" i="38"/>
  <c r="P31" i="38"/>
  <c r="U31" i="38"/>
  <c r="S32" i="38"/>
  <c r="T32" i="38"/>
  <c r="O31" i="38"/>
  <c r="P32" i="38"/>
  <c r="U32" i="38"/>
  <c r="S33" i="38"/>
  <c r="T33" i="38"/>
  <c r="O32" i="38"/>
  <c r="P33" i="38"/>
  <c r="U33" i="38"/>
  <c r="S34" i="38"/>
  <c r="T34" i="38"/>
  <c r="O33" i="38"/>
  <c r="P34" i="38"/>
  <c r="U34" i="38"/>
  <c r="S35" i="38"/>
  <c r="T35" i="38"/>
  <c r="O34" i="38"/>
  <c r="P35" i="38"/>
  <c r="U35" i="38"/>
  <c r="S36" i="38"/>
  <c r="T36" i="38"/>
  <c r="O35" i="38"/>
  <c r="P36" i="38"/>
  <c r="U36" i="38"/>
  <c r="S37" i="38"/>
  <c r="T37" i="38"/>
  <c r="O36" i="38"/>
  <c r="P37" i="38"/>
  <c r="U37" i="38"/>
  <c r="S38" i="38"/>
  <c r="T38" i="38"/>
  <c r="O37" i="38"/>
  <c r="P38" i="38"/>
  <c r="U38" i="38"/>
  <c r="S39" i="38"/>
  <c r="T39" i="38"/>
  <c r="O38" i="38"/>
  <c r="P39" i="38"/>
  <c r="U39" i="38"/>
  <c r="S40" i="38"/>
  <c r="T40" i="38"/>
  <c r="O39" i="38"/>
  <c r="P40" i="38"/>
  <c r="U40" i="38"/>
  <c r="S41" i="38"/>
  <c r="T41" i="38"/>
  <c r="O40" i="38"/>
  <c r="P41" i="38"/>
  <c r="U41" i="38"/>
  <c r="S42" i="38"/>
  <c r="T42" i="38"/>
  <c r="O41" i="38"/>
  <c r="P42" i="38"/>
  <c r="U42" i="38"/>
  <c r="S43" i="38"/>
  <c r="T43" i="38"/>
  <c r="O42" i="38"/>
  <c r="P43" i="38"/>
  <c r="U43" i="38"/>
  <c r="S44" i="38"/>
  <c r="T44" i="38"/>
  <c r="O43" i="38"/>
  <c r="P44" i="38"/>
  <c r="U44" i="38"/>
  <c r="S45" i="38"/>
  <c r="T45" i="38"/>
  <c r="O44" i="38"/>
  <c r="P45" i="38"/>
  <c r="U45" i="38"/>
  <c r="S46" i="38"/>
  <c r="T46" i="38"/>
  <c r="O45" i="38"/>
  <c r="P46" i="38"/>
  <c r="U46" i="38"/>
  <c r="S47" i="38"/>
  <c r="T47" i="38"/>
  <c r="O46" i="38"/>
  <c r="P47" i="38"/>
  <c r="U47" i="38"/>
  <c r="S48" i="38"/>
  <c r="T48" i="38"/>
  <c r="O47" i="38"/>
  <c r="P48" i="38"/>
  <c r="U48" i="38"/>
  <c r="S49" i="38"/>
  <c r="T49" i="38"/>
  <c r="O48" i="38"/>
  <c r="P49" i="38"/>
  <c r="U49" i="38"/>
  <c r="S50" i="38"/>
  <c r="T50" i="38"/>
  <c r="O49" i="38"/>
  <c r="P50" i="38"/>
  <c r="U50" i="38"/>
  <c r="S51" i="38"/>
  <c r="T51" i="38"/>
  <c r="O50" i="38"/>
  <c r="P51" i="38"/>
  <c r="U51" i="38"/>
  <c r="S52" i="38"/>
  <c r="T52" i="38"/>
  <c r="O51" i="38"/>
  <c r="P52" i="38"/>
  <c r="U52" i="38"/>
  <c r="S53" i="38"/>
  <c r="T53" i="38"/>
  <c r="O52" i="38"/>
  <c r="P53" i="38"/>
  <c r="U53" i="38"/>
  <c r="S54" i="38"/>
  <c r="T54" i="38"/>
  <c r="O53" i="38"/>
  <c r="P54" i="38"/>
  <c r="U54" i="38"/>
  <c r="S55" i="38"/>
  <c r="T55" i="38"/>
  <c r="O54" i="38"/>
  <c r="P55" i="38"/>
  <c r="U55" i="38"/>
  <c r="S56" i="38"/>
  <c r="T56" i="38"/>
  <c r="O55" i="38"/>
  <c r="P56" i="38"/>
  <c r="U56" i="38"/>
  <c r="S57" i="38"/>
  <c r="T57" i="38"/>
  <c r="O56" i="38"/>
  <c r="P57" i="38"/>
  <c r="U57" i="38"/>
  <c r="S58" i="38"/>
  <c r="T58" i="38"/>
  <c r="O57" i="38"/>
  <c r="P58" i="38"/>
  <c r="U58" i="38"/>
  <c r="S59" i="38"/>
  <c r="T59" i="38"/>
  <c r="O58" i="38"/>
  <c r="P59" i="38"/>
  <c r="U59" i="38"/>
  <c r="S60" i="38"/>
  <c r="T60" i="38"/>
  <c r="O59" i="38"/>
  <c r="P60" i="38"/>
  <c r="U60" i="38"/>
  <c r="S61" i="38"/>
  <c r="T61" i="38"/>
  <c r="O60" i="38"/>
  <c r="P61" i="38"/>
  <c r="U61" i="38"/>
  <c r="S62" i="38"/>
  <c r="T62" i="38"/>
  <c r="O61" i="38"/>
  <c r="P62" i="38"/>
  <c r="U62" i="38"/>
  <c r="S63" i="38"/>
  <c r="T63" i="38"/>
  <c r="O62" i="38"/>
  <c r="P63" i="38"/>
  <c r="U63" i="38"/>
  <c r="S64" i="38"/>
  <c r="T64" i="38"/>
  <c r="O63" i="38"/>
  <c r="P64" i="38"/>
  <c r="U64" i="38"/>
  <c r="S65" i="38"/>
  <c r="T65" i="38"/>
  <c r="O64" i="38"/>
  <c r="P65" i="38"/>
  <c r="U65" i="38"/>
  <c r="S66" i="38"/>
  <c r="T66" i="38"/>
  <c r="O65" i="38"/>
  <c r="P66" i="38"/>
  <c r="U66" i="38"/>
  <c r="S67" i="38"/>
  <c r="T67" i="38"/>
  <c r="O66" i="38"/>
  <c r="P67" i="38"/>
  <c r="U67" i="38"/>
  <c r="S68" i="38"/>
  <c r="T68" i="38"/>
  <c r="O67" i="38"/>
  <c r="P68" i="38"/>
  <c r="U68" i="38"/>
  <c r="S69" i="38"/>
  <c r="T69" i="38"/>
  <c r="O68" i="38"/>
  <c r="P69" i="38"/>
  <c r="U69" i="38"/>
  <c r="S70" i="38"/>
  <c r="T70" i="38"/>
  <c r="O69" i="38"/>
  <c r="P70" i="38"/>
  <c r="U70" i="38"/>
  <c r="S71" i="38"/>
  <c r="T71" i="38"/>
  <c r="O70" i="38"/>
  <c r="P71" i="38"/>
  <c r="U71" i="38"/>
  <c r="S72" i="38"/>
  <c r="T72" i="38"/>
  <c r="O71" i="38"/>
  <c r="P72" i="38"/>
  <c r="U72" i="38"/>
  <c r="S73" i="38"/>
  <c r="T73" i="38"/>
  <c r="O72" i="38"/>
  <c r="P73" i="38"/>
  <c r="U73" i="38"/>
  <c r="S74" i="38"/>
  <c r="T74" i="38"/>
  <c r="O73" i="38"/>
  <c r="P74" i="38"/>
  <c r="U74" i="38"/>
  <c r="S75" i="38"/>
  <c r="T75" i="38"/>
  <c r="O74" i="38"/>
  <c r="P75" i="38"/>
  <c r="U75" i="38"/>
  <c r="S76" i="38"/>
  <c r="T76" i="38"/>
  <c r="O75" i="38"/>
  <c r="P76" i="38"/>
  <c r="U76" i="38"/>
  <c r="S77" i="38"/>
  <c r="T77" i="38"/>
  <c r="O76" i="38"/>
  <c r="P77" i="38"/>
  <c r="U77" i="38"/>
  <c r="S78" i="38"/>
  <c r="T78" i="38"/>
  <c r="O77" i="38"/>
  <c r="P78" i="38"/>
  <c r="U78" i="38"/>
  <c r="S79" i="38"/>
  <c r="T79" i="38"/>
  <c r="O78" i="38"/>
  <c r="P79" i="38"/>
  <c r="U79" i="38"/>
  <c r="S80" i="38"/>
  <c r="T80" i="38"/>
  <c r="O79" i="38"/>
  <c r="P80" i="38"/>
  <c r="U80" i="38"/>
  <c r="S81" i="38"/>
  <c r="T81" i="38"/>
  <c r="O80" i="38"/>
  <c r="P81" i="38"/>
  <c r="U81" i="38"/>
  <c r="S82" i="38"/>
  <c r="T82" i="38"/>
  <c r="O81" i="38"/>
  <c r="P82" i="38"/>
  <c r="U82" i="38"/>
  <c r="S83" i="38"/>
  <c r="T83" i="38"/>
  <c r="O82" i="38"/>
  <c r="P83" i="38"/>
  <c r="U83" i="38"/>
  <c r="S84" i="38"/>
  <c r="T84" i="38"/>
  <c r="O83" i="38"/>
  <c r="P84" i="38"/>
  <c r="U84" i="38"/>
  <c r="S85" i="38"/>
  <c r="T85" i="38"/>
  <c r="O84" i="38"/>
  <c r="P85" i="38"/>
  <c r="U85" i="38"/>
  <c r="S86" i="38"/>
  <c r="T86" i="38"/>
  <c r="O85" i="38"/>
  <c r="P86" i="38"/>
  <c r="U86" i="38"/>
  <c r="S87" i="38"/>
  <c r="T87" i="38"/>
  <c r="O86" i="38"/>
  <c r="P87" i="38"/>
  <c r="U87" i="38"/>
  <c r="S88" i="38"/>
  <c r="T88" i="38"/>
  <c r="O87" i="38"/>
  <c r="P88" i="38"/>
  <c r="U88" i="38"/>
  <c r="S89" i="38"/>
  <c r="T89" i="38"/>
  <c r="O88" i="38"/>
  <c r="P89" i="38"/>
  <c r="U89" i="38"/>
  <c r="S90" i="38"/>
  <c r="T90" i="38"/>
  <c r="O89" i="38"/>
  <c r="P90" i="38"/>
  <c r="U90" i="38"/>
  <c r="S91" i="38"/>
  <c r="T91" i="38"/>
  <c r="O90" i="38"/>
  <c r="P91" i="38"/>
  <c r="U91" i="38"/>
  <c r="S92" i="38"/>
  <c r="T92" i="38"/>
  <c r="O91" i="38"/>
  <c r="P92" i="38"/>
  <c r="U92" i="38"/>
  <c r="S93" i="38"/>
  <c r="T93" i="38"/>
  <c r="O92" i="38"/>
  <c r="P93" i="38"/>
  <c r="U93" i="38"/>
  <c r="S94" i="38"/>
  <c r="T94" i="38"/>
  <c r="O93" i="38"/>
  <c r="P94" i="38"/>
  <c r="U94" i="38"/>
  <c r="S95" i="38"/>
  <c r="T95" i="38"/>
  <c r="O94" i="38"/>
  <c r="P95" i="38"/>
  <c r="U95" i="38"/>
  <c r="S96" i="38"/>
  <c r="T96" i="38"/>
  <c r="O95" i="38"/>
  <c r="P96" i="38"/>
  <c r="U96" i="38"/>
  <c r="S97" i="38"/>
  <c r="T97" i="38"/>
  <c r="O96" i="38"/>
  <c r="P97" i="38"/>
  <c r="U97" i="38"/>
  <c r="S98" i="38"/>
  <c r="T98" i="38"/>
  <c r="O97" i="38"/>
  <c r="P98" i="38"/>
  <c r="U98" i="38"/>
  <c r="S99" i="38"/>
  <c r="T99" i="38"/>
  <c r="O98" i="38"/>
  <c r="P99" i="38"/>
  <c r="U99" i="38"/>
  <c r="S100" i="38"/>
  <c r="T100" i="38"/>
  <c r="O99" i="38"/>
  <c r="P100" i="38"/>
  <c r="U100" i="38"/>
  <c r="S101" i="38"/>
  <c r="T101" i="38"/>
  <c r="O100" i="38"/>
  <c r="P101" i="38"/>
  <c r="U101" i="38"/>
  <c r="S102" i="38"/>
  <c r="T102" i="38"/>
  <c r="O101" i="38"/>
  <c r="P102" i="38"/>
  <c r="U102" i="38"/>
  <c r="S103" i="38"/>
  <c r="T103" i="38"/>
  <c r="O102" i="38"/>
  <c r="P103" i="38"/>
  <c r="U103" i="38"/>
  <c r="S104" i="38"/>
  <c r="T104" i="38"/>
  <c r="O103" i="38"/>
  <c r="P104" i="38"/>
  <c r="U104" i="38"/>
  <c r="S105" i="38"/>
  <c r="T105" i="38"/>
  <c r="O104" i="38"/>
  <c r="P105" i="38"/>
  <c r="U105" i="38"/>
  <c r="S106" i="38"/>
  <c r="T106" i="38"/>
  <c r="O105" i="38"/>
  <c r="P106" i="38"/>
  <c r="U106" i="38"/>
  <c r="S107" i="38"/>
  <c r="T107" i="38"/>
  <c r="O106" i="38"/>
  <c r="P107" i="38"/>
  <c r="U107" i="38"/>
  <c r="S108" i="38"/>
  <c r="T108" i="38"/>
  <c r="O107" i="38"/>
  <c r="P108" i="38"/>
  <c r="U108" i="38"/>
  <c r="S109" i="38"/>
  <c r="T109" i="38"/>
  <c r="O108" i="38"/>
  <c r="P109" i="38"/>
  <c r="U109" i="38"/>
  <c r="S110" i="38"/>
  <c r="T110" i="38"/>
  <c r="O109" i="38"/>
  <c r="P110" i="38"/>
  <c r="U110" i="38"/>
  <c r="S111" i="38"/>
  <c r="T111" i="38"/>
  <c r="O110" i="38"/>
  <c r="P111" i="38"/>
  <c r="U111" i="38"/>
  <c r="S112" i="38"/>
  <c r="T112" i="38"/>
  <c r="O111" i="38"/>
  <c r="P112" i="38"/>
  <c r="U112" i="38"/>
  <c r="S113" i="38"/>
  <c r="T113" i="38"/>
  <c r="O112" i="38"/>
  <c r="P113" i="38"/>
  <c r="U113" i="38"/>
  <c r="S114" i="38"/>
  <c r="T114" i="38"/>
  <c r="O113" i="38"/>
  <c r="P114" i="38"/>
  <c r="U114" i="38"/>
  <c r="S115" i="38"/>
  <c r="T115" i="38"/>
  <c r="O114" i="38"/>
  <c r="P115" i="38"/>
  <c r="U115" i="38"/>
  <c r="S116" i="38"/>
  <c r="T116" i="38"/>
  <c r="O115" i="38"/>
  <c r="P116" i="38"/>
  <c r="U116" i="38"/>
  <c r="S117" i="38"/>
  <c r="T117" i="38"/>
  <c r="O116" i="38"/>
  <c r="P117" i="38"/>
  <c r="U117" i="38"/>
  <c r="S118" i="38"/>
  <c r="T118" i="38"/>
  <c r="O117" i="38"/>
  <c r="P118" i="38"/>
  <c r="U118" i="38"/>
  <c r="S119" i="38"/>
  <c r="T119" i="38"/>
  <c r="O118" i="38"/>
  <c r="P119" i="38"/>
  <c r="U119" i="38"/>
  <c r="S120" i="38"/>
  <c r="T120" i="38"/>
  <c r="O119" i="38"/>
  <c r="P120" i="38"/>
  <c r="U120" i="38"/>
  <c r="S121" i="38"/>
  <c r="T121" i="38"/>
  <c r="O120" i="38"/>
  <c r="P121" i="38"/>
  <c r="U121" i="38"/>
  <c r="S122" i="38"/>
  <c r="T122" i="38"/>
  <c r="O121" i="38"/>
  <c r="P122" i="38"/>
  <c r="U122" i="38"/>
  <c r="S123" i="38"/>
  <c r="T123" i="38"/>
  <c r="O122" i="38"/>
  <c r="P123" i="38"/>
  <c r="U123" i="38"/>
  <c r="S124" i="38"/>
  <c r="T124" i="38"/>
  <c r="O123" i="38"/>
  <c r="P124" i="38"/>
  <c r="U124" i="38"/>
  <c r="S125" i="38"/>
  <c r="T125" i="38"/>
  <c r="O124" i="38"/>
  <c r="P125" i="38"/>
  <c r="U125" i="38"/>
  <c r="S126" i="38"/>
  <c r="T126" i="38"/>
  <c r="O125" i="38"/>
  <c r="P126" i="38"/>
  <c r="U126" i="38"/>
  <c r="S127" i="38"/>
  <c r="T127" i="38"/>
  <c r="O126" i="38"/>
  <c r="P127" i="38"/>
  <c r="U127" i="38"/>
  <c r="S128" i="38"/>
  <c r="T128" i="38"/>
  <c r="O127" i="38"/>
  <c r="P128" i="38"/>
  <c r="U128" i="38"/>
  <c r="S129" i="38"/>
  <c r="T129" i="38"/>
  <c r="O128" i="38"/>
  <c r="P129" i="38"/>
  <c r="U129" i="38"/>
  <c r="S130" i="38"/>
  <c r="T130" i="38"/>
  <c r="O129" i="38"/>
  <c r="P130" i="38"/>
  <c r="U130" i="38"/>
  <c r="S131" i="38"/>
  <c r="T131" i="38"/>
  <c r="O130" i="38"/>
  <c r="P131" i="38"/>
  <c r="U131" i="38"/>
  <c r="S132" i="38"/>
  <c r="T132" i="38"/>
  <c r="O131" i="38"/>
  <c r="P132" i="38"/>
  <c r="U132" i="38"/>
  <c r="S133" i="38"/>
  <c r="T133" i="38"/>
  <c r="O132" i="38"/>
  <c r="P133" i="38"/>
  <c r="U133" i="38"/>
  <c r="S134" i="38"/>
  <c r="T134" i="38"/>
  <c r="O133" i="38"/>
  <c r="P134" i="38"/>
  <c r="U134" i="38"/>
  <c r="S135" i="38"/>
  <c r="T135" i="38"/>
  <c r="O134" i="38"/>
  <c r="P135" i="38"/>
  <c r="U135" i="38"/>
  <c r="S136" i="38"/>
  <c r="T136" i="38"/>
  <c r="O135" i="38"/>
  <c r="P136" i="38"/>
  <c r="U136" i="38"/>
  <c r="S137" i="38"/>
  <c r="T137" i="38"/>
  <c r="O136" i="38"/>
  <c r="P137" i="38"/>
  <c r="U137" i="38"/>
  <c r="S138" i="38"/>
  <c r="T138" i="38"/>
  <c r="O137" i="38"/>
  <c r="P138" i="38"/>
  <c r="U138" i="38"/>
  <c r="S139" i="38"/>
  <c r="T139" i="38"/>
  <c r="O138" i="38"/>
  <c r="P139" i="38"/>
  <c r="U139" i="38"/>
  <c r="S140" i="38"/>
  <c r="T140" i="38"/>
  <c r="O139" i="38"/>
  <c r="P140" i="38"/>
  <c r="U140" i="38"/>
  <c r="S141" i="38"/>
  <c r="T141" i="38"/>
  <c r="O140" i="38"/>
  <c r="P141" i="38"/>
  <c r="U141" i="38"/>
  <c r="S142" i="38"/>
  <c r="T142" i="38"/>
  <c r="O141" i="38"/>
  <c r="P142" i="38"/>
  <c r="U142" i="38"/>
  <c r="S143" i="38"/>
  <c r="T143" i="38"/>
  <c r="O142" i="38"/>
  <c r="P143" i="38"/>
  <c r="U143" i="38"/>
  <c r="S144" i="38"/>
  <c r="T144" i="38"/>
  <c r="O143" i="38"/>
  <c r="P144" i="38"/>
  <c r="U144" i="38"/>
  <c r="S145" i="38"/>
  <c r="T145" i="38"/>
  <c r="O144" i="38"/>
  <c r="P145" i="38"/>
  <c r="U145" i="38"/>
  <c r="S146" i="38"/>
  <c r="T146" i="38"/>
  <c r="O145" i="38"/>
  <c r="P146" i="38"/>
  <c r="U146" i="38"/>
  <c r="S147" i="38"/>
  <c r="T147" i="38"/>
  <c r="O146" i="38"/>
  <c r="P147" i="38"/>
  <c r="U147" i="38"/>
  <c r="S148" i="38"/>
  <c r="T148" i="38"/>
  <c r="O147" i="38"/>
  <c r="P148" i="38"/>
  <c r="U148" i="38"/>
  <c r="S149" i="38"/>
  <c r="T149" i="38"/>
  <c r="O148" i="38"/>
  <c r="P149" i="38"/>
  <c r="U149" i="38"/>
  <c r="S150" i="38"/>
  <c r="T150" i="38"/>
  <c r="O149" i="38"/>
  <c r="P150" i="38"/>
  <c r="U150" i="38"/>
  <c r="S151" i="38"/>
  <c r="T151" i="38"/>
  <c r="O150" i="38"/>
  <c r="P151" i="38"/>
  <c r="U151" i="38"/>
  <c r="S152" i="38"/>
  <c r="T152" i="38"/>
  <c r="O151" i="38"/>
  <c r="P152" i="38"/>
  <c r="U152" i="38"/>
  <c r="S153" i="38"/>
  <c r="T153" i="38"/>
  <c r="O152" i="38"/>
  <c r="P153" i="38"/>
  <c r="U153" i="38"/>
  <c r="S154" i="38"/>
  <c r="T154" i="38"/>
  <c r="O153" i="38"/>
  <c r="P154" i="38"/>
  <c r="U154" i="38"/>
  <c r="S155" i="38"/>
  <c r="T155" i="38"/>
  <c r="O154" i="38"/>
  <c r="P155" i="38"/>
  <c r="U155" i="38"/>
  <c r="S156" i="38"/>
  <c r="T156" i="38"/>
  <c r="O155" i="38"/>
  <c r="P156" i="38"/>
  <c r="U156" i="38"/>
  <c r="S157" i="38"/>
  <c r="T157" i="38"/>
  <c r="O156" i="38"/>
  <c r="P157" i="38"/>
  <c r="U157" i="38"/>
  <c r="S158" i="38"/>
  <c r="T158" i="38"/>
  <c r="O157" i="38"/>
  <c r="P158" i="38"/>
  <c r="U158" i="38"/>
  <c r="S159" i="38"/>
  <c r="T159" i="38"/>
  <c r="O158" i="38"/>
  <c r="P159" i="38"/>
  <c r="U159" i="38"/>
  <c r="S160" i="38"/>
  <c r="T160" i="38"/>
  <c r="O159" i="38"/>
  <c r="P160" i="38"/>
  <c r="U160" i="38"/>
  <c r="S161" i="38"/>
  <c r="T161" i="38"/>
  <c r="O160" i="38"/>
  <c r="P161" i="38"/>
  <c r="U161" i="38"/>
  <c r="S162" i="38"/>
  <c r="T162" i="38"/>
  <c r="O161" i="38"/>
  <c r="P162" i="38"/>
  <c r="U162" i="38"/>
  <c r="S163" i="38"/>
  <c r="T163" i="38"/>
  <c r="O162" i="38"/>
  <c r="P163" i="38"/>
  <c r="U163" i="38"/>
  <c r="S164" i="38"/>
  <c r="T164" i="38"/>
  <c r="O163" i="38"/>
  <c r="P164" i="38"/>
  <c r="U164" i="38"/>
  <c r="S165" i="38"/>
  <c r="T165" i="38"/>
  <c r="O164" i="38"/>
  <c r="P165" i="38"/>
  <c r="U165" i="38"/>
  <c r="S166" i="38"/>
  <c r="T166" i="38"/>
  <c r="O165" i="38"/>
  <c r="P166" i="38"/>
  <c r="U166" i="38"/>
  <c r="S167" i="38"/>
  <c r="T167" i="38"/>
  <c r="O166" i="38"/>
  <c r="P167" i="38"/>
  <c r="U167" i="38"/>
  <c r="S168" i="38"/>
  <c r="T168" i="38"/>
  <c r="O167" i="38"/>
  <c r="P168" i="38"/>
  <c r="U168" i="38"/>
  <c r="S169" i="38"/>
  <c r="T169" i="38"/>
  <c r="O168" i="38"/>
  <c r="P169" i="38"/>
  <c r="U169" i="38"/>
  <c r="S170" i="38"/>
  <c r="T170" i="38"/>
  <c r="O169" i="38"/>
  <c r="P170" i="38"/>
  <c r="U170" i="38"/>
  <c r="S171" i="38"/>
  <c r="T171" i="38"/>
  <c r="O170" i="38"/>
  <c r="P171" i="38"/>
  <c r="U171" i="38"/>
  <c r="S172" i="38"/>
  <c r="T172" i="38"/>
  <c r="O171" i="38"/>
  <c r="P172" i="38"/>
  <c r="U172" i="38"/>
  <c r="S173" i="38"/>
  <c r="T173" i="38"/>
  <c r="O172" i="38"/>
  <c r="P173" i="38"/>
  <c r="U173" i="38"/>
  <c r="S174" i="38"/>
  <c r="T174" i="38"/>
  <c r="O173" i="38"/>
  <c r="P174" i="38"/>
  <c r="U174" i="38"/>
  <c r="S175" i="38"/>
  <c r="T175" i="38"/>
  <c r="O174" i="38"/>
  <c r="P175" i="38"/>
  <c r="U175" i="38"/>
  <c r="S176" i="38"/>
  <c r="T176" i="38"/>
  <c r="O175" i="38"/>
  <c r="P176" i="38"/>
  <c r="U176" i="38"/>
  <c r="S177" i="38"/>
  <c r="T177" i="38"/>
  <c r="O176" i="38"/>
  <c r="P177" i="38"/>
  <c r="U177" i="38"/>
  <c r="S178" i="38"/>
  <c r="T178" i="38"/>
  <c r="O177" i="38"/>
  <c r="P178" i="38"/>
  <c r="U178" i="38"/>
  <c r="S179" i="38"/>
  <c r="T179" i="38"/>
  <c r="O178" i="38"/>
  <c r="P179" i="38"/>
  <c r="U179" i="38"/>
  <c r="S180" i="38"/>
  <c r="T180" i="38"/>
  <c r="O179" i="38"/>
  <c r="P180" i="38"/>
  <c r="U180" i="38"/>
  <c r="S181" i="38"/>
  <c r="T181" i="38"/>
  <c r="O180" i="38"/>
  <c r="P181" i="38"/>
  <c r="U181" i="38"/>
  <c r="S182" i="38"/>
  <c r="T182" i="38"/>
  <c r="O181" i="38"/>
  <c r="P182" i="38"/>
  <c r="U182" i="38"/>
  <c r="S183" i="38"/>
  <c r="T183" i="38"/>
  <c r="O182" i="38"/>
  <c r="P183" i="38"/>
  <c r="U183" i="38"/>
  <c r="S184" i="38"/>
  <c r="T184" i="38"/>
  <c r="O183" i="38"/>
  <c r="P184" i="38"/>
  <c r="U184" i="38"/>
  <c r="S185" i="38"/>
  <c r="T185" i="38"/>
  <c r="O184" i="38"/>
  <c r="P185" i="38"/>
  <c r="U185" i="38"/>
  <c r="S186" i="38"/>
  <c r="T186" i="38"/>
  <c r="O185" i="38"/>
  <c r="P186" i="38"/>
  <c r="U186" i="38"/>
  <c r="S187" i="38"/>
  <c r="T187" i="38"/>
  <c r="O186" i="38"/>
  <c r="P187" i="38"/>
  <c r="U187" i="38"/>
  <c r="S188" i="38"/>
  <c r="T188" i="38"/>
  <c r="O187" i="38"/>
  <c r="P188" i="38"/>
  <c r="U188" i="38"/>
  <c r="S189" i="38"/>
  <c r="T189" i="38"/>
  <c r="O188" i="38"/>
  <c r="P189" i="38"/>
  <c r="U189" i="38"/>
  <c r="S190" i="38"/>
  <c r="T190" i="38"/>
  <c r="O189" i="38"/>
  <c r="P190" i="38"/>
  <c r="U190" i="38"/>
  <c r="S191" i="38"/>
  <c r="T191" i="38"/>
  <c r="O190" i="38"/>
  <c r="P191" i="38"/>
  <c r="U191" i="38"/>
  <c r="S192" i="38"/>
  <c r="T192" i="38"/>
  <c r="O191" i="38"/>
  <c r="P192" i="38"/>
  <c r="U192" i="38"/>
  <c r="S193" i="38"/>
  <c r="T193" i="38"/>
  <c r="O192" i="38"/>
  <c r="P193" i="38"/>
  <c r="U193" i="38"/>
  <c r="S194" i="38"/>
  <c r="T194" i="38"/>
  <c r="O193" i="38"/>
  <c r="P194" i="38"/>
  <c r="U194" i="38"/>
  <c r="S195" i="38"/>
  <c r="T195" i="38"/>
  <c r="O194" i="38"/>
  <c r="P195" i="38"/>
  <c r="U195" i="38"/>
  <c r="S196" i="38"/>
  <c r="T196" i="38"/>
  <c r="O195" i="38"/>
  <c r="P196" i="38"/>
  <c r="U196" i="38"/>
  <c r="S197" i="38"/>
  <c r="T197" i="38"/>
  <c r="O196" i="38"/>
  <c r="P197" i="38"/>
  <c r="U197" i="38"/>
  <c r="S198" i="38"/>
  <c r="T198" i="38"/>
  <c r="O197" i="38"/>
  <c r="P198" i="38"/>
  <c r="U198" i="38"/>
  <c r="S199" i="38"/>
  <c r="T199" i="38"/>
  <c r="O198" i="38"/>
  <c r="P199" i="38"/>
  <c r="U199" i="38"/>
  <c r="S200" i="38"/>
  <c r="T200" i="38"/>
  <c r="O199" i="38"/>
  <c r="P200" i="38"/>
  <c r="U200" i="38"/>
  <c r="S201" i="38"/>
  <c r="T201" i="38"/>
  <c r="O200" i="38"/>
  <c r="P201" i="38"/>
  <c r="U201" i="38"/>
  <c r="S202" i="38"/>
  <c r="T202" i="38"/>
  <c r="O201" i="38"/>
  <c r="P202" i="38"/>
  <c r="U202" i="38"/>
  <c r="S203" i="38"/>
  <c r="T203" i="38"/>
  <c r="O202" i="38"/>
  <c r="P203" i="38"/>
  <c r="U203" i="38"/>
  <c r="S204" i="38"/>
  <c r="T204" i="38"/>
  <c r="O203" i="38"/>
  <c r="P204" i="38"/>
  <c r="U204" i="38"/>
  <c r="S205" i="38"/>
  <c r="T205" i="38"/>
  <c r="O204" i="38"/>
  <c r="P205" i="38"/>
  <c r="U205" i="38"/>
  <c r="S206" i="38"/>
  <c r="T206" i="38"/>
  <c r="O205" i="38"/>
  <c r="P206" i="38"/>
  <c r="U206" i="38"/>
  <c r="S207" i="38"/>
  <c r="T207" i="38"/>
  <c r="O206" i="38"/>
  <c r="P207" i="38"/>
  <c r="U207" i="38"/>
  <c r="S208" i="38"/>
  <c r="T208" i="38"/>
  <c r="O207" i="38"/>
  <c r="P208" i="38"/>
  <c r="U208" i="38"/>
  <c r="S209" i="38"/>
  <c r="T209" i="38"/>
  <c r="O208" i="38"/>
  <c r="P209" i="38"/>
  <c r="U209" i="38"/>
  <c r="S210" i="38"/>
  <c r="T210" i="38"/>
  <c r="O209" i="38"/>
  <c r="P210" i="38"/>
  <c r="U210" i="38"/>
  <c r="S211" i="38"/>
  <c r="T211" i="38"/>
  <c r="O210" i="38"/>
  <c r="P211" i="38"/>
  <c r="U211" i="38"/>
  <c r="S212" i="38"/>
  <c r="T212" i="38"/>
  <c r="O211" i="38"/>
  <c r="P212" i="38"/>
  <c r="U212" i="38"/>
  <c r="S213" i="38"/>
  <c r="T213" i="38"/>
  <c r="O212" i="38"/>
  <c r="P213" i="38"/>
  <c r="U213" i="38"/>
  <c r="S214" i="38"/>
  <c r="T214" i="38"/>
  <c r="O213" i="38"/>
  <c r="P214" i="38"/>
  <c r="U214" i="38"/>
  <c r="S215" i="38"/>
  <c r="T215" i="38"/>
  <c r="O214" i="38"/>
  <c r="P215" i="38"/>
  <c r="U215" i="38"/>
  <c r="S216" i="38"/>
  <c r="T216" i="38"/>
  <c r="O215" i="38"/>
  <c r="P216" i="38"/>
  <c r="U216" i="38"/>
  <c r="S217" i="38"/>
  <c r="T217" i="38"/>
  <c r="O216" i="38"/>
  <c r="P217" i="38"/>
  <c r="U217" i="38"/>
  <c r="S218" i="38"/>
  <c r="T218" i="38"/>
  <c r="O217" i="38"/>
  <c r="P218" i="38"/>
  <c r="U218" i="38"/>
  <c r="S219" i="38"/>
  <c r="T219" i="38"/>
  <c r="O218" i="38"/>
  <c r="P219" i="38"/>
  <c r="U219" i="38"/>
  <c r="S220" i="38"/>
  <c r="T220" i="38"/>
  <c r="O219" i="38"/>
  <c r="P220" i="38"/>
  <c r="U220" i="38"/>
  <c r="S221" i="38"/>
  <c r="T221" i="38"/>
  <c r="O220" i="38"/>
  <c r="P221" i="38"/>
  <c r="U221" i="38"/>
  <c r="S222" i="38"/>
  <c r="T222" i="38"/>
  <c r="O221" i="38"/>
  <c r="P222" i="38"/>
  <c r="U222" i="38"/>
  <c r="S223" i="38"/>
  <c r="T223" i="38"/>
  <c r="O222" i="38"/>
  <c r="P223" i="38"/>
  <c r="U223" i="38"/>
  <c r="S224" i="38"/>
  <c r="T224" i="38"/>
  <c r="O223" i="38"/>
  <c r="P224" i="38"/>
  <c r="U224" i="38"/>
  <c r="S225" i="38"/>
  <c r="T225" i="38"/>
  <c r="O224" i="38"/>
  <c r="P225" i="38"/>
  <c r="U225" i="38"/>
  <c r="S226" i="38"/>
  <c r="T226" i="38"/>
  <c r="O225" i="38"/>
  <c r="P226" i="38"/>
  <c r="U226" i="38"/>
  <c r="S227" i="38"/>
  <c r="T227" i="38"/>
  <c r="O226" i="38"/>
  <c r="P227" i="38"/>
  <c r="U227" i="38"/>
  <c r="S228" i="38"/>
  <c r="T228" i="38"/>
  <c r="O227" i="38"/>
  <c r="P228" i="38"/>
  <c r="U228" i="38"/>
  <c r="S229" i="38"/>
  <c r="T229" i="38"/>
  <c r="O228" i="38"/>
  <c r="P229" i="38"/>
  <c r="U229" i="38"/>
  <c r="S230" i="38"/>
  <c r="T230" i="38"/>
  <c r="O229" i="38"/>
  <c r="P230" i="38"/>
  <c r="U230" i="38"/>
  <c r="S231" i="38"/>
  <c r="T231" i="38"/>
  <c r="O230" i="38"/>
  <c r="P231" i="38"/>
  <c r="U231" i="38"/>
  <c r="S232" i="38"/>
  <c r="T232" i="38"/>
  <c r="O231" i="38"/>
  <c r="P232" i="38"/>
  <c r="U232" i="38"/>
  <c r="S233" i="38"/>
  <c r="T233" i="38"/>
  <c r="O232" i="38"/>
  <c r="P233" i="38"/>
  <c r="U233" i="38"/>
  <c r="S234" i="38"/>
  <c r="T234" i="38"/>
  <c r="O233" i="38"/>
  <c r="P234" i="38"/>
  <c r="U234" i="38"/>
  <c r="S235" i="38"/>
  <c r="T235" i="38"/>
  <c r="O234" i="38"/>
  <c r="P235" i="38"/>
  <c r="U235" i="38"/>
  <c r="S236" i="38"/>
  <c r="T236" i="38"/>
  <c r="O235" i="38"/>
  <c r="P236" i="38"/>
  <c r="U236" i="38"/>
  <c r="S237" i="38"/>
  <c r="T237" i="38"/>
  <c r="O236" i="38"/>
  <c r="P237" i="38"/>
  <c r="U237" i="38"/>
  <c r="S238" i="38"/>
  <c r="T238" i="38"/>
  <c r="O237" i="38"/>
  <c r="P238" i="38"/>
  <c r="U238" i="38"/>
  <c r="S239" i="38"/>
  <c r="T239" i="38"/>
  <c r="O238" i="38"/>
  <c r="P239" i="38"/>
  <c r="U239" i="38"/>
  <c r="S240" i="38"/>
  <c r="T240" i="38"/>
  <c r="O239" i="38"/>
  <c r="P240" i="38"/>
  <c r="U240" i="38"/>
  <c r="S241" i="38"/>
  <c r="T241" i="38"/>
  <c r="O240" i="38"/>
  <c r="P241" i="38"/>
  <c r="U241" i="38"/>
  <c r="S242" i="38"/>
  <c r="T242" i="38"/>
  <c r="O241" i="38"/>
  <c r="P242" i="38"/>
  <c r="U242" i="38"/>
  <c r="S243" i="38"/>
  <c r="T243" i="38"/>
  <c r="O242" i="38"/>
  <c r="P243" i="38"/>
  <c r="U243" i="38"/>
  <c r="S244" i="38"/>
  <c r="T244" i="38"/>
  <c r="O243" i="38"/>
  <c r="P244" i="38"/>
  <c r="U244" i="38"/>
  <c r="S245" i="38"/>
  <c r="T245" i="38"/>
  <c r="O244" i="38"/>
  <c r="P245" i="38"/>
  <c r="U245" i="38"/>
  <c r="S246" i="38"/>
  <c r="T246" i="38"/>
  <c r="O245" i="38"/>
  <c r="P246" i="38"/>
  <c r="U246" i="38"/>
  <c r="S247" i="38"/>
  <c r="T247" i="38"/>
  <c r="O246" i="38"/>
  <c r="P247" i="38"/>
  <c r="U247" i="38"/>
  <c r="S248" i="38"/>
  <c r="T248" i="38"/>
  <c r="O247" i="38"/>
  <c r="P248" i="38"/>
  <c r="U248" i="38"/>
  <c r="S249" i="38"/>
  <c r="T249" i="38"/>
  <c r="O248" i="38"/>
  <c r="P249" i="38"/>
  <c r="U249" i="38"/>
  <c r="S250" i="38"/>
  <c r="T250" i="38"/>
  <c r="O249" i="38"/>
  <c r="P250" i="38"/>
  <c r="U250" i="38"/>
  <c r="S251" i="38"/>
  <c r="T251" i="38"/>
  <c r="O250" i="38"/>
  <c r="P251" i="38"/>
  <c r="U251" i="38"/>
  <c r="S252" i="38"/>
  <c r="T252" i="38"/>
  <c r="O251" i="38"/>
  <c r="P252" i="38"/>
  <c r="U252" i="38"/>
  <c r="S253" i="38"/>
  <c r="T253" i="38"/>
  <c r="O252" i="38"/>
  <c r="P253" i="38"/>
  <c r="U253" i="38"/>
  <c r="S254" i="38"/>
  <c r="T254" i="38"/>
  <c r="O253" i="38"/>
  <c r="P254" i="38"/>
  <c r="U254" i="38"/>
  <c r="S255" i="38"/>
  <c r="T255" i="38"/>
  <c r="O254" i="38"/>
  <c r="P255" i="38"/>
  <c r="U255" i="38"/>
  <c r="S256" i="38"/>
  <c r="T256" i="38"/>
  <c r="O255" i="38"/>
  <c r="P256" i="38"/>
  <c r="U256" i="38"/>
  <c r="S257" i="38"/>
  <c r="T257" i="38"/>
  <c r="O256" i="38"/>
  <c r="P257" i="38"/>
  <c r="U257" i="38"/>
  <c r="S258" i="38"/>
  <c r="T258" i="38"/>
  <c r="O257" i="38"/>
  <c r="P258" i="38"/>
  <c r="U258" i="38"/>
  <c r="S259" i="38"/>
  <c r="T259" i="38"/>
  <c r="O258" i="38"/>
  <c r="P259" i="38"/>
  <c r="U259" i="38"/>
  <c r="S260" i="38"/>
  <c r="T260" i="38"/>
  <c r="O259" i="38"/>
  <c r="P260" i="38"/>
  <c r="U260" i="38"/>
  <c r="S261" i="38"/>
  <c r="T261" i="38"/>
  <c r="O260" i="38"/>
  <c r="P261" i="38"/>
  <c r="U261" i="38"/>
  <c r="S262" i="38"/>
  <c r="T262" i="38"/>
  <c r="O261" i="38"/>
  <c r="P262" i="38"/>
  <c r="U262" i="38"/>
  <c r="S263" i="38"/>
  <c r="T263" i="38"/>
  <c r="O262" i="38"/>
  <c r="P263" i="38"/>
  <c r="U263" i="38"/>
  <c r="S264" i="38"/>
  <c r="T264" i="38"/>
  <c r="O263" i="38"/>
  <c r="P264" i="38"/>
  <c r="U264" i="38"/>
  <c r="S265" i="38"/>
  <c r="T265" i="38"/>
  <c r="O264" i="38"/>
  <c r="P265" i="38"/>
  <c r="U265" i="38"/>
  <c r="S266" i="38"/>
  <c r="T266" i="38"/>
  <c r="O265" i="38"/>
  <c r="P266" i="38"/>
  <c r="U266" i="38"/>
  <c r="S267" i="38"/>
  <c r="T267" i="38"/>
  <c r="O266" i="38"/>
  <c r="P267" i="38"/>
  <c r="U267" i="38"/>
  <c r="S268" i="38"/>
  <c r="T268" i="38"/>
  <c r="O267" i="38"/>
  <c r="P268" i="38"/>
  <c r="U268" i="38"/>
  <c r="S269" i="38"/>
  <c r="T269" i="38"/>
  <c r="O268" i="38"/>
  <c r="P269" i="38"/>
  <c r="U269" i="38"/>
  <c r="S270" i="38"/>
  <c r="T270" i="38"/>
  <c r="O269" i="38"/>
  <c r="P270" i="38"/>
  <c r="U270" i="38"/>
  <c r="S271" i="38"/>
  <c r="T271" i="38"/>
  <c r="O270" i="38"/>
  <c r="P271" i="38"/>
  <c r="U271" i="38"/>
  <c r="S272" i="38"/>
  <c r="T272" i="38"/>
  <c r="O271" i="38"/>
  <c r="P272" i="38"/>
  <c r="U272" i="38"/>
  <c r="S273" i="38"/>
  <c r="T273" i="38"/>
  <c r="O272" i="38"/>
  <c r="P273" i="38"/>
  <c r="U273" i="38"/>
  <c r="S274" i="38"/>
  <c r="T274" i="38"/>
  <c r="O273" i="38"/>
  <c r="P274" i="38"/>
  <c r="U274" i="38"/>
  <c r="S275" i="38"/>
  <c r="T275" i="38"/>
  <c r="O274" i="38"/>
  <c r="P275" i="38"/>
  <c r="U275" i="38"/>
  <c r="S276" i="38"/>
  <c r="T276" i="38"/>
  <c r="O275" i="38"/>
  <c r="P276" i="38"/>
  <c r="U276" i="38"/>
  <c r="S277" i="38"/>
  <c r="T277" i="38"/>
  <c r="O276" i="38"/>
  <c r="P277" i="38"/>
  <c r="U277" i="38"/>
  <c r="S278" i="38"/>
  <c r="T278" i="38"/>
  <c r="O277" i="38"/>
  <c r="P278" i="38"/>
  <c r="U278" i="38"/>
  <c r="S279" i="38"/>
  <c r="T279" i="38"/>
  <c r="O278" i="38"/>
  <c r="P279" i="38"/>
  <c r="U279" i="38"/>
  <c r="S280" i="38"/>
  <c r="T280" i="38"/>
  <c r="O279" i="38"/>
  <c r="P280" i="38"/>
  <c r="U280" i="38"/>
  <c r="S281" i="38"/>
  <c r="T281" i="38"/>
  <c r="O280" i="38"/>
  <c r="P281" i="38"/>
  <c r="U281" i="38"/>
  <c r="S282" i="38"/>
  <c r="T282" i="38"/>
  <c r="O281" i="38"/>
  <c r="P282" i="38"/>
  <c r="U282" i="38"/>
  <c r="S283" i="38"/>
  <c r="T283" i="38"/>
  <c r="O282" i="38"/>
  <c r="P283" i="38"/>
  <c r="U283" i="38"/>
  <c r="S284" i="38"/>
  <c r="T284" i="38"/>
  <c r="O283" i="38"/>
  <c r="P284" i="38"/>
  <c r="U284" i="38"/>
  <c r="S285" i="38"/>
  <c r="T285" i="38"/>
  <c r="O284" i="38"/>
  <c r="P285" i="38"/>
  <c r="U285" i="38"/>
  <c r="S286" i="38"/>
  <c r="T286" i="38"/>
  <c r="O285" i="38"/>
  <c r="P286" i="38"/>
  <c r="U286" i="38"/>
  <c r="S287" i="38"/>
  <c r="T287" i="38"/>
  <c r="O286" i="38"/>
  <c r="P287" i="38"/>
  <c r="U287" i="38"/>
  <c r="S288" i="38"/>
  <c r="T288" i="38"/>
  <c r="O287" i="38"/>
  <c r="P288" i="38"/>
  <c r="U288" i="38"/>
  <c r="S289" i="38"/>
  <c r="T289" i="38"/>
  <c r="O288" i="38"/>
  <c r="P289" i="38"/>
  <c r="U289" i="38"/>
  <c r="S290" i="38"/>
  <c r="T290" i="38"/>
  <c r="O289" i="38"/>
  <c r="P290" i="38"/>
  <c r="U290" i="38"/>
  <c r="S291" i="38"/>
  <c r="T291" i="38"/>
  <c r="O290" i="38"/>
  <c r="P291" i="38"/>
  <c r="U291" i="38"/>
  <c r="S292" i="38"/>
  <c r="T292" i="38"/>
  <c r="O291" i="38"/>
  <c r="P292" i="38"/>
  <c r="U292" i="38"/>
  <c r="S293" i="38"/>
  <c r="T293" i="38"/>
  <c r="O292" i="38"/>
  <c r="P293" i="38"/>
  <c r="U293" i="38"/>
  <c r="S294" i="38"/>
  <c r="T294" i="38"/>
  <c r="O293" i="38"/>
  <c r="P294" i="38"/>
  <c r="U294" i="38"/>
  <c r="S295" i="38"/>
  <c r="T295" i="38"/>
  <c r="O294" i="38"/>
  <c r="P295" i="38"/>
  <c r="U295" i="38"/>
  <c r="S296" i="38"/>
  <c r="T296" i="38"/>
  <c r="O295" i="38"/>
  <c r="P296" i="38"/>
  <c r="U296" i="38"/>
  <c r="S297" i="38"/>
  <c r="T297" i="38"/>
  <c r="O296" i="38"/>
  <c r="P297" i="38"/>
  <c r="U297" i="38"/>
  <c r="S298" i="38"/>
  <c r="T298" i="38"/>
  <c r="O297" i="38"/>
  <c r="P298" i="38"/>
  <c r="U298" i="38"/>
  <c r="S299" i="38"/>
  <c r="T299" i="38"/>
  <c r="O298" i="38"/>
  <c r="P299" i="38"/>
  <c r="U299" i="38"/>
  <c r="S300" i="38"/>
  <c r="T300" i="38"/>
  <c r="O299" i="38"/>
  <c r="P300" i="38"/>
  <c r="U300" i="38"/>
  <c r="S301" i="38"/>
  <c r="T301" i="38"/>
  <c r="O300" i="38"/>
  <c r="P301" i="38"/>
  <c r="U301" i="38"/>
  <c r="S302" i="38"/>
  <c r="T302" i="38"/>
  <c r="O301" i="38"/>
  <c r="P302" i="38"/>
  <c r="U302" i="38"/>
  <c r="S303" i="38"/>
  <c r="T303" i="38"/>
  <c r="O302" i="38"/>
  <c r="P303" i="38"/>
  <c r="U303" i="38"/>
  <c r="S304" i="38"/>
  <c r="T304" i="38"/>
  <c r="O303" i="38"/>
  <c r="P304" i="38"/>
  <c r="U304" i="38"/>
  <c r="S305" i="38"/>
  <c r="T305" i="38"/>
  <c r="O304" i="38"/>
  <c r="P305" i="38"/>
  <c r="U305" i="38"/>
  <c r="S306" i="38"/>
  <c r="T306" i="38"/>
  <c r="O305" i="38"/>
  <c r="P306" i="38"/>
  <c r="U306" i="38"/>
  <c r="S307" i="38"/>
  <c r="T307" i="38"/>
  <c r="O306" i="38"/>
  <c r="P307" i="38"/>
  <c r="U307" i="38"/>
  <c r="S308" i="38"/>
  <c r="T308" i="38"/>
  <c r="O307" i="38"/>
  <c r="P308" i="38"/>
  <c r="U308" i="38"/>
  <c r="S309" i="38"/>
  <c r="T309" i="38"/>
  <c r="O308" i="38"/>
  <c r="P309" i="38"/>
  <c r="U309" i="38"/>
  <c r="S310" i="38"/>
  <c r="T310" i="38"/>
  <c r="O309" i="38"/>
  <c r="P310" i="38"/>
  <c r="U310" i="38"/>
  <c r="S311" i="38"/>
  <c r="T311" i="38"/>
  <c r="O310" i="38"/>
  <c r="P311" i="38"/>
  <c r="U311" i="38"/>
  <c r="S312" i="38"/>
  <c r="T312" i="38"/>
  <c r="O311" i="38"/>
  <c r="P312" i="38"/>
  <c r="U312" i="38"/>
  <c r="S313" i="38"/>
  <c r="T313" i="38"/>
  <c r="O312" i="38"/>
  <c r="P313" i="38"/>
  <c r="U313" i="38"/>
  <c r="S314" i="38"/>
  <c r="T314" i="38"/>
  <c r="O313" i="38"/>
  <c r="P314" i="38"/>
  <c r="U314" i="38"/>
  <c r="S315" i="38"/>
  <c r="T315" i="38"/>
  <c r="O314" i="38"/>
  <c r="P315" i="38"/>
  <c r="U315" i="38"/>
  <c r="S316" i="38"/>
  <c r="T316" i="38"/>
  <c r="O315" i="38"/>
  <c r="P316" i="38"/>
  <c r="U316" i="38"/>
  <c r="S317" i="38"/>
  <c r="T317" i="38"/>
  <c r="O316" i="38"/>
  <c r="P317" i="38"/>
  <c r="U317" i="38"/>
  <c r="S318" i="38"/>
  <c r="T318" i="38"/>
  <c r="O317" i="38"/>
  <c r="P318" i="38"/>
  <c r="U318" i="38"/>
  <c r="S319" i="38"/>
  <c r="T319" i="38"/>
  <c r="O318" i="38"/>
  <c r="P319" i="38"/>
  <c r="U319" i="38"/>
  <c r="S320" i="38"/>
  <c r="T320" i="38"/>
  <c r="O319" i="38"/>
  <c r="P320" i="38"/>
  <c r="U320" i="38"/>
  <c r="S321" i="38"/>
  <c r="T321" i="38"/>
  <c r="O320" i="38"/>
  <c r="P321" i="38"/>
  <c r="U321" i="38"/>
  <c r="S322" i="38"/>
  <c r="T322" i="38"/>
  <c r="O321" i="38"/>
  <c r="P322" i="38"/>
  <c r="U322" i="38"/>
  <c r="S323" i="38"/>
  <c r="T323" i="38"/>
  <c r="O322" i="38"/>
  <c r="P323" i="38"/>
  <c r="U323" i="38"/>
  <c r="S324" i="38"/>
  <c r="T324" i="38"/>
  <c r="O323" i="38"/>
  <c r="P324" i="38"/>
  <c r="U324" i="38"/>
  <c r="S325" i="38"/>
  <c r="T325" i="38"/>
  <c r="O324" i="38"/>
  <c r="P325" i="38"/>
  <c r="U325" i="38"/>
  <c r="S326" i="38"/>
  <c r="T326" i="38"/>
  <c r="O325" i="38"/>
  <c r="P326" i="38"/>
  <c r="U326" i="38"/>
  <c r="S327" i="38"/>
  <c r="T327" i="38"/>
  <c r="O326" i="38"/>
  <c r="P327" i="38"/>
  <c r="U327" i="38"/>
  <c r="S328" i="38"/>
  <c r="T328" i="38"/>
  <c r="O327" i="38"/>
  <c r="P328" i="38"/>
  <c r="U328" i="38"/>
  <c r="S329" i="38"/>
  <c r="T329" i="38"/>
  <c r="O328" i="38"/>
  <c r="P329" i="38"/>
  <c r="U329" i="38"/>
  <c r="S330" i="38"/>
  <c r="T330" i="38"/>
  <c r="O329" i="38"/>
  <c r="P330" i="38"/>
  <c r="U330" i="38"/>
  <c r="S331" i="38"/>
  <c r="T331" i="38"/>
  <c r="O330" i="38"/>
  <c r="P331" i="38"/>
  <c r="U331" i="38"/>
  <c r="S332" i="38"/>
  <c r="T332" i="38"/>
  <c r="O331" i="38"/>
  <c r="P332" i="38"/>
  <c r="U332" i="38"/>
  <c r="S333" i="38"/>
  <c r="T333" i="38"/>
  <c r="O332" i="38"/>
  <c r="P333" i="38"/>
  <c r="U333" i="38"/>
  <c r="S334" i="38"/>
  <c r="T334" i="38"/>
  <c r="O333" i="38"/>
  <c r="P334" i="38"/>
  <c r="U334" i="38"/>
  <c r="S335" i="38"/>
  <c r="T335" i="38"/>
  <c r="O334" i="38"/>
  <c r="P335" i="38"/>
  <c r="U335" i="38"/>
  <c r="S336" i="38"/>
  <c r="T336" i="38"/>
  <c r="O335" i="38"/>
  <c r="P336" i="38"/>
  <c r="U336" i="38"/>
  <c r="S337" i="38"/>
  <c r="T337" i="38"/>
  <c r="O336" i="38"/>
  <c r="P337" i="38"/>
  <c r="U337" i="38"/>
  <c r="S338" i="38"/>
  <c r="T338" i="38"/>
  <c r="O337" i="38"/>
  <c r="P338" i="38"/>
  <c r="U338" i="38"/>
  <c r="S339" i="38"/>
  <c r="T339" i="38"/>
  <c r="O338" i="38"/>
  <c r="P339" i="38"/>
  <c r="U339" i="38"/>
  <c r="S340" i="38"/>
  <c r="T340" i="38"/>
  <c r="O339" i="38"/>
  <c r="P340" i="38"/>
  <c r="U340" i="38"/>
  <c r="S341" i="38"/>
  <c r="T341" i="38"/>
  <c r="O340" i="38"/>
  <c r="P341" i="38"/>
  <c r="U341" i="38"/>
  <c r="S342" i="38"/>
  <c r="T342" i="38"/>
  <c r="O341" i="38"/>
  <c r="P342" i="38"/>
  <c r="U342" i="38"/>
  <c r="S343" i="38"/>
  <c r="T343" i="38"/>
  <c r="O342" i="38"/>
  <c r="P343" i="38"/>
  <c r="U343" i="38"/>
  <c r="S344" i="38"/>
  <c r="T344" i="38"/>
  <c r="O343" i="38"/>
  <c r="P344" i="38"/>
  <c r="U344" i="38"/>
  <c r="S345" i="38"/>
  <c r="T345" i="38"/>
  <c r="O344" i="38"/>
  <c r="P345" i="38"/>
  <c r="U345" i="38"/>
  <c r="S346" i="38"/>
  <c r="T346" i="38"/>
  <c r="O345" i="38"/>
  <c r="P346" i="38"/>
  <c r="U346" i="38"/>
  <c r="S347" i="38"/>
  <c r="T347" i="38"/>
  <c r="O346" i="38"/>
  <c r="P347" i="38"/>
  <c r="U347" i="38"/>
  <c r="S348" i="38"/>
  <c r="T348" i="38"/>
  <c r="O347" i="38"/>
  <c r="P348" i="38"/>
  <c r="U348" i="38"/>
  <c r="S349" i="38"/>
  <c r="T349" i="38"/>
  <c r="O348" i="38"/>
  <c r="P349" i="38"/>
  <c r="U349" i="38"/>
  <c r="S350" i="38"/>
  <c r="T350" i="38"/>
  <c r="O349" i="38"/>
  <c r="P350" i="38"/>
  <c r="U350" i="38"/>
  <c r="S351" i="38"/>
  <c r="T351" i="38"/>
  <c r="O350" i="38"/>
  <c r="P351" i="38"/>
  <c r="U351" i="38"/>
  <c r="S352" i="38"/>
  <c r="T352" i="38"/>
  <c r="O351" i="38"/>
  <c r="P352" i="38"/>
  <c r="U352" i="38"/>
  <c r="S353" i="38"/>
  <c r="T353" i="38"/>
  <c r="O352" i="38"/>
  <c r="P353" i="38"/>
  <c r="U353" i="38"/>
  <c r="S354" i="38"/>
  <c r="T354" i="38"/>
  <c r="O353" i="38"/>
  <c r="P354" i="38"/>
  <c r="U354" i="38"/>
  <c r="S355" i="38"/>
  <c r="T355" i="38"/>
  <c r="O354" i="38"/>
  <c r="P355" i="38"/>
  <c r="U355" i="38"/>
  <c r="S356" i="38"/>
  <c r="T356" i="38"/>
  <c r="O355" i="38"/>
  <c r="P356" i="38"/>
  <c r="U356" i="38"/>
  <c r="S357" i="38"/>
  <c r="T357" i="38"/>
  <c r="O356" i="38"/>
  <c r="P357" i="38"/>
  <c r="U357" i="38"/>
  <c r="S358" i="38"/>
  <c r="T358" i="38"/>
  <c r="O357" i="38"/>
  <c r="P358" i="38"/>
  <c r="U358" i="38"/>
  <c r="S359" i="38"/>
  <c r="T359" i="38"/>
  <c r="O358" i="38"/>
  <c r="P359" i="38"/>
  <c r="U359" i="38"/>
  <c r="S360" i="38"/>
  <c r="T360" i="38"/>
  <c r="O359" i="38"/>
  <c r="P360" i="38"/>
  <c r="U360" i="38"/>
  <c r="S361" i="38"/>
  <c r="T361" i="38"/>
  <c r="O360" i="38"/>
  <c r="P361" i="38"/>
  <c r="U361" i="38"/>
  <c r="S362" i="38"/>
  <c r="T362" i="38"/>
  <c r="O361" i="38"/>
  <c r="P362" i="38"/>
  <c r="U362" i="38"/>
  <c r="S363" i="38"/>
  <c r="T363" i="38"/>
  <c r="O362" i="38"/>
  <c r="P363" i="38"/>
  <c r="U363" i="38"/>
  <c r="S364" i="38"/>
  <c r="T364" i="38"/>
  <c r="O363" i="38"/>
  <c r="P364" i="38"/>
  <c r="U364" i="38"/>
  <c r="S365" i="38"/>
  <c r="T365" i="38"/>
  <c r="O364" i="38"/>
  <c r="P365" i="38"/>
  <c r="U365" i="38"/>
  <c r="S366" i="38"/>
  <c r="T366" i="38"/>
  <c r="O365" i="38"/>
  <c r="P366" i="38"/>
  <c r="U366" i="38"/>
  <c r="S367" i="38"/>
  <c r="T367" i="38"/>
  <c r="O366" i="38"/>
  <c r="P367" i="38"/>
  <c r="U367" i="38"/>
  <c r="S368" i="38"/>
  <c r="T368" i="38"/>
  <c r="O367" i="38"/>
  <c r="P368" i="38"/>
  <c r="U368" i="38"/>
  <c r="S369" i="38"/>
  <c r="T369" i="38"/>
  <c r="O368" i="38"/>
  <c r="P369" i="38"/>
  <c r="U369" i="38"/>
  <c r="S370" i="38"/>
  <c r="T370" i="38"/>
  <c r="O369" i="38"/>
  <c r="P370" i="38"/>
  <c r="U370" i="38"/>
  <c r="S371" i="38"/>
  <c r="T371" i="38"/>
  <c r="O370" i="38"/>
  <c r="P371" i="38"/>
  <c r="U371" i="38"/>
  <c r="S372" i="38"/>
  <c r="T372" i="38"/>
  <c r="O371" i="38"/>
  <c r="P372" i="38"/>
  <c r="U372" i="38"/>
  <c r="S373" i="38"/>
  <c r="T373" i="38"/>
  <c r="O372" i="38"/>
  <c r="P373" i="38"/>
  <c r="U373" i="38"/>
  <c r="S374" i="38"/>
  <c r="T374" i="38"/>
  <c r="O373" i="38"/>
  <c r="P374" i="38"/>
  <c r="U374" i="38"/>
  <c r="S375" i="38"/>
  <c r="T375" i="38"/>
  <c r="O374" i="38"/>
  <c r="P375" i="38"/>
  <c r="U375" i="38"/>
  <c r="S376" i="38"/>
  <c r="T376" i="38"/>
  <c r="O375" i="38"/>
  <c r="P376" i="38"/>
  <c r="U376" i="38"/>
  <c r="S377" i="38"/>
  <c r="T377" i="38"/>
  <c r="O376" i="38"/>
  <c r="P377" i="38"/>
  <c r="U377" i="38"/>
  <c r="S378" i="38"/>
  <c r="T378" i="38"/>
  <c r="O377" i="38"/>
  <c r="P378" i="38"/>
  <c r="U378" i="38"/>
  <c r="S379" i="38"/>
  <c r="T379" i="38"/>
  <c r="O378" i="38"/>
  <c r="P379" i="38"/>
  <c r="U379" i="38"/>
  <c r="S380" i="38"/>
  <c r="T380" i="38"/>
  <c r="O379" i="38"/>
  <c r="P380" i="38"/>
  <c r="U380" i="38"/>
  <c r="S381" i="38"/>
  <c r="T381" i="38"/>
  <c r="O380" i="38"/>
  <c r="P381" i="38"/>
  <c r="U381" i="38"/>
  <c r="S382" i="38"/>
  <c r="T382" i="38"/>
  <c r="O381" i="38"/>
  <c r="P382" i="38"/>
  <c r="U382" i="38"/>
  <c r="S383" i="38"/>
  <c r="T383" i="38"/>
  <c r="O382" i="38"/>
  <c r="P383" i="38"/>
  <c r="U383" i="38"/>
  <c r="S384" i="38"/>
  <c r="T384" i="38"/>
  <c r="O383" i="38"/>
  <c r="P384" i="38"/>
  <c r="U384" i="38"/>
  <c r="S385" i="38"/>
  <c r="T385" i="38"/>
  <c r="O384" i="38"/>
  <c r="P385" i="38"/>
  <c r="U385" i="38"/>
  <c r="S386" i="38"/>
  <c r="T386" i="38"/>
  <c r="O385" i="38"/>
  <c r="P386" i="38"/>
  <c r="U386" i="38"/>
  <c r="S387" i="38"/>
  <c r="T387" i="38"/>
  <c r="O386" i="38"/>
  <c r="P387" i="38"/>
  <c r="U387" i="38"/>
  <c r="S388" i="38"/>
  <c r="T388" i="38"/>
  <c r="O387" i="38"/>
  <c r="P388" i="38"/>
  <c r="U388" i="38"/>
  <c r="S389" i="38"/>
  <c r="T389" i="38"/>
  <c r="O388" i="38"/>
  <c r="P389" i="38"/>
  <c r="U389" i="38"/>
  <c r="S390" i="38"/>
  <c r="T390" i="38"/>
  <c r="O389" i="38"/>
  <c r="P390" i="38"/>
  <c r="U390" i="38"/>
  <c r="S391" i="38"/>
  <c r="T391" i="38"/>
  <c r="O390" i="38"/>
  <c r="P391" i="38"/>
  <c r="U391" i="38"/>
  <c r="S392" i="38"/>
  <c r="T392" i="38"/>
  <c r="O391" i="38"/>
  <c r="P392" i="38"/>
  <c r="U392" i="38"/>
  <c r="S393" i="38"/>
  <c r="T393" i="38"/>
  <c r="O392" i="38"/>
  <c r="P393" i="38"/>
  <c r="U393" i="38"/>
  <c r="S394" i="38"/>
  <c r="T394" i="38"/>
  <c r="O393" i="38"/>
  <c r="P394" i="38"/>
  <c r="U394" i="38"/>
  <c r="S395" i="38"/>
  <c r="T395" i="38"/>
  <c r="O394" i="38"/>
  <c r="P395" i="38"/>
  <c r="U395" i="38"/>
  <c r="S396" i="38"/>
  <c r="T396" i="38"/>
  <c r="O395" i="38"/>
  <c r="P396" i="38"/>
  <c r="U396" i="38"/>
  <c r="S397" i="38"/>
  <c r="T397" i="38"/>
  <c r="O396" i="38"/>
  <c r="P397" i="38"/>
  <c r="U397" i="38"/>
  <c r="S398" i="38"/>
  <c r="T398" i="38"/>
  <c r="O397" i="38"/>
  <c r="P398" i="38"/>
  <c r="U398" i="38"/>
  <c r="S399" i="38"/>
  <c r="T399" i="38"/>
  <c r="O398" i="38"/>
  <c r="P399" i="38"/>
  <c r="U399" i="38"/>
  <c r="S400" i="38"/>
  <c r="T400" i="38"/>
  <c r="O399" i="38"/>
  <c r="P400" i="38"/>
  <c r="U400" i="38"/>
  <c r="S401" i="38"/>
  <c r="T401" i="38"/>
  <c r="O400" i="38"/>
  <c r="P401" i="38"/>
  <c r="U401" i="38"/>
  <c r="S402" i="38"/>
  <c r="T402" i="38"/>
  <c r="O401" i="38"/>
  <c r="P402" i="38"/>
  <c r="U402" i="38"/>
  <c r="S403" i="38"/>
  <c r="T403" i="38"/>
  <c r="O402" i="38"/>
  <c r="P403" i="38"/>
  <c r="U403" i="38"/>
  <c r="S404" i="38"/>
  <c r="T404" i="38"/>
  <c r="O403" i="38"/>
  <c r="P404" i="38"/>
  <c r="U404" i="38"/>
  <c r="S405" i="38"/>
  <c r="T405" i="38"/>
  <c r="O404" i="38"/>
  <c r="P405" i="38"/>
  <c r="U405" i="38"/>
  <c r="S406" i="38"/>
  <c r="T406" i="38"/>
  <c r="O405" i="38"/>
  <c r="P406" i="38"/>
  <c r="U406" i="38"/>
  <c r="S407" i="38"/>
  <c r="T407" i="38"/>
  <c r="O406" i="38"/>
  <c r="P407" i="38"/>
  <c r="U407" i="38"/>
  <c r="S408" i="38"/>
  <c r="T408" i="38"/>
  <c r="O407" i="38"/>
  <c r="P408" i="38"/>
  <c r="U408" i="38"/>
  <c r="S409" i="38"/>
  <c r="T409" i="38"/>
  <c r="O408" i="38"/>
  <c r="P409" i="38"/>
  <c r="U409" i="38"/>
  <c r="S410" i="38"/>
  <c r="T410" i="38"/>
  <c r="O409" i="38"/>
  <c r="P410" i="38"/>
  <c r="U410" i="38"/>
  <c r="S411" i="38"/>
  <c r="T411" i="38"/>
  <c r="O410" i="38"/>
  <c r="P411" i="38"/>
  <c r="U411" i="38"/>
  <c r="S412" i="38"/>
  <c r="T412" i="38"/>
  <c r="O411" i="38"/>
  <c r="P412" i="38"/>
  <c r="U412" i="38"/>
  <c r="S413" i="38"/>
  <c r="T413" i="38"/>
  <c r="O412" i="38"/>
  <c r="P413" i="38"/>
  <c r="U413" i="38"/>
  <c r="S414" i="38"/>
  <c r="T414" i="38"/>
  <c r="O413" i="38"/>
  <c r="P414" i="38"/>
  <c r="U414" i="38"/>
  <c r="S415" i="38"/>
  <c r="T415" i="38"/>
  <c r="O414" i="38"/>
  <c r="P415" i="38"/>
  <c r="U415" i="38"/>
  <c r="S416" i="38"/>
  <c r="T416" i="38"/>
  <c r="O415" i="38"/>
  <c r="P416" i="38"/>
  <c r="U416" i="38"/>
  <c r="S417" i="38"/>
  <c r="T417" i="38"/>
  <c r="O416" i="38"/>
  <c r="P417" i="38"/>
  <c r="U417" i="38"/>
  <c r="S418" i="38"/>
  <c r="T418" i="38"/>
  <c r="O417" i="38"/>
  <c r="P418" i="38"/>
  <c r="U418" i="38"/>
  <c r="S419" i="38"/>
  <c r="T419" i="38"/>
  <c r="O418" i="38"/>
  <c r="P419" i="38"/>
  <c r="U419" i="38"/>
  <c r="S420" i="38"/>
  <c r="T420" i="38"/>
  <c r="O419" i="38"/>
  <c r="P420" i="38"/>
  <c r="U420" i="38"/>
  <c r="S421" i="38"/>
  <c r="T421" i="38"/>
  <c r="O420" i="38"/>
  <c r="P421" i="38"/>
  <c r="U421" i="38"/>
  <c r="S422" i="38"/>
  <c r="T422" i="38"/>
  <c r="O421" i="38"/>
  <c r="P422" i="38"/>
  <c r="U422" i="38"/>
  <c r="S423" i="38"/>
  <c r="T423" i="38"/>
  <c r="O422" i="38"/>
  <c r="P423" i="38"/>
  <c r="U423" i="38"/>
  <c r="S424" i="38"/>
  <c r="T424" i="38"/>
  <c r="O423" i="38"/>
  <c r="P424" i="38"/>
  <c r="U424" i="38"/>
  <c r="S425" i="38"/>
  <c r="T425" i="38"/>
  <c r="O424" i="38"/>
  <c r="P425" i="38"/>
  <c r="U425" i="38"/>
  <c r="S426" i="38"/>
  <c r="T426" i="38"/>
  <c r="O425" i="38"/>
  <c r="P426" i="38"/>
  <c r="U426" i="38"/>
  <c r="S427" i="38"/>
  <c r="T427" i="38"/>
  <c r="O426" i="38"/>
  <c r="P427" i="38"/>
  <c r="U427" i="38"/>
  <c r="S428" i="38"/>
  <c r="T428" i="38"/>
  <c r="O427" i="38"/>
  <c r="P428" i="38"/>
  <c r="U428" i="38"/>
  <c r="S429" i="38"/>
  <c r="T429" i="38"/>
  <c r="O428" i="38"/>
  <c r="P429" i="38"/>
  <c r="U429" i="38"/>
  <c r="S430" i="38"/>
  <c r="T430" i="38"/>
  <c r="O429" i="38"/>
  <c r="P430" i="38"/>
  <c r="U430" i="38"/>
  <c r="S431" i="38"/>
  <c r="T431" i="38"/>
  <c r="O430" i="38"/>
  <c r="P431" i="38"/>
  <c r="U431" i="38"/>
  <c r="S432" i="38"/>
  <c r="T432" i="38"/>
  <c r="O431" i="38"/>
  <c r="P432" i="38"/>
  <c r="U432" i="38"/>
  <c r="S433" i="38"/>
  <c r="T433" i="38"/>
  <c r="O432" i="38"/>
  <c r="P433" i="38"/>
  <c r="U433" i="38"/>
  <c r="S434" i="38"/>
  <c r="T434" i="38"/>
  <c r="O433" i="38"/>
  <c r="P434" i="38"/>
  <c r="U434" i="38"/>
  <c r="S435" i="38"/>
  <c r="T435" i="38"/>
  <c r="O434" i="38"/>
  <c r="P435" i="38"/>
  <c r="U435" i="38"/>
  <c r="S436" i="38"/>
  <c r="T436" i="38"/>
  <c r="O435" i="38"/>
  <c r="P436" i="38"/>
  <c r="U436" i="38"/>
  <c r="S437" i="38"/>
  <c r="T437" i="38"/>
  <c r="O436" i="38"/>
  <c r="P437" i="38"/>
  <c r="U437" i="38"/>
  <c r="S438" i="38"/>
  <c r="T438" i="38"/>
  <c r="O437" i="38"/>
  <c r="P438" i="38"/>
  <c r="U438" i="38"/>
  <c r="S439" i="38"/>
  <c r="T439" i="38"/>
  <c r="O438" i="38"/>
  <c r="P439" i="38"/>
  <c r="U439" i="38"/>
  <c r="S440" i="38"/>
  <c r="T440" i="38"/>
  <c r="O439" i="38"/>
  <c r="P440" i="38"/>
  <c r="U440" i="38"/>
  <c r="S441" i="38"/>
  <c r="T441" i="38"/>
  <c r="O440" i="38"/>
  <c r="P441" i="38"/>
  <c r="U441" i="38"/>
  <c r="S442" i="38"/>
  <c r="T442" i="38"/>
  <c r="O441" i="38"/>
  <c r="P442" i="38"/>
  <c r="U442" i="38"/>
  <c r="S443" i="38"/>
  <c r="T443" i="38"/>
  <c r="O442" i="38"/>
  <c r="P443" i="38"/>
  <c r="U443" i="38"/>
  <c r="S444" i="38"/>
  <c r="T444" i="38"/>
  <c r="O443" i="38"/>
  <c r="P444" i="38"/>
  <c r="U444" i="38"/>
  <c r="S445" i="38"/>
  <c r="T445" i="38"/>
  <c r="O444" i="38"/>
  <c r="P445" i="38"/>
  <c r="U445" i="38"/>
  <c r="S446" i="38"/>
  <c r="T446" i="38"/>
  <c r="O445" i="38"/>
  <c r="P446" i="38"/>
  <c r="U446" i="38"/>
  <c r="S447" i="38"/>
  <c r="T447" i="38"/>
  <c r="O446" i="38"/>
  <c r="P447" i="38"/>
  <c r="U447" i="38"/>
  <c r="S448" i="38"/>
  <c r="T448" i="38"/>
  <c r="O447" i="38"/>
  <c r="P448" i="38"/>
  <c r="U448" i="38"/>
  <c r="S449" i="38"/>
  <c r="T449" i="38"/>
  <c r="O448" i="38"/>
  <c r="P449" i="38"/>
  <c r="U449" i="38"/>
  <c r="S450" i="38"/>
  <c r="T450" i="38"/>
  <c r="O449" i="38"/>
  <c r="P450" i="38"/>
  <c r="U450" i="38"/>
  <c r="S451" i="38"/>
  <c r="T451" i="38"/>
  <c r="O450" i="38"/>
  <c r="P451" i="38"/>
  <c r="U451" i="38"/>
  <c r="S452" i="38"/>
  <c r="T452" i="38"/>
  <c r="O451" i="38"/>
  <c r="P452" i="38"/>
  <c r="U452" i="38"/>
  <c r="S453" i="38"/>
  <c r="T453" i="38"/>
  <c r="O452" i="38"/>
  <c r="P453" i="38"/>
  <c r="U453" i="38"/>
  <c r="S454" i="38"/>
  <c r="T454" i="38"/>
  <c r="O453" i="38"/>
  <c r="P454" i="38"/>
  <c r="U454" i="38"/>
  <c r="S455" i="38"/>
  <c r="T455" i="38"/>
  <c r="O454" i="38"/>
  <c r="P455" i="38"/>
  <c r="U455" i="38"/>
  <c r="S456" i="38"/>
  <c r="T456" i="38"/>
  <c r="O455" i="38"/>
  <c r="P456" i="38"/>
  <c r="U456" i="38"/>
  <c r="S457" i="38"/>
  <c r="T457" i="38"/>
  <c r="O456" i="38"/>
  <c r="P457" i="38"/>
  <c r="U457" i="38"/>
  <c r="S458" i="38"/>
  <c r="T458" i="38"/>
  <c r="O457" i="38"/>
  <c r="P458" i="38"/>
  <c r="U458" i="38"/>
  <c r="S459" i="38"/>
  <c r="T459" i="38"/>
  <c r="O458" i="38"/>
  <c r="P459" i="38"/>
  <c r="U459" i="38"/>
  <c r="S460" i="38"/>
  <c r="T460" i="38"/>
  <c r="O459" i="38"/>
  <c r="P460" i="38"/>
  <c r="U460" i="38"/>
  <c r="S461" i="38"/>
  <c r="T461" i="38"/>
  <c r="O460" i="38"/>
  <c r="P461" i="38"/>
  <c r="U461" i="38"/>
  <c r="S462" i="38"/>
  <c r="T462" i="38"/>
  <c r="O461" i="38"/>
  <c r="P462" i="38"/>
  <c r="U462" i="38"/>
  <c r="S463" i="38"/>
  <c r="T463" i="38"/>
  <c r="O462" i="38"/>
  <c r="P463" i="38"/>
  <c r="U463" i="38"/>
  <c r="S464" i="38"/>
  <c r="T464" i="38"/>
  <c r="O463" i="38"/>
  <c r="P464" i="38"/>
  <c r="U464" i="38"/>
  <c r="S465" i="38"/>
  <c r="T465" i="38"/>
  <c r="O464" i="38"/>
  <c r="P465" i="38"/>
  <c r="U465" i="38"/>
  <c r="S466" i="38"/>
  <c r="T466" i="38"/>
  <c r="O465" i="38"/>
  <c r="P466" i="38"/>
  <c r="U466" i="38"/>
  <c r="S467" i="38"/>
  <c r="T467" i="38"/>
  <c r="O466" i="38"/>
  <c r="P467" i="38"/>
  <c r="U467" i="38"/>
  <c r="S468" i="38"/>
  <c r="T468" i="38"/>
  <c r="O467" i="38"/>
  <c r="P468" i="38"/>
  <c r="U468" i="38"/>
  <c r="S469" i="38"/>
  <c r="T469" i="38"/>
  <c r="O468" i="38"/>
  <c r="P469" i="38"/>
  <c r="U469" i="38"/>
  <c r="S470" i="38"/>
  <c r="T470" i="38"/>
  <c r="O469" i="38"/>
  <c r="P470" i="38"/>
  <c r="U470" i="38"/>
  <c r="S471" i="38"/>
  <c r="T471" i="38"/>
  <c r="O470" i="38"/>
  <c r="P471" i="38"/>
  <c r="U471" i="38"/>
  <c r="S472" i="38"/>
  <c r="T472" i="38"/>
  <c r="O471" i="38"/>
  <c r="P472" i="38"/>
  <c r="U472" i="38"/>
  <c r="S473" i="38"/>
  <c r="T473" i="38"/>
  <c r="O472" i="38"/>
  <c r="P473" i="38"/>
  <c r="U473" i="38"/>
  <c r="S474" i="38"/>
  <c r="T474" i="38"/>
  <c r="O473" i="38"/>
  <c r="P474" i="38"/>
  <c r="U474" i="38"/>
  <c r="S475" i="38"/>
  <c r="T475" i="38"/>
  <c r="O474" i="38"/>
  <c r="P475" i="38"/>
  <c r="U475" i="38"/>
  <c r="S476" i="38"/>
  <c r="T476" i="38"/>
  <c r="O475" i="38"/>
  <c r="P476" i="38"/>
  <c r="U476" i="38"/>
  <c r="S477" i="38"/>
  <c r="T477" i="38"/>
  <c r="O476" i="38"/>
  <c r="P477" i="38"/>
  <c r="U477" i="38"/>
  <c r="S478" i="38"/>
  <c r="T478" i="38"/>
  <c r="O477" i="38"/>
  <c r="P478" i="38"/>
  <c r="U478" i="38"/>
  <c r="S479" i="38"/>
  <c r="T479" i="38"/>
  <c r="O478" i="38"/>
  <c r="P479" i="38"/>
  <c r="U479" i="38"/>
  <c r="S480" i="38"/>
  <c r="T480" i="38"/>
  <c r="O479" i="38"/>
  <c r="P480" i="38"/>
  <c r="U480" i="38"/>
  <c r="S481" i="38"/>
  <c r="T481" i="38"/>
  <c r="O480" i="38"/>
  <c r="P481" i="38"/>
  <c r="U481" i="38"/>
  <c r="S482" i="38"/>
  <c r="T482" i="38"/>
  <c r="O481" i="38"/>
  <c r="P482" i="38"/>
  <c r="U482" i="38"/>
  <c r="S483" i="38"/>
  <c r="T483" i="38"/>
  <c r="O482" i="38"/>
  <c r="P483" i="38"/>
  <c r="U483" i="38"/>
  <c r="S484" i="38"/>
  <c r="T484" i="38"/>
  <c r="O483" i="38"/>
  <c r="P484" i="38"/>
  <c r="U484" i="38"/>
  <c r="S485" i="38"/>
  <c r="T485" i="38"/>
  <c r="O484" i="38"/>
  <c r="P485" i="38"/>
  <c r="U485" i="38"/>
  <c r="S486" i="38"/>
  <c r="T486" i="38"/>
  <c r="O485" i="38"/>
  <c r="P486" i="38"/>
  <c r="U486" i="38"/>
  <c r="S487" i="38"/>
  <c r="T487" i="38"/>
  <c r="O486" i="38"/>
  <c r="P487" i="38"/>
  <c r="U487" i="38"/>
  <c r="S488" i="38"/>
  <c r="T488" i="38"/>
  <c r="O487" i="38"/>
  <c r="P488" i="38"/>
  <c r="U488" i="38"/>
  <c r="S489" i="38"/>
  <c r="T489" i="38"/>
  <c r="O488" i="38"/>
  <c r="P489" i="38"/>
  <c r="U489" i="38"/>
  <c r="S490" i="38"/>
  <c r="T490" i="38"/>
  <c r="O489" i="38"/>
  <c r="P490" i="38"/>
  <c r="U490" i="38"/>
  <c r="S491" i="38"/>
  <c r="T491" i="38"/>
  <c r="O490" i="38"/>
  <c r="P491" i="38"/>
  <c r="U491" i="38"/>
  <c r="S492" i="38"/>
  <c r="T492" i="38"/>
  <c r="O491" i="38"/>
  <c r="P492" i="38"/>
  <c r="U492" i="38"/>
  <c r="S493" i="38"/>
  <c r="T493" i="38"/>
  <c r="O492" i="38"/>
  <c r="P493" i="38"/>
  <c r="U493" i="38"/>
  <c r="S494" i="38"/>
  <c r="T494" i="38"/>
  <c r="O493" i="38"/>
  <c r="P494" i="38"/>
  <c r="U494" i="38"/>
  <c r="S495" i="38"/>
  <c r="T495" i="38"/>
  <c r="O494" i="38"/>
  <c r="P495" i="38"/>
  <c r="U495" i="38"/>
  <c r="S496" i="38"/>
  <c r="T496" i="38"/>
  <c r="O495" i="38"/>
  <c r="P496" i="38"/>
  <c r="U496" i="38"/>
  <c r="S497" i="38"/>
  <c r="T497" i="38"/>
  <c r="O496" i="38"/>
  <c r="P497" i="38"/>
  <c r="U497" i="38"/>
  <c r="S498" i="38"/>
  <c r="T498" i="38"/>
  <c r="O497" i="38"/>
  <c r="P498" i="38"/>
  <c r="U498" i="38"/>
  <c r="S499" i="38"/>
  <c r="T499" i="38"/>
  <c r="O498" i="38"/>
  <c r="P499" i="38"/>
  <c r="U499" i="38"/>
  <c r="S500" i="38"/>
  <c r="T500" i="38"/>
  <c r="O499" i="38"/>
  <c r="P500" i="38"/>
  <c r="U500" i="38"/>
  <c r="S501" i="38"/>
  <c r="T501" i="38"/>
  <c r="O500" i="38"/>
  <c r="P501" i="38"/>
  <c r="U501" i="38"/>
  <c r="S502" i="38"/>
  <c r="T502" i="38"/>
  <c r="O501" i="38"/>
  <c r="P502" i="38"/>
  <c r="U502" i="38"/>
  <c r="S503" i="38"/>
  <c r="T503" i="38"/>
  <c r="O502" i="38"/>
  <c r="P503" i="38"/>
  <c r="U503" i="38"/>
  <c r="S504" i="38"/>
  <c r="T504" i="38"/>
  <c r="O503" i="38"/>
  <c r="P504" i="38"/>
  <c r="U504" i="38"/>
  <c r="S505" i="38"/>
  <c r="T505" i="38"/>
  <c r="O504" i="38"/>
  <c r="P505" i="38"/>
  <c r="U505" i="38"/>
  <c r="S506" i="38"/>
  <c r="T506" i="38"/>
  <c r="O505" i="38"/>
  <c r="P506" i="38"/>
  <c r="U506" i="38"/>
  <c r="S507" i="38"/>
  <c r="T507" i="38"/>
  <c r="O506" i="38"/>
  <c r="P507" i="38"/>
  <c r="U507" i="38"/>
  <c r="S508" i="38"/>
  <c r="T508" i="38"/>
  <c r="O507" i="38"/>
  <c r="P508" i="38"/>
  <c r="U508" i="38"/>
  <c r="S509" i="38"/>
  <c r="T509" i="38"/>
  <c r="O508" i="38"/>
  <c r="P509" i="38"/>
  <c r="U509" i="38"/>
  <c r="S510" i="38"/>
  <c r="T510" i="38"/>
  <c r="O509" i="38"/>
  <c r="P510" i="38"/>
  <c r="U510" i="38"/>
  <c r="S511" i="38"/>
  <c r="T511" i="38"/>
  <c r="O510" i="38"/>
  <c r="P511" i="38"/>
  <c r="U511" i="38"/>
  <c r="S512" i="38"/>
  <c r="T512" i="38"/>
  <c r="O511" i="38"/>
  <c r="P512" i="38"/>
  <c r="U512" i="38"/>
  <c r="S513" i="38"/>
  <c r="T513" i="38"/>
  <c r="O512" i="38"/>
  <c r="P513" i="38"/>
  <c r="U513" i="38"/>
  <c r="S514" i="38"/>
  <c r="T514" i="38"/>
  <c r="O513" i="38"/>
  <c r="P514" i="38"/>
  <c r="U514" i="38"/>
  <c r="S515" i="38"/>
  <c r="T515" i="38"/>
  <c r="O514" i="38"/>
  <c r="P515" i="38"/>
  <c r="U515" i="38"/>
  <c r="S516" i="38"/>
  <c r="T516" i="38"/>
  <c r="O515" i="38"/>
  <c r="P516" i="38"/>
  <c r="U516" i="38"/>
  <c r="S517" i="38"/>
  <c r="T517" i="38"/>
  <c r="O516" i="38"/>
  <c r="P517" i="38"/>
  <c r="U517" i="38"/>
  <c r="S518" i="38"/>
  <c r="T518" i="38"/>
  <c r="O517" i="38"/>
  <c r="P518" i="38"/>
  <c r="U518" i="38"/>
  <c r="S519" i="38"/>
  <c r="T519" i="38"/>
  <c r="O518" i="38"/>
  <c r="P519" i="38"/>
  <c r="U519" i="38"/>
  <c r="S520" i="38"/>
  <c r="T520" i="38"/>
  <c r="O519" i="38"/>
  <c r="P520" i="38"/>
  <c r="U520" i="38"/>
  <c r="S521" i="38"/>
  <c r="T521" i="38"/>
  <c r="O520" i="38"/>
  <c r="P521" i="38"/>
  <c r="U521" i="38"/>
  <c r="S522" i="38"/>
  <c r="T522" i="38"/>
  <c r="O521" i="38"/>
  <c r="P522" i="38"/>
  <c r="U522" i="38"/>
  <c r="S523" i="38"/>
  <c r="T523" i="38"/>
  <c r="O522" i="38"/>
  <c r="P523" i="38"/>
  <c r="U523" i="38"/>
  <c r="S524" i="38"/>
  <c r="T524" i="38"/>
  <c r="O523" i="38"/>
  <c r="P524" i="38"/>
  <c r="U524" i="38"/>
  <c r="S525" i="38"/>
  <c r="T525" i="38"/>
  <c r="O524" i="38"/>
  <c r="P525" i="38"/>
  <c r="U525" i="38"/>
  <c r="S526" i="38"/>
  <c r="T526" i="38"/>
  <c r="O525" i="38"/>
  <c r="P526" i="38"/>
  <c r="U526" i="38"/>
  <c r="S527" i="38"/>
  <c r="T527" i="38"/>
  <c r="O526" i="38"/>
  <c r="P527" i="38"/>
  <c r="U527" i="38"/>
  <c r="S528" i="38"/>
  <c r="T528" i="38"/>
  <c r="O527" i="38"/>
  <c r="P528" i="38"/>
  <c r="U528" i="38"/>
  <c r="S529" i="38"/>
  <c r="T529" i="38"/>
  <c r="O528" i="38"/>
  <c r="P529" i="38"/>
  <c r="U529" i="38"/>
  <c r="S530" i="38"/>
  <c r="T530" i="38"/>
  <c r="O529" i="38"/>
  <c r="P530" i="38"/>
  <c r="U530" i="38"/>
  <c r="S531" i="38"/>
  <c r="T531" i="38"/>
  <c r="O530" i="38"/>
  <c r="P531" i="38"/>
  <c r="U531" i="38"/>
  <c r="S532" i="38"/>
  <c r="T532" i="38"/>
  <c r="O531" i="38"/>
  <c r="P532" i="38"/>
  <c r="U532" i="38"/>
  <c r="S533" i="38"/>
  <c r="T533" i="38"/>
  <c r="O532" i="38"/>
  <c r="P533" i="38"/>
  <c r="U533" i="38"/>
  <c r="S534" i="38"/>
  <c r="T534" i="38"/>
  <c r="O533" i="38"/>
  <c r="P534" i="38"/>
  <c r="U534" i="38"/>
  <c r="S535" i="38"/>
  <c r="T535" i="38"/>
  <c r="O534" i="38"/>
  <c r="P535" i="38"/>
  <c r="U535" i="38"/>
  <c r="S536" i="38"/>
  <c r="T536" i="38"/>
  <c r="O535" i="38"/>
  <c r="P536" i="38"/>
  <c r="U536" i="38"/>
  <c r="S537" i="38"/>
  <c r="T537" i="38"/>
  <c r="O536" i="38"/>
  <c r="P537" i="38"/>
  <c r="U537" i="38"/>
  <c r="S538" i="38"/>
  <c r="T538" i="38"/>
  <c r="O537" i="38"/>
  <c r="P538" i="38"/>
  <c r="U538" i="38"/>
  <c r="S539" i="38"/>
  <c r="T539" i="38"/>
  <c r="O538" i="38"/>
  <c r="P539" i="38"/>
  <c r="U539" i="38"/>
  <c r="S540" i="38"/>
  <c r="T540" i="38"/>
  <c r="O539" i="38"/>
  <c r="P540" i="38"/>
  <c r="U540" i="38"/>
  <c r="S541" i="38"/>
  <c r="T541" i="38"/>
  <c r="O540" i="38"/>
  <c r="P541" i="38"/>
  <c r="U541" i="38"/>
  <c r="S542" i="38"/>
  <c r="T542" i="38"/>
  <c r="O541" i="38"/>
  <c r="P542" i="38"/>
  <c r="U542" i="38"/>
  <c r="S543" i="38"/>
  <c r="T543" i="38"/>
  <c r="O542" i="38"/>
  <c r="P543" i="38"/>
  <c r="U543" i="38"/>
  <c r="S544" i="38"/>
  <c r="T544" i="38"/>
  <c r="O543" i="38"/>
  <c r="P544" i="38"/>
  <c r="U544" i="38"/>
  <c r="S545" i="38"/>
  <c r="T545" i="38"/>
  <c r="O544" i="38"/>
  <c r="P545" i="38"/>
  <c r="U545" i="38"/>
  <c r="S546" i="38"/>
  <c r="T546" i="38"/>
  <c r="O545" i="38"/>
  <c r="P546" i="38"/>
  <c r="U546" i="38"/>
  <c r="S547" i="38"/>
  <c r="T547" i="38"/>
  <c r="O546" i="38"/>
  <c r="P547" i="38"/>
  <c r="U547" i="38"/>
  <c r="S548" i="38"/>
  <c r="T548" i="38"/>
  <c r="O547" i="38"/>
  <c r="P548" i="38"/>
  <c r="U548" i="38"/>
  <c r="S549" i="38"/>
  <c r="T549" i="38"/>
  <c r="O548" i="38"/>
  <c r="P549" i="38"/>
  <c r="U549" i="38"/>
  <c r="S550" i="38"/>
  <c r="T550" i="38"/>
  <c r="O549" i="38"/>
  <c r="P550" i="38"/>
  <c r="U550" i="38"/>
  <c r="S551" i="38"/>
  <c r="T551" i="38"/>
  <c r="O550" i="38"/>
  <c r="P551" i="38"/>
  <c r="U551" i="38"/>
  <c r="S552" i="38"/>
  <c r="T552" i="38"/>
  <c r="O551" i="38"/>
  <c r="P552" i="38"/>
  <c r="U552" i="38"/>
  <c r="S553" i="38"/>
  <c r="T553" i="38"/>
  <c r="O552" i="38"/>
  <c r="P553" i="38"/>
  <c r="U553" i="38"/>
  <c r="S554" i="38"/>
  <c r="T554" i="38"/>
  <c r="O553" i="38"/>
  <c r="P554" i="38"/>
  <c r="U554" i="38"/>
  <c r="S555" i="38"/>
  <c r="T555" i="38"/>
  <c r="O554" i="38"/>
  <c r="P555" i="38"/>
  <c r="U555" i="38"/>
  <c r="S556" i="38"/>
  <c r="T556" i="38"/>
  <c r="O555" i="38"/>
  <c r="P556" i="38"/>
  <c r="U556" i="38"/>
  <c r="S557" i="38"/>
  <c r="T557" i="38"/>
  <c r="O556" i="38"/>
  <c r="P557" i="38"/>
  <c r="U557" i="38"/>
  <c r="S558" i="38"/>
  <c r="T558" i="38"/>
  <c r="O557" i="38"/>
  <c r="P558" i="38"/>
  <c r="U558" i="38"/>
  <c r="S559" i="38"/>
  <c r="T559" i="38"/>
  <c r="O558" i="38"/>
  <c r="P559" i="38"/>
  <c r="U559" i="38"/>
  <c r="S560" i="38"/>
  <c r="T560" i="38"/>
  <c r="O559" i="38"/>
  <c r="P560" i="38"/>
  <c r="U560" i="38"/>
  <c r="S561" i="38"/>
  <c r="T561" i="38"/>
  <c r="O560" i="38"/>
  <c r="P561" i="38"/>
  <c r="U561" i="38"/>
  <c r="S562" i="38"/>
  <c r="T562" i="38"/>
  <c r="O561" i="38"/>
  <c r="P562" i="38"/>
  <c r="U562" i="38"/>
  <c r="S563" i="38"/>
  <c r="T563" i="38"/>
  <c r="O562" i="38"/>
  <c r="P563" i="38"/>
  <c r="U563" i="38"/>
  <c r="S564" i="38"/>
  <c r="T564" i="38"/>
  <c r="O563" i="38"/>
  <c r="P564" i="38"/>
  <c r="U564" i="38"/>
  <c r="S565" i="38"/>
  <c r="T565" i="38"/>
  <c r="O564" i="38"/>
  <c r="P565" i="38"/>
  <c r="U565" i="38"/>
  <c r="S566" i="38"/>
  <c r="T566" i="38"/>
  <c r="O565" i="38"/>
  <c r="P566" i="38"/>
  <c r="U566" i="38"/>
  <c r="S567" i="38"/>
  <c r="T567" i="38"/>
  <c r="O566" i="38"/>
  <c r="P567" i="38"/>
  <c r="U567" i="38"/>
  <c r="S568" i="38"/>
  <c r="T568" i="38"/>
  <c r="O567" i="38"/>
  <c r="P568" i="38"/>
  <c r="U568" i="38"/>
  <c r="S569" i="38"/>
  <c r="T569" i="38"/>
  <c r="O568" i="38"/>
  <c r="P569" i="38"/>
  <c r="U569" i="38"/>
  <c r="S570" i="38"/>
  <c r="T570" i="38"/>
  <c r="O569" i="38"/>
  <c r="P570" i="38"/>
  <c r="U570" i="38"/>
  <c r="S571" i="38"/>
  <c r="T571" i="38"/>
  <c r="O570" i="38"/>
  <c r="P571" i="38"/>
  <c r="U571" i="38"/>
  <c r="S572" i="38"/>
  <c r="T572" i="38"/>
  <c r="O571" i="38"/>
  <c r="P572" i="38"/>
  <c r="U572" i="38"/>
  <c r="S573" i="38"/>
  <c r="T573" i="38"/>
  <c r="O572" i="38"/>
  <c r="P573" i="38"/>
  <c r="U573" i="38"/>
  <c r="S574" i="38"/>
  <c r="T574" i="38"/>
  <c r="O573" i="38"/>
  <c r="P574" i="38"/>
  <c r="U574" i="38"/>
  <c r="S575" i="38"/>
  <c r="T575" i="38"/>
  <c r="O574" i="38"/>
  <c r="P575" i="38"/>
  <c r="U575" i="38"/>
  <c r="S576" i="38"/>
  <c r="T576" i="38"/>
  <c r="O575" i="38"/>
  <c r="P576" i="38"/>
  <c r="U576" i="38"/>
  <c r="S577" i="38"/>
  <c r="T577" i="38"/>
  <c r="O576" i="38"/>
  <c r="P577" i="38"/>
  <c r="U577" i="38"/>
  <c r="S578" i="38"/>
  <c r="T578" i="38"/>
  <c r="O577" i="38"/>
  <c r="P578" i="38"/>
  <c r="U578" i="38"/>
  <c r="S579" i="38"/>
  <c r="T579" i="38"/>
  <c r="O578" i="38"/>
  <c r="P579" i="38"/>
  <c r="U579" i="38"/>
  <c r="S580" i="38"/>
  <c r="T580" i="38"/>
  <c r="O579" i="38"/>
  <c r="P580" i="38"/>
  <c r="U580" i="38"/>
  <c r="S581" i="38"/>
  <c r="T581" i="38"/>
  <c r="O580" i="38"/>
  <c r="P581" i="38"/>
  <c r="U581" i="38"/>
  <c r="S582" i="38"/>
  <c r="T582" i="38"/>
  <c r="O581" i="38"/>
  <c r="P582" i="38"/>
  <c r="U582" i="38"/>
  <c r="S583" i="38"/>
  <c r="T583" i="38"/>
  <c r="O582" i="38"/>
  <c r="P583" i="38"/>
  <c r="U583" i="38"/>
  <c r="S584" i="38"/>
  <c r="T584" i="38"/>
  <c r="O583" i="38"/>
  <c r="P584" i="38"/>
  <c r="U584" i="38"/>
  <c r="S585" i="38"/>
  <c r="T585" i="38"/>
  <c r="O584" i="38"/>
  <c r="P585" i="38"/>
  <c r="U585" i="38"/>
  <c r="S586" i="38"/>
  <c r="T586" i="38"/>
  <c r="O585" i="38"/>
  <c r="P586" i="38"/>
  <c r="U586" i="38"/>
  <c r="S587" i="38"/>
  <c r="T587" i="38"/>
  <c r="O586" i="38"/>
  <c r="P587" i="38"/>
  <c r="U587" i="38"/>
  <c r="S588" i="38"/>
  <c r="T588" i="38"/>
  <c r="O587" i="38"/>
  <c r="P588" i="38"/>
  <c r="U588" i="38"/>
  <c r="S589" i="38"/>
  <c r="T589" i="38"/>
  <c r="O588" i="38"/>
  <c r="P589" i="38"/>
  <c r="U589" i="38"/>
  <c r="S590" i="38"/>
  <c r="T590" i="38"/>
  <c r="O589" i="38"/>
  <c r="P590" i="38"/>
  <c r="U590" i="38"/>
  <c r="S591" i="38"/>
  <c r="T591" i="38"/>
  <c r="O590" i="38"/>
  <c r="P591" i="38"/>
  <c r="U591" i="38"/>
  <c r="S592" i="38"/>
  <c r="T592" i="38"/>
  <c r="O591" i="38"/>
  <c r="P592" i="38"/>
  <c r="U592" i="38"/>
  <c r="S593" i="38"/>
  <c r="T593" i="38"/>
  <c r="O592" i="38"/>
  <c r="P593" i="38"/>
  <c r="U593" i="38"/>
  <c r="S594" i="38"/>
  <c r="T594" i="38"/>
  <c r="O593" i="38"/>
  <c r="P594" i="38"/>
  <c r="U594" i="38"/>
  <c r="S595" i="38"/>
  <c r="T595" i="38"/>
  <c r="O594" i="38"/>
  <c r="P595" i="38"/>
  <c r="U595" i="38"/>
  <c r="S596" i="38"/>
  <c r="T596" i="38"/>
  <c r="O595" i="38"/>
  <c r="P596" i="38"/>
  <c r="U596" i="38"/>
  <c r="S597" i="38"/>
  <c r="T597" i="38"/>
  <c r="O596" i="38"/>
  <c r="P597" i="38"/>
  <c r="U597" i="38"/>
  <c r="S598" i="38"/>
  <c r="T598" i="38"/>
  <c r="O597" i="38"/>
  <c r="P598" i="38"/>
  <c r="U598" i="38"/>
  <c r="S599" i="38"/>
  <c r="T599" i="38"/>
  <c r="O598" i="38"/>
  <c r="P599" i="38"/>
  <c r="U599" i="38"/>
  <c r="S600" i="38"/>
  <c r="T600" i="38"/>
  <c r="O599" i="38"/>
  <c r="P600" i="38"/>
  <c r="U600" i="38"/>
  <c r="S601" i="38"/>
  <c r="T601" i="38"/>
  <c r="O600" i="38"/>
  <c r="P601" i="38"/>
  <c r="U601" i="38"/>
  <c r="S602" i="38"/>
  <c r="T602" i="38"/>
  <c r="O601" i="38"/>
  <c r="P602" i="38"/>
  <c r="U602" i="38"/>
  <c r="S603" i="38"/>
  <c r="T603" i="38"/>
  <c r="O602" i="38"/>
  <c r="P603" i="38"/>
  <c r="U603" i="38"/>
  <c r="S604" i="38"/>
  <c r="T604" i="38"/>
  <c r="O603" i="38"/>
  <c r="P604" i="38"/>
  <c r="U604" i="38"/>
  <c r="S605" i="38"/>
  <c r="T605" i="38"/>
  <c r="O604" i="38"/>
  <c r="P605" i="38"/>
  <c r="U605" i="38"/>
  <c r="S606" i="38"/>
  <c r="T606" i="38"/>
  <c r="O605" i="38"/>
  <c r="P606" i="38"/>
  <c r="U606" i="38"/>
  <c r="S607" i="38"/>
  <c r="T607" i="38"/>
  <c r="O606" i="38"/>
  <c r="P607" i="38"/>
  <c r="U607" i="38"/>
  <c r="S608" i="38"/>
  <c r="T608" i="38"/>
  <c r="O607" i="38"/>
  <c r="P608" i="38"/>
  <c r="U608" i="38"/>
  <c r="S609" i="38"/>
  <c r="T609" i="38"/>
  <c r="O608" i="38"/>
  <c r="P609" i="38"/>
  <c r="U609" i="38"/>
  <c r="S610" i="38"/>
  <c r="T610" i="38"/>
  <c r="O609" i="38"/>
  <c r="P610" i="38"/>
  <c r="U610" i="38"/>
  <c r="S611" i="38"/>
  <c r="T611" i="38"/>
  <c r="O610" i="38"/>
  <c r="P611" i="38"/>
  <c r="U611" i="38"/>
  <c r="S612" i="38"/>
  <c r="T612" i="38"/>
  <c r="O611" i="38"/>
  <c r="P612" i="38"/>
  <c r="U612" i="38"/>
  <c r="S613" i="38"/>
  <c r="T613" i="38"/>
  <c r="O612" i="38"/>
  <c r="P613" i="38"/>
  <c r="U613" i="38"/>
  <c r="S614" i="38"/>
  <c r="T614" i="38"/>
  <c r="O613" i="38"/>
  <c r="P614" i="38"/>
  <c r="U614" i="38"/>
  <c r="S615" i="38"/>
  <c r="T615" i="38"/>
  <c r="O614" i="38"/>
  <c r="P615" i="38"/>
  <c r="U615" i="38"/>
  <c r="S616" i="38"/>
  <c r="T616" i="38"/>
  <c r="O615" i="38"/>
  <c r="P616" i="38"/>
  <c r="U616" i="38"/>
  <c r="S617" i="38"/>
  <c r="T617" i="38"/>
  <c r="O616" i="38"/>
  <c r="P617" i="38"/>
  <c r="U617" i="38"/>
  <c r="S618" i="38"/>
  <c r="T618" i="38"/>
  <c r="O617" i="38"/>
  <c r="P618" i="38"/>
  <c r="U618" i="38"/>
  <c r="S619" i="38"/>
  <c r="T619" i="38"/>
  <c r="O618" i="38"/>
  <c r="P619" i="38"/>
  <c r="U619" i="38"/>
  <c r="S620" i="38"/>
  <c r="T620" i="38"/>
  <c r="O619" i="38"/>
  <c r="P620" i="38"/>
  <c r="U620" i="38"/>
  <c r="S621" i="38"/>
  <c r="T621" i="38"/>
  <c r="O620" i="38"/>
  <c r="P621" i="38"/>
  <c r="U621" i="38"/>
  <c r="S622" i="38"/>
  <c r="T622" i="38"/>
  <c r="O621" i="38"/>
  <c r="P622" i="38"/>
  <c r="U622" i="38"/>
  <c r="S623" i="38"/>
  <c r="T623" i="38"/>
  <c r="O622" i="38"/>
  <c r="P623" i="38"/>
  <c r="U623" i="38"/>
  <c r="S624" i="38"/>
  <c r="T624" i="38"/>
  <c r="O623" i="38"/>
  <c r="P624" i="38"/>
  <c r="U624" i="38"/>
  <c r="S625" i="38"/>
  <c r="T625" i="38"/>
  <c r="O624" i="38"/>
  <c r="P625" i="38"/>
  <c r="U625" i="38"/>
  <c r="S626" i="38"/>
  <c r="T626" i="38"/>
  <c r="O625" i="38"/>
  <c r="P626" i="38"/>
  <c r="U626" i="38"/>
  <c r="S627" i="38"/>
  <c r="T627" i="38"/>
  <c r="O626" i="38"/>
  <c r="P627" i="38"/>
  <c r="U627" i="38"/>
  <c r="S628" i="38"/>
  <c r="T628" i="38"/>
  <c r="O627" i="38"/>
  <c r="P628" i="38"/>
  <c r="U628" i="38"/>
  <c r="S629" i="38"/>
  <c r="T629" i="38"/>
  <c r="O628" i="38"/>
  <c r="P629" i="38"/>
  <c r="U629" i="38"/>
  <c r="S630" i="38"/>
  <c r="T630" i="38"/>
  <c r="O629" i="38"/>
  <c r="P630" i="38"/>
  <c r="U630" i="38"/>
  <c r="S631" i="38"/>
  <c r="T631" i="38"/>
  <c r="O630" i="38"/>
  <c r="P631" i="38"/>
  <c r="U631" i="38"/>
  <c r="S632" i="38"/>
  <c r="T632" i="38"/>
  <c r="O631" i="38"/>
  <c r="P632" i="38"/>
  <c r="U632" i="38"/>
  <c r="S633" i="38"/>
  <c r="T633" i="38"/>
  <c r="O632" i="38"/>
  <c r="P633" i="38"/>
  <c r="U633" i="38"/>
  <c r="S634" i="38"/>
  <c r="T634" i="38"/>
  <c r="O633" i="38"/>
  <c r="P634" i="38"/>
  <c r="U634" i="38"/>
  <c r="S635" i="38"/>
  <c r="T635" i="38"/>
  <c r="O634" i="38"/>
  <c r="P635" i="38"/>
  <c r="U635" i="38"/>
  <c r="S636" i="38"/>
  <c r="T636" i="38"/>
  <c r="O635" i="38"/>
  <c r="P636" i="38"/>
  <c r="U636" i="38"/>
  <c r="S637" i="38"/>
  <c r="T637" i="38"/>
  <c r="O636" i="38"/>
  <c r="P637" i="38"/>
  <c r="U637" i="38"/>
  <c r="S638" i="38"/>
  <c r="T638" i="38"/>
  <c r="O637" i="38"/>
  <c r="P638" i="38"/>
  <c r="U638" i="38"/>
  <c r="S639" i="38"/>
  <c r="T639" i="38"/>
  <c r="O638" i="38"/>
  <c r="P639" i="38"/>
  <c r="U639" i="38"/>
  <c r="S640" i="38"/>
  <c r="T640" i="38"/>
  <c r="O639" i="38"/>
  <c r="P640" i="38"/>
  <c r="U640" i="38"/>
  <c r="S641" i="38"/>
  <c r="T641" i="38"/>
  <c r="O640" i="38"/>
  <c r="P641" i="38"/>
  <c r="U641" i="38"/>
  <c r="S642" i="38"/>
  <c r="T642" i="38"/>
  <c r="O641" i="38"/>
  <c r="P642" i="38"/>
  <c r="U642" i="38"/>
  <c r="S643" i="38"/>
  <c r="T643" i="38"/>
  <c r="O642" i="38"/>
  <c r="P643" i="38"/>
  <c r="U643" i="38"/>
  <c r="S644" i="38"/>
  <c r="T644" i="38"/>
  <c r="O643" i="38"/>
  <c r="P644" i="38"/>
  <c r="U644" i="38"/>
  <c r="S645" i="38"/>
  <c r="T645" i="38"/>
  <c r="O644" i="38"/>
  <c r="P645" i="38"/>
  <c r="U645" i="38"/>
  <c r="S646" i="38"/>
  <c r="T646" i="38"/>
  <c r="O645" i="38"/>
  <c r="P646" i="38"/>
  <c r="U646" i="38"/>
  <c r="S647" i="38"/>
  <c r="T647" i="38"/>
  <c r="O646" i="38"/>
  <c r="P647" i="38"/>
  <c r="U647" i="38"/>
  <c r="S648" i="38"/>
  <c r="T648" i="38"/>
  <c r="O647" i="38"/>
  <c r="P648" i="38"/>
  <c r="U648" i="38"/>
  <c r="S649" i="38"/>
  <c r="T649" i="38"/>
  <c r="O648" i="38"/>
  <c r="P649" i="38"/>
  <c r="U649" i="38"/>
  <c r="S650" i="38"/>
  <c r="T650" i="38"/>
  <c r="O649" i="38"/>
  <c r="P650" i="38"/>
  <c r="U650" i="38"/>
  <c r="S651" i="38"/>
  <c r="T651" i="38"/>
  <c r="O650" i="38"/>
  <c r="P651" i="38"/>
  <c r="U651" i="38"/>
  <c r="S652" i="38"/>
  <c r="T652" i="38"/>
  <c r="O651" i="38"/>
  <c r="P652" i="38"/>
  <c r="U652" i="38"/>
  <c r="S653" i="38"/>
  <c r="T653" i="38"/>
  <c r="O652" i="38"/>
  <c r="P653" i="38"/>
  <c r="U653" i="38"/>
  <c r="S654" i="38"/>
  <c r="T654" i="38"/>
  <c r="O653" i="38"/>
  <c r="P654" i="38"/>
  <c r="U654" i="38"/>
  <c r="S655" i="38"/>
  <c r="T655" i="38"/>
  <c r="O654" i="38"/>
  <c r="P655" i="38"/>
  <c r="U655" i="38"/>
  <c r="S656" i="38"/>
  <c r="T656" i="38"/>
  <c r="O655" i="38"/>
  <c r="P656" i="38"/>
  <c r="U656" i="38"/>
  <c r="S657" i="38"/>
  <c r="T657" i="38"/>
  <c r="O656" i="38"/>
  <c r="P657" i="38"/>
  <c r="U657" i="38"/>
  <c r="S658" i="38"/>
  <c r="T658" i="38"/>
  <c r="O657" i="38"/>
  <c r="P658" i="38"/>
  <c r="U658" i="38"/>
  <c r="S659" i="38"/>
  <c r="T659" i="38"/>
  <c r="O658" i="38"/>
  <c r="P659" i="38"/>
  <c r="U659" i="38"/>
  <c r="S660" i="38"/>
  <c r="T660" i="38"/>
  <c r="O659" i="38"/>
  <c r="P660" i="38"/>
  <c r="U660" i="38"/>
  <c r="S661" i="38"/>
  <c r="T661" i="38"/>
  <c r="O660" i="38"/>
  <c r="P661" i="38"/>
  <c r="U661" i="38"/>
  <c r="S662" i="38"/>
  <c r="T662" i="38"/>
  <c r="O661" i="38"/>
  <c r="P662" i="38"/>
  <c r="U662" i="38"/>
  <c r="S663" i="38"/>
  <c r="T663" i="38"/>
  <c r="O662" i="38"/>
  <c r="P663" i="38"/>
  <c r="U663" i="38"/>
  <c r="S664" i="38"/>
  <c r="T664" i="38"/>
  <c r="O663" i="38"/>
  <c r="P664" i="38"/>
  <c r="U664" i="38"/>
  <c r="S665" i="38"/>
  <c r="T665" i="38"/>
  <c r="O664" i="38"/>
  <c r="P665" i="38"/>
  <c r="U665" i="38"/>
  <c r="S666" i="38"/>
  <c r="T666" i="38"/>
  <c r="O665" i="38"/>
  <c r="P666" i="38"/>
  <c r="U666" i="38"/>
  <c r="S667" i="38"/>
  <c r="T667" i="38"/>
  <c r="O666" i="38"/>
  <c r="P667" i="38"/>
  <c r="U667" i="38"/>
  <c r="S668" i="38"/>
  <c r="T668" i="38"/>
  <c r="O667" i="38"/>
  <c r="P668" i="38"/>
  <c r="U668" i="38"/>
  <c r="S669" i="38"/>
  <c r="T669" i="38"/>
  <c r="O668" i="38"/>
  <c r="P669" i="38"/>
  <c r="U669" i="38"/>
  <c r="S670" i="38"/>
  <c r="T670" i="38"/>
  <c r="O669" i="38"/>
  <c r="P670" i="38"/>
  <c r="U670" i="38"/>
  <c r="S671" i="38"/>
  <c r="T671" i="38"/>
  <c r="O670" i="38"/>
  <c r="P671" i="38"/>
  <c r="U671" i="38"/>
  <c r="S672" i="38"/>
  <c r="T672" i="38"/>
  <c r="O671" i="38"/>
  <c r="P672" i="38"/>
  <c r="U672" i="38"/>
  <c r="S673" i="38"/>
  <c r="T673" i="38"/>
  <c r="O672" i="38"/>
  <c r="P673" i="38"/>
  <c r="U673" i="38"/>
  <c r="S674" i="38"/>
  <c r="T674" i="38"/>
  <c r="O673" i="38"/>
  <c r="P674" i="38"/>
  <c r="U674" i="38"/>
  <c r="S675" i="38"/>
  <c r="T675" i="38"/>
  <c r="O674" i="38"/>
  <c r="P675" i="38"/>
  <c r="U675" i="38"/>
  <c r="S676" i="38"/>
  <c r="T676" i="38"/>
  <c r="O675" i="38"/>
  <c r="P676" i="38"/>
  <c r="U676" i="38"/>
  <c r="S677" i="38"/>
  <c r="T677" i="38"/>
  <c r="O676" i="38"/>
  <c r="P677" i="38"/>
  <c r="U677" i="38"/>
  <c r="S678" i="38"/>
  <c r="T678" i="38"/>
  <c r="O677" i="38"/>
  <c r="P678" i="38"/>
  <c r="U678" i="38"/>
  <c r="S679" i="38"/>
  <c r="T679" i="38"/>
  <c r="O678" i="38"/>
  <c r="P679" i="38"/>
  <c r="U679" i="38"/>
  <c r="S680" i="38"/>
  <c r="T680" i="38"/>
  <c r="O679" i="38"/>
  <c r="P680" i="38"/>
  <c r="U680" i="38"/>
  <c r="S681" i="38"/>
  <c r="T681" i="38"/>
  <c r="O680" i="38"/>
  <c r="P681" i="38"/>
  <c r="U681" i="38"/>
  <c r="S682" i="38"/>
  <c r="T682" i="38"/>
  <c r="O681" i="38"/>
  <c r="P682" i="38"/>
  <c r="U682" i="38"/>
  <c r="S683" i="38"/>
  <c r="T683" i="38"/>
  <c r="O682" i="38"/>
  <c r="P683" i="38"/>
  <c r="U683" i="38"/>
  <c r="S684" i="38"/>
  <c r="T684" i="38"/>
  <c r="O683" i="38"/>
  <c r="P684" i="38"/>
  <c r="U684" i="38"/>
  <c r="S685" i="38"/>
  <c r="T685" i="38"/>
  <c r="O684" i="38"/>
  <c r="P685" i="38"/>
  <c r="U685" i="38"/>
  <c r="S686" i="38"/>
  <c r="T686" i="38"/>
  <c r="O685" i="38"/>
  <c r="P686" i="38"/>
  <c r="U686" i="38"/>
  <c r="S687" i="38"/>
  <c r="T687" i="38"/>
  <c r="O686" i="38"/>
  <c r="P687" i="38"/>
  <c r="U687" i="38"/>
  <c r="S688" i="38"/>
  <c r="T688" i="38"/>
  <c r="O687" i="38"/>
  <c r="P688" i="38"/>
  <c r="U688" i="38"/>
  <c r="S689" i="38"/>
  <c r="T689" i="38"/>
  <c r="O688" i="38"/>
  <c r="P689" i="38"/>
  <c r="U689" i="38"/>
  <c r="S690" i="38"/>
  <c r="T690" i="38"/>
  <c r="O689" i="38"/>
  <c r="P690" i="38"/>
  <c r="U690" i="38"/>
  <c r="S691" i="38"/>
  <c r="T691" i="38"/>
  <c r="O690" i="38"/>
  <c r="P691" i="38"/>
  <c r="U691" i="38"/>
  <c r="S692" i="38"/>
  <c r="T692" i="38"/>
  <c r="O691" i="38"/>
  <c r="P692" i="38"/>
  <c r="U692" i="38"/>
  <c r="S693" i="38"/>
  <c r="T693" i="38"/>
  <c r="O692" i="38"/>
  <c r="P693" i="38"/>
  <c r="U693" i="38"/>
  <c r="S694" i="38"/>
  <c r="T694" i="38"/>
  <c r="O693" i="38"/>
  <c r="P694" i="38"/>
  <c r="U694" i="38"/>
  <c r="S695" i="38"/>
  <c r="T695" i="38"/>
  <c r="O694" i="38"/>
  <c r="P695" i="38"/>
  <c r="U695" i="38"/>
  <c r="S696" i="38"/>
  <c r="T696" i="38"/>
  <c r="O695" i="38"/>
  <c r="P696" i="38"/>
  <c r="U696" i="38"/>
  <c r="S697" i="38"/>
  <c r="T697" i="38"/>
  <c r="O696" i="38"/>
  <c r="P697" i="38"/>
  <c r="U697" i="38"/>
  <c r="S698" i="38"/>
  <c r="T698" i="38"/>
  <c r="O697" i="38"/>
  <c r="P698" i="38"/>
  <c r="U698" i="38"/>
  <c r="S699" i="38"/>
  <c r="T699" i="38"/>
  <c r="O698" i="38"/>
  <c r="P699" i="38"/>
  <c r="U699" i="38"/>
  <c r="S700" i="38"/>
  <c r="T700" i="38"/>
  <c r="O699" i="38"/>
  <c r="P700" i="38"/>
  <c r="U700" i="38"/>
  <c r="S701" i="38"/>
  <c r="T701" i="38"/>
  <c r="O700" i="38"/>
  <c r="P701" i="38"/>
  <c r="U701" i="38"/>
  <c r="S702" i="38"/>
  <c r="T702" i="38"/>
  <c r="O701" i="38"/>
  <c r="P702" i="38"/>
  <c r="U702" i="38"/>
  <c r="S703" i="38"/>
  <c r="T703" i="38"/>
  <c r="O702" i="38"/>
  <c r="P703" i="38"/>
  <c r="U703" i="38"/>
  <c r="S704" i="38"/>
  <c r="T704" i="38"/>
  <c r="O703" i="38"/>
  <c r="P704" i="38"/>
  <c r="U704" i="38"/>
  <c r="S705" i="38"/>
  <c r="T705" i="38"/>
  <c r="O704" i="38"/>
  <c r="P705" i="38"/>
  <c r="U705" i="38"/>
  <c r="S706" i="38"/>
  <c r="T706" i="38"/>
  <c r="O705" i="38"/>
  <c r="P706" i="38"/>
  <c r="U706" i="38"/>
  <c r="S707" i="38"/>
  <c r="T707" i="38"/>
  <c r="O706" i="38"/>
  <c r="P707" i="38"/>
  <c r="U707" i="38"/>
  <c r="S708" i="38"/>
  <c r="T708" i="38"/>
  <c r="O707" i="38"/>
  <c r="P708" i="38"/>
  <c r="U708" i="38"/>
  <c r="S709" i="38"/>
  <c r="T709" i="38"/>
  <c r="O708" i="38"/>
  <c r="P709" i="38"/>
  <c r="U709" i="38"/>
  <c r="S710" i="38"/>
  <c r="T710" i="38"/>
  <c r="O709" i="38"/>
  <c r="P710" i="38"/>
  <c r="U710" i="38"/>
  <c r="S711" i="38"/>
  <c r="T711" i="38"/>
  <c r="O710" i="38"/>
  <c r="P711" i="38"/>
  <c r="U711" i="38"/>
  <c r="S712" i="38"/>
  <c r="T712" i="38"/>
  <c r="O711" i="38"/>
  <c r="P712" i="38"/>
  <c r="U712" i="38"/>
  <c r="S713" i="38"/>
  <c r="T713" i="38"/>
  <c r="O712" i="38"/>
  <c r="P713" i="38"/>
  <c r="U713" i="38"/>
  <c r="S714" i="38"/>
  <c r="T714" i="38"/>
  <c r="O713" i="38"/>
  <c r="P714" i="38"/>
  <c r="U714" i="38"/>
  <c r="S715" i="38"/>
  <c r="T715" i="38"/>
  <c r="O714" i="38"/>
  <c r="P715" i="38"/>
  <c r="U715" i="38"/>
  <c r="S716" i="38"/>
  <c r="T716" i="38"/>
  <c r="O715" i="38"/>
  <c r="P716" i="38"/>
  <c r="U716" i="38"/>
  <c r="S717" i="38"/>
  <c r="T717" i="38"/>
  <c r="O716" i="38"/>
  <c r="P717" i="38"/>
  <c r="U717" i="38"/>
  <c r="S718" i="38"/>
  <c r="T718" i="38"/>
  <c r="O717" i="38"/>
  <c r="P718" i="38"/>
  <c r="U718" i="38"/>
  <c r="S719" i="38"/>
  <c r="T719" i="38"/>
  <c r="O718" i="38"/>
  <c r="P719" i="38"/>
  <c r="U719" i="38"/>
  <c r="S720" i="38"/>
  <c r="T720" i="38"/>
  <c r="O719" i="38"/>
  <c r="P720" i="38"/>
  <c r="U720" i="38"/>
  <c r="S721" i="38"/>
  <c r="T721" i="38"/>
  <c r="O720" i="38"/>
  <c r="P721" i="38"/>
  <c r="U721" i="38"/>
  <c r="S722" i="38"/>
  <c r="T722" i="38"/>
  <c r="O721" i="38"/>
  <c r="P722" i="38"/>
  <c r="U722" i="38"/>
  <c r="S723" i="38"/>
  <c r="T723" i="38"/>
  <c r="O722" i="38"/>
  <c r="P723" i="38"/>
  <c r="U723" i="38"/>
  <c r="S724" i="38"/>
  <c r="T724" i="38"/>
  <c r="O723" i="38"/>
  <c r="P724" i="38"/>
  <c r="U724" i="38"/>
  <c r="S725" i="38"/>
  <c r="T725" i="38"/>
  <c r="O724" i="38"/>
  <c r="P725" i="38"/>
  <c r="U725" i="38"/>
  <c r="S726" i="38"/>
  <c r="T726" i="38"/>
  <c r="O725" i="38"/>
  <c r="P726" i="38"/>
  <c r="U726" i="38"/>
  <c r="S727" i="38"/>
  <c r="T727" i="38"/>
  <c r="O726" i="38"/>
  <c r="P727" i="38"/>
  <c r="U727" i="38"/>
  <c r="S728" i="38"/>
  <c r="T728" i="38"/>
  <c r="O727" i="38"/>
  <c r="P728" i="38"/>
  <c r="U728" i="38"/>
  <c r="S729" i="38"/>
  <c r="T729" i="38"/>
  <c r="O728" i="38"/>
  <c r="P729" i="38"/>
  <c r="U729" i="38"/>
  <c r="S730" i="38"/>
  <c r="T730" i="38"/>
  <c r="O729" i="38"/>
  <c r="P730" i="38"/>
  <c r="U730" i="38"/>
  <c r="S731" i="38"/>
  <c r="T731" i="38"/>
  <c r="O730" i="38"/>
  <c r="P731" i="38"/>
  <c r="U731" i="38"/>
  <c r="S732" i="38"/>
  <c r="T732" i="38"/>
  <c r="O731" i="38"/>
  <c r="P732" i="38"/>
  <c r="U732" i="38"/>
  <c r="S733" i="38"/>
  <c r="T733" i="38"/>
  <c r="O732" i="38"/>
  <c r="P733" i="38"/>
  <c r="U733" i="38"/>
  <c r="S734" i="38"/>
  <c r="T734" i="38"/>
  <c r="O733" i="38"/>
  <c r="P734" i="38"/>
  <c r="U734" i="38"/>
  <c r="U14" i="38"/>
  <c r="T14" i="38"/>
  <c r="S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N203" i="38"/>
  <c r="N204" i="38"/>
  <c r="N205" i="38"/>
  <c r="N206" i="38"/>
  <c r="N207" i="38"/>
  <c r="N208" i="38"/>
  <c r="N209" i="38"/>
  <c r="N210" i="38"/>
  <c r="N211" i="38"/>
  <c r="N212" i="38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29" i="38"/>
  <c r="N230" i="38"/>
  <c r="N231" i="38"/>
  <c r="N232" i="38"/>
  <c r="N233" i="38"/>
  <c r="N234" i="38"/>
  <c r="N235" i="38"/>
  <c r="N236" i="38"/>
  <c r="N237" i="38"/>
  <c r="N238" i="38"/>
  <c r="N239" i="38"/>
  <c r="N240" i="38"/>
  <c r="N241" i="38"/>
  <c r="N242" i="38"/>
  <c r="N243" i="38"/>
  <c r="N244" i="38"/>
  <c r="N245" i="38"/>
  <c r="N246" i="38"/>
  <c r="N247" i="38"/>
  <c r="N248" i="38"/>
  <c r="N249" i="38"/>
  <c r="N250" i="38"/>
  <c r="N251" i="38"/>
  <c r="N252" i="38"/>
  <c r="N253" i="38"/>
  <c r="N254" i="38"/>
  <c r="N255" i="38"/>
  <c r="N256" i="38"/>
  <c r="N257" i="38"/>
  <c r="N258" i="38"/>
  <c r="N259" i="38"/>
  <c r="N260" i="38"/>
  <c r="N261" i="38"/>
  <c r="N262" i="38"/>
  <c r="N263" i="38"/>
  <c r="N264" i="38"/>
  <c r="N265" i="38"/>
  <c r="N266" i="38"/>
  <c r="N267" i="38"/>
  <c r="N268" i="38"/>
  <c r="N269" i="38"/>
  <c r="N270" i="38"/>
  <c r="N271" i="38"/>
  <c r="N272" i="38"/>
  <c r="N273" i="38"/>
  <c r="N274" i="38"/>
  <c r="N275" i="38"/>
  <c r="N276" i="38"/>
  <c r="N277" i="38"/>
  <c r="N278" i="38"/>
  <c r="N279" i="38"/>
  <c r="N280" i="38"/>
  <c r="N281" i="38"/>
  <c r="N282" i="38"/>
  <c r="N283" i="38"/>
  <c r="N284" i="38"/>
  <c r="N285" i="38"/>
  <c r="N286" i="38"/>
  <c r="N287" i="38"/>
  <c r="N288" i="38"/>
  <c r="N289" i="38"/>
  <c r="N290" i="38"/>
  <c r="N291" i="38"/>
  <c r="N292" i="38"/>
  <c r="N293" i="38"/>
  <c r="N294" i="38"/>
  <c r="N295" i="38"/>
  <c r="N296" i="38"/>
  <c r="N297" i="38"/>
  <c r="N298" i="38"/>
  <c r="N299" i="38"/>
  <c r="N300" i="38"/>
  <c r="N301" i="38"/>
  <c r="N302" i="38"/>
  <c r="N303" i="38"/>
  <c r="N304" i="38"/>
  <c r="N305" i="38"/>
  <c r="N306" i="38"/>
  <c r="N307" i="38"/>
  <c r="N308" i="38"/>
  <c r="N309" i="38"/>
  <c r="N310" i="38"/>
  <c r="N311" i="38"/>
  <c r="N312" i="38"/>
  <c r="N313" i="38"/>
  <c r="N314" i="38"/>
  <c r="N315" i="38"/>
  <c r="N316" i="38"/>
  <c r="N317" i="38"/>
  <c r="N318" i="38"/>
  <c r="N319" i="38"/>
  <c r="N320" i="38"/>
  <c r="N321" i="38"/>
  <c r="N322" i="38"/>
  <c r="N323" i="38"/>
  <c r="N324" i="38"/>
  <c r="N325" i="38"/>
  <c r="N326" i="38"/>
  <c r="N327" i="38"/>
  <c r="N328" i="38"/>
  <c r="N329" i="38"/>
  <c r="N330" i="38"/>
  <c r="N331" i="38"/>
  <c r="N332" i="38"/>
  <c r="N333" i="38"/>
  <c r="N334" i="38"/>
  <c r="N335" i="38"/>
  <c r="N336" i="38"/>
  <c r="N337" i="38"/>
  <c r="N338" i="38"/>
  <c r="N339" i="38"/>
  <c r="N340" i="38"/>
  <c r="N341" i="38"/>
  <c r="N342" i="38"/>
  <c r="N343" i="38"/>
  <c r="N344" i="38"/>
  <c r="N345" i="38"/>
  <c r="N346" i="38"/>
  <c r="N347" i="38"/>
  <c r="N348" i="38"/>
  <c r="N349" i="38"/>
  <c r="N350" i="38"/>
  <c r="N351" i="38"/>
  <c r="N352" i="38"/>
  <c r="N353" i="38"/>
  <c r="N354" i="38"/>
  <c r="N355" i="38"/>
  <c r="N356" i="38"/>
  <c r="N357" i="38"/>
  <c r="N358" i="38"/>
  <c r="N359" i="38"/>
  <c r="N360" i="38"/>
  <c r="N361" i="38"/>
  <c r="N362" i="38"/>
  <c r="N363" i="38"/>
  <c r="N364" i="38"/>
  <c r="N365" i="38"/>
  <c r="N366" i="38"/>
  <c r="N367" i="38"/>
  <c r="N368" i="38"/>
  <c r="N369" i="38"/>
  <c r="N370" i="38"/>
  <c r="N371" i="38"/>
  <c r="N372" i="38"/>
  <c r="N373" i="38"/>
  <c r="N374" i="38"/>
  <c r="N375" i="38"/>
  <c r="N376" i="38"/>
  <c r="N377" i="38"/>
  <c r="N378" i="38"/>
  <c r="N379" i="38"/>
  <c r="N380" i="38"/>
  <c r="N381" i="38"/>
  <c r="N382" i="38"/>
  <c r="N383" i="38"/>
  <c r="N384" i="38"/>
  <c r="N385" i="38"/>
  <c r="N386" i="38"/>
  <c r="N387" i="38"/>
  <c r="N388" i="38"/>
  <c r="N389" i="38"/>
  <c r="N390" i="38"/>
  <c r="N391" i="38"/>
  <c r="N392" i="38"/>
  <c r="N393" i="38"/>
  <c r="N394" i="38"/>
  <c r="N395" i="38"/>
  <c r="N396" i="38"/>
  <c r="N397" i="38"/>
  <c r="N398" i="38"/>
  <c r="N399" i="38"/>
  <c r="N400" i="38"/>
  <c r="N401" i="38"/>
  <c r="N402" i="38"/>
  <c r="N403" i="38"/>
  <c r="N404" i="38"/>
  <c r="N405" i="38"/>
  <c r="N406" i="38"/>
  <c r="N407" i="38"/>
  <c r="N408" i="38"/>
  <c r="N409" i="38"/>
  <c r="N410" i="38"/>
  <c r="N411" i="38"/>
  <c r="N412" i="38"/>
  <c r="N413" i="38"/>
  <c r="N414" i="38"/>
  <c r="N415" i="38"/>
  <c r="N416" i="38"/>
  <c r="N417" i="38"/>
  <c r="N418" i="38"/>
  <c r="N419" i="38"/>
  <c r="N420" i="38"/>
  <c r="N421" i="38"/>
  <c r="N422" i="38"/>
  <c r="N423" i="38"/>
  <c r="N424" i="38"/>
  <c r="N425" i="38"/>
  <c r="N426" i="38"/>
  <c r="N427" i="38"/>
  <c r="N428" i="38"/>
  <c r="N429" i="38"/>
  <c r="N430" i="38"/>
  <c r="N431" i="38"/>
  <c r="N432" i="38"/>
  <c r="N433" i="38"/>
  <c r="N434" i="38"/>
  <c r="N435" i="38"/>
  <c r="N436" i="38"/>
  <c r="N437" i="38"/>
  <c r="N438" i="38"/>
  <c r="N439" i="38"/>
  <c r="N440" i="38"/>
  <c r="N441" i="38"/>
  <c r="N442" i="38"/>
  <c r="N443" i="38"/>
  <c r="N444" i="38"/>
  <c r="N445" i="38"/>
  <c r="N446" i="38"/>
  <c r="N447" i="38"/>
  <c r="N448" i="38"/>
  <c r="N449" i="38"/>
  <c r="N450" i="38"/>
  <c r="N451" i="38"/>
  <c r="N452" i="38"/>
  <c r="N453" i="38"/>
  <c r="N454" i="38"/>
  <c r="N455" i="38"/>
  <c r="N456" i="38"/>
  <c r="N457" i="38"/>
  <c r="N458" i="38"/>
  <c r="N459" i="38"/>
  <c r="N460" i="38"/>
  <c r="N461" i="38"/>
  <c r="N462" i="38"/>
  <c r="N463" i="38"/>
  <c r="N464" i="38"/>
  <c r="N465" i="38"/>
  <c r="N466" i="38"/>
  <c r="N467" i="38"/>
  <c r="N468" i="38"/>
  <c r="N469" i="38"/>
  <c r="N470" i="38"/>
  <c r="N471" i="38"/>
  <c r="N472" i="38"/>
  <c r="N473" i="38"/>
  <c r="N474" i="38"/>
  <c r="N475" i="38"/>
  <c r="N476" i="38"/>
  <c r="N477" i="38"/>
  <c r="N478" i="38"/>
  <c r="N479" i="38"/>
  <c r="N480" i="38"/>
  <c r="N481" i="38"/>
  <c r="N482" i="38"/>
  <c r="N483" i="38"/>
  <c r="N484" i="38"/>
  <c r="N485" i="38"/>
  <c r="N486" i="38"/>
  <c r="N487" i="38"/>
  <c r="N488" i="38"/>
  <c r="N489" i="38"/>
  <c r="N490" i="38"/>
  <c r="N491" i="38"/>
  <c r="N492" i="38"/>
  <c r="N493" i="38"/>
  <c r="N494" i="38"/>
  <c r="N495" i="38"/>
  <c r="N496" i="38"/>
  <c r="N497" i="38"/>
  <c r="N498" i="38"/>
  <c r="N499" i="38"/>
  <c r="N500" i="38"/>
  <c r="N501" i="38"/>
  <c r="N502" i="38"/>
  <c r="N503" i="38"/>
  <c r="N504" i="38"/>
  <c r="N505" i="38"/>
  <c r="N506" i="38"/>
  <c r="N507" i="38"/>
  <c r="N508" i="38"/>
  <c r="N509" i="38"/>
  <c r="N510" i="38"/>
  <c r="N511" i="38"/>
  <c r="N512" i="38"/>
  <c r="N513" i="38"/>
  <c r="N514" i="38"/>
  <c r="N515" i="38"/>
  <c r="N516" i="38"/>
  <c r="N517" i="38"/>
  <c r="N518" i="38"/>
  <c r="N519" i="38"/>
  <c r="N520" i="38"/>
  <c r="N521" i="38"/>
  <c r="N522" i="38"/>
  <c r="N523" i="38"/>
  <c r="N524" i="38"/>
  <c r="N525" i="38"/>
  <c r="N526" i="38"/>
  <c r="N527" i="38"/>
  <c r="N528" i="38"/>
  <c r="N529" i="38"/>
  <c r="N530" i="38"/>
  <c r="N531" i="38"/>
  <c r="N532" i="38"/>
  <c r="N533" i="38"/>
  <c r="N534" i="38"/>
  <c r="N535" i="38"/>
  <c r="N536" i="38"/>
  <c r="N537" i="38"/>
  <c r="N538" i="38"/>
  <c r="N539" i="38"/>
  <c r="N540" i="38"/>
  <c r="N541" i="38"/>
  <c r="N542" i="38"/>
  <c r="N543" i="38"/>
  <c r="N544" i="38"/>
  <c r="N545" i="38"/>
  <c r="N546" i="38"/>
  <c r="N547" i="38"/>
  <c r="N548" i="38"/>
  <c r="N549" i="38"/>
  <c r="N550" i="38"/>
  <c r="N551" i="38"/>
  <c r="N552" i="38"/>
  <c r="N553" i="38"/>
  <c r="N554" i="38"/>
  <c r="N555" i="38"/>
  <c r="N556" i="38"/>
  <c r="N557" i="38"/>
  <c r="N558" i="38"/>
  <c r="N559" i="38"/>
  <c r="N560" i="38"/>
  <c r="N561" i="38"/>
  <c r="N562" i="38"/>
  <c r="N563" i="38"/>
  <c r="N564" i="38"/>
  <c r="N565" i="38"/>
  <c r="N566" i="38"/>
  <c r="N567" i="38"/>
  <c r="N568" i="38"/>
  <c r="N569" i="38"/>
  <c r="N570" i="38"/>
  <c r="N571" i="38"/>
  <c r="N572" i="38"/>
  <c r="N573" i="38"/>
  <c r="N574" i="38"/>
  <c r="N575" i="38"/>
  <c r="N576" i="38"/>
  <c r="N577" i="38"/>
  <c r="N578" i="38"/>
  <c r="N579" i="38"/>
  <c r="N580" i="38"/>
  <c r="N581" i="38"/>
  <c r="N582" i="38"/>
  <c r="N583" i="38"/>
  <c r="N584" i="38"/>
  <c r="N585" i="38"/>
  <c r="N586" i="38"/>
  <c r="N587" i="38"/>
  <c r="N588" i="38"/>
  <c r="N589" i="38"/>
  <c r="N590" i="38"/>
  <c r="N591" i="38"/>
  <c r="N592" i="38"/>
  <c r="N593" i="38"/>
  <c r="N594" i="38"/>
  <c r="N595" i="38"/>
  <c r="N596" i="38"/>
  <c r="N597" i="38"/>
  <c r="N598" i="38"/>
  <c r="N599" i="38"/>
  <c r="N600" i="38"/>
  <c r="N601" i="38"/>
  <c r="N602" i="38"/>
  <c r="N603" i="38"/>
  <c r="N604" i="38"/>
  <c r="N605" i="38"/>
  <c r="N606" i="38"/>
  <c r="N607" i="38"/>
  <c r="N608" i="38"/>
  <c r="N609" i="38"/>
  <c r="N610" i="38"/>
  <c r="N611" i="38"/>
  <c r="N612" i="38"/>
  <c r="N613" i="38"/>
  <c r="N614" i="38"/>
  <c r="N615" i="38"/>
  <c r="N616" i="38"/>
  <c r="N617" i="38"/>
  <c r="N618" i="38"/>
  <c r="N619" i="38"/>
  <c r="N620" i="38"/>
  <c r="N621" i="38"/>
  <c r="N622" i="38"/>
  <c r="N623" i="38"/>
  <c r="N624" i="38"/>
  <c r="N625" i="38"/>
  <c r="N626" i="38"/>
  <c r="N627" i="38"/>
  <c r="N628" i="38"/>
  <c r="N629" i="38"/>
  <c r="N630" i="38"/>
  <c r="N631" i="38"/>
  <c r="N632" i="38"/>
  <c r="N633" i="38"/>
  <c r="N634" i="38"/>
  <c r="N635" i="38"/>
  <c r="N636" i="38"/>
  <c r="N637" i="38"/>
  <c r="N638" i="38"/>
  <c r="N639" i="38"/>
  <c r="N640" i="38"/>
  <c r="N641" i="38"/>
  <c r="N642" i="38"/>
  <c r="N643" i="38"/>
  <c r="N644" i="38"/>
  <c r="N645" i="38"/>
  <c r="N646" i="38"/>
  <c r="N647" i="38"/>
  <c r="N648" i="38"/>
  <c r="N649" i="38"/>
  <c r="N650" i="38"/>
  <c r="N651" i="38"/>
  <c r="N652" i="38"/>
  <c r="N653" i="38"/>
  <c r="N654" i="38"/>
  <c r="N655" i="38"/>
  <c r="N656" i="38"/>
  <c r="N657" i="38"/>
  <c r="N658" i="38"/>
  <c r="N659" i="38"/>
  <c r="N660" i="38"/>
  <c r="N661" i="38"/>
  <c r="N662" i="38"/>
  <c r="N663" i="38"/>
  <c r="N664" i="38"/>
  <c r="N665" i="38"/>
  <c r="N666" i="38"/>
  <c r="N667" i="38"/>
  <c r="N668" i="38"/>
  <c r="N669" i="38"/>
  <c r="N670" i="38"/>
  <c r="N671" i="38"/>
  <c r="N672" i="38"/>
  <c r="N673" i="38"/>
  <c r="N674" i="38"/>
  <c r="N675" i="38"/>
  <c r="N676" i="38"/>
  <c r="N677" i="38"/>
  <c r="N678" i="38"/>
  <c r="N679" i="38"/>
  <c r="N680" i="38"/>
  <c r="N681" i="38"/>
  <c r="N682" i="38"/>
  <c r="N683" i="38"/>
  <c r="N684" i="38"/>
  <c r="N685" i="38"/>
  <c r="N686" i="38"/>
  <c r="N687" i="38"/>
  <c r="N688" i="38"/>
  <c r="N689" i="38"/>
  <c r="N690" i="38"/>
  <c r="N691" i="38"/>
  <c r="N692" i="38"/>
  <c r="N693" i="38"/>
  <c r="N694" i="38"/>
  <c r="N695" i="38"/>
  <c r="N696" i="38"/>
  <c r="N697" i="38"/>
  <c r="N698" i="38"/>
  <c r="N699" i="38"/>
  <c r="N700" i="38"/>
  <c r="N701" i="38"/>
  <c r="N702" i="38"/>
  <c r="N703" i="38"/>
  <c r="N704" i="38"/>
  <c r="N705" i="38"/>
  <c r="N706" i="38"/>
  <c r="N707" i="38"/>
  <c r="N708" i="38"/>
  <c r="N709" i="38"/>
  <c r="N710" i="38"/>
  <c r="N711" i="38"/>
  <c r="N712" i="38"/>
  <c r="N713" i="38"/>
  <c r="N714" i="38"/>
  <c r="N715" i="38"/>
  <c r="N716" i="38"/>
  <c r="N717" i="38"/>
  <c r="N718" i="38"/>
  <c r="N719" i="38"/>
  <c r="N720" i="38"/>
  <c r="N721" i="38"/>
  <c r="N722" i="38"/>
  <c r="N723" i="38"/>
  <c r="N724" i="38"/>
  <c r="N725" i="38"/>
  <c r="N726" i="38"/>
  <c r="N727" i="38"/>
  <c r="N728" i="38"/>
  <c r="N729" i="38"/>
  <c r="N730" i="38"/>
  <c r="N731" i="38"/>
  <c r="N732" i="38"/>
  <c r="N733" i="38"/>
  <c r="N734" i="38"/>
  <c r="N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Q122" i="38"/>
  <c r="Q123" i="38"/>
  <c r="Q124" i="38"/>
  <c r="Q125" i="38"/>
  <c r="Q126" i="38"/>
  <c r="Q127" i="38"/>
  <c r="Q128" i="38"/>
  <c r="Q129" i="38"/>
  <c r="Q130" i="38"/>
  <c r="Q131" i="38"/>
  <c r="Q132" i="38"/>
  <c r="Q133" i="38"/>
  <c r="Q134" i="38"/>
  <c r="Q135" i="38"/>
  <c r="Q136" i="38"/>
  <c r="Q137" i="38"/>
  <c r="Q138" i="38"/>
  <c r="Q139" i="38"/>
  <c r="Q140" i="38"/>
  <c r="Q141" i="38"/>
  <c r="Q142" i="38"/>
  <c r="Q143" i="38"/>
  <c r="Q144" i="38"/>
  <c r="Q145" i="38"/>
  <c r="Q146" i="38"/>
  <c r="Q147" i="38"/>
  <c r="Q148" i="38"/>
  <c r="Q149" i="38"/>
  <c r="Q150" i="38"/>
  <c r="Q151" i="38"/>
  <c r="Q152" i="38"/>
  <c r="Q153" i="38"/>
  <c r="Q154" i="38"/>
  <c r="Q155" i="38"/>
  <c r="Q156" i="38"/>
  <c r="Q157" i="38"/>
  <c r="Q158" i="38"/>
  <c r="Q159" i="38"/>
  <c r="Q160" i="38"/>
  <c r="Q161" i="38"/>
  <c r="Q162" i="38"/>
  <c r="Q163" i="38"/>
  <c r="Q164" i="38"/>
  <c r="Q165" i="38"/>
  <c r="Q166" i="38"/>
  <c r="Q167" i="38"/>
  <c r="Q168" i="38"/>
  <c r="Q169" i="38"/>
  <c r="Q170" i="38"/>
  <c r="Q171" i="38"/>
  <c r="Q172" i="38"/>
  <c r="Q173" i="38"/>
  <c r="Q174" i="38"/>
  <c r="Q175" i="38"/>
  <c r="Q176" i="38"/>
  <c r="Q177" i="38"/>
  <c r="Q178" i="38"/>
  <c r="Q179" i="38"/>
  <c r="Q180" i="38"/>
  <c r="Q181" i="38"/>
  <c r="Q182" i="38"/>
  <c r="Q183" i="38"/>
  <c r="Q184" i="38"/>
  <c r="Q185" i="38"/>
  <c r="Q186" i="38"/>
  <c r="Q187" i="38"/>
  <c r="Q188" i="38"/>
  <c r="Q189" i="38"/>
  <c r="Q190" i="38"/>
  <c r="Q191" i="38"/>
  <c r="Q192" i="38"/>
  <c r="Q193" i="38"/>
  <c r="Q194" i="38"/>
  <c r="Q195" i="38"/>
  <c r="Q196" i="38"/>
  <c r="Q197" i="38"/>
  <c r="Q198" i="38"/>
  <c r="Q199" i="38"/>
  <c r="Q200" i="38"/>
  <c r="Q201" i="38"/>
  <c r="Q202" i="38"/>
  <c r="Q203" i="38"/>
  <c r="Q204" i="38"/>
  <c r="Q205" i="38"/>
  <c r="Q206" i="38"/>
  <c r="Q207" i="38"/>
  <c r="Q208" i="38"/>
  <c r="Q209" i="38"/>
  <c r="Q210" i="38"/>
  <c r="Q211" i="38"/>
  <c r="Q212" i="38"/>
  <c r="Q213" i="38"/>
  <c r="Q214" i="38"/>
  <c r="Q215" i="38"/>
  <c r="Q216" i="38"/>
  <c r="Q217" i="38"/>
  <c r="Q218" i="38"/>
  <c r="Q219" i="38"/>
  <c r="Q220" i="38"/>
  <c r="Q221" i="38"/>
  <c r="Q222" i="38"/>
  <c r="Q223" i="38"/>
  <c r="Q224" i="38"/>
  <c r="Q225" i="38"/>
  <c r="Q226" i="38"/>
  <c r="Q227" i="38"/>
  <c r="Q228" i="38"/>
  <c r="Q229" i="38"/>
  <c r="Q230" i="38"/>
  <c r="Q231" i="38"/>
  <c r="Q232" i="38"/>
  <c r="Q233" i="38"/>
  <c r="Q234" i="38"/>
  <c r="Q235" i="38"/>
  <c r="Q236" i="38"/>
  <c r="Q237" i="38"/>
  <c r="Q238" i="38"/>
  <c r="Q239" i="38"/>
  <c r="Q240" i="38"/>
  <c r="Q241" i="38"/>
  <c r="Q242" i="38"/>
  <c r="Q243" i="38"/>
  <c r="Q244" i="38"/>
  <c r="Q245" i="38"/>
  <c r="Q246" i="38"/>
  <c r="Q247" i="38"/>
  <c r="Q248" i="38"/>
  <c r="Q249" i="38"/>
  <c r="Q250" i="38"/>
  <c r="Q251" i="38"/>
  <c r="Q252" i="38"/>
  <c r="Q253" i="38"/>
  <c r="Q254" i="38"/>
  <c r="Q255" i="38"/>
  <c r="Q256" i="38"/>
  <c r="Q257" i="38"/>
  <c r="Q258" i="38"/>
  <c r="Q259" i="38"/>
  <c r="Q260" i="38"/>
  <c r="Q261" i="38"/>
  <c r="Q262" i="38"/>
  <c r="Q263" i="38"/>
  <c r="Q264" i="38"/>
  <c r="Q265" i="38"/>
  <c r="Q266" i="38"/>
  <c r="Q267" i="38"/>
  <c r="Q268" i="38"/>
  <c r="Q269" i="38"/>
  <c r="Q270" i="38"/>
  <c r="Q271" i="38"/>
  <c r="Q272" i="38"/>
  <c r="Q273" i="38"/>
  <c r="Q274" i="38"/>
  <c r="Q275" i="38"/>
  <c r="Q276" i="38"/>
  <c r="Q277" i="38"/>
  <c r="Q278" i="38"/>
  <c r="Q279" i="38"/>
  <c r="Q280" i="38"/>
  <c r="Q281" i="38"/>
  <c r="Q282" i="38"/>
  <c r="Q283" i="38"/>
  <c r="Q284" i="38"/>
  <c r="Q285" i="38"/>
  <c r="Q286" i="38"/>
  <c r="Q287" i="38"/>
  <c r="Q288" i="38"/>
  <c r="Q289" i="38"/>
  <c r="Q290" i="38"/>
  <c r="Q291" i="38"/>
  <c r="Q292" i="38"/>
  <c r="Q293" i="38"/>
  <c r="Q294" i="38"/>
  <c r="Q295" i="38"/>
  <c r="Q296" i="38"/>
  <c r="Q297" i="38"/>
  <c r="Q298" i="38"/>
  <c r="Q299" i="38"/>
  <c r="Q300" i="38"/>
  <c r="Q301" i="38"/>
  <c r="Q302" i="38"/>
  <c r="Q303" i="38"/>
  <c r="Q304" i="38"/>
  <c r="Q305" i="38"/>
  <c r="Q306" i="38"/>
  <c r="Q307" i="38"/>
  <c r="Q308" i="38"/>
  <c r="Q309" i="38"/>
  <c r="Q310" i="38"/>
  <c r="Q311" i="38"/>
  <c r="Q312" i="38"/>
  <c r="Q313" i="38"/>
  <c r="Q314" i="38"/>
  <c r="Q315" i="38"/>
  <c r="Q316" i="38"/>
  <c r="Q317" i="38"/>
  <c r="Q318" i="38"/>
  <c r="Q319" i="38"/>
  <c r="Q320" i="38"/>
  <c r="Q321" i="38"/>
  <c r="Q322" i="38"/>
  <c r="Q323" i="38"/>
  <c r="Q324" i="38"/>
  <c r="Q325" i="38"/>
  <c r="Q326" i="38"/>
  <c r="Q327" i="38"/>
  <c r="Q328" i="38"/>
  <c r="Q329" i="38"/>
  <c r="Q330" i="38"/>
  <c r="Q331" i="38"/>
  <c r="Q332" i="38"/>
  <c r="Q333" i="38"/>
  <c r="Q334" i="38"/>
  <c r="Q335" i="38"/>
  <c r="Q336" i="38"/>
  <c r="Q337" i="38"/>
  <c r="Q338" i="38"/>
  <c r="Q339" i="38"/>
  <c r="Q340" i="38"/>
  <c r="Q341" i="38"/>
  <c r="Q342" i="38"/>
  <c r="Q343" i="38"/>
  <c r="Q344" i="38"/>
  <c r="Q345" i="38"/>
  <c r="Q346" i="38"/>
  <c r="Q347" i="38"/>
  <c r="Q348" i="38"/>
  <c r="Q349" i="38"/>
  <c r="Q350" i="38"/>
  <c r="Q351" i="38"/>
  <c r="Q352" i="38"/>
  <c r="Q353" i="38"/>
  <c r="Q354" i="38"/>
  <c r="Q355" i="38"/>
  <c r="Q356" i="38"/>
  <c r="Q357" i="38"/>
  <c r="Q358" i="38"/>
  <c r="Q359" i="38"/>
  <c r="Q360" i="38"/>
  <c r="Q361" i="38"/>
  <c r="Q362" i="38"/>
  <c r="Q363" i="38"/>
  <c r="Q364" i="38"/>
  <c r="Q365" i="38"/>
  <c r="Q366" i="38"/>
  <c r="Q367" i="38"/>
  <c r="Q368" i="38"/>
  <c r="Q369" i="38"/>
  <c r="Q370" i="38"/>
  <c r="Q371" i="38"/>
  <c r="Q372" i="38"/>
  <c r="Q373" i="38"/>
  <c r="Q374" i="38"/>
  <c r="Q375" i="38"/>
  <c r="Q376" i="38"/>
  <c r="Q377" i="38"/>
  <c r="Q378" i="38"/>
  <c r="Q379" i="38"/>
  <c r="Q380" i="38"/>
  <c r="Q381" i="38"/>
  <c r="Q382" i="38"/>
  <c r="Q383" i="38"/>
  <c r="Q384" i="38"/>
  <c r="Q385" i="38"/>
  <c r="Q386" i="38"/>
  <c r="Q387" i="38"/>
  <c r="Q388" i="38"/>
  <c r="Q389" i="38"/>
  <c r="Q390" i="38"/>
  <c r="Q391" i="38"/>
  <c r="Q392" i="38"/>
  <c r="Q393" i="38"/>
  <c r="Q394" i="38"/>
  <c r="Q395" i="38"/>
  <c r="Q396" i="38"/>
  <c r="Q397" i="38"/>
  <c r="Q398" i="38"/>
  <c r="Q399" i="38"/>
  <c r="Q400" i="38"/>
  <c r="Q401" i="38"/>
  <c r="Q402" i="38"/>
  <c r="Q403" i="38"/>
  <c r="Q404" i="38"/>
  <c r="Q405" i="38"/>
  <c r="Q406" i="38"/>
  <c r="Q407" i="38"/>
  <c r="Q408" i="38"/>
  <c r="Q409" i="38"/>
  <c r="Q410" i="38"/>
  <c r="Q411" i="38"/>
  <c r="Q412" i="38"/>
  <c r="Q413" i="38"/>
  <c r="Q414" i="38"/>
  <c r="Q415" i="38"/>
  <c r="Q416" i="38"/>
  <c r="Q417" i="38"/>
  <c r="Q418" i="38"/>
  <c r="Q419" i="38"/>
  <c r="Q420" i="38"/>
  <c r="Q421" i="38"/>
  <c r="Q422" i="38"/>
  <c r="Q423" i="38"/>
  <c r="Q424" i="38"/>
  <c r="Q425" i="38"/>
  <c r="Q426" i="38"/>
  <c r="Q427" i="38"/>
  <c r="Q428" i="38"/>
  <c r="Q429" i="38"/>
  <c r="Q430" i="38"/>
  <c r="Q431" i="38"/>
  <c r="Q432" i="38"/>
  <c r="Q433" i="38"/>
  <c r="Q434" i="38"/>
  <c r="Q435" i="38"/>
  <c r="Q436" i="38"/>
  <c r="Q437" i="38"/>
  <c r="Q438" i="38"/>
  <c r="Q439" i="38"/>
  <c r="Q440" i="38"/>
  <c r="Q441" i="38"/>
  <c r="Q442" i="38"/>
  <c r="Q443" i="38"/>
  <c r="Q444" i="38"/>
  <c r="Q445" i="38"/>
  <c r="Q446" i="38"/>
  <c r="Q447" i="38"/>
  <c r="Q448" i="38"/>
  <c r="Q449" i="38"/>
  <c r="Q450" i="38"/>
  <c r="Q451" i="38"/>
  <c r="Q452" i="38"/>
  <c r="Q453" i="38"/>
  <c r="Q454" i="38"/>
  <c r="Q455" i="38"/>
  <c r="Q456" i="38"/>
  <c r="Q457" i="38"/>
  <c r="Q458" i="38"/>
  <c r="Q459" i="38"/>
  <c r="Q460" i="38"/>
  <c r="Q461" i="38"/>
  <c r="Q462" i="38"/>
  <c r="Q463" i="38"/>
  <c r="Q464" i="38"/>
  <c r="Q465" i="38"/>
  <c r="Q466" i="38"/>
  <c r="Q467" i="38"/>
  <c r="Q468" i="38"/>
  <c r="Q469" i="38"/>
  <c r="Q470" i="38"/>
  <c r="Q471" i="38"/>
  <c r="Q472" i="38"/>
  <c r="Q473" i="38"/>
  <c r="Q474" i="38"/>
  <c r="Q475" i="38"/>
  <c r="Q476" i="38"/>
  <c r="Q477" i="38"/>
  <c r="Q478" i="38"/>
  <c r="Q479" i="38"/>
  <c r="Q480" i="38"/>
  <c r="Q481" i="38"/>
  <c r="Q482" i="38"/>
  <c r="Q483" i="38"/>
  <c r="Q484" i="38"/>
  <c r="Q485" i="38"/>
  <c r="Q486" i="38"/>
  <c r="Q487" i="38"/>
  <c r="Q488" i="38"/>
  <c r="Q489" i="38"/>
  <c r="Q490" i="38"/>
  <c r="Q491" i="38"/>
  <c r="Q492" i="38"/>
  <c r="Q493" i="38"/>
  <c r="Q494" i="38"/>
  <c r="Q495" i="38"/>
  <c r="Q496" i="38"/>
  <c r="Q497" i="38"/>
  <c r="Q498" i="38"/>
  <c r="Q499" i="38"/>
  <c r="Q500" i="38"/>
  <c r="Q501" i="38"/>
  <c r="Q502" i="38"/>
  <c r="Q503" i="38"/>
  <c r="Q504" i="38"/>
  <c r="Q505" i="38"/>
  <c r="Q506" i="38"/>
  <c r="Q507" i="38"/>
  <c r="Q508" i="38"/>
  <c r="Q509" i="38"/>
  <c r="Q510" i="38"/>
  <c r="Q511" i="38"/>
  <c r="Q512" i="38"/>
  <c r="Q513" i="38"/>
  <c r="Q514" i="38"/>
  <c r="Q515" i="38"/>
  <c r="Q516" i="38"/>
  <c r="Q517" i="38"/>
  <c r="Q518" i="38"/>
  <c r="Q519" i="38"/>
  <c r="Q520" i="38"/>
  <c r="Q521" i="38"/>
  <c r="Q522" i="38"/>
  <c r="Q523" i="38"/>
  <c r="Q524" i="38"/>
  <c r="Q525" i="38"/>
  <c r="Q526" i="38"/>
  <c r="Q527" i="38"/>
  <c r="Q528" i="38"/>
  <c r="Q529" i="38"/>
  <c r="Q530" i="38"/>
  <c r="Q531" i="38"/>
  <c r="Q532" i="38"/>
  <c r="Q533" i="38"/>
  <c r="Q534" i="38"/>
  <c r="Q535" i="38"/>
  <c r="Q536" i="38"/>
  <c r="Q537" i="38"/>
  <c r="Q538" i="38"/>
  <c r="Q539" i="38"/>
  <c r="Q540" i="38"/>
  <c r="Q541" i="38"/>
  <c r="Q542" i="38"/>
  <c r="Q543" i="38"/>
  <c r="Q544" i="38"/>
  <c r="Q545" i="38"/>
  <c r="Q546" i="38"/>
  <c r="Q547" i="38"/>
  <c r="Q548" i="38"/>
  <c r="Q549" i="38"/>
  <c r="Q550" i="38"/>
  <c r="Q551" i="38"/>
  <c r="Q552" i="38"/>
  <c r="Q553" i="38"/>
  <c r="Q554" i="38"/>
  <c r="Q555" i="38"/>
  <c r="Q556" i="38"/>
  <c r="Q557" i="38"/>
  <c r="Q558" i="38"/>
  <c r="Q559" i="38"/>
  <c r="Q560" i="38"/>
  <c r="Q561" i="38"/>
  <c r="Q562" i="38"/>
  <c r="Q563" i="38"/>
  <c r="Q564" i="38"/>
  <c r="Q565" i="38"/>
  <c r="Q566" i="38"/>
  <c r="Q567" i="38"/>
  <c r="Q568" i="38"/>
  <c r="Q569" i="38"/>
  <c r="Q570" i="38"/>
  <c r="Q571" i="38"/>
  <c r="Q572" i="38"/>
  <c r="Q573" i="38"/>
  <c r="Q574" i="38"/>
  <c r="Q575" i="38"/>
  <c r="Q576" i="38"/>
  <c r="Q577" i="38"/>
  <c r="Q578" i="38"/>
  <c r="Q579" i="38"/>
  <c r="Q580" i="38"/>
  <c r="Q581" i="38"/>
  <c r="Q582" i="38"/>
  <c r="Q583" i="38"/>
  <c r="Q584" i="38"/>
  <c r="Q585" i="38"/>
  <c r="Q586" i="38"/>
  <c r="Q587" i="38"/>
  <c r="Q588" i="38"/>
  <c r="Q589" i="38"/>
  <c r="Q590" i="38"/>
  <c r="Q591" i="38"/>
  <c r="Q592" i="38"/>
  <c r="Q593" i="38"/>
  <c r="Q594" i="38"/>
  <c r="Q595" i="38"/>
  <c r="Q596" i="38"/>
  <c r="Q597" i="38"/>
  <c r="Q598" i="38"/>
  <c r="Q599" i="38"/>
  <c r="Q600" i="38"/>
  <c r="Q601" i="38"/>
  <c r="Q602" i="38"/>
  <c r="Q603" i="38"/>
  <c r="Q604" i="38"/>
  <c r="Q605" i="38"/>
  <c r="Q606" i="38"/>
  <c r="Q607" i="38"/>
  <c r="Q608" i="38"/>
  <c r="Q609" i="38"/>
  <c r="Q610" i="38"/>
  <c r="Q611" i="38"/>
  <c r="Q612" i="38"/>
  <c r="Q613" i="38"/>
  <c r="Q614" i="38"/>
  <c r="Q615" i="38"/>
  <c r="Q616" i="38"/>
  <c r="Q617" i="38"/>
  <c r="Q618" i="38"/>
  <c r="Q619" i="38"/>
  <c r="Q620" i="38"/>
  <c r="Q621" i="38"/>
  <c r="Q622" i="38"/>
  <c r="Q623" i="38"/>
  <c r="Q624" i="38"/>
  <c r="Q625" i="38"/>
  <c r="Q626" i="38"/>
  <c r="Q627" i="38"/>
  <c r="Q628" i="38"/>
  <c r="Q629" i="38"/>
  <c r="Q630" i="38"/>
  <c r="Q631" i="38"/>
  <c r="Q632" i="38"/>
  <c r="Q633" i="38"/>
  <c r="Q634" i="38"/>
  <c r="Q635" i="38"/>
  <c r="Q636" i="38"/>
  <c r="Q637" i="38"/>
  <c r="Q638" i="38"/>
  <c r="Q639" i="38"/>
  <c r="Q640" i="38"/>
  <c r="Q641" i="38"/>
  <c r="Q642" i="38"/>
  <c r="Q643" i="38"/>
  <c r="Q644" i="38"/>
  <c r="Q645" i="38"/>
  <c r="Q646" i="38"/>
  <c r="Q647" i="38"/>
  <c r="Q648" i="38"/>
  <c r="Q649" i="38"/>
  <c r="Q650" i="38"/>
  <c r="Q651" i="38"/>
  <c r="Q652" i="38"/>
  <c r="Q653" i="38"/>
  <c r="Q654" i="38"/>
  <c r="Q655" i="38"/>
  <c r="Q656" i="38"/>
  <c r="Q657" i="38"/>
  <c r="Q658" i="38"/>
  <c r="Q659" i="38"/>
  <c r="Q660" i="38"/>
  <c r="Q661" i="38"/>
  <c r="Q662" i="38"/>
  <c r="Q663" i="38"/>
  <c r="Q664" i="38"/>
  <c r="Q665" i="38"/>
  <c r="Q666" i="38"/>
  <c r="Q667" i="38"/>
  <c r="Q668" i="38"/>
  <c r="Q669" i="38"/>
  <c r="Q670" i="38"/>
  <c r="Q671" i="38"/>
  <c r="Q672" i="38"/>
  <c r="Q673" i="38"/>
  <c r="Q674" i="38"/>
  <c r="Q675" i="38"/>
  <c r="Q676" i="38"/>
  <c r="Q677" i="38"/>
  <c r="Q678" i="38"/>
  <c r="Q679" i="38"/>
  <c r="Q680" i="38"/>
  <c r="Q681" i="38"/>
  <c r="Q682" i="38"/>
  <c r="Q683" i="38"/>
  <c r="Q684" i="38"/>
  <c r="Q685" i="38"/>
  <c r="Q686" i="38"/>
  <c r="Q687" i="38"/>
  <c r="Q688" i="38"/>
  <c r="Q689" i="38"/>
  <c r="Q690" i="38"/>
  <c r="Q691" i="38"/>
  <c r="Q692" i="38"/>
  <c r="Q693" i="38"/>
  <c r="Q694" i="38"/>
  <c r="Q695" i="38"/>
  <c r="Q696" i="38"/>
  <c r="Q697" i="38"/>
  <c r="Q698" i="38"/>
  <c r="Q699" i="38"/>
  <c r="Q700" i="38"/>
  <c r="Q701" i="38"/>
  <c r="Q702" i="38"/>
  <c r="Q703" i="38"/>
  <c r="Q704" i="38"/>
  <c r="Q705" i="38"/>
  <c r="Q706" i="38"/>
  <c r="Q707" i="38"/>
  <c r="Q708" i="38"/>
  <c r="Q709" i="38"/>
  <c r="Q710" i="38"/>
  <c r="Q711" i="38"/>
  <c r="Q712" i="38"/>
  <c r="Q713" i="38"/>
  <c r="Q714" i="38"/>
  <c r="Q715" i="38"/>
  <c r="Q716" i="38"/>
  <c r="Q717" i="38"/>
  <c r="Q718" i="38"/>
  <c r="Q719" i="38"/>
  <c r="Q720" i="38"/>
  <c r="Q721" i="38"/>
  <c r="Q722" i="38"/>
  <c r="Q723" i="38"/>
  <c r="Q724" i="38"/>
  <c r="Q725" i="38"/>
  <c r="Q726" i="38"/>
  <c r="Q727" i="38"/>
  <c r="Q728" i="38"/>
  <c r="Q729" i="38"/>
  <c r="Q730" i="38"/>
  <c r="Q731" i="38"/>
  <c r="Q732" i="38"/>
  <c r="Q733" i="38"/>
  <c r="Q734" i="38"/>
  <c r="Q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43" i="38"/>
  <c r="K144" i="38"/>
  <c r="K145" i="38"/>
  <c r="K146" i="38"/>
  <c r="K147" i="38"/>
  <c r="K148" i="38"/>
  <c r="K149" i="38"/>
  <c r="K150" i="38"/>
  <c r="K151" i="38"/>
  <c r="K152" i="38"/>
  <c r="K153" i="38"/>
  <c r="K154" i="38"/>
  <c r="K155" i="38"/>
  <c r="K156" i="38"/>
  <c r="K157" i="38"/>
  <c r="K158" i="38"/>
  <c r="K159" i="38"/>
  <c r="K160" i="38"/>
  <c r="K161" i="38"/>
  <c r="K162" i="38"/>
  <c r="K163" i="38"/>
  <c r="K164" i="38"/>
  <c r="K165" i="38"/>
  <c r="K166" i="38"/>
  <c r="K167" i="38"/>
  <c r="K168" i="38"/>
  <c r="K169" i="38"/>
  <c r="K170" i="38"/>
  <c r="K171" i="38"/>
  <c r="K172" i="38"/>
  <c r="K173" i="38"/>
  <c r="K174" i="38"/>
  <c r="K175" i="38"/>
  <c r="K176" i="38"/>
  <c r="K177" i="38"/>
  <c r="K178" i="38"/>
  <c r="K179" i="38"/>
  <c r="K180" i="38"/>
  <c r="K181" i="38"/>
  <c r="K182" i="38"/>
  <c r="K183" i="38"/>
  <c r="K184" i="38"/>
  <c r="K185" i="38"/>
  <c r="K186" i="38"/>
  <c r="K187" i="38"/>
  <c r="K188" i="38"/>
  <c r="K189" i="38"/>
  <c r="K190" i="38"/>
  <c r="K191" i="38"/>
  <c r="K192" i="38"/>
  <c r="K193" i="38"/>
  <c r="K194" i="38"/>
  <c r="K195" i="38"/>
  <c r="K196" i="38"/>
  <c r="K197" i="38"/>
  <c r="K198" i="38"/>
  <c r="K199" i="38"/>
  <c r="K200" i="38"/>
  <c r="K201" i="38"/>
  <c r="K202" i="38"/>
  <c r="K203" i="38"/>
  <c r="K204" i="38"/>
  <c r="K205" i="38"/>
  <c r="K206" i="38"/>
  <c r="K207" i="38"/>
  <c r="K208" i="38"/>
  <c r="K209" i="38"/>
  <c r="K210" i="38"/>
  <c r="K211" i="38"/>
  <c r="K212" i="38"/>
  <c r="K213" i="38"/>
  <c r="K214" i="38"/>
  <c r="K215" i="38"/>
  <c r="K216" i="38"/>
  <c r="K217" i="38"/>
  <c r="K218" i="38"/>
  <c r="K219" i="38"/>
  <c r="K220" i="38"/>
  <c r="K221" i="38"/>
  <c r="K222" i="38"/>
  <c r="K223" i="38"/>
  <c r="K224" i="38"/>
  <c r="K225" i="38"/>
  <c r="K226" i="38"/>
  <c r="K227" i="38"/>
  <c r="K228" i="38"/>
  <c r="K229" i="38"/>
  <c r="K230" i="38"/>
  <c r="K231" i="38"/>
  <c r="K232" i="38"/>
  <c r="K233" i="38"/>
  <c r="K234" i="38"/>
  <c r="K235" i="38"/>
  <c r="K236" i="38"/>
  <c r="K237" i="38"/>
  <c r="K238" i="38"/>
  <c r="K239" i="38"/>
  <c r="K240" i="38"/>
  <c r="K241" i="38"/>
  <c r="K242" i="38"/>
  <c r="K243" i="38"/>
  <c r="K244" i="38"/>
  <c r="K245" i="38"/>
  <c r="K246" i="38"/>
  <c r="K247" i="38"/>
  <c r="K248" i="38"/>
  <c r="K249" i="38"/>
  <c r="K250" i="38"/>
  <c r="K251" i="38"/>
  <c r="K252" i="38"/>
  <c r="K253" i="38"/>
  <c r="K254" i="38"/>
  <c r="K255" i="38"/>
  <c r="K256" i="38"/>
  <c r="K257" i="38"/>
  <c r="K258" i="38"/>
  <c r="K259" i="38"/>
  <c r="K260" i="38"/>
  <c r="K261" i="38"/>
  <c r="K262" i="38"/>
  <c r="K263" i="38"/>
  <c r="K264" i="38"/>
  <c r="K265" i="38"/>
  <c r="K266" i="38"/>
  <c r="K267" i="38"/>
  <c r="K268" i="38"/>
  <c r="K269" i="38"/>
  <c r="K270" i="38"/>
  <c r="K271" i="38"/>
  <c r="K272" i="38"/>
  <c r="K273" i="38"/>
  <c r="K274" i="38"/>
  <c r="K275" i="38"/>
  <c r="K276" i="38"/>
  <c r="K277" i="38"/>
  <c r="K278" i="38"/>
  <c r="K279" i="38"/>
  <c r="K280" i="38"/>
  <c r="K281" i="38"/>
  <c r="K282" i="38"/>
  <c r="K283" i="38"/>
  <c r="K284" i="38"/>
  <c r="K285" i="38"/>
  <c r="K286" i="38"/>
  <c r="K287" i="38"/>
  <c r="K288" i="38"/>
  <c r="K289" i="38"/>
  <c r="K290" i="38"/>
  <c r="K291" i="38"/>
  <c r="K292" i="38"/>
  <c r="K293" i="38"/>
  <c r="K294" i="38"/>
  <c r="K295" i="38"/>
  <c r="K296" i="38"/>
  <c r="K297" i="38"/>
  <c r="K298" i="38"/>
  <c r="K299" i="38"/>
  <c r="K300" i="38"/>
  <c r="K301" i="38"/>
  <c r="K302" i="38"/>
  <c r="K303" i="38"/>
  <c r="K304" i="38"/>
  <c r="K305" i="38"/>
  <c r="K306" i="38"/>
  <c r="K307" i="38"/>
  <c r="K308" i="38"/>
  <c r="K309" i="38"/>
  <c r="K310" i="38"/>
  <c r="K311" i="38"/>
  <c r="K312" i="38"/>
  <c r="K313" i="38"/>
  <c r="K314" i="38"/>
  <c r="K315" i="38"/>
  <c r="K316" i="38"/>
  <c r="K317" i="38"/>
  <c r="K318" i="38"/>
  <c r="K319" i="38"/>
  <c r="K320" i="38"/>
  <c r="K321" i="38"/>
  <c r="K322" i="38"/>
  <c r="K323" i="38"/>
  <c r="K324" i="38"/>
  <c r="K325" i="38"/>
  <c r="K326" i="38"/>
  <c r="K327" i="38"/>
  <c r="K328" i="38"/>
  <c r="K329" i="38"/>
  <c r="K330" i="38"/>
  <c r="K331" i="38"/>
  <c r="K332" i="38"/>
  <c r="K333" i="38"/>
  <c r="K334" i="38"/>
  <c r="K335" i="38"/>
  <c r="K336" i="38"/>
  <c r="K337" i="38"/>
  <c r="K338" i="38"/>
  <c r="K339" i="38"/>
  <c r="K340" i="38"/>
  <c r="K341" i="38"/>
  <c r="K342" i="38"/>
  <c r="K343" i="38"/>
  <c r="K344" i="38"/>
  <c r="K345" i="38"/>
  <c r="K346" i="38"/>
  <c r="K347" i="38"/>
  <c r="K348" i="38"/>
  <c r="K349" i="38"/>
  <c r="K350" i="38"/>
  <c r="K351" i="38"/>
  <c r="K352" i="38"/>
  <c r="K353" i="38"/>
  <c r="K354" i="38"/>
  <c r="K355" i="38"/>
  <c r="K356" i="38"/>
  <c r="K357" i="38"/>
  <c r="K358" i="38"/>
  <c r="K359" i="38"/>
  <c r="K360" i="38"/>
  <c r="K361" i="38"/>
  <c r="K362" i="38"/>
  <c r="K363" i="38"/>
  <c r="K364" i="38"/>
  <c r="K365" i="38"/>
  <c r="K366" i="38"/>
  <c r="K367" i="38"/>
  <c r="K368" i="38"/>
  <c r="K369" i="38"/>
  <c r="K370" i="38"/>
  <c r="K371" i="38"/>
  <c r="K372" i="38"/>
  <c r="K373" i="38"/>
  <c r="K374" i="38"/>
  <c r="K375" i="38"/>
  <c r="K376" i="38"/>
  <c r="K377" i="38"/>
  <c r="K378" i="38"/>
  <c r="K379" i="38"/>
  <c r="K380" i="38"/>
  <c r="K381" i="38"/>
  <c r="K382" i="38"/>
  <c r="K383" i="38"/>
  <c r="K384" i="38"/>
  <c r="K385" i="38"/>
  <c r="K386" i="38"/>
  <c r="K387" i="38"/>
  <c r="K388" i="38"/>
  <c r="K389" i="38"/>
  <c r="K390" i="38"/>
  <c r="K391" i="38"/>
  <c r="K392" i="38"/>
  <c r="K393" i="38"/>
  <c r="K394" i="38"/>
  <c r="K395" i="38"/>
  <c r="K396" i="38"/>
  <c r="K397" i="38"/>
  <c r="K398" i="38"/>
  <c r="K399" i="38"/>
  <c r="K400" i="38"/>
  <c r="K401" i="38"/>
  <c r="K402" i="38"/>
  <c r="K403" i="38"/>
  <c r="K404" i="38"/>
  <c r="K405" i="38"/>
  <c r="K406" i="38"/>
  <c r="K407" i="38"/>
  <c r="K408" i="38"/>
  <c r="K409" i="38"/>
  <c r="K410" i="38"/>
  <c r="K411" i="38"/>
  <c r="K412" i="38"/>
  <c r="K413" i="38"/>
  <c r="K414" i="38"/>
  <c r="K415" i="38"/>
  <c r="K416" i="38"/>
  <c r="K417" i="38"/>
  <c r="K418" i="38"/>
  <c r="K419" i="38"/>
  <c r="K420" i="38"/>
  <c r="K421" i="38"/>
  <c r="K422" i="38"/>
  <c r="K423" i="38"/>
  <c r="K424" i="38"/>
  <c r="K425" i="38"/>
  <c r="K426" i="38"/>
  <c r="K427" i="38"/>
  <c r="K428" i="38"/>
  <c r="K429" i="38"/>
  <c r="K430" i="38"/>
  <c r="K431" i="38"/>
  <c r="K432" i="38"/>
  <c r="K433" i="38"/>
  <c r="K434" i="38"/>
  <c r="K435" i="38"/>
  <c r="K436" i="38"/>
  <c r="K437" i="38"/>
  <c r="K438" i="38"/>
  <c r="K439" i="38"/>
  <c r="K440" i="38"/>
  <c r="K441" i="38"/>
  <c r="K442" i="38"/>
  <c r="K443" i="38"/>
  <c r="K444" i="38"/>
  <c r="K445" i="38"/>
  <c r="K446" i="38"/>
  <c r="K447" i="38"/>
  <c r="K448" i="38"/>
  <c r="K449" i="38"/>
  <c r="K450" i="38"/>
  <c r="K451" i="38"/>
  <c r="K452" i="38"/>
  <c r="K453" i="38"/>
  <c r="K454" i="38"/>
  <c r="K455" i="38"/>
  <c r="K456" i="38"/>
  <c r="K457" i="38"/>
  <c r="K458" i="38"/>
  <c r="K459" i="38"/>
  <c r="K460" i="38"/>
  <c r="K461" i="38"/>
  <c r="K462" i="38"/>
  <c r="K463" i="38"/>
  <c r="K464" i="38"/>
  <c r="K465" i="38"/>
  <c r="K466" i="38"/>
  <c r="K467" i="38"/>
  <c r="K468" i="38"/>
  <c r="K469" i="38"/>
  <c r="K470" i="38"/>
  <c r="K471" i="38"/>
  <c r="K472" i="38"/>
  <c r="K473" i="38"/>
  <c r="K474" i="38"/>
  <c r="K475" i="38"/>
  <c r="K476" i="38"/>
  <c r="K477" i="38"/>
  <c r="K478" i="38"/>
  <c r="K479" i="38"/>
  <c r="K480" i="38"/>
  <c r="K481" i="38"/>
  <c r="K482" i="38"/>
  <c r="K483" i="38"/>
  <c r="K484" i="38"/>
  <c r="K485" i="38"/>
  <c r="K486" i="38"/>
  <c r="K487" i="38"/>
  <c r="K488" i="38"/>
  <c r="K489" i="38"/>
  <c r="K490" i="38"/>
  <c r="K491" i="38"/>
  <c r="K492" i="38"/>
  <c r="K493" i="38"/>
  <c r="K494" i="38"/>
  <c r="K495" i="38"/>
  <c r="K496" i="38"/>
  <c r="K497" i="38"/>
  <c r="K498" i="38"/>
  <c r="K499" i="38"/>
  <c r="K500" i="38"/>
  <c r="K501" i="38"/>
  <c r="K502" i="38"/>
  <c r="K503" i="38"/>
  <c r="K504" i="38"/>
  <c r="K505" i="38"/>
  <c r="K506" i="38"/>
  <c r="K507" i="38"/>
  <c r="K508" i="38"/>
  <c r="K509" i="38"/>
  <c r="K510" i="38"/>
  <c r="K511" i="38"/>
  <c r="K512" i="38"/>
  <c r="K513" i="38"/>
  <c r="K514" i="38"/>
  <c r="K515" i="38"/>
  <c r="K516" i="38"/>
  <c r="K517" i="38"/>
  <c r="K518" i="38"/>
  <c r="K519" i="38"/>
  <c r="K520" i="38"/>
  <c r="K521" i="38"/>
  <c r="K522" i="38"/>
  <c r="K523" i="38"/>
  <c r="K524" i="38"/>
  <c r="K525" i="38"/>
  <c r="K526" i="38"/>
  <c r="K527" i="38"/>
  <c r="K528" i="38"/>
  <c r="K529" i="38"/>
  <c r="K530" i="38"/>
  <c r="K531" i="38"/>
  <c r="K532" i="38"/>
  <c r="K533" i="38"/>
  <c r="K534" i="38"/>
  <c r="K535" i="38"/>
  <c r="K536" i="38"/>
  <c r="K537" i="38"/>
  <c r="K538" i="38"/>
  <c r="K539" i="38"/>
  <c r="K540" i="38"/>
  <c r="K541" i="38"/>
  <c r="K542" i="38"/>
  <c r="K543" i="38"/>
  <c r="K544" i="38"/>
  <c r="K545" i="38"/>
  <c r="K546" i="38"/>
  <c r="K547" i="38"/>
  <c r="K548" i="38"/>
  <c r="K549" i="38"/>
  <c r="K550" i="38"/>
  <c r="K551" i="38"/>
  <c r="K552" i="38"/>
  <c r="K553" i="38"/>
  <c r="K554" i="38"/>
  <c r="K555" i="38"/>
  <c r="K556" i="38"/>
  <c r="K557" i="38"/>
  <c r="K558" i="38"/>
  <c r="K559" i="38"/>
  <c r="K560" i="38"/>
  <c r="K561" i="38"/>
  <c r="K562" i="38"/>
  <c r="K563" i="38"/>
  <c r="K564" i="38"/>
  <c r="K565" i="38"/>
  <c r="K566" i="38"/>
  <c r="K567" i="38"/>
  <c r="K568" i="38"/>
  <c r="K569" i="38"/>
  <c r="K570" i="38"/>
  <c r="K571" i="38"/>
  <c r="K572" i="38"/>
  <c r="K573" i="38"/>
  <c r="K574" i="38"/>
  <c r="K575" i="38"/>
  <c r="K576" i="38"/>
  <c r="K577" i="38"/>
  <c r="K578" i="38"/>
  <c r="K579" i="38"/>
  <c r="K580" i="38"/>
  <c r="K581" i="38"/>
  <c r="K582" i="38"/>
  <c r="K583" i="38"/>
  <c r="K584" i="38"/>
  <c r="K585" i="38"/>
  <c r="K586" i="38"/>
  <c r="K587" i="38"/>
  <c r="K588" i="38"/>
  <c r="K589" i="38"/>
  <c r="K590" i="38"/>
  <c r="K591" i="38"/>
  <c r="K592" i="38"/>
  <c r="K593" i="38"/>
  <c r="K594" i="38"/>
  <c r="K595" i="38"/>
  <c r="K596" i="38"/>
  <c r="K597" i="38"/>
  <c r="K598" i="38"/>
  <c r="K599" i="38"/>
  <c r="K600" i="38"/>
  <c r="K601" i="38"/>
  <c r="K602" i="38"/>
  <c r="K603" i="38"/>
  <c r="K604" i="38"/>
  <c r="K605" i="38"/>
  <c r="K606" i="38"/>
  <c r="K607" i="38"/>
  <c r="K608" i="38"/>
  <c r="K609" i="38"/>
  <c r="K610" i="38"/>
  <c r="K611" i="38"/>
  <c r="K612" i="38"/>
  <c r="K613" i="38"/>
  <c r="K614" i="38"/>
  <c r="K615" i="38"/>
  <c r="K616" i="38"/>
  <c r="K617" i="38"/>
  <c r="K618" i="38"/>
  <c r="K619" i="38"/>
  <c r="K620" i="38"/>
  <c r="K621" i="38"/>
  <c r="K622" i="38"/>
  <c r="K623" i="38"/>
  <c r="K624" i="38"/>
  <c r="K625" i="38"/>
  <c r="K626" i="38"/>
  <c r="K627" i="38"/>
  <c r="K628" i="38"/>
  <c r="K629" i="38"/>
  <c r="K630" i="38"/>
  <c r="K631" i="38"/>
  <c r="K632" i="38"/>
  <c r="K633" i="38"/>
  <c r="K634" i="38"/>
  <c r="K635" i="38"/>
  <c r="K636" i="38"/>
  <c r="K637" i="38"/>
  <c r="K638" i="38"/>
  <c r="K639" i="38"/>
  <c r="K640" i="38"/>
  <c r="K641" i="38"/>
  <c r="K642" i="38"/>
  <c r="K643" i="38"/>
  <c r="K644" i="38"/>
  <c r="K645" i="38"/>
  <c r="K646" i="38"/>
  <c r="K647" i="38"/>
  <c r="K648" i="38"/>
  <c r="K649" i="38"/>
  <c r="K650" i="38"/>
  <c r="K651" i="38"/>
  <c r="K652" i="38"/>
  <c r="K653" i="38"/>
  <c r="K654" i="38"/>
  <c r="K655" i="38"/>
  <c r="K656" i="38"/>
  <c r="K657" i="38"/>
  <c r="K658" i="38"/>
  <c r="K659" i="38"/>
  <c r="K660" i="38"/>
  <c r="K661" i="38"/>
  <c r="K662" i="38"/>
  <c r="K663" i="38"/>
  <c r="K664" i="38"/>
  <c r="K665" i="38"/>
  <c r="K666" i="38"/>
  <c r="K667" i="38"/>
  <c r="K668" i="38"/>
  <c r="K669" i="38"/>
  <c r="K670" i="38"/>
  <c r="K671" i="38"/>
  <c r="K672" i="38"/>
  <c r="K673" i="38"/>
  <c r="K674" i="38"/>
  <c r="K675" i="38"/>
  <c r="K676" i="38"/>
  <c r="K677" i="38"/>
  <c r="K678" i="38"/>
  <c r="K679" i="38"/>
  <c r="K680" i="38"/>
  <c r="K681" i="38"/>
  <c r="K682" i="38"/>
  <c r="K683" i="38"/>
  <c r="K684" i="38"/>
  <c r="K685" i="38"/>
  <c r="K686" i="38"/>
  <c r="K687" i="38"/>
  <c r="K688" i="38"/>
  <c r="K689" i="38"/>
  <c r="K690" i="38"/>
  <c r="K691" i="38"/>
  <c r="K692" i="38"/>
  <c r="K693" i="38"/>
  <c r="K694" i="38"/>
  <c r="K695" i="38"/>
  <c r="K696" i="38"/>
  <c r="K697" i="38"/>
  <c r="K698" i="38"/>
  <c r="K699" i="38"/>
  <c r="K700" i="38"/>
  <c r="K701" i="38"/>
  <c r="K702" i="38"/>
  <c r="K703" i="38"/>
  <c r="K704" i="38"/>
  <c r="K705" i="38"/>
  <c r="K706" i="38"/>
  <c r="K707" i="38"/>
  <c r="K708" i="38"/>
  <c r="K709" i="38"/>
  <c r="K710" i="38"/>
  <c r="K711" i="38"/>
  <c r="K712" i="38"/>
  <c r="K713" i="38"/>
  <c r="K714" i="38"/>
  <c r="K715" i="38"/>
  <c r="K716" i="38"/>
  <c r="K717" i="38"/>
  <c r="K718" i="38"/>
  <c r="K719" i="38"/>
  <c r="K720" i="38"/>
  <c r="K721" i="38"/>
  <c r="K722" i="38"/>
  <c r="K723" i="38"/>
  <c r="K724" i="38"/>
  <c r="K725" i="38"/>
  <c r="K726" i="38"/>
  <c r="K727" i="38"/>
  <c r="K728" i="38"/>
  <c r="K729" i="38"/>
  <c r="K730" i="38"/>
  <c r="K731" i="38"/>
  <c r="K732" i="38"/>
  <c r="K733" i="38"/>
  <c r="K734" i="38"/>
  <c r="K14" i="38"/>
  <c r="J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43" i="38"/>
  <c r="I144" i="38"/>
  <c r="I145" i="38"/>
  <c r="I146" i="38"/>
  <c r="I147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71" i="38"/>
  <c r="I172" i="38"/>
  <c r="I173" i="38"/>
  <c r="I174" i="38"/>
  <c r="I175" i="38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95" i="38"/>
  <c r="I196" i="38"/>
  <c r="I197" i="38"/>
  <c r="I198" i="38"/>
  <c r="I199" i="38"/>
  <c r="I200" i="38"/>
  <c r="I201" i="38"/>
  <c r="I202" i="38"/>
  <c r="I203" i="38"/>
  <c r="I204" i="38"/>
  <c r="I205" i="38"/>
  <c r="I206" i="38"/>
  <c r="I207" i="38"/>
  <c r="I208" i="38"/>
  <c r="I209" i="38"/>
  <c r="I210" i="38"/>
  <c r="I211" i="38"/>
  <c r="I212" i="38"/>
  <c r="I213" i="38"/>
  <c r="I214" i="38"/>
  <c r="I215" i="38"/>
  <c r="I216" i="38"/>
  <c r="I217" i="38"/>
  <c r="I218" i="38"/>
  <c r="I219" i="38"/>
  <c r="I220" i="38"/>
  <c r="I221" i="38"/>
  <c r="I222" i="38"/>
  <c r="I223" i="38"/>
  <c r="I224" i="38"/>
  <c r="I225" i="38"/>
  <c r="I226" i="38"/>
  <c r="I227" i="38"/>
  <c r="I228" i="38"/>
  <c r="I229" i="38"/>
  <c r="I230" i="38"/>
  <c r="I231" i="38"/>
  <c r="I232" i="38"/>
  <c r="I233" i="38"/>
  <c r="I234" i="38"/>
  <c r="I235" i="38"/>
  <c r="I236" i="38"/>
  <c r="I237" i="38"/>
  <c r="I238" i="38"/>
  <c r="I239" i="38"/>
  <c r="I240" i="38"/>
  <c r="I241" i="38"/>
  <c r="I242" i="38"/>
  <c r="I243" i="38"/>
  <c r="I244" i="38"/>
  <c r="I245" i="38"/>
  <c r="I246" i="38"/>
  <c r="I247" i="38"/>
  <c r="I248" i="38"/>
  <c r="I249" i="38"/>
  <c r="I250" i="38"/>
  <c r="I251" i="38"/>
  <c r="I252" i="38"/>
  <c r="I253" i="38"/>
  <c r="I254" i="38"/>
  <c r="I255" i="38"/>
  <c r="I256" i="38"/>
  <c r="I257" i="38"/>
  <c r="I258" i="38"/>
  <c r="I259" i="38"/>
  <c r="I260" i="38"/>
  <c r="I261" i="38"/>
  <c r="I262" i="38"/>
  <c r="I263" i="38"/>
  <c r="I264" i="38"/>
  <c r="I265" i="38"/>
  <c r="I266" i="38"/>
  <c r="I267" i="38"/>
  <c r="I268" i="38"/>
  <c r="I269" i="38"/>
  <c r="I270" i="38"/>
  <c r="I271" i="38"/>
  <c r="I272" i="38"/>
  <c r="I273" i="38"/>
  <c r="I274" i="38"/>
  <c r="I275" i="38"/>
  <c r="I276" i="38"/>
  <c r="I277" i="38"/>
  <c r="I278" i="38"/>
  <c r="I279" i="38"/>
  <c r="I280" i="38"/>
  <c r="I281" i="38"/>
  <c r="I282" i="38"/>
  <c r="I283" i="38"/>
  <c r="I284" i="38"/>
  <c r="I285" i="38"/>
  <c r="I286" i="38"/>
  <c r="I287" i="38"/>
  <c r="I288" i="38"/>
  <c r="I289" i="38"/>
  <c r="I290" i="38"/>
  <c r="I291" i="38"/>
  <c r="I292" i="38"/>
  <c r="I293" i="38"/>
  <c r="I294" i="38"/>
  <c r="I295" i="38"/>
  <c r="I296" i="38"/>
  <c r="I297" i="38"/>
  <c r="I298" i="38"/>
  <c r="I299" i="38"/>
  <c r="I300" i="38"/>
  <c r="I301" i="38"/>
  <c r="I302" i="38"/>
  <c r="I303" i="38"/>
  <c r="I304" i="38"/>
  <c r="I305" i="38"/>
  <c r="I306" i="38"/>
  <c r="I307" i="38"/>
  <c r="I308" i="38"/>
  <c r="I309" i="38"/>
  <c r="I310" i="38"/>
  <c r="I311" i="38"/>
  <c r="I312" i="38"/>
  <c r="I313" i="38"/>
  <c r="I314" i="38"/>
  <c r="I315" i="38"/>
  <c r="I316" i="38"/>
  <c r="I317" i="38"/>
  <c r="I318" i="38"/>
  <c r="I319" i="38"/>
  <c r="I320" i="38"/>
  <c r="I321" i="38"/>
  <c r="I322" i="38"/>
  <c r="I323" i="38"/>
  <c r="I324" i="38"/>
  <c r="I325" i="38"/>
  <c r="I326" i="38"/>
  <c r="I327" i="38"/>
  <c r="I328" i="38"/>
  <c r="I329" i="38"/>
  <c r="I330" i="38"/>
  <c r="I331" i="38"/>
  <c r="I332" i="38"/>
  <c r="I333" i="38"/>
  <c r="I334" i="38"/>
  <c r="I335" i="38"/>
  <c r="I336" i="38"/>
  <c r="I337" i="38"/>
  <c r="I338" i="38"/>
  <c r="I339" i="38"/>
  <c r="I340" i="38"/>
  <c r="I341" i="38"/>
  <c r="I342" i="38"/>
  <c r="I343" i="38"/>
  <c r="I344" i="38"/>
  <c r="I345" i="38"/>
  <c r="I346" i="38"/>
  <c r="I347" i="38"/>
  <c r="I348" i="38"/>
  <c r="I349" i="38"/>
  <c r="I350" i="38"/>
  <c r="I351" i="38"/>
  <c r="I352" i="38"/>
  <c r="I353" i="38"/>
  <c r="I354" i="38"/>
  <c r="I355" i="38"/>
  <c r="I356" i="38"/>
  <c r="I357" i="38"/>
  <c r="I358" i="38"/>
  <c r="I359" i="38"/>
  <c r="I360" i="38"/>
  <c r="I361" i="38"/>
  <c r="I362" i="38"/>
  <c r="I363" i="38"/>
  <c r="I364" i="38"/>
  <c r="I365" i="38"/>
  <c r="I366" i="38"/>
  <c r="I367" i="38"/>
  <c r="I368" i="38"/>
  <c r="I369" i="38"/>
  <c r="I370" i="38"/>
  <c r="I371" i="38"/>
  <c r="I372" i="38"/>
  <c r="I373" i="38"/>
  <c r="I374" i="38"/>
  <c r="I375" i="38"/>
  <c r="I376" i="38"/>
  <c r="I377" i="38"/>
  <c r="I378" i="38"/>
  <c r="I379" i="38"/>
  <c r="I380" i="38"/>
  <c r="I381" i="38"/>
  <c r="I382" i="38"/>
  <c r="I383" i="38"/>
  <c r="I384" i="38"/>
  <c r="I385" i="38"/>
  <c r="I386" i="38"/>
  <c r="I387" i="38"/>
  <c r="I388" i="38"/>
  <c r="I389" i="38"/>
  <c r="I390" i="38"/>
  <c r="I391" i="38"/>
  <c r="I392" i="38"/>
  <c r="I393" i="38"/>
  <c r="I394" i="38"/>
  <c r="I395" i="38"/>
  <c r="I396" i="38"/>
  <c r="I397" i="38"/>
  <c r="I398" i="38"/>
  <c r="I399" i="38"/>
  <c r="I400" i="38"/>
  <c r="I401" i="38"/>
  <c r="I402" i="38"/>
  <c r="I403" i="38"/>
  <c r="I404" i="38"/>
  <c r="I405" i="38"/>
  <c r="I406" i="38"/>
  <c r="I407" i="38"/>
  <c r="I408" i="38"/>
  <c r="I409" i="38"/>
  <c r="I410" i="38"/>
  <c r="I411" i="38"/>
  <c r="I412" i="38"/>
  <c r="I413" i="38"/>
  <c r="I414" i="38"/>
  <c r="I415" i="38"/>
  <c r="I416" i="38"/>
  <c r="I417" i="38"/>
  <c r="I418" i="38"/>
  <c r="I419" i="38"/>
  <c r="I420" i="38"/>
  <c r="I421" i="38"/>
  <c r="I422" i="38"/>
  <c r="I423" i="38"/>
  <c r="I424" i="38"/>
  <c r="I425" i="38"/>
  <c r="I426" i="38"/>
  <c r="I427" i="38"/>
  <c r="I428" i="38"/>
  <c r="I429" i="38"/>
  <c r="I430" i="38"/>
  <c r="I431" i="38"/>
  <c r="I432" i="38"/>
  <c r="I433" i="38"/>
  <c r="I434" i="38"/>
  <c r="I435" i="38"/>
  <c r="I436" i="38"/>
  <c r="I437" i="38"/>
  <c r="I438" i="38"/>
  <c r="I439" i="38"/>
  <c r="I440" i="38"/>
  <c r="I441" i="38"/>
  <c r="I442" i="38"/>
  <c r="I443" i="38"/>
  <c r="I444" i="38"/>
  <c r="I445" i="38"/>
  <c r="I446" i="38"/>
  <c r="I447" i="38"/>
  <c r="I448" i="38"/>
  <c r="I449" i="38"/>
  <c r="I450" i="38"/>
  <c r="I451" i="38"/>
  <c r="I452" i="38"/>
  <c r="I453" i="38"/>
  <c r="I454" i="38"/>
  <c r="I455" i="38"/>
  <c r="I456" i="38"/>
  <c r="I457" i="38"/>
  <c r="I458" i="38"/>
  <c r="I459" i="38"/>
  <c r="I460" i="38"/>
  <c r="I461" i="38"/>
  <c r="I462" i="38"/>
  <c r="I463" i="38"/>
  <c r="I464" i="38"/>
  <c r="I465" i="38"/>
  <c r="I466" i="38"/>
  <c r="I467" i="38"/>
  <c r="I468" i="38"/>
  <c r="I469" i="38"/>
  <c r="I470" i="38"/>
  <c r="I471" i="38"/>
  <c r="I472" i="38"/>
  <c r="I473" i="38"/>
  <c r="I474" i="38"/>
  <c r="I475" i="38"/>
  <c r="I476" i="38"/>
  <c r="I477" i="38"/>
  <c r="I478" i="38"/>
  <c r="I479" i="38"/>
  <c r="I480" i="38"/>
  <c r="I481" i="38"/>
  <c r="I482" i="38"/>
  <c r="I483" i="38"/>
  <c r="I484" i="38"/>
  <c r="I485" i="38"/>
  <c r="I486" i="38"/>
  <c r="I487" i="38"/>
  <c r="I488" i="38"/>
  <c r="I489" i="38"/>
  <c r="I490" i="38"/>
  <c r="I491" i="38"/>
  <c r="I492" i="38"/>
  <c r="I493" i="38"/>
  <c r="I494" i="38"/>
  <c r="I495" i="38"/>
  <c r="I496" i="38"/>
  <c r="I497" i="38"/>
  <c r="I498" i="38"/>
  <c r="I499" i="38"/>
  <c r="I500" i="38"/>
  <c r="I501" i="38"/>
  <c r="I502" i="38"/>
  <c r="I503" i="38"/>
  <c r="I504" i="38"/>
  <c r="I505" i="38"/>
  <c r="I506" i="38"/>
  <c r="I507" i="38"/>
  <c r="I508" i="38"/>
  <c r="I509" i="38"/>
  <c r="I510" i="38"/>
  <c r="I511" i="38"/>
  <c r="I512" i="38"/>
  <c r="I513" i="38"/>
  <c r="I514" i="38"/>
  <c r="I515" i="38"/>
  <c r="I516" i="38"/>
  <c r="I517" i="38"/>
  <c r="I518" i="38"/>
  <c r="I519" i="38"/>
  <c r="I520" i="38"/>
  <c r="I521" i="38"/>
  <c r="I522" i="38"/>
  <c r="I523" i="38"/>
  <c r="I524" i="38"/>
  <c r="I525" i="38"/>
  <c r="I526" i="38"/>
  <c r="I527" i="38"/>
  <c r="I528" i="38"/>
  <c r="I529" i="38"/>
  <c r="I530" i="38"/>
  <c r="I531" i="38"/>
  <c r="I532" i="38"/>
  <c r="I533" i="38"/>
  <c r="I534" i="38"/>
  <c r="I535" i="38"/>
  <c r="I536" i="38"/>
  <c r="I537" i="38"/>
  <c r="I538" i="38"/>
  <c r="I539" i="38"/>
  <c r="I540" i="38"/>
  <c r="I541" i="38"/>
  <c r="I542" i="38"/>
  <c r="I543" i="38"/>
  <c r="I544" i="38"/>
  <c r="I545" i="38"/>
  <c r="I546" i="38"/>
  <c r="I547" i="38"/>
  <c r="I548" i="38"/>
  <c r="I549" i="38"/>
  <c r="I550" i="38"/>
  <c r="I551" i="38"/>
  <c r="I552" i="38"/>
  <c r="I553" i="38"/>
  <c r="I554" i="38"/>
  <c r="I555" i="38"/>
  <c r="I556" i="38"/>
  <c r="I557" i="38"/>
  <c r="I558" i="38"/>
  <c r="I559" i="38"/>
  <c r="I560" i="38"/>
  <c r="I561" i="38"/>
  <c r="I562" i="38"/>
  <c r="I563" i="38"/>
  <c r="I564" i="38"/>
  <c r="I565" i="38"/>
  <c r="I566" i="38"/>
  <c r="I567" i="38"/>
  <c r="I568" i="38"/>
  <c r="I569" i="38"/>
  <c r="I570" i="38"/>
  <c r="I571" i="38"/>
  <c r="I572" i="38"/>
  <c r="I573" i="38"/>
  <c r="I574" i="38"/>
  <c r="I575" i="38"/>
  <c r="I576" i="38"/>
  <c r="I577" i="38"/>
  <c r="I578" i="38"/>
  <c r="I579" i="38"/>
  <c r="I580" i="38"/>
  <c r="I581" i="38"/>
  <c r="I582" i="38"/>
  <c r="I583" i="38"/>
  <c r="I584" i="38"/>
  <c r="I585" i="38"/>
  <c r="I586" i="38"/>
  <c r="I587" i="38"/>
  <c r="I588" i="38"/>
  <c r="I589" i="38"/>
  <c r="I590" i="38"/>
  <c r="I591" i="38"/>
  <c r="I592" i="38"/>
  <c r="I593" i="38"/>
  <c r="I594" i="38"/>
  <c r="I595" i="38"/>
  <c r="I596" i="38"/>
  <c r="I597" i="38"/>
  <c r="I598" i="38"/>
  <c r="I599" i="38"/>
  <c r="I600" i="38"/>
  <c r="I601" i="38"/>
  <c r="I602" i="38"/>
  <c r="I603" i="38"/>
  <c r="I604" i="38"/>
  <c r="I605" i="38"/>
  <c r="I606" i="38"/>
  <c r="I607" i="38"/>
  <c r="I608" i="38"/>
  <c r="I609" i="38"/>
  <c r="I610" i="38"/>
  <c r="I611" i="38"/>
  <c r="I612" i="38"/>
  <c r="I613" i="38"/>
  <c r="I614" i="38"/>
  <c r="I615" i="38"/>
  <c r="I616" i="38"/>
  <c r="I617" i="38"/>
  <c r="I618" i="38"/>
  <c r="I619" i="38"/>
  <c r="I620" i="38"/>
  <c r="I621" i="38"/>
  <c r="I622" i="38"/>
  <c r="I623" i="38"/>
  <c r="I624" i="38"/>
  <c r="I625" i="38"/>
  <c r="I626" i="38"/>
  <c r="I627" i="38"/>
  <c r="I628" i="38"/>
  <c r="I629" i="38"/>
  <c r="I630" i="38"/>
  <c r="I631" i="38"/>
  <c r="I632" i="38"/>
  <c r="I633" i="38"/>
  <c r="I634" i="38"/>
  <c r="I635" i="38"/>
  <c r="I636" i="38"/>
  <c r="I637" i="38"/>
  <c r="I638" i="38"/>
  <c r="I639" i="38"/>
  <c r="I640" i="38"/>
  <c r="I641" i="38"/>
  <c r="I642" i="38"/>
  <c r="I643" i="38"/>
  <c r="I644" i="38"/>
  <c r="I645" i="38"/>
  <c r="I646" i="38"/>
  <c r="I647" i="38"/>
  <c r="I648" i="38"/>
  <c r="I649" i="38"/>
  <c r="I650" i="38"/>
  <c r="I651" i="38"/>
  <c r="I652" i="38"/>
  <c r="I653" i="38"/>
  <c r="I654" i="38"/>
  <c r="I655" i="38"/>
  <c r="I656" i="38"/>
  <c r="I657" i="38"/>
  <c r="I658" i="38"/>
  <c r="I659" i="38"/>
  <c r="I660" i="38"/>
  <c r="I661" i="38"/>
  <c r="I662" i="38"/>
  <c r="I663" i="38"/>
  <c r="I664" i="38"/>
  <c r="I665" i="38"/>
  <c r="I666" i="38"/>
  <c r="I667" i="38"/>
  <c r="I668" i="38"/>
  <c r="I669" i="38"/>
  <c r="I670" i="38"/>
  <c r="I671" i="38"/>
  <c r="I672" i="38"/>
  <c r="I673" i="38"/>
  <c r="I674" i="38"/>
  <c r="I675" i="38"/>
  <c r="I676" i="38"/>
  <c r="I677" i="38"/>
  <c r="I678" i="38"/>
  <c r="I679" i="38"/>
  <c r="I680" i="38"/>
  <c r="I681" i="38"/>
  <c r="I682" i="38"/>
  <c r="I683" i="38"/>
  <c r="I684" i="38"/>
  <c r="I685" i="38"/>
  <c r="I686" i="38"/>
  <c r="I687" i="38"/>
  <c r="I688" i="38"/>
  <c r="I689" i="38"/>
  <c r="I690" i="38"/>
  <c r="I691" i="38"/>
  <c r="I692" i="38"/>
  <c r="I693" i="38"/>
  <c r="I694" i="38"/>
  <c r="I695" i="38"/>
  <c r="I696" i="38"/>
  <c r="I697" i="38"/>
  <c r="I698" i="38"/>
  <c r="I699" i="38"/>
  <c r="I700" i="38"/>
  <c r="I701" i="38"/>
  <c r="I702" i="38"/>
  <c r="I703" i="38"/>
  <c r="I704" i="38"/>
  <c r="I705" i="38"/>
  <c r="I706" i="38"/>
  <c r="I707" i="38"/>
  <c r="I708" i="38"/>
  <c r="I709" i="38"/>
  <c r="I710" i="38"/>
  <c r="I711" i="38"/>
  <c r="I712" i="38"/>
  <c r="I713" i="38"/>
  <c r="I714" i="38"/>
  <c r="I715" i="38"/>
  <c r="I716" i="38"/>
  <c r="I717" i="38"/>
  <c r="I718" i="38"/>
  <c r="I719" i="38"/>
  <c r="I720" i="38"/>
  <c r="I721" i="38"/>
  <c r="I722" i="38"/>
  <c r="I723" i="38"/>
  <c r="I724" i="38"/>
  <c r="I725" i="38"/>
  <c r="I726" i="38"/>
  <c r="I727" i="38"/>
  <c r="I728" i="38"/>
  <c r="I729" i="38"/>
  <c r="I730" i="38"/>
  <c r="I731" i="38"/>
  <c r="I732" i="38"/>
  <c r="I733" i="38"/>
  <c r="I734" i="38"/>
  <c r="H734" i="38"/>
  <c r="O734" i="38"/>
  <c r="A15" i="38"/>
  <c r="A16" i="38"/>
  <c r="A17" i="38"/>
  <c r="A18" i="38"/>
  <c r="A19" i="38"/>
  <c r="A20" i="38"/>
  <c r="H20" i="38"/>
  <c r="C9" i="38"/>
  <c r="C10" i="38"/>
  <c r="A21" i="38"/>
  <c r="H21" i="38"/>
  <c r="A22" i="38"/>
  <c r="H22" i="38"/>
  <c r="A23" i="38"/>
  <c r="H23" i="38"/>
  <c r="A24" i="38"/>
  <c r="H24" i="38"/>
  <c r="A25" i="38"/>
  <c r="H25" i="38"/>
  <c r="A26" i="38"/>
  <c r="H26" i="38"/>
  <c r="A27" i="38"/>
  <c r="H27" i="38"/>
  <c r="A28" i="38"/>
  <c r="H28" i="38"/>
  <c r="A29" i="38"/>
  <c r="H29" i="38"/>
  <c r="A30" i="38"/>
  <c r="H30" i="38"/>
  <c r="A31" i="38"/>
  <c r="H31" i="38"/>
  <c r="A32" i="38"/>
  <c r="H32" i="38"/>
  <c r="A33" i="38"/>
  <c r="H33" i="38"/>
  <c r="A34" i="38"/>
  <c r="H34" i="38"/>
  <c r="A35" i="38"/>
  <c r="H35" i="38"/>
  <c r="A36" i="38"/>
  <c r="H36" i="38"/>
  <c r="A37" i="38"/>
  <c r="H37" i="38"/>
  <c r="A38" i="38"/>
  <c r="H38" i="38"/>
  <c r="A39" i="38"/>
  <c r="H39" i="38"/>
  <c r="A40" i="38"/>
  <c r="H40" i="38"/>
  <c r="A41" i="38"/>
  <c r="H41" i="38"/>
  <c r="A42" i="38"/>
  <c r="H42" i="38"/>
  <c r="A43" i="38"/>
  <c r="H43" i="38"/>
  <c r="A44" i="38"/>
  <c r="H44" i="38"/>
  <c r="A45" i="38"/>
  <c r="H45" i="38"/>
  <c r="A46" i="38"/>
  <c r="H46" i="38"/>
  <c r="A47" i="38"/>
  <c r="H47" i="38"/>
  <c r="A48" i="38"/>
  <c r="H48" i="38"/>
  <c r="A49" i="38"/>
  <c r="H49" i="38"/>
  <c r="A50" i="38"/>
  <c r="H50" i="38"/>
  <c r="A51" i="38"/>
  <c r="H51" i="38"/>
  <c r="A52" i="38"/>
  <c r="H52" i="38"/>
  <c r="A53" i="38"/>
  <c r="H53" i="38"/>
  <c r="A54" i="38"/>
  <c r="H54" i="38"/>
  <c r="A55" i="38"/>
  <c r="H55" i="38"/>
  <c r="A56" i="38"/>
  <c r="H56" i="38"/>
  <c r="A57" i="38"/>
  <c r="H57" i="38"/>
  <c r="A58" i="38"/>
  <c r="H58" i="38"/>
  <c r="A59" i="38"/>
  <c r="H59" i="38"/>
  <c r="A60" i="38"/>
  <c r="H60" i="38"/>
  <c r="A61" i="38"/>
  <c r="H61" i="38"/>
  <c r="A62" i="38"/>
  <c r="H62" i="38"/>
  <c r="A63" i="38"/>
  <c r="H63" i="38"/>
  <c r="A64" i="38"/>
  <c r="H64" i="38"/>
  <c r="A65" i="38"/>
  <c r="H65" i="38"/>
  <c r="A66" i="38"/>
  <c r="H66" i="38"/>
  <c r="A67" i="38"/>
  <c r="H67" i="38"/>
  <c r="A68" i="38"/>
  <c r="H68" i="38"/>
  <c r="A69" i="38"/>
  <c r="H69" i="38"/>
  <c r="A70" i="38"/>
  <c r="H70" i="38"/>
  <c r="A71" i="38"/>
  <c r="H71" i="38"/>
  <c r="A72" i="38"/>
  <c r="H72" i="38"/>
  <c r="A73" i="38"/>
  <c r="H73" i="38"/>
  <c r="A74" i="38"/>
  <c r="H74" i="38"/>
  <c r="A75" i="38"/>
  <c r="H75" i="38"/>
  <c r="A76" i="38"/>
  <c r="H76" i="38"/>
  <c r="A77" i="38"/>
  <c r="H77" i="38"/>
  <c r="A78" i="38"/>
  <c r="H78" i="38"/>
  <c r="A79" i="38"/>
  <c r="H79" i="38"/>
  <c r="A80" i="38"/>
  <c r="H80" i="38"/>
  <c r="A81" i="38"/>
  <c r="H81" i="38"/>
  <c r="A82" i="38"/>
  <c r="H82" i="38"/>
  <c r="A83" i="38"/>
  <c r="H83" i="38"/>
  <c r="A84" i="38"/>
  <c r="H84" i="38"/>
  <c r="A85" i="38"/>
  <c r="H85" i="38"/>
  <c r="A86" i="38"/>
  <c r="H86" i="38"/>
  <c r="A87" i="38"/>
  <c r="H87" i="38"/>
  <c r="A88" i="38"/>
  <c r="H88" i="38"/>
  <c r="A89" i="38"/>
  <c r="H89" i="38"/>
  <c r="A90" i="38"/>
  <c r="H90" i="38"/>
  <c r="A91" i="38"/>
  <c r="H91" i="38"/>
  <c r="A92" i="38"/>
  <c r="H92" i="38"/>
  <c r="A93" i="38"/>
  <c r="H93" i="38"/>
  <c r="A94" i="38"/>
  <c r="H94" i="38"/>
  <c r="A95" i="38"/>
  <c r="H95" i="38"/>
  <c r="A96" i="38"/>
  <c r="H96" i="38"/>
  <c r="A97" i="38"/>
  <c r="H97" i="38"/>
  <c r="A98" i="38"/>
  <c r="H98" i="38"/>
  <c r="A99" i="38"/>
  <c r="H99" i="38"/>
  <c r="A100" i="38"/>
  <c r="H100" i="38"/>
  <c r="A101" i="38"/>
  <c r="H101" i="38"/>
  <c r="A102" i="38"/>
  <c r="H102" i="38"/>
  <c r="A103" i="38"/>
  <c r="H103" i="38"/>
  <c r="A104" i="38"/>
  <c r="H104" i="38"/>
  <c r="A105" i="38"/>
  <c r="H105" i="38"/>
  <c r="A106" i="38"/>
  <c r="H106" i="38"/>
  <c r="A107" i="38"/>
  <c r="H107" i="38"/>
  <c r="A108" i="38"/>
  <c r="H108" i="38"/>
  <c r="A109" i="38"/>
  <c r="H109" i="38"/>
  <c r="A110" i="38"/>
  <c r="H110" i="38"/>
  <c r="A111" i="38"/>
  <c r="H111" i="38"/>
  <c r="A112" i="38"/>
  <c r="H112" i="38"/>
  <c r="A113" i="38"/>
  <c r="H113" i="38"/>
  <c r="A114" i="38"/>
  <c r="H114" i="38"/>
  <c r="A115" i="38"/>
  <c r="H115" i="38"/>
  <c r="A116" i="38"/>
  <c r="H116" i="38"/>
  <c r="A117" i="38"/>
  <c r="H117" i="38"/>
  <c r="A118" i="38"/>
  <c r="H118" i="38"/>
  <c r="A119" i="38"/>
  <c r="H119" i="38"/>
  <c r="A120" i="38"/>
  <c r="H120" i="38"/>
  <c r="A121" i="38"/>
  <c r="H121" i="38"/>
  <c r="A122" i="38"/>
  <c r="H122" i="38"/>
  <c r="A123" i="38"/>
  <c r="H123" i="38"/>
  <c r="A124" i="38"/>
  <c r="H124" i="38"/>
  <c r="A125" i="38"/>
  <c r="H125" i="38"/>
  <c r="A126" i="38"/>
  <c r="H126" i="38"/>
  <c r="A127" i="38"/>
  <c r="H127" i="38"/>
  <c r="A128" i="38"/>
  <c r="H128" i="38"/>
  <c r="A129" i="38"/>
  <c r="H129" i="38"/>
  <c r="A130" i="38"/>
  <c r="H130" i="38"/>
  <c r="A131" i="38"/>
  <c r="H131" i="38"/>
  <c r="A132" i="38"/>
  <c r="H132" i="38"/>
  <c r="A133" i="38"/>
  <c r="H133" i="38"/>
  <c r="A134" i="38"/>
  <c r="H134" i="38"/>
  <c r="A135" i="38"/>
  <c r="H135" i="38"/>
  <c r="A136" i="38"/>
  <c r="H136" i="38"/>
  <c r="A137" i="38"/>
  <c r="H137" i="38"/>
  <c r="A138" i="38"/>
  <c r="H138" i="38"/>
  <c r="A139" i="38"/>
  <c r="H139" i="38"/>
  <c r="A140" i="38"/>
  <c r="H140" i="38"/>
  <c r="A141" i="38"/>
  <c r="H141" i="38"/>
  <c r="A142" i="38"/>
  <c r="H142" i="38"/>
  <c r="A143" i="38"/>
  <c r="H143" i="38"/>
  <c r="A144" i="38"/>
  <c r="H144" i="38"/>
  <c r="A145" i="38"/>
  <c r="H145" i="38"/>
  <c r="A146" i="38"/>
  <c r="H146" i="38"/>
  <c r="A147" i="38"/>
  <c r="H147" i="38"/>
  <c r="A148" i="38"/>
  <c r="H148" i="38"/>
  <c r="A149" i="38"/>
  <c r="H149" i="38"/>
  <c r="A150" i="38"/>
  <c r="H150" i="38"/>
  <c r="A151" i="38"/>
  <c r="H151" i="38"/>
  <c r="A152" i="38"/>
  <c r="H152" i="38"/>
  <c r="A153" i="38"/>
  <c r="H153" i="38"/>
  <c r="A154" i="38"/>
  <c r="H154" i="38"/>
  <c r="A155" i="38"/>
  <c r="H155" i="38"/>
  <c r="A156" i="38"/>
  <c r="H156" i="38"/>
  <c r="A157" i="38"/>
  <c r="H157" i="38"/>
  <c r="A158" i="38"/>
  <c r="H158" i="38"/>
  <c r="A159" i="38"/>
  <c r="H159" i="38"/>
  <c r="A160" i="38"/>
  <c r="H160" i="38"/>
  <c r="A161" i="38"/>
  <c r="H161" i="38"/>
  <c r="A162" i="38"/>
  <c r="H162" i="38"/>
  <c r="A163" i="38"/>
  <c r="H163" i="38"/>
  <c r="A164" i="38"/>
  <c r="H164" i="38"/>
  <c r="A165" i="38"/>
  <c r="H165" i="38"/>
  <c r="A166" i="38"/>
  <c r="H166" i="38"/>
  <c r="A167" i="38"/>
  <c r="H167" i="38"/>
  <c r="A168" i="38"/>
  <c r="H168" i="38"/>
  <c r="A169" i="38"/>
  <c r="H169" i="38"/>
  <c r="A170" i="38"/>
  <c r="H170" i="38"/>
  <c r="A171" i="38"/>
  <c r="H171" i="38"/>
  <c r="A172" i="38"/>
  <c r="H172" i="38"/>
  <c r="A173" i="38"/>
  <c r="H173" i="38"/>
  <c r="A174" i="38"/>
  <c r="H174" i="38"/>
  <c r="A175" i="38"/>
  <c r="H175" i="38"/>
  <c r="A176" i="38"/>
  <c r="H176" i="38"/>
  <c r="A177" i="38"/>
  <c r="H177" i="38"/>
  <c r="A178" i="38"/>
  <c r="H178" i="38"/>
  <c r="A179" i="38"/>
  <c r="H179" i="38"/>
  <c r="A180" i="38"/>
  <c r="H180" i="38"/>
  <c r="A181" i="38"/>
  <c r="H181" i="38"/>
  <c r="A182" i="38"/>
  <c r="H182" i="38"/>
  <c r="A183" i="38"/>
  <c r="H183" i="38"/>
  <c r="A184" i="38"/>
  <c r="H184" i="38"/>
  <c r="A185" i="38"/>
  <c r="H185" i="38"/>
  <c r="A186" i="38"/>
  <c r="H186" i="38"/>
  <c r="A187" i="38"/>
  <c r="H187" i="38"/>
  <c r="A188" i="38"/>
  <c r="H188" i="38"/>
  <c r="A189" i="38"/>
  <c r="H189" i="38"/>
  <c r="A190" i="38"/>
  <c r="H190" i="38"/>
  <c r="A191" i="38"/>
  <c r="H191" i="38"/>
  <c r="A192" i="38"/>
  <c r="H192" i="38"/>
  <c r="A193" i="38"/>
  <c r="H193" i="38"/>
  <c r="A194" i="38"/>
  <c r="H194" i="38"/>
  <c r="A195" i="38"/>
  <c r="H195" i="38"/>
  <c r="A196" i="38"/>
  <c r="H196" i="38"/>
  <c r="A197" i="38"/>
  <c r="H197" i="38"/>
  <c r="A198" i="38"/>
  <c r="H198" i="38"/>
  <c r="A199" i="38"/>
  <c r="H199" i="38"/>
  <c r="A200" i="38"/>
  <c r="H200" i="38"/>
  <c r="A201" i="38"/>
  <c r="H201" i="38"/>
  <c r="A202" i="38"/>
  <c r="H202" i="38"/>
  <c r="A203" i="38"/>
  <c r="H203" i="38"/>
  <c r="A204" i="38"/>
  <c r="H204" i="38"/>
  <c r="A205" i="38"/>
  <c r="H205" i="38"/>
  <c r="A206" i="38"/>
  <c r="H206" i="38"/>
  <c r="A207" i="38"/>
  <c r="H207" i="38"/>
  <c r="A208" i="38"/>
  <c r="H208" i="38"/>
  <c r="A209" i="38"/>
  <c r="H209" i="38"/>
  <c r="A210" i="38"/>
  <c r="H210" i="38"/>
  <c r="A211" i="38"/>
  <c r="H211" i="38"/>
  <c r="A212" i="38"/>
  <c r="H212" i="38"/>
  <c r="A213" i="38"/>
  <c r="H213" i="38"/>
  <c r="A214" i="38"/>
  <c r="H214" i="38"/>
  <c r="A215" i="38"/>
  <c r="H215" i="38"/>
  <c r="A216" i="38"/>
  <c r="H216" i="38"/>
  <c r="A217" i="38"/>
  <c r="H217" i="38"/>
  <c r="A218" i="38"/>
  <c r="H218" i="38"/>
  <c r="A219" i="38"/>
  <c r="H219" i="38"/>
  <c r="A220" i="38"/>
  <c r="H220" i="38"/>
  <c r="A221" i="38"/>
  <c r="H221" i="38"/>
  <c r="A222" i="38"/>
  <c r="H222" i="38"/>
  <c r="A223" i="38"/>
  <c r="H223" i="38"/>
  <c r="A224" i="38"/>
  <c r="H224" i="38"/>
  <c r="A225" i="38"/>
  <c r="H225" i="38"/>
  <c r="A226" i="38"/>
  <c r="H226" i="38"/>
  <c r="A227" i="38"/>
  <c r="H227" i="38"/>
  <c r="A228" i="38"/>
  <c r="H228" i="38"/>
  <c r="A229" i="38"/>
  <c r="H229" i="38"/>
  <c r="A230" i="38"/>
  <c r="H230" i="38"/>
  <c r="A231" i="38"/>
  <c r="H231" i="38"/>
  <c r="A232" i="38"/>
  <c r="H232" i="38"/>
  <c r="A233" i="38"/>
  <c r="H233" i="38"/>
  <c r="A234" i="38"/>
  <c r="H234" i="38"/>
  <c r="A235" i="38"/>
  <c r="H235" i="38"/>
  <c r="A236" i="38"/>
  <c r="H236" i="38"/>
  <c r="A237" i="38"/>
  <c r="H237" i="38"/>
  <c r="A238" i="38"/>
  <c r="H238" i="38"/>
  <c r="A239" i="38"/>
  <c r="H239" i="38"/>
  <c r="A240" i="38"/>
  <c r="H240" i="38"/>
  <c r="A241" i="38"/>
  <c r="H241" i="38"/>
  <c r="A242" i="38"/>
  <c r="H242" i="38"/>
  <c r="A243" i="38"/>
  <c r="H243" i="38"/>
  <c r="A244" i="38"/>
  <c r="H244" i="38"/>
  <c r="A245" i="38"/>
  <c r="H245" i="38"/>
  <c r="A246" i="38"/>
  <c r="H246" i="38"/>
  <c r="A247" i="38"/>
  <c r="H247" i="38"/>
  <c r="A248" i="38"/>
  <c r="H248" i="38"/>
  <c r="A249" i="38"/>
  <c r="H249" i="38"/>
  <c r="A250" i="38"/>
  <c r="H250" i="38"/>
  <c r="A251" i="38"/>
  <c r="H251" i="38"/>
  <c r="A252" i="38"/>
  <c r="H252" i="38"/>
  <c r="A253" i="38"/>
  <c r="H253" i="38"/>
  <c r="A254" i="38"/>
  <c r="H254" i="38"/>
  <c r="A255" i="38"/>
  <c r="H255" i="38"/>
  <c r="A256" i="38"/>
  <c r="H256" i="38"/>
  <c r="A257" i="38"/>
  <c r="H257" i="38"/>
  <c r="A258" i="38"/>
  <c r="H258" i="38"/>
  <c r="A259" i="38"/>
  <c r="H259" i="38"/>
  <c r="A260" i="38"/>
  <c r="H260" i="38"/>
  <c r="A261" i="38"/>
  <c r="H261" i="38"/>
  <c r="A262" i="38"/>
  <c r="H262" i="38"/>
  <c r="A263" i="38"/>
  <c r="H263" i="38"/>
  <c r="A264" i="38"/>
  <c r="H264" i="38"/>
  <c r="A265" i="38"/>
  <c r="H265" i="38"/>
  <c r="A266" i="38"/>
  <c r="H266" i="38"/>
  <c r="A267" i="38"/>
  <c r="H267" i="38"/>
  <c r="A268" i="38"/>
  <c r="H268" i="38"/>
  <c r="A269" i="38"/>
  <c r="H269" i="38"/>
  <c r="A270" i="38"/>
  <c r="H270" i="38"/>
  <c r="A271" i="38"/>
  <c r="H271" i="38"/>
  <c r="A272" i="38"/>
  <c r="H272" i="38"/>
  <c r="A273" i="38"/>
  <c r="H273" i="38"/>
  <c r="A274" i="38"/>
  <c r="H274" i="38"/>
  <c r="A275" i="38"/>
  <c r="H275" i="38"/>
  <c r="A276" i="38"/>
  <c r="H276" i="38"/>
  <c r="A277" i="38"/>
  <c r="H277" i="38"/>
  <c r="A278" i="38"/>
  <c r="H278" i="38"/>
  <c r="A279" i="38"/>
  <c r="H279" i="38"/>
  <c r="A280" i="38"/>
  <c r="H280" i="38"/>
  <c r="A281" i="38"/>
  <c r="H281" i="38"/>
  <c r="A282" i="38"/>
  <c r="H282" i="38"/>
  <c r="A283" i="38"/>
  <c r="H283" i="38"/>
  <c r="A284" i="38"/>
  <c r="H284" i="38"/>
  <c r="A285" i="38"/>
  <c r="H285" i="38"/>
  <c r="A286" i="38"/>
  <c r="H286" i="38"/>
  <c r="A287" i="38"/>
  <c r="H287" i="38"/>
  <c r="A288" i="38"/>
  <c r="H288" i="38"/>
  <c r="A289" i="38"/>
  <c r="H289" i="38"/>
  <c r="A290" i="38"/>
  <c r="H290" i="38"/>
  <c r="A291" i="38"/>
  <c r="H291" i="38"/>
  <c r="A292" i="38"/>
  <c r="H292" i="38"/>
  <c r="A293" i="38"/>
  <c r="H293" i="38"/>
  <c r="A294" i="38"/>
  <c r="H294" i="38"/>
  <c r="A295" i="38"/>
  <c r="H295" i="38"/>
  <c r="A296" i="38"/>
  <c r="H296" i="38"/>
  <c r="A297" i="38"/>
  <c r="H297" i="38"/>
  <c r="A298" i="38"/>
  <c r="H298" i="38"/>
  <c r="A299" i="38"/>
  <c r="H299" i="38"/>
  <c r="A300" i="38"/>
  <c r="H300" i="38"/>
  <c r="A301" i="38"/>
  <c r="H301" i="38"/>
  <c r="A302" i="38"/>
  <c r="H302" i="38"/>
  <c r="A303" i="38"/>
  <c r="H303" i="38"/>
  <c r="A304" i="38"/>
  <c r="H304" i="38"/>
  <c r="A305" i="38"/>
  <c r="H305" i="38"/>
  <c r="A306" i="38"/>
  <c r="H306" i="38"/>
  <c r="A307" i="38"/>
  <c r="H307" i="38"/>
  <c r="A308" i="38"/>
  <c r="H308" i="38"/>
  <c r="A309" i="38"/>
  <c r="H309" i="38"/>
  <c r="A310" i="38"/>
  <c r="H310" i="38"/>
  <c r="A311" i="38"/>
  <c r="H311" i="38"/>
  <c r="A312" i="38"/>
  <c r="H312" i="38"/>
  <c r="A313" i="38"/>
  <c r="H313" i="38"/>
  <c r="A314" i="38"/>
  <c r="H314" i="38"/>
  <c r="A315" i="38"/>
  <c r="H315" i="38"/>
  <c r="A316" i="38"/>
  <c r="H316" i="38"/>
  <c r="A317" i="38"/>
  <c r="H317" i="38"/>
  <c r="A318" i="38"/>
  <c r="H318" i="38"/>
  <c r="A319" i="38"/>
  <c r="H319" i="38"/>
  <c r="A320" i="38"/>
  <c r="H320" i="38"/>
  <c r="A321" i="38"/>
  <c r="H321" i="38"/>
  <c r="A322" i="38"/>
  <c r="H322" i="38"/>
  <c r="A323" i="38"/>
  <c r="H323" i="38"/>
  <c r="A324" i="38"/>
  <c r="H324" i="38"/>
  <c r="A325" i="38"/>
  <c r="H325" i="38"/>
  <c r="A326" i="38"/>
  <c r="H326" i="38"/>
  <c r="A327" i="38"/>
  <c r="H327" i="38"/>
  <c r="A328" i="38"/>
  <c r="H328" i="38"/>
  <c r="A329" i="38"/>
  <c r="H329" i="38"/>
  <c r="A330" i="38"/>
  <c r="H330" i="38"/>
  <c r="A331" i="38"/>
  <c r="H331" i="38"/>
  <c r="A332" i="38"/>
  <c r="H332" i="38"/>
  <c r="A333" i="38"/>
  <c r="H333" i="38"/>
  <c r="A334" i="38"/>
  <c r="H334" i="38"/>
  <c r="A335" i="38"/>
  <c r="H335" i="38"/>
  <c r="A336" i="38"/>
  <c r="H336" i="38"/>
  <c r="A337" i="38"/>
  <c r="H337" i="38"/>
  <c r="A338" i="38"/>
  <c r="H338" i="38"/>
  <c r="A339" i="38"/>
  <c r="H339" i="38"/>
  <c r="A340" i="38"/>
  <c r="H340" i="38"/>
  <c r="A341" i="38"/>
  <c r="H341" i="38"/>
  <c r="A342" i="38"/>
  <c r="H342" i="38"/>
  <c r="A343" i="38"/>
  <c r="H343" i="38"/>
  <c r="A344" i="38"/>
  <c r="H344" i="38"/>
  <c r="A345" i="38"/>
  <c r="H345" i="38"/>
  <c r="A346" i="38"/>
  <c r="H346" i="38"/>
  <c r="A347" i="38"/>
  <c r="H347" i="38"/>
  <c r="A348" i="38"/>
  <c r="H348" i="38"/>
  <c r="A349" i="38"/>
  <c r="H349" i="38"/>
  <c r="A350" i="38"/>
  <c r="H350" i="38"/>
  <c r="A351" i="38"/>
  <c r="H351" i="38"/>
  <c r="A352" i="38"/>
  <c r="H352" i="38"/>
  <c r="A353" i="38"/>
  <c r="H353" i="38"/>
  <c r="A354" i="38"/>
  <c r="H354" i="38"/>
  <c r="A355" i="38"/>
  <c r="H355" i="38"/>
  <c r="A356" i="38"/>
  <c r="H356" i="38"/>
  <c r="A357" i="38"/>
  <c r="H357" i="38"/>
  <c r="A358" i="38"/>
  <c r="H358" i="38"/>
  <c r="A359" i="38"/>
  <c r="H359" i="38"/>
  <c r="A360" i="38"/>
  <c r="H360" i="38"/>
  <c r="A361" i="38"/>
  <c r="H361" i="38"/>
  <c r="A362" i="38"/>
  <c r="H362" i="38"/>
  <c r="A363" i="38"/>
  <c r="H363" i="38"/>
  <c r="A364" i="38"/>
  <c r="H364" i="38"/>
  <c r="A365" i="38"/>
  <c r="H365" i="38"/>
  <c r="A366" i="38"/>
  <c r="H366" i="38"/>
  <c r="A367" i="38"/>
  <c r="H367" i="38"/>
  <c r="A368" i="38"/>
  <c r="H368" i="38"/>
  <c r="A369" i="38"/>
  <c r="H369" i="38"/>
  <c r="A370" i="38"/>
  <c r="H370" i="38"/>
  <c r="A371" i="38"/>
  <c r="H371" i="38"/>
  <c r="A372" i="38"/>
  <c r="H372" i="38"/>
  <c r="A373" i="38"/>
  <c r="H373" i="38"/>
  <c r="A374" i="38"/>
  <c r="H374" i="38"/>
  <c r="A375" i="38"/>
  <c r="H375" i="38"/>
  <c r="A376" i="38"/>
  <c r="H376" i="38"/>
  <c r="A377" i="38"/>
  <c r="H377" i="38"/>
  <c r="A378" i="38"/>
  <c r="H378" i="38"/>
  <c r="A379" i="38"/>
  <c r="H379" i="38"/>
  <c r="A380" i="38"/>
  <c r="H380" i="38"/>
  <c r="A381" i="38"/>
  <c r="H381" i="38"/>
  <c r="A382" i="38"/>
  <c r="H382" i="38"/>
  <c r="A383" i="38"/>
  <c r="H383" i="38"/>
  <c r="A384" i="38"/>
  <c r="H384" i="38"/>
  <c r="A385" i="38"/>
  <c r="H385" i="38"/>
  <c r="A386" i="38"/>
  <c r="H386" i="38"/>
  <c r="A387" i="38"/>
  <c r="H387" i="38"/>
  <c r="A388" i="38"/>
  <c r="H388" i="38"/>
  <c r="A389" i="38"/>
  <c r="H389" i="38"/>
  <c r="A390" i="38"/>
  <c r="H390" i="38"/>
  <c r="A391" i="38"/>
  <c r="H391" i="38"/>
  <c r="A392" i="38"/>
  <c r="H392" i="38"/>
  <c r="A393" i="38"/>
  <c r="H393" i="38"/>
  <c r="A394" i="38"/>
  <c r="H394" i="38"/>
  <c r="A395" i="38"/>
  <c r="H395" i="38"/>
  <c r="A396" i="38"/>
  <c r="H396" i="38"/>
  <c r="A397" i="38"/>
  <c r="H397" i="38"/>
  <c r="A398" i="38"/>
  <c r="H398" i="38"/>
  <c r="A399" i="38"/>
  <c r="H399" i="38"/>
  <c r="A400" i="38"/>
  <c r="H400" i="38"/>
  <c r="A401" i="38"/>
  <c r="H401" i="38"/>
  <c r="A402" i="38"/>
  <c r="H402" i="38"/>
  <c r="A403" i="38"/>
  <c r="H403" i="38"/>
  <c r="A404" i="38"/>
  <c r="H404" i="38"/>
  <c r="A405" i="38"/>
  <c r="H405" i="38"/>
  <c r="A406" i="38"/>
  <c r="H406" i="38"/>
  <c r="A407" i="38"/>
  <c r="H407" i="38"/>
  <c r="A408" i="38"/>
  <c r="H408" i="38"/>
  <c r="A409" i="38"/>
  <c r="H409" i="38"/>
  <c r="A410" i="38"/>
  <c r="H410" i="38"/>
  <c r="A411" i="38"/>
  <c r="H411" i="38"/>
  <c r="A412" i="38"/>
  <c r="H412" i="38"/>
  <c r="A413" i="38"/>
  <c r="H413" i="38"/>
  <c r="A414" i="38"/>
  <c r="H414" i="38"/>
  <c r="A415" i="38"/>
  <c r="H415" i="38"/>
  <c r="A416" i="38"/>
  <c r="H416" i="38"/>
  <c r="A417" i="38"/>
  <c r="H417" i="38"/>
  <c r="A418" i="38"/>
  <c r="H418" i="38"/>
  <c r="A419" i="38"/>
  <c r="H419" i="38"/>
  <c r="A420" i="38"/>
  <c r="H420" i="38"/>
  <c r="A421" i="38"/>
  <c r="H421" i="38"/>
  <c r="A422" i="38"/>
  <c r="H422" i="38"/>
  <c r="A423" i="38"/>
  <c r="H423" i="38"/>
  <c r="A424" i="38"/>
  <c r="H424" i="38"/>
  <c r="A425" i="38"/>
  <c r="H425" i="38"/>
  <c r="A426" i="38"/>
  <c r="H426" i="38"/>
  <c r="A427" i="38"/>
  <c r="H427" i="38"/>
  <c r="A428" i="38"/>
  <c r="H428" i="38"/>
  <c r="A429" i="38"/>
  <c r="H429" i="38"/>
  <c r="A430" i="38"/>
  <c r="H430" i="38"/>
  <c r="A431" i="38"/>
  <c r="H431" i="38"/>
  <c r="A432" i="38"/>
  <c r="H432" i="38"/>
  <c r="A433" i="38"/>
  <c r="H433" i="38"/>
  <c r="A434" i="38"/>
  <c r="H434" i="38"/>
  <c r="A435" i="38"/>
  <c r="H435" i="38"/>
  <c r="A436" i="38"/>
  <c r="H436" i="38"/>
  <c r="A437" i="38"/>
  <c r="H437" i="38"/>
  <c r="A438" i="38"/>
  <c r="H438" i="38"/>
  <c r="A439" i="38"/>
  <c r="H439" i="38"/>
  <c r="A440" i="38"/>
  <c r="H440" i="38"/>
  <c r="A441" i="38"/>
  <c r="H441" i="38"/>
  <c r="A442" i="38"/>
  <c r="H442" i="38"/>
  <c r="A443" i="38"/>
  <c r="H443" i="38"/>
  <c r="A444" i="38"/>
  <c r="H444" i="38"/>
  <c r="A445" i="38"/>
  <c r="H445" i="38"/>
  <c r="A446" i="38"/>
  <c r="H446" i="38"/>
  <c r="A447" i="38"/>
  <c r="H447" i="38"/>
  <c r="A448" i="38"/>
  <c r="H448" i="38"/>
  <c r="A449" i="38"/>
  <c r="H449" i="38"/>
  <c r="A450" i="38"/>
  <c r="H450" i="38"/>
  <c r="A451" i="38"/>
  <c r="H451" i="38"/>
  <c r="A452" i="38"/>
  <c r="H452" i="38"/>
  <c r="A453" i="38"/>
  <c r="H453" i="38"/>
  <c r="A454" i="38"/>
  <c r="H454" i="38"/>
  <c r="A455" i="38"/>
  <c r="H455" i="38"/>
  <c r="A456" i="38"/>
  <c r="H456" i="38"/>
  <c r="A457" i="38"/>
  <c r="H457" i="38"/>
  <c r="A458" i="38"/>
  <c r="H458" i="38"/>
  <c r="A459" i="38"/>
  <c r="H459" i="38"/>
  <c r="A460" i="38"/>
  <c r="H460" i="38"/>
  <c r="A461" i="38"/>
  <c r="H461" i="38"/>
  <c r="A462" i="38"/>
  <c r="H462" i="38"/>
  <c r="A463" i="38"/>
  <c r="H463" i="38"/>
  <c r="A464" i="38"/>
  <c r="H464" i="38"/>
  <c r="A465" i="38"/>
  <c r="H465" i="38"/>
  <c r="A466" i="38"/>
  <c r="H466" i="38"/>
  <c r="A467" i="38"/>
  <c r="H467" i="38"/>
  <c r="A468" i="38"/>
  <c r="H468" i="38"/>
  <c r="A469" i="38"/>
  <c r="H469" i="38"/>
  <c r="A470" i="38"/>
  <c r="H470" i="38"/>
  <c r="A471" i="38"/>
  <c r="H471" i="38"/>
  <c r="A472" i="38"/>
  <c r="H472" i="38"/>
  <c r="A473" i="38"/>
  <c r="H473" i="38"/>
  <c r="A474" i="38"/>
  <c r="H474" i="38"/>
  <c r="A475" i="38"/>
  <c r="H475" i="38"/>
  <c r="A476" i="38"/>
  <c r="H476" i="38"/>
  <c r="A477" i="38"/>
  <c r="H477" i="38"/>
  <c r="A478" i="38"/>
  <c r="H478" i="38"/>
  <c r="A479" i="38"/>
  <c r="H479" i="38"/>
  <c r="A480" i="38"/>
  <c r="H480" i="38"/>
  <c r="A481" i="38"/>
  <c r="H481" i="38"/>
  <c r="A482" i="38"/>
  <c r="H482" i="38"/>
  <c r="A483" i="38"/>
  <c r="H483" i="38"/>
  <c r="A484" i="38"/>
  <c r="H484" i="38"/>
  <c r="A485" i="38"/>
  <c r="H485" i="38"/>
  <c r="A486" i="38"/>
  <c r="H486" i="38"/>
  <c r="A487" i="38"/>
  <c r="H487" i="38"/>
  <c r="A488" i="38"/>
  <c r="H488" i="38"/>
  <c r="A489" i="38"/>
  <c r="H489" i="38"/>
  <c r="A490" i="38"/>
  <c r="H490" i="38"/>
  <c r="A491" i="38"/>
  <c r="H491" i="38"/>
  <c r="A492" i="38"/>
  <c r="H492" i="38"/>
  <c r="A493" i="38"/>
  <c r="H493" i="38"/>
  <c r="A494" i="38"/>
  <c r="H494" i="38"/>
  <c r="A495" i="38"/>
  <c r="H495" i="38"/>
  <c r="A496" i="38"/>
  <c r="H496" i="38"/>
  <c r="A497" i="38"/>
  <c r="H497" i="38"/>
  <c r="A498" i="38"/>
  <c r="H498" i="38"/>
  <c r="A499" i="38"/>
  <c r="H499" i="38"/>
  <c r="A500" i="38"/>
  <c r="H500" i="38"/>
  <c r="A501" i="38"/>
  <c r="H501" i="38"/>
  <c r="A502" i="38"/>
  <c r="H502" i="38"/>
  <c r="A503" i="38"/>
  <c r="H503" i="38"/>
  <c r="A504" i="38"/>
  <c r="H504" i="38"/>
  <c r="A505" i="38"/>
  <c r="H505" i="38"/>
  <c r="A506" i="38"/>
  <c r="H506" i="38"/>
  <c r="A507" i="38"/>
  <c r="H507" i="38"/>
  <c r="A508" i="38"/>
  <c r="H508" i="38"/>
  <c r="A509" i="38"/>
  <c r="H509" i="38"/>
  <c r="A510" i="38"/>
  <c r="H510" i="38"/>
  <c r="A511" i="38"/>
  <c r="H511" i="38"/>
  <c r="A512" i="38"/>
  <c r="H512" i="38"/>
  <c r="A513" i="38"/>
  <c r="H513" i="38"/>
  <c r="A514" i="38"/>
  <c r="H514" i="38"/>
  <c r="A515" i="38"/>
  <c r="H515" i="38"/>
  <c r="A516" i="38"/>
  <c r="H516" i="38"/>
  <c r="A517" i="38"/>
  <c r="H517" i="38"/>
  <c r="A518" i="38"/>
  <c r="H518" i="38"/>
  <c r="A519" i="38"/>
  <c r="H519" i="38"/>
  <c r="A520" i="38"/>
  <c r="H520" i="38"/>
  <c r="A521" i="38"/>
  <c r="H521" i="38"/>
  <c r="A522" i="38"/>
  <c r="H522" i="38"/>
  <c r="A523" i="38"/>
  <c r="H523" i="38"/>
  <c r="A524" i="38"/>
  <c r="H524" i="38"/>
  <c r="A525" i="38"/>
  <c r="H525" i="38"/>
  <c r="A526" i="38"/>
  <c r="H526" i="38"/>
  <c r="A527" i="38"/>
  <c r="H527" i="38"/>
  <c r="A528" i="38"/>
  <c r="H528" i="38"/>
  <c r="A529" i="38"/>
  <c r="H529" i="38"/>
  <c r="A530" i="38"/>
  <c r="H530" i="38"/>
  <c r="A531" i="38"/>
  <c r="H531" i="38"/>
  <c r="A532" i="38"/>
  <c r="H532" i="38"/>
  <c r="A533" i="38"/>
  <c r="H533" i="38"/>
  <c r="A534" i="38"/>
  <c r="H534" i="38"/>
  <c r="A535" i="38"/>
  <c r="H535" i="38"/>
  <c r="A536" i="38"/>
  <c r="H536" i="38"/>
  <c r="A537" i="38"/>
  <c r="H537" i="38"/>
  <c r="A538" i="38"/>
  <c r="H538" i="38"/>
  <c r="A539" i="38"/>
  <c r="H539" i="38"/>
  <c r="A540" i="38"/>
  <c r="H540" i="38"/>
  <c r="A541" i="38"/>
  <c r="H541" i="38"/>
  <c r="A542" i="38"/>
  <c r="H542" i="38"/>
  <c r="A543" i="38"/>
  <c r="H543" i="38"/>
  <c r="A544" i="38"/>
  <c r="H544" i="38"/>
  <c r="A545" i="38"/>
  <c r="H545" i="38"/>
  <c r="A546" i="38"/>
  <c r="H546" i="38"/>
  <c r="A547" i="38"/>
  <c r="H547" i="38"/>
  <c r="A548" i="38"/>
  <c r="H548" i="38"/>
  <c r="A549" i="38"/>
  <c r="H549" i="38"/>
  <c r="A550" i="38"/>
  <c r="H550" i="38"/>
  <c r="A551" i="38"/>
  <c r="H551" i="38"/>
  <c r="A552" i="38"/>
  <c r="H552" i="38"/>
  <c r="A553" i="38"/>
  <c r="H553" i="38"/>
  <c r="A554" i="38"/>
  <c r="H554" i="38"/>
  <c r="A555" i="38"/>
  <c r="H555" i="38"/>
  <c r="A556" i="38"/>
  <c r="H556" i="38"/>
  <c r="A557" i="38"/>
  <c r="H557" i="38"/>
  <c r="A558" i="38"/>
  <c r="H558" i="38"/>
  <c r="A559" i="38"/>
  <c r="H559" i="38"/>
  <c r="A560" i="38"/>
  <c r="H560" i="38"/>
  <c r="A561" i="38"/>
  <c r="H561" i="38"/>
  <c r="A562" i="38"/>
  <c r="H562" i="38"/>
  <c r="A563" i="38"/>
  <c r="H563" i="38"/>
  <c r="A564" i="38"/>
  <c r="H564" i="38"/>
  <c r="A565" i="38"/>
  <c r="H565" i="38"/>
  <c r="A566" i="38"/>
  <c r="H566" i="38"/>
  <c r="A567" i="38"/>
  <c r="H567" i="38"/>
  <c r="A568" i="38"/>
  <c r="H568" i="38"/>
  <c r="A569" i="38"/>
  <c r="H569" i="38"/>
  <c r="A570" i="38"/>
  <c r="H570" i="38"/>
  <c r="A571" i="38"/>
  <c r="H571" i="38"/>
  <c r="A572" i="38"/>
  <c r="H572" i="38"/>
  <c r="A573" i="38"/>
  <c r="H573" i="38"/>
  <c r="A574" i="38"/>
  <c r="H574" i="38"/>
  <c r="A575" i="38"/>
  <c r="H575" i="38"/>
  <c r="A576" i="38"/>
  <c r="H576" i="38"/>
  <c r="A577" i="38"/>
  <c r="H577" i="38"/>
  <c r="A578" i="38"/>
  <c r="H578" i="38"/>
  <c r="A579" i="38"/>
  <c r="H579" i="38"/>
  <c r="A580" i="38"/>
  <c r="H580" i="38"/>
  <c r="A581" i="38"/>
  <c r="H581" i="38"/>
  <c r="A582" i="38"/>
  <c r="H582" i="38"/>
  <c r="A583" i="38"/>
  <c r="H583" i="38"/>
  <c r="A584" i="38"/>
  <c r="H584" i="38"/>
  <c r="A585" i="38"/>
  <c r="H585" i="38"/>
  <c r="A586" i="38"/>
  <c r="H586" i="38"/>
  <c r="A587" i="38"/>
  <c r="H587" i="38"/>
  <c r="A588" i="38"/>
  <c r="H588" i="38"/>
  <c r="A589" i="38"/>
  <c r="H589" i="38"/>
  <c r="A590" i="38"/>
  <c r="H590" i="38"/>
  <c r="A591" i="38"/>
  <c r="H591" i="38"/>
  <c r="A592" i="38"/>
  <c r="H592" i="38"/>
  <c r="A593" i="38"/>
  <c r="H593" i="38"/>
  <c r="A594" i="38"/>
  <c r="H594" i="38"/>
  <c r="A595" i="38"/>
  <c r="H595" i="38"/>
  <c r="A596" i="38"/>
  <c r="H596" i="38"/>
  <c r="A597" i="38"/>
  <c r="H597" i="38"/>
  <c r="A598" i="38"/>
  <c r="H598" i="38"/>
  <c r="A599" i="38"/>
  <c r="H599" i="38"/>
  <c r="A600" i="38"/>
  <c r="H600" i="38"/>
  <c r="A601" i="38"/>
  <c r="H601" i="38"/>
  <c r="A602" i="38"/>
  <c r="H602" i="38"/>
  <c r="A603" i="38"/>
  <c r="H603" i="38"/>
  <c r="A604" i="38"/>
  <c r="H604" i="38"/>
  <c r="A605" i="38"/>
  <c r="H605" i="38"/>
  <c r="A606" i="38"/>
  <c r="H606" i="38"/>
  <c r="A607" i="38"/>
  <c r="H607" i="38"/>
  <c r="A608" i="38"/>
  <c r="H608" i="38"/>
  <c r="A609" i="38"/>
  <c r="H609" i="38"/>
  <c r="A610" i="38"/>
  <c r="H610" i="38"/>
  <c r="A611" i="38"/>
  <c r="H611" i="38"/>
  <c r="A612" i="38"/>
  <c r="H612" i="38"/>
  <c r="A613" i="38"/>
  <c r="H613" i="38"/>
  <c r="A614" i="38"/>
  <c r="H614" i="38"/>
  <c r="A615" i="38"/>
  <c r="H615" i="38"/>
  <c r="A616" i="38"/>
  <c r="H616" i="38"/>
  <c r="A617" i="38"/>
  <c r="H617" i="38"/>
  <c r="A618" i="38"/>
  <c r="H618" i="38"/>
  <c r="A619" i="38"/>
  <c r="H619" i="38"/>
  <c r="A620" i="38"/>
  <c r="H620" i="38"/>
  <c r="A621" i="38"/>
  <c r="H621" i="38"/>
  <c r="A622" i="38"/>
  <c r="H622" i="38"/>
  <c r="A623" i="38"/>
  <c r="H623" i="38"/>
  <c r="A624" i="38"/>
  <c r="H624" i="38"/>
  <c r="A625" i="38"/>
  <c r="H625" i="38"/>
  <c r="A626" i="38"/>
  <c r="H626" i="38"/>
  <c r="A627" i="38"/>
  <c r="H627" i="38"/>
  <c r="A628" i="38"/>
  <c r="H628" i="38"/>
  <c r="A629" i="38"/>
  <c r="H629" i="38"/>
  <c r="A630" i="38"/>
  <c r="H630" i="38"/>
  <c r="A631" i="38"/>
  <c r="H631" i="38"/>
  <c r="A632" i="38"/>
  <c r="H632" i="38"/>
  <c r="A633" i="38"/>
  <c r="H633" i="38"/>
  <c r="A634" i="38"/>
  <c r="H634" i="38"/>
  <c r="A635" i="38"/>
  <c r="H635" i="38"/>
  <c r="A636" i="38"/>
  <c r="H636" i="38"/>
  <c r="A637" i="38"/>
  <c r="H637" i="38"/>
  <c r="A638" i="38"/>
  <c r="H638" i="38"/>
  <c r="A639" i="38"/>
  <c r="H639" i="38"/>
  <c r="A640" i="38"/>
  <c r="H640" i="38"/>
  <c r="A641" i="38"/>
  <c r="H641" i="38"/>
  <c r="A642" i="38"/>
  <c r="H642" i="38"/>
  <c r="A643" i="38"/>
  <c r="H643" i="38"/>
  <c r="A644" i="38"/>
  <c r="H644" i="38"/>
  <c r="A645" i="38"/>
  <c r="H645" i="38"/>
  <c r="A646" i="38"/>
  <c r="H646" i="38"/>
  <c r="A647" i="38"/>
  <c r="H647" i="38"/>
  <c r="A648" i="38"/>
  <c r="H648" i="38"/>
  <c r="A649" i="38"/>
  <c r="H649" i="38"/>
  <c r="A650" i="38"/>
  <c r="H650" i="38"/>
  <c r="A651" i="38"/>
  <c r="H651" i="38"/>
  <c r="A652" i="38"/>
  <c r="H652" i="38"/>
  <c r="A653" i="38"/>
  <c r="H653" i="38"/>
  <c r="A654" i="38"/>
  <c r="H654" i="38"/>
  <c r="A655" i="38"/>
  <c r="H655" i="38"/>
  <c r="A656" i="38"/>
  <c r="H656" i="38"/>
  <c r="A657" i="38"/>
  <c r="H657" i="38"/>
  <c r="A658" i="38"/>
  <c r="H658" i="38"/>
  <c r="A659" i="38"/>
  <c r="H659" i="38"/>
  <c r="A660" i="38"/>
  <c r="H660" i="38"/>
  <c r="A661" i="38"/>
  <c r="H661" i="38"/>
  <c r="A662" i="38"/>
  <c r="H662" i="38"/>
  <c r="A663" i="38"/>
  <c r="H663" i="38"/>
  <c r="A664" i="38"/>
  <c r="H664" i="38"/>
  <c r="A665" i="38"/>
  <c r="H665" i="38"/>
  <c r="A666" i="38"/>
  <c r="H666" i="38"/>
  <c r="A667" i="38"/>
  <c r="H667" i="38"/>
  <c r="A668" i="38"/>
  <c r="H668" i="38"/>
  <c r="A669" i="38"/>
  <c r="H669" i="38"/>
  <c r="A670" i="38"/>
  <c r="H670" i="38"/>
  <c r="A671" i="38"/>
  <c r="H671" i="38"/>
  <c r="A672" i="38"/>
  <c r="H672" i="38"/>
  <c r="A673" i="38"/>
  <c r="H673" i="38"/>
  <c r="A674" i="38"/>
  <c r="H674" i="38"/>
  <c r="A675" i="38"/>
  <c r="H675" i="38"/>
  <c r="A676" i="38"/>
  <c r="H676" i="38"/>
  <c r="A677" i="38"/>
  <c r="H677" i="38"/>
  <c r="A678" i="38"/>
  <c r="H678" i="38"/>
  <c r="A679" i="38"/>
  <c r="H679" i="38"/>
  <c r="A680" i="38"/>
  <c r="H680" i="38"/>
  <c r="A681" i="38"/>
  <c r="H681" i="38"/>
  <c r="A682" i="38"/>
  <c r="H682" i="38"/>
  <c r="A683" i="38"/>
  <c r="H683" i="38"/>
  <c r="A684" i="38"/>
  <c r="H684" i="38"/>
  <c r="A685" i="38"/>
  <c r="H685" i="38"/>
  <c r="A686" i="38"/>
  <c r="H686" i="38"/>
  <c r="A687" i="38"/>
  <c r="H687" i="38"/>
  <c r="A688" i="38"/>
  <c r="H688" i="38"/>
  <c r="A689" i="38"/>
  <c r="H689" i="38"/>
  <c r="A690" i="38"/>
  <c r="H690" i="38"/>
  <c r="A691" i="38"/>
  <c r="H691" i="38"/>
  <c r="A692" i="38"/>
  <c r="H692" i="38"/>
  <c r="A693" i="38"/>
  <c r="H693" i="38"/>
  <c r="A694" i="38"/>
  <c r="H694" i="38"/>
  <c r="A695" i="38"/>
  <c r="H695" i="38"/>
  <c r="A696" i="38"/>
  <c r="H696" i="38"/>
  <c r="A697" i="38"/>
  <c r="H697" i="38"/>
  <c r="A698" i="38"/>
  <c r="H698" i="38"/>
  <c r="A699" i="38"/>
  <c r="H699" i="38"/>
  <c r="A700" i="38"/>
  <c r="H700" i="38"/>
  <c r="A701" i="38"/>
  <c r="H701" i="38"/>
  <c r="A702" i="38"/>
  <c r="H702" i="38"/>
  <c r="A703" i="38"/>
  <c r="H703" i="38"/>
  <c r="A704" i="38"/>
  <c r="H704" i="38"/>
  <c r="A705" i="38"/>
  <c r="H705" i="38"/>
  <c r="A706" i="38"/>
  <c r="H706" i="38"/>
  <c r="A707" i="38"/>
  <c r="H707" i="38"/>
  <c r="A708" i="38"/>
  <c r="H708" i="38"/>
  <c r="A709" i="38"/>
  <c r="H709" i="38"/>
  <c r="A710" i="38"/>
  <c r="H710" i="38"/>
  <c r="A711" i="38"/>
  <c r="H711" i="38"/>
  <c r="A712" i="38"/>
  <c r="H712" i="38"/>
  <c r="A713" i="38"/>
  <c r="H713" i="38"/>
  <c r="A714" i="38"/>
  <c r="H714" i="38"/>
  <c r="A715" i="38"/>
  <c r="H715" i="38"/>
  <c r="A716" i="38"/>
  <c r="H716" i="38"/>
  <c r="A717" i="38"/>
  <c r="H717" i="38"/>
  <c r="A718" i="38"/>
  <c r="H718" i="38"/>
  <c r="A719" i="38"/>
  <c r="H719" i="38"/>
  <c r="A720" i="38"/>
  <c r="H720" i="38"/>
  <c r="A721" i="38"/>
  <c r="H721" i="38"/>
  <c r="A722" i="38"/>
  <c r="H722" i="38"/>
  <c r="A723" i="38"/>
  <c r="H723" i="38"/>
  <c r="A724" i="38"/>
  <c r="H724" i="38"/>
  <c r="A725" i="38"/>
  <c r="H725" i="38"/>
  <c r="A726" i="38"/>
  <c r="H726" i="38"/>
  <c r="A727" i="38"/>
  <c r="H727" i="38"/>
  <c r="A728" i="38"/>
  <c r="H728" i="38"/>
  <c r="A729" i="38"/>
  <c r="H729" i="38"/>
  <c r="A730" i="38"/>
  <c r="H730" i="38"/>
  <c r="A731" i="38"/>
  <c r="H731" i="38"/>
  <c r="A732" i="38"/>
  <c r="H732" i="38"/>
  <c r="A733" i="38"/>
  <c r="H733" i="38"/>
  <c r="H15" i="38"/>
  <c r="H16" i="38"/>
  <c r="H17" i="38"/>
  <c r="H18" i="38"/>
  <c r="H19" i="38"/>
  <c r="H14" i="38"/>
  <c r="I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C103" i="38"/>
  <c r="C104" i="38"/>
  <c r="C105" i="38"/>
  <c r="C106" i="38"/>
  <c r="C107" i="38"/>
  <c r="C108" i="38"/>
  <c r="C109" i="38"/>
  <c r="C110" i="38"/>
  <c r="C111" i="38"/>
  <c r="C112" i="38"/>
  <c r="C113" i="38"/>
  <c r="C114" i="38"/>
  <c r="C115" i="38"/>
  <c r="C116" i="38"/>
  <c r="C117" i="38"/>
  <c r="C118" i="38"/>
  <c r="C119" i="38"/>
  <c r="C120" i="38"/>
  <c r="C121" i="38"/>
  <c r="C122" i="38"/>
  <c r="C123" i="38"/>
  <c r="C124" i="38"/>
  <c r="C125" i="38"/>
  <c r="C126" i="38"/>
  <c r="C127" i="38"/>
  <c r="C128" i="38"/>
  <c r="C129" i="38"/>
  <c r="C130" i="38"/>
  <c r="C131" i="38"/>
  <c r="C132" i="38"/>
  <c r="C133" i="38"/>
  <c r="C134" i="38"/>
  <c r="C135" i="38"/>
  <c r="C136" i="38"/>
  <c r="C137" i="38"/>
  <c r="C138" i="38"/>
  <c r="C139" i="38"/>
  <c r="C140" i="38"/>
  <c r="C141" i="38"/>
  <c r="C142" i="38"/>
  <c r="C143" i="38"/>
  <c r="C144" i="38"/>
  <c r="C145" i="38"/>
  <c r="C146" i="38"/>
  <c r="C147" i="38"/>
  <c r="C148" i="38"/>
  <c r="C149" i="38"/>
  <c r="C150" i="38"/>
  <c r="C151" i="38"/>
  <c r="C152" i="38"/>
  <c r="C153" i="38"/>
  <c r="C154" i="38"/>
  <c r="C155" i="38"/>
  <c r="C156" i="38"/>
  <c r="C157" i="38"/>
  <c r="C158" i="38"/>
  <c r="C159" i="38"/>
  <c r="C160" i="38"/>
  <c r="C161" i="38"/>
  <c r="C162" i="38"/>
  <c r="C163" i="38"/>
  <c r="C164" i="38"/>
  <c r="C165" i="38"/>
  <c r="C166" i="38"/>
  <c r="C167" i="38"/>
  <c r="C168" i="38"/>
  <c r="C169" i="38"/>
  <c r="C170" i="38"/>
  <c r="C171" i="38"/>
  <c r="C172" i="38"/>
  <c r="C173" i="38"/>
  <c r="C174" i="38"/>
  <c r="C175" i="38"/>
  <c r="C176" i="38"/>
  <c r="C177" i="38"/>
  <c r="C178" i="38"/>
  <c r="C179" i="38"/>
  <c r="C180" i="38"/>
  <c r="C181" i="38"/>
  <c r="C182" i="38"/>
  <c r="C183" i="38"/>
  <c r="C184" i="38"/>
  <c r="C185" i="38"/>
  <c r="C186" i="38"/>
  <c r="C187" i="38"/>
  <c r="C188" i="38"/>
  <c r="C189" i="38"/>
  <c r="C190" i="38"/>
  <c r="C191" i="38"/>
  <c r="C192" i="38"/>
  <c r="C193" i="38"/>
  <c r="C194" i="38"/>
  <c r="C195" i="38"/>
  <c r="C196" i="38"/>
  <c r="C197" i="38"/>
  <c r="C198" i="38"/>
  <c r="C199" i="38"/>
  <c r="C200" i="38"/>
  <c r="C201" i="38"/>
  <c r="C202" i="38"/>
  <c r="C203" i="38"/>
  <c r="C204" i="38"/>
  <c r="C205" i="38"/>
  <c r="C206" i="38"/>
  <c r="C207" i="38"/>
  <c r="C208" i="38"/>
  <c r="C209" i="38"/>
  <c r="C210" i="38"/>
  <c r="C211" i="38"/>
  <c r="C212" i="38"/>
  <c r="C213" i="38"/>
  <c r="C214" i="38"/>
  <c r="C215" i="38"/>
  <c r="C216" i="38"/>
  <c r="C217" i="38"/>
  <c r="C218" i="38"/>
  <c r="C219" i="38"/>
  <c r="C220" i="38"/>
  <c r="C221" i="38"/>
  <c r="C222" i="38"/>
  <c r="C223" i="38"/>
  <c r="C224" i="38"/>
  <c r="C225" i="38"/>
  <c r="C226" i="38"/>
  <c r="C227" i="38"/>
  <c r="C228" i="38"/>
  <c r="C229" i="38"/>
  <c r="C230" i="38"/>
  <c r="C231" i="38"/>
  <c r="C232" i="38"/>
  <c r="C233" i="38"/>
  <c r="C234" i="38"/>
  <c r="C235" i="38"/>
  <c r="C236" i="38"/>
  <c r="C237" i="38"/>
  <c r="C238" i="38"/>
  <c r="C239" i="38"/>
  <c r="C240" i="38"/>
  <c r="C241" i="38"/>
  <c r="C242" i="38"/>
  <c r="C243" i="38"/>
  <c r="C244" i="38"/>
  <c r="C245" i="38"/>
  <c r="C246" i="38"/>
  <c r="C247" i="38"/>
  <c r="C248" i="38"/>
  <c r="C249" i="38"/>
  <c r="C250" i="38"/>
  <c r="C251" i="38"/>
  <c r="C252" i="38"/>
  <c r="C253" i="38"/>
  <c r="C254" i="38"/>
  <c r="C255" i="38"/>
  <c r="C256" i="38"/>
  <c r="C257" i="38"/>
  <c r="C258" i="38"/>
  <c r="C259" i="38"/>
  <c r="C260" i="38"/>
  <c r="C261" i="38"/>
  <c r="C262" i="38"/>
  <c r="C263" i="38"/>
  <c r="C264" i="38"/>
  <c r="C265" i="38"/>
  <c r="C266" i="38"/>
  <c r="C267" i="38"/>
  <c r="C268" i="38"/>
  <c r="C269" i="38"/>
  <c r="C270" i="38"/>
  <c r="C271" i="38"/>
  <c r="C272" i="38"/>
  <c r="C273" i="38"/>
  <c r="C274" i="38"/>
  <c r="C275" i="38"/>
  <c r="C276" i="38"/>
  <c r="C277" i="38"/>
  <c r="C278" i="38"/>
  <c r="C279" i="38"/>
  <c r="C280" i="38"/>
  <c r="C281" i="38"/>
  <c r="C282" i="38"/>
  <c r="C283" i="38"/>
  <c r="C284" i="38"/>
  <c r="C285" i="38"/>
  <c r="C286" i="38"/>
  <c r="C287" i="38"/>
  <c r="C288" i="38"/>
  <c r="C289" i="38"/>
  <c r="C290" i="38"/>
  <c r="C291" i="38"/>
  <c r="C292" i="38"/>
  <c r="C293" i="38"/>
  <c r="C294" i="38"/>
  <c r="C295" i="38"/>
  <c r="C296" i="38"/>
  <c r="C297" i="38"/>
  <c r="C298" i="38"/>
  <c r="C299" i="38"/>
  <c r="C300" i="38"/>
  <c r="C301" i="38"/>
  <c r="C302" i="38"/>
  <c r="C303" i="38"/>
  <c r="C304" i="38"/>
  <c r="C305" i="38"/>
  <c r="C306" i="38"/>
  <c r="C307" i="38"/>
  <c r="C308" i="38"/>
  <c r="C309" i="38"/>
  <c r="C310" i="38"/>
  <c r="C311" i="38"/>
  <c r="C312" i="38"/>
  <c r="C313" i="38"/>
  <c r="C314" i="38"/>
  <c r="C315" i="38"/>
  <c r="C316" i="38"/>
  <c r="C317" i="38"/>
  <c r="C318" i="38"/>
  <c r="C319" i="38"/>
  <c r="C320" i="38"/>
  <c r="C321" i="38"/>
  <c r="C322" i="38"/>
  <c r="C323" i="38"/>
  <c r="C324" i="38"/>
  <c r="C325" i="38"/>
  <c r="C326" i="38"/>
  <c r="C327" i="38"/>
  <c r="C328" i="38"/>
  <c r="C329" i="38"/>
  <c r="C330" i="38"/>
  <c r="C331" i="38"/>
  <c r="C332" i="38"/>
  <c r="C333" i="38"/>
  <c r="C334" i="38"/>
  <c r="C335" i="38"/>
  <c r="C336" i="38"/>
  <c r="C337" i="38"/>
  <c r="C338" i="38"/>
  <c r="C339" i="38"/>
  <c r="C340" i="38"/>
  <c r="C341" i="38"/>
  <c r="C342" i="38"/>
  <c r="C343" i="38"/>
  <c r="C344" i="38"/>
  <c r="C345" i="38"/>
  <c r="C346" i="38"/>
  <c r="C347" i="38"/>
  <c r="C348" i="38"/>
  <c r="C349" i="38"/>
  <c r="C350" i="38"/>
  <c r="C351" i="38"/>
  <c r="C352" i="38"/>
  <c r="C353" i="38"/>
  <c r="C354" i="38"/>
  <c r="C355" i="38"/>
  <c r="C356" i="38"/>
  <c r="C357" i="38"/>
  <c r="C358" i="38"/>
  <c r="C359" i="38"/>
  <c r="C360" i="38"/>
  <c r="C361" i="38"/>
  <c r="C362" i="38"/>
  <c r="C363" i="38"/>
  <c r="C364" i="38"/>
  <c r="C365" i="38"/>
  <c r="C366" i="38"/>
  <c r="C367" i="38"/>
  <c r="C368" i="38"/>
  <c r="C369" i="38"/>
  <c r="C370" i="38"/>
  <c r="C371" i="38"/>
  <c r="C372" i="38"/>
  <c r="C373" i="38"/>
  <c r="C374" i="38"/>
  <c r="C375" i="38"/>
  <c r="C376" i="38"/>
  <c r="C377" i="38"/>
  <c r="C378" i="38"/>
  <c r="C379" i="38"/>
  <c r="C380" i="38"/>
  <c r="C381" i="38"/>
  <c r="C382" i="38"/>
  <c r="C383" i="38"/>
  <c r="C384" i="38"/>
  <c r="C385" i="38"/>
  <c r="C386" i="38"/>
  <c r="C387" i="38"/>
  <c r="C388" i="38"/>
  <c r="C389" i="38"/>
  <c r="C390" i="38"/>
  <c r="C391" i="38"/>
  <c r="C392" i="38"/>
  <c r="C393" i="38"/>
  <c r="C394" i="38"/>
  <c r="C395" i="38"/>
  <c r="C396" i="38"/>
  <c r="C397" i="38"/>
  <c r="C398" i="38"/>
  <c r="C399" i="38"/>
  <c r="C400" i="38"/>
  <c r="C401" i="38"/>
  <c r="C402" i="38"/>
  <c r="C403" i="38"/>
  <c r="C404" i="38"/>
  <c r="C405" i="38"/>
  <c r="C406" i="38"/>
  <c r="C407" i="38"/>
  <c r="C408" i="38"/>
  <c r="C409" i="38"/>
  <c r="C410" i="38"/>
  <c r="C411" i="38"/>
  <c r="C412" i="38"/>
  <c r="C413" i="38"/>
  <c r="C414" i="38"/>
  <c r="C415" i="38"/>
  <c r="C416" i="38"/>
  <c r="C417" i="38"/>
  <c r="C418" i="38"/>
  <c r="C419" i="38"/>
  <c r="C420" i="38"/>
  <c r="C421" i="38"/>
  <c r="C422" i="38"/>
  <c r="C423" i="38"/>
  <c r="C424" i="38"/>
  <c r="C425" i="38"/>
  <c r="C426" i="38"/>
  <c r="C427" i="38"/>
  <c r="C428" i="38"/>
  <c r="C429" i="38"/>
  <c r="C430" i="38"/>
  <c r="C431" i="38"/>
  <c r="C432" i="38"/>
  <c r="C433" i="38"/>
  <c r="C434" i="38"/>
  <c r="C435" i="38"/>
  <c r="C436" i="38"/>
  <c r="C437" i="38"/>
  <c r="C438" i="38"/>
  <c r="C439" i="38"/>
  <c r="C440" i="38"/>
  <c r="C441" i="38"/>
  <c r="C442" i="38"/>
  <c r="C443" i="38"/>
  <c r="C444" i="38"/>
  <c r="C445" i="38"/>
  <c r="C446" i="38"/>
  <c r="C447" i="38"/>
  <c r="C448" i="38"/>
  <c r="C449" i="38"/>
  <c r="C450" i="38"/>
  <c r="C451" i="38"/>
  <c r="C452" i="38"/>
  <c r="C453" i="38"/>
  <c r="C454" i="38"/>
  <c r="C455" i="38"/>
  <c r="C456" i="38"/>
  <c r="C457" i="38"/>
  <c r="C458" i="38"/>
  <c r="C459" i="38"/>
  <c r="C460" i="38"/>
  <c r="C461" i="38"/>
  <c r="C462" i="38"/>
  <c r="C463" i="38"/>
  <c r="C464" i="38"/>
  <c r="C465" i="38"/>
  <c r="C466" i="38"/>
  <c r="C467" i="38"/>
  <c r="C468" i="38"/>
  <c r="C469" i="38"/>
  <c r="C470" i="38"/>
  <c r="C471" i="38"/>
  <c r="C472" i="38"/>
  <c r="C473" i="38"/>
  <c r="C474" i="38"/>
  <c r="C475" i="38"/>
  <c r="C476" i="38"/>
  <c r="C477" i="38"/>
  <c r="C478" i="38"/>
  <c r="C479" i="38"/>
  <c r="C480" i="38"/>
  <c r="C481" i="38"/>
  <c r="C482" i="38"/>
  <c r="C483" i="38"/>
  <c r="C484" i="38"/>
  <c r="C485" i="38"/>
  <c r="C486" i="38"/>
  <c r="C487" i="38"/>
  <c r="C488" i="38"/>
  <c r="C489" i="38"/>
  <c r="C490" i="38"/>
  <c r="C491" i="38"/>
  <c r="C492" i="38"/>
  <c r="C493" i="38"/>
  <c r="C494" i="38"/>
  <c r="C495" i="38"/>
  <c r="C496" i="38"/>
  <c r="C497" i="38"/>
  <c r="C498" i="38"/>
  <c r="C499" i="38"/>
  <c r="C500" i="38"/>
  <c r="C501" i="38"/>
  <c r="C502" i="38"/>
  <c r="C503" i="38"/>
  <c r="C504" i="38"/>
  <c r="C505" i="38"/>
  <c r="C506" i="38"/>
  <c r="C507" i="38"/>
  <c r="C508" i="38"/>
  <c r="C509" i="38"/>
  <c r="C510" i="38"/>
  <c r="C511" i="38"/>
  <c r="C512" i="38"/>
  <c r="C513" i="38"/>
  <c r="C514" i="38"/>
  <c r="C515" i="38"/>
  <c r="C516" i="38"/>
  <c r="C517" i="38"/>
  <c r="C518" i="38"/>
  <c r="C519" i="38"/>
  <c r="C520" i="38"/>
  <c r="C521" i="38"/>
  <c r="C522" i="38"/>
  <c r="C523" i="38"/>
  <c r="C524" i="38"/>
  <c r="C525" i="38"/>
  <c r="C526" i="38"/>
  <c r="C527" i="38"/>
  <c r="C528" i="38"/>
  <c r="C529" i="38"/>
  <c r="C530" i="38"/>
  <c r="C531" i="38"/>
  <c r="C532" i="38"/>
  <c r="C533" i="38"/>
  <c r="C534" i="38"/>
  <c r="C535" i="38"/>
  <c r="C536" i="38"/>
  <c r="C537" i="38"/>
  <c r="C538" i="38"/>
  <c r="C539" i="38"/>
  <c r="C540" i="38"/>
  <c r="C541" i="38"/>
  <c r="C542" i="38"/>
  <c r="C543" i="38"/>
  <c r="C544" i="38"/>
  <c r="C545" i="38"/>
  <c r="C546" i="38"/>
  <c r="C547" i="38"/>
  <c r="C548" i="38"/>
  <c r="C549" i="38"/>
  <c r="C550" i="38"/>
  <c r="C551" i="38"/>
  <c r="C552" i="38"/>
  <c r="C553" i="38"/>
  <c r="C554" i="38"/>
  <c r="C555" i="38"/>
  <c r="C556" i="38"/>
  <c r="C557" i="38"/>
  <c r="C558" i="38"/>
  <c r="C559" i="38"/>
  <c r="C560" i="38"/>
  <c r="C561" i="38"/>
  <c r="C562" i="38"/>
  <c r="C563" i="38"/>
  <c r="C564" i="38"/>
  <c r="C565" i="38"/>
  <c r="C566" i="38"/>
  <c r="C567" i="38"/>
  <c r="C568" i="38"/>
  <c r="C569" i="38"/>
  <c r="C570" i="38"/>
  <c r="C571" i="38"/>
  <c r="C572" i="38"/>
  <c r="C573" i="38"/>
  <c r="C574" i="38"/>
  <c r="C575" i="38"/>
  <c r="C576" i="38"/>
  <c r="C577" i="38"/>
  <c r="C578" i="38"/>
  <c r="C579" i="38"/>
  <c r="C580" i="38"/>
  <c r="C581" i="38"/>
  <c r="C582" i="38"/>
  <c r="C583" i="38"/>
  <c r="C584" i="38"/>
  <c r="C585" i="38"/>
  <c r="C586" i="38"/>
  <c r="C587" i="38"/>
  <c r="C588" i="38"/>
  <c r="C589" i="38"/>
  <c r="C590" i="38"/>
  <c r="C591" i="38"/>
  <c r="C592" i="38"/>
  <c r="C593" i="38"/>
  <c r="C594" i="38"/>
  <c r="C595" i="38"/>
  <c r="C596" i="38"/>
  <c r="C597" i="38"/>
  <c r="C598" i="38"/>
  <c r="C599" i="38"/>
  <c r="C600" i="38"/>
  <c r="C601" i="38"/>
  <c r="C602" i="38"/>
  <c r="C603" i="38"/>
  <c r="C604" i="38"/>
  <c r="C605" i="38"/>
  <c r="C606" i="38"/>
  <c r="C607" i="38"/>
  <c r="C608" i="38"/>
  <c r="C609" i="38"/>
  <c r="C610" i="38"/>
  <c r="C611" i="38"/>
  <c r="C612" i="38"/>
  <c r="C613" i="38"/>
  <c r="C614" i="38"/>
  <c r="C615" i="38"/>
  <c r="C616" i="38"/>
  <c r="C617" i="38"/>
  <c r="C618" i="38"/>
  <c r="C619" i="38"/>
  <c r="C620" i="38"/>
  <c r="C621" i="38"/>
  <c r="C622" i="38"/>
  <c r="C623" i="38"/>
  <c r="C624" i="38"/>
  <c r="C625" i="38"/>
  <c r="C626" i="38"/>
  <c r="C627" i="38"/>
  <c r="C628" i="38"/>
  <c r="C629" i="38"/>
  <c r="C630" i="38"/>
  <c r="C631" i="38"/>
  <c r="C632" i="38"/>
  <c r="C633" i="38"/>
  <c r="C634" i="38"/>
  <c r="C635" i="38"/>
  <c r="C636" i="38"/>
  <c r="C637" i="38"/>
  <c r="C638" i="38"/>
  <c r="C639" i="38"/>
  <c r="C640" i="38"/>
  <c r="C641" i="38"/>
  <c r="C642" i="38"/>
  <c r="C643" i="38"/>
  <c r="C644" i="38"/>
  <c r="C645" i="38"/>
  <c r="C646" i="38"/>
  <c r="C647" i="38"/>
  <c r="C648" i="38"/>
  <c r="C649" i="38"/>
  <c r="C650" i="38"/>
  <c r="C651" i="38"/>
  <c r="C652" i="38"/>
  <c r="C653" i="38"/>
  <c r="C654" i="38"/>
  <c r="C655" i="38"/>
  <c r="C656" i="38"/>
  <c r="C657" i="38"/>
  <c r="C658" i="38"/>
  <c r="C659" i="38"/>
  <c r="C660" i="38"/>
  <c r="C661" i="38"/>
  <c r="C662" i="38"/>
  <c r="C663" i="38"/>
  <c r="C664" i="38"/>
  <c r="C665" i="38"/>
  <c r="C666" i="38"/>
  <c r="C667" i="38"/>
  <c r="C668" i="38"/>
  <c r="C669" i="38"/>
  <c r="C670" i="38"/>
  <c r="C671" i="38"/>
  <c r="C672" i="38"/>
  <c r="C673" i="38"/>
  <c r="C674" i="38"/>
  <c r="C675" i="38"/>
  <c r="C676" i="38"/>
  <c r="C677" i="38"/>
  <c r="C678" i="38"/>
  <c r="C679" i="38"/>
  <c r="C680" i="38"/>
  <c r="C681" i="38"/>
  <c r="C682" i="38"/>
  <c r="C683" i="38"/>
  <c r="C684" i="38"/>
  <c r="C685" i="38"/>
  <c r="C686" i="38"/>
  <c r="C687" i="38"/>
  <c r="C688" i="38"/>
  <c r="C689" i="38"/>
  <c r="C690" i="38"/>
  <c r="C691" i="38"/>
  <c r="C692" i="38"/>
  <c r="C693" i="38"/>
  <c r="C694" i="38"/>
  <c r="C695" i="38"/>
  <c r="C696" i="38"/>
  <c r="C697" i="38"/>
  <c r="C698" i="38"/>
  <c r="C699" i="38"/>
  <c r="C700" i="38"/>
  <c r="C701" i="38"/>
  <c r="C702" i="38"/>
  <c r="C703" i="38"/>
  <c r="C704" i="38"/>
  <c r="C705" i="38"/>
  <c r="C706" i="38"/>
  <c r="C707" i="38"/>
  <c r="C708" i="38"/>
  <c r="C709" i="38"/>
  <c r="C710" i="38"/>
  <c r="C711" i="38"/>
  <c r="C712" i="38"/>
  <c r="C713" i="38"/>
  <c r="C714" i="38"/>
  <c r="C715" i="38"/>
  <c r="C716" i="38"/>
  <c r="C717" i="38"/>
  <c r="C718" i="38"/>
  <c r="C719" i="38"/>
  <c r="C720" i="38"/>
  <c r="C721" i="38"/>
  <c r="C722" i="38"/>
  <c r="C723" i="38"/>
  <c r="C724" i="38"/>
  <c r="C725" i="38"/>
  <c r="C726" i="38"/>
  <c r="C727" i="38"/>
  <c r="C728" i="38"/>
  <c r="C729" i="38"/>
  <c r="C730" i="38"/>
  <c r="C731" i="38"/>
  <c r="C732" i="38"/>
  <c r="C733" i="38"/>
  <c r="A734" i="38"/>
  <c r="C734" i="38"/>
  <c r="C14" i="38"/>
  <c r="B9" i="38"/>
  <c r="B10" i="38"/>
  <c r="B734" i="38"/>
  <c r="D734" i="38"/>
  <c r="B733" i="38"/>
  <c r="D733" i="38"/>
  <c r="B732" i="38"/>
  <c r="D732" i="38"/>
  <c r="B731" i="38"/>
  <c r="D731" i="38"/>
  <c r="B730" i="38"/>
  <c r="D730" i="38"/>
  <c r="B729" i="38"/>
  <c r="D729" i="38"/>
  <c r="B728" i="38"/>
  <c r="D728" i="38"/>
  <c r="B727" i="38"/>
  <c r="D727" i="38"/>
  <c r="B726" i="38"/>
  <c r="D726" i="38"/>
  <c r="B725" i="38"/>
  <c r="D725" i="38"/>
  <c r="B724" i="38"/>
  <c r="D724" i="38"/>
  <c r="B723" i="38"/>
  <c r="D723" i="38"/>
  <c r="B722" i="38"/>
  <c r="D722" i="38"/>
  <c r="B721" i="38"/>
  <c r="D721" i="38"/>
  <c r="B720" i="38"/>
  <c r="D720" i="38"/>
  <c r="B719" i="38"/>
  <c r="D719" i="38"/>
  <c r="B718" i="38"/>
  <c r="D718" i="38"/>
  <c r="B717" i="38"/>
  <c r="D717" i="38"/>
  <c r="B716" i="38"/>
  <c r="D716" i="38"/>
  <c r="B715" i="38"/>
  <c r="D715" i="38"/>
  <c r="B714" i="38"/>
  <c r="D714" i="38"/>
  <c r="B713" i="38"/>
  <c r="D713" i="38"/>
  <c r="B712" i="38"/>
  <c r="D712" i="38"/>
  <c r="B711" i="38"/>
  <c r="D711" i="38"/>
  <c r="B710" i="38"/>
  <c r="D710" i="38"/>
  <c r="B709" i="38"/>
  <c r="D709" i="38"/>
  <c r="B708" i="38"/>
  <c r="D708" i="38"/>
  <c r="B707" i="38"/>
  <c r="D707" i="38"/>
  <c r="B706" i="38"/>
  <c r="D706" i="38"/>
  <c r="B705" i="38"/>
  <c r="D705" i="38"/>
  <c r="B704" i="38"/>
  <c r="D704" i="38"/>
  <c r="B703" i="38"/>
  <c r="D703" i="38"/>
  <c r="B702" i="38"/>
  <c r="D702" i="38"/>
  <c r="B701" i="38"/>
  <c r="D701" i="38"/>
  <c r="B700" i="38"/>
  <c r="D700" i="38"/>
  <c r="B699" i="38"/>
  <c r="D699" i="38"/>
  <c r="B698" i="38"/>
  <c r="D698" i="38"/>
  <c r="B697" i="38"/>
  <c r="D697" i="38"/>
  <c r="B696" i="38"/>
  <c r="D696" i="38"/>
  <c r="B695" i="38"/>
  <c r="D695" i="38"/>
  <c r="B694" i="38"/>
  <c r="D694" i="38"/>
  <c r="B693" i="38"/>
  <c r="D693" i="38"/>
  <c r="B692" i="38"/>
  <c r="D692" i="38"/>
  <c r="B691" i="38"/>
  <c r="D691" i="38"/>
  <c r="B690" i="38"/>
  <c r="D690" i="38"/>
  <c r="B689" i="38"/>
  <c r="D689" i="38"/>
  <c r="B688" i="38"/>
  <c r="D688" i="38"/>
  <c r="B687" i="38"/>
  <c r="D687" i="38"/>
  <c r="B686" i="38"/>
  <c r="D686" i="38"/>
  <c r="B685" i="38"/>
  <c r="D685" i="38"/>
  <c r="B684" i="38"/>
  <c r="D684" i="38"/>
  <c r="B683" i="38"/>
  <c r="D683" i="38"/>
  <c r="B682" i="38"/>
  <c r="D682" i="38"/>
  <c r="B681" i="38"/>
  <c r="D681" i="38"/>
  <c r="B680" i="38"/>
  <c r="D680" i="38"/>
  <c r="B679" i="38"/>
  <c r="D679" i="38"/>
  <c r="B678" i="38"/>
  <c r="D678" i="38"/>
  <c r="B677" i="38"/>
  <c r="D677" i="38"/>
  <c r="B676" i="38"/>
  <c r="D676" i="38"/>
  <c r="B675" i="38"/>
  <c r="D675" i="38"/>
  <c r="B674" i="38"/>
  <c r="D674" i="38"/>
  <c r="B673" i="38"/>
  <c r="D673" i="38"/>
  <c r="B672" i="38"/>
  <c r="D672" i="38"/>
  <c r="B671" i="38"/>
  <c r="D671" i="38"/>
  <c r="B670" i="38"/>
  <c r="D670" i="38"/>
  <c r="B669" i="38"/>
  <c r="D669" i="38"/>
  <c r="B668" i="38"/>
  <c r="D668" i="38"/>
  <c r="B667" i="38"/>
  <c r="D667" i="38"/>
  <c r="B666" i="38"/>
  <c r="D666" i="38"/>
  <c r="B665" i="38"/>
  <c r="D665" i="38"/>
  <c r="B664" i="38"/>
  <c r="D664" i="38"/>
  <c r="B663" i="38"/>
  <c r="D663" i="38"/>
  <c r="B662" i="38"/>
  <c r="D662" i="38"/>
  <c r="B661" i="38"/>
  <c r="D661" i="38"/>
  <c r="B660" i="38"/>
  <c r="D660" i="38"/>
  <c r="B659" i="38"/>
  <c r="D659" i="38"/>
  <c r="B658" i="38"/>
  <c r="D658" i="38"/>
  <c r="B657" i="38"/>
  <c r="D657" i="38"/>
  <c r="B656" i="38"/>
  <c r="D656" i="38"/>
  <c r="B655" i="38"/>
  <c r="D655" i="38"/>
  <c r="B654" i="38"/>
  <c r="D654" i="38"/>
  <c r="B653" i="38"/>
  <c r="D653" i="38"/>
  <c r="B652" i="38"/>
  <c r="D652" i="38"/>
  <c r="B651" i="38"/>
  <c r="D651" i="38"/>
  <c r="B650" i="38"/>
  <c r="D650" i="38"/>
  <c r="B649" i="38"/>
  <c r="D649" i="38"/>
  <c r="B648" i="38"/>
  <c r="D648" i="38"/>
  <c r="B647" i="38"/>
  <c r="D647" i="38"/>
  <c r="B646" i="38"/>
  <c r="D646" i="38"/>
  <c r="B645" i="38"/>
  <c r="D645" i="38"/>
  <c r="B644" i="38"/>
  <c r="D644" i="38"/>
  <c r="B643" i="38"/>
  <c r="D643" i="38"/>
  <c r="B642" i="38"/>
  <c r="D642" i="38"/>
  <c r="B641" i="38"/>
  <c r="D641" i="38"/>
  <c r="B640" i="38"/>
  <c r="D640" i="38"/>
  <c r="B639" i="38"/>
  <c r="D639" i="38"/>
  <c r="B638" i="38"/>
  <c r="D638" i="38"/>
  <c r="B637" i="38"/>
  <c r="D637" i="38"/>
  <c r="B636" i="38"/>
  <c r="D636" i="38"/>
  <c r="B635" i="38"/>
  <c r="D635" i="38"/>
  <c r="B634" i="38"/>
  <c r="D634" i="38"/>
  <c r="B633" i="38"/>
  <c r="D633" i="38"/>
  <c r="B632" i="38"/>
  <c r="D632" i="38"/>
  <c r="B631" i="38"/>
  <c r="D631" i="38"/>
  <c r="B630" i="38"/>
  <c r="D630" i="38"/>
  <c r="B629" i="38"/>
  <c r="D629" i="38"/>
  <c r="B628" i="38"/>
  <c r="D628" i="38"/>
  <c r="B627" i="38"/>
  <c r="D627" i="38"/>
  <c r="B626" i="38"/>
  <c r="D626" i="38"/>
  <c r="B625" i="38"/>
  <c r="D625" i="38"/>
  <c r="B624" i="38"/>
  <c r="D624" i="38"/>
  <c r="B623" i="38"/>
  <c r="D623" i="38"/>
  <c r="B622" i="38"/>
  <c r="D622" i="38"/>
  <c r="B621" i="38"/>
  <c r="D621" i="38"/>
  <c r="B620" i="38"/>
  <c r="D620" i="38"/>
  <c r="B619" i="38"/>
  <c r="D619" i="38"/>
  <c r="B618" i="38"/>
  <c r="D618" i="38"/>
  <c r="B617" i="38"/>
  <c r="D617" i="38"/>
  <c r="B616" i="38"/>
  <c r="D616" i="38"/>
  <c r="B615" i="38"/>
  <c r="D615" i="38"/>
  <c r="B614" i="38"/>
  <c r="D614" i="38"/>
  <c r="B613" i="38"/>
  <c r="D613" i="38"/>
  <c r="B612" i="38"/>
  <c r="D612" i="38"/>
  <c r="B611" i="38"/>
  <c r="D611" i="38"/>
  <c r="B610" i="38"/>
  <c r="D610" i="38"/>
  <c r="B609" i="38"/>
  <c r="D609" i="38"/>
  <c r="B608" i="38"/>
  <c r="D608" i="38"/>
  <c r="B607" i="38"/>
  <c r="D607" i="38"/>
  <c r="B606" i="38"/>
  <c r="D606" i="38"/>
  <c r="B605" i="38"/>
  <c r="D605" i="38"/>
  <c r="B604" i="38"/>
  <c r="D604" i="38"/>
  <c r="B603" i="38"/>
  <c r="D603" i="38"/>
  <c r="B602" i="38"/>
  <c r="D602" i="38"/>
  <c r="B601" i="38"/>
  <c r="D601" i="38"/>
  <c r="B600" i="38"/>
  <c r="D600" i="38"/>
  <c r="B599" i="38"/>
  <c r="D599" i="38"/>
  <c r="B598" i="38"/>
  <c r="D598" i="38"/>
  <c r="B597" i="38"/>
  <c r="D597" i="38"/>
  <c r="B596" i="38"/>
  <c r="D596" i="38"/>
  <c r="B595" i="38"/>
  <c r="D595" i="38"/>
  <c r="B594" i="38"/>
  <c r="D594" i="38"/>
  <c r="B593" i="38"/>
  <c r="D593" i="38"/>
  <c r="B592" i="38"/>
  <c r="D592" i="38"/>
  <c r="B591" i="38"/>
  <c r="D591" i="38"/>
  <c r="B590" i="38"/>
  <c r="D590" i="38"/>
  <c r="B589" i="38"/>
  <c r="D589" i="38"/>
  <c r="B588" i="38"/>
  <c r="D588" i="38"/>
  <c r="B587" i="38"/>
  <c r="D587" i="38"/>
  <c r="B586" i="38"/>
  <c r="D586" i="38"/>
  <c r="B585" i="38"/>
  <c r="D585" i="38"/>
  <c r="B584" i="38"/>
  <c r="D584" i="38"/>
  <c r="B583" i="38"/>
  <c r="D583" i="38"/>
  <c r="B582" i="38"/>
  <c r="D582" i="38"/>
  <c r="B581" i="38"/>
  <c r="D581" i="38"/>
  <c r="B580" i="38"/>
  <c r="D580" i="38"/>
  <c r="B579" i="38"/>
  <c r="D579" i="38"/>
  <c r="B578" i="38"/>
  <c r="D578" i="38"/>
  <c r="B577" i="38"/>
  <c r="D577" i="38"/>
  <c r="B576" i="38"/>
  <c r="D576" i="38"/>
  <c r="B575" i="38"/>
  <c r="D575" i="38"/>
  <c r="B574" i="38"/>
  <c r="D574" i="38"/>
  <c r="B573" i="38"/>
  <c r="D573" i="38"/>
  <c r="B572" i="38"/>
  <c r="D572" i="38"/>
  <c r="B571" i="38"/>
  <c r="D571" i="38"/>
  <c r="B570" i="38"/>
  <c r="D570" i="38"/>
  <c r="B569" i="38"/>
  <c r="D569" i="38"/>
  <c r="B568" i="38"/>
  <c r="D568" i="38"/>
  <c r="B567" i="38"/>
  <c r="D567" i="38"/>
  <c r="B566" i="38"/>
  <c r="D566" i="38"/>
  <c r="B565" i="38"/>
  <c r="D565" i="38"/>
  <c r="B564" i="38"/>
  <c r="D564" i="38"/>
  <c r="B563" i="38"/>
  <c r="D563" i="38"/>
  <c r="B562" i="38"/>
  <c r="D562" i="38"/>
  <c r="B561" i="38"/>
  <c r="D561" i="38"/>
  <c r="B560" i="38"/>
  <c r="D560" i="38"/>
  <c r="B559" i="38"/>
  <c r="D559" i="38"/>
  <c r="B558" i="38"/>
  <c r="D558" i="38"/>
  <c r="B557" i="38"/>
  <c r="D557" i="38"/>
  <c r="B556" i="38"/>
  <c r="D556" i="38"/>
  <c r="B555" i="38"/>
  <c r="D555" i="38"/>
  <c r="B554" i="38"/>
  <c r="D554" i="38"/>
  <c r="B553" i="38"/>
  <c r="D553" i="38"/>
  <c r="B552" i="38"/>
  <c r="D552" i="38"/>
  <c r="B551" i="38"/>
  <c r="D551" i="38"/>
  <c r="B550" i="38"/>
  <c r="D550" i="38"/>
  <c r="B549" i="38"/>
  <c r="D549" i="38"/>
  <c r="B548" i="38"/>
  <c r="D548" i="38"/>
  <c r="B547" i="38"/>
  <c r="D547" i="38"/>
  <c r="B546" i="38"/>
  <c r="D546" i="38"/>
  <c r="B545" i="38"/>
  <c r="D545" i="38"/>
  <c r="B544" i="38"/>
  <c r="D544" i="38"/>
  <c r="B543" i="38"/>
  <c r="D543" i="38"/>
  <c r="B542" i="38"/>
  <c r="D542" i="38"/>
  <c r="B541" i="38"/>
  <c r="D541" i="38"/>
  <c r="B540" i="38"/>
  <c r="D540" i="38"/>
  <c r="B539" i="38"/>
  <c r="D539" i="38"/>
  <c r="B538" i="38"/>
  <c r="D538" i="38"/>
  <c r="B537" i="38"/>
  <c r="D537" i="38"/>
  <c r="B536" i="38"/>
  <c r="D536" i="38"/>
  <c r="B535" i="38"/>
  <c r="D535" i="38"/>
  <c r="B534" i="38"/>
  <c r="D534" i="38"/>
  <c r="B533" i="38"/>
  <c r="D533" i="38"/>
  <c r="B532" i="38"/>
  <c r="D532" i="38"/>
  <c r="B531" i="38"/>
  <c r="D531" i="38"/>
  <c r="B530" i="38"/>
  <c r="D530" i="38"/>
  <c r="B529" i="38"/>
  <c r="D529" i="38"/>
  <c r="B528" i="38"/>
  <c r="D528" i="38"/>
  <c r="B527" i="38"/>
  <c r="D527" i="38"/>
  <c r="B526" i="38"/>
  <c r="D526" i="38"/>
  <c r="B525" i="38"/>
  <c r="D525" i="38"/>
  <c r="B524" i="38"/>
  <c r="D524" i="38"/>
  <c r="B523" i="38"/>
  <c r="D523" i="38"/>
  <c r="B522" i="38"/>
  <c r="D522" i="38"/>
  <c r="B521" i="38"/>
  <c r="D521" i="38"/>
  <c r="B520" i="38"/>
  <c r="D520" i="38"/>
  <c r="B519" i="38"/>
  <c r="D519" i="38"/>
  <c r="B518" i="38"/>
  <c r="D518" i="38"/>
  <c r="B517" i="38"/>
  <c r="D517" i="38"/>
  <c r="B516" i="38"/>
  <c r="D516" i="38"/>
  <c r="B515" i="38"/>
  <c r="D515" i="38"/>
  <c r="B514" i="38"/>
  <c r="D514" i="38"/>
  <c r="B513" i="38"/>
  <c r="D513" i="38"/>
  <c r="B512" i="38"/>
  <c r="D512" i="38"/>
  <c r="B511" i="38"/>
  <c r="D511" i="38"/>
  <c r="B510" i="38"/>
  <c r="D510" i="38"/>
  <c r="B509" i="38"/>
  <c r="D509" i="38"/>
  <c r="B508" i="38"/>
  <c r="D508" i="38"/>
  <c r="B507" i="38"/>
  <c r="D507" i="38"/>
  <c r="B506" i="38"/>
  <c r="D506" i="38"/>
  <c r="B505" i="38"/>
  <c r="D505" i="38"/>
  <c r="B504" i="38"/>
  <c r="D504" i="38"/>
  <c r="B503" i="38"/>
  <c r="D503" i="38"/>
  <c r="B502" i="38"/>
  <c r="D502" i="38"/>
  <c r="B501" i="38"/>
  <c r="D501" i="38"/>
  <c r="B500" i="38"/>
  <c r="D500" i="38"/>
  <c r="B499" i="38"/>
  <c r="D499" i="38"/>
  <c r="B498" i="38"/>
  <c r="D498" i="38"/>
  <c r="B497" i="38"/>
  <c r="D497" i="38"/>
  <c r="B496" i="38"/>
  <c r="D496" i="38"/>
  <c r="B495" i="38"/>
  <c r="D495" i="38"/>
  <c r="B494" i="38"/>
  <c r="D494" i="38"/>
  <c r="B493" i="38"/>
  <c r="D493" i="38"/>
  <c r="B492" i="38"/>
  <c r="D492" i="38"/>
  <c r="B491" i="38"/>
  <c r="D491" i="38"/>
  <c r="B490" i="38"/>
  <c r="D490" i="38"/>
  <c r="B489" i="38"/>
  <c r="D489" i="38"/>
  <c r="B488" i="38"/>
  <c r="D488" i="38"/>
  <c r="B487" i="38"/>
  <c r="D487" i="38"/>
  <c r="B486" i="38"/>
  <c r="D486" i="38"/>
  <c r="B485" i="38"/>
  <c r="D485" i="38"/>
  <c r="B484" i="38"/>
  <c r="D484" i="38"/>
  <c r="B483" i="38"/>
  <c r="D483" i="38"/>
  <c r="B482" i="38"/>
  <c r="D482" i="38"/>
  <c r="B481" i="38"/>
  <c r="D481" i="38"/>
  <c r="B480" i="38"/>
  <c r="D480" i="38"/>
  <c r="B479" i="38"/>
  <c r="D479" i="38"/>
  <c r="B478" i="38"/>
  <c r="D478" i="38"/>
  <c r="B477" i="38"/>
  <c r="D477" i="38"/>
  <c r="B476" i="38"/>
  <c r="D476" i="38"/>
  <c r="B475" i="38"/>
  <c r="D475" i="38"/>
  <c r="B474" i="38"/>
  <c r="D474" i="38"/>
  <c r="B473" i="38"/>
  <c r="D473" i="38"/>
  <c r="B472" i="38"/>
  <c r="D472" i="38"/>
  <c r="B471" i="38"/>
  <c r="D471" i="38"/>
  <c r="B470" i="38"/>
  <c r="D470" i="38"/>
  <c r="B469" i="38"/>
  <c r="D469" i="38"/>
  <c r="B468" i="38"/>
  <c r="D468" i="38"/>
  <c r="B467" i="38"/>
  <c r="D467" i="38"/>
  <c r="B466" i="38"/>
  <c r="D466" i="38"/>
  <c r="B465" i="38"/>
  <c r="D465" i="38"/>
  <c r="B464" i="38"/>
  <c r="D464" i="38"/>
  <c r="B463" i="38"/>
  <c r="D463" i="38"/>
  <c r="B462" i="38"/>
  <c r="D462" i="38"/>
  <c r="B461" i="38"/>
  <c r="D461" i="38"/>
  <c r="B460" i="38"/>
  <c r="D460" i="38"/>
  <c r="B459" i="38"/>
  <c r="D459" i="38"/>
  <c r="B458" i="38"/>
  <c r="D458" i="38"/>
  <c r="B457" i="38"/>
  <c r="D457" i="38"/>
  <c r="B456" i="38"/>
  <c r="D456" i="38"/>
  <c r="B455" i="38"/>
  <c r="D455" i="38"/>
  <c r="B454" i="38"/>
  <c r="D454" i="38"/>
  <c r="B453" i="38"/>
  <c r="D453" i="38"/>
  <c r="B452" i="38"/>
  <c r="D452" i="38"/>
  <c r="B451" i="38"/>
  <c r="D451" i="38"/>
  <c r="B450" i="38"/>
  <c r="D450" i="38"/>
  <c r="B449" i="38"/>
  <c r="D449" i="38"/>
  <c r="B448" i="38"/>
  <c r="D448" i="38"/>
  <c r="B447" i="38"/>
  <c r="D447" i="38"/>
  <c r="B446" i="38"/>
  <c r="D446" i="38"/>
  <c r="B445" i="38"/>
  <c r="D445" i="38"/>
  <c r="B444" i="38"/>
  <c r="D444" i="38"/>
  <c r="B443" i="38"/>
  <c r="D443" i="38"/>
  <c r="B442" i="38"/>
  <c r="D442" i="38"/>
  <c r="B441" i="38"/>
  <c r="D441" i="38"/>
  <c r="B440" i="38"/>
  <c r="D440" i="38"/>
  <c r="B439" i="38"/>
  <c r="D439" i="38"/>
  <c r="B438" i="38"/>
  <c r="D438" i="38"/>
  <c r="B437" i="38"/>
  <c r="D437" i="38"/>
  <c r="B436" i="38"/>
  <c r="D436" i="38"/>
  <c r="B435" i="38"/>
  <c r="D435" i="38"/>
  <c r="B434" i="38"/>
  <c r="D434" i="38"/>
  <c r="B433" i="38"/>
  <c r="D433" i="38"/>
  <c r="B432" i="38"/>
  <c r="D432" i="38"/>
  <c r="B431" i="38"/>
  <c r="D431" i="38"/>
  <c r="B430" i="38"/>
  <c r="D430" i="38"/>
  <c r="B429" i="38"/>
  <c r="D429" i="38"/>
  <c r="B428" i="38"/>
  <c r="D428" i="38"/>
  <c r="B427" i="38"/>
  <c r="D427" i="38"/>
  <c r="B426" i="38"/>
  <c r="D426" i="38"/>
  <c r="B425" i="38"/>
  <c r="D425" i="38"/>
  <c r="B424" i="38"/>
  <c r="D424" i="38"/>
  <c r="B423" i="38"/>
  <c r="D423" i="38"/>
  <c r="B422" i="38"/>
  <c r="D422" i="38"/>
  <c r="B421" i="38"/>
  <c r="D421" i="38"/>
  <c r="B420" i="38"/>
  <c r="D420" i="38"/>
  <c r="B419" i="38"/>
  <c r="D419" i="38"/>
  <c r="B418" i="38"/>
  <c r="D418" i="38"/>
  <c r="B417" i="38"/>
  <c r="D417" i="38"/>
  <c r="B416" i="38"/>
  <c r="D416" i="38"/>
  <c r="B415" i="38"/>
  <c r="D415" i="38"/>
  <c r="B414" i="38"/>
  <c r="D414" i="38"/>
  <c r="B413" i="38"/>
  <c r="D413" i="38"/>
  <c r="B412" i="38"/>
  <c r="D412" i="38"/>
  <c r="B411" i="38"/>
  <c r="D411" i="38"/>
  <c r="B410" i="38"/>
  <c r="D410" i="38"/>
  <c r="B409" i="38"/>
  <c r="D409" i="38"/>
  <c r="B408" i="38"/>
  <c r="D408" i="38"/>
  <c r="B407" i="38"/>
  <c r="D407" i="38"/>
  <c r="B406" i="38"/>
  <c r="D406" i="38"/>
  <c r="B405" i="38"/>
  <c r="D405" i="38"/>
  <c r="B404" i="38"/>
  <c r="D404" i="38"/>
  <c r="B403" i="38"/>
  <c r="D403" i="38"/>
  <c r="B402" i="38"/>
  <c r="D402" i="38"/>
  <c r="B401" i="38"/>
  <c r="D401" i="38"/>
  <c r="B400" i="38"/>
  <c r="D400" i="38"/>
  <c r="B399" i="38"/>
  <c r="D399" i="38"/>
  <c r="B398" i="38"/>
  <c r="D398" i="38"/>
  <c r="B397" i="38"/>
  <c r="D397" i="38"/>
  <c r="B396" i="38"/>
  <c r="D396" i="38"/>
  <c r="B395" i="38"/>
  <c r="D395" i="38"/>
  <c r="B394" i="38"/>
  <c r="D394" i="38"/>
  <c r="B393" i="38"/>
  <c r="D393" i="38"/>
  <c r="B392" i="38"/>
  <c r="D392" i="38"/>
  <c r="B391" i="38"/>
  <c r="D391" i="38"/>
  <c r="B390" i="38"/>
  <c r="D390" i="38"/>
  <c r="B389" i="38"/>
  <c r="D389" i="38"/>
  <c r="B388" i="38"/>
  <c r="D388" i="38"/>
  <c r="B387" i="38"/>
  <c r="D387" i="38"/>
  <c r="B386" i="38"/>
  <c r="D386" i="38"/>
  <c r="B385" i="38"/>
  <c r="D385" i="38"/>
  <c r="B384" i="38"/>
  <c r="D384" i="38"/>
  <c r="B383" i="38"/>
  <c r="D383" i="38"/>
  <c r="B382" i="38"/>
  <c r="D382" i="38"/>
  <c r="B381" i="38"/>
  <c r="D381" i="38"/>
  <c r="B380" i="38"/>
  <c r="D380" i="38"/>
  <c r="B379" i="38"/>
  <c r="D379" i="38"/>
  <c r="B378" i="38"/>
  <c r="D378" i="38"/>
  <c r="B377" i="38"/>
  <c r="D377" i="38"/>
  <c r="B376" i="38"/>
  <c r="D376" i="38"/>
  <c r="B375" i="38"/>
  <c r="D375" i="38"/>
  <c r="B374" i="38"/>
  <c r="D374" i="38"/>
  <c r="B373" i="38"/>
  <c r="D373" i="38"/>
  <c r="B372" i="38"/>
  <c r="D372" i="38"/>
  <c r="B371" i="38"/>
  <c r="D371" i="38"/>
  <c r="B370" i="38"/>
  <c r="D370" i="38"/>
  <c r="B369" i="38"/>
  <c r="D369" i="38"/>
  <c r="B368" i="38"/>
  <c r="D368" i="38"/>
  <c r="B367" i="38"/>
  <c r="D367" i="38"/>
  <c r="B366" i="38"/>
  <c r="D366" i="38"/>
  <c r="B365" i="38"/>
  <c r="D365" i="38"/>
  <c r="B364" i="38"/>
  <c r="D364" i="38"/>
  <c r="B363" i="38"/>
  <c r="D363" i="38"/>
  <c r="B362" i="38"/>
  <c r="D362" i="38"/>
  <c r="B361" i="38"/>
  <c r="D361" i="38"/>
  <c r="B360" i="38"/>
  <c r="D360" i="38"/>
  <c r="B359" i="38"/>
  <c r="D359" i="38"/>
  <c r="B358" i="38"/>
  <c r="D358" i="38"/>
  <c r="B357" i="38"/>
  <c r="D357" i="38"/>
  <c r="B356" i="38"/>
  <c r="D356" i="38"/>
  <c r="B355" i="38"/>
  <c r="D355" i="38"/>
  <c r="B354" i="38"/>
  <c r="D354" i="38"/>
  <c r="B353" i="38"/>
  <c r="D353" i="38"/>
  <c r="B352" i="38"/>
  <c r="D352" i="38"/>
  <c r="B351" i="38"/>
  <c r="D351" i="38"/>
  <c r="B350" i="38"/>
  <c r="D350" i="38"/>
  <c r="B349" i="38"/>
  <c r="D349" i="38"/>
  <c r="B348" i="38"/>
  <c r="D348" i="38"/>
  <c r="B347" i="38"/>
  <c r="D347" i="38"/>
  <c r="B346" i="38"/>
  <c r="D346" i="38"/>
  <c r="B345" i="38"/>
  <c r="D345" i="38"/>
  <c r="B344" i="38"/>
  <c r="D344" i="38"/>
  <c r="B343" i="38"/>
  <c r="D343" i="38"/>
  <c r="B342" i="38"/>
  <c r="D342" i="38"/>
  <c r="B341" i="38"/>
  <c r="D341" i="38"/>
  <c r="B340" i="38"/>
  <c r="D340" i="38"/>
  <c r="B339" i="38"/>
  <c r="D339" i="38"/>
  <c r="B338" i="38"/>
  <c r="D338" i="38"/>
  <c r="B337" i="38"/>
  <c r="D337" i="38"/>
  <c r="B336" i="38"/>
  <c r="D336" i="38"/>
  <c r="B335" i="38"/>
  <c r="D335" i="38"/>
  <c r="B334" i="38"/>
  <c r="D334" i="38"/>
  <c r="B333" i="38"/>
  <c r="D333" i="38"/>
  <c r="B332" i="38"/>
  <c r="D332" i="38"/>
  <c r="B331" i="38"/>
  <c r="D331" i="38"/>
  <c r="B330" i="38"/>
  <c r="D330" i="38"/>
  <c r="B329" i="38"/>
  <c r="D329" i="38"/>
  <c r="B328" i="38"/>
  <c r="D328" i="38"/>
  <c r="B327" i="38"/>
  <c r="D327" i="38"/>
  <c r="B326" i="38"/>
  <c r="D326" i="38"/>
  <c r="B325" i="38"/>
  <c r="D325" i="38"/>
  <c r="B324" i="38"/>
  <c r="D324" i="38"/>
  <c r="B323" i="38"/>
  <c r="D323" i="38"/>
  <c r="B322" i="38"/>
  <c r="D322" i="38"/>
  <c r="B321" i="38"/>
  <c r="D321" i="38"/>
  <c r="B320" i="38"/>
  <c r="D320" i="38"/>
  <c r="B319" i="38"/>
  <c r="D319" i="38"/>
  <c r="B318" i="38"/>
  <c r="D318" i="38"/>
  <c r="B317" i="38"/>
  <c r="D317" i="38"/>
  <c r="B316" i="38"/>
  <c r="D316" i="38"/>
  <c r="B315" i="38"/>
  <c r="D315" i="38"/>
  <c r="B314" i="38"/>
  <c r="D314" i="38"/>
  <c r="B313" i="38"/>
  <c r="D313" i="38"/>
  <c r="B312" i="38"/>
  <c r="D312" i="38"/>
  <c r="B311" i="38"/>
  <c r="D311" i="38"/>
  <c r="B310" i="38"/>
  <c r="D310" i="38"/>
  <c r="B309" i="38"/>
  <c r="D309" i="38"/>
  <c r="B308" i="38"/>
  <c r="D308" i="38"/>
  <c r="B307" i="38"/>
  <c r="D307" i="38"/>
  <c r="B306" i="38"/>
  <c r="D306" i="38"/>
  <c r="B305" i="38"/>
  <c r="D305" i="38"/>
  <c r="B304" i="38"/>
  <c r="D304" i="38"/>
  <c r="B303" i="38"/>
  <c r="D303" i="38"/>
  <c r="B302" i="38"/>
  <c r="D302" i="38"/>
  <c r="B301" i="38"/>
  <c r="D301" i="38"/>
  <c r="B300" i="38"/>
  <c r="D300" i="38"/>
  <c r="B299" i="38"/>
  <c r="D299" i="38"/>
  <c r="B298" i="38"/>
  <c r="D298" i="38"/>
  <c r="B297" i="38"/>
  <c r="D297" i="38"/>
  <c r="B296" i="38"/>
  <c r="D296" i="38"/>
  <c r="B295" i="38"/>
  <c r="D295" i="38"/>
  <c r="B294" i="38"/>
  <c r="D294" i="38"/>
  <c r="B293" i="38"/>
  <c r="D293" i="38"/>
  <c r="B292" i="38"/>
  <c r="D292" i="38"/>
  <c r="B291" i="38"/>
  <c r="D291" i="38"/>
  <c r="B290" i="38"/>
  <c r="D290" i="38"/>
  <c r="B289" i="38"/>
  <c r="D289" i="38"/>
  <c r="B288" i="38"/>
  <c r="D288" i="38"/>
  <c r="B287" i="38"/>
  <c r="D287" i="38"/>
  <c r="B286" i="38"/>
  <c r="D286" i="38"/>
  <c r="B285" i="38"/>
  <c r="D285" i="38"/>
  <c r="B284" i="38"/>
  <c r="D284" i="38"/>
  <c r="B283" i="38"/>
  <c r="D283" i="38"/>
  <c r="B282" i="38"/>
  <c r="D282" i="38"/>
  <c r="B281" i="38"/>
  <c r="D281" i="38"/>
  <c r="B280" i="38"/>
  <c r="D280" i="38"/>
  <c r="B279" i="38"/>
  <c r="D279" i="38"/>
  <c r="B278" i="38"/>
  <c r="D278" i="38"/>
  <c r="B277" i="38"/>
  <c r="D277" i="38"/>
  <c r="B276" i="38"/>
  <c r="D276" i="38"/>
  <c r="B275" i="38"/>
  <c r="D275" i="38"/>
  <c r="B274" i="38"/>
  <c r="D274" i="38"/>
  <c r="B273" i="38"/>
  <c r="D273" i="38"/>
  <c r="B272" i="38"/>
  <c r="D272" i="38"/>
  <c r="B271" i="38"/>
  <c r="D271" i="38"/>
  <c r="B270" i="38"/>
  <c r="D270" i="38"/>
  <c r="B269" i="38"/>
  <c r="D269" i="38"/>
  <c r="B268" i="38"/>
  <c r="D268" i="38"/>
  <c r="B267" i="38"/>
  <c r="D267" i="38"/>
  <c r="B266" i="38"/>
  <c r="D266" i="38"/>
  <c r="B265" i="38"/>
  <c r="D265" i="38"/>
  <c r="B264" i="38"/>
  <c r="D264" i="38"/>
  <c r="B263" i="38"/>
  <c r="D263" i="38"/>
  <c r="B262" i="38"/>
  <c r="D262" i="38"/>
  <c r="B261" i="38"/>
  <c r="D261" i="38"/>
  <c r="B260" i="38"/>
  <c r="D260" i="38"/>
  <c r="B259" i="38"/>
  <c r="D259" i="38"/>
  <c r="B258" i="38"/>
  <c r="D258" i="38"/>
  <c r="B257" i="38"/>
  <c r="D257" i="38"/>
  <c r="B256" i="38"/>
  <c r="D256" i="38"/>
  <c r="B255" i="38"/>
  <c r="D255" i="38"/>
  <c r="B254" i="38"/>
  <c r="D254" i="38"/>
  <c r="B253" i="38"/>
  <c r="D253" i="38"/>
  <c r="B252" i="38"/>
  <c r="D252" i="38"/>
  <c r="B251" i="38"/>
  <c r="D251" i="38"/>
  <c r="B250" i="38"/>
  <c r="D250" i="38"/>
  <c r="B249" i="38"/>
  <c r="D249" i="38"/>
  <c r="B248" i="38"/>
  <c r="D248" i="38"/>
  <c r="B247" i="38"/>
  <c r="D247" i="38"/>
  <c r="B246" i="38"/>
  <c r="D246" i="38"/>
  <c r="B245" i="38"/>
  <c r="D245" i="38"/>
  <c r="B244" i="38"/>
  <c r="D244" i="38"/>
  <c r="B243" i="38"/>
  <c r="D243" i="38"/>
  <c r="B242" i="38"/>
  <c r="D242" i="38"/>
  <c r="B241" i="38"/>
  <c r="D241" i="38"/>
  <c r="B240" i="38"/>
  <c r="D240" i="38"/>
  <c r="B239" i="38"/>
  <c r="D239" i="38"/>
  <c r="B238" i="38"/>
  <c r="D238" i="38"/>
  <c r="B237" i="38"/>
  <c r="D237" i="38"/>
  <c r="B236" i="38"/>
  <c r="D236" i="38"/>
  <c r="B235" i="38"/>
  <c r="D235" i="38"/>
  <c r="B234" i="38"/>
  <c r="D234" i="38"/>
  <c r="B233" i="38"/>
  <c r="D233" i="38"/>
  <c r="B232" i="38"/>
  <c r="D232" i="38"/>
  <c r="B231" i="38"/>
  <c r="D231" i="38"/>
  <c r="B230" i="38"/>
  <c r="D230" i="38"/>
  <c r="B229" i="38"/>
  <c r="D229" i="38"/>
  <c r="B228" i="38"/>
  <c r="D228" i="38"/>
  <c r="B227" i="38"/>
  <c r="D227" i="38"/>
  <c r="B226" i="38"/>
  <c r="D226" i="38"/>
  <c r="B225" i="38"/>
  <c r="D225" i="38"/>
  <c r="B224" i="38"/>
  <c r="D224" i="38"/>
  <c r="B223" i="38"/>
  <c r="D223" i="38"/>
  <c r="B222" i="38"/>
  <c r="D222" i="38"/>
  <c r="B221" i="38"/>
  <c r="D221" i="38"/>
  <c r="B220" i="38"/>
  <c r="D220" i="38"/>
  <c r="B219" i="38"/>
  <c r="D219" i="38"/>
  <c r="B218" i="38"/>
  <c r="D218" i="38"/>
  <c r="B217" i="38"/>
  <c r="D217" i="38"/>
  <c r="B216" i="38"/>
  <c r="D216" i="38"/>
  <c r="B215" i="38"/>
  <c r="D215" i="38"/>
  <c r="B214" i="38"/>
  <c r="D214" i="38"/>
  <c r="B213" i="38"/>
  <c r="D213" i="38"/>
  <c r="B212" i="38"/>
  <c r="D212" i="38"/>
  <c r="B211" i="38"/>
  <c r="D211" i="38"/>
  <c r="B210" i="38"/>
  <c r="D210" i="38"/>
  <c r="B209" i="38"/>
  <c r="D209" i="38"/>
  <c r="B208" i="38"/>
  <c r="D208" i="38"/>
  <c r="B207" i="38"/>
  <c r="D207" i="38"/>
  <c r="B206" i="38"/>
  <c r="D206" i="38"/>
  <c r="B205" i="38"/>
  <c r="D205" i="38"/>
  <c r="B204" i="38"/>
  <c r="D204" i="38"/>
  <c r="B203" i="38"/>
  <c r="D203" i="38"/>
  <c r="B202" i="38"/>
  <c r="D202" i="38"/>
  <c r="B201" i="38"/>
  <c r="D201" i="38"/>
  <c r="B200" i="38"/>
  <c r="D200" i="38"/>
  <c r="B199" i="38"/>
  <c r="D199" i="38"/>
  <c r="B198" i="38"/>
  <c r="D198" i="38"/>
  <c r="B197" i="38"/>
  <c r="D197" i="38"/>
  <c r="B196" i="38"/>
  <c r="D196" i="38"/>
  <c r="B195" i="38"/>
  <c r="D195" i="38"/>
  <c r="B194" i="38"/>
  <c r="D194" i="38"/>
  <c r="B193" i="38"/>
  <c r="D193" i="38"/>
  <c r="B192" i="38"/>
  <c r="D192" i="38"/>
  <c r="B191" i="38"/>
  <c r="D191" i="38"/>
  <c r="B190" i="38"/>
  <c r="D190" i="38"/>
  <c r="B189" i="38"/>
  <c r="D189" i="38"/>
  <c r="B188" i="38"/>
  <c r="D188" i="38"/>
  <c r="B187" i="38"/>
  <c r="D187" i="38"/>
  <c r="B186" i="38"/>
  <c r="D186" i="38"/>
  <c r="B185" i="38"/>
  <c r="D185" i="38"/>
  <c r="B184" i="38"/>
  <c r="D184" i="38"/>
  <c r="B183" i="38"/>
  <c r="D183" i="38"/>
  <c r="B182" i="38"/>
  <c r="D182" i="38"/>
  <c r="B181" i="38"/>
  <c r="D181" i="38"/>
  <c r="B180" i="38"/>
  <c r="D180" i="38"/>
  <c r="B179" i="38"/>
  <c r="D179" i="38"/>
  <c r="B178" i="38"/>
  <c r="D178" i="38"/>
  <c r="B177" i="38"/>
  <c r="D177" i="38"/>
  <c r="B176" i="38"/>
  <c r="D176" i="38"/>
  <c r="B175" i="38"/>
  <c r="D175" i="38"/>
  <c r="B174" i="38"/>
  <c r="D174" i="38"/>
  <c r="B173" i="38"/>
  <c r="D173" i="38"/>
  <c r="B172" i="38"/>
  <c r="D172" i="38"/>
  <c r="B171" i="38"/>
  <c r="D171" i="38"/>
  <c r="B170" i="38"/>
  <c r="D170" i="38"/>
  <c r="B169" i="38"/>
  <c r="D169" i="38"/>
  <c r="B168" i="38"/>
  <c r="D168" i="38"/>
  <c r="B167" i="38"/>
  <c r="D167" i="38"/>
  <c r="B166" i="38"/>
  <c r="D166" i="38"/>
  <c r="B165" i="38"/>
  <c r="D165" i="38"/>
  <c r="B164" i="38"/>
  <c r="D164" i="38"/>
  <c r="B163" i="38"/>
  <c r="D163" i="38"/>
  <c r="B162" i="38"/>
  <c r="D162" i="38"/>
  <c r="B161" i="38"/>
  <c r="D161" i="38"/>
  <c r="B160" i="38"/>
  <c r="D160" i="38"/>
  <c r="B159" i="38"/>
  <c r="D159" i="38"/>
  <c r="B158" i="38"/>
  <c r="D158" i="38"/>
  <c r="B157" i="38"/>
  <c r="D157" i="38"/>
  <c r="B156" i="38"/>
  <c r="D156" i="38"/>
  <c r="B155" i="38"/>
  <c r="D155" i="38"/>
  <c r="B154" i="38"/>
  <c r="D154" i="38"/>
  <c r="B153" i="38"/>
  <c r="D153" i="38"/>
  <c r="B152" i="38"/>
  <c r="D152" i="38"/>
  <c r="B151" i="38"/>
  <c r="D151" i="38"/>
  <c r="B150" i="38"/>
  <c r="D150" i="38"/>
  <c r="B149" i="38"/>
  <c r="D149" i="38"/>
  <c r="B148" i="38"/>
  <c r="D148" i="38"/>
  <c r="B147" i="38"/>
  <c r="D147" i="38"/>
  <c r="B146" i="38"/>
  <c r="D146" i="38"/>
  <c r="B145" i="38"/>
  <c r="D145" i="38"/>
  <c r="B144" i="38"/>
  <c r="D144" i="38"/>
  <c r="B143" i="38"/>
  <c r="D143" i="38"/>
  <c r="B142" i="38"/>
  <c r="D142" i="38"/>
  <c r="B141" i="38"/>
  <c r="D141" i="38"/>
  <c r="B140" i="38"/>
  <c r="D140" i="38"/>
  <c r="B139" i="38"/>
  <c r="D139" i="38"/>
  <c r="B138" i="38"/>
  <c r="D138" i="38"/>
  <c r="B137" i="38"/>
  <c r="D137" i="38"/>
  <c r="B136" i="38"/>
  <c r="D136" i="38"/>
  <c r="B135" i="38"/>
  <c r="D135" i="38"/>
  <c r="B134" i="38"/>
  <c r="D134" i="38"/>
  <c r="B133" i="38"/>
  <c r="D133" i="38"/>
  <c r="B132" i="38"/>
  <c r="D132" i="38"/>
  <c r="B131" i="38"/>
  <c r="D131" i="38"/>
  <c r="B130" i="38"/>
  <c r="D130" i="38"/>
  <c r="B129" i="38"/>
  <c r="D129" i="38"/>
  <c r="B128" i="38"/>
  <c r="D128" i="38"/>
  <c r="B127" i="38"/>
  <c r="D127" i="38"/>
  <c r="B126" i="38"/>
  <c r="D126" i="38"/>
  <c r="B125" i="38"/>
  <c r="D125" i="38"/>
  <c r="B124" i="38"/>
  <c r="D124" i="38"/>
  <c r="B123" i="38"/>
  <c r="D123" i="38"/>
  <c r="B122" i="38"/>
  <c r="D122" i="38"/>
  <c r="B121" i="38"/>
  <c r="D121" i="38"/>
  <c r="B120" i="38"/>
  <c r="D120" i="38"/>
  <c r="B119" i="38"/>
  <c r="D119" i="38"/>
  <c r="B118" i="38"/>
  <c r="D118" i="38"/>
  <c r="B117" i="38"/>
  <c r="D117" i="38"/>
  <c r="B116" i="38"/>
  <c r="D116" i="38"/>
  <c r="B115" i="38"/>
  <c r="D115" i="38"/>
  <c r="B114" i="38"/>
  <c r="D114" i="38"/>
  <c r="B113" i="38"/>
  <c r="D113" i="38"/>
  <c r="B112" i="38"/>
  <c r="D112" i="38"/>
  <c r="B111" i="38"/>
  <c r="D111" i="38"/>
  <c r="B110" i="38"/>
  <c r="D110" i="38"/>
  <c r="B109" i="38"/>
  <c r="D109" i="38"/>
  <c r="B108" i="38"/>
  <c r="D108" i="38"/>
  <c r="B107" i="38"/>
  <c r="D107" i="38"/>
  <c r="B106" i="38"/>
  <c r="D106" i="38"/>
  <c r="B105" i="38"/>
  <c r="D105" i="38"/>
  <c r="B104" i="38"/>
  <c r="D104" i="38"/>
  <c r="B103" i="38"/>
  <c r="D103" i="38"/>
  <c r="B102" i="38"/>
  <c r="D102" i="38"/>
  <c r="B101" i="38"/>
  <c r="D101" i="38"/>
  <c r="B100" i="38"/>
  <c r="D100" i="38"/>
  <c r="B99" i="38"/>
  <c r="D99" i="38"/>
  <c r="B98" i="38"/>
  <c r="D98" i="38"/>
  <c r="B97" i="38"/>
  <c r="D97" i="38"/>
  <c r="B96" i="38"/>
  <c r="D96" i="38"/>
  <c r="B95" i="38"/>
  <c r="D95" i="38"/>
  <c r="B94" i="38"/>
  <c r="D94" i="38"/>
  <c r="B93" i="38"/>
  <c r="D93" i="38"/>
  <c r="B92" i="38"/>
  <c r="D92" i="38"/>
  <c r="B91" i="38"/>
  <c r="D91" i="38"/>
  <c r="B90" i="38"/>
  <c r="D90" i="38"/>
  <c r="B89" i="38"/>
  <c r="D89" i="38"/>
  <c r="B88" i="38"/>
  <c r="D88" i="38"/>
  <c r="B87" i="38"/>
  <c r="D87" i="38"/>
  <c r="B86" i="38"/>
  <c r="D86" i="38"/>
  <c r="B85" i="38"/>
  <c r="D85" i="38"/>
  <c r="B84" i="38"/>
  <c r="D84" i="38"/>
  <c r="B83" i="38"/>
  <c r="D83" i="38"/>
  <c r="B82" i="38"/>
  <c r="D82" i="38"/>
  <c r="B81" i="38"/>
  <c r="D81" i="38"/>
  <c r="B80" i="38"/>
  <c r="D80" i="38"/>
  <c r="B79" i="38"/>
  <c r="D79" i="38"/>
  <c r="B78" i="38"/>
  <c r="D78" i="38"/>
  <c r="B77" i="38"/>
  <c r="D77" i="38"/>
  <c r="B76" i="38"/>
  <c r="D76" i="38"/>
  <c r="B75" i="38"/>
  <c r="D75" i="38"/>
  <c r="B74" i="38"/>
  <c r="D74" i="38"/>
  <c r="B73" i="38"/>
  <c r="D73" i="38"/>
  <c r="B72" i="38"/>
  <c r="D72" i="38"/>
  <c r="B71" i="38"/>
  <c r="D71" i="38"/>
  <c r="B70" i="38"/>
  <c r="D70" i="38"/>
  <c r="B69" i="38"/>
  <c r="D69" i="38"/>
  <c r="B68" i="38"/>
  <c r="D68" i="38"/>
  <c r="B67" i="38"/>
  <c r="D67" i="38"/>
  <c r="B66" i="38"/>
  <c r="D66" i="38"/>
  <c r="B65" i="38"/>
  <c r="D65" i="38"/>
  <c r="B64" i="38"/>
  <c r="D64" i="38"/>
  <c r="B63" i="38"/>
  <c r="D63" i="38"/>
  <c r="B62" i="38"/>
  <c r="D62" i="38"/>
  <c r="B61" i="38"/>
  <c r="D61" i="38"/>
  <c r="B60" i="38"/>
  <c r="D60" i="38"/>
  <c r="B59" i="38"/>
  <c r="D59" i="38"/>
  <c r="B58" i="38"/>
  <c r="D58" i="38"/>
  <c r="B57" i="38"/>
  <c r="D57" i="38"/>
  <c r="B56" i="38"/>
  <c r="D56" i="38"/>
  <c r="B55" i="38"/>
  <c r="D55" i="38"/>
  <c r="B54" i="38"/>
  <c r="D54" i="38"/>
  <c r="B53" i="38"/>
  <c r="D53" i="38"/>
  <c r="B52" i="38"/>
  <c r="D52" i="38"/>
  <c r="B51" i="38"/>
  <c r="D51" i="38"/>
  <c r="B50" i="38"/>
  <c r="D50" i="38"/>
  <c r="B49" i="38"/>
  <c r="D49" i="38"/>
  <c r="B48" i="38"/>
  <c r="D48" i="38"/>
  <c r="B47" i="38"/>
  <c r="D47" i="38"/>
  <c r="B46" i="38"/>
  <c r="D46" i="38"/>
  <c r="B45" i="38"/>
  <c r="D45" i="38"/>
  <c r="B44" i="38"/>
  <c r="D44" i="38"/>
  <c r="B43" i="38"/>
  <c r="D43" i="38"/>
  <c r="B42" i="38"/>
  <c r="D42" i="38"/>
  <c r="B41" i="38"/>
  <c r="D41" i="38"/>
  <c r="B40" i="38"/>
  <c r="D40" i="38"/>
  <c r="B39" i="38"/>
  <c r="D39" i="38"/>
  <c r="B38" i="38"/>
  <c r="D38" i="38"/>
  <c r="B37" i="38"/>
  <c r="D37" i="38"/>
  <c r="B36" i="38"/>
  <c r="D36" i="38"/>
  <c r="B35" i="38"/>
  <c r="D35" i="38"/>
  <c r="B34" i="38"/>
  <c r="D34" i="38"/>
  <c r="B33" i="38"/>
  <c r="D33" i="38"/>
  <c r="B32" i="38"/>
  <c r="D32" i="38"/>
  <c r="B31" i="38"/>
  <c r="D31" i="38"/>
  <c r="B30" i="38"/>
  <c r="D30" i="38"/>
  <c r="B29" i="38"/>
  <c r="D29" i="38"/>
  <c r="B28" i="38"/>
  <c r="D28" i="38"/>
  <c r="B27" i="38"/>
  <c r="D27" i="38"/>
  <c r="B26" i="38"/>
  <c r="D26" i="38"/>
  <c r="B25" i="38"/>
  <c r="D25" i="38"/>
  <c r="B24" i="38"/>
  <c r="D24" i="38"/>
  <c r="B23" i="38"/>
  <c r="D23" i="38"/>
  <c r="B22" i="38"/>
  <c r="D22" i="38"/>
  <c r="B21" i="38"/>
  <c r="D21" i="38"/>
  <c r="B20" i="38"/>
  <c r="D20" i="38"/>
  <c r="B19" i="38"/>
  <c r="D19" i="38"/>
  <c r="B18" i="38"/>
  <c r="D18" i="38"/>
  <c r="B17" i="38"/>
  <c r="D17" i="38"/>
  <c r="B16" i="38"/>
  <c r="D16" i="38"/>
  <c r="B14" i="38"/>
  <c r="D14" i="38"/>
  <c r="B15" i="38"/>
  <c r="D15" i="38"/>
  <c r="F15" i="38"/>
  <c r="D10" i="38"/>
  <c r="D9" i="38"/>
  <c r="C19" i="56"/>
  <c r="B11" i="56"/>
  <c r="B18" i="56"/>
  <c r="B12" i="56"/>
  <c r="B19" i="56"/>
  <c r="B20" i="56"/>
  <c r="C18" i="56"/>
  <c r="B15" i="56"/>
  <c r="B13" i="56"/>
  <c r="B3" i="56"/>
  <c r="B6" i="54"/>
  <c r="B5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7" i="54"/>
  <c r="N20" i="54"/>
  <c r="N21" i="54"/>
  <c r="N22" i="54"/>
  <c r="N23" i="54"/>
  <c r="N24" i="54"/>
  <c r="N25" i="54"/>
  <c r="N26" i="54"/>
  <c r="N27" i="54"/>
  <c r="N28" i="54"/>
  <c r="N29" i="54"/>
  <c r="N30" i="54"/>
  <c r="N31" i="54"/>
  <c r="N32" i="54"/>
  <c r="N33" i="54"/>
  <c r="N34" i="54"/>
  <c r="N35" i="54"/>
  <c r="N36" i="54"/>
  <c r="N37" i="54"/>
  <c r="N38" i="54"/>
  <c r="N39" i="54"/>
  <c r="N40" i="54"/>
  <c r="N41" i="54"/>
  <c r="N42" i="54"/>
  <c r="N43" i="54"/>
  <c r="N44" i="54"/>
  <c r="N45" i="54"/>
  <c r="N46" i="54"/>
  <c r="N47" i="54"/>
  <c r="N48" i="54"/>
  <c r="N49" i="54"/>
  <c r="N50" i="54"/>
  <c r="N51" i="54"/>
  <c r="N52" i="54"/>
  <c r="N53" i="54"/>
  <c r="N54" i="54"/>
  <c r="N55" i="54"/>
  <c r="N56" i="54"/>
  <c r="N57" i="54"/>
  <c r="N58" i="54"/>
  <c r="N59" i="54"/>
  <c r="N60" i="54"/>
  <c r="N61" i="54"/>
  <c r="N62" i="54"/>
  <c r="N63" i="54"/>
  <c r="N64" i="54"/>
  <c r="N65" i="54"/>
  <c r="N66" i="54"/>
  <c r="N67" i="54"/>
  <c r="N19" i="54"/>
  <c r="I67" i="54"/>
  <c r="I13" i="54"/>
  <c r="I14" i="54"/>
  <c r="J13" i="54"/>
  <c r="I15" i="54"/>
  <c r="J14" i="54"/>
  <c r="I16" i="54"/>
  <c r="J15" i="54"/>
  <c r="I17" i="54"/>
  <c r="J16" i="54"/>
  <c r="I18" i="54"/>
  <c r="J17" i="54"/>
  <c r="I19" i="54"/>
  <c r="J18" i="54"/>
  <c r="I20" i="54"/>
  <c r="J19" i="54"/>
  <c r="I21" i="54"/>
  <c r="J20" i="54"/>
  <c r="I22" i="54"/>
  <c r="J21" i="54"/>
  <c r="I23" i="54"/>
  <c r="J22" i="54"/>
  <c r="I24" i="54"/>
  <c r="J23" i="54"/>
  <c r="I25" i="54"/>
  <c r="J24" i="54"/>
  <c r="I26" i="54"/>
  <c r="J25" i="54"/>
  <c r="I27" i="54"/>
  <c r="J26" i="54"/>
  <c r="I28" i="54"/>
  <c r="J27" i="54"/>
  <c r="I29" i="54"/>
  <c r="J28" i="54"/>
  <c r="I30" i="54"/>
  <c r="J29" i="54"/>
  <c r="I31" i="54"/>
  <c r="J30" i="54"/>
  <c r="I32" i="54"/>
  <c r="J31" i="54"/>
  <c r="I33" i="54"/>
  <c r="J32" i="54"/>
  <c r="I34" i="54"/>
  <c r="J33" i="54"/>
  <c r="I35" i="54"/>
  <c r="J34" i="54"/>
  <c r="I36" i="54"/>
  <c r="J35" i="54"/>
  <c r="I37" i="54"/>
  <c r="J36" i="54"/>
  <c r="I38" i="54"/>
  <c r="J37" i="54"/>
  <c r="I39" i="54"/>
  <c r="J38" i="54"/>
  <c r="I40" i="54"/>
  <c r="J39" i="54"/>
  <c r="I41" i="54"/>
  <c r="J40" i="54"/>
  <c r="I42" i="54"/>
  <c r="J41" i="54"/>
  <c r="I43" i="54"/>
  <c r="J42" i="54"/>
  <c r="I44" i="54"/>
  <c r="J43" i="54"/>
  <c r="I45" i="54"/>
  <c r="J44" i="54"/>
  <c r="I46" i="54"/>
  <c r="J45" i="54"/>
  <c r="I47" i="54"/>
  <c r="J46" i="54"/>
  <c r="I48" i="54"/>
  <c r="J47" i="54"/>
  <c r="I49" i="54"/>
  <c r="J48" i="54"/>
  <c r="I50" i="54"/>
  <c r="J49" i="54"/>
  <c r="I51" i="54"/>
  <c r="J50" i="54"/>
  <c r="I52" i="54"/>
  <c r="J51" i="54"/>
  <c r="I53" i="54"/>
  <c r="J52" i="54"/>
  <c r="I54" i="54"/>
  <c r="J53" i="54"/>
  <c r="I55" i="54"/>
  <c r="J54" i="54"/>
  <c r="I56" i="54"/>
  <c r="J55" i="54"/>
  <c r="I57" i="54"/>
  <c r="J56" i="54"/>
  <c r="I58" i="54"/>
  <c r="J57" i="54"/>
  <c r="I59" i="54"/>
  <c r="J58" i="54"/>
  <c r="I60" i="54"/>
  <c r="J59" i="54"/>
  <c r="I61" i="54"/>
  <c r="J60" i="54"/>
  <c r="I62" i="54"/>
  <c r="J61" i="54"/>
  <c r="I63" i="54"/>
  <c r="J62" i="54"/>
  <c r="I64" i="54"/>
  <c r="J63" i="54"/>
  <c r="I65" i="54"/>
  <c r="J64" i="54"/>
  <c r="I66" i="54"/>
  <c r="J65" i="54"/>
  <c r="J66" i="54"/>
  <c r="I12" i="54"/>
  <c r="R13" i="54"/>
  <c r="R14" i="54"/>
  <c r="R15" i="54"/>
  <c r="R16" i="54"/>
  <c r="R17" i="54"/>
  <c r="R18" i="54"/>
  <c r="R19" i="54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12" i="54"/>
  <c r="B4" i="54"/>
  <c r="F7" i="54"/>
  <c r="D13" i="54"/>
  <c r="D14" i="54"/>
  <c r="D15" i="54"/>
  <c r="D16" i="54"/>
  <c r="D17" i="54"/>
  <c r="F8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B13" i="54"/>
  <c r="B14" i="54"/>
  <c r="B15" i="54"/>
  <c r="B16" i="54"/>
  <c r="B17" i="54"/>
  <c r="B12" i="54"/>
  <c r="O67" i="54"/>
  <c r="C67" i="54"/>
  <c r="C66" i="54"/>
  <c r="C65" i="54"/>
  <c r="C64" i="54"/>
  <c r="C63" i="54"/>
  <c r="C62" i="54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E13" i="54"/>
  <c r="E14" i="54"/>
  <c r="E15" i="54"/>
  <c r="E16" i="54"/>
  <c r="E17" i="54"/>
  <c r="E18" i="54"/>
  <c r="C18" i="54"/>
  <c r="C17" i="54"/>
  <c r="C16" i="54"/>
  <c r="C15" i="54"/>
  <c r="C14" i="54"/>
  <c r="J12" i="54"/>
  <c r="C13" i="54"/>
  <c r="P12" i="54"/>
  <c r="Q12" i="54"/>
  <c r="C12" i="54"/>
  <c r="U32" i="55"/>
  <c r="U15" i="55"/>
  <c r="U16" i="55"/>
  <c r="U17" i="55"/>
  <c r="U18" i="55"/>
  <c r="U19" i="55"/>
  <c r="U20" i="55"/>
  <c r="U21" i="55"/>
  <c r="U22" i="55"/>
  <c r="U23" i="55"/>
  <c r="U24" i="55"/>
  <c r="U25" i="55"/>
  <c r="U26" i="55"/>
  <c r="U27" i="55"/>
  <c r="U28" i="55"/>
  <c r="U29" i="55"/>
  <c r="U30" i="55"/>
  <c r="U31" i="55"/>
  <c r="U14" i="55"/>
  <c r="T32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14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31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12" i="55"/>
  <c r="Y13" i="55"/>
  <c r="Y14" i="55"/>
  <c r="Y15" i="55"/>
  <c r="Y16" i="55"/>
  <c r="Y17" i="55"/>
  <c r="Y18" i="55"/>
  <c r="Y19" i="55"/>
  <c r="Y20" i="55"/>
  <c r="Y21" i="55"/>
  <c r="Y22" i="55"/>
  <c r="Y23" i="55"/>
  <c r="Y24" i="55"/>
  <c r="Y25" i="55"/>
  <c r="Y26" i="55"/>
  <c r="Y27" i="55"/>
  <c r="Y28" i="55"/>
  <c r="Y29" i="55"/>
  <c r="Y30" i="55"/>
  <c r="Y31" i="55"/>
  <c r="Y32" i="55"/>
  <c r="Y12" i="55"/>
  <c r="O14" i="55"/>
  <c r="O15" i="55"/>
  <c r="O16" i="55"/>
  <c r="O17" i="55"/>
  <c r="O18" i="55"/>
  <c r="O19" i="55"/>
  <c r="O20" i="55"/>
  <c r="O21" i="55"/>
  <c r="O22" i="55"/>
  <c r="O23" i="55"/>
  <c r="O24" i="55"/>
  <c r="O25" i="55"/>
  <c r="O26" i="55"/>
  <c r="O27" i="55"/>
  <c r="O28" i="55"/>
  <c r="O29" i="55"/>
  <c r="O30" i="55"/>
  <c r="O31" i="55"/>
  <c r="O32" i="55"/>
  <c r="O13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I31" i="55"/>
  <c r="I30" i="55"/>
  <c r="I29" i="55"/>
  <c r="I28" i="55"/>
  <c r="I27" i="55"/>
  <c r="I26" i="55"/>
  <c r="I25" i="55"/>
  <c r="I24" i="55"/>
  <c r="I23" i="55"/>
  <c r="I22" i="55"/>
  <c r="I21" i="55"/>
  <c r="I20" i="55"/>
  <c r="I19" i="55"/>
  <c r="I18" i="55"/>
  <c r="I17" i="55"/>
  <c r="I16" i="55"/>
  <c r="I15" i="55"/>
  <c r="I14" i="55"/>
  <c r="I13" i="55"/>
  <c r="I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12" i="55"/>
  <c r="B9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D31" i="55"/>
  <c r="P32" i="55"/>
  <c r="Q32" i="55"/>
  <c r="E31" i="55"/>
  <c r="S32" i="55"/>
  <c r="V32" i="55"/>
  <c r="W32" i="55"/>
  <c r="C32" i="55"/>
  <c r="E32" i="55"/>
  <c r="D32" i="55"/>
  <c r="D30" i="55"/>
  <c r="P31" i="55"/>
  <c r="Q31" i="55"/>
  <c r="E30" i="55"/>
  <c r="S31" i="55"/>
  <c r="V31" i="55"/>
  <c r="W31" i="55"/>
  <c r="D29" i="55"/>
  <c r="P30" i="55"/>
  <c r="Q30" i="55"/>
  <c r="E29" i="55"/>
  <c r="S30" i="55"/>
  <c r="V30" i="55"/>
  <c r="W30" i="55"/>
  <c r="D28" i="55"/>
  <c r="P29" i="55"/>
  <c r="Q29" i="55"/>
  <c r="E28" i="55"/>
  <c r="S29" i="55"/>
  <c r="V29" i="55"/>
  <c r="W29" i="55"/>
  <c r="D27" i="55"/>
  <c r="P28" i="55"/>
  <c r="Q28" i="55"/>
  <c r="E27" i="55"/>
  <c r="S28" i="55"/>
  <c r="V28" i="55"/>
  <c r="W28" i="55"/>
  <c r="D26" i="55"/>
  <c r="P27" i="55"/>
  <c r="Q27" i="55"/>
  <c r="E26" i="55"/>
  <c r="S27" i="55"/>
  <c r="V27" i="55"/>
  <c r="W27" i="55"/>
  <c r="D25" i="55"/>
  <c r="P26" i="55"/>
  <c r="Q26" i="55"/>
  <c r="E25" i="55"/>
  <c r="S26" i="55"/>
  <c r="V26" i="55"/>
  <c r="W26" i="55"/>
  <c r="D24" i="55"/>
  <c r="P25" i="55"/>
  <c r="Q25" i="55"/>
  <c r="E24" i="55"/>
  <c r="S25" i="55"/>
  <c r="V25" i="55"/>
  <c r="W25" i="55"/>
  <c r="D23" i="55"/>
  <c r="P24" i="55"/>
  <c r="Q24" i="55"/>
  <c r="E23" i="55"/>
  <c r="S24" i="55"/>
  <c r="V24" i="55"/>
  <c r="W24" i="55"/>
  <c r="D22" i="55"/>
  <c r="P23" i="55"/>
  <c r="Q23" i="55"/>
  <c r="E22" i="55"/>
  <c r="S23" i="55"/>
  <c r="V23" i="55"/>
  <c r="W23" i="55"/>
  <c r="D21" i="55"/>
  <c r="P22" i="55"/>
  <c r="Q22" i="55"/>
  <c r="E21" i="55"/>
  <c r="S22" i="55"/>
  <c r="V22" i="55"/>
  <c r="W22" i="55"/>
  <c r="D20" i="55"/>
  <c r="P21" i="55"/>
  <c r="Q21" i="55"/>
  <c r="E20" i="55"/>
  <c r="S21" i="55"/>
  <c r="V21" i="55"/>
  <c r="W21" i="55"/>
  <c r="D19" i="55"/>
  <c r="P20" i="55"/>
  <c r="Q20" i="55"/>
  <c r="E19" i="55"/>
  <c r="S20" i="55"/>
  <c r="V20" i="55"/>
  <c r="W20" i="55"/>
  <c r="D18" i="55"/>
  <c r="P19" i="55"/>
  <c r="Q19" i="55"/>
  <c r="E18" i="55"/>
  <c r="S19" i="55"/>
  <c r="V19" i="55"/>
  <c r="W19" i="55"/>
  <c r="D17" i="55"/>
  <c r="P18" i="55"/>
  <c r="Q18" i="55"/>
  <c r="E17" i="55"/>
  <c r="S18" i="55"/>
  <c r="V18" i="55"/>
  <c r="W18" i="55"/>
  <c r="D16" i="55"/>
  <c r="E12" i="55"/>
  <c r="E13" i="55"/>
  <c r="E14" i="55"/>
  <c r="E15" i="55"/>
  <c r="E16" i="55"/>
  <c r="E7" i="55"/>
  <c r="P17" i="55"/>
  <c r="Q17" i="55"/>
  <c r="S17" i="55"/>
  <c r="V17" i="55"/>
  <c r="W17" i="55"/>
  <c r="D15" i="55"/>
  <c r="Q16" i="55"/>
  <c r="S16" i="55"/>
  <c r="V16" i="55"/>
  <c r="W16" i="55"/>
  <c r="D14" i="55"/>
  <c r="Q15" i="55"/>
  <c r="S15" i="55"/>
  <c r="V15" i="55"/>
  <c r="W15" i="55"/>
  <c r="D13" i="55"/>
  <c r="Q14" i="55"/>
  <c r="S14" i="55"/>
  <c r="V14" i="55"/>
  <c r="W14" i="55"/>
  <c r="D12" i="55"/>
  <c r="Q13" i="55"/>
  <c r="R12" i="55"/>
  <c r="X12" i="55"/>
  <c r="J4" i="53"/>
  <c r="J5" i="53"/>
  <c r="J6" i="53"/>
  <c r="J3" i="53"/>
  <c r="B9" i="53"/>
  <c r="AB15" i="53"/>
  <c r="AB16" i="53"/>
  <c r="AB17" i="53"/>
  <c r="AB18" i="53"/>
  <c r="AB19" i="53"/>
  <c r="AB20" i="53"/>
  <c r="AB21" i="53"/>
  <c r="AB22" i="53"/>
  <c r="AB14" i="53"/>
  <c r="T14" i="53"/>
  <c r="T15" i="53"/>
  <c r="T16" i="53"/>
  <c r="T17" i="53"/>
  <c r="T18" i="53"/>
  <c r="T19" i="53"/>
  <c r="T20" i="53"/>
  <c r="T21" i="53"/>
  <c r="T22" i="53"/>
  <c r="T13" i="53"/>
  <c r="F13" i="53"/>
  <c r="F14" i="53"/>
  <c r="F15" i="53"/>
  <c r="F16" i="53"/>
  <c r="F17" i="53"/>
  <c r="F18" i="53"/>
  <c r="F19" i="53"/>
  <c r="F20" i="53"/>
  <c r="F21" i="53"/>
  <c r="F22" i="53"/>
  <c r="F12" i="53"/>
  <c r="B13" i="53"/>
  <c r="B14" i="53"/>
  <c r="B15" i="53"/>
  <c r="B16" i="53"/>
  <c r="B17" i="53"/>
  <c r="B18" i="53"/>
  <c r="B19" i="53"/>
  <c r="B20" i="53"/>
  <c r="B21" i="53"/>
  <c r="B22" i="53"/>
  <c r="B12" i="53"/>
  <c r="C13" i="53"/>
  <c r="C14" i="53"/>
  <c r="C15" i="53"/>
  <c r="C16" i="53"/>
  <c r="C17" i="53"/>
  <c r="C18" i="53"/>
  <c r="C19" i="53"/>
  <c r="C20" i="53"/>
  <c r="C21" i="53"/>
  <c r="E21" i="53"/>
  <c r="AE22" i="53"/>
  <c r="N22" i="53"/>
  <c r="D21" i="53"/>
  <c r="AC22" i="53"/>
  <c r="X22" i="53"/>
  <c r="V22" i="53"/>
  <c r="U22" i="53"/>
  <c r="C22" i="53"/>
  <c r="E22" i="53"/>
  <c r="J22" i="53"/>
  <c r="D22" i="53"/>
  <c r="I22" i="53"/>
  <c r="H22" i="53"/>
  <c r="G22" i="53"/>
  <c r="E20" i="53"/>
  <c r="AE21" i="53"/>
  <c r="D20" i="53"/>
  <c r="X21" i="53"/>
  <c r="J21" i="53"/>
  <c r="I21" i="53"/>
  <c r="H21" i="53"/>
  <c r="G21" i="53"/>
  <c r="E19" i="53"/>
  <c r="AE20" i="53"/>
  <c r="D19" i="53"/>
  <c r="X20" i="53"/>
  <c r="J20" i="53"/>
  <c r="I20" i="53"/>
  <c r="H20" i="53"/>
  <c r="G20" i="53"/>
  <c r="E18" i="53"/>
  <c r="AE19" i="53"/>
  <c r="D18" i="53"/>
  <c r="X19" i="53"/>
  <c r="J19" i="53"/>
  <c r="I19" i="53"/>
  <c r="H19" i="53"/>
  <c r="G19" i="53"/>
  <c r="E17" i="53"/>
  <c r="AE18" i="53"/>
  <c r="D17" i="53"/>
  <c r="X18" i="53"/>
  <c r="J18" i="53"/>
  <c r="I18" i="53"/>
  <c r="H18" i="53"/>
  <c r="G18" i="53"/>
  <c r="E16" i="53"/>
  <c r="AE17" i="53"/>
  <c r="D16" i="53"/>
  <c r="X17" i="53"/>
  <c r="J17" i="53"/>
  <c r="I17" i="53"/>
  <c r="H17" i="53"/>
  <c r="G17" i="53"/>
  <c r="E15" i="53"/>
  <c r="AE16" i="53"/>
  <c r="D15" i="53"/>
  <c r="X16" i="53"/>
  <c r="J16" i="53"/>
  <c r="I16" i="53"/>
  <c r="H16" i="53"/>
  <c r="G16" i="53"/>
  <c r="E14" i="53"/>
  <c r="AE15" i="53"/>
  <c r="D14" i="53"/>
  <c r="X15" i="53"/>
  <c r="J15" i="53"/>
  <c r="I15" i="53"/>
  <c r="H15" i="53"/>
  <c r="G15" i="53"/>
  <c r="E13" i="53"/>
  <c r="AE14" i="53"/>
  <c r="D13" i="53"/>
  <c r="X14" i="53"/>
  <c r="J14" i="53"/>
  <c r="I14" i="53"/>
  <c r="H14" i="53"/>
  <c r="G14" i="53"/>
  <c r="X13" i="53"/>
  <c r="D12" i="53"/>
  <c r="J13" i="53"/>
  <c r="I13" i="53"/>
  <c r="H13" i="53"/>
  <c r="G13" i="53"/>
  <c r="E12" i="53"/>
  <c r="J12" i="53"/>
  <c r="I12" i="53"/>
  <c r="H12" i="53"/>
  <c r="G12" i="53"/>
  <c r="K136" i="52"/>
  <c r="L136" i="52"/>
  <c r="N256" i="52"/>
  <c r="B11" i="52"/>
  <c r="B10" i="52"/>
  <c r="B9" i="52"/>
  <c r="C255" i="52"/>
  <c r="C254" i="52"/>
  <c r="C253" i="52"/>
  <c r="C252" i="52"/>
  <c r="C251" i="52"/>
  <c r="C250" i="52"/>
  <c r="C249" i="52"/>
  <c r="C248" i="52"/>
  <c r="C247" i="52"/>
  <c r="C246" i="52"/>
  <c r="C245" i="52"/>
  <c r="C244" i="52"/>
  <c r="C243" i="52"/>
  <c r="C242" i="52"/>
  <c r="C241" i="52"/>
  <c r="C240" i="52"/>
  <c r="C239" i="52"/>
  <c r="C238" i="52"/>
  <c r="C237" i="52"/>
  <c r="C236" i="52"/>
  <c r="C235" i="52"/>
  <c r="C234" i="52"/>
  <c r="C233" i="52"/>
  <c r="C232" i="52"/>
  <c r="C231" i="52"/>
  <c r="C230" i="52"/>
  <c r="C229" i="52"/>
  <c r="C228" i="52"/>
  <c r="C227" i="52"/>
  <c r="C226" i="52"/>
  <c r="C225" i="52"/>
  <c r="C224" i="52"/>
  <c r="C223" i="52"/>
  <c r="C222" i="52"/>
  <c r="C221" i="52"/>
  <c r="C220" i="52"/>
  <c r="C219" i="52"/>
  <c r="C218" i="52"/>
  <c r="C217" i="52"/>
  <c r="C216" i="52"/>
  <c r="C215" i="52"/>
  <c r="C214" i="52"/>
  <c r="C213" i="52"/>
  <c r="C212" i="52"/>
  <c r="C211" i="52"/>
  <c r="C210" i="52"/>
  <c r="C209" i="52"/>
  <c r="C208" i="52"/>
  <c r="C207" i="52"/>
  <c r="C206" i="52"/>
  <c r="C205" i="52"/>
  <c r="C204" i="52"/>
  <c r="C203" i="52"/>
  <c r="C202" i="52"/>
  <c r="C201" i="52"/>
  <c r="C200" i="52"/>
  <c r="C199" i="52"/>
  <c r="C198" i="52"/>
  <c r="C197" i="52"/>
  <c r="C196" i="52"/>
  <c r="C195" i="52"/>
  <c r="C194" i="52"/>
  <c r="C193" i="52"/>
  <c r="C192" i="52"/>
  <c r="C191" i="52"/>
  <c r="C190" i="52"/>
  <c r="C189" i="52"/>
  <c r="C188" i="52"/>
  <c r="C187" i="52"/>
  <c r="C186" i="52"/>
  <c r="C185" i="52"/>
  <c r="C184" i="52"/>
  <c r="C183" i="52"/>
  <c r="C182" i="52"/>
  <c r="C181" i="52"/>
  <c r="C180" i="52"/>
  <c r="C179" i="52"/>
  <c r="C178" i="52"/>
  <c r="C177" i="52"/>
  <c r="C176" i="52"/>
  <c r="C175" i="52"/>
  <c r="C174" i="52"/>
  <c r="C173" i="52"/>
  <c r="C172" i="52"/>
  <c r="C171" i="52"/>
  <c r="C170" i="52"/>
  <c r="C169" i="52"/>
  <c r="C168" i="52"/>
  <c r="C167" i="52"/>
  <c r="C166" i="52"/>
  <c r="C165" i="52"/>
  <c r="C164" i="52"/>
  <c r="C163" i="52"/>
  <c r="C162" i="52"/>
  <c r="C161" i="52"/>
  <c r="C160" i="52"/>
  <c r="C159" i="52"/>
  <c r="C158" i="52"/>
  <c r="C157" i="52"/>
  <c r="C156" i="52"/>
  <c r="C155" i="52"/>
  <c r="C154" i="52"/>
  <c r="C153" i="52"/>
  <c r="C152" i="52"/>
  <c r="C151" i="52"/>
  <c r="C150" i="52"/>
  <c r="C149" i="52"/>
  <c r="C148" i="52"/>
  <c r="C147" i="52"/>
  <c r="C146" i="52"/>
  <c r="C145" i="52"/>
  <c r="C144" i="52"/>
  <c r="C143" i="52"/>
  <c r="C142" i="52"/>
  <c r="C141" i="52"/>
  <c r="C140" i="52"/>
  <c r="C139" i="52"/>
  <c r="C138" i="52"/>
  <c r="C137" i="52"/>
  <c r="C136" i="52"/>
  <c r="C135" i="52"/>
  <c r="C134" i="52"/>
  <c r="C133" i="52"/>
  <c r="C132" i="52"/>
  <c r="C131" i="52"/>
  <c r="C130" i="52"/>
  <c r="C129" i="52"/>
  <c r="C128" i="52"/>
  <c r="C127" i="52"/>
  <c r="C126" i="52"/>
  <c r="C125" i="52"/>
  <c r="C124" i="52"/>
  <c r="C123" i="52"/>
  <c r="C122" i="52"/>
  <c r="C121" i="52"/>
  <c r="C120" i="52"/>
  <c r="C119" i="52"/>
  <c r="C118" i="52"/>
  <c r="C117" i="52"/>
  <c r="C116" i="52"/>
  <c r="C115" i="52"/>
  <c r="C114" i="52"/>
  <c r="C113" i="52"/>
  <c r="C112" i="52"/>
  <c r="C111" i="52"/>
  <c r="C110" i="52"/>
  <c r="C109" i="52"/>
  <c r="C108" i="52"/>
  <c r="C107" i="52"/>
  <c r="C106" i="52"/>
  <c r="C105" i="52"/>
  <c r="C104" i="52"/>
  <c r="C103" i="52"/>
  <c r="C102" i="52"/>
  <c r="C101" i="52"/>
  <c r="C100" i="52"/>
  <c r="C99" i="52"/>
  <c r="C98" i="52"/>
  <c r="C97" i="52"/>
  <c r="C96" i="52"/>
  <c r="C95" i="52"/>
  <c r="C94" i="52"/>
  <c r="C93" i="52"/>
  <c r="C92" i="52"/>
  <c r="C91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75" i="52"/>
  <c r="C74" i="52"/>
  <c r="C73" i="52"/>
  <c r="C72" i="52"/>
  <c r="C71" i="52"/>
  <c r="C70" i="52"/>
  <c r="C69" i="52"/>
  <c r="C68" i="52"/>
  <c r="C67" i="52"/>
  <c r="C6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D255" i="52"/>
  <c r="D254" i="52"/>
  <c r="D253" i="52"/>
  <c r="D252" i="52"/>
  <c r="D251" i="52"/>
  <c r="D250" i="52"/>
  <c r="D249" i="52"/>
  <c r="D248" i="52"/>
  <c r="D247" i="52"/>
  <c r="D246" i="52"/>
  <c r="D245" i="52"/>
  <c r="D244" i="52"/>
  <c r="D243" i="52"/>
  <c r="D242" i="52"/>
  <c r="D241" i="52"/>
  <c r="D240" i="52"/>
  <c r="D239" i="52"/>
  <c r="D238" i="52"/>
  <c r="D237" i="52"/>
  <c r="D236" i="52"/>
  <c r="D235" i="52"/>
  <c r="D234" i="52"/>
  <c r="D233" i="52"/>
  <c r="D232" i="52"/>
  <c r="D231" i="52"/>
  <c r="D230" i="52"/>
  <c r="D229" i="52"/>
  <c r="D228" i="52"/>
  <c r="D227" i="52"/>
  <c r="D226" i="52"/>
  <c r="D225" i="52"/>
  <c r="D224" i="52"/>
  <c r="D223" i="52"/>
  <c r="D222" i="52"/>
  <c r="D221" i="52"/>
  <c r="D220" i="52"/>
  <c r="D219" i="52"/>
  <c r="D218" i="52"/>
  <c r="D217" i="52"/>
  <c r="D216" i="52"/>
  <c r="D215" i="52"/>
  <c r="D214" i="52"/>
  <c r="D213" i="52"/>
  <c r="D212" i="52"/>
  <c r="D211" i="52"/>
  <c r="D210" i="52"/>
  <c r="D209" i="52"/>
  <c r="D208" i="52"/>
  <c r="D207" i="52"/>
  <c r="D206" i="52"/>
  <c r="D205" i="52"/>
  <c r="D204" i="52"/>
  <c r="D203" i="52"/>
  <c r="D202" i="52"/>
  <c r="D201" i="52"/>
  <c r="D200" i="52"/>
  <c r="D199" i="52"/>
  <c r="D198" i="52"/>
  <c r="D197" i="52"/>
  <c r="D196" i="52"/>
  <c r="D195" i="52"/>
  <c r="D194" i="52"/>
  <c r="D193" i="52"/>
  <c r="D192" i="52"/>
  <c r="D191" i="52"/>
  <c r="D190" i="52"/>
  <c r="D189" i="52"/>
  <c r="D188" i="52"/>
  <c r="D187" i="52"/>
  <c r="D186" i="52"/>
  <c r="D185" i="52"/>
  <c r="D184" i="52"/>
  <c r="D183" i="52"/>
  <c r="D182" i="52"/>
  <c r="D181" i="52"/>
  <c r="D180" i="52"/>
  <c r="D179" i="52"/>
  <c r="D178" i="52"/>
  <c r="D177" i="52"/>
  <c r="D176" i="52"/>
  <c r="D175" i="52"/>
  <c r="D174" i="52"/>
  <c r="D173" i="52"/>
  <c r="D172" i="52"/>
  <c r="D171" i="52"/>
  <c r="D170" i="52"/>
  <c r="D169" i="52"/>
  <c r="D168" i="52"/>
  <c r="D167" i="52"/>
  <c r="D166" i="52"/>
  <c r="D165" i="52"/>
  <c r="D164" i="52"/>
  <c r="D163" i="52"/>
  <c r="D162" i="52"/>
  <c r="D161" i="52"/>
  <c r="D160" i="52"/>
  <c r="D159" i="52"/>
  <c r="D158" i="52"/>
  <c r="D157" i="52"/>
  <c r="D156" i="52"/>
  <c r="D155" i="52"/>
  <c r="D154" i="52"/>
  <c r="D153" i="52"/>
  <c r="D152" i="52"/>
  <c r="D151" i="52"/>
  <c r="D150" i="52"/>
  <c r="D149" i="52"/>
  <c r="D148" i="52"/>
  <c r="D147" i="52"/>
  <c r="D146" i="52"/>
  <c r="D145" i="52"/>
  <c r="D144" i="52"/>
  <c r="D143" i="52"/>
  <c r="D142" i="52"/>
  <c r="D141" i="52"/>
  <c r="D140" i="52"/>
  <c r="D139" i="52"/>
  <c r="D138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E16" i="52"/>
  <c r="F135" i="52"/>
  <c r="F134" i="52"/>
  <c r="F133" i="52"/>
  <c r="F132" i="52"/>
  <c r="F131" i="52"/>
  <c r="F130" i="52"/>
  <c r="F129" i="52"/>
  <c r="F128" i="52"/>
  <c r="F127" i="52"/>
  <c r="F126" i="52"/>
  <c r="F125" i="52"/>
  <c r="F124" i="52"/>
  <c r="F123" i="52"/>
  <c r="F122" i="52"/>
  <c r="F121" i="52"/>
  <c r="F120" i="52"/>
  <c r="F119" i="52"/>
  <c r="F118" i="52"/>
  <c r="F117" i="52"/>
  <c r="F116" i="52"/>
  <c r="F115" i="52"/>
  <c r="F114" i="52"/>
  <c r="F113" i="52"/>
  <c r="F112" i="52"/>
  <c r="F111" i="52"/>
  <c r="F110" i="52"/>
  <c r="F109" i="52"/>
  <c r="F108" i="52"/>
  <c r="F107" i="52"/>
  <c r="F106" i="52"/>
  <c r="F105" i="52"/>
  <c r="F104" i="52"/>
  <c r="F103" i="52"/>
  <c r="F102" i="52"/>
  <c r="F101" i="52"/>
  <c r="F100" i="52"/>
  <c r="F99" i="52"/>
  <c r="F98" i="52"/>
  <c r="F97" i="52"/>
  <c r="F96" i="52"/>
  <c r="F95" i="52"/>
  <c r="F94" i="52"/>
  <c r="F93" i="52"/>
  <c r="F92" i="52"/>
  <c r="F91" i="52"/>
  <c r="F90" i="52"/>
  <c r="F89" i="52"/>
  <c r="F88" i="52"/>
  <c r="F87" i="52"/>
  <c r="F86" i="52"/>
  <c r="F85" i="52"/>
  <c r="F84" i="52"/>
  <c r="F83" i="52"/>
  <c r="F82" i="52"/>
  <c r="F81" i="52"/>
  <c r="F80" i="52"/>
  <c r="F79" i="52"/>
  <c r="F78" i="52"/>
  <c r="F77" i="52"/>
  <c r="F76" i="52"/>
  <c r="F75" i="52"/>
  <c r="F74" i="52"/>
  <c r="F73" i="52"/>
  <c r="F72" i="52"/>
  <c r="F71" i="52"/>
  <c r="F70" i="52"/>
  <c r="F69" i="52"/>
  <c r="F68" i="52"/>
  <c r="F67" i="52"/>
  <c r="F66" i="52"/>
  <c r="F65" i="52"/>
  <c r="F64" i="52"/>
  <c r="F63" i="52"/>
  <c r="F62" i="52"/>
  <c r="F61" i="52"/>
  <c r="F60" i="52"/>
  <c r="F59" i="52"/>
  <c r="F58" i="52"/>
  <c r="F57" i="52"/>
  <c r="F56" i="52"/>
  <c r="F55" i="52"/>
  <c r="F54" i="52"/>
  <c r="F53" i="52"/>
  <c r="F52" i="52"/>
  <c r="F51" i="52"/>
  <c r="F50" i="52"/>
  <c r="F49" i="52"/>
  <c r="F48" i="52"/>
  <c r="F47" i="52"/>
  <c r="F46" i="52"/>
  <c r="F45" i="52"/>
  <c r="F44" i="52"/>
  <c r="F43" i="52"/>
  <c r="F42" i="52"/>
  <c r="F41" i="52"/>
  <c r="F40" i="52"/>
  <c r="F39" i="52"/>
  <c r="F38" i="52"/>
  <c r="F37" i="52"/>
  <c r="F36" i="52"/>
  <c r="F35" i="52"/>
  <c r="F34" i="52"/>
  <c r="F33" i="52"/>
  <c r="F32" i="52"/>
  <c r="F31" i="52"/>
  <c r="F30" i="52"/>
  <c r="F29" i="52"/>
  <c r="F28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D13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11" i="52"/>
  <c r="S112" i="52"/>
  <c r="S113" i="52"/>
  <c r="S114" i="52"/>
  <c r="S115" i="52"/>
  <c r="S116" i="52"/>
  <c r="S117" i="52"/>
  <c r="S118" i="52"/>
  <c r="S119" i="52"/>
  <c r="S120" i="52"/>
  <c r="S121" i="52"/>
  <c r="S122" i="52"/>
  <c r="S123" i="52"/>
  <c r="S124" i="52"/>
  <c r="S125" i="52"/>
  <c r="S126" i="52"/>
  <c r="S127" i="52"/>
  <c r="S128" i="52"/>
  <c r="S129" i="52"/>
  <c r="S130" i="52"/>
  <c r="S131" i="52"/>
  <c r="S132" i="52"/>
  <c r="S133" i="52"/>
  <c r="S134" i="52"/>
  <c r="S135" i="52"/>
  <c r="S136" i="52"/>
  <c r="S137" i="52"/>
  <c r="S138" i="52"/>
  <c r="S139" i="52"/>
  <c r="S140" i="52"/>
  <c r="S141" i="52"/>
  <c r="S142" i="52"/>
  <c r="S143" i="52"/>
  <c r="S144" i="52"/>
  <c r="S145" i="52"/>
  <c r="S146" i="52"/>
  <c r="S147" i="52"/>
  <c r="S148" i="52"/>
  <c r="S149" i="52"/>
  <c r="S150" i="52"/>
  <c r="S151" i="52"/>
  <c r="S152" i="52"/>
  <c r="S153" i="52"/>
  <c r="S154" i="52"/>
  <c r="S155" i="52"/>
  <c r="S156" i="52"/>
  <c r="S157" i="52"/>
  <c r="S158" i="52"/>
  <c r="S159" i="52"/>
  <c r="S160" i="52"/>
  <c r="S161" i="52"/>
  <c r="S162" i="52"/>
  <c r="S163" i="52"/>
  <c r="S164" i="52"/>
  <c r="S165" i="52"/>
  <c r="S166" i="52"/>
  <c r="S167" i="52"/>
  <c r="S168" i="52"/>
  <c r="S169" i="52"/>
  <c r="S170" i="52"/>
  <c r="S171" i="52"/>
  <c r="S172" i="52"/>
  <c r="S173" i="52"/>
  <c r="S174" i="52"/>
  <c r="S175" i="52"/>
  <c r="S176" i="52"/>
  <c r="S177" i="52"/>
  <c r="S178" i="52"/>
  <c r="S179" i="52"/>
  <c r="S180" i="52"/>
  <c r="S181" i="52"/>
  <c r="S182" i="52"/>
  <c r="S183" i="52"/>
  <c r="S184" i="52"/>
  <c r="S185" i="52"/>
  <c r="S186" i="52"/>
  <c r="S187" i="52"/>
  <c r="S188" i="52"/>
  <c r="S189" i="52"/>
  <c r="S190" i="52"/>
  <c r="S191" i="52"/>
  <c r="S192" i="52"/>
  <c r="S193" i="52"/>
  <c r="S194" i="52"/>
  <c r="S195" i="52"/>
  <c r="S196" i="52"/>
  <c r="S197" i="52"/>
  <c r="S198" i="52"/>
  <c r="S199" i="52"/>
  <c r="S200" i="52"/>
  <c r="S201" i="52"/>
  <c r="S202" i="52"/>
  <c r="S203" i="52"/>
  <c r="S204" i="52"/>
  <c r="S205" i="52"/>
  <c r="S206" i="52"/>
  <c r="S207" i="52"/>
  <c r="S208" i="52"/>
  <c r="S209" i="52"/>
  <c r="S210" i="52"/>
  <c r="S211" i="52"/>
  <c r="S212" i="52"/>
  <c r="S213" i="52"/>
  <c r="S214" i="52"/>
  <c r="S215" i="52"/>
  <c r="S216" i="52"/>
  <c r="S217" i="52"/>
  <c r="S218" i="52"/>
  <c r="S219" i="52"/>
  <c r="S220" i="52"/>
  <c r="S221" i="52"/>
  <c r="S222" i="52"/>
  <c r="S223" i="52"/>
  <c r="S224" i="52"/>
  <c r="S225" i="52"/>
  <c r="S226" i="52"/>
  <c r="S227" i="52"/>
  <c r="S228" i="52"/>
  <c r="S229" i="52"/>
  <c r="S230" i="52"/>
  <c r="S231" i="52"/>
  <c r="S232" i="52"/>
  <c r="S233" i="52"/>
  <c r="S234" i="52"/>
  <c r="S235" i="52"/>
  <c r="S236" i="52"/>
  <c r="S237" i="52"/>
  <c r="S238" i="52"/>
  <c r="S239" i="52"/>
  <c r="S240" i="52"/>
  <c r="S241" i="52"/>
  <c r="S242" i="52"/>
  <c r="S243" i="52"/>
  <c r="S244" i="52"/>
  <c r="S245" i="52"/>
  <c r="S246" i="52"/>
  <c r="S247" i="52"/>
  <c r="S248" i="52"/>
  <c r="S249" i="52"/>
  <c r="S250" i="52"/>
  <c r="S251" i="52"/>
  <c r="S252" i="52"/>
  <c r="S253" i="52"/>
  <c r="S254" i="52"/>
  <c r="S255" i="52"/>
  <c r="S256" i="52"/>
  <c r="S16" i="52"/>
  <c r="N18" i="52"/>
  <c r="N19" i="52"/>
  <c r="N20" i="52"/>
  <c r="N21" i="52"/>
  <c r="N22" i="52"/>
  <c r="N23" i="52"/>
  <c r="N24" i="52"/>
  <c r="N25" i="52"/>
  <c r="N26" i="52"/>
  <c r="N27" i="52"/>
  <c r="N28" i="52"/>
  <c r="N29" i="52"/>
  <c r="N30" i="52"/>
  <c r="N31" i="52"/>
  <c r="N32" i="52"/>
  <c r="N33" i="52"/>
  <c r="N34" i="52"/>
  <c r="N35" i="52"/>
  <c r="N36" i="52"/>
  <c r="N37" i="52"/>
  <c r="N38" i="52"/>
  <c r="N39" i="52"/>
  <c r="N40" i="52"/>
  <c r="N41" i="52"/>
  <c r="N42" i="52"/>
  <c r="N43" i="52"/>
  <c r="N44" i="52"/>
  <c r="N45" i="52"/>
  <c r="N46" i="52"/>
  <c r="N47" i="52"/>
  <c r="N48" i="52"/>
  <c r="N49" i="52"/>
  <c r="N50" i="52"/>
  <c r="N51" i="52"/>
  <c r="N52" i="52"/>
  <c r="N53" i="52"/>
  <c r="N54" i="52"/>
  <c r="N55" i="52"/>
  <c r="N56" i="52"/>
  <c r="N57" i="52"/>
  <c r="N58" i="52"/>
  <c r="N59" i="52"/>
  <c r="N60" i="52"/>
  <c r="N61" i="52"/>
  <c r="N62" i="52"/>
  <c r="N63" i="52"/>
  <c r="N64" i="52"/>
  <c r="N65" i="52"/>
  <c r="N66" i="52"/>
  <c r="N67" i="52"/>
  <c r="N68" i="52"/>
  <c r="N69" i="52"/>
  <c r="N70" i="52"/>
  <c r="N71" i="52"/>
  <c r="N72" i="52"/>
  <c r="N73" i="52"/>
  <c r="N74" i="52"/>
  <c r="N75" i="52"/>
  <c r="N76" i="52"/>
  <c r="N77" i="52"/>
  <c r="N78" i="52"/>
  <c r="N79" i="52"/>
  <c r="N80" i="52"/>
  <c r="N81" i="52"/>
  <c r="N82" i="52"/>
  <c r="N83" i="52"/>
  <c r="N84" i="52"/>
  <c r="N85" i="52"/>
  <c r="N86" i="52"/>
  <c r="N87" i="52"/>
  <c r="N88" i="52"/>
  <c r="N89" i="52"/>
  <c r="N90" i="52"/>
  <c r="N91" i="52"/>
  <c r="N92" i="52"/>
  <c r="N93" i="52"/>
  <c r="N94" i="52"/>
  <c r="N95" i="52"/>
  <c r="N96" i="52"/>
  <c r="N97" i="52"/>
  <c r="N98" i="52"/>
  <c r="N99" i="52"/>
  <c r="N100" i="52"/>
  <c r="N101" i="52"/>
  <c r="N102" i="52"/>
  <c r="N103" i="52"/>
  <c r="N104" i="52"/>
  <c r="N105" i="52"/>
  <c r="N106" i="52"/>
  <c r="N107" i="52"/>
  <c r="N108" i="52"/>
  <c r="N109" i="52"/>
  <c r="N110" i="52"/>
  <c r="N111" i="52"/>
  <c r="N112" i="52"/>
  <c r="N113" i="52"/>
  <c r="N114" i="52"/>
  <c r="N115" i="52"/>
  <c r="N116" i="52"/>
  <c r="N117" i="52"/>
  <c r="N118" i="52"/>
  <c r="N119" i="52"/>
  <c r="N120" i="52"/>
  <c r="N121" i="52"/>
  <c r="N122" i="52"/>
  <c r="N123" i="52"/>
  <c r="N124" i="52"/>
  <c r="N125" i="52"/>
  <c r="N126" i="52"/>
  <c r="N127" i="52"/>
  <c r="N128" i="52"/>
  <c r="N129" i="52"/>
  <c r="N130" i="52"/>
  <c r="N131" i="52"/>
  <c r="N132" i="52"/>
  <c r="N133" i="52"/>
  <c r="N134" i="52"/>
  <c r="N135" i="52"/>
  <c r="N136" i="52"/>
  <c r="N137" i="52"/>
  <c r="N138" i="52"/>
  <c r="N139" i="52"/>
  <c r="N140" i="52"/>
  <c r="N141" i="52"/>
  <c r="N142" i="52"/>
  <c r="N143" i="52"/>
  <c r="N144" i="52"/>
  <c r="N145" i="52"/>
  <c r="N146" i="52"/>
  <c r="N147" i="52"/>
  <c r="N148" i="52"/>
  <c r="N149" i="52"/>
  <c r="N150" i="52"/>
  <c r="N151" i="52"/>
  <c r="N152" i="52"/>
  <c r="N153" i="52"/>
  <c r="N154" i="52"/>
  <c r="N155" i="52"/>
  <c r="N156" i="52"/>
  <c r="N157" i="52"/>
  <c r="N158" i="52"/>
  <c r="N159" i="52"/>
  <c r="N160" i="52"/>
  <c r="N161" i="52"/>
  <c r="N162" i="52"/>
  <c r="N163" i="52"/>
  <c r="N164" i="52"/>
  <c r="N165" i="52"/>
  <c r="N166" i="52"/>
  <c r="N167" i="52"/>
  <c r="N168" i="52"/>
  <c r="N169" i="52"/>
  <c r="N170" i="52"/>
  <c r="N171" i="52"/>
  <c r="N172" i="52"/>
  <c r="N173" i="52"/>
  <c r="N174" i="52"/>
  <c r="N175" i="52"/>
  <c r="N176" i="52"/>
  <c r="N177" i="52"/>
  <c r="N178" i="52"/>
  <c r="N179" i="52"/>
  <c r="N180" i="52"/>
  <c r="N181" i="52"/>
  <c r="N182" i="52"/>
  <c r="N183" i="52"/>
  <c r="N184" i="52"/>
  <c r="N185" i="52"/>
  <c r="N186" i="52"/>
  <c r="N187" i="52"/>
  <c r="N188" i="52"/>
  <c r="N189" i="52"/>
  <c r="N190" i="52"/>
  <c r="N191" i="52"/>
  <c r="N192" i="52"/>
  <c r="N193" i="52"/>
  <c r="N194" i="52"/>
  <c r="N195" i="52"/>
  <c r="N196" i="52"/>
  <c r="N197" i="52"/>
  <c r="N198" i="52"/>
  <c r="N199" i="52"/>
  <c r="N200" i="52"/>
  <c r="N201" i="52"/>
  <c r="N202" i="52"/>
  <c r="N203" i="52"/>
  <c r="N204" i="52"/>
  <c r="N205" i="52"/>
  <c r="N206" i="52"/>
  <c r="N207" i="52"/>
  <c r="N208" i="52"/>
  <c r="N209" i="52"/>
  <c r="N210" i="52"/>
  <c r="N211" i="52"/>
  <c r="N212" i="52"/>
  <c r="N213" i="52"/>
  <c r="N214" i="52"/>
  <c r="N215" i="52"/>
  <c r="N216" i="52"/>
  <c r="N217" i="52"/>
  <c r="N218" i="52"/>
  <c r="N219" i="52"/>
  <c r="N220" i="52"/>
  <c r="N221" i="52"/>
  <c r="N222" i="52"/>
  <c r="N223" i="52"/>
  <c r="N224" i="52"/>
  <c r="N225" i="52"/>
  <c r="N226" i="52"/>
  <c r="N227" i="52"/>
  <c r="N228" i="52"/>
  <c r="N229" i="52"/>
  <c r="N230" i="52"/>
  <c r="N231" i="52"/>
  <c r="N232" i="52"/>
  <c r="N233" i="52"/>
  <c r="N234" i="52"/>
  <c r="N235" i="52"/>
  <c r="N236" i="52"/>
  <c r="N237" i="52"/>
  <c r="N238" i="52"/>
  <c r="N239" i="52"/>
  <c r="N240" i="52"/>
  <c r="N241" i="52"/>
  <c r="N242" i="52"/>
  <c r="N243" i="52"/>
  <c r="N244" i="52"/>
  <c r="N245" i="52"/>
  <c r="N246" i="52"/>
  <c r="N247" i="52"/>
  <c r="N248" i="52"/>
  <c r="N249" i="52"/>
  <c r="N250" i="52"/>
  <c r="N251" i="52"/>
  <c r="N252" i="52"/>
  <c r="N253" i="52"/>
  <c r="N254" i="52"/>
  <c r="N255" i="52"/>
  <c r="N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7" i="52"/>
  <c r="E17" i="52"/>
  <c r="G17" i="52"/>
  <c r="E18" i="52"/>
  <c r="G18" i="52"/>
  <c r="E19" i="52"/>
  <c r="G19" i="52"/>
  <c r="E20" i="52"/>
  <c r="G20" i="52"/>
  <c r="E21" i="52"/>
  <c r="G21" i="52"/>
  <c r="E22" i="52"/>
  <c r="G22" i="52"/>
  <c r="E23" i="52"/>
  <c r="G23" i="52"/>
  <c r="E24" i="52"/>
  <c r="G24" i="52"/>
  <c r="E25" i="52"/>
  <c r="G25" i="52"/>
  <c r="E26" i="52"/>
  <c r="G26" i="52"/>
  <c r="E27" i="52"/>
  <c r="G27" i="52"/>
  <c r="E28" i="52"/>
  <c r="G28" i="52"/>
  <c r="E29" i="52"/>
  <c r="G29" i="52"/>
  <c r="E30" i="52"/>
  <c r="G30" i="52"/>
  <c r="E31" i="52"/>
  <c r="G31" i="52"/>
  <c r="E32" i="52"/>
  <c r="G32" i="52"/>
  <c r="E33" i="52"/>
  <c r="G33" i="52"/>
  <c r="E34" i="52"/>
  <c r="G34" i="52"/>
  <c r="E35" i="52"/>
  <c r="G35" i="52"/>
  <c r="E36" i="52"/>
  <c r="G36" i="52"/>
  <c r="E37" i="52"/>
  <c r="G37" i="52"/>
  <c r="E38" i="52"/>
  <c r="G38" i="52"/>
  <c r="E39" i="52"/>
  <c r="G39" i="52"/>
  <c r="E40" i="52"/>
  <c r="G40" i="52"/>
  <c r="E41" i="52"/>
  <c r="G41" i="52"/>
  <c r="E42" i="52"/>
  <c r="G42" i="52"/>
  <c r="E43" i="52"/>
  <c r="G43" i="52"/>
  <c r="E44" i="52"/>
  <c r="G44" i="52"/>
  <c r="E45" i="52"/>
  <c r="G45" i="52"/>
  <c r="E46" i="52"/>
  <c r="G46" i="52"/>
  <c r="E47" i="52"/>
  <c r="G47" i="52"/>
  <c r="E48" i="52"/>
  <c r="G48" i="52"/>
  <c r="E49" i="52"/>
  <c r="G49" i="52"/>
  <c r="E50" i="52"/>
  <c r="G50" i="52"/>
  <c r="E51" i="52"/>
  <c r="G51" i="52"/>
  <c r="E52" i="52"/>
  <c r="G52" i="52"/>
  <c r="E53" i="52"/>
  <c r="G53" i="52"/>
  <c r="E54" i="52"/>
  <c r="G54" i="52"/>
  <c r="E55" i="52"/>
  <c r="G55" i="52"/>
  <c r="E56" i="52"/>
  <c r="G56" i="52"/>
  <c r="E57" i="52"/>
  <c r="G57" i="52"/>
  <c r="E58" i="52"/>
  <c r="G58" i="52"/>
  <c r="E59" i="52"/>
  <c r="G59" i="52"/>
  <c r="E60" i="52"/>
  <c r="G60" i="52"/>
  <c r="E61" i="52"/>
  <c r="G61" i="52"/>
  <c r="E62" i="52"/>
  <c r="G62" i="52"/>
  <c r="E63" i="52"/>
  <c r="G63" i="52"/>
  <c r="E64" i="52"/>
  <c r="G64" i="52"/>
  <c r="E65" i="52"/>
  <c r="G65" i="52"/>
  <c r="E66" i="52"/>
  <c r="G66" i="52"/>
  <c r="E67" i="52"/>
  <c r="G67" i="52"/>
  <c r="E68" i="52"/>
  <c r="G68" i="52"/>
  <c r="E69" i="52"/>
  <c r="G69" i="52"/>
  <c r="E70" i="52"/>
  <c r="G70" i="52"/>
  <c r="E71" i="52"/>
  <c r="G71" i="52"/>
  <c r="E72" i="52"/>
  <c r="G72" i="52"/>
  <c r="E73" i="52"/>
  <c r="G73" i="52"/>
  <c r="E74" i="52"/>
  <c r="G74" i="52"/>
  <c r="E75" i="52"/>
  <c r="G75" i="52"/>
  <c r="E76" i="52"/>
  <c r="G76" i="52"/>
  <c r="E77" i="52"/>
  <c r="G77" i="52"/>
  <c r="E78" i="52"/>
  <c r="G78" i="52"/>
  <c r="E79" i="52"/>
  <c r="G79" i="52"/>
  <c r="E80" i="52"/>
  <c r="G80" i="52"/>
  <c r="E81" i="52"/>
  <c r="G81" i="52"/>
  <c r="E82" i="52"/>
  <c r="G82" i="52"/>
  <c r="E83" i="52"/>
  <c r="G83" i="52"/>
  <c r="E84" i="52"/>
  <c r="G84" i="52"/>
  <c r="E85" i="52"/>
  <c r="G85" i="52"/>
  <c r="E86" i="52"/>
  <c r="G86" i="52"/>
  <c r="E87" i="52"/>
  <c r="G87" i="52"/>
  <c r="E88" i="52"/>
  <c r="G88" i="52"/>
  <c r="E89" i="52"/>
  <c r="G89" i="52"/>
  <c r="E90" i="52"/>
  <c r="G90" i="52"/>
  <c r="E91" i="52"/>
  <c r="G91" i="52"/>
  <c r="E92" i="52"/>
  <c r="G92" i="52"/>
  <c r="E93" i="52"/>
  <c r="G93" i="52"/>
  <c r="E94" i="52"/>
  <c r="G94" i="52"/>
  <c r="E95" i="52"/>
  <c r="G95" i="52"/>
  <c r="E96" i="52"/>
  <c r="G96" i="52"/>
  <c r="E97" i="52"/>
  <c r="G97" i="52"/>
  <c r="E98" i="52"/>
  <c r="G98" i="52"/>
  <c r="E99" i="52"/>
  <c r="G99" i="52"/>
  <c r="E100" i="52"/>
  <c r="G100" i="52"/>
  <c r="E101" i="52"/>
  <c r="G101" i="52"/>
  <c r="E102" i="52"/>
  <c r="G102" i="52"/>
  <c r="E103" i="52"/>
  <c r="G103" i="52"/>
  <c r="E104" i="52"/>
  <c r="G104" i="52"/>
  <c r="E105" i="52"/>
  <c r="G105" i="52"/>
  <c r="E106" i="52"/>
  <c r="G106" i="52"/>
  <c r="E107" i="52"/>
  <c r="G107" i="52"/>
  <c r="E108" i="52"/>
  <c r="G108" i="52"/>
  <c r="E109" i="52"/>
  <c r="G109" i="52"/>
  <c r="E110" i="52"/>
  <c r="G110" i="52"/>
  <c r="E111" i="52"/>
  <c r="G111" i="52"/>
  <c r="E112" i="52"/>
  <c r="G112" i="52"/>
  <c r="E113" i="52"/>
  <c r="G113" i="52"/>
  <c r="E114" i="52"/>
  <c r="G114" i="52"/>
  <c r="E115" i="52"/>
  <c r="G115" i="52"/>
  <c r="E116" i="52"/>
  <c r="G116" i="52"/>
  <c r="E117" i="52"/>
  <c r="G117" i="52"/>
  <c r="E118" i="52"/>
  <c r="G118" i="52"/>
  <c r="E119" i="52"/>
  <c r="G119" i="52"/>
  <c r="E120" i="52"/>
  <c r="G120" i="52"/>
  <c r="E121" i="52"/>
  <c r="G121" i="52"/>
  <c r="E122" i="52"/>
  <c r="G122" i="52"/>
  <c r="E123" i="52"/>
  <c r="G123" i="52"/>
  <c r="E124" i="52"/>
  <c r="G124" i="52"/>
  <c r="E125" i="52"/>
  <c r="G125" i="52"/>
  <c r="E126" i="52"/>
  <c r="G126" i="52"/>
  <c r="E127" i="52"/>
  <c r="G127" i="52"/>
  <c r="E128" i="52"/>
  <c r="G128" i="52"/>
  <c r="E129" i="52"/>
  <c r="G129" i="52"/>
  <c r="E130" i="52"/>
  <c r="G130" i="52"/>
  <c r="E131" i="52"/>
  <c r="G131" i="52"/>
  <c r="E132" i="52"/>
  <c r="G132" i="52"/>
  <c r="E133" i="52"/>
  <c r="G133" i="52"/>
  <c r="E134" i="52"/>
  <c r="G134" i="52"/>
  <c r="E135" i="52"/>
  <c r="G135" i="52"/>
  <c r="E136" i="52"/>
  <c r="G136" i="52"/>
  <c r="E137" i="52"/>
  <c r="G137" i="52"/>
  <c r="E138" i="52"/>
  <c r="G138" i="52"/>
  <c r="E139" i="52"/>
  <c r="G139" i="52"/>
  <c r="E140" i="52"/>
  <c r="G140" i="52"/>
  <c r="E141" i="52"/>
  <c r="G141" i="52"/>
  <c r="E142" i="52"/>
  <c r="G142" i="52"/>
  <c r="E143" i="52"/>
  <c r="G143" i="52"/>
  <c r="E144" i="52"/>
  <c r="G144" i="52"/>
  <c r="E145" i="52"/>
  <c r="G145" i="52"/>
  <c r="E146" i="52"/>
  <c r="G146" i="52"/>
  <c r="E147" i="52"/>
  <c r="G147" i="52"/>
  <c r="E148" i="52"/>
  <c r="G148" i="52"/>
  <c r="E149" i="52"/>
  <c r="G149" i="52"/>
  <c r="E150" i="52"/>
  <c r="G150" i="52"/>
  <c r="E151" i="52"/>
  <c r="G151" i="52"/>
  <c r="E152" i="52"/>
  <c r="G152" i="52"/>
  <c r="E153" i="52"/>
  <c r="G153" i="52"/>
  <c r="E154" i="52"/>
  <c r="G154" i="52"/>
  <c r="E155" i="52"/>
  <c r="G155" i="52"/>
  <c r="E156" i="52"/>
  <c r="G156" i="52"/>
  <c r="E157" i="52"/>
  <c r="G157" i="52"/>
  <c r="E158" i="52"/>
  <c r="G158" i="52"/>
  <c r="E159" i="52"/>
  <c r="G159" i="52"/>
  <c r="E160" i="52"/>
  <c r="G160" i="52"/>
  <c r="E161" i="52"/>
  <c r="G161" i="52"/>
  <c r="E162" i="52"/>
  <c r="G162" i="52"/>
  <c r="E163" i="52"/>
  <c r="G163" i="52"/>
  <c r="E164" i="52"/>
  <c r="G164" i="52"/>
  <c r="E165" i="52"/>
  <c r="G165" i="52"/>
  <c r="E166" i="52"/>
  <c r="G166" i="52"/>
  <c r="E167" i="52"/>
  <c r="G167" i="52"/>
  <c r="E168" i="52"/>
  <c r="G168" i="52"/>
  <c r="E169" i="52"/>
  <c r="G169" i="52"/>
  <c r="E170" i="52"/>
  <c r="G170" i="52"/>
  <c r="E171" i="52"/>
  <c r="G171" i="52"/>
  <c r="E172" i="52"/>
  <c r="G172" i="52"/>
  <c r="E173" i="52"/>
  <c r="G173" i="52"/>
  <c r="E174" i="52"/>
  <c r="G174" i="52"/>
  <c r="E175" i="52"/>
  <c r="G175" i="52"/>
  <c r="E176" i="52"/>
  <c r="G176" i="52"/>
  <c r="E177" i="52"/>
  <c r="G177" i="52"/>
  <c r="E178" i="52"/>
  <c r="G178" i="52"/>
  <c r="E179" i="52"/>
  <c r="G179" i="52"/>
  <c r="E180" i="52"/>
  <c r="G180" i="52"/>
  <c r="E181" i="52"/>
  <c r="G181" i="52"/>
  <c r="E182" i="52"/>
  <c r="G182" i="52"/>
  <c r="E183" i="52"/>
  <c r="G183" i="52"/>
  <c r="E184" i="52"/>
  <c r="G184" i="52"/>
  <c r="E185" i="52"/>
  <c r="G185" i="52"/>
  <c r="E186" i="52"/>
  <c r="G186" i="52"/>
  <c r="E187" i="52"/>
  <c r="G187" i="52"/>
  <c r="E188" i="52"/>
  <c r="G188" i="52"/>
  <c r="E189" i="52"/>
  <c r="G189" i="52"/>
  <c r="E190" i="52"/>
  <c r="G190" i="52"/>
  <c r="E191" i="52"/>
  <c r="G191" i="52"/>
  <c r="E192" i="52"/>
  <c r="G192" i="52"/>
  <c r="E193" i="52"/>
  <c r="G193" i="52"/>
  <c r="E194" i="52"/>
  <c r="G194" i="52"/>
  <c r="E195" i="52"/>
  <c r="G195" i="52"/>
  <c r="E196" i="52"/>
  <c r="G196" i="52"/>
  <c r="E197" i="52"/>
  <c r="G197" i="52"/>
  <c r="E198" i="52"/>
  <c r="G198" i="52"/>
  <c r="E199" i="52"/>
  <c r="G199" i="52"/>
  <c r="E200" i="52"/>
  <c r="G200" i="52"/>
  <c r="E201" i="52"/>
  <c r="G201" i="52"/>
  <c r="E202" i="52"/>
  <c r="G202" i="52"/>
  <c r="E203" i="52"/>
  <c r="G203" i="52"/>
  <c r="E204" i="52"/>
  <c r="G204" i="52"/>
  <c r="E205" i="52"/>
  <c r="G205" i="52"/>
  <c r="E206" i="52"/>
  <c r="G206" i="52"/>
  <c r="E207" i="52"/>
  <c r="G207" i="52"/>
  <c r="E208" i="52"/>
  <c r="G208" i="52"/>
  <c r="E209" i="52"/>
  <c r="G209" i="52"/>
  <c r="E210" i="52"/>
  <c r="G210" i="52"/>
  <c r="E211" i="52"/>
  <c r="G211" i="52"/>
  <c r="E212" i="52"/>
  <c r="G212" i="52"/>
  <c r="E213" i="52"/>
  <c r="G213" i="52"/>
  <c r="E214" i="52"/>
  <c r="G214" i="52"/>
  <c r="E215" i="52"/>
  <c r="G215" i="52"/>
  <c r="E216" i="52"/>
  <c r="G216" i="52"/>
  <c r="E217" i="52"/>
  <c r="G217" i="52"/>
  <c r="E218" i="52"/>
  <c r="G218" i="52"/>
  <c r="E219" i="52"/>
  <c r="G219" i="52"/>
  <c r="E220" i="52"/>
  <c r="G220" i="52"/>
  <c r="E221" i="52"/>
  <c r="G221" i="52"/>
  <c r="E222" i="52"/>
  <c r="G222" i="52"/>
  <c r="E223" i="52"/>
  <c r="G223" i="52"/>
  <c r="E224" i="52"/>
  <c r="G224" i="52"/>
  <c r="E225" i="52"/>
  <c r="G225" i="52"/>
  <c r="E226" i="52"/>
  <c r="G226" i="52"/>
  <c r="E227" i="52"/>
  <c r="G227" i="52"/>
  <c r="E228" i="52"/>
  <c r="G228" i="52"/>
  <c r="E229" i="52"/>
  <c r="G229" i="52"/>
  <c r="E230" i="52"/>
  <c r="G230" i="52"/>
  <c r="E231" i="52"/>
  <c r="G231" i="52"/>
  <c r="E232" i="52"/>
  <c r="G232" i="52"/>
  <c r="E233" i="52"/>
  <c r="G233" i="52"/>
  <c r="E234" i="52"/>
  <c r="G234" i="52"/>
  <c r="E235" i="52"/>
  <c r="G235" i="52"/>
  <c r="E236" i="52"/>
  <c r="G236" i="52"/>
  <c r="E237" i="52"/>
  <c r="G237" i="52"/>
  <c r="E238" i="52"/>
  <c r="G238" i="52"/>
  <c r="E239" i="52"/>
  <c r="G239" i="52"/>
  <c r="E240" i="52"/>
  <c r="G240" i="52"/>
  <c r="E241" i="52"/>
  <c r="G241" i="52"/>
  <c r="E242" i="52"/>
  <c r="G242" i="52"/>
  <c r="E243" i="52"/>
  <c r="G243" i="52"/>
  <c r="E244" i="52"/>
  <c r="G244" i="52"/>
  <c r="E245" i="52"/>
  <c r="G245" i="52"/>
  <c r="E246" i="52"/>
  <c r="G246" i="52"/>
  <c r="E247" i="52"/>
  <c r="G247" i="52"/>
  <c r="E248" i="52"/>
  <c r="G248" i="52"/>
  <c r="E249" i="52"/>
  <c r="G249" i="52"/>
  <c r="E250" i="52"/>
  <c r="G250" i="52"/>
  <c r="E251" i="52"/>
  <c r="G251" i="52"/>
  <c r="E252" i="52"/>
  <c r="G252" i="52"/>
  <c r="E253" i="52"/>
  <c r="G253" i="52"/>
  <c r="E254" i="52"/>
  <c r="G254" i="52"/>
  <c r="E255" i="52"/>
  <c r="G255" i="52"/>
  <c r="E256" i="52"/>
  <c r="G25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4" i="52"/>
  <c r="B125" i="52"/>
  <c r="B126" i="52"/>
  <c r="B127" i="52"/>
  <c r="B128" i="52"/>
  <c r="B129" i="52"/>
  <c r="B130" i="52"/>
  <c r="B131" i="52"/>
  <c r="B132" i="52"/>
  <c r="B133" i="52"/>
  <c r="B134" i="52"/>
  <c r="B135" i="52"/>
  <c r="B136" i="52"/>
  <c r="B137" i="52"/>
  <c r="B138" i="52"/>
  <c r="B139" i="52"/>
  <c r="B140" i="52"/>
  <c r="B141" i="52"/>
  <c r="B142" i="52"/>
  <c r="B143" i="52"/>
  <c r="B144" i="52"/>
  <c r="B145" i="52"/>
  <c r="B146" i="52"/>
  <c r="B147" i="52"/>
  <c r="B148" i="52"/>
  <c r="B149" i="52"/>
  <c r="B150" i="52"/>
  <c r="B151" i="52"/>
  <c r="B152" i="52"/>
  <c r="B153" i="52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67" i="52"/>
  <c r="B168" i="52"/>
  <c r="B169" i="52"/>
  <c r="B170" i="52"/>
  <c r="B171" i="52"/>
  <c r="B172" i="52"/>
  <c r="B173" i="52"/>
  <c r="B174" i="52"/>
  <c r="B175" i="52"/>
  <c r="B176" i="52"/>
  <c r="B177" i="52"/>
  <c r="B178" i="52"/>
  <c r="B179" i="52"/>
  <c r="B180" i="52"/>
  <c r="B181" i="52"/>
  <c r="B182" i="52"/>
  <c r="B183" i="52"/>
  <c r="B184" i="52"/>
  <c r="B185" i="52"/>
  <c r="B186" i="52"/>
  <c r="B187" i="52"/>
  <c r="B188" i="52"/>
  <c r="B189" i="52"/>
  <c r="B190" i="52"/>
  <c r="B191" i="52"/>
  <c r="B192" i="52"/>
  <c r="B193" i="52"/>
  <c r="B194" i="52"/>
  <c r="B195" i="52"/>
  <c r="B196" i="52"/>
  <c r="B197" i="52"/>
  <c r="B198" i="52"/>
  <c r="B199" i="52"/>
  <c r="B200" i="52"/>
  <c r="B201" i="52"/>
  <c r="B202" i="52"/>
  <c r="B203" i="52"/>
  <c r="B204" i="52"/>
  <c r="B205" i="52"/>
  <c r="B206" i="52"/>
  <c r="B207" i="52"/>
  <c r="B208" i="52"/>
  <c r="B209" i="52"/>
  <c r="B210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24" i="52"/>
  <c r="B225" i="52"/>
  <c r="B226" i="52"/>
  <c r="B227" i="52"/>
  <c r="B228" i="52"/>
  <c r="B229" i="52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43" i="52"/>
  <c r="B244" i="52"/>
  <c r="B245" i="52"/>
  <c r="B246" i="52"/>
  <c r="B247" i="52"/>
  <c r="B248" i="52"/>
  <c r="B249" i="52"/>
  <c r="B250" i="52"/>
  <c r="B251" i="52"/>
  <c r="B252" i="52"/>
  <c r="B253" i="52"/>
  <c r="B254" i="52"/>
  <c r="B255" i="52"/>
  <c r="B256" i="52"/>
  <c r="B16" i="52"/>
  <c r="G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157" i="52"/>
  <c r="A158" i="52"/>
  <c r="A159" i="52"/>
  <c r="A160" i="52"/>
  <c r="A161" i="52"/>
  <c r="A162" i="52"/>
  <c r="A163" i="52"/>
  <c r="A164" i="52"/>
  <c r="A165" i="52"/>
  <c r="A166" i="52"/>
  <c r="A167" i="52"/>
  <c r="A168" i="52"/>
  <c r="A169" i="52"/>
  <c r="A170" i="52"/>
  <c r="A171" i="52"/>
  <c r="A172" i="52"/>
  <c r="A173" i="52"/>
  <c r="A174" i="52"/>
  <c r="A175" i="52"/>
  <c r="A176" i="52"/>
  <c r="A177" i="52"/>
  <c r="A178" i="52"/>
  <c r="A179" i="52"/>
  <c r="A180" i="52"/>
  <c r="A181" i="52"/>
  <c r="A182" i="52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202" i="52"/>
  <c r="A203" i="52"/>
  <c r="A204" i="52"/>
  <c r="A205" i="52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25" i="52"/>
  <c r="A226" i="52"/>
  <c r="A227" i="52"/>
  <c r="A228" i="52"/>
  <c r="A229" i="52"/>
  <c r="A230" i="52"/>
  <c r="A231" i="52"/>
  <c r="A232" i="52"/>
  <c r="A233" i="52"/>
  <c r="A234" i="52"/>
  <c r="A235" i="52"/>
  <c r="A236" i="52"/>
  <c r="A237" i="52"/>
  <c r="A238" i="52"/>
  <c r="A239" i="52"/>
  <c r="A240" i="52"/>
  <c r="A241" i="52"/>
  <c r="A242" i="52"/>
  <c r="A243" i="52"/>
  <c r="A244" i="52"/>
  <c r="A245" i="52"/>
  <c r="A246" i="52"/>
  <c r="A247" i="52"/>
  <c r="A248" i="52"/>
  <c r="A249" i="52"/>
  <c r="A250" i="52"/>
  <c r="A251" i="52"/>
  <c r="A252" i="52"/>
  <c r="A253" i="52"/>
  <c r="A254" i="52"/>
  <c r="A255" i="52"/>
  <c r="A256" i="52"/>
  <c r="I256" i="52"/>
  <c r="J256" i="52"/>
  <c r="M256" i="52"/>
  <c r="P256" i="52"/>
  <c r="Q18" i="52"/>
  <c r="Q19" i="52"/>
  <c r="Q20" i="52"/>
  <c r="Q21" i="52"/>
  <c r="Q22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Q37" i="52"/>
  <c r="Q38" i="52"/>
  <c r="Q39" i="52"/>
  <c r="Q40" i="52"/>
  <c r="Q41" i="52"/>
  <c r="Q42" i="52"/>
  <c r="Q43" i="52"/>
  <c r="Q44" i="52"/>
  <c r="Q45" i="52"/>
  <c r="Q46" i="52"/>
  <c r="Q47" i="52"/>
  <c r="Q48" i="52"/>
  <c r="Q49" i="52"/>
  <c r="Q50" i="52"/>
  <c r="Q51" i="52"/>
  <c r="Q52" i="52"/>
  <c r="Q53" i="52"/>
  <c r="Q54" i="52"/>
  <c r="Q55" i="52"/>
  <c r="Q56" i="52"/>
  <c r="Q57" i="52"/>
  <c r="Q58" i="52"/>
  <c r="Q59" i="52"/>
  <c r="Q60" i="52"/>
  <c r="Q61" i="52"/>
  <c r="Q62" i="52"/>
  <c r="Q63" i="52"/>
  <c r="Q64" i="52"/>
  <c r="Q65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89" i="52"/>
  <c r="Q90" i="52"/>
  <c r="Q91" i="52"/>
  <c r="Q92" i="52"/>
  <c r="Q93" i="52"/>
  <c r="Q94" i="52"/>
  <c r="Q95" i="52"/>
  <c r="Q96" i="52"/>
  <c r="Q97" i="52"/>
  <c r="Q98" i="52"/>
  <c r="Q99" i="52"/>
  <c r="Q100" i="52"/>
  <c r="Q101" i="52"/>
  <c r="Q102" i="52"/>
  <c r="Q103" i="52"/>
  <c r="Q104" i="52"/>
  <c r="Q105" i="52"/>
  <c r="Q106" i="52"/>
  <c r="Q107" i="52"/>
  <c r="Q108" i="52"/>
  <c r="Q109" i="52"/>
  <c r="Q110" i="52"/>
  <c r="Q111" i="52"/>
  <c r="Q112" i="52"/>
  <c r="Q113" i="52"/>
  <c r="Q114" i="52"/>
  <c r="Q115" i="52"/>
  <c r="Q116" i="52"/>
  <c r="Q117" i="52"/>
  <c r="Q118" i="52"/>
  <c r="Q119" i="52"/>
  <c r="Q120" i="52"/>
  <c r="Q121" i="52"/>
  <c r="Q122" i="52"/>
  <c r="Q123" i="52"/>
  <c r="Q124" i="52"/>
  <c r="Q125" i="52"/>
  <c r="Q126" i="52"/>
  <c r="Q127" i="52"/>
  <c r="Q128" i="52"/>
  <c r="Q129" i="52"/>
  <c r="Q130" i="52"/>
  <c r="Q131" i="52"/>
  <c r="Q132" i="52"/>
  <c r="Q133" i="52"/>
  <c r="Q134" i="52"/>
  <c r="Q135" i="52"/>
  <c r="Q136" i="52"/>
  <c r="Q137" i="52"/>
  <c r="Q138" i="52"/>
  <c r="Q139" i="52"/>
  <c r="Q140" i="52"/>
  <c r="Q141" i="52"/>
  <c r="Q142" i="52"/>
  <c r="Q143" i="52"/>
  <c r="Q144" i="52"/>
  <c r="Q145" i="52"/>
  <c r="Q146" i="52"/>
  <c r="Q147" i="52"/>
  <c r="Q148" i="52"/>
  <c r="Q149" i="52"/>
  <c r="Q150" i="52"/>
  <c r="Q151" i="52"/>
  <c r="Q152" i="52"/>
  <c r="Q153" i="52"/>
  <c r="Q154" i="52"/>
  <c r="Q155" i="52"/>
  <c r="Q156" i="52"/>
  <c r="Q157" i="52"/>
  <c r="Q158" i="52"/>
  <c r="Q159" i="52"/>
  <c r="Q160" i="52"/>
  <c r="Q161" i="52"/>
  <c r="Q162" i="52"/>
  <c r="Q163" i="52"/>
  <c r="Q164" i="52"/>
  <c r="Q165" i="52"/>
  <c r="Q166" i="52"/>
  <c r="Q167" i="52"/>
  <c r="Q168" i="52"/>
  <c r="Q169" i="52"/>
  <c r="Q170" i="52"/>
  <c r="Q171" i="52"/>
  <c r="Q172" i="52"/>
  <c r="Q173" i="52"/>
  <c r="Q174" i="52"/>
  <c r="Q175" i="52"/>
  <c r="Q176" i="52"/>
  <c r="Q177" i="52"/>
  <c r="Q178" i="52"/>
  <c r="Q179" i="52"/>
  <c r="Q180" i="52"/>
  <c r="Q181" i="52"/>
  <c r="Q182" i="52"/>
  <c r="Q183" i="52"/>
  <c r="Q184" i="52"/>
  <c r="Q185" i="52"/>
  <c r="Q186" i="52"/>
  <c r="Q187" i="52"/>
  <c r="Q188" i="52"/>
  <c r="Q189" i="52"/>
  <c r="Q190" i="52"/>
  <c r="Q191" i="52"/>
  <c r="Q192" i="52"/>
  <c r="Q193" i="52"/>
  <c r="Q194" i="52"/>
  <c r="Q195" i="52"/>
  <c r="Q196" i="52"/>
  <c r="Q197" i="52"/>
  <c r="Q198" i="52"/>
  <c r="Q199" i="52"/>
  <c r="Q200" i="52"/>
  <c r="Q201" i="52"/>
  <c r="Q202" i="52"/>
  <c r="Q203" i="52"/>
  <c r="Q204" i="52"/>
  <c r="Q205" i="52"/>
  <c r="Q206" i="52"/>
  <c r="Q207" i="52"/>
  <c r="Q208" i="52"/>
  <c r="Q209" i="52"/>
  <c r="Q210" i="52"/>
  <c r="Q211" i="52"/>
  <c r="Q212" i="52"/>
  <c r="Q213" i="52"/>
  <c r="Q214" i="52"/>
  <c r="Q215" i="52"/>
  <c r="Q216" i="52"/>
  <c r="Q217" i="52"/>
  <c r="Q218" i="52"/>
  <c r="Q219" i="52"/>
  <c r="Q220" i="52"/>
  <c r="Q221" i="52"/>
  <c r="Q222" i="52"/>
  <c r="Q223" i="52"/>
  <c r="Q224" i="52"/>
  <c r="Q225" i="52"/>
  <c r="Q226" i="52"/>
  <c r="Q227" i="52"/>
  <c r="Q228" i="52"/>
  <c r="Q229" i="52"/>
  <c r="Q230" i="52"/>
  <c r="Q231" i="52"/>
  <c r="Q232" i="52"/>
  <c r="Q233" i="52"/>
  <c r="Q234" i="52"/>
  <c r="Q235" i="52"/>
  <c r="Q236" i="52"/>
  <c r="Q237" i="52"/>
  <c r="Q238" i="52"/>
  <c r="Q239" i="52"/>
  <c r="Q240" i="52"/>
  <c r="Q241" i="52"/>
  <c r="Q242" i="52"/>
  <c r="Q243" i="52"/>
  <c r="Q244" i="52"/>
  <c r="Q245" i="52"/>
  <c r="Q246" i="52"/>
  <c r="Q247" i="52"/>
  <c r="Q248" i="52"/>
  <c r="Q249" i="52"/>
  <c r="Q250" i="52"/>
  <c r="Q251" i="52"/>
  <c r="Q252" i="52"/>
  <c r="Q253" i="52"/>
  <c r="Q254" i="52"/>
  <c r="Q255" i="52"/>
  <c r="Q256" i="52"/>
  <c r="R256" i="52"/>
  <c r="I255" i="52"/>
  <c r="J255" i="52"/>
  <c r="M255" i="52"/>
  <c r="O255" i="52"/>
  <c r="P255" i="52"/>
  <c r="R255" i="52"/>
  <c r="I254" i="52"/>
  <c r="J254" i="52"/>
  <c r="M254" i="52"/>
  <c r="O254" i="52"/>
  <c r="P254" i="52"/>
  <c r="R254" i="52"/>
  <c r="I253" i="52"/>
  <c r="J253" i="52"/>
  <c r="M253" i="52"/>
  <c r="O253" i="52"/>
  <c r="P253" i="52"/>
  <c r="R253" i="52"/>
  <c r="I252" i="52"/>
  <c r="J252" i="52"/>
  <c r="M252" i="52"/>
  <c r="O252" i="52"/>
  <c r="P252" i="52"/>
  <c r="R252" i="52"/>
  <c r="I251" i="52"/>
  <c r="J251" i="52"/>
  <c r="M251" i="52"/>
  <c r="O251" i="52"/>
  <c r="P251" i="52"/>
  <c r="R251" i="52"/>
  <c r="I250" i="52"/>
  <c r="J250" i="52"/>
  <c r="M250" i="52"/>
  <c r="O250" i="52"/>
  <c r="P250" i="52"/>
  <c r="R250" i="52"/>
  <c r="I249" i="52"/>
  <c r="J249" i="52"/>
  <c r="M249" i="52"/>
  <c r="O249" i="52"/>
  <c r="P249" i="52"/>
  <c r="R249" i="52"/>
  <c r="I248" i="52"/>
  <c r="J248" i="52"/>
  <c r="M248" i="52"/>
  <c r="O248" i="52"/>
  <c r="P248" i="52"/>
  <c r="R248" i="52"/>
  <c r="I247" i="52"/>
  <c r="J247" i="52"/>
  <c r="M247" i="52"/>
  <c r="O247" i="52"/>
  <c r="P247" i="52"/>
  <c r="R247" i="52"/>
  <c r="I246" i="52"/>
  <c r="J246" i="52"/>
  <c r="M246" i="52"/>
  <c r="O246" i="52"/>
  <c r="P246" i="52"/>
  <c r="R246" i="52"/>
  <c r="I245" i="52"/>
  <c r="J245" i="52"/>
  <c r="M245" i="52"/>
  <c r="O245" i="52"/>
  <c r="P245" i="52"/>
  <c r="R245" i="52"/>
  <c r="I244" i="52"/>
  <c r="J244" i="52"/>
  <c r="M244" i="52"/>
  <c r="O244" i="52"/>
  <c r="P244" i="52"/>
  <c r="R244" i="52"/>
  <c r="I243" i="52"/>
  <c r="J243" i="52"/>
  <c r="M243" i="52"/>
  <c r="O243" i="52"/>
  <c r="P243" i="52"/>
  <c r="R243" i="52"/>
  <c r="I242" i="52"/>
  <c r="J242" i="52"/>
  <c r="M242" i="52"/>
  <c r="O242" i="52"/>
  <c r="P242" i="52"/>
  <c r="R242" i="52"/>
  <c r="I241" i="52"/>
  <c r="J241" i="52"/>
  <c r="M241" i="52"/>
  <c r="O241" i="52"/>
  <c r="P241" i="52"/>
  <c r="R241" i="52"/>
  <c r="I240" i="52"/>
  <c r="J240" i="52"/>
  <c r="M240" i="52"/>
  <c r="O240" i="52"/>
  <c r="P240" i="52"/>
  <c r="R240" i="52"/>
  <c r="I239" i="52"/>
  <c r="J239" i="52"/>
  <c r="M239" i="52"/>
  <c r="O239" i="52"/>
  <c r="P239" i="52"/>
  <c r="R239" i="52"/>
  <c r="I238" i="52"/>
  <c r="J238" i="52"/>
  <c r="M238" i="52"/>
  <c r="O238" i="52"/>
  <c r="P238" i="52"/>
  <c r="R238" i="52"/>
  <c r="I237" i="52"/>
  <c r="J237" i="52"/>
  <c r="M237" i="52"/>
  <c r="O237" i="52"/>
  <c r="P237" i="52"/>
  <c r="R237" i="52"/>
  <c r="I236" i="52"/>
  <c r="J236" i="52"/>
  <c r="M236" i="52"/>
  <c r="O236" i="52"/>
  <c r="P236" i="52"/>
  <c r="R236" i="52"/>
  <c r="I235" i="52"/>
  <c r="J235" i="52"/>
  <c r="M235" i="52"/>
  <c r="O235" i="52"/>
  <c r="P235" i="52"/>
  <c r="R235" i="52"/>
  <c r="I234" i="52"/>
  <c r="J234" i="52"/>
  <c r="M234" i="52"/>
  <c r="O234" i="52"/>
  <c r="P234" i="52"/>
  <c r="R234" i="52"/>
  <c r="I233" i="52"/>
  <c r="J233" i="52"/>
  <c r="M233" i="52"/>
  <c r="O233" i="52"/>
  <c r="P233" i="52"/>
  <c r="R233" i="52"/>
  <c r="I232" i="52"/>
  <c r="J232" i="52"/>
  <c r="M232" i="52"/>
  <c r="O232" i="52"/>
  <c r="P232" i="52"/>
  <c r="R232" i="52"/>
  <c r="I231" i="52"/>
  <c r="J231" i="52"/>
  <c r="M231" i="52"/>
  <c r="O231" i="52"/>
  <c r="P231" i="52"/>
  <c r="R231" i="52"/>
  <c r="I230" i="52"/>
  <c r="J230" i="52"/>
  <c r="M230" i="52"/>
  <c r="O230" i="52"/>
  <c r="P230" i="52"/>
  <c r="R230" i="52"/>
  <c r="I229" i="52"/>
  <c r="J229" i="52"/>
  <c r="M229" i="52"/>
  <c r="O229" i="52"/>
  <c r="P229" i="52"/>
  <c r="R229" i="52"/>
  <c r="I228" i="52"/>
  <c r="J228" i="52"/>
  <c r="M228" i="52"/>
  <c r="O228" i="52"/>
  <c r="P228" i="52"/>
  <c r="R228" i="52"/>
  <c r="I227" i="52"/>
  <c r="J227" i="52"/>
  <c r="M227" i="52"/>
  <c r="O227" i="52"/>
  <c r="P227" i="52"/>
  <c r="R227" i="52"/>
  <c r="I226" i="52"/>
  <c r="J226" i="52"/>
  <c r="M226" i="52"/>
  <c r="O226" i="52"/>
  <c r="P226" i="52"/>
  <c r="R226" i="52"/>
  <c r="I225" i="52"/>
  <c r="J225" i="52"/>
  <c r="M225" i="52"/>
  <c r="O225" i="52"/>
  <c r="P225" i="52"/>
  <c r="R225" i="52"/>
  <c r="I224" i="52"/>
  <c r="J224" i="52"/>
  <c r="M224" i="52"/>
  <c r="O224" i="52"/>
  <c r="P224" i="52"/>
  <c r="R224" i="52"/>
  <c r="I223" i="52"/>
  <c r="J223" i="52"/>
  <c r="M223" i="52"/>
  <c r="O223" i="52"/>
  <c r="P223" i="52"/>
  <c r="R223" i="52"/>
  <c r="I222" i="52"/>
  <c r="J222" i="52"/>
  <c r="M222" i="52"/>
  <c r="O222" i="52"/>
  <c r="P222" i="52"/>
  <c r="R222" i="52"/>
  <c r="I221" i="52"/>
  <c r="J221" i="52"/>
  <c r="M221" i="52"/>
  <c r="O221" i="52"/>
  <c r="P221" i="52"/>
  <c r="R221" i="52"/>
  <c r="I220" i="52"/>
  <c r="J220" i="52"/>
  <c r="M220" i="52"/>
  <c r="O220" i="52"/>
  <c r="P220" i="52"/>
  <c r="R220" i="52"/>
  <c r="I219" i="52"/>
  <c r="J219" i="52"/>
  <c r="M219" i="52"/>
  <c r="O219" i="52"/>
  <c r="P219" i="52"/>
  <c r="R219" i="52"/>
  <c r="I218" i="52"/>
  <c r="J218" i="52"/>
  <c r="M218" i="52"/>
  <c r="O218" i="52"/>
  <c r="P218" i="52"/>
  <c r="R218" i="52"/>
  <c r="I217" i="52"/>
  <c r="J217" i="52"/>
  <c r="M217" i="52"/>
  <c r="O217" i="52"/>
  <c r="P217" i="52"/>
  <c r="R217" i="52"/>
  <c r="I216" i="52"/>
  <c r="J216" i="52"/>
  <c r="M216" i="52"/>
  <c r="O216" i="52"/>
  <c r="P216" i="52"/>
  <c r="R216" i="52"/>
  <c r="I215" i="52"/>
  <c r="J215" i="52"/>
  <c r="M215" i="52"/>
  <c r="O215" i="52"/>
  <c r="P215" i="52"/>
  <c r="R215" i="52"/>
  <c r="I214" i="52"/>
  <c r="J214" i="52"/>
  <c r="M214" i="52"/>
  <c r="O214" i="52"/>
  <c r="P214" i="52"/>
  <c r="R214" i="52"/>
  <c r="I213" i="52"/>
  <c r="J213" i="52"/>
  <c r="M213" i="52"/>
  <c r="O213" i="52"/>
  <c r="P213" i="52"/>
  <c r="R213" i="52"/>
  <c r="I212" i="52"/>
  <c r="J212" i="52"/>
  <c r="M212" i="52"/>
  <c r="O212" i="52"/>
  <c r="P212" i="52"/>
  <c r="R212" i="52"/>
  <c r="I211" i="52"/>
  <c r="J211" i="52"/>
  <c r="M211" i="52"/>
  <c r="O211" i="52"/>
  <c r="P211" i="52"/>
  <c r="R211" i="52"/>
  <c r="I210" i="52"/>
  <c r="J210" i="52"/>
  <c r="M210" i="52"/>
  <c r="O210" i="52"/>
  <c r="P210" i="52"/>
  <c r="R210" i="52"/>
  <c r="I209" i="52"/>
  <c r="J209" i="52"/>
  <c r="M209" i="52"/>
  <c r="O209" i="52"/>
  <c r="P209" i="52"/>
  <c r="R209" i="52"/>
  <c r="I208" i="52"/>
  <c r="J208" i="52"/>
  <c r="M208" i="52"/>
  <c r="O208" i="52"/>
  <c r="P208" i="52"/>
  <c r="R208" i="52"/>
  <c r="I207" i="52"/>
  <c r="J207" i="52"/>
  <c r="M207" i="52"/>
  <c r="O207" i="52"/>
  <c r="P207" i="52"/>
  <c r="R207" i="52"/>
  <c r="I206" i="52"/>
  <c r="J206" i="52"/>
  <c r="M206" i="52"/>
  <c r="O206" i="52"/>
  <c r="P206" i="52"/>
  <c r="R206" i="52"/>
  <c r="I205" i="52"/>
  <c r="J205" i="52"/>
  <c r="M205" i="52"/>
  <c r="O205" i="52"/>
  <c r="P205" i="52"/>
  <c r="R205" i="52"/>
  <c r="I204" i="52"/>
  <c r="J204" i="52"/>
  <c r="M204" i="52"/>
  <c r="O204" i="52"/>
  <c r="P204" i="52"/>
  <c r="R204" i="52"/>
  <c r="I203" i="52"/>
  <c r="J203" i="52"/>
  <c r="M203" i="52"/>
  <c r="O203" i="52"/>
  <c r="P203" i="52"/>
  <c r="R203" i="52"/>
  <c r="I202" i="52"/>
  <c r="J202" i="52"/>
  <c r="M202" i="52"/>
  <c r="O202" i="52"/>
  <c r="P202" i="52"/>
  <c r="R202" i="52"/>
  <c r="I201" i="52"/>
  <c r="J201" i="52"/>
  <c r="M201" i="52"/>
  <c r="O201" i="52"/>
  <c r="P201" i="52"/>
  <c r="R201" i="52"/>
  <c r="I200" i="52"/>
  <c r="J200" i="52"/>
  <c r="M200" i="52"/>
  <c r="O200" i="52"/>
  <c r="P200" i="52"/>
  <c r="R200" i="52"/>
  <c r="I199" i="52"/>
  <c r="J199" i="52"/>
  <c r="M199" i="52"/>
  <c r="O199" i="52"/>
  <c r="P199" i="52"/>
  <c r="R199" i="52"/>
  <c r="I198" i="52"/>
  <c r="J198" i="52"/>
  <c r="M198" i="52"/>
  <c r="O198" i="52"/>
  <c r="P198" i="52"/>
  <c r="R198" i="52"/>
  <c r="I197" i="52"/>
  <c r="J197" i="52"/>
  <c r="M197" i="52"/>
  <c r="O197" i="52"/>
  <c r="P197" i="52"/>
  <c r="R197" i="52"/>
  <c r="I196" i="52"/>
  <c r="J196" i="52"/>
  <c r="M196" i="52"/>
  <c r="O196" i="52"/>
  <c r="P196" i="52"/>
  <c r="R196" i="52"/>
  <c r="I195" i="52"/>
  <c r="J195" i="52"/>
  <c r="M195" i="52"/>
  <c r="O195" i="52"/>
  <c r="P195" i="52"/>
  <c r="R195" i="52"/>
  <c r="I194" i="52"/>
  <c r="J194" i="52"/>
  <c r="M194" i="52"/>
  <c r="O194" i="52"/>
  <c r="P194" i="52"/>
  <c r="R194" i="52"/>
  <c r="I193" i="52"/>
  <c r="J193" i="52"/>
  <c r="M193" i="52"/>
  <c r="O193" i="52"/>
  <c r="P193" i="52"/>
  <c r="R193" i="52"/>
  <c r="I192" i="52"/>
  <c r="J192" i="52"/>
  <c r="M192" i="52"/>
  <c r="O192" i="52"/>
  <c r="P192" i="52"/>
  <c r="R192" i="52"/>
  <c r="I191" i="52"/>
  <c r="J191" i="52"/>
  <c r="M191" i="52"/>
  <c r="O191" i="52"/>
  <c r="P191" i="52"/>
  <c r="R191" i="52"/>
  <c r="I190" i="52"/>
  <c r="J190" i="52"/>
  <c r="M190" i="52"/>
  <c r="O190" i="52"/>
  <c r="P190" i="52"/>
  <c r="R190" i="52"/>
  <c r="I189" i="52"/>
  <c r="J189" i="52"/>
  <c r="M189" i="52"/>
  <c r="O189" i="52"/>
  <c r="P189" i="52"/>
  <c r="R189" i="52"/>
  <c r="I188" i="52"/>
  <c r="J188" i="52"/>
  <c r="M188" i="52"/>
  <c r="O188" i="52"/>
  <c r="P188" i="52"/>
  <c r="R188" i="52"/>
  <c r="I187" i="52"/>
  <c r="J187" i="52"/>
  <c r="M187" i="52"/>
  <c r="O187" i="52"/>
  <c r="P187" i="52"/>
  <c r="R187" i="52"/>
  <c r="I186" i="52"/>
  <c r="J186" i="52"/>
  <c r="M186" i="52"/>
  <c r="O186" i="52"/>
  <c r="P186" i="52"/>
  <c r="R186" i="52"/>
  <c r="I185" i="52"/>
  <c r="J185" i="52"/>
  <c r="M185" i="52"/>
  <c r="O185" i="52"/>
  <c r="P185" i="52"/>
  <c r="R185" i="52"/>
  <c r="I184" i="52"/>
  <c r="J184" i="52"/>
  <c r="M184" i="52"/>
  <c r="O184" i="52"/>
  <c r="P184" i="52"/>
  <c r="R184" i="52"/>
  <c r="I183" i="52"/>
  <c r="J183" i="52"/>
  <c r="M183" i="52"/>
  <c r="O183" i="52"/>
  <c r="P183" i="52"/>
  <c r="R183" i="52"/>
  <c r="I182" i="52"/>
  <c r="J182" i="52"/>
  <c r="M182" i="52"/>
  <c r="O182" i="52"/>
  <c r="P182" i="52"/>
  <c r="R182" i="52"/>
  <c r="I181" i="52"/>
  <c r="J181" i="52"/>
  <c r="M181" i="52"/>
  <c r="O181" i="52"/>
  <c r="P181" i="52"/>
  <c r="R181" i="52"/>
  <c r="I180" i="52"/>
  <c r="J180" i="52"/>
  <c r="M180" i="52"/>
  <c r="O180" i="52"/>
  <c r="P180" i="52"/>
  <c r="R180" i="52"/>
  <c r="I179" i="52"/>
  <c r="J179" i="52"/>
  <c r="M179" i="52"/>
  <c r="O179" i="52"/>
  <c r="P179" i="52"/>
  <c r="R179" i="52"/>
  <c r="I178" i="52"/>
  <c r="J178" i="52"/>
  <c r="M178" i="52"/>
  <c r="O178" i="52"/>
  <c r="P178" i="52"/>
  <c r="R178" i="52"/>
  <c r="I177" i="52"/>
  <c r="J177" i="52"/>
  <c r="M177" i="52"/>
  <c r="O177" i="52"/>
  <c r="P177" i="52"/>
  <c r="R177" i="52"/>
  <c r="I176" i="52"/>
  <c r="J176" i="52"/>
  <c r="M176" i="52"/>
  <c r="O176" i="52"/>
  <c r="P176" i="52"/>
  <c r="R176" i="52"/>
  <c r="I175" i="52"/>
  <c r="J175" i="52"/>
  <c r="M175" i="52"/>
  <c r="O175" i="52"/>
  <c r="P175" i="52"/>
  <c r="R175" i="52"/>
  <c r="I174" i="52"/>
  <c r="J174" i="52"/>
  <c r="M174" i="52"/>
  <c r="O174" i="52"/>
  <c r="P174" i="52"/>
  <c r="R174" i="52"/>
  <c r="I173" i="52"/>
  <c r="J173" i="52"/>
  <c r="M173" i="52"/>
  <c r="O173" i="52"/>
  <c r="P173" i="52"/>
  <c r="R173" i="52"/>
  <c r="I172" i="52"/>
  <c r="J172" i="52"/>
  <c r="M172" i="52"/>
  <c r="O172" i="52"/>
  <c r="P172" i="52"/>
  <c r="R172" i="52"/>
  <c r="I171" i="52"/>
  <c r="J171" i="52"/>
  <c r="M171" i="52"/>
  <c r="O171" i="52"/>
  <c r="P171" i="52"/>
  <c r="R171" i="52"/>
  <c r="I170" i="52"/>
  <c r="J170" i="52"/>
  <c r="M170" i="52"/>
  <c r="O170" i="52"/>
  <c r="P170" i="52"/>
  <c r="R170" i="52"/>
  <c r="I169" i="52"/>
  <c r="J169" i="52"/>
  <c r="M169" i="52"/>
  <c r="O169" i="52"/>
  <c r="P169" i="52"/>
  <c r="R169" i="52"/>
  <c r="I168" i="52"/>
  <c r="J168" i="52"/>
  <c r="M168" i="52"/>
  <c r="O168" i="52"/>
  <c r="P168" i="52"/>
  <c r="R168" i="52"/>
  <c r="I167" i="52"/>
  <c r="J167" i="52"/>
  <c r="M167" i="52"/>
  <c r="O167" i="52"/>
  <c r="P167" i="52"/>
  <c r="R167" i="52"/>
  <c r="I166" i="52"/>
  <c r="J166" i="52"/>
  <c r="M166" i="52"/>
  <c r="O166" i="52"/>
  <c r="P166" i="52"/>
  <c r="R166" i="52"/>
  <c r="I165" i="52"/>
  <c r="J165" i="52"/>
  <c r="M165" i="52"/>
  <c r="O165" i="52"/>
  <c r="P165" i="52"/>
  <c r="R165" i="52"/>
  <c r="I164" i="52"/>
  <c r="J164" i="52"/>
  <c r="M164" i="52"/>
  <c r="O164" i="52"/>
  <c r="P164" i="52"/>
  <c r="R164" i="52"/>
  <c r="I163" i="52"/>
  <c r="J163" i="52"/>
  <c r="M163" i="52"/>
  <c r="O163" i="52"/>
  <c r="P163" i="52"/>
  <c r="R163" i="52"/>
  <c r="I162" i="52"/>
  <c r="J162" i="52"/>
  <c r="M162" i="52"/>
  <c r="O162" i="52"/>
  <c r="P162" i="52"/>
  <c r="R162" i="52"/>
  <c r="I161" i="52"/>
  <c r="J161" i="52"/>
  <c r="M161" i="52"/>
  <c r="O161" i="52"/>
  <c r="P161" i="52"/>
  <c r="R161" i="52"/>
  <c r="I160" i="52"/>
  <c r="J160" i="52"/>
  <c r="M160" i="52"/>
  <c r="O160" i="52"/>
  <c r="P160" i="52"/>
  <c r="R160" i="52"/>
  <c r="I159" i="52"/>
  <c r="J159" i="52"/>
  <c r="M159" i="52"/>
  <c r="O159" i="52"/>
  <c r="P159" i="52"/>
  <c r="R159" i="52"/>
  <c r="I158" i="52"/>
  <c r="J158" i="52"/>
  <c r="M158" i="52"/>
  <c r="O158" i="52"/>
  <c r="P158" i="52"/>
  <c r="R158" i="52"/>
  <c r="I157" i="52"/>
  <c r="J157" i="52"/>
  <c r="M157" i="52"/>
  <c r="O157" i="52"/>
  <c r="P157" i="52"/>
  <c r="R157" i="52"/>
  <c r="I156" i="52"/>
  <c r="J156" i="52"/>
  <c r="M156" i="52"/>
  <c r="O156" i="52"/>
  <c r="P156" i="52"/>
  <c r="R156" i="52"/>
  <c r="I155" i="52"/>
  <c r="J155" i="52"/>
  <c r="M155" i="52"/>
  <c r="O155" i="52"/>
  <c r="P155" i="52"/>
  <c r="R155" i="52"/>
  <c r="I154" i="52"/>
  <c r="J154" i="52"/>
  <c r="M154" i="52"/>
  <c r="O154" i="52"/>
  <c r="P154" i="52"/>
  <c r="R154" i="52"/>
  <c r="I153" i="52"/>
  <c r="J153" i="52"/>
  <c r="M153" i="52"/>
  <c r="O153" i="52"/>
  <c r="P153" i="52"/>
  <c r="R153" i="52"/>
  <c r="I152" i="52"/>
  <c r="J152" i="52"/>
  <c r="M152" i="52"/>
  <c r="O152" i="52"/>
  <c r="P152" i="52"/>
  <c r="R152" i="52"/>
  <c r="I151" i="52"/>
  <c r="J151" i="52"/>
  <c r="M151" i="52"/>
  <c r="O151" i="52"/>
  <c r="P151" i="52"/>
  <c r="R151" i="52"/>
  <c r="I150" i="52"/>
  <c r="J150" i="52"/>
  <c r="M150" i="52"/>
  <c r="O150" i="52"/>
  <c r="P150" i="52"/>
  <c r="R150" i="52"/>
  <c r="I149" i="52"/>
  <c r="J149" i="52"/>
  <c r="M149" i="52"/>
  <c r="O149" i="52"/>
  <c r="P149" i="52"/>
  <c r="R149" i="52"/>
  <c r="I148" i="52"/>
  <c r="J148" i="52"/>
  <c r="M148" i="52"/>
  <c r="O148" i="52"/>
  <c r="P148" i="52"/>
  <c r="R148" i="52"/>
  <c r="I147" i="52"/>
  <c r="J147" i="52"/>
  <c r="M147" i="52"/>
  <c r="O147" i="52"/>
  <c r="P147" i="52"/>
  <c r="R147" i="52"/>
  <c r="I146" i="52"/>
  <c r="J146" i="52"/>
  <c r="M146" i="52"/>
  <c r="O146" i="52"/>
  <c r="P146" i="52"/>
  <c r="R146" i="52"/>
  <c r="I145" i="52"/>
  <c r="J145" i="52"/>
  <c r="M145" i="52"/>
  <c r="O145" i="52"/>
  <c r="P145" i="52"/>
  <c r="R145" i="52"/>
  <c r="I144" i="52"/>
  <c r="J144" i="52"/>
  <c r="M144" i="52"/>
  <c r="O144" i="52"/>
  <c r="P144" i="52"/>
  <c r="R144" i="52"/>
  <c r="I143" i="52"/>
  <c r="J143" i="52"/>
  <c r="M143" i="52"/>
  <c r="O143" i="52"/>
  <c r="P143" i="52"/>
  <c r="R143" i="52"/>
  <c r="I142" i="52"/>
  <c r="J142" i="52"/>
  <c r="M142" i="52"/>
  <c r="O142" i="52"/>
  <c r="P142" i="52"/>
  <c r="R142" i="52"/>
  <c r="I141" i="52"/>
  <c r="J141" i="52"/>
  <c r="M141" i="52"/>
  <c r="O141" i="52"/>
  <c r="P141" i="52"/>
  <c r="R141" i="52"/>
  <c r="I140" i="52"/>
  <c r="J140" i="52"/>
  <c r="M140" i="52"/>
  <c r="O140" i="52"/>
  <c r="P140" i="52"/>
  <c r="R140" i="52"/>
  <c r="I139" i="52"/>
  <c r="J139" i="52"/>
  <c r="M139" i="52"/>
  <c r="O139" i="52"/>
  <c r="P139" i="52"/>
  <c r="R139" i="52"/>
  <c r="I138" i="52"/>
  <c r="J138" i="52"/>
  <c r="M138" i="52"/>
  <c r="O138" i="52"/>
  <c r="P138" i="52"/>
  <c r="R138" i="52"/>
  <c r="I137" i="52"/>
  <c r="J137" i="52"/>
  <c r="M137" i="52"/>
  <c r="O137" i="52"/>
  <c r="P137" i="52"/>
  <c r="R137" i="52"/>
  <c r="I136" i="52"/>
  <c r="J136" i="52"/>
  <c r="M136" i="52"/>
  <c r="O136" i="52"/>
  <c r="P136" i="52"/>
  <c r="R136" i="52"/>
  <c r="I135" i="52"/>
  <c r="J135" i="52"/>
  <c r="L135" i="52"/>
  <c r="M135" i="52"/>
  <c r="O135" i="52"/>
  <c r="P135" i="52"/>
  <c r="R135" i="52"/>
  <c r="I134" i="52"/>
  <c r="J134" i="52"/>
  <c r="L134" i="52"/>
  <c r="M134" i="52"/>
  <c r="O134" i="52"/>
  <c r="P134" i="52"/>
  <c r="R134" i="52"/>
  <c r="I133" i="52"/>
  <c r="J133" i="52"/>
  <c r="L133" i="52"/>
  <c r="M133" i="52"/>
  <c r="O133" i="52"/>
  <c r="P133" i="52"/>
  <c r="R133" i="52"/>
  <c r="I132" i="52"/>
  <c r="J132" i="52"/>
  <c r="L132" i="52"/>
  <c r="M132" i="52"/>
  <c r="O132" i="52"/>
  <c r="P132" i="52"/>
  <c r="R132" i="52"/>
  <c r="I131" i="52"/>
  <c r="J131" i="52"/>
  <c r="L131" i="52"/>
  <c r="M131" i="52"/>
  <c r="O131" i="52"/>
  <c r="P131" i="52"/>
  <c r="R131" i="52"/>
  <c r="I130" i="52"/>
  <c r="J130" i="52"/>
  <c r="L130" i="52"/>
  <c r="M130" i="52"/>
  <c r="O130" i="52"/>
  <c r="P130" i="52"/>
  <c r="R130" i="52"/>
  <c r="I129" i="52"/>
  <c r="J129" i="52"/>
  <c r="L129" i="52"/>
  <c r="M129" i="52"/>
  <c r="O129" i="52"/>
  <c r="P129" i="52"/>
  <c r="R129" i="52"/>
  <c r="I128" i="52"/>
  <c r="J128" i="52"/>
  <c r="L128" i="52"/>
  <c r="M128" i="52"/>
  <c r="O128" i="52"/>
  <c r="P128" i="52"/>
  <c r="R128" i="52"/>
  <c r="I127" i="52"/>
  <c r="J127" i="52"/>
  <c r="L127" i="52"/>
  <c r="M127" i="52"/>
  <c r="O127" i="52"/>
  <c r="P127" i="52"/>
  <c r="R127" i="52"/>
  <c r="I126" i="52"/>
  <c r="J126" i="52"/>
  <c r="L126" i="52"/>
  <c r="M126" i="52"/>
  <c r="O126" i="52"/>
  <c r="P126" i="52"/>
  <c r="R126" i="52"/>
  <c r="I125" i="52"/>
  <c r="J125" i="52"/>
  <c r="L125" i="52"/>
  <c r="M125" i="52"/>
  <c r="O125" i="52"/>
  <c r="P125" i="52"/>
  <c r="R125" i="52"/>
  <c r="I124" i="52"/>
  <c r="J124" i="52"/>
  <c r="L124" i="52"/>
  <c r="M124" i="52"/>
  <c r="O124" i="52"/>
  <c r="P124" i="52"/>
  <c r="R124" i="52"/>
  <c r="I123" i="52"/>
  <c r="J123" i="52"/>
  <c r="L123" i="52"/>
  <c r="M123" i="52"/>
  <c r="O123" i="52"/>
  <c r="P123" i="52"/>
  <c r="R123" i="52"/>
  <c r="I122" i="52"/>
  <c r="J122" i="52"/>
  <c r="L122" i="52"/>
  <c r="M122" i="52"/>
  <c r="O122" i="52"/>
  <c r="P122" i="52"/>
  <c r="R122" i="52"/>
  <c r="I121" i="52"/>
  <c r="J121" i="52"/>
  <c r="L121" i="52"/>
  <c r="M121" i="52"/>
  <c r="O121" i="52"/>
  <c r="P121" i="52"/>
  <c r="R121" i="52"/>
  <c r="I120" i="52"/>
  <c r="J120" i="52"/>
  <c r="L120" i="52"/>
  <c r="M120" i="52"/>
  <c r="O120" i="52"/>
  <c r="P120" i="52"/>
  <c r="R120" i="52"/>
  <c r="I119" i="52"/>
  <c r="J119" i="52"/>
  <c r="L119" i="52"/>
  <c r="M119" i="52"/>
  <c r="O119" i="52"/>
  <c r="P119" i="52"/>
  <c r="R119" i="52"/>
  <c r="I118" i="52"/>
  <c r="J118" i="52"/>
  <c r="L118" i="52"/>
  <c r="M118" i="52"/>
  <c r="O118" i="52"/>
  <c r="P118" i="52"/>
  <c r="R118" i="52"/>
  <c r="I117" i="52"/>
  <c r="J117" i="52"/>
  <c r="L117" i="52"/>
  <c r="M117" i="52"/>
  <c r="O117" i="52"/>
  <c r="P117" i="52"/>
  <c r="R117" i="52"/>
  <c r="I116" i="52"/>
  <c r="J116" i="52"/>
  <c r="L116" i="52"/>
  <c r="M116" i="52"/>
  <c r="O116" i="52"/>
  <c r="P116" i="52"/>
  <c r="R116" i="52"/>
  <c r="I115" i="52"/>
  <c r="J115" i="52"/>
  <c r="L115" i="52"/>
  <c r="M115" i="52"/>
  <c r="O115" i="52"/>
  <c r="P115" i="52"/>
  <c r="R115" i="52"/>
  <c r="I114" i="52"/>
  <c r="J114" i="52"/>
  <c r="L114" i="52"/>
  <c r="M114" i="52"/>
  <c r="O114" i="52"/>
  <c r="P114" i="52"/>
  <c r="R114" i="52"/>
  <c r="I113" i="52"/>
  <c r="J113" i="52"/>
  <c r="L113" i="52"/>
  <c r="M113" i="52"/>
  <c r="O113" i="52"/>
  <c r="P113" i="52"/>
  <c r="R113" i="52"/>
  <c r="I112" i="52"/>
  <c r="J112" i="52"/>
  <c r="L112" i="52"/>
  <c r="M112" i="52"/>
  <c r="O112" i="52"/>
  <c r="P112" i="52"/>
  <c r="R112" i="52"/>
  <c r="I111" i="52"/>
  <c r="J111" i="52"/>
  <c r="L111" i="52"/>
  <c r="M111" i="52"/>
  <c r="O111" i="52"/>
  <c r="P111" i="52"/>
  <c r="R111" i="52"/>
  <c r="I110" i="52"/>
  <c r="J110" i="52"/>
  <c r="L110" i="52"/>
  <c r="M110" i="52"/>
  <c r="O110" i="52"/>
  <c r="P110" i="52"/>
  <c r="R110" i="52"/>
  <c r="I109" i="52"/>
  <c r="J109" i="52"/>
  <c r="L109" i="52"/>
  <c r="M109" i="52"/>
  <c r="O109" i="52"/>
  <c r="P109" i="52"/>
  <c r="R109" i="52"/>
  <c r="I108" i="52"/>
  <c r="J108" i="52"/>
  <c r="L108" i="52"/>
  <c r="M108" i="52"/>
  <c r="O108" i="52"/>
  <c r="P108" i="52"/>
  <c r="R108" i="52"/>
  <c r="I107" i="52"/>
  <c r="J107" i="52"/>
  <c r="L107" i="52"/>
  <c r="M107" i="52"/>
  <c r="O107" i="52"/>
  <c r="P107" i="52"/>
  <c r="R107" i="52"/>
  <c r="I106" i="52"/>
  <c r="J106" i="52"/>
  <c r="L106" i="52"/>
  <c r="M106" i="52"/>
  <c r="O106" i="52"/>
  <c r="P106" i="52"/>
  <c r="R106" i="52"/>
  <c r="I105" i="52"/>
  <c r="J105" i="52"/>
  <c r="L105" i="52"/>
  <c r="M105" i="52"/>
  <c r="O105" i="52"/>
  <c r="P105" i="52"/>
  <c r="R105" i="52"/>
  <c r="I104" i="52"/>
  <c r="J104" i="52"/>
  <c r="L104" i="52"/>
  <c r="M104" i="52"/>
  <c r="O104" i="52"/>
  <c r="P104" i="52"/>
  <c r="R104" i="52"/>
  <c r="I103" i="52"/>
  <c r="J103" i="52"/>
  <c r="L103" i="52"/>
  <c r="M103" i="52"/>
  <c r="O103" i="52"/>
  <c r="P103" i="52"/>
  <c r="R103" i="52"/>
  <c r="I102" i="52"/>
  <c r="J102" i="52"/>
  <c r="L102" i="52"/>
  <c r="M102" i="52"/>
  <c r="O102" i="52"/>
  <c r="P102" i="52"/>
  <c r="R102" i="52"/>
  <c r="I101" i="52"/>
  <c r="J101" i="52"/>
  <c r="L101" i="52"/>
  <c r="M101" i="52"/>
  <c r="O101" i="52"/>
  <c r="P101" i="52"/>
  <c r="R101" i="52"/>
  <c r="I100" i="52"/>
  <c r="J100" i="52"/>
  <c r="L100" i="52"/>
  <c r="M100" i="52"/>
  <c r="O100" i="52"/>
  <c r="P100" i="52"/>
  <c r="R100" i="52"/>
  <c r="I99" i="52"/>
  <c r="J99" i="52"/>
  <c r="L99" i="52"/>
  <c r="M99" i="52"/>
  <c r="O99" i="52"/>
  <c r="P99" i="52"/>
  <c r="R99" i="52"/>
  <c r="I98" i="52"/>
  <c r="J98" i="52"/>
  <c r="L98" i="52"/>
  <c r="M98" i="52"/>
  <c r="O98" i="52"/>
  <c r="P98" i="52"/>
  <c r="R98" i="52"/>
  <c r="I97" i="52"/>
  <c r="J97" i="52"/>
  <c r="L97" i="52"/>
  <c r="M97" i="52"/>
  <c r="O97" i="52"/>
  <c r="P97" i="52"/>
  <c r="R97" i="52"/>
  <c r="I96" i="52"/>
  <c r="J96" i="52"/>
  <c r="L96" i="52"/>
  <c r="M96" i="52"/>
  <c r="O96" i="52"/>
  <c r="P96" i="52"/>
  <c r="R96" i="52"/>
  <c r="I95" i="52"/>
  <c r="J95" i="52"/>
  <c r="L95" i="52"/>
  <c r="M95" i="52"/>
  <c r="O95" i="52"/>
  <c r="P95" i="52"/>
  <c r="R95" i="52"/>
  <c r="I94" i="52"/>
  <c r="J94" i="52"/>
  <c r="L94" i="52"/>
  <c r="M94" i="52"/>
  <c r="O94" i="52"/>
  <c r="P94" i="52"/>
  <c r="R94" i="52"/>
  <c r="I93" i="52"/>
  <c r="J93" i="52"/>
  <c r="L93" i="52"/>
  <c r="M93" i="52"/>
  <c r="O93" i="52"/>
  <c r="P93" i="52"/>
  <c r="R93" i="52"/>
  <c r="I92" i="52"/>
  <c r="J92" i="52"/>
  <c r="L92" i="52"/>
  <c r="M92" i="52"/>
  <c r="O92" i="52"/>
  <c r="P92" i="52"/>
  <c r="R92" i="52"/>
  <c r="I91" i="52"/>
  <c r="J91" i="52"/>
  <c r="L91" i="52"/>
  <c r="M91" i="52"/>
  <c r="O91" i="52"/>
  <c r="P91" i="52"/>
  <c r="R91" i="52"/>
  <c r="I90" i="52"/>
  <c r="J90" i="52"/>
  <c r="L90" i="52"/>
  <c r="M90" i="52"/>
  <c r="O90" i="52"/>
  <c r="P90" i="52"/>
  <c r="R90" i="52"/>
  <c r="I89" i="52"/>
  <c r="J89" i="52"/>
  <c r="L89" i="52"/>
  <c r="M89" i="52"/>
  <c r="O89" i="52"/>
  <c r="P89" i="52"/>
  <c r="R89" i="52"/>
  <c r="I88" i="52"/>
  <c r="J88" i="52"/>
  <c r="L88" i="52"/>
  <c r="M88" i="52"/>
  <c r="O88" i="52"/>
  <c r="P88" i="52"/>
  <c r="R88" i="52"/>
  <c r="I87" i="52"/>
  <c r="J87" i="52"/>
  <c r="L87" i="52"/>
  <c r="M87" i="52"/>
  <c r="O87" i="52"/>
  <c r="P87" i="52"/>
  <c r="R87" i="52"/>
  <c r="I86" i="52"/>
  <c r="J86" i="52"/>
  <c r="L86" i="52"/>
  <c r="M86" i="52"/>
  <c r="O86" i="52"/>
  <c r="P86" i="52"/>
  <c r="R86" i="52"/>
  <c r="I85" i="52"/>
  <c r="J85" i="52"/>
  <c r="L85" i="52"/>
  <c r="M85" i="52"/>
  <c r="O85" i="52"/>
  <c r="P85" i="52"/>
  <c r="R85" i="52"/>
  <c r="I84" i="52"/>
  <c r="J84" i="52"/>
  <c r="L84" i="52"/>
  <c r="M84" i="52"/>
  <c r="O84" i="52"/>
  <c r="P84" i="52"/>
  <c r="R84" i="52"/>
  <c r="I83" i="52"/>
  <c r="J83" i="52"/>
  <c r="L83" i="52"/>
  <c r="M83" i="52"/>
  <c r="O83" i="52"/>
  <c r="P83" i="52"/>
  <c r="R83" i="52"/>
  <c r="I82" i="52"/>
  <c r="J82" i="52"/>
  <c r="L82" i="52"/>
  <c r="M82" i="52"/>
  <c r="O82" i="52"/>
  <c r="P82" i="52"/>
  <c r="R82" i="52"/>
  <c r="I81" i="52"/>
  <c r="J81" i="52"/>
  <c r="L81" i="52"/>
  <c r="M81" i="52"/>
  <c r="O81" i="52"/>
  <c r="P81" i="52"/>
  <c r="R81" i="52"/>
  <c r="I80" i="52"/>
  <c r="J80" i="52"/>
  <c r="L80" i="52"/>
  <c r="M80" i="52"/>
  <c r="O80" i="52"/>
  <c r="P80" i="52"/>
  <c r="R80" i="52"/>
  <c r="I79" i="52"/>
  <c r="J79" i="52"/>
  <c r="L79" i="52"/>
  <c r="M79" i="52"/>
  <c r="O79" i="52"/>
  <c r="P79" i="52"/>
  <c r="R79" i="52"/>
  <c r="I78" i="52"/>
  <c r="J78" i="52"/>
  <c r="L78" i="52"/>
  <c r="M78" i="52"/>
  <c r="O78" i="52"/>
  <c r="P78" i="52"/>
  <c r="R78" i="52"/>
  <c r="I77" i="52"/>
  <c r="J77" i="52"/>
  <c r="L77" i="52"/>
  <c r="M77" i="52"/>
  <c r="O77" i="52"/>
  <c r="P77" i="52"/>
  <c r="R77" i="52"/>
  <c r="I76" i="52"/>
  <c r="J76" i="52"/>
  <c r="L76" i="52"/>
  <c r="M76" i="52"/>
  <c r="O76" i="52"/>
  <c r="P76" i="52"/>
  <c r="R76" i="52"/>
  <c r="I75" i="52"/>
  <c r="J75" i="52"/>
  <c r="L75" i="52"/>
  <c r="M75" i="52"/>
  <c r="O75" i="52"/>
  <c r="P75" i="52"/>
  <c r="R75" i="52"/>
  <c r="I74" i="52"/>
  <c r="J74" i="52"/>
  <c r="L74" i="52"/>
  <c r="M74" i="52"/>
  <c r="O74" i="52"/>
  <c r="P74" i="52"/>
  <c r="R74" i="52"/>
  <c r="I73" i="52"/>
  <c r="J73" i="52"/>
  <c r="L73" i="52"/>
  <c r="M73" i="52"/>
  <c r="O73" i="52"/>
  <c r="P73" i="52"/>
  <c r="R73" i="52"/>
  <c r="I72" i="52"/>
  <c r="J72" i="52"/>
  <c r="L72" i="52"/>
  <c r="M72" i="52"/>
  <c r="O72" i="52"/>
  <c r="P72" i="52"/>
  <c r="R72" i="52"/>
  <c r="I71" i="52"/>
  <c r="J71" i="52"/>
  <c r="L71" i="52"/>
  <c r="M71" i="52"/>
  <c r="O71" i="52"/>
  <c r="P71" i="52"/>
  <c r="R71" i="52"/>
  <c r="I70" i="52"/>
  <c r="J70" i="52"/>
  <c r="L70" i="52"/>
  <c r="M70" i="52"/>
  <c r="O70" i="52"/>
  <c r="P70" i="52"/>
  <c r="R70" i="52"/>
  <c r="I69" i="52"/>
  <c r="J69" i="52"/>
  <c r="L69" i="52"/>
  <c r="M69" i="52"/>
  <c r="O69" i="52"/>
  <c r="P69" i="52"/>
  <c r="R69" i="52"/>
  <c r="I68" i="52"/>
  <c r="J68" i="52"/>
  <c r="L68" i="52"/>
  <c r="M68" i="52"/>
  <c r="O68" i="52"/>
  <c r="P68" i="52"/>
  <c r="R68" i="52"/>
  <c r="I67" i="52"/>
  <c r="J67" i="52"/>
  <c r="L67" i="52"/>
  <c r="M67" i="52"/>
  <c r="O67" i="52"/>
  <c r="P67" i="52"/>
  <c r="R67" i="52"/>
  <c r="I66" i="52"/>
  <c r="J66" i="52"/>
  <c r="L66" i="52"/>
  <c r="M66" i="52"/>
  <c r="O66" i="52"/>
  <c r="P66" i="52"/>
  <c r="R66" i="52"/>
  <c r="I65" i="52"/>
  <c r="J65" i="52"/>
  <c r="L65" i="52"/>
  <c r="M65" i="52"/>
  <c r="O65" i="52"/>
  <c r="P65" i="52"/>
  <c r="R65" i="52"/>
  <c r="I64" i="52"/>
  <c r="J64" i="52"/>
  <c r="L64" i="52"/>
  <c r="M64" i="52"/>
  <c r="O64" i="52"/>
  <c r="P64" i="52"/>
  <c r="R64" i="52"/>
  <c r="I63" i="52"/>
  <c r="J63" i="52"/>
  <c r="L63" i="52"/>
  <c r="M63" i="52"/>
  <c r="O63" i="52"/>
  <c r="P63" i="52"/>
  <c r="R63" i="52"/>
  <c r="I62" i="52"/>
  <c r="J62" i="52"/>
  <c r="L62" i="52"/>
  <c r="M62" i="52"/>
  <c r="O62" i="52"/>
  <c r="P62" i="52"/>
  <c r="R62" i="52"/>
  <c r="I61" i="52"/>
  <c r="J61" i="52"/>
  <c r="L61" i="52"/>
  <c r="M61" i="52"/>
  <c r="O61" i="52"/>
  <c r="P61" i="52"/>
  <c r="R61" i="52"/>
  <c r="I60" i="52"/>
  <c r="J60" i="52"/>
  <c r="L60" i="52"/>
  <c r="M60" i="52"/>
  <c r="O60" i="52"/>
  <c r="P60" i="52"/>
  <c r="R60" i="52"/>
  <c r="I59" i="52"/>
  <c r="J59" i="52"/>
  <c r="L59" i="52"/>
  <c r="M59" i="52"/>
  <c r="O59" i="52"/>
  <c r="P59" i="52"/>
  <c r="R59" i="52"/>
  <c r="I58" i="52"/>
  <c r="J58" i="52"/>
  <c r="L58" i="52"/>
  <c r="M58" i="52"/>
  <c r="O58" i="52"/>
  <c r="P58" i="52"/>
  <c r="R58" i="52"/>
  <c r="I57" i="52"/>
  <c r="J57" i="52"/>
  <c r="L57" i="52"/>
  <c r="M57" i="52"/>
  <c r="O57" i="52"/>
  <c r="P57" i="52"/>
  <c r="R57" i="52"/>
  <c r="I56" i="52"/>
  <c r="J56" i="52"/>
  <c r="L56" i="52"/>
  <c r="M56" i="52"/>
  <c r="O56" i="52"/>
  <c r="P56" i="52"/>
  <c r="R56" i="52"/>
  <c r="I55" i="52"/>
  <c r="J55" i="52"/>
  <c r="L55" i="52"/>
  <c r="M55" i="52"/>
  <c r="O55" i="52"/>
  <c r="P55" i="52"/>
  <c r="R55" i="52"/>
  <c r="I54" i="52"/>
  <c r="J54" i="52"/>
  <c r="L54" i="52"/>
  <c r="M54" i="52"/>
  <c r="O54" i="52"/>
  <c r="P54" i="52"/>
  <c r="R54" i="52"/>
  <c r="I53" i="52"/>
  <c r="J53" i="52"/>
  <c r="L53" i="52"/>
  <c r="M53" i="52"/>
  <c r="O53" i="52"/>
  <c r="P53" i="52"/>
  <c r="R53" i="52"/>
  <c r="I52" i="52"/>
  <c r="J52" i="52"/>
  <c r="L52" i="52"/>
  <c r="M52" i="52"/>
  <c r="O52" i="52"/>
  <c r="P52" i="52"/>
  <c r="R52" i="52"/>
  <c r="I51" i="52"/>
  <c r="J51" i="52"/>
  <c r="L51" i="52"/>
  <c r="M51" i="52"/>
  <c r="O51" i="52"/>
  <c r="P51" i="52"/>
  <c r="R51" i="52"/>
  <c r="I50" i="52"/>
  <c r="J50" i="52"/>
  <c r="L50" i="52"/>
  <c r="M50" i="52"/>
  <c r="O50" i="52"/>
  <c r="P50" i="52"/>
  <c r="R50" i="52"/>
  <c r="I49" i="52"/>
  <c r="J49" i="52"/>
  <c r="L49" i="52"/>
  <c r="M49" i="52"/>
  <c r="O49" i="52"/>
  <c r="P49" i="52"/>
  <c r="R49" i="52"/>
  <c r="I48" i="52"/>
  <c r="J48" i="52"/>
  <c r="L48" i="52"/>
  <c r="M48" i="52"/>
  <c r="O48" i="52"/>
  <c r="P48" i="52"/>
  <c r="R48" i="52"/>
  <c r="I47" i="52"/>
  <c r="J47" i="52"/>
  <c r="L47" i="52"/>
  <c r="M47" i="52"/>
  <c r="O47" i="52"/>
  <c r="P47" i="52"/>
  <c r="R47" i="52"/>
  <c r="I46" i="52"/>
  <c r="J46" i="52"/>
  <c r="L46" i="52"/>
  <c r="M46" i="52"/>
  <c r="O46" i="52"/>
  <c r="P46" i="52"/>
  <c r="R46" i="52"/>
  <c r="I45" i="52"/>
  <c r="J45" i="52"/>
  <c r="L45" i="52"/>
  <c r="M45" i="52"/>
  <c r="O45" i="52"/>
  <c r="P45" i="52"/>
  <c r="R45" i="52"/>
  <c r="I44" i="52"/>
  <c r="J44" i="52"/>
  <c r="L44" i="52"/>
  <c r="M44" i="52"/>
  <c r="O44" i="52"/>
  <c r="P44" i="52"/>
  <c r="R44" i="52"/>
  <c r="I43" i="52"/>
  <c r="J43" i="52"/>
  <c r="L43" i="52"/>
  <c r="M43" i="52"/>
  <c r="O43" i="52"/>
  <c r="P43" i="52"/>
  <c r="R43" i="52"/>
  <c r="I42" i="52"/>
  <c r="J42" i="52"/>
  <c r="L42" i="52"/>
  <c r="M42" i="52"/>
  <c r="O42" i="52"/>
  <c r="P42" i="52"/>
  <c r="R42" i="52"/>
  <c r="I41" i="52"/>
  <c r="J41" i="52"/>
  <c r="L41" i="52"/>
  <c r="M41" i="52"/>
  <c r="O41" i="52"/>
  <c r="P41" i="52"/>
  <c r="R41" i="52"/>
  <c r="I40" i="52"/>
  <c r="J40" i="52"/>
  <c r="L40" i="52"/>
  <c r="M40" i="52"/>
  <c r="O40" i="52"/>
  <c r="P40" i="52"/>
  <c r="R40" i="52"/>
  <c r="I39" i="52"/>
  <c r="J39" i="52"/>
  <c r="L39" i="52"/>
  <c r="M39" i="52"/>
  <c r="O39" i="52"/>
  <c r="P39" i="52"/>
  <c r="R39" i="52"/>
  <c r="I38" i="52"/>
  <c r="J38" i="52"/>
  <c r="L38" i="52"/>
  <c r="M38" i="52"/>
  <c r="O38" i="52"/>
  <c r="P38" i="52"/>
  <c r="R38" i="52"/>
  <c r="I37" i="52"/>
  <c r="J37" i="52"/>
  <c r="L37" i="52"/>
  <c r="M37" i="52"/>
  <c r="O37" i="52"/>
  <c r="P37" i="52"/>
  <c r="R37" i="52"/>
  <c r="I36" i="52"/>
  <c r="J36" i="52"/>
  <c r="L36" i="52"/>
  <c r="M36" i="52"/>
  <c r="O36" i="52"/>
  <c r="P36" i="52"/>
  <c r="R36" i="52"/>
  <c r="I35" i="52"/>
  <c r="J35" i="52"/>
  <c r="L35" i="52"/>
  <c r="M35" i="52"/>
  <c r="O35" i="52"/>
  <c r="P35" i="52"/>
  <c r="R35" i="52"/>
  <c r="I34" i="52"/>
  <c r="J34" i="52"/>
  <c r="L34" i="52"/>
  <c r="M34" i="52"/>
  <c r="O34" i="52"/>
  <c r="P34" i="52"/>
  <c r="R34" i="52"/>
  <c r="I33" i="52"/>
  <c r="J33" i="52"/>
  <c r="L33" i="52"/>
  <c r="M33" i="52"/>
  <c r="O33" i="52"/>
  <c r="P33" i="52"/>
  <c r="R33" i="52"/>
  <c r="I32" i="52"/>
  <c r="J32" i="52"/>
  <c r="L32" i="52"/>
  <c r="M32" i="52"/>
  <c r="O32" i="52"/>
  <c r="P32" i="52"/>
  <c r="R32" i="52"/>
  <c r="I31" i="52"/>
  <c r="J31" i="52"/>
  <c r="L31" i="52"/>
  <c r="M31" i="52"/>
  <c r="O31" i="52"/>
  <c r="P31" i="52"/>
  <c r="R31" i="52"/>
  <c r="I30" i="52"/>
  <c r="J30" i="52"/>
  <c r="L30" i="52"/>
  <c r="M30" i="52"/>
  <c r="O30" i="52"/>
  <c r="P30" i="52"/>
  <c r="R30" i="52"/>
  <c r="I29" i="52"/>
  <c r="J29" i="52"/>
  <c r="L29" i="52"/>
  <c r="M29" i="52"/>
  <c r="O29" i="52"/>
  <c r="P29" i="52"/>
  <c r="R29" i="52"/>
  <c r="I28" i="52"/>
  <c r="J28" i="52"/>
  <c r="L28" i="52"/>
  <c r="M28" i="52"/>
  <c r="O28" i="52"/>
  <c r="P28" i="52"/>
  <c r="R28" i="52"/>
  <c r="I27" i="52"/>
  <c r="J27" i="52"/>
  <c r="L27" i="52"/>
  <c r="M27" i="52"/>
  <c r="O27" i="52"/>
  <c r="P27" i="52"/>
  <c r="R27" i="52"/>
  <c r="I26" i="52"/>
  <c r="J26" i="52"/>
  <c r="L26" i="52"/>
  <c r="M26" i="52"/>
  <c r="O26" i="52"/>
  <c r="P26" i="52"/>
  <c r="R26" i="52"/>
  <c r="I25" i="52"/>
  <c r="J25" i="52"/>
  <c r="L25" i="52"/>
  <c r="M25" i="52"/>
  <c r="O25" i="52"/>
  <c r="P25" i="52"/>
  <c r="R25" i="52"/>
  <c r="I24" i="52"/>
  <c r="J24" i="52"/>
  <c r="L24" i="52"/>
  <c r="M24" i="52"/>
  <c r="O24" i="52"/>
  <c r="P24" i="52"/>
  <c r="R24" i="52"/>
  <c r="I23" i="52"/>
  <c r="J23" i="52"/>
  <c r="L23" i="52"/>
  <c r="M23" i="52"/>
  <c r="O23" i="52"/>
  <c r="P23" i="52"/>
  <c r="R23" i="52"/>
  <c r="I22" i="52"/>
  <c r="J22" i="52"/>
  <c r="L22" i="52"/>
  <c r="M22" i="52"/>
  <c r="O22" i="52"/>
  <c r="P22" i="52"/>
  <c r="R22" i="52"/>
  <c r="I21" i="52"/>
  <c r="J21" i="52"/>
  <c r="L21" i="52"/>
  <c r="M21" i="52"/>
  <c r="O21" i="52"/>
  <c r="P21" i="52"/>
  <c r="R21" i="52"/>
  <c r="I20" i="52"/>
  <c r="J20" i="52"/>
  <c r="L20" i="52"/>
  <c r="M20" i="52"/>
  <c r="O20" i="52"/>
  <c r="P20" i="52"/>
  <c r="R20" i="52"/>
  <c r="I19" i="52"/>
  <c r="J19" i="52"/>
  <c r="L19" i="52"/>
  <c r="M19" i="52"/>
  <c r="O19" i="52"/>
  <c r="P19" i="52"/>
  <c r="R19" i="52"/>
  <c r="I18" i="52"/>
  <c r="J18" i="52"/>
  <c r="L18" i="52"/>
  <c r="M18" i="52"/>
  <c r="O18" i="52"/>
  <c r="P18" i="52"/>
  <c r="R18" i="52"/>
  <c r="I17" i="52"/>
  <c r="J17" i="52"/>
  <c r="M17" i="52"/>
  <c r="O17" i="52"/>
  <c r="P17" i="52"/>
  <c r="R17" i="52"/>
  <c r="P16" i="52"/>
  <c r="R16" i="52"/>
  <c r="C15" i="51"/>
  <c r="D15" i="51"/>
  <c r="E15" i="51"/>
  <c r="D12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B9" i="51"/>
  <c r="R16" i="51"/>
  <c r="R17" i="51"/>
  <c r="R18" i="51"/>
  <c r="R19" i="51"/>
  <c r="R20" i="51"/>
  <c r="R21" i="51"/>
  <c r="R22" i="51"/>
  <c r="R23" i="51"/>
  <c r="R24" i="51"/>
  <c r="R25" i="51"/>
  <c r="R26" i="51"/>
  <c r="R27" i="51"/>
  <c r="R28" i="51"/>
  <c r="R29" i="51"/>
  <c r="R30" i="51"/>
  <c r="R31" i="51"/>
  <c r="R32" i="51"/>
  <c r="R33" i="51"/>
  <c r="R34" i="51"/>
  <c r="R35" i="51"/>
  <c r="R15" i="51"/>
  <c r="M35" i="51"/>
  <c r="M17" i="51"/>
  <c r="M18" i="51"/>
  <c r="M19" i="51"/>
  <c r="M20" i="51"/>
  <c r="M21" i="51"/>
  <c r="M22" i="51"/>
  <c r="M23" i="51"/>
  <c r="M24" i="51"/>
  <c r="M25" i="51"/>
  <c r="M26" i="51"/>
  <c r="M27" i="51"/>
  <c r="M28" i="51"/>
  <c r="M29" i="51"/>
  <c r="M30" i="51"/>
  <c r="M31" i="51"/>
  <c r="M32" i="51"/>
  <c r="M33" i="51"/>
  <c r="M34" i="51"/>
  <c r="M16" i="51"/>
  <c r="J17" i="51"/>
  <c r="J18" i="51"/>
  <c r="J19" i="51"/>
  <c r="J20" i="51"/>
  <c r="J21" i="51"/>
  <c r="J22" i="51"/>
  <c r="J23" i="51"/>
  <c r="J24" i="51"/>
  <c r="J25" i="51"/>
  <c r="J16" i="51"/>
  <c r="C33" i="51"/>
  <c r="C32" i="51"/>
  <c r="C31" i="51"/>
  <c r="C30" i="51"/>
  <c r="C29" i="51"/>
  <c r="C28" i="51"/>
  <c r="C27" i="51"/>
  <c r="C26" i="51"/>
  <c r="F26" i="51"/>
  <c r="F27" i="51"/>
  <c r="F28" i="51"/>
  <c r="F29" i="51"/>
  <c r="F30" i="51"/>
  <c r="F31" i="51"/>
  <c r="F32" i="51"/>
  <c r="F33" i="51"/>
  <c r="F34" i="51"/>
  <c r="C25" i="51"/>
  <c r="F25" i="51"/>
  <c r="C24" i="51"/>
  <c r="C23" i="51"/>
  <c r="C22" i="51"/>
  <c r="C21" i="51"/>
  <c r="C20" i="51"/>
  <c r="C19" i="51"/>
  <c r="C18" i="51"/>
  <c r="C17" i="51"/>
  <c r="C16" i="51"/>
  <c r="E23" i="51"/>
  <c r="E22" i="51"/>
  <c r="E21" i="51"/>
  <c r="E20" i="51"/>
  <c r="E19" i="51"/>
  <c r="E18" i="51"/>
  <c r="E17" i="51"/>
  <c r="E16" i="51"/>
  <c r="F16" i="51"/>
  <c r="F17" i="51"/>
  <c r="F18" i="51"/>
  <c r="F19" i="51"/>
  <c r="F20" i="51"/>
  <c r="F21" i="51"/>
  <c r="F22" i="51"/>
  <c r="F23" i="51"/>
  <c r="F24" i="51"/>
  <c r="F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15" i="51"/>
  <c r="I35" i="51"/>
  <c r="K35" i="51"/>
  <c r="L35" i="51"/>
  <c r="O35" i="51"/>
  <c r="P17" i="51"/>
  <c r="P18" i="51"/>
  <c r="P19" i="51"/>
  <c r="P20" i="51"/>
  <c r="P21" i="51"/>
  <c r="P22" i="51"/>
  <c r="P23" i="51"/>
  <c r="P24" i="51"/>
  <c r="P25" i="51"/>
  <c r="P26" i="51"/>
  <c r="P27" i="51"/>
  <c r="P28" i="51"/>
  <c r="P29" i="51"/>
  <c r="P30" i="51"/>
  <c r="P31" i="51"/>
  <c r="P32" i="51"/>
  <c r="P33" i="51"/>
  <c r="P34" i="51"/>
  <c r="P35" i="51"/>
  <c r="Q35" i="51"/>
  <c r="I34" i="51"/>
  <c r="K34" i="51"/>
  <c r="L34" i="51"/>
  <c r="N34" i="51"/>
  <c r="O34" i="51"/>
  <c r="Q34" i="51"/>
  <c r="I33" i="51"/>
  <c r="K33" i="51"/>
  <c r="L33" i="51"/>
  <c r="N33" i="51"/>
  <c r="O33" i="51"/>
  <c r="Q33" i="51"/>
  <c r="I32" i="51"/>
  <c r="K32" i="51"/>
  <c r="L32" i="51"/>
  <c r="N32" i="51"/>
  <c r="O32" i="51"/>
  <c r="Q32" i="51"/>
  <c r="I31" i="51"/>
  <c r="K31" i="51"/>
  <c r="L31" i="51"/>
  <c r="N31" i="51"/>
  <c r="O31" i="51"/>
  <c r="Q31" i="51"/>
  <c r="I30" i="51"/>
  <c r="K30" i="51"/>
  <c r="L30" i="51"/>
  <c r="N30" i="51"/>
  <c r="O30" i="51"/>
  <c r="Q30" i="51"/>
  <c r="I29" i="51"/>
  <c r="K29" i="51"/>
  <c r="L29" i="51"/>
  <c r="N29" i="51"/>
  <c r="O29" i="51"/>
  <c r="Q29" i="51"/>
  <c r="I28" i="51"/>
  <c r="K28" i="51"/>
  <c r="L28" i="51"/>
  <c r="N28" i="51"/>
  <c r="O28" i="51"/>
  <c r="Q28" i="51"/>
  <c r="I27" i="51"/>
  <c r="K27" i="51"/>
  <c r="L27" i="51"/>
  <c r="N27" i="51"/>
  <c r="O27" i="51"/>
  <c r="Q27" i="51"/>
  <c r="I26" i="51"/>
  <c r="K26" i="51"/>
  <c r="L26" i="51"/>
  <c r="N26" i="51"/>
  <c r="O26" i="51"/>
  <c r="Q26" i="51"/>
  <c r="I25" i="51"/>
  <c r="K25" i="51"/>
  <c r="L25" i="51"/>
  <c r="N25" i="51"/>
  <c r="O25" i="51"/>
  <c r="Q25" i="51"/>
  <c r="I24" i="51"/>
  <c r="K24" i="51"/>
  <c r="L24" i="51"/>
  <c r="N24" i="51"/>
  <c r="O24" i="51"/>
  <c r="Q24" i="51"/>
  <c r="I23" i="51"/>
  <c r="K23" i="51"/>
  <c r="L23" i="51"/>
  <c r="N23" i="51"/>
  <c r="O23" i="51"/>
  <c r="Q23" i="51"/>
  <c r="I22" i="51"/>
  <c r="K22" i="51"/>
  <c r="L22" i="51"/>
  <c r="N22" i="51"/>
  <c r="O22" i="51"/>
  <c r="Q22" i="51"/>
  <c r="I21" i="51"/>
  <c r="K21" i="51"/>
  <c r="L21" i="51"/>
  <c r="N21" i="51"/>
  <c r="O21" i="51"/>
  <c r="Q21" i="51"/>
  <c r="I20" i="51"/>
  <c r="K20" i="51"/>
  <c r="L20" i="51"/>
  <c r="N20" i="51"/>
  <c r="O20" i="51"/>
  <c r="Q20" i="51"/>
  <c r="I19" i="51"/>
  <c r="K19" i="51"/>
  <c r="L19" i="51"/>
  <c r="N19" i="51"/>
  <c r="O19" i="51"/>
  <c r="Q19" i="51"/>
  <c r="I18" i="51"/>
  <c r="K18" i="51"/>
  <c r="L18" i="51"/>
  <c r="N18" i="51"/>
  <c r="O18" i="51"/>
  <c r="Q18" i="51"/>
  <c r="I17" i="51"/>
  <c r="K17" i="51"/>
  <c r="L17" i="51"/>
  <c r="N17" i="51"/>
  <c r="O17" i="51"/>
  <c r="Q17" i="51"/>
  <c r="I16" i="51"/>
  <c r="L16" i="51"/>
  <c r="N16" i="51"/>
  <c r="O16" i="51"/>
  <c r="Q16" i="51"/>
  <c r="O15" i="51"/>
  <c r="Q15" i="51"/>
  <c r="J6" i="51"/>
  <c r="J7" i="51"/>
  <c r="J8" i="51"/>
  <c r="O10" i="50"/>
  <c r="O11" i="50"/>
  <c r="O12" i="50"/>
  <c r="O13" i="50"/>
  <c r="O9" i="50"/>
  <c r="F11" i="50"/>
  <c r="F12" i="50"/>
  <c r="F13" i="50"/>
  <c r="F10" i="50"/>
  <c r="D12" i="50"/>
  <c r="D13" i="50"/>
  <c r="D11" i="50"/>
  <c r="D9" i="50"/>
  <c r="C11" i="50"/>
  <c r="C12" i="50"/>
  <c r="C13" i="50"/>
  <c r="C10" i="50"/>
  <c r="J10" i="50"/>
  <c r="J11" i="50"/>
  <c r="J12" i="50"/>
  <c r="J13" i="50"/>
  <c r="J9" i="50"/>
  <c r="H9" i="50"/>
  <c r="I9" i="50"/>
  <c r="E10" i="50"/>
  <c r="B11" i="50"/>
  <c r="G10" i="50"/>
  <c r="H10" i="50"/>
  <c r="I10" i="50"/>
  <c r="E11" i="50"/>
  <c r="B12" i="50"/>
  <c r="G11" i="50"/>
  <c r="H11" i="50"/>
  <c r="M11" i="50"/>
  <c r="I11" i="50"/>
  <c r="E12" i="50"/>
  <c r="B13" i="50"/>
  <c r="G12" i="50"/>
  <c r="H12" i="50"/>
  <c r="M12" i="50"/>
  <c r="I12" i="50"/>
  <c r="E13" i="50"/>
  <c r="H13" i="50"/>
  <c r="M13" i="50"/>
  <c r="I13" i="50"/>
  <c r="K3" i="50"/>
  <c r="N13" i="50"/>
  <c r="N12" i="50"/>
  <c r="N11" i="50"/>
  <c r="N10" i="50"/>
  <c r="N9" i="50"/>
  <c r="K9" i="50"/>
  <c r="K4" i="50"/>
  <c r="H3" i="50"/>
  <c r="H4" i="50"/>
  <c r="E3" i="50"/>
  <c r="E4" i="50"/>
  <c r="C16" i="49"/>
  <c r="D16" i="49"/>
  <c r="C17" i="49"/>
  <c r="D17" i="49"/>
  <c r="C18" i="49"/>
  <c r="D18" i="49"/>
  <c r="C19" i="49"/>
  <c r="D19" i="49"/>
  <c r="C20" i="49"/>
  <c r="D20" i="49"/>
  <c r="C21" i="49"/>
  <c r="D21" i="49"/>
  <c r="C22" i="49"/>
  <c r="D22" i="49"/>
  <c r="C23" i="49"/>
  <c r="D23" i="49"/>
  <c r="C24" i="49"/>
  <c r="D24" i="49"/>
  <c r="C25" i="49"/>
  <c r="D25" i="49"/>
  <c r="C26" i="49"/>
  <c r="D26" i="49"/>
  <c r="C27" i="49"/>
  <c r="D27" i="49"/>
  <c r="C28" i="49"/>
  <c r="D28" i="49"/>
  <c r="C29" i="49"/>
  <c r="D29" i="49"/>
  <c r="C30" i="49"/>
  <c r="D30" i="49"/>
  <c r="C31" i="49"/>
  <c r="D31" i="49"/>
  <c r="C32" i="49"/>
  <c r="D32" i="49"/>
  <c r="C33" i="49"/>
  <c r="D33" i="49"/>
  <c r="C34" i="49"/>
  <c r="D34" i="49"/>
  <c r="C35" i="49"/>
  <c r="D35" i="49"/>
  <c r="C36" i="49"/>
  <c r="D36" i="49"/>
  <c r="C37" i="49"/>
  <c r="D37" i="49"/>
  <c r="C38" i="49"/>
  <c r="D38" i="49"/>
  <c r="C39" i="49"/>
  <c r="D39" i="49"/>
  <c r="C40" i="49"/>
  <c r="D40" i="49"/>
  <c r="C41" i="49"/>
  <c r="D41" i="49"/>
  <c r="C42" i="49"/>
  <c r="D42" i="49"/>
  <c r="C43" i="49"/>
  <c r="D43" i="49"/>
  <c r="C44" i="49"/>
  <c r="D44" i="49"/>
  <c r="C45" i="49"/>
  <c r="D45" i="49"/>
  <c r="C46" i="49"/>
  <c r="D46" i="49"/>
  <c r="C47" i="49"/>
  <c r="D47" i="49"/>
  <c r="C48" i="49"/>
  <c r="D48" i="49"/>
  <c r="C49" i="49"/>
  <c r="D49" i="49"/>
  <c r="C50" i="49"/>
  <c r="D50" i="49"/>
  <c r="C51" i="49"/>
  <c r="D51" i="49"/>
  <c r="C52" i="49"/>
  <c r="D52" i="49"/>
  <c r="C53" i="49"/>
  <c r="D53" i="49"/>
  <c r="C54" i="49"/>
  <c r="D54" i="49"/>
  <c r="C55" i="49"/>
  <c r="D55" i="49"/>
  <c r="C56" i="49"/>
  <c r="D56" i="49"/>
  <c r="C57" i="49"/>
  <c r="D57" i="49"/>
  <c r="C58" i="49"/>
  <c r="D58" i="49"/>
  <c r="C59" i="49"/>
  <c r="D59" i="49"/>
  <c r="C60" i="49"/>
  <c r="D60" i="49"/>
  <c r="C61" i="49"/>
  <c r="D61" i="49"/>
  <c r="C62" i="49"/>
  <c r="D62" i="49"/>
  <c r="C63" i="49"/>
  <c r="D63" i="49"/>
  <c r="C64" i="49"/>
  <c r="D64" i="49"/>
  <c r="C65" i="49"/>
  <c r="D65" i="49"/>
  <c r="C66" i="49"/>
  <c r="D66" i="49"/>
  <c r="C67" i="49"/>
  <c r="D67" i="49"/>
  <c r="C68" i="49"/>
  <c r="D68" i="49"/>
  <c r="C69" i="49"/>
  <c r="D69" i="49"/>
  <c r="C70" i="49"/>
  <c r="D70" i="49"/>
  <c r="C71" i="49"/>
  <c r="D71" i="49"/>
  <c r="C72" i="49"/>
  <c r="D72" i="49"/>
  <c r="C73" i="49"/>
  <c r="D73" i="49"/>
  <c r="C74" i="49"/>
  <c r="D74" i="49"/>
  <c r="C75" i="49"/>
  <c r="D75" i="49"/>
  <c r="C76" i="49"/>
  <c r="D76" i="49"/>
  <c r="C77" i="49"/>
  <c r="D77" i="49"/>
  <c r="C78" i="49"/>
  <c r="D78" i="49"/>
  <c r="C79" i="49"/>
  <c r="D79" i="49"/>
  <c r="C80" i="49"/>
  <c r="D80" i="49"/>
  <c r="C81" i="49"/>
  <c r="D81" i="49"/>
  <c r="C82" i="49"/>
  <c r="D82" i="49"/>
  <c r="C83" i="49"/>
  <c r="D83" i="49"/>
  <c r="C84" i="49"/>
  <c r="D84" i="49"/>
  <c r="C85" i="49"/>
  <c r="D85" i="49"/>
  <c r="C86" i="49"/>
  <c r="D86" i="49"/>
  <c r="C87" i="49"/>
  <c r="D87" i="49"/>
  <c r="C88" i="49"/>
  <c r="D88" i="49"/>
  <c r="C89" i="49"/>
  <c r="D89" i="49"/>
  <c r="C90" i="49"/>
  <c r="D90" i="49"/>
  <c r="C91" i="49"/>
  <c r="D91" i="49"/>
  <c r="C92" i="49"/>
  <c r="D92" i="49"/>
  <c r="C93" i="49"/>
  <c r="D93" i="49"/>
  <c r="C94" i="49"/>
  <c r="D94" i="49"/>
  <c r="C95" i="49"/>
  <c r="D95" i="49"/>
  <c r="C96" i="49"/>
  <c r="D96" i="49"/>
  <c r="C97" i="49"/>
  <c r="D97" i="49"/>
  <c r="C98" i="49"/>
  <c r="D98" i="49"/>
  <c r="C99" i="49"/>
  <c r="D99" i="49"/>
  <c r="C100" i="49"/>
  <c r="D100" i="49"/>
  <c r="C101" i="49"/>
  <c r="D101" i="49"/>
  <c r="C102" i="49"/>
  <c r="D102" i="49"/>
  <c r="C103" i="49"/>
  <c r="D103" i="49"/>
  <c r="C104" i="49"/>
  <c r="D104" i="49"/>
  <c r="C105" i="49"/>
  <c r="D105" i="49"/>
  <c r="C106" i="49"/>
  <c r="D106" i="49"/>
  <c r="C107" i="49"/>
  <c r="D107" i="49"/>
  <c r="C108" i="49"/>
  <c r="D108" i="49"/>
  <c r="C109" i="49"/>
  <c r="D109" i="49"/>
  <c r="C110" i="49"/>
  <c r="D110" i="49"/>
  <c r="C111" i="49"/>
  <c r="D111" i="49"/>
  <c r="C112" i="49"/>
  <c r="D112" i="49"/>
  <c r="C113" i="49"/>
  <c r="D113" i="49"/>
  <c r="C114" i="49"/>
  <c r="D114" i="49"/>
  <c r="C115" i="49"/>
  <c r="D115" i="49"/>
  <c r="C116" i="49"/>
  <c r="D116" i="49"/>
  <c r="C117" i="49"/>
  <c r="D117" i="49"/>
  <c r="C118" i="49"/>
  <c r="D118" i="49"/>
  <c r="C119" i="49"/>
  <c r="D119" i="49"/>
  <c r="C120" i="49"/>
  <c r="D120" i="49"/>
  <c r="C121" i="49"/>
  <c r="D121" i="49"/>
  <c r="C122" i="49"/>
  <c r="D122" i="49"/>
  <c r="C123" i="49"/>
  <c r="D123" i="49"/>
  <c r="C124" i="49"/>
  <c r="D124" i="49"/>
  <c r="C125" i="49"/>
  <c r="D125" i="49"/>
  <c r="C126" i="49"/>
  <c r="D126" i="49"/>
  <c r="C127" i="49"/>
  <c r="D127" i="49"/>
  <c r="C128" i="49"/>
  <c r="D128" i="49"/>
  <c r="C129" i="49"/>
  <c r="D129" i="49"/>
  <c r="C130" i="49"/>
  <c r="D130" i="49"/>
  <c r="C131" i="49"/>
  <c r="D131" i="49"/>
  <c r="C132" i="49"/>
  <c r="D132" i="49"/>
  <c r="C133" i="49"/>
  <c r="D133" i="49"/>
  <c r="C134" i="49"/>
  <c r="D134" i="49"/>
  <c r="D15" i="49"/>
  <c r="B9" i="49"/>
  <c r="A15" i="49"/>
  <c r="A16" i="49"/>
  <c r="A17" i="49"/>
  <c r="B10" i="49"/>
  <c r="G17" i="49"/>
  <c r="G16" i="49"/>
  <c r="E17" i="49"/>
  <c r="A18" i="49"/>
  <c r="G18" i="49"/>
  <c r="E18" i="49"/>
  <c r="A19" i="49"/>
  <c r="G19" i="49"/>
  <c r="E19" i="49"/>
  <c r="A20" i="49"/>
  <c r="G20" i="49"/>
  <c r="E20" i="49"/>
  <c r="A21" i="49"/>
  <c r="G21" i="49"/>
  <c r="E21" i="49"/>
  <c r="A22" i="49"/>
  <c r="G22" i="49"/>
  <c r="E22" i="49"/>
  <c r="A23" i="49"/>
  <c r="G23" i="49"/>
  <c r="E23" i="49"/>
  <c r="A24" i="49"/>
  <c r="G24" i="49"/>
  <c r="E24" i="49"/>
  <c r="A25" i="49"/>
  <c r="G25" i="49"/>
  <c r="E25" i="49"/>
  <c r="A26" i="49"/>
  <c r="G26" i="49"/>
  <c r="E26" i="49"/>
  <c r="A27" i="49"/>
  <c r="G27" i="49"/>
  <c r="E27" i="49"/>
  <c r="A28" i="49"/>
  <c r="G28" i="49"/>
  <c r="E28" i="49"/>
  <c r="A29" i="49"/>
  <c r="G29" i="49"/>
  <c r="E29" i="49"/>
  <c r="A30" i="49"/>
  <c r="G30" i="49"/>
  <c r="E30" i="49"/>
  <c r="A31" i="49"/>
  <c r="G31" i="49"/>
  <c r="E31" i="49"/>
  <c r="A32" i="49"/>
  <c r="G32" i="49"/>
  <c r="E32" i="49"/>
  <c r="A33" i="49"/>
  <c r="G33" i="49"/>
  <c r="E33" i="49"/>
  <c r="A34" i="49"/>
  <c r="G34" i="49"/>
  <c r="E34" i="49"/>
  <c r="A35" i="49"/>
  <c r="G35" i="49"/>
  <c r="E35" i="49"/>
  <c r="A36" i="49"/>
  <c r="G36" i="49"/>
  <c r="E36" i="49"/>
  <c r="A37" i="49"/>
  <c r="G37" i="49"/>
  <c r="E37" i="49"/>
  <c r="A38" i="49"/>
  <c r="G38" i="49"/>
  <c r="E38" i="49"/>
  <c r="A39" i="49"/>
  <c r="G39" i="49"/>
  <c r="E39" i="49"/>
  <c r="A40" i="49"/>
  <c r="G40" i="49"/>
  <c r="E40" i="49"/>
  <c r="A41" i="49"/>
  <c r="G41" i="49"/>
  <c r="E41" i="49"/>
  <c r="A42" i="49"/>
  <c r="G42" i="49"/>
  <c r="E42" i="49"/>
  <c r="A43" i="49"/>
  <c r="G43" i="49"/>
  <c r="E43" i="49"/>
  <c r="A44" i="49"/>
  <c r="G44" i="49"/>
  <c r="E44" i="49"/>
  <c r="A45" i="49"/>
  <c r="G45" i="49"/>
  <c r="E45" i="49"/>
  <c r="A46" i="49"/>
  <c r="G46" i="49"/>
  <c r="E46" i="49"/>
  <c r="A47" i="49"/>
  <c r="G47" i="49"/>
  <c r="E47" i="49"/>
  <c r="A48" i="49"/>
  <c r="G48" i="49"/>
  <c r="E48" i="49"/>
  <c r="A49" i="49"/>
  <c r="G49" i="49"/>
  <c r="E49" i="49"/>
  <c r="A50" i="49"/>
  <c r="G50" i="49"/>
  <c r="E50" i="49"/>
  <c r="A51" i="49"/>
  <c r="G51" i="49"/>
  <c r="E51" i="49"/>
  <c r="A52" i="49"/>
  <c r="G52" i="49"/>
  <c r="E52" i="49"/>
  <c r="A53" i="49"/>
  <c r="G53" i="49"/>
  <c r="E53" i="49"/>
  <c r="A54" i="49"/>
  <c r="G54" i="49"/>
  <c r="E54" i="49"/>
  <c r="A55" i="49"/>
  <c r="G55" i="49"/>
  <c r="E55" i="49"/>
  <c r="A56" i="49"/>
  <c r="G56" i="49"/>
  <c r="E56" i="49"/>
  <c r="A57" i="49"/>
  <c r="G57" i="49"/>
  <c r="E57" i="49"/>
  <c r="A58" i="49"/>
  <c r="G58" i="49"/>
  <c r="E58" i="49"/>
  <c r="A59" i="49"/>
  <c r="G59" i="49"/>
  <c r="E59" i="49"/>
  <c r="A60" i="49"/>
  <c r="G60" i="49"/>
  <c r="E60" i="49"/>
  <c r="A61" i="49"/>
  <c r="G61" i="49"/>
  <c r="E61" i="49"/>
  <c r="A62" i="49"/>
  <c r="G62" i="49"/>
  <c r="E62" i="49"/>
  <c r="A63" i="49"/>
  <c r="G63" i="49"/>
  <c r="E63" i="49"/>
  <c r="A64" i="49"/>
  <c r="G64" i="49"/>
  <c r="E64" i="49"/>
  <c r="A65" i="49"/>
  <c r="G65" i="49"/>
  <c r="E65" i="49"/>
  <c r="A66" i="49"/>
  <c r="G66" i="49"/>
  <c r="E66" i="49"/>
  <c r="A67" i="49"/>
  <c r="G67" i="49"/>
  <c r="E67" i="49"/>
  <c r="A68" i="49"/>
  <c r="G68" i="49"/>
  <c r="E68" i="49"/>
  <c r="A69" i="49"/>
  <c r="G69" i="49"/>
  <c r="E69" i="49"/>
  <c r="A70" i="49"/>
  <c r="G70" i="49"/>
  <c r="E70" i="49"/>
  <c r="A71" i="49"/>
  <c r="G71" i="49"/>
  <c r="E71" i="49"/>
  <c r="A72" i="49"/>
  <c r="G72" i="49"/>
  <c r="E72" i="49"/>
  <c r="A73" i="49"/>
  <c r="G73" i="49"/>
  <c r="E73" i="49"/>
  <c r="A74" i="49"/>
  <c r="G74" i="49"/>
  <c r="E74" i="49"/>
  <c r="A75" i="49"/>
  <c r="G75" i="49"/>
  <c r="E75" i="49"/>
  <c r="A76" i="49"/>
  <c r="G76" i="49"/>
  <c r="E76" i="49"/>
  <c r="A77" i="49"/>
  <c r="G77" i="49"/>
  <c r="E77" i="49"/>
  <c r="A78" i="49"/>
  <c r="G78" i="49"/>
  <c r="E78" i="49"/>
  <c r="A79" i="49"/>
  <c r="G79" i="49"/>
  <c r="E79" i="49"/>
  <c r="A80" i="49"/>
  <c r="G80" i="49"/>
  <c r="E80" i="49"/>
  <c r="A81" i="49"/>
  <c r="G81" i="49"/>
  <c r="E81" i="49"/>
  <c r="A82" i="49"/>
  <c r="G82" i="49"/>
  <c r="E82" i="49"/>
  <c r="A83" i="49"/>
  <c r="G83" i="49"/>
  <c r="E83" i="49"/>
  <c r="A84" i="49"/>
  <c r="G84" i="49"/>
  <c r="E84" i="49"/>
  <c r="A85" i="49"/>
  <c r="G85" i="49"/>
  <c r="E85" i="49"/>
  <c r="A86" i="49"/>
  <c r="G86" i="49"/>
  <c r="E86" i="49"/>
  <c r="A87" i="49"/>
  <c r="G87" i="49"/>
  <c r="E87" i="49"/>
  <c r="A88" i="49"/>
  <c r="G88" i="49"/>
  <c r="E88" i="49"/>
  <c r="A89" i="49"/>
  <c r="G89" i="49"/>
  <c r="E89" i="49"/>
  <c r="A90" i="49"/>
  <c r="G90" i="49"/>
  <c r="E90" i="49"/>
  <c r="A91" i="49"/>
  <c r="G91" i="49"/>
  <c r="E91" i="49"/>
  <c r="A92" i="49"/>
  <c r="G92" i="49"/>
  <c r="E92" i="49"/>
  <c r="A93" i="49"/>
  <c r="G93" i="49"/>
  <c r="E93" i="49"/>
  <c r="A94" i="49"/>
  <c r="G94" i="49"/>
  <c r="E94" i="49"/>
  <c r="A95" i="49"/>
  <c r="G95" i="49"/>
  <c r="E95" i="49"/>
  <c r="A96" i="49"/>
  <c r="G96" i="49"/>
  <c r="E96" i="49"/>
  <c r="A97" i="49"/>
  <c r="G97" i="49"/>
  <c r="E97" i="49"/>
  <c r="A98" i="49"/>
  <c r="G98" i="49"/>
  <c r="E98" i="49"/>
  <c r="A99" i="49"/>
  <c r="G99" i="49"/>
  <c r="E99" i="49"/>
  <c r="A100" i="49"/>
  <c r="G100" i="49"/>
  <c r="E100" i="49"/>
  <c r="A101" i="49"/>
  <c r="G101" i="49"/>
  <c r="E101" i="49"/>
  <c r="A102" i="49"/>
  <c r="G102" i="49"/>
  <c r="E102" i="49"/>
  <c r="A103" i="49"/>
  <c r="G103" i="49"/>
  <c r="E103" i="49"/>
  <c r="A104" i="49"/>
  <c r="G104" i="49"/>
  <c r="E104" i="49"/>
  <c r="A105" i="49"/>
  <c r="G105" i="49"/>
  <c r="E105" i="49"/>
  <c r="A106" i="49"/>
  <c r="G106" i="49"/>
  <c r="E106" i="49"/>
  <c r="A107" i="49"/>
  <c r="G107" i="49"/>
  <c r="E107" i="49"/>
  <c r="A108" i="49"/>
  <c r="G108" i="49"/>
  <c r="E108" i="49"/>
  <c r="A109" i="49"/>
  <c r="G109" i="49"/>
  <c r="E109" i="49"/>
  <c r="A110" i="49"/>
  <c r="G110" i="49"/>
  <c r="E110" i="49"/>
  <c r="A111" i="49"/>
  <c r="G111" i="49"/>
  <c r="E111" i="49"/>
  <c r="A112" i="49"/>
  <c r="G112" i="49"/>
  <c r="E112" i="49"/>
  <c r="A113" i="49"/>
  <c r="G113" i="49"/>
  <c r="E113" i="49"/>
  <c r="A114" i="49"/>
  <c r="G114" i="49"/>
  <c r="E114" i="49"/>
  <c r="A115" i="49"/>
  <c r="G115" i="49"/>
  <c r="E115" i="49"/>
  <c r="A116" i="49"/>
  <c r="G116" i="49"/>
  <c r="E116" i="49"/>
  <c r="A117" i="49"/>
  <c r="G117" i="49"/>
  <c r="E117" i="49"/>
  <c r="A118" i="49"/>
  <c r="G118" i="49"/>
  <c r="E118" i="49"/>
  <c r="A119" i="49"/>
  <c r="G119" i="49"/>
  <c r="E119" i="49"/>
  <c r="A120" i="49"/>
  <c r="G120" i="49"/>
  <c r="E120" i="49"/>
  <c r="A121" i="49"/>
  <c r="G121" i="49"/>
  <c r="E121" i="49"/>
  <c r="A122" i="49"/>
  <c r="G122" i="49"/>
  <c r="E122" i="49"/>
  <c r="A123" i="49"/>
  <c r="G123" i="49"/>
  <c r="E123" i="49"/>
  <c r="A124" i="49"/>
  <c r="G124" i="49"/>
  <c r="E124" i="49"/>
  <c r="A125" i="49"/>
  <c r="G125" i="49"/>
  <c r="E125" i="49"/>
  <c r="A126" i="49"/>
  <c r="G126" i="49"/>
  <c r="E126" i="49"/>
  <c r="A127" i="49"/>
  <c r="G127" i="49"/>
  <c r="E127" i="49"/>
  <c r="A128" i="49"/>
  <c r="G128" i="49"/>
  <c r="E128" i="49"/>
  <c r="A129" i="49"/>
  <c r="G129" i="49"/>
  <c r="E129" i="49"/>
  <c r="A130" i="49"/>
  <c r="G130" i="49"/>
  <c r="E130" i="49"/>
  <c r="A131" i="49"/>
  <c r="G131" i="49"/>
  <c r="E131" i="49"/>
  <c r="A132" i="49"/>
  <c r="G132" i="49"/>
  <c r="E132" i="49"/>
  <c r="A133" i="49"/>
  <c r="G133" i="49"/>
  <c r="E133" i="49"/>
  <c r="A134" i="49"/>
  <c r="G134" i="49"/>
  <c r="E134" i="49"/>
  <c r="G15" i="49"/>
  <c r="E16" i="49"/>
  <c r="G14" i="49"/>
  <c r="E15" i="49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13" i="48"/>
  <c r="B114" i="48"/>
  <c r="B115" i="48"/>
  <c r="B116" i="48"/>
  <c r="B117" i="48"/>
  <c r="B118" i="48"/>
  <c r="B119" i="48"/>
  <c r="B120" i="48"/>
  <c r="B121" i="48"/>
  <c r="B122" i="48"/>
  <c r="B123" i="48"/>
  <c r="B124" i="48"/>
  <c r="B125" i="48"/>
  <c r="B126" i="48"/>
  <c r="B127" i="48"/>
  <c r="B128" i="48"/>
  <c r="B129" i="48"/>
  <c r="B130" i="48"/>
  <c r="B131" i="48"/>
  <c r="B132" i="48"/>
  <c r="B133" i="48"/>
  <c r="B134" i="48"/>
  <c r="B135" i="48"/>
  <c r="B136" i="48"/>
  <c r="B137" i="48"/>
  <c r="B138" i="48"/>
  <c r="B139" i="48"/>
  <c r="B140" i="48"/>
  <c r="B141" i="48"/>
  <c r="B142" i="48"/>
  <c r="B143" i="48"/>
  <c r="B144" i="48"/>
  <c r="B145" i="48"/>
  <c r="B146" i="48"/>
  <c r="B147" i="48"/>
  <c r="B148" i="48"/>
  <c r="B149" i="48"/>
  <c r="B150" i="48"/>
  <c r="B151" i="48"/>
  <c r="B152" i="48"/>
  <c r="B153" i="48"/>
  <c r="B154" i="48"/>
  <c r="B155" i="48"/>
  <c r="B156" i="48"/>
  <c r="B157" i="48"/>
  <c r="B158" i="48"/>
  <c r="B159" i="48"/>
  <c r="B160" i="48"/>
  <c r="B161" i="48"/>
  <c r="B162" i="48"/>
  <c r="B163" i="48"/>
  <c r="B164" i="48"/>
  <c r="B165" i="48"/>
  <c r="B166" i="48"/>
  <c r="B167" i="48"/>
  <c r="B168" i="48"/>
  <c r="B169" i="48"/>
  <c r="B170" i="48"/>
  <c r="B171" i="48"/>
  <c r="B172" i="48"/>
  <c r="B173" i="48"/>
  <c r="B174" i="48"/>
  <c r="B175" i="48"/>
  <c r="B176" i="48"/>
  <c r="B177" i="48"/>
  <c r="B178" i="48"/>
  <c r="B179" i="48"/>
  <c r="B180" i="48"/>
  <c r="B181" i="48"/>
  <c r="B182" i="48"/>
  <c r="B183" i="48"/>
  <c r="B184" i="48"/>
  <c r="B185" i="48"/>
  <c r="B186" i="48"/>
  <c r="B187" i="48"/>
  <c r="B188" i="48"/>
  <c r="B189" i="48"/>
  <c r="B190" i="48"/>
  <c r="B191" i="48"/>
  <c r="B192" i="48"/>
  <c r="B193" i="48"/>
  <c r="B194" i="48"/>
  <c r="B195" i="48"/>
  <c r="B196" i="48"/>
  <c r="B197" i="48"/>
  <c r="B198" i="48"/>
  <c r="B199" i="48"/>
  <c r="B200" i="48"/>
  <c r="B201" i="48"/>
  <c r="B202" i="48"/>
  <c r="B203" i="48"/>
  <c r="B204" i="48"/>
  <c r="B205" i="48"/>
  <c r="B206" i="48"/>
  <c r="B207" i="48"/>
  <c r="B208" i="48"/>
  <c r="B209" i="48"/>
  <c r="B210" i="48"/>
  <c r="B211" i="48"/>
  <c r="B212" i="48"/>
  <c r="B213" i="48"/>
  <c r="B214" i="48"/>
  <c r="B215" i="48"/>
  <c r="B216" i="48"/>
  <c r="B217" i="48"/>
  <c r="B218" i="48"/>
  <c r="B219" i="48"/>
  <c r="B220" i="48"/>
  <c r="B221" i="48"/>
  <c r="B222" i="48"/>
  <c r="B223" i="48"/>
  <c r="B224" i="48"/>
  <c r="B225" i="48"/>
  <c r="B226" i="48"/>
  <c r="B227" i="48"/>
  <c r="B228" i="48"/>
  <c r="B229" i="48"/>
  <c r="B230" i="48"/>
  <c r="B231" i="48"/>
  <c r="B232" i="48"/>
  <c r="B233" i="48"/>
  <c r="B234" i="48"/>
  <c r="B235" i="48"/>
  <c r="B236" i="48"/>
  <c r="B237" i="48"/>
  <c r="B238" i="48"/>
  <c r="B239" i="48"/>
  <c r="B240" i="48"/>
  <c r="B241" i="48"/>
  <c r="B242" i="48"/>
  <c r="B243" i="48"/>
  <c r="B244" i="48"/>
  <c r="B245" i="48"/>
  <c r="B246" i="48"/>
  <c r="B247" i="48"/>
  <c r="B248" i="48"/>
  <c r="B249" i="48"/>
  <c r="B250" i="48"/>
  <c r="B251" i="48"/>
  <c r="B252" i="48"/>
  <c r="B253" i="48"/>
  <c r="B254" i="48"/>
  <c r="B255" i="48"/>
  <c r="B256" i="48"/>
  <c r="B257" i="48"/>
  <c r="B258" i="48"/>
  <c r="B259" i="48"/>
  <c r="B260" i="48"/>
  <c r="B261" i="48"/>
  <c r="B262" i="48"/>
  <c r="B263" i="48"/>
  <c r="B264" i="48"/>
  <c r="B265" i="48"/>
  <c r="B266" i="48"/>
  <c r="B267" i="48"/>
  <c r="B268" i="48"/>
  <c r="B269" i="48"/>
  <c r="B270" i="48"/>
  <c r="B271" i="48"/>
  <c r="B272" i="48"/>
  <c r="B273" i="48"/>
  <c r="B274" i="48"/>
  <c r="B275" i="48"/>
  <c r="B276" i="48"/>
  <c r="B277" i="48"/>
  <c r="B278" i="48"/>
  <c r="B279" i="48"/>
  <c r="B280" i="48"/>
  <c r="B281" i="48"/>
  <c r="B282" i="48"/>
  <c r="B283" i="48"/>
  <c r="B284" i="48"/>
  <c r="B285" i="48"/>
  <c r="B286" i="48"/>
  <c r="B287" i="48"/>
  <c r="B288" i="48"/>
  <c r="B289" i="48"/>
  <c r="B290" i="48"/>
  <c r="B291" i="48"/>
  <c r="B292" i="48"/>
  <c r="B293" i="48"/>
  <c r="B294" i="48"/>
  <c r="B295" i="48"/>
  <c r="B296" i="48"/>
  <c r="B297" i="48"/>
  <c r="B298" i="48"/>
  <c r="B299" i="48"/>
  <c r="B300" i="48"/>
  <c r="B301" i="48"/>
  <c r="B302" i="48"/>
  <c r="B303" i="48"/>
  <c r="B304" i="48"/>
  <c r="B305" i="48"/>
  <c r="B306" i="48"/>
  <c r="B307" i="48"/>
  <c r="B308" i="48"/>
  <c r="B309" i="48"/>
  <c r="B310" i="48"/>
  <c r="B311" i="48"/>
  <c r="B312" i="48"/>
  <c r="B313" i="48"/>
  <c r="B314" i="48"/>
  <c r="B315" i="48"/>
  <c r="B316" i="48"/>
  <c r="B317" i="48"/>
  <c r="B318" i="48"/>
  <c r="B319" i="48"/>
  <c r="B320" i="48"/>
  <c r="B321" i="48"/>
  <c r="B322" i="48"/>
  <c r="B323" i="48"/>
  <c r="B324" i="48"/>
  <c r="B325" i="48"/>
  <c r="B326" i="48"/>
  <c r="B327" i="48"/>
  <c r="B328" i="48"/>
  <c r="B329" i="48"/>
  <c r="B330" i="48"/>
  <c r="B331" i="48"/>
  <c r="B332" i="48"/>
  <c r="B333" i="48"/>
  <c r="B334" i="48"/>
  <c r="B335" i="48"/>
  <c r="B336" i="48"/>
  <c r="B337" i="48"/>
  <c r="B338" i="48"/>
  <c r="B339" i="48"/>
  <c r="B340" i="48"/>
  <c r="B341" i="48"/>
  <c r="B342" i="48"/>
  <c r="B343" i="48"/>
  <c r="B344" i="48"/>
  <c r="B345" i="48"/>
  <c r="B346" i="48"/>
  <c r="B347" i="48"/>
  <c r="B348" i="48"/>
  <c r="B349" i="48"/>
  <c r="B350" i="48"/>
  <c r="B351" i="48"/>
  <c r="B352" i="48"/>
  <c r="B353" i="48"/>
  <c r="B354" i="48"/>
  <c r="B355" i="48"/>
  <c r="B356" i="48"/>
  <c r="B357" i="48"/>
  <c r="B358" i="48"/>
  <c r="B359" i="48"/>
  <c r="B360" i="48"/>
  <c r="B361" i="48"/>
  <c r="B362" i="48"/>
  <c r="B363" i="48"/>
  <c r="B364" i="48"/>
  <c r="B365" i="48"/>
  <c r="B366" i="48"/>
  <c r="B367" i="48"/>
  <c r="B368" i="48"/>
  <c r="B369" i="48"/>
  <c r="B370" i="48"/>
  <c r="B371" i="48"/>
  <c r="B372" i="48"/>
  <c r="B373" i="48"/>
  <c r="B374" i="48"/>
  <c r="B375" i="48"/>
  <c r="B376" i="48"/>
  <c r="B377" i="48"/>
  <c r="B378" i="48"/>
  <c r="B379" i="48"/>
  <c r="B380" i="48"/>
  <c r="B381" i="48"/>
  <c r="B382" i="48"/>
  <c r="B383" i="48"/>
  <c r="B384" i="48"/>
  <c r="B385" i="48"/>
  <c r="B386" i="48"/>
  <c r="B387" i="48"/>
  <c r="B388" i="48"/>
  <c r="B389" i="48"/>
  <c r="B390" i="48"/>
  <c r="B391" i="48"/>
  <c r="B392" i="48"/>
  <c r="B393" i="48"/>
  <c r="B394" i="48"/>
  <c r="B395" i="48"/>
  <c r="B396" i="48"/>
  <c r="B397" i="48"/>
  <c r="B398" i="48"/>
  <c r="B399" i="48"/>
  <c r="B400" i="48"/>
  <c r="B401" i="48"/>
  <c r="B402" i="48"/>
  <c r="B403" i="48"/>
  <c r="B404" i="48"/>
  <c r="B405" i="48"/>
  <c r="B406" i="48"/>
  <c r="B407" i="48"/>
  <c r="B408" i="48"/>
  <c r="B409" i="48"/>
  <c r="B410" i="48"/>
  <c r="B411" i="48"/>
  <c r="B412" i="48"/>
  <c r="B413" i="48"/>
  <c r="B414" i="48"/>
  <c r="B415" i="48"/>
  <c r="B416" i="48"/>
  <c r="B417" i="48"/>
  <c r="B418" i="48"/>
  <c r="B419" i="48"/>
  <c r="B420" i="48"/>
  <c r="B421" i="48"/>
  <c r="B422" i="48"/>
  <c r="B423" i="48"/>
  <c r="B424" i="48"/>
  <c r="B425" i="48"/>
  <c r="B426" i="48"/>
  <c r="B427" i="48"/>
  <c r="B428" i="48"/>
  <c r="B429" i="48"/>
  <c r="B430" i="48"/>
  <c r="B431" i="48"/>
  <c r="B432" i="48"/>
  <c r="B433" i="48"/>
  <c r="B434" i="48"/>
  <c r="B435" i="48"/>
  <c r="B436" i="48"/>
  <c r="B437" i="48"/>
  <c r="B438" i="48"/>
  <c r="B439" i="48"/>
  <c r="B440" i="48"/>
  <c r="B441" i="48"/>
  <c r="B442" i="48"/>
  <c r="B443" i="48"/>
  <c r="B444" i="48"/>
  <c r="B445" i="48"/>
  <c r="B446" i="48"/>
  <c r="B447" i="48"/>
  <c r="B448" i="48"/>
  <c r="B449" i="48"/>
  <c r="B450" i="48"/>
  <c r="B451" i="48"/>
  <c r="B452" i="48"/>
  <c r="B453" i="48"/>
  <c r="B454" i="48"/>
  <c r="B455" i="48"/>
  <c r="B456" i="48"/>
  <c r="B457" i="48"/>
  <c r="B458" i="48"/>
  <c r="B459" i="48"/>
  <c r="B460" i="48"/>
  <c r="B461" i="48"/>
  <c r="B462" i="48"/>
  <c r="B463" i="48"/>
  <c r="B464" i="48"/>
  <c r="B465" i="48"/>
  <c r="B466" i="48"/>
  <c r="B467" i="48"/>
  <c r="B468" i="48"/>
  <c r="B469" i="48"/>
  <c r="B470" i="48"/>
  <c r="B471" i="48"/>
  <c r="B472" i="48"/>
  <c r="B473" i="48"/>
  <c r="B474" i="48"/>
  <c r="B475" i="48"/>
  <c r="B476" i="48"/>
  <c r="B477" i="48"/>
  <c r="B478" i="48"/>
  <c r="B479" i="48"/>
  <c r="B480" i="48"/>
  <c r="B481" i="48"/>
  <c r="B482" i="48"/>
  <c r="B483" i="48"/>
  <c r="B484" i="48"/>
  <c r="B485" i="48"/>
  <c r="B486" i="48"/>
  <c r="B487" i="48"/>
  <c r="B488" i="48"/>
  <c r="B489" i="48"/>
  <c r="B490" i="48"/>
  <c r="B491" i="48"/>
  <c r="B492" i="48"/>
  <c r="B493" i="48"/>
  <c r="B494" i="48"/>
  <c r="B495" i="48"/>
  <c r="B496" i="48"/>
  <c r="B497" i="48"/>
  <c r="B498" i="48"/>
  <c r="B499" i="48"/>
  <c r="B500" i="48"/>
  <c r="B501" i="48"/>
  <c r="B502" i="48"/>
  <c r="B503" i="48"/>
  <c r="B504" i="48"/>
  <c r="B505" i="48"/>
  <c r="B506" i="48"/>
  <c r="B507" i="48"/>
  <c r="B508" i="48"/>
  <c r="B509" i="48"/>
  <c r="B510" i="48"/>
  <c r="B511" i="48"/>
  <c r="B512" i="48"/>
  <c r="B513" i="48"/>
  <c r="B514" i="48"/>
  <c r="B515" i="48"/>
  <c r="B516" i="48"/>
  <c r="B517" i="48"/>
  <c r="B518" i="48"/>
  <c r="B519" i="48"/>
  <c r="B520" i="48"/>
  <c r="B521" i="48"/>
  <c r="B522" i="48"/>
  <c r="B523" i="48"/>
  <c r="B524" i="48"/>
  <c r="B525" i="48"/>
  <c r="B526" i="48"/>
  <c r="B527" i="48"/>
  <c r="B528" i="48"/>
  <c r="B529" i="48"/>
  <c r="B530" i="48"/>
  <c r="B531" i="48"/>
  <c r="B532" i="48"/>
  <c r="B533" i="48"/>
  <c r="B534" i="48"/>
  <c r="B535" i="48"/>
  <c r="B536" i="48"/>
  <c r="B537" i="48"/>
  <c r="B538" i="48"/>
  <c r="B539" i="48"/>
  <c r="B540" i="48"/>
  <c r="B541" i="48"/>
  <c r="B542" i="48"/>
  <c r="B543" i="48"/>
  <c r="B544" i="48"/>
  <c r="B545" i="48"/>
  <c r="B546" i="48"/>
  <c r="B547" i="48"/>
  <c r="B548" i="48"/>
  <c r="B549" i="48"/>
  <c r="B550" i="48"/>
  <c r="B551" i="48"/>
  <c r="B552" i="48"/>
  <c r="B553" i="48"/>
  <c r="B554" i="48"/>
  <c r="B555" i="48"/>
  <c r="B556" i="48"/>
  <c r="B557" i="48"/>
  <c r="B558" i="48"/>
  <c r="B559" i="48"/>
  <c r="B560" i="48"/>
  <c r="B561" i="48"/>
  <c r="B562" i="48"/>
  <c r="B563" i="48"/>
  <c r="B564" i="48"/>
  <c r="B565" i="48"/>
  <c r="B566" i="48"/>
  <c r="B567" i="48"/>
  <c r="B568" i="48"/>
  <c r="B569" i="48"/>
  <c r="B570" i="48"/>
  <c r="B571" i="48"/>
  <c r="B572" i="48"/>
  <c r="B573" i="48"/>
  <c r="B574" i="48"/>
  <c r="B575" i="48"/>
  <c r="B576" i="48"/>
  <c r="B577" i="48"/>
  <c r="B578" i="48"/>
  <c r="B579" i="48"/>
  <c r="B580" i="48"/>
  <c r="B581" i="48"/>
  <c r="B582" i="48"/>
  <c r="B583" i="48"/>
  <c r="B584" i="48"/>
  <c r="B585" i="48"/>
  <c r="B586" i="48"/>
  <c r="B587" i="48"/>
  <c r="B588" i="48"/>
  <c r="B589" i="48"/>
  <c r="B590" i="48"/>
  <c r="B591" i="48"/>
  <c r="B592" i="48"/>
  <c r="B593" i="48"/>
  <c r="B594" i="48"/>
  <c r="B595" i="48"/>
  <c r="B596" i="48"/>
  <c r="B597" i="48"/>
  <c r="B598" i="48"/>
  <c r="B599" i="48"/>
  <c r="B600" i="48"/>
  <c r="B601" i="48"/>
  <c r="B602" i="48"/>
  <c r="B603" i="48"/>
  <c r="B604" i="48"/>
  <c r="B605" i="48"/>
  <c r="B606" i="48"/>
  <c r="B607" i="48"/>
  <c r="B608" i="48"/>
  <c r="B609" i="48"/>
  <c r="B610" i="48"/>
  <c r="B611" i="48"/>
  <c r="B612" i="48"/>
  <c r="B613" i="48"/>
  <c r="B614" i="48"/>
  <c r="B615" i="48"/>
  <c r="B616" i="48"/>
  <c r="B617" i="48"/>
  <c r="B618" i="48"/>
  <c r="B619" i="48"/>
  <c r="B620" i="48"/>
  <c r="B621" i="48"/>
  <c r="B622" i="48"/>
  <c r="B623" i="48"/>
  <c r="B624" i="48"/>
  <c r="B625" i="48"/>
  <c r="B626" i="48"/>
  <c r="B627" i="48"/>
  <c r="B628" i="48"/>
  <c r="B629" i="48"/>
  <c r="B630" i="48"/>
  <c r="B631" i="48"/>
  <c r="B632" i="48"/>
  <c r="B633" i="48"/>
  <c r="B634" i="48"/>
  <c r="B635" i="48"/>
  <c r="B636" i="48"/>
  <c r="B637" i="48"/>
  <c r="B638" i="48"/>
  <c r="B639" i="48"/>
  <c r="B640" i="48"/>
  <c r="B641" i="48"/>
  <c r="B642" i="48"/>
  <c r="B643" i="48"/>
  <c r="B644" i="48"/>
  <c r="B645" i="48"/>
  <c r="B646" i="48"/>
  <c r="B647" i="48"/>
  <c r="B648" i="48"/>
  <c r="B649" i="48"/>
  <c r="B650" i="48"/>
  <c r="B651" i="48"/>
  <c r="B652" i="48"/>
  <c r="B653" i="48"/>
  <c r="B654" i="48"/>
  <c r="B655" i="48"/>
  <c r="B656" i="48"/>
  <c r="B657" i="48"/>
  <c r="B658" i="48"/>
  <c r="B659" i="48"/>
  <c r="B660" i="48"/>
  <c r="B661" i="48"/>
  <c r="B662" i="48"/>
  <c r="B663" i="48"/>
  <c r="B664" i="48"/>
  <c r="B665" i="48"/>
  <c r="B666" i="48"/>
  <c r="B667" i="48"/>
  <c r="B668" i="48"/>
  <c r="B669" i="48"/>
  <c r="B670" i="48"/>
  <c r="B671" i="48"/>
  <c r="B672" i="48"/>
  <c r="B673" i="48"/>
  <c r="B674" i="48"/>
  <c r="B675" i="48"/>
  <c r="B676" i="48"/>
  <c r="B677" i="48"/>
  <c r="B678" i="48"/>
  <c r="B679" i="48"/>
  <c r="B680" i="48"/>
  <c r="B681" i="48"/>
  <c r="B682" i="48"/>
  <c r="B683" i="48"/>
  <c r="B684" i="48"/>
  <c r="B685" i="48"/>
  <c r="B686" i="48"/>
  <c r="B687" i="48"/>
  <c r="B688" i="48"/>
  <c r="B689" i="48"/>
  <c r="B690" i="48"/>
  <c r="B691" i="48"/>
  <c r="B692" i="48"/>
  <c r="B693" i="48"/>
  <c r="B694" i="48"/>
  <c r="B695" i="48"/>
  <c r="B696" i="48"/>
  <c r="B697" i="48"/>
  <c r="B698" i="48"/>
  <c r="B699" i="48"/>
  <c r="B700" i="48"/>
  <c r="B701" i="48"/>
  <c r="B702" i="48"/>
  <c r="B703" i="48"/>
  <c r="B704" i="48"/>
  <c r="B705" i="48"/>
  <c r="B706" i="48"/>
  <c r="B707" i="48"/>
  <c r="B708" i="48"/>
  <c r="B709" i="48"/>
  <c r="B710" i="48"/>
  <c r="B711" i="48"/>
  <c r="B712" i="48"/>
  <c r="B713" i="48"/>
  <c r="B714" i="48"/>
  <c r="B715" i="48"/>
  <c r="B716" i="48"/>
  <c r="B717" i="48"/>
  <c r="B718" i="48"/>
  <c r="B719" i="48"/>
  <c r="B720" i="48"/>
  <c r="B721" i="48"/>
  <c r="B722" i="48"/>
  <c r="B723" i="48"/>
  <c r="B724" i="48"/>
  <c r="B725" i="48"/>
  <c r="B726" i="48"/>
  <c r="B727" i="48"/>
  <c r="B728" i="48"/>
  <c r="B729" i="48"/>
  <c r="B730" i="48"/>
  <c r="B731" i="48"/>
  <c r="B732" i="48"/>
  <c r="B733" i="48"/>
  <c r="B734" i="48"/>
  <c r="B735" i="48"/>
  <c r="B736" i="48"/>
  <c r="B737" i="48"/>
  <c r="B738" i="48"/>
  <c r="B739" i="48"/>
  <c r="B740" i="48"/>
  <c r="B741" i="48"/>
  <c r="B742" i="48"/>
  <c r="B743" i="48"/>
  <c r="B744" i="48"/>
  <c r="B745" i="48"/>
  <c r="B746" i="48"/>
  <c r="B747" i="48"/>
  <c r="B748" i="48"/>
  <c r="B749" i="48"/>
  <c r="B750" i="48"/>
  <c r="B751" i="48"/>
  <c r="B752" i="48"/>
  <c r="B753" i="48"/>
  <c r="B754" i="48"/>
  <c r="B755" i="48"/>
  <c r="B756" i="48"/>
  <c r="B757" i="48"/>
  <c r="B758" i="48"/>
  <c r="B759" i="48"/>
  <c r="B760" i="48"/>
  <c r="B761" i="48"/>
  <c r="B762" i="48"/>
  <c r="B763" i="48"/>
  <c r="B764" i="48"/>
  <c r="B765" i="48"/>
  <c r="B766" i="48"/>
  <c r="B767" i="48"/>
  <c r="B768" i="48"/>
  <c r="B769" i="48"/>
  <c r="B770" i="48"/>
  <c r="B771" i="48"/>
  <c r="B772" i="48"/>
  <c r="B773" i="48"/>
  <c r="B774" i="48"/>
  <c r="B775" i="48"/>
  <c r="B776" i="48"/>
  <c r="B777" i="48"/>
  <c r="B778" i="48"/>
  <c r="B779" i="48"/>
  <c r="B780" i="48"/>
  <c r="B781" i="48"/>
  <c r="B782" i="48"/>
  <c r="B783" i="48"/>
  <c r="B784" i="48"/>
  <c r="B785" i="48"/>
  <c r="B786" i="48"/>
  <c r="B787" i="48"/>
  <c r="B788" i="48"/>
  <c r="B789" i="48"/>
  <c r="B790" i="48"/>
  <c r="B791" i="48"/>
  <c r="B792" i="48"/>
  <c r="B793" i="48"/>
  <c r="B794" i="48"/>
  <c r="B795" i="48"/>
  <c r="B796" i="48"/>
  <c r="B797" i="48"/>
  <c r="B798" i="48"/>
  <c r="B799" i="48"/>
  <c r="B800" i="48"/>
  <c r="B801" i="48"/>
  <c r="B802" i="48"/>
  <c r="B803" i="48"/>
  <c r="B804" i="48"/>
  <c r="B805" i="48"/>
  <c r="B806" i="48"/>
  <c r="B807" i="48"/>
  <c r="B808" i="48"/>
  <c r="B809" i="48"/>
  <c r="B810" i="48"/>
  <c r="B811" i="48"/>
  <c r="B812" i="48"/>
  <c r="B813" i="48"/>
  <c r="B814" i="48"/>
  <c r="B815" i="48"/>
  <c r="B816" i="48"/>
  <c r="B817" i="48"/>
  <c r="B818" i="48"/>
  <c r="B819" i="48"/>
  <c r="B820" i="48"/>
  <c r="B821" i="48"/>
  <c r="B822" i="48"/>
  <c r="B823" i="48"/>
  <c r="B824" i="48"/>
  <c r="B825" i="48"/>
  <c r="B826" i="48"/>
  <c r="B827" i="48"/>
  <c r="B828" i="48"/>
  <c r="B829" i="48"/>
  <c r="B830" i="48"/>
  <c r="B831" i="48"/>
  <c r="B832" i="48"/>
  <c r="B833" i="48"/>
  <c r="B834" i="48"/>
  <c r="B835" i="48"/>
  <c r="B836" i="48"/>
  <c r="B837" i="48"/>
  <c r="B838" i="48"/>
  <c r="B839" i="48"/>
  <c r="B840" i="48"/>
  <c r="B841" i="48"/>
  <c r="B842" i="48"/>
  <c r="B843" i="48"/>
  <c r="B844" i="48"/>
  <c r="B845" i="48"/>
  <c r="B846" i="48"/>
  <c r="B847" i="48"/>
  <c r="B848" i="48"/>
  <c r="B849" i="48"/>
  <c r="B850" i="48"/>
  <c r="B851" i="48"/>
  <c r="B852" i="48"/>
  <c r="B853" i="48"/>
  <c r="B854" i="48"/>
  <c r="B855" i="48"/>
  <c r="B856" i="48"/>
  <c r="B857" i="48"/>
  <c r="B858" i="48"/>
  <c r="B859" i="48"/>
  <c r="B860" i="48"/>
  <c r="B861" i="48"/>
  <c r="B862" i="48"/>
  <c r="B863" i="48"/>
  <c r="B864" i="48"/>
  <c r="B865" i="48"/>
  <c r="B866" i="48"/>
  <c r="B867" i="48"/>
  <c r="B868" i="48"/>
  <c r="B869" i="48"/>
  <c r="B870" i="48"/>
  <c r="B871" i="48"/>
  <c r="B872" i="48"/>
  <c r="B873" i="48"/>
  <c r="B874" i="48"/>
  <c r="B875" i="48"/>
  <c r="B876" i="48"/>
  <c r="B877" i="48"/>
  <c r="B878" i="48"/>
  <c r="B879" i="48"/>
  <c r="B880" i="48"/>
  <c r="B881" i="48"/>
  <c r="B882" i="48"/>
  <c r="B883" i="48"/>
  <c r="B884" i="48"/>
  <c r="B885" i="48"/>
  <c r="B886" i="48"/>
  <c r="B887" i="48"/>
  <c r="B888" i="48"/>
  <c r="B889" i="48"/>
  <c r="B890" i="48"/>
  <c r="B891" i="48"/>
  <c r="B892" i="48"/>
  <c r="B893" i="48"/>
  <c r="B894" i="48"/>
  <c r="B895" i="48"/>
  <c r="B896" i="48"/>
  <c r="B897" i="48"/>
  <c r="B898" i="48"/>
  <c r="B899" i="48"/>
  <c r="B900" i="48"/>
  <c r="B901" i="48"/>
  <c r="B902" i="48"/>
  <c r="B903" i="48"/>
  <c r="B904" i="48"/>
  <c r="B905" i="48"/>
  <c r="B906" i="48"/>
  <c r="B907" i="48"/>
  <c r="B908" i="48"/>
  <c r="B909" i="48"/>
  <c r="B910" i="48"/>
  <c r="B911" i="48"/>
  <c r="B912" i="48"/>
  <c r="B913" i="48"/>
  <c r="B914" i="48"/>
  <c r="B915" i="48"/>
  <c r="B916" i="48"/>
  <c r="B917" i="48"/>
  <c r="B918" i="48"/>
  <c r="B919" i="48"/>
  <c r="B920" i="48"/>
  <c r="B921" i="48"/>
  <c r="B922" i="48"/>
  <c r="B923" i="48"/>
  <c r="B924" i="48"/>
  <c r="B925" i="48"/>
  <c r="B926" i="48"/>
  <c r="B927" i="48"/>
  <c r="B928" i="48"/>
  <c r="B929" i="48"/>
  <c r="B930" i="48"/>
  <c r="B931" i="48"/>
  <c r="B932" i="48"/>
  <c r="B933" i="48"/>
  <c r="B934" i="48"/>
  <c r="B935" i="48"/>
  <c r="B936" i="48"/>
  <c r="B937" i="48"/>
  <c r="B938" i="48"/>
  <c r="B939" i="48"/>
  <c r="B940" i="48"/>
  <c r="B941" i="48"/>
  <c r="B942" i="48"/>
  <c r="B943" i="48"/>
  <c r="B944" i="48"/>
  <c r="B945" i="48"/>
  <c r="B946" i="48"/>
  <c r="B947" i="48"/>
  <c r="B948" i="48"/>
  <c r="B949" i="48"/>
  <c r="B950" i="48"/>
  <c r="B951" i="48"/>
  <c r="B952" i="48"/>
  <c r="B953" i="48"/>
  <c r="B954" i="48"/>
  <c r="B955" i="48"/>
  <c r="B956" i="48"/>
  <c r="B957" i="48"/>
  <c r="B958" i="48"/>
  <c r="B959" i="48"/>
  <c r="B960" i="48"/>
  <c r="B961" i="48"/>
  <c r="B962" i="48"/>
  <c r="B963" i="48"/>
  <c r="B964" i="48"/>
  <c r="B965" i="48"/>
  <c r="B966" i="48"/>
  <c r="B967" i="48"/>
  <c r="B968" i="48"/>
  <c r="B969" i="48"/>
  <c r="B970" i="48"/>
  <c r="B971" i="48"/>
  <c r="B972" i="48"/>
  <c r="B973" i="48"/>
  <c r="B974" i="48"/>
  <c r="B975" i="48"/>
  <c r="B976" i="48"/>
  <c r="B977" i="48"/>
  <c r="B978" i="48"/>
  <c r="B979" i="48"/>
  <c r="B980" i="48"/>
  <c r="B981" i="48"/>
  <c r="B982" i="48"/>
  <c r="B983" i="48"/>
  <c r="B984" i="48"/>
  <c r="B985" i="48"/>
  <c r="B986" i="48"/>
  <c r="B987" i="48"/>
  <c r="B988" i="48"/>
  <c r="B989" i="48"/>
  <c r="B990" i="48"/>
  <c r="B991" i="48"/>
  <c r="B992" i="48"/>
  <c r="B993" i="48"/>
  <c r="B994" i="48"/>
  <c r="B995" i="48"/>
  <c r="B996" i="48"/>
  <c r="B997" i="48"/>
  <c r="B998" i="48"/>
  <c r="B999" i="48"/>
  <c r="B1000" i="48"/>
  <c r="B1001" i="48"/>
  <c r="B1002" i="48"/>
  <c r="B1003" i="48"/>
  <c r="B1004" i="48"/>
  <c r="B1005" i="48"/>
  <c r="B1006" i="48"/>
  <c r="B1007" i="48"/>
  <c r="B1008" i="48"/>
  <c r="B1009" i="48"/>
  <c r="B1010" i="48"/>
  <c r="B1011" i="48"/>
  <c r="B1012" i="48"/>
  <c r="B1013" i="48"/>
  <c r="B1014" i="48"/>
  <c r="B1015" i="48"/>
  <c r="B16" i="48"/>
  <c r="B9" i="48"/>
  <c r="F134" i="49"/>
  <c r="F133" i="49"/>
  <c r="F132" i="49"/>
  <c r="F131" i="49"/>
  <c r="F130" i="49"/>
  <c r="F129" i="49"/>
  <c r="F128" i="49"/>
  <c r="F127" i="49"/>
  <c r="F126" i="49"/>
  <c r="F125" i="49"/>
  <c r="F124" i="49"/>
  <c r="F123" i="49"/>
  <c r="F122" i="49"/>
  <c r="F121" i="49"/>
  <c r="F120" i="49"/>
  <c r="F119" i="49"/>
  <c r="F118" i="49"/>
  <c r="F117" i="49"/>
  <c r="F116" i="49"/>
  <c r="F115" i="49"/>
  <c r="F114" i="49"/>
  <c r="F113" i="49"/>
  <c r="F112" i="49"/>
  <c r="F111" i="49"/>
  <c r="F110" i="49"/>
  <c r="F109" i="49"/>
  <c r="F108" i="49"/>
  <c r="F107" i="49"/>
  <c r="F106" i="49"/>
  <c r="F105" i="49"/>
  <c r="F104" i="49"/>
  <c r="F103" i="49"/>
  <c r="F102" i="49"/>
  <c r="F101" i="49"/>
  <c r="F100" i="49"/>
  <c r="F99" i="49"/>
  <c r="F98" i="49"/>
  <c r="F97" i="49"/>
  <c r="F96" i="49"/>
  <c r="F95" i="49"/>
  <c r="F94" i="49"/>
  <c r="F93" i="49"/>
  <c r="F92" i="49"/>
  <c r="F91" i="49"/>
  <c r="F90" i="49"/>
  <c r="F89" i="49"/>
  <c r="F88" i="49"/>
  <c r="F87" i="49"/>
  <c r="F86" i="49"/>
  <c r="F85" i="49"/>
  <c r="F84" i="49"/>
  <c r="F83" i="49"/>
  <c r="F82" i="49"/>
  <c r="F81" i="49"/>
  <c r="F80" i="49"/>
  <c r="F79" i="49"/>
  <c r="F78" i="49"/>
  <c r="F77" i="49"/>
  <c r="F76" i="49"/>
  <c r="F75" i="49"/>
  <c r="F74" i="49"/>
  <c r="F73" i="49"/>
  <c r="F72" i="49"/>
  <c r="F71" i="49"/>
  <c r="F70" i="49"/>
  <c r="F69" i="49"/>
  <c r="F68" i="49"/>
  <c r="F67" i="49"/>
  <c r="F66" i="49"/>
  <c r="F65" i="49"/>
  <c r="F64" i="49"/>
  <c r="F63" i="49"/>
  <c r="F62" i="49"/>
  <c r="F61" i="49"/>
  <c r="F60" i="49"/>
  <c r="F59" i="49"/>
  <c r="F58" i="49"/>
  <c r="F57" i="49"/>
  <c r="F56" i="49"/>
  <c r="F55" i="49"/>
  <c r="F54" i="49"/>
  <c r="F53" i="49"/>
  <c r="F52" i="49"/>
  <c r="F51" i="49"/>
  <c r="F50" i="49"/>
  <c r="F49" i="49"/>
  <c r="F48" i="49"/>
  <c r="F47" i="49"/>
  <c r="F46" i="49"/>
  <c r="F45" i="49"/>
  <c r="F44" i="49"/>
  <c r="F43" i="49"/>
  <c r="F42" i="49"/>
  <c r="F41" i="49"/>
  <c r="F40" i="49"/>
  <c r="F39" i="49"/>
  <c r="F38" i="49"/>
  <c r="F37" i="49"/>
  <c r="F36" i="49"/>
  <c r="F35" i="49"/>
  <c r="F34" i="49"/>
  <c r="F33" i="49"/>
  <c r="F32" i="49"/>
  <c r="F31" i="49"/>
  <c r="F30" i="49"/>
  <c r="F29" i="49"/>
  <c r="F28" i="49"/>
  <c r="F27" i="49"/>
  <c r="F26" i="49"/>
  <c r="F25" i="49"/>
  <c r="F24" i="49"/>
  <c r="F23" i="49"/>
  <c r="F22" i="49"/>
  <c r="F21" i="49"/>
  <c r="F20" i="49"/>
  <c r="F19" i="49"/>
  <c r="F18" i="49"/>
  <c r="F17" i="49"/>
  <c r="F16" i="49"/>
  <c r="F15" i="49"/>
  <c r="F14" i="49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4" i="48"/>
  <c r="P45" i="48"/>
  <c r="P46" i="48"/>
  <c r="P47" i="48"/>
  <c r="P48" i="48"/>
  <c r="P49" i="48"/>
  <c r="P50" i="48"/>
  <c r="P51" i="48"/>
  <c r="P52" i="48"/>
  <c r="P53" i="48"/>
  <c r="P54" i="48"/>
  <c r="P55" i="48"/>
  <c r="P56" i="48"/>
  <c r="P57" i="48"/>
  <c r="P58" i="48"/>
  <c r="P59" i="48"/>
  <c r="P60" i="48"/>
  <c r="P61" i="48"/>
  <c r="P62" i="48"/>
  <c r="P63" i="48"/>
  <c r="P64" i="48"/>
  <c r="P65" i="48"/>
  <c r="P66" i="48"/>
  <c r="P67" i="48"/>
  <c r="P68" i="48"/>
  <c r="P69" i="48"/>
  <c r="P70" i="48"/>
  <c r="P71" i="48"/>
  <c r="P72" i="48"/>
  <c r="P73" i="48"/>
  <c r="P74" i="48"/>
  <c r="P75" i="48"/>
  <c r="P76" i="48"/>
  <c r="P77" i="48"/>
  <c r="P78" i="48"/>
  <c r="P79" i="48"/>
  <c r="P80" i="48"/>
  <c r="P81" i="48"/>
  <c r="P82" i="48"/>
  <c r="P83" i="48"/>
  <c r="P84" i="48"/>
  <c r="P85" i="48"/>
  <c r="P86" i="48"/>
  <c r="P87" i="48"/>
  <c r="P88" i="48"/>
  <c r="P89" i="48"/>
  <c r="P90" i="48"/>
  <c r="P91" i="48"/>
  <c r="P92" i="48"/>
  <c r="P93" i="48"/>
  <c r="P94" i="48"/>
  <c r="P95" i="48"/>
  <c r="P96" i="48"/>
  <c r="P97" i="48"/>
  <c r="P98" i="48"/>
  <c r="P99" i="48"/>
  <c r="P100" i="48"/>
  <c r="P101" i="48"/>
  <c r="P102" i="48"/>
  <c r="P103" i="48"/>
  <c r="P104" i="48"/>
  <c r="P105" i="48"/>
  <c r="P106" i="48"/>
  <c r="P107" i="48"/>
  <c r="P108" i="48"/>
  <c r="P109" i="48"/>
  <c r="P110" i="48"/>
  <c r="P111" i="48"/>
  <c r="P112" i="48"/>
  <c r="P113" i="48"/>
  <c r="P114" i="48"/>
  <c r="P115" i="48"/>
  <c r="P116" i="48"/>
  <c r="P117" i="48"/>
  <c r="P118" i="48"/>
  <c r="P119" i="48"/>
  <c r="P120" i="48"/>
  <c r="P121" i="48"/>
  <c r="P122" i="48"/>
  <c r="P123" i="48"/>
  <c r="P124" i="48"/>
  <c r="P125" i="48"/>
  <c r="P126" i="48"/>
  <c r="P127" i="48"/>
  <c r="P128" i="48"/>
  <c r="P129" i="48"/>
  <c r="P130" i="48"/>
  <c r="P131" i="48"/>
  <c r="P132" i="48"/>
  <c r="P133" i="48"/>
  <c r="P134" i="48"/>
  <c r="P135" i="48"/>
  <c r="P136" i="48"/>
  <c r="P137" i="48"/>
  <c r="P138" i="48"/>
  <c r="P139" i="48"/>
  <c r="P140" i="48"/>
  <c r="P141" i="48"/>
  <c r="P142" i="48"/>
  <c r="P143" i="48"/>
  <c r="P144" i="48"/>
  <c r="P145" i="48"/>
  <c r="P146" i="48"/>
  <c r="P147" i="48"/>
  <c r="P148" i="48"/>
  <c r="P149" i="48"/>
  <c r="P150" i="48"/>
  <c r="P151" i="48"/>
  <c r="P152" i="48"/>
  <c r="P153" i="48"/>
  <c r="P154" i="48"/>
  <c r="P155" i="48"/>
  <c r="P156" i="48"/>
  <c r="P157" i="48"/>
  <c r="P158" i="48"/>
  <c r="P159" i="48"/>
  <c r="P160" i="48"/>
  <c r="P161" i="48"/>
  <c r="P162" i="48"/>
  <c r="P163" i="48"/>
  <c r="P164" i="48"/>
  <c r="P165" i="48"/>
  <c r="P166" i="48"/>
  <c r="P167" i="48"/>
  <c r="P168" i="48"/>
  <c r="P169" i="48"/>
  <c r="P170" i="48"/>
  <c r="P171" i="48"/>
  <c r="P172" i="48"/>
  <c r="P173" i="48"/>
  <c r="P174" i="48"/>
  <c r="P175" i="48"/>
  <c r="P176" i="48"/>
  <c r="P177" i="48"/>
  <c r="P178" i="48"/>
  <c r="P179" i="48"/>
  <c r="P180" i="48"/>
  <c r="P181" i="48"/>
  <c r="P182" i="48"/>
  <c r="P183" i="48"/>
  <c r="P184" i="48"/>
  <c r="P185" i="48"/>
  <c r="P186" i="48"/>
  <c r="P187" i="48"/>
  <c r="P188" i="48"/>
  <c r="P189" i="48"/>
  <c r="P190" i="48"/>
  <c r="P191" i="48"/>
  <c r="P192" i="48"/>
  <c r="P193" i="48"/>
  <c r="P194" i="48"/>
  <c r="P195" i="48"/>
  <c r="P196" i="48"/>
  <c r="P197" i="48"/>
  <c r="P198" i="48"/>
  <c r="P199" i="48"/>
  <c r="P200" i="48"/>
  <c r="P201" i="48"/>
  <c r="P202" i="48"/>
  <c r="P203" i="48"/>
  <c r="P204" i="48"/>
  <c r="P205" i="48"/>
  <c r="P206" i="48"/>
  <c r="P207" i="48"/>
  <c r="P208" i="48"/>
  <c r="P209" i="48"/>
  <c r="P210" i="48"/>
  <c r="P211" i="48"/>
  <c r="P212" i="48"/>
  <c r="P213" i="48"/>
  <c r="P214" i="48"/>
  <c r="P215" i="48"/>
  <c r="P216" i="48"/>
  <c r="P217" i="48"/>
  <c r="P218" i="48"/>
  <c r="P219" i="48"/>
  <c r="P220" i="48"/>
  <c r="P221" i="48"/>
  <c r="P222" i="48"/>
  <c r="P223" i="48"/>
  <c r="P224" i="48"/>
  <c r="P225" i="48"/>
  <c r="P226" i="48"/>
  <c r="P227" i="48"/>
  <c r="P228" i="48"/>
  <c r="P229" i="48"/>
  <c r="P230" i="48"/>
  <c r="P231" i="48"/>
  <c r="P232" i="48"/>
  <c r="P233" i="48"/>
  <c r="P234" i="48"/>
  <c r="P235" i="48"/>
  <c r="P236" i="48"/>
  <c r="P237" i="48"/>
  <c r="P238" i="48"/>
  <c r="P239" i="48"/>
  <c r="P240" i="48"/>
  <c r="P241" i="48"/>
  <c r="P242" i="48"/>
  <c r="P243" i="48"/>
  <c r="P244" i="48"/>
  <c r="P245" i="48"/>
  <c r="P246" i="48"/>
  <c r="P247" i="48"/>
  <c r="P248" i="48"/>
  <c r="P249" i="48"/>
  <c r="P250" i="48"/>
  <c r="P251" i="48"/>
  <c r="P252" i="48"/>
  <c r="P253" i="48"/>
  <c r="P254" i="48"/>
  <c r="P255" i="48"/>
  <c r="P256" i="48"/>
  <c r="P257" i="48"/>
  <c r="P258" i="48"/>
  <c r="P259" i="48"/>
  <c r="P260" i="48"/>
  <c r="P261" i="48"/>
  <c r="P262" i="48"/>
  <c r="P263" i="48"/>
  <c r="P264" i="48"/>
  <c r="P265" i="48"/>
  <c r="P266" i="48"/>
  <c r="P267" i="48"/>
  <c r="P268" i="48"/>
  <c r="P269" i="48"/>
  <c r="P270" i="48"/>
  <c r="P271" i="48"/>
  <c r="P272" i="48"/>
  <c r="P273" i="48"/>
  <c r="P274" i="48"/>
  <c r="P275" i="48"/>
  <c r="P276" i="48"/>
  <c r="P277" i="48"/>
  <c r="P278" i="48"/>
  <c r="P279" i="48"/>
  <c r="P280" i="48"/>
  <c r="P281" i="48"/>
  <c r="P282" i="48"/>
  <c r="P283" i="48"/>
  <c r="P284" i="48"/>
  <c r="P285" i="48"/>
  <c r="P286" i="48"/>
  <c r="P287" i="48"/>
  <c r="P288" i="48"/>
  <c r="P289" i="48"/>
  <c r="P290" i="48"/>
  <c r="P291" i="48"/>
  <c r="P292" i="48"/>
  <c r="P293" i="48"/>
  <c r="P294" i="48"/>
  <c r="P295" i="48"/>
  <c r="P296" i="48"/>
  <c r="P297" i="48"/>
  <c r="P298" i="48"/>
  <c r="P299" i="48"/>
  <c r="P300" i="48"/>
  <c r="P301" i="48"/>
  <c r="P302" i="48"/>
  <c r="P303" i="48"/>
  <c r="P304" i="48"/>
  <c r="P305" i="48"/>
  <c r="P306" i="48"/>
  <c r="P307" i="48"/>
  <c r="P308" i="48"/>
  <c r="P309" i="48"/>
  <c r="P310" i="48"/>
  <c r="P311" i="48"/>
  <c r="P312" i="48"/>
  <c r="P313" i="48"/>
  <c r="P314" i="48"/>
  <c r="P315" i="48"/>
  <c r="P316" i="48"/>
  <c r="P317" i="48"/>
  <c r="P318" i="48"/>
  <c r="P319" i="48"/>
  <c r="P320" i="48"/>
  <c r="P321" i="48"/>
  <c r="P322" i="48"/>
  <c r="P323" i="48"/>
  <c r="P324" i="48"/>
  <c r="P325" i="48"/>
  <c r="P326" i="48"/>
  <c r="P327" i="48"/>
  <c r="P328" i="48"/>
  <c r="P329" i="48"/>
  <c r="P330" i="48"/>
  <c r="P331" i="48"/>
  <c r="P332" i="48"/>
  <c r="P333" i="48"/>
  <c r="P334" i="48"/>
  <c r="P335" i="48"/>
  <c r="P336" i="48"/>
  <c r="P337" i="48"/>
  <c r="P338" i="48"/>
  <c r="P339" i="48"/>
  <c r="P340" i="48"/>
  <c r="P341" i="48"/>
  <c r="P342" i="48"/>
  <c r="P343" i="48"/>
  <c r="P344" i="48"/>
  <c r="P345" i="48"/>
  <c r="P346" i="48"/>
  <c r="P347" i="48"/>
  <c r="P348" i="48"/>
  <c r="P349" i="48"/>
  <c r="P350" i="48"/>
  <c r="P351" i="48"/>
  <c r="P352" i="48"/>
  <c r="P353" i="48"/>
  <c r="P354" i="48"/>
  <c r="P355" i="48"/>
  <c r="P356" i="48"/>
  <c r="P357" i="48"/>
  <c r="P358" i="48"/>
  <c r="P359" i="48"/>
  <c r="P360" i="48"/>
  <c r="P361" i="48"/>
  <c r="P362" i="48"/>
  <c r="P363" i="48"/>
  <c r="P364" i="48"/>
  <c r="P365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395" i="48"/>
  <c r="P396" i="48"/>
  <c r="P397" i="48"/>
  <c r="P398" i="48"/>
  <c r="P399" i="48"/>
  <c r="P400" i="48"/>
  <c r="P401" i="48"/>
  <c r="P402" i="48"/>
  <c r="P403" i="48"/>
  <c r="P404" i="48"/>
  <c r="P405" i="48"/>
  <c r="P406" i="48"/>
  <c r="P407" i="48"/>
  <c r="P408" i="48"/>
  <c r="P409" i="48"/>
  <c r="P410" i="48"/>
  <c r="P411" i="48"/>
  <c r="P412" i="48"/>
  <c r="P413" i="48"/>
  <c r="P414" i="48"/>
  <c r="P415" i="48"/>
  <c r="P416" i="48"/>
  <c r="P417" i="48"/>
  <c r="P418" i="48"/>
  <c r="P419" i="48"/>
  <c r="P420" i="48"/>
  <c r="P421" i="48"/>
  <c r="P422" i="48"/>
  <c r="P423" i="48"/>
  <c r="P424" i="48"/>
  <c r="P425" i="48"/>
  <c r="P426" i="48"/>
  <c r="P427" i="48"/>
  <c r="P428" i="48"/>
  <c r="P429" i="48"/>
  <c r="P430" i="48"/>
  <c r="P431" i="48"/>
  <c r="P432" i="48"/>
  <c r="P433" i="48"/>
  <c r="P434" i="48"/>
  <c r="P435" i="48"/>
  <c r="P436" i="48"/>
  <c r="P437" i="48"/>
  <c r="P438" i="48"/>
  <c r="P439" i="48"/>
  <c r="P440" i="48"/>
  <c r="P441" i="48"/>
  <c r="P442" i="48"/>
  <c r="P443" i="48"/>
  <c r="P444" i="48"/>
  <c r="P445" i="48"/>
  <c r="P446" i="48"/>
  <c r="P447" i="48"/>
  <c r="P448" i="48"/>
  <c r="P449" i="48"/>
  <c r="P450" i="48"/>
  <c r="P451" i="48"/>
  <c r="P452" i="48"/>
  <c r="P453" i="48"/>
  <c r="P454" i="48"/>
  <c r="P455" i="48"/>
  <c r="P456" i="48"/>
  <c r="P457" i="48"/>
  <c r="P458" i="48"/>
  <c r="P459" i="48"/>
  <c r="P460" i="48"/>
  <c r="P461" i="48"/>
  <c r="P462" i="48"/>
  <c r="P463" i="48"/>
  <c r="P464" i="48"/>
  <c r="P465" i="48"/>
  <c r="P466" i="48"/>
  <c r="P467" i="48"/>
  <c r="P468" i="48"/>
  <c r="P469" i="48"/>
  <c r="P470" i="48"/>
  <c r="P471" i="48"/>
  <c r="P472" i="48"/>
  <c r="P473" i="48"/>
  <c r="P474" i="48"/>
  <c r="P475" i="48"/>
  <c r="P476" i="48"/>
  <c r="P477" i="48"/>
  <c r="P478" i="48"/>
  <c r="P479" i="48"/>
  <c r="P480" i="48"/>
  <c r="P481" i="48"/>
  <c r="P482" i="48"/>
  <c r="P483" i="48"/>
  <c r="P484" i="48"/>
  <c r="P485" i="48"/>
  <c r="P486" i="48"/>
  <c r="P487" i="48"/>
  <c r="P488" i="48"/>
  <c r="P489" i="48"/>
  <c r="P490" i="48"/>
  <c r="P491" i="48"/>
  <c r="P492" i="48"/>
  <c r="P493" i="48"/>
  <c r="P494" i="48"/>
  <c r="P495" i="48"/>
  <c r="P496" i="48"/>
  <c r="P497" i="48"/>
  <c r="P498" i="48"/>
  <c r="P499" i="48"/>
  <c r="P500" i="48"/>
  <c r="P501" i="48"/>
  <c r="P502" i="48"/>
  <c r="P503" i="48"/>
  <c r="P504" i="48"/>
  <c r="P505" i="48"/>
  <c r="P506" i="48"/>
  <c r="P507" i="48"/>
  <c r="P508" i="48"/>
  <c r="P509" i="48"/>
  <c r="P510" i="48"/>
  <c r="P511" i="48"/>
  <c r="P512" i="48"/>
  <c r="P513" i="48"/>
  <c r="P514" i="48"/>
  <c r="P515" i="48"/>
  <c r="P516" i="48"/>
  <c r="P517" i="48"/>
  <c r="P518" i="48"/>
  <c r="P519" i="48"/>
  <c r="P520" i="48"/>
  <c r="P521" i="48"/>
  <c r="P522" i="48"/>
  <c r="P523" i="48"/>
  <c r="P524" i="48"/>
  <c r="P525" i="48"/>
  <c r="P526" i="48"/>
  <c r="P527" i="48"/>
  <c r="P528" i="48"/>
  <c r="P529" i="48"/>
  <c r="P530" i="48"/>
  <c r="P531" i="48"/>
  <c r="P532" i="48"/>
  <c r="P533" i="48"/>
  <c r="P534" i="48"/>
  <c r="P535" i="48"/>
  <c r="P536" i="48"/>
  <c r="P537" i="48"/>
  <c r="P538" i="48"/>
  <c r="P539" i="48"/>
  <c r="P540" i="48"/>
  <c r="P541" i="48"/>
  <c r="P542" i="48"/>
  <c r="P543" i="48"/>
  <c r="P544" i="48"/>
  <c r="P545" i="48"/>
  <c r="P546" i="48"/>
  <c r="P547" i="48"/>
  <c r="P548" i="48"/>
  <c r="P549" i="48"/>
  <c r="P550" i="48"/>
  <c r="P551" i="48"/>
  <c r="P552" i="48"/>
  <c r="P553" i="48"/>
  <c r="P554" i="48"/>
  <c r="P555" i="48"/>
  <c r="P556" i="48"/>
  <c r="P557" i="48"/>
  <c r="P558" i="48"/>
  <c r="P559" i="48"/>
  <c r="P560" i="48"/>
  <c r="P561" i="48"/>
  <c r="P562" i="48"/>
  <c r="P563" i="48"/>
  <c r="P564" i="48"/>
  <c r="P565" i="48"/>
  <c r="P566" i="48"/>
  <c r="P567" i="48"/>
  <c r="P568" i="48"/>
  <c r="P569" i="48"/>
  <c r="P570" i="48"/>
  <c r="P571" i="48"/>
  <c r="P572" i="48"/>
  <c r="P573" i="48"/>
  <c r="P574" i="48"/>
  <c r="P575" i="48"/>
  <c r="P576" i="48"/>
  <c r="P577" i="48"/>
  <c r="P578" i="48"/>
  <c r="P579" i="48"/>
  <c r="P580" i="48"/>
  <c r="P581" i="48"/>
  <c r="P582" i="48"/>
  <c r="P583" i="48"/>
  <c r="P584" i="48"/>
  <c r="P585" i="48"/>
  <c r="P586" i="48"/>
  <c r="P587" i="48"/>
  <c r="P588" i="48"/>
  <c r="P589" i="48"/>
  <c r="P590" i="48"/>
  <c r="P591" i="48"/>
  <c r="P592" i="48"/>
  <c r="P593" i="48"/>
  <c r="P594" i="48"/>
  <c r="P595" i="48"/>
  <c r="P596" i="48"/>
  <c r="P597" i="48"/>
  <c r="P598" i="48"/>
  <c r="P599" i="48"/>
  <c r="P600" i="48"/>
  <c r="P601" i="48"/>
  <c r="P602" i="48"/>
  <c r="P603" i="48"/>
  <c r="P604" i="48"/>
  <c r="P605" i="48"/>
  <c r="P606" i="48"/>
  <c r="P607" i="48"/>
  <c r="P608" i="48"/>
  <c r="P609" i="48"/>
  <c r="P610" i="48"/>
  <c r="P611" i="48"/>
  <c r="P612" i="48"/>
  <c r="P613" i="48"/>
  <c r="P614" i="48"/>
  <c r="P615" i="48"/>
  <c r="P616" i="48"/>
  <c r="P617" i="48"/>
  <c r="P618" i="48"/>
  <c r="P619" i="48"/>
  <c r="P620" i="48"/>
  <c r="P621" i="48"/>
  <c r="P622" i="48"/>
  <c r="P623" i="48"/>
  <c r="P624" i="48"/>
  <c r="P625" i="48"/>
  <c r="P626" i="48"/>
  <c r="P627" i="48"/>
  <c r="P628" i="48"/>
  <c r="P629" i="48"/>
  <c r="P630" i="48"/>
  <c r="P631" i="48"/>
  <c r="P632" i="48"/>
  <c r="P633" i="48"/>
  <c r="P634" i="48"/>
  <c r="P635" i="48"/>
  <c r="P636" i="48"/>
  <c r="P637" i="48"/>
  <c r="P638" i="48"/>
  <c r="P639" i="48"/>
  <c r="P640" i="48"/>
  <c r="P641" i="48"/>
  <c r="P642" i="48"/>
  <c r="P643" i="48"/>
  <c r="P644" i="48"/>
  <c r="P645" i="48"/>
  <c r="P646" i="48"/>
  <c r="P647" i="48"/>
  <c r="P648" i="48"/>
  <c r="P649" i="48"/>
  <c r="P650" i="48"/>
  <c r="P651" i="48"/>
  <c r="P652" i="48"/>
  <c r="P653" i="48"/>
  <c r="P654" i="48"/>
  <c r="P655" i="48"/>
  <c r="P656" i="48"/>
  <c r="P657" i="48"/>
  <c r="P658" i="48"/>
  <c r="P659" i="48"/>
  <c r="P660" i="48"/>
  <c r="P661" i="48"/>
  <c r="P662" i="48"/>
  <c r="P663" i="48"/>
  <c r="P664" i="48"/>
  <c r="P665" i="48"/>
  <c r="P666" i="48"/>
  <c r="P667" i="48"/>
  <c r="P668" i="48"/>
  <c r="P669" i="48"/>
  <c r="P670" i="48"/>
  <c r="P671" i="48"/>
  <c r="P672" i="48"/>
  <c r="P673" i="48"/>
  <c r="P674" i="48"/>
  <c r="P675" i="48"/>
  <c r="P676" i="48"/>
  <c r="P677" i="48"/>
  <c r="P678" i="48"/>
  <c r="P679" i="48"/>
  <c r="P680" i="48"/>
  <c r="P681" i="48"/>
  <c r="P682" i="48"/>
  <c r="P683" i="48"/>
  <c r="P684" i="48"/>
  <c r="P685" i="48"/>
  <c r="P686" i="48"/>
  <c r="P687" i="48"/>
  <c r="P688" i="48"/>
  <c r="P689" i="48"/>
  <c r="P690" i="48"/>
  <c r="P691" i="48"/>
  <c r="P692" i="48"/>
  <c r="P693" i="48"/>
  <c r="P694" i="48"/>
  <c r="P695" i="48"/>
  <c r="P696" i="48"/>
  <c r="P697" i="48"/>
  <c r="P698" i="48"/>
  <c r="P699" i="48"/>
  <c r="P700" i="48"/>
  <c r="P701" i="48"/>
  <c r="P702" i="48"/>
  <c r="P703" i="48"/>
  <c r="P704" i="48"/>
  <c r="P705" i="48"/>
  <c r="P706" i="48"/>
  <c r="P707" i="48"/>
  <c r="P708" i="48"/>
  <c r="P709" i="48"/>
  <c r="P710" i="48"/>
  <c r="P711" i="48"/>
  <c r="P712" i="48"/>
  <c r="P713" i="48"/>
  <c r="P714" i="48"/>
  <c r="P715" i="48"/>
  <c r="P716" i="48"/>
  <c r="P717" i="48"/>
  <c r="P718" i="48"/>
  <c r="P719" i="48"/>
  <c r="P720" i="48"/>
  <c r="P721" i="48"/>
  <c r="P722" i="48"/>
  <c r="P723" i="48"/>
  <c r="P724" i="48"/>
  <c r="P725" i="48"/>
  <c r="P726" i="48"/>
  <c r="P727" i="48"/>
  <c r="P728" i="48"/>
  <c r="P729" i="48"/>
  <c r="P730" i="48"/>
  <c r="P731" i="48"/>
  <c r="P732" i="48"/>
  <c r="P733" i="48"/>
  <c r="P734" i="48"/>
  <c r="P735" i="48"/>
  <c r="P736" i="48"/>
  <c r="P737" i="48"/>
  <c r="P738" i="48"/>
  <c r="P739" i="48"/>
  <c r="P740" i="48"/>
  <c r="P741" i="48"/>
  <c r="P742" i="48"/>
  <c r="P743" i="48"/>
  <c r="P744" i="48"/>
  <c r="P745" i="48"/>
  <c r="P746" i="48"/>
  <c r="P747" i="48"/>
  <c r="P748" i="48"/>
  <c r="P749" i="48"/>
  <c r="P750" i="48"/>
  <c r="P751" i="48"/>
  <c r="P752" i="48"/>
  <c r="P753" i="48"/>
  <c r="P754" i="48"/>
  <c r="P755" i="48"/>
  <c r="P756" i="48"/>
  <c r="P757" i="48"/>
  <c r="P758" i="48"/>
  <c r="P759" i="48"/>
  <c r="P760" i="48"/>
  <c r="P761" i="48"/>
  <c r="P762" i="48"/>
  <c r="P763" i="48"/>
  <c r="P764" i="48"/>
  <c r="P765" i="48"/>
  <c r="P766" i="48"/>
  <c r="P767" i="48"/>
  <c r="P768" i="48"/>
  <c r="P769" i="48"/>
  <c r="P770" i="48"/>
  <c r="P771" i="48"/>
  <c r="P772" i="48"/>
  <c r="P773" i="48"/>
  <c r="P774" i="48"/>
  <c r="P775" i="48"/>
  <c r="P776" i="48"/>
  <c r="P777" i="48"/>
  <c r="P778" i="48"/>
  <c r="P779" i="48"/>
  <c r="P780" i="48"/>
  <c r="P781" i="48"/>
  <c r="P782" i="48"/>
  <c r="P783" i="48"/>
  <c r="P784" i="48"/>
  <c r="P785" i="48"/>
  <c r="P786" i="48"/>
  <c r="P787" i="48"/>
  <c r="P788" i="48"/>
  <c r="P789" i="48"/>
  <c r="P790" i="48"/>
  <c r="P791" i="48"/>
  <c r="P792" i="48"/>
  <c r="P793" i="48"/>
  <c r="P794" i="48"/>
  <c r="P795" i="48"/>
  <c r="P796" i="48"/>
  <c r="P797" i="48"/>
  <c r="P798" i="48"/>
  <c r="P799" i="48"/>
  <c r="P800" i="48"/>
  <c r="P801" i="48"/>
  <c r="P802" i="48"/>
  <c r="P803" i="48"/>
  <c r="P804" i="48"/>
  <c r="P805" i="48"/>
  <c r="P806" i="48"/>
  <c r="P807" i="48"/>
  <c r="P808" i="48"/>
  <c r="P809" i="48"/>
  <c r="P810" i="48"/>
  <c r="P811" i="48"/>
  <c r="P812" i="48"/>
  <c r="P813" i="48"/>
  <c r="P814" i="48"/>
  <c r="P815" i="48"/>
  <c r="P816" i="48"/>
  <c r="P817" i="48"/>
  <c r="P818" i="48"/>
  <c r="P819" i="48"/>
  <c r="P820" i="48"/>
  <c r="P821" i="48"/>
  <c r="P822" i="48"/>
  <c r="P823" i="48"/>
  <c r="P824" i="48"/>
  <c r="P825" i="48"/>
  <c r="P826" i="48"/>
  <c r="P827" i="48"/>
  <c r="P828" i="48"/>
  <c r="P829" i="48"/>
  <c r="P830" i="48"/>
  <c r="P831" i="48"/>
  <c r="P832" i="48"/>
  <c r="P833" i="48"/>
  <c r="P834" i="48"/>
  <c r="P835" i="48"/>
  <c r="P836" i="48"/>
  <c r="P837" i="48"/>
  <c r="P838" i="48"/>
  <c r="P839" i="48"/>
  <c r="P840" i="48"/>
  <c r="P841" i="48"/>
  <c r="P842" i="48"/>
  <c r="P843" i="48"/>
  <c r="P844" i="48"/>
  <c r="P845" i="48"/>
  <c r="P846" i="48"/>
  <c r="P847" i="48"/>
  <c r="P848" i="48"/>
  <c r="P849" i="48"/>
  <c r="P850" i="48"/>
  <c r="P851" i="48"/>
  <c r="P852" i="48"/>
  <c r="P853" i="48"/>
  <c r="P854" i="48"/>
  <c r="P855" i="48"/>
  <c r="P856" i="48"/>
  <c r="P857" i="48"/>
  <c r="P858" i="48"/>
  <c r="P859" i="48"/>
  <c r="P860" i="48"/>
  <c r="P861" i="48"/>
  <c r="P862" i="48"/>
  <c r="P863" i="48"/>
  <c r="P864" i="48"/>
  <c r="P865" i="48"/>
  <c r="P866" i="48"/>
  <c r="P867" i="48"/>
  <c r="P868" i="48"/>
  <c r="P869" i="48"/>
  <c r="P870" i="48"/>
  <c r="P871" i="48"/>
  <c r="P872" i="48"/>
  <c r="P873" i="48"/>
  <c r="P874" i="48"/>
  <c r="P875" i="48"/>
  <c r="P876" i="48"/>
  <c r="P877" i="48"/>
  <c r="P878" i="48"/>
  <c r="P879" i="48"/>
  <c r="P880" i="48"/>
  <c r="P881" i="48"/>
  <c r="P882" i="48"/>
  <c r="P883" i="48"/>
  <c r="P884" i="48"/>
  <c r="P885" i="48"/>
  <c r="P886" i="48"/>
  <c r="P887" i="48"/>
  <c r="P888" i="48"/>
  <c r="P889" i="48"/>
  <c r="P890" i="48"/>
  <c r="P891" i="48"/>
  <c r="P892" i="48"/>
  <c r="P893" i="48"/>
  <c r="P894" i="48"/>
  <c r="P895" i="48"/>
  <c r="P896" i="48"/>
  <c r="P897" i="48"/>
  <c r="P898" i="48"/>
  <c r="P899" i="48"/>
  <c r="P900" i="48"/>
  <c r="P901" i="48"/>
  <c r="P902" i="48"/>
  <c r="P903" i="48"/>
  <c r="P904" i="48"/>
  <c r="P905" i="48"/>
  <c r="P906" i="48"/>
  <c r="P907" i="48"/>
  <c r="P908" i="48"/>
  <c r="P909" i="48"/>
  <c r="P910" i="48"/>
  <c r="P911" i="48"/>
  <c r="P912" i="48"/>
  <c r="P913" i="48"/>
  <c r="P914" i="48"/>
  <c r="P915" i="48"/>
  <c r="P916" i="48"/>
  <c r="P917" i="48"/>
  <c r="P918" i="48"/>
  <c r="P919" i="48"/>
  <c r="P920" i="48"/>
  <c r="P921" i="48"/>
  <c r="P922" i="48"/>
  <c r="P923" i="48"/>
  <c r="P924" i="48"/>
  <c r="P925" i="48"/>
  <c r="P926" i="48"/>
  <c r="P927" i="48"/>
  <c r="P928" i="48"/>
  <c r="P929" i="48"/>
  <c r="P930" i="48"/>
  <c r="P931" i="48"/>
  <c r="P932" i="48"/>
  <c r="P933" i="48"/>
  <c r="P934" i="48"/>
  <c r="P935" i="48"/>
  <c r="P936" i="48"/>
  <c r="P937" i="48"/>
  <c r="P938" i="48"/>
  <c r="P939" i="48"/>
  <c r="P940" i="48"/>
  <c r="P941" i="48"/>
  <c r="P942" i="48"/>
  <c r="P943" i="48"/>
  <c r="P944" i="48"/>
  <c r="P945" i="48"/>
  <c r="P946" i="48"/>
  <c r="P947" i="48"/>
  <c r="P948" i="48"/>
  <c r="P949" i="48"/>
  <c r="P950" i="48"/>
  <c r="P951" i="48"/>
  <c r="P952" i="48"/>
  <c r="P953" i="48"/>
  <c r="P954" i="48"/>
  <c r="P955" i="48"/>
  <c r="P956" i="48"/>
  <c r="P957" i="48"/>
  <c r="P958" i="48"/>
  <c r="P959" i="48"/>
  <c r="P960" i="48"/>
  <c r="P961" i="48"/>
  <c r="P962" i="48"/>
  <c r="P963" i="48"/>
  <c r="P964" i="48"/>
  <c r="P965" i="48"/>
  <c r="P966" i="48"/>
  <c r="P967" i="48"/>
  <c r="P968" i="48"/>
  <c r="P969" i="48"/>
  <c r="P970" i="48"/>
  <c r="P971" i="48"/>
  <c r="P972" i="48"/>
  <c r="P973" i="48"/>
  <c r="P974" i="48"/>
  <c r="P975" i="48"/>
  <c r="P976" i="48"/>
  <c r="P977" i="48"/>
  <c r="P978" i="48"/>
  <c r="P979" i="48"/>
  <c r="P980" i="48"/>
  <c r="P981" i="48"/>
  <c r="P982" i="48"/>
  <c r="P983" i="48"/>
  <c r="P984" i="48"/>
  <c r="P985" i="48"/>
  <c r="P986" i="48"/>
  <c r="P987" i="48"/>
  <c r="P988" i="48"/>
  <c r="P989" i="48"/>
  <c r="P990" i="48"/>
  <c r="P991" i="48"/>
  <c r="P992" i="48"/>
  <c r="P993" i="48"/>
  <c r="P994" i="48"/>
  <c r="P995" i="48"/>
  <c r="P996" i="48"/>
  <c r="P997" i="48"/>
  <c r="P998" i="48"/>
  <c r="P999" i="48"/>
  <c r="P1000" i="48"/>
  <c r="P1001" i="48"/>
  <c r="P1002" i="48"/>
  <c r="P1003" i="48"/>
  <c r="P1004" i="48"/>
  <c r="P1005" i="48"/>
  <c r="P1006" i="48"/>
  <c r="P1007" i="48"/>
  <c r="P1008" i="48"/>
  <c r="P1009" i="48"/>
  <c r="P1010" i="48"/>
  <c r="P1011" i="48"/>
  <c r="P1012" i="48"/>
  <c r="P1013" i="48"/>
  <c r="P1014" i="48"/>
  <c r="P1015" i="48"/>
  <c r="S14" i="48"/>
  <c r="S15" i="48"/>
  <c r="S18" i="48"/>
  <c r="S17" i="48"/>
  <c r="S16" i="48"/>
  <c r="J16" i="48"/>
  <c r="L16" i="48"/>
  <c r="J17" i="48"/>
  <c r="L17" i="48"/>
  <c r="J18" i="48"/>
  <c r="L18" i="48"/>
  <c r="J19" i="48"/>
  <c r="L19" i="48"/>
  <c r="J20" i="48"/>
  <c r="L20" i="48"/>
  <c r="J21" i="48"/>
  <c r="L21" i="48"/>
  <c r="J22" i="48"/>
  <c r="L22" i="48"/>
  <c r="J23" i="48"/>
  <c r="L23" i="48"/>
  <c r="J24" i="48"/>
  <c r="L24" i="48"/>
  <c r="J25" i="48"/>
  <c r="L25" i="48"/>
  <c r="J26" i="48"/>
  <c r="L26" i="48"/>
  <c r="J27" i="48"/>
  <c r="L27" i="48"/>
  <c r="J28" i="48"/>
  <c r="L28" i="48"/>
  <c r="J29" i="48"/>
  <c r="L29" i="48"/>
  <c r="J30" i="48"/>
  <c r="L30" i="48"/>
  <c r="J31" i="48"/>
  <c r="L31" i="48"/>
  <c r="J32" i="48"/>
  <c r="L32" i="48"/>
  <c r="J33" i="48"/>
  <c r="L33" i="48"/>
  <c r="J34" i="48"/>
  <c r="L34" i="48"/>
  <c r="J35" i="48"/>
  <c r="L35" i="48"/>
  <c r="J36" i="48"/>
  <c r="L36" i="48"/>
  <c r="J37" i="48"/>
  <c r="L37" i="48"/>
  <c r="J38" i="48"/>
  <c r="L38" i="48"/>
  <c r="J39" i="48"/>
  <c r="L39" i="48"/>
  <c r="J40" i="48"/>
  <c r="L40" i="48"/>
  <c r="J41" i="48"/>
  <c r="L41" i="48"/>
  <c r="J42" i="48"/>
  <c r="L42" i="48"/>
  <c r="J43" i="48"/>
  <c r="L43" i="48"/>
  <c r="J44" i="48"/>
  <c r="L44" i="48"/>
  <c r="J45" i="48"/>
  <c r="L45" i="48"/>
  <c r="J46" i="48"/>
  <c r="L46" i="48"/>
  <c r="J47" i="48"/>
  <c r="L47" i="48"/>
  <c r="J48" i="48"/>
  <c r="L48" i="48"/>
  <c r="J49" i="48"/>
  <c r="L49" i="48"/>
  <c r="J50" i="48"/>
  <c r="L50" i="48"/>
  <c r="J51" i="48"/>
  <c r="L51" i="48"/>
  <c r="J52" i="48"/>
  <c r="L52" i="48"/>
  <c r="J53" i="48"/>
  <c r="L53" i="48"/>
  <c r="J54" i="48"/>
  <c r="L54" i="48"/>
  <c r="J55" i="48"/>
  <c r="L55" i="48"/>
  <c r="J56" i="48"/>
  <c r="L56" i="48"/>
  <c r="J57" i="48"/>
  <c r="L57" i="48"/>
  <c r="J58" i="48"/>
  <c r="L58" i="48"/>
  <c r="J59" i="48"/>
  <c r="L59" i="48"/>
  <c r="J60" i="48"/>
  <c r="L60" i="48"/>
  <c r="J61" i="48"/>
  <c r="L61" i="48"/>
  <c r="J62" i="48"/>
  <c r="L62" i="48"/>
  <c r="J63" i="48"/>
  <c r="L63" i="48"/>
  <c r="J64" i="48"/>
  <c r="L64" i="48"/>
  <c r="J65" i="48"/>
  <c r="L65" i="48"/>
  <c r="J66" i="48"/>
  <c r="L66" i="48"/>
  <c r="J67" i="48"/>
  <c r="L67" i="48"/>
  <c r="J68" i="48"/>
  <c r="L68" i="48"/>
  <c r="J69" i="48"/>
  <c r="L69" i="48"/>
  <c r="J70" i="48"/>
  <c r="L70" i="48"/>
  <c r="J71" i="48"/>
  <c r="L71" i="48"/>
  <c r="J72" i="48"/>
  <c r="L72" i="48"/>
  <c r="J73" i="48"/>
  <c r="L73" i="48"/>
  <c r="J74" i="48"/>
  <c r="L74" i="48"/>
  <c r="J75" i="48"/>
  <c r="L75" i="48"/>
  <c r="J76" i="48"/>
  <c r="L76" i="48"/>
  <c r="J77" i="48"/>
  <c r="L77" i="48"/>
  <c r="J78" i="48"/>
  <c r="L78" i="48"/>
  <c r="J79" i="48"/>
  <c r="L79" i="48"/>
  <c r="J80" i="48"/>
  <c r="L80" i="48"/>
  <c r="J81" i="48"/>
  <c r="L81" i="48"/>
  <c r="J82" i="48"/>
  <c r="L82" i="48"/>
  <c r="J83" i="48"/>
  <c r="L83" i="48"/>
  <c r="J84" i="48"/>
  <c r="L84" i="48"/>
  <c r="J85" i="48"/>
  <c r="L85" i="48"/>
  <c r="J86" i="48"/>
  <c r="L86" i="48"/>
  <c r="J87" i="48"/>
  <c r="L87" i="48"/>
  <c r="J88" i="48"/>
  <c r="L88" i="48"/>
  <c r="J89" i="48"/>
  <c r="L89" i="48"/>
  <c r="J90" i="48"/>
  <c r="L90" i="48"/>
  <c r="J91" i="48"/>
  <c r="L91" i="48"/>
  <c r="J92" i="48"/>
  <c r="L92" i="48"/>
  <c r="J93" i="48"/>
  <c r="L93" i="48"/>
  <c r="J94" i="48"/>
  <c r="L94" i="48"/>
  <c r="J95" i="48"/>
  <c r="L95" i="48"/>
  <c r="J96" i="48"/>
  <c r="L96" i="48"/>
  <c r="J97" i="48"/>
  <c r="L97" i="48"/>
  <c r="J98" i="48"/>
  <c r="L98" i="48"/>
  <c r="J99" i="48"/>
  <c r="L99" i="48"/>
  <c r="J100" i="48"/>
  <c r="L100" i="48"/>
  <c r="J101" i="48"/>
  <c r="L101" i="48"/>
  <c r="J102" i="48"/>
  <c r="L102" i="48"/>
  <c r="J103" i="48"/>
  <c r="L103" i="48"/>
  <c r="J104" i="48"/>
  <c r="L104" i="48"/>
  <c r="J105" i="48"/>
  <c r="L105" i="48"/>
  <c r="J106" i="48"/>
  <c r="L106" i="48"/>
  <c r="J107" i="48"/>
  <c r="L107" i="48"/>
  <c r="J108" i="48"/>
  <c r="L108" i="48"/>
  <c r="J109" i="48"/>
  <c r="L109" i="48"/>
  <c r="J110" i="48"/>
  <c r="L110" i="48"/>
  <c r="J111" i="48"/>
  <c r="L111" i="48"/>
  <c r="J112" i="48"/>
  <c r="L112" i="48"/>
  <c r="J113" i="48"/>
  <c r="L113" i="48"/>
  <c r="J114" i="48"/>
  <c r="L114" i="48"/>
  <c r="J115" i="48"/>
  <c r="L115" i="48"/>
  <c r="J116" i="48"/>
  <c r="L116" i="48"/>
  <c r="J117" i="48"/>
  <c r="L117" i="48"/>
  <c r="J118" i="48"/>
  <c r="L118" i="48"/>
  <c r="J119" i="48"/>
  <c r="L119" i="48"/>
  <c r="J120" i="48"/>
  <c r="L120" i="48"/>
  <c r="J121" i="48"/>
  <c r="L121" i="48"/>
  <c r="J122" i="48"/>
  <c r="L122" i="48"/>
  <c r="J123" i="48"/>
  <c r="L123" i="48"/>
  <c r="J124" i="48"/>
  <c r="L124" i="48"/>
  <c r="J125" i="48"/>
  <c r="L125" i="48"/>
  <c r="J126" i="48"/>
  <c r="L126" i="48"/>
  <c r="J127" i="48"/>
  <c r="L127" i="48"/>
  <c r="J128" i="48"/>
  <c r="L128" i="48"/>
  <c r="J129" i="48"/>
  <c r="L129" i="48"/>
  <c r="J130" i="48"/>
  <c r="L130" i="48"/>
  <c r="J131" i="48"/>
  <c r="L131" i="48"/>
  <c r="J132" i="48"/>
  <c r="L132" i="48"/>
  <c r="J133" i="48"/>
  <c r="L133" i="48"/>
  <c r="J134" i="48"/>
  <c r="L134" i="48"/>
  <c r="J135" i="48"/>
  <c r="L135" i="48"/>
  <c r="J136" i="48"/>
  <c r="L136" i="48"/>
  <c r="J137" i="48"/>
  <c r="L137" i="48"/>
  <c r="J138" i="48"/>
  <c r="L138" i="48"/>
  <c r="J139" i="48"/>
  <c r="L139" i="48"/>
  <c r="J140" i="48"/>
  <c r="L140" i="48"/>
  <c r="J141" i="48"/>
  <c r="L141" i="48"/>
  <c r="J142" i="48"/>
  <c r="L142" i="48"/>
  <c r="J143" i="48"/>
  <c r="L143" i="48"/>
  <c r="J144" i="48"/>
  <c r="L144" i="48"/>
  <c r="J145" i="48"/>
  <c r="L145" i="48"/>
  <c r="J146" i="48"/>
  <c r="L146" i="48"/>
  <c r="J147" i="48"/>
  <c r="L147" i="48"/>
  <c r="J148" i="48"/>
  <c r="L148" i="48"/>
  <c r="J149" i="48"/>
  <c r="L149" i="48"/>
  <c r="J150" i="48"/>
  <c r="L150" i="48"/>
  <c r="J151" i="48"/>
  <c r="L151" i="48"/>
  <c r="J152" i="48"/>
  <c r="L152" i="48"/>
  <c r="J153" i="48"/>
  <c r="L153" i="48"/>
  <c r="J154" i="48"/>
  <c r="L154" i="48"/>
  <c r="J155" i="48"/>
  <c r="L155" i="48"/>
  <c r="J156" i="48"/>
  <c r="L156" i="48"/>
  <c r="J157" i="48"/>
  <c r="L157" i="48"/>
  <c r="J158" i="48"/>
  <c r="L158" i="48"/>
  <c r="J159" i="48"/>
  <c r="L159" i="48"/>
  <c r="J160" i="48"/>
  <c r="L160" i="48"/>
  <c r="J161" i="48"/>
  <c r="L161" i="48"/>
  <c r="J162" i="48"/>
  <c r="L162" i="48"/>
  <c r="J163" i="48"/>
  <c r="L163" i="48"/>
  <c r="J164" i="48"/>
  <c r="L164" i="48"/>
  <c r="J165" i="48"/>
  <c r="L165" i="48"/>
  <c r="J166" i="48"/>
  <c r="L166" i="48"/>
  <c r="J167" i="48"/>
  <c r="L167" i="48"/>
  <c r="J168" i="48"/>
  <c r="L168" i="48"/>
  <c r="J169" i="48"/>
  <c r="L169" i="48"/>
  <c r="J170" i="48"/>
  <c r="L170" i="48"/>
  <c r="J171" i="48"/>
  <c r="L171" i="48"/>
  <c r="J172" i="48"/>
  <c r="L172" i="48"/>
  <c r="J173" i="48"/>
  <c r="L173" i="48"/>
  <c r="J174" i="48"/>
  <c r="L174" i="48"/>
  <c r="J175" i="48"/>
  <c r="L175" i="48"/>
  <c r="J176" i="48"/>
  <c r="L176" i="48"/>
  <c r="J177" i="48"/>
  <c r="L177" i="48"/>
  <c r="J178" i="48"/>
  <c r="L178" i="48"/>
  <c r="J179" i="48"/>
  <c r="L179" i="48"/>
  <c r="J180" i="48"/>
  <c r="L180" i="48"/>
  <c r="J181" i="48"/>
  <c r="L181" i="48"/>
  <c r="J182" i="48"/>
  <c r="L182" i="48"/>
  <c r="J183" i="48"/>
  <c r="L183" i="48"/>
  <c r="J184" i="48"/>
  <c r="L184" i="48"/>
  <c r="J185" i="48"/>
  <c r="L185" i="48"/>
  <c r="J186" i="48"/>
  <c r="L186" i="48"/>
  <c r="J187" i="48"/>
  <c r="L187" i="48"/>
  <c r="J188" i="48"/>
  <c r="L188" i="48"/>
  <c r="J189" i="48"/>
  <c r="L189" i="48"/>
  <c r="J190" i="48"/>
  <c r="L190" i="48"/>
  <c r="J191" i="48"/>
  <c r="L191" i="48"/>
  <c r="J192" i="48"/>
  <c r="L192" i="48"/>
  <c r="J193" i="48"/>
  <c r="L193" i="48"/>
  <c r="J194" i="48"/>
  <c r="L194" i="48"/>
  <c r="J195" i="48"/>
  <c r="L195" i="48"/>
  <c r="J196" i="48"/>
  <c r="L196" i="48"/>
  <c r="J197" i="48"/>
  <c r="L197" i="48"/>
  <c r="J198" i="48"/>
  <c r="L198" i="48"/>
  <c r="J199" i="48"/>
  <c r="L199" i="48"/>
  <c r="J200" i="48"/>
  <c r="L200" i="48"/>
  <c r="J201" i="48"/>
  <c r="L201" i="48"/>
  <c r="J202" i="48"/>
  <c r="L202" i="48"/>
  <c r="J203" i="48"/>
  <c r="L203" i="48"/>
  <c r="J204" i="48"/>
  <c r="L204" i="48"/>
  <c r="J205" i="48"/>
  <c r="L205" i="48"/>
  <c r="J206" i="48"/>
  <c r="L206" i="48"/>
  <c r="J207" i="48"/>
  <c r="L207" i="48"/>
  <c r="J208" i="48"/>
  <c r="L208" i="48"/>
  <c r="J209" i="48"/>
  <c r="L209" i="48"/>
  <c r="J210" i="48"/>
  <c r="L210" i="48"/>
  <c r="J211" i="48"/>
  <c r="L211" i="48"/>
  <c r="J212" i="48"/>
  <c r="L212" i="48"/>
  <c r="J213" i="48"/>
  <c r="L213" i="48"/>
  <c r="J214" i="48"/>
  <c r="L214" i="48"/>
  <c r="J215" i="48"/>
  <c r="L215" i="48"/>
  <c r="J216" i="48"/>
  <c r="L216" i="48"/>
  <c r="J217" i="48"/>
  <c r="L217" i="48"/>
  <c r="J218" i="48"/>
  <c r="L218" i="48"/>
  <c r="J219" i="48"/>
  <c r="L219" i="48"/>
  <c r="J220" i="48"/>
  <c r="L220" i="48"/>
  <c r="J221" i="48"/>
  <c r="L221" i="48"/>
  <c r="J222" i="48"/>
  <c r="L222" i="48"/>
  <c r="J223" i="48"/>
  <c r="L223" i="48"/>
  <c r="J224" i="48"/>
  <c r="L224" i="48"/>
  <c r="J225" i="48"/>
  <c r="L225" i="48"/>
  <c r="J226" i="48"/>
  <c r="L226" i="48"/>
  <c r="J227" i="48"/>
  <c r="L227" i="48"/>
  <c r="J228" i="48"/>
  <c r="L228" i="48"/>
  <c r="J229" i="48"/>
  <c r="L229" i="48"/>
  <c r="J230" i="48"/>
  <c r="L230" i="48"/>
  <c r="J231" i="48"/>
  <c r="L231" i="48"/>
  <c r="J232" i="48"/>
  <c r="L232" i="48"/>
  <c r="J233" i="48"/>
  <c r="L233" i="48"/>
  <c r="J234" i="48"/>
  <c r="L234" i="48"/>
  <c r="J235" i="48"/>
  <c r="L235" i="48"/>
  <c r="J236" i="48"/>
  <c r="L236" i="48"/>
  <c r="J237" i="48"/>
  <c r="L237" i="48"/>
  <c r="J238" i="48"/>
  <c r="L238" i="48"/>
  <c r="J239" i="48"/>
  <c r="L239" i="48"/>
  <c r="J240" i="48"/>
  <c r="L240" i="48"/>
  <c r="J241" i="48"/>
  <c r="L241" i="48"/>
  <c r="J242" i="48"/>
  <c r="L242" i="48"/>
  <c r="J243" i="48"/>
  <c r="L243" i="48"/>
  <c r="J244" i="48"/>
  <c r="L244" i="48"/>
  <c r="J245" i="48"/>
  <c r="L245" i="48"/>
  <c r="J246" i="48"/>
  <c r="L246" i="48"/>
  <c r="J247" i="48"/>
  <c r="L247" i="48"/>
  <c r="J248" i="48"/>
  <c r="L248" i="48"/>
  <c r="J249" i="48"/>
  <c r="L249" i="48"/>
  <c r="J250" i="48"/>
  <c r="L250" i="48"/>
  <c r="J251" i="48"/>
  <c r="L251" i="48"/>
  <c r="J252" i="48"/>
  <c r="L252" i="48"/>
  <c r="J253" i="48"/>
  <c r="L253" i="48"/>
  <c r="J254" i="48"/>
  <c r="L254" i="48"/>
  <c r="J255" i="48"/>
  <c r="L255" i="48"/>
  <c r="J256" i="48"/>
  <c r="L256" i="48"/>
  <c r="J257" i="48"/>
  <c r="L257" i="48"/>
  <c r="J258" i="48"/>
  <c r="L258" i="48"/>
  <c r="J259" i="48"/>
  <c r="L259" i="48"/>
  <c r="J260" i="48"/>
  <c r="L260" i="48"/>
  <c r="J261" i="48"/>
  <c r="L261" i="48"/>
  <c r="J262" i="48"/>
  <c r="L262" i="48"/>
  <c r="J263" i="48"/>
  <c r="L263" i="48"/>
  <c r="J264" i="48"/>
  <c r="L264" i="48"/>
  <c r="J265" i="48"/>
  <c r="L265" i="48"/>
  <c r="J266" i="48"/>
  <c r="L266" i="48"/>
  <c r="J267" i="48"/>
  <c r="L267" i="48"/>
  <c r="J268" i="48"/>
  <c r="L268" i="48"/>
  <c r="J269" i="48"/>
  <c r="L269" i="48"/>
  <c r="J270" i="48"/>
  <c r="L270" i="48"/>
  <c r="J271" i="48"/>
  <c r="L271" i="48"/>
  <c r="J272" i="48"/>
  <c r="L272" i="48"/>
  <c r="J273" i="48"/>
  <c r="L273" i="48"/>
  <c r="J274" i="48"/>
  <c r="L274" i="48"/>
  <c r="J275" i="48"/>
  <c r="L275" i="48"/>
  <c r="J276" i="48"/>
  <c r="L276" i="48"/>
  <c r="J277" i="48"/>
  <c r="L277" i="48"/>
  <c r="J278" i="48"/>
  <c r="L278" i="48"/>
  <c r="J279" i="48"/>
  <c r="L279" i="48"/>
  <c r="J280" i="48"/>
  <c r="L280" i="48"/>
  <c r="J281" i="48"/>
  <c r="L281" i="48"/>
  <c r="J282" i="48"/>
  <c r="L282" i="48"/>
  <c r="J283" i="48"/>
  <c r="L283" i="48"/>
  <c r="J284" i="48"/>
  <c r="L284" i="48"/>
  <c r="J285" i="48"/>
  <c r="L285" i="48"/>
  <c r="J286" i="48"/>
  <c r="L286" i="48"/>
  <c r="J287" i="48"/>
  <c r="L287" i="48"/>
  <c r="J288" i="48"/>
  <c r="L288" i="48"/>
  <c r="J289" i="48"/>
  <c r="L289" i="48"/>
  <c r="J290" i="48"/>
  <c r="L290" i="48"/>
  <c r="J291" i="48"/>
  <c r="L291" i="48"/>
  <c r="J292" i="48"/>
  <c r="L292" i="48"/>
  <c r="J293" i="48"/>
  <c r="L293" i="48"/>
  <c r="J294" i="48"/>
  <c r="L294" i="48"/>
  <c r="J295" i="48"/>
  <c r="L295" i="48"/>
  <c r="J296" i="48"/>
  <c r="L296" i="48"/>
  <c r="J297" i="48"/>
  <c r="L297" i="48"/>
  <c r="J298" i="48"/>
  <c r="L298" i="48"/>
  <c r="J299" i="48"/>
  <c r="L299" i="48"/>
  <c r="J300" i="48"/>
  <c r="L300" i="48"/>
  <c r="J301" i="48"/>
  <c r="L301" i="48"/>
  <c r="J302" i="48"/>
  <c r="L302" i="48"/>
  <c r="J303" i="48"/>
  <c r="L303" i="48"/>
  <c r="J304" i="48"/>
  <c r="L304" i="48"/>
  <c r="J305" i="48"/>
  <c r="L305" i="48"/>
  <c r="J306" i="48"/>
  <c r="L306" i="48"/>
  <c r="J307" i="48"/>
  <c r="L307" i="48"/>
  <c r="J308" i="48"/>
  <c r="L308" i="48"/>
  <c r="J309" i="48"/>
  <c r="L309" i="48"/>
  <c r="J310" i="48"/>
  <c r="L310" i="48"/>
  <c r="J311" i="48"/>
  <c r="L311" i="48"/>
  <c r="J312" i="48"/>
  <c r="L312" i="48"/>
  <c r="J313" i="48"/>
  <c r="L313" i="48"/>
  <c r="J314" i="48"/>
  <c r="L314" i="48"/>
  <c r="J315" i="48"/>
  <c r="L315" i="48"/>
  <c r="J316" i="48"/>
  <c r="L316" i="48"/>
  <c r="L317" i="48"/>
  <c r="L318" i="48"/>
  <c r="L319" i="48"/>
  <c r="B3" i="48"/>
  <c r="O17" i="48"/>
  <c r="O18" i="48"/>
  <c r="O19" i="48"/>
  <c r="O20" i="48"/>
  <c r="O21" i="48"/>
  <c r="O22" i="48"/>
  <c r="O23" i="48"/>
  <c r="O24" i="48"/>
  <c r="O25" i="48"/>
  <c r="O26" i="48"/>
  <c r="O27" i="48"/>
  <c r="O28" i="48"/>
  <c r="O29" i="48"/>
  <c r="O30" i="48"/>
  <c r="O31" i="48"/>
  <c r="O32" i="48"/>
  <c r="O33" i="48"/>
  <c r="O34" i="48"/>
  <c r="O35" i="48"/>
  <c r="O36" i="48"/>
  <c r="O37" i="48"/>
  <c r="O38" i="48"/>
  <c r="O39" i="48"/>
  <c r="O40" i="48"/>
  <c r="O41" i="48"/>
  <c r="O42" i="48"/>
  <c r="O43" i="48"/>
  <c r="O44" i="48"/>
  <c r="O45" i="48"/>
  <c r="O46" i="48"/>
  <c r="O47" i="48"/>
  <c r="O48" i="48"/>
  <c r="O49" i="48"/>
  <c r="O50" i="48"/>
  <c r="O51" i="48"/>
  <c r="O52" i="48"/>
  <c r="O53" i="48"/>
  <c r="O54" i="48"/>
  <c r="O55" i="48"/>
  <c r="O56" i="48"/>
  <c r="O57" i="48"/>
  <c r="O58" i="48"/>
  <c r="O59" i="48"/>
  <c r="O60" i="48"/>
  <c r="O61" i="48"/>
  <c r="O62" i="48"/>
  <c r="O63" i="48"/>
  <c r="O64" i="48"/>
  <c r="O65" i="48"/>
  <c r="O66" i="48"/>
  <c r="O67" i="48"/>
  <c r="O68" i="48"/>
  <c r="O69" i="48"/>
  <c r="O70" i="48"/>
  <c r="O71" i="48"/>
  <c r="O72" i="48"/>
  <c r="O73" i="48"/>
  <c r="O74" i="48"/>
  <c r="O75" i="48"/>
  <c r="O76" i="48"/>
  <c r="O77" i="48"/>
  <c r="O78" i="48"/>
  <c r="O79" i="48"/>
  <c r="O80" i="48"/>
  <c r="O81" i="48"/>
  <c r="O82" i="48"/>
  <c r="O83" i="48"/>
  <c r="O84" i="48"/>
  <c r="O85" i="48"/>
  <c r="O86" i="48"/>
  <c r="O87" i="48"/>
  <c r="O88" i="48"/>
  <c r="O89" i="48"/>
  <c r="O90" i="48"/>
  <c r="O91" i="48"/>
  <c r="O92" i="48"/>
  <c r="O93" i="48"/>
  <c r="O94" i="48"/>
  <c r="O95" i="48"/>
  <c r="O96" i="48"/>
  <c r="O97" i="48"/>
  <c r="O98" i="48"/>
  <c r="O99" i="48"/>
  <c r="O100" i="48"/>
  <c r="O101" i="48"/>
  <c r="O102" i="48"/>
  <c r="O103" i="48"/>
  <c r="O104" i="48"/>
  <c r="O105" i="48"/>
  <c r="O106" i="48"/>
  <c r="O107" i="48"/>
  <c r="O108" i="48"/>
  <c r="O109" i="48"/>
  <c r="O110" i="48"/>
  <c r="O111" i="48"/>
  <c r="O112" i="48"/>
  <c r="O113" i="48"/>
  <c r="O114" i="48"/>
  <c r="O115" i="48"/>
  <c r="O116" i="48"/>
  <c r="O117" i="48"/>
  <c r="O118" i="48"/>
  <c r="O119" i="48"/>
  <c r="O120" i="48"/>
  <c r="O121" i="48"/>
  <c r="O122" i="48"/>
  <c r="O123" i="48"/>
  <c r="O124" i="48"/>
  <c r="O125" i="48"/>
  <c r="O126" i="48"/>
  <c r="O127" i="48"/>
  <c r="O128" i="48"/>
  <c r="O129" i="48"/>
  <c r="O130" i="48"/>
  <c r="O131" i="48"/>
  <c r="O132" i="48"/>
  <c r="O133" i="48"/>
  <c r="O134" i="48"/>
  <c r="O135" i="48"/>
  <c r="O136" i="48"/>
  <c r="O137" i="48"/>
  <c r="O138" i="48"/>
  <c r="O139" i="48"/>
  <c r="O140" i="48"/>
  <c r="O141" i="48"/>
  <c r="O142" i="48"/>
  <c r="O143" i="48"/>
  <c r="O144" i="48"/>
  <c r="O145" i="48"/>
  <c r="O146" i="48"/>
  <c r="O147" i="48"/>
  <c r="O148" i="48"/>
  <c r="O149" i="48"/>
  <c r="O150" i="48"/>
  <c r="O151" i="48"/>
  <c r="O152" i="48"/>
  <c r="O153" i="48"/>
  <c r="O154" i="48"/>
  <c r="O155" i="48"/>
  <c r="O156" i="48"/>
  <c r="O157" i="48"/>
  <c r="O158" i="48"/>
  <c r="O159" i="48"/>
  <c r="O160" i="48"/>
  <c r="O161" i="48"/>
  <c r="O162" i="48"/>
  <c r="O163" i="48"/>
  <c r="O164" i="48"/>
  <c r="O165" i="48"/>
  <c r="O166" i="48"/>
  <c r="O167" i="48"/>
  <c r="O168" i="48"/>
  <c r="O169" i="48"/>
  <c r="O170" i="48"/>
  <c r="O171" i="48"/>
  <c r="O172" i="48"/>
  <c r="O173" i="48"/>
  <c r="O174" i="48"/>
  <c r="O175" i="48"/>
  <c r="O176" i="48"/>
  <c r="O177" i="48"/>
  <c r="O178" i="48"/>
  <c r="O179" i="48"/>
  <c r="O180" i="48"/>
  <c r="O181" i="48"/>
  <c r="O182" i="48"/>
  <c r="O183" i="48"/>
  <c r="O184" i="48"/>
  <c r="O185" i="48"/>
  <c r="O186" i="48"/>
  <c r="O187" i="48"/>
  <c r="O188" i="48"/>
  <c r="O189" i="48"/>
  <c r="O190" i="48"/>
  <c r="O191" i="48"/>
  <c r="O192" i="48"/>
  <c r="O193" i="48"/>
  <c r="O194" i="48"/>
  <c r="O195" i="48"/>
  <c r="O196" i="48"/>
  <c r="O197" i="48"/>
  <c r="O198" i="48"/>
  <c r="O199" i="48"/>
  <c r="O200" i="48"/>
  <c r="O201" i="48"/>
  <c r="O202" i="48"/>
  <c r="O203" i="48"/>
  <c r="O204" i="48"/>
  <c r="O205" i="48"/>
  <c r="O206" i="48"/>
  <c r="O207" i="48"/>
  <c r="O208" i="48"/>
  <c r="O209" i="48"/>
  <c r="O210" i="48"/>
  <c r="O211" i="48"/>
  <c r="O212" i="48"/>
  <c r="O213" i="48"/>
  <c r="O214" i="48"/>
  <c r="O215" i="48"/>
  <c r="O216" i="48"/>
  <c r="O217" i="48"/>
  <c r="O218" i="48"/>
  <c r="O219" i="48"/>
  <c r="O220" i="48"/>
  <c r="O221" i="48"/>
  <c r="O222" i="48"/>
  <c r="O223" i="48"/>
  <c r="O224" i="48"/>
  <c r="O225" i="48"/>
  <c r="O226" i="48"/>
  <c r="O227" i="48"/>
  <c r="O228" i="48"/>
  <c r="O229" i="48"/>
  <c r="O230" i="48"/>
  <c r="O231" i="48"/>
  <c r="O232" i="48"/>
  <c r="O233" i="48"/>
  <c r="O234" i="48"/>
  <c r="O235" i="48"/>
  <c r="O236" i="48"/>
  <c r="O237" i="48"/>
  <c r="O238" i="48"/>
  <c r="O239" i="48"/>
  <c r="O240" i="48"/>
  <c r="O241" i="48"/>
  <c r="O242" i="48"/>
  <c r="O243" i="48"/>
  <c r="O244" i="48"/>
  <c r="O245" i="48"/>
  <c r="O246" i="48"/>
  <c r="O247" i="48"/>
  <c r="O248" i="48"/>
  <c r="O249" i="48"/>
  <c r="O250" i="48"/>
  <c r="O251" i="48"/>
  <c r="O252" i="48"/>
  <c r="O253" i="48"/>
  <c r="O254" i="48"/>
  <c r="O255" i="48"/>
  <c r="O256" i="48"/>
  <c r="O257" i="48"/>
  <c r="O258" i="48"/>
  <c r="O259" i="48"/>
  <c r="O260" i="48"/>
  <c r="O261" i="48"/>
  <c r="O262" i="48"/>
  <c r="O263" i="48"/>
  <c r="O264" i="48"/>
  <c r="O265" i="48"/>
  <c r="O266" i="48"/>
  <c r="O267" i="48"/>
  <c r="O268" i="48"/>
  <c r="O269" i="48"/>
  <c r="O270" i="48"/>
  <c r="O271" i="48"/>
  <c r="O272" i="48"/>
  <c r="O273" i="48"/>
  <c r="O274" i="48"/>
  <c r="O275" i="48"/>
  <c r="O276" i="48"/>
  <c r="O277" i="48"/>
  <c r="O278" i="48"/>
  <c r="O279" i="48"/>
  <c r="O280" i="48"/>
  <c r="O281" i="48"/>
  <c r="O282" i="48"/>
  <c r="O283" i="48"/>
  <c r="O284" i="48"/>
  <c r="O285" i="48"/>
  <c r="O286" i="48"/>
  <c r="O287" i="48"/>
  <c r="O288" i="48"/>
  <c r="O289" i="48"/>
  <c r="O290" i="48"/>
  <c r="O291" i="48"/>
  <c r="O292" i="48"/>
  <c r="O293" i="48"/>
  <c r="O294" i="48"/>
  <c r="O295" i="48"/>
  <c r="O296" i="48"/>
  <c r="O297" i="48"/>
  <c r="O298" i="48"/>
  <c r="O299" i="48"/>
  <c r="O300" i="48"/>
  <c r="O301" i="48"/>
  <c r="O302" i="48"/>
  <c r="O303" i="48"/>
  <c r="O304" i="48"/>
  <c r="O305" i="48"/>
  <c r="O306" i="48"/>
  <c r="O307" i="48"/>
  <c r="O308" i="48"/>
  <c r="O309" i="48"/>
  <c r="O310" i="48"/>
  <c r="O311" i="48"/>
  <c r="O312" i="48"/>
  <c r="O313" i="48"/>
  <c r="O314" i="48"/>
  <c r="O315" i="48"/>
  <c r="O316" i="48"/>
  <c r="O317" i="48"/>
  <c r="O318" i="48"/>
  <c r="O319" i="48"/>
  <c r="O320" i="48"/>
  <c r="O321" i="48"/>
  <c r="O322" i="48"/>
  <c r="O323" i="48"/>
  <c r="O324" i="48"/>
  <c r="O325" i="48"/>
  <c r="O326" i="48"/>
  <c r="O327" i="48"/>
  <c r="O328" i="48"/>
  <c r="O329" i="48"/>
  <c r="O330" i="48"/>
  <c r="O331" i="48"/>
  <c r="O332" i="48"/>
  <c r="O333" i="48"/>
  <c r="O334" i="48"/>
  <c r="O335" i="48"/>
  <c r="O336" i="48"/>
  <c r="O337" i="48"/>
  <c r="O338" i="48"/>
  <c r="O339" i="48"/>
  <c r="O340" i="48"/>
  <c r="O341" i="48"/>
  <c r="O342" i="48"/>
  <c r="O343" i="48"/>
  <c r="O344" i="48"/>
  <c r="O345" i="48"/>
  <c r="O346" i="48"/>
  <c r="O347" i="48"/>
  <c r="O348" i="48"/>
  <c r="O349" i="48"/>
  <c r="O350" i="48"/>
  <c r="O351" i="48"/>
  <c r="O352" i="48"/>
  <c r="O353" i="48"/>
  <c r="O354" i="48"/>
  <c r="O355" i="48"/>
  <c r="O356" i="48"/>
  <c r="O357" i="48"/>
  <c r="O358" i="48"/>
  <c r="O359" i="48"/>
  <c r="O360" i="48"/>
  <c r="O361" i="48"/>
  <c r="O362" i="48"/>
  <c r="O363" i="48"/>
  <c r="O364" i="48"/>
  <c r="O365" i="48"/>
  <c r="O366" i="48"/>
  <c r="O367" i="48"/>
  <c r="O368" i="48"/>
  <c r="O369" i="48"/>
  <c r="O370" i="48"/>
  <c r="O371" i="48"/>
  <c r="O372" i="48"/>
  <c r="O373" i="48"/>
  <c r="O374" i="48"/>
  <c r="O375" i="48"/>
  <c r="O376" i="48"/>
  <c r="O377" i="48"/>
  <c r="O378" i="48"/>
  <c r="O379" i="48"/>
  <c r="O380" i="48"/>
  <c r="O381" i="48"/>
  <c r="O382" i="48"/>
  <c r="O383" i="48"/>
  <c r="O384" i="48"/>
  <c r="O385" i="48"/>
  <c r="O386" i="48"/>
  <c r="O387" i="48"/>
  <c r="O388" i="48"/>
  <c r="O389" i="48"/>
  <c r="O390" i="48"/>
  <c r="O391" i="48"/>
  <c r="O392" i="48"/>
  <c r="O393" i="48"/>
  <c r="O394" i="48"/>
  <c r="O395" i="48"/>
  <c r="O396" i="48"/>
  <c r="O397" i="48"/>
  <c r="O398" i="48"/>
  <c r="O399" i="48"/>
  <c r="O400" i="48"/>
  <c r="O401" i="48"/>
  <c r="O402" i="48"/>
  <c r="O403" i="48"/>
  <c r="O404" i="48"/>
  <c r="O405" i="48"/>
  <c r="O406" i="48"/>
  <c r="O407" i="48"/>
  <c r="O408" i="48"/>
  <c r="O409" i="48"/>
  <c r="O410" i="48"/>
  <c r="O411" i="48"/>
  <c r="O412" i="48"/>
  <c r="O413" i="48"/>
  <c r="O414" i="48"/>
  <c r="O415" i="48"/>
  <c r="O416" i="48"/>
  <c r="O417" i="48"/>
  <c r="O418" i="48"/>
  <c r="O419" i="48"/>
  <c r="O420" i="48"/>
  <c r="O421" i="48"/>
  <c r="O422" i="48"/>
  <c r="O423" i="48"/>
  <c r="O424" i="48"/>
  <c r="O425" i="48"/>
  <c r="O426" i="48"/>
  <c r="O427" i="48"/>
  <c r="O428" i="48"/>
  <c r="O429" i="48"/>
  <c r="O430" i="48"/>
  <c r="O431" i="48"/>
  <c r="O432" i="48"/>
  <c r="O433" i="48"/>
  <c r="O434" i="48"/>
  <c r="O435" i="48"/>
  <c r="O436" i="48"/>
  <c r="O437" i="48"/>
  <c r="O438" i="48"/>
  <c r="O439" i="48"/>
  <c r="O440" i="48"/>
  <c r="O441" i="48"/>
  <c r="O442" i="48"/>
  <c r="O443" i="48"/>
  <c r="O444" i="48"/>
  <c r="O445" i="48"/>
  <c r="O446" i="48"/>
  <c r="O447" i="48"/>
  <c r="O448" i="48"/>
  <c r="O449" i="48"/>
  <c r="O450" i="48"/>
  <c r="O451" i="48"/>
  <c r="O452" i="48"/>
  <c r="O453" i="48"/>
  <c r="O454" i="48"/>
  <c r="O455" i="48"/>
  <c r="O456" i="48"/>
  <c r="O457" i="48"/>
  <c r="O458" i="48"/>
  <c r="O459" i="48"/>
  <c r="O460" i="48"/>
  <c r="O461" i="48"/>
  <c r="O462" i="48"/>
  <c r="O463" i="48"/>
  <c r="O464" i="48"/>
  <c r="O465" i="48"/>
  <c r="O466" i="48"/>
  <c r="O467" i="48"/>
  <c r="O468" i="48"/>
  <c r="O469" i="48"/>
  <c r="O470" i="48"/>
  <c r="O471" i="48"/>
  <c r="O472" i="48"/>
  <c r="O473" i="48"/>
  <c r="O474" i="48"/>
  <c r="O475" i="48"/>
  <c r="O476" i="48"/>
  <c r="O477" i="48"/>
  <c r="O478" i="48"/>
  <c r="O479" i="48"/>
  <c r="O480" i="48"/>
  <c r="O481" i="48"/>
  <c r="O482" i="48"/>
  <c r="O483" i="48"/>
  <c r="O484" i="48"/>
  <c r="O485" i="48"/>
  <c r="O486" i="48"/>
  <c r="O487" i="48"/>
  <c r="O488" i="48"/>
  <c r="O489" i="48"/>
  <c r="O490" i="48"/>
  <c r="O491" i="48"/>
  <c r="O492" i="48"/>
  <c r="O493" i="48"/>
  <c r="O494" i="48"/>
  <c r="O495" i="48"/>
  <c r="O496" i="48"/>
  <c r="O497" i="48"/>
  <c r="O498" i="48"/>
  <c r="O499" i="48"/>
  <c r="O500" i="48"/>
  <c r="O501" i="48"/>
  <c r="O502" i="48"/>
  <c r="O503" i="48"/>
  <c r="O504" i="48"/>
  <c r="O505" i="48"/>
  <c r="O506" i="48"/>
  <c r="O507" i="48"/>
  <c r="O508" i="48"/>
  <c r="O509" i="48"/>
  <c r="O510" i="48"/>
  <c r="O511" i="48"/>
  <c r="O512" i="48"/>
  <c r="O513" i="48"/>
  <c r="O514" i="48"/>
  <c r="O515" i="48"/>
  <c r="O516" i="48"/>
  <c r="O517" i="48"/>
  <c r="O518" i="48"/>
  <c r="O519" i="48"/>
  <c r="O520" i="48"/>
  <c r="O521" i="48"/>
  <c r="O522" i="48"/>
  <c r="O523" i="48"/>
  <c r="O524" i="48"/>
  <c r="O525" i="48"/>
  <c r="O526" i="48"/>
  <c r="O527" i="48"/>
  <c r="O528" i="48"/>
  <c r="O529" i="48"/>
  <c r="O530" i="48"/>
  <c r="O531" i="48"/>
  <c r="O532" i="48"/>
  <c r="O533" i="48"/>
  <c r="O534" i="48"/>
  <c r="O535" i="48"/>
  <c r="O536" i="48"/>
  <c r="O537" i="48"/>
  <c r="O538" i="48"/>
  <c r="O539" i="48"/>
  <c r="O540" i="48"/>
  <c r="O541" i="48"/>
  <c r="O542" i="48"/>
  <c r="O543" i="48"/>
  <c r="O544" i="48"/>
  <c r="O545" i="48"/>
  <c r="O546" i="48"/>
  <c r="O547" i="48"/>
  <c r="O548" i="48"/>
  <c r="O549" i="48"/>
  <c r="O550" i="48"/>
  <c r="O551" i="48"/>
  <c r="O552" i="48"/>
  <c r="O553" i="48"/>
  <c r="O554" i="48"/>
  <c r="O555" i="48"/>
  <c r="O556" i="48"/>
  <c r="O557" i="48"/>
  <c r="O558" i="48"/>
  <c r="O559" i="48"/>
  <c r="O560" i="48"/>
  <c r="O561" i="48"/>
  <c r="O562" i="48"/>
  <c r="O563" i="48"/>
  <c r="O564" i="48"/>
  <c r="O565" i="48"/>
  <c r="O566" i="48"/>
  <c r="O567" i="48"/>
  <c r="O568" i="48"/>
  <c r="O569" i="48"/>
  <c r="O570" i="48"/>
  <c r="O571" i="48"/>
  <c r="O572" i="48"/>
  <c r="O573" i="48"/>
  <c r="O574" i="48"/>
  <c r="O575" i="48"/>
  <c r="O576" i="48"/>
  <c r="O577" i="48"/>
  <c r="O578" i="48"/>
  <c r="O579" i="48"/>
  <c r="O580" i="48"/>
  <c r="O581" i="48"/>
  <c r="O582" i="48"/>
  <c r="O583" i="48"/>
  <c r="O584" i="48"/>
  <c r="O585" i="48"/>
  <c r="O586" i="48"/>
  <c r="O587" i="48"/>
  <c r="O588" i="48"/>
  <c r="O589" i="48"/>
  <c r="O590" i="48"/>
  <c r="O591" i="48"/>
  <c r="O592" i="48"/>
  <c r="O593" i="48"/>
  <c r="O594" i="48"/>
  <c r="O595" i="48"/>
  <c r="O596" i="48"/>
  <c r="O597" i="48"/>
  <c r="O598" i="48"/>
  <c r="O599" i="48"/>
  <c r="O600" i="48"/>
  <c r="O601" i="48"/>
  <c r="O602" i="48"/>
  <c r="O603" i="48"/>
  <c r="O604" i="48"/>
  <c r="O605" i="48"/>
  <c r="O606" i="48"/>
  <c r="O607" i="48"/>
  <c r="O608" i="48"/>
  <c r="O609" i="48"/>
  <c r="O610" i="48"/>
  <c r="O611" i="48"/>
  <c r="O612" i="48"/>
  <c r="O613" i="48"/>
  <c r="O614" i="48"/>
  <c r="O615" i="48"/>
  <c r="O616" i="48"/>
  <c r="O617" i="48"/>
  <c r="O618" i="48"/>
  <c r="O619" i="48"/>
  <c r="O620" i="48"/>
  <c r="O621" i="48"/>
  <c r="O622" i="48"/>
  <c r="O623" i="48"/>
  <c r="O624" i="48"/>
  <c r="O625" i="48"/>
  <c r="O626" i="48"/>
  <c r="O627" i="48"/>
  <c r="O628" i="48"/>
  <c r="O629" i="48"/>
  <c r="O630" i="48"/>
  <c r="O631" i="48"/>
  <c r="O632" i="48"/>
  <c r="O633" i="48"/>
  <c r="O634" i="48"/>
  <c r="O635" i="48"/>
  <c r="O636" i="48"/>
  <c r="O637" i="48"/>
  <c r="O638" i="48"/>
  <c r="O639" i="48"/>
  <c r="O640" i="48"/>
  <c r="O641" i="48"/>
  <c r="O642" i="48"/>
  <c r="O643" i="48"/>
  <c r="O644" i="48"/>
  <c r="O645" i="48"/>
  <c r="O646" i="48"/>
  <c r="O647" i="48"/>
  <c r="O648" i="48"/>
  <c r="O649" i="48"/>
  <c r="O650" i="48"/>
  <c r="O651" i="48"/>
  <c r="O652" i="48"/>
  <c r="O653" i="48"/>
  <c r="O654" i="48"/>
  <c r="O655" i="48"/>
  <c r="O656" i="48"/>
  <c r="O657" i="48"/>
  <c r="O658" i="48"/>
  <c r="O659" i="48"/>
  <c r="O660" i="48"/>
  <c r="O661" i="48"/>
  <c r="O662" i="48"/>
  <c r="O663" i="48"/>
  <c r="O664" i="48"/>
  <c r="O665" i="48"/>
  <c r="O666" i="48"/>
  <c r="O667" i="48"/>
  <c r="O668" i="48"/>
  <c r="O669" i="48"/>
  <c r="O670" i="48"/>
  <c r="O671" i="48"/>
  <c r="O672" i="48"/>
  <c r="O673" i="48"/>
  <c r="O674" i="48"/>
  <c r="O675" i="48"/>
  <c r="O676" i="48"/>
  <c r="O677" i="48"/>
  <c r="O678" i="48"/>
  <c r="O679" i="48"/>
  <c r="O680" i="48"/>
  <c r="O681" i="48"/>
  <c r="O682" i="48"/>
  <c r="O683" i="48"/>
  <c r="O684" i="48"/>
  <c r="O685" i="48"/>
  <c r="O686" i="48"/>
  <c r="O687" i="48"/>
  <c r="O688" i="48"/>
  <c r="O689" i="48"/>
  <c r="O690" i="48"/>
  <c r="O691" i="48"/>
  <c r="O692" i="48"/>
  <c r="O693" i="48"/>
  <c r="O694" i="48"/>
  <c r="O695" i="48"/>
  <c r="O696" i="48"/>
  <c r="O697" i="48"/>
  <c r="O698" i="48"/>
  <c r="O699" i="48"/>
  <c r="O700" i="48"/>
  <c r="O701" i="48"/>
  <c r="O702" i="48"/>
  <c r="O703" i="48"/>
  <c r="O704" i="48"/>
  <c r="O705" i="48"/>
  <c r="O706" i="48"/>
  <c r="O707" i="48"/>
  <c r="O708" i="48"/>
  <c r="O709" i="48"/>
  <c r="O710" i="48"/>
  <c r="O711" i="48"/>
  <c r="O712" i="48"/>
  <c r="O713" i="48"/>
  <c r="O714" i="48"/>
  <c r="O715" i="48"/>
  <c r="O716" i="48"/>
  <c r="O717" i="48"/>
  <c r="O718" i="48"/>
  <c r="O719" i="48"/>
  <c r="O720" i="48"/>
  <c r="O721" i="48"/>
  <c r="O722" i="48"/>
  <c r="O723" i="48"/>
  <c r="O724" i="48"/>
  <c r="O725" i="48"/>
  <c r="O726" i="48"/>
  <c r="O727" i="48"/>
  <c r="O728" i="48"/>
  <c r="O729" i="48"/>
  <c r="O730" i="48"/>
  <c r="O731" i="48"/>
  <c r="O732" i="48"/>
  <c r="O733" i="48"/>
  <c r="O734" i="48"/>
  <c r="O735" i="48"/>
  <c r="O736" i="48"/>
  <c r="O737" i="48"/>
  <c r="O738" i="48"/>
  <c r="O739" i="48"/>
  <c r="O740" i="48"/>
  <c r="O741" i="48"/>
  <c r="O742" i="48"/>
  <c r="O743" i="48"/>
  <c r="O744" i="48"/>
  <c r="O745" i="48"/>
  <c r="O746" i="48"/>
  <c r="O747" i="48"/>
  <c r="O748" i="48"/>
  <c r="O749" i="48"/>
  <c r="O750" i="48"/>
  <c r="O751" i="48"/>
  <c r="O752" i="48"/>
  <c r="O753" i="48"/>
  <c r="O754" i="48"/>
  <c r="O755" i="48"/>
  <c r="O756" i="48"/>
  <c r="O757" i="48"/>
  <c r="O758" i="48"/>
  <c r="O759" i="48"/>
  <c r="O760" i="48"/>
  <c r="O761" i="48"/>
  <c r="O762" i="48"/>
  <c r="O763" i="48"/>
  <c r="O764" i="48"/>
  <c r="O765" i="48"/>
  <c r="O766" i="48"/>
  <c r="O767" i="48"/>
  <c r="O768" i="48"/>
  <c r="O769" i="48"/>
  <c r="O770" i="48"/>
  <c r="O771" i="48"/>
  <c r="O772" i="48"/>
  <c r="O773" i="48"/>
  <c r="O774" i="48"/>
  <c r="O775" i="48"/>
  <c r="O776" i="48"/>
  <c r="O777" i="48"/>
  <c r="O778" i="48"/>
  <c r="O779" i="48"/>
  <c r="O780" i="48"/>
  <c r="O781" i="48"/>
  <c r="O782" i="48"/>
  <c r="O783" i="48"/>
  <c r="O784" i="48"/>
  <c r="O785" i="48"/>
  <c r="O786" i="48"/>
  <c r="O787" i="48"/>
  <c r="O788" i="48"/>
  <c r="O789" i="48"/>
  <c r="O790" i="48"/>
  <c r="O791" i="48"/>
  <c r="O792" i="48"/>
  <c r="O793" i="48"/>
  <c r="O794" i="48"/>
  <c r="O795" i="48"/>
  <c r="O796" i="48"/>
  <c r="O797" i="48"/>
  <c r="O798" i="48"/>
  <c r="O799" i="48"/>
  <c r="O800" i="48"/>
  <c r="O801" i="48"/>
  <c r="O802" i="48"/>
  <c r="O803" i="48"/>
  <c r="O804" i="48"/>
  <c r="O805" i="48"/>
  <c r="O806" i="48"/>
  <c r="O807" i="48"/>
  <c r="O808" i="48"/>
  <c r="O809" i="48"/>
  <c r="O810" i="48"/>
  <c r="O811" i="48"/>
  <c r="O812" i="48"/>
  <c r="O813" i="48"/>
  <c r="O814" i="48"/>
  <c r="O815" i="48"/>
  <c r="O816" i="48"/>
  <c r="O817" i="48"/>
  <c r="O818" i="48"/>
  <c r="O819" i="48"/>
  <c r="O820" i="48"/>
  <c r="O821" i="48"/>
  <c r="O822" i="48"/>
  <c r="O823" i="48"/>
  <c r="O824" i="48"/>
  <c r="O825" i="48"/>
  <c r="O826" i="48"/>
  <c r="O827" i="48"/>
  <c r="O828" i="48"/>
  <c r="O829" i="48"/>
  <c r="O830" i="48"/>
  <c r="O831" i="48"/>
  <c r="O832" i="48"/>
  <c r="O833" i="48"/>
  <c r="O834" i="48"/>
  <c r="O835" i="48"/>
  <c r="O836" i="48"/>
  <c r="O837" i="48"/>
  <c r="O838" i="48"/>
  <c r="O839" i="48"/>
  <c r="O840" i="48"/>
  <c r="O841" i="48"/>
  <c r="O842" i="48"/>
  <c r="O843" i="48"/>
  <c r="O844" i="48"/>
  <c r="O845" i="48"/>
  <c r="O846" i="48"/>
  <c r="O847" i="48"/>
  <c r="O848" i="48"/>
  <c r="O849" i="48"/>
  <c r="O850" i="48"/>
  <c r="O851" i="48"/>
  <c r="O852" i="48"/>
  <c r="O853" i="48"/>
  <c r="O854" i="48"/>
  <c r="O855" i="48"/>
  <c r="O856" i="48"/>
  <c r="O857" i="48"/>
  <c r="O858" i="48"/>
  <c r="O859" i="48"/>
  <c r="O860" i="48"/>
  <c r="O861" i="48"/>
  <c r="O862" i="48"/>
  <c r="O863" i="48"/>
  <c r="O864" i="48"/>
  <c r="O865" i="48"/>
  <c r="O866" i="48"/>
  <c r="O867" i="48"/>
  <c r="O868" i="48"/>
  <c r="O869" i="48"/>
  <c r="O870" i="48"/>
  <c r="O871" i="48"/>
  <c r="O872" i="48"/>
  <c r="O873" i="48"/>
  <c r="O874" i="48"/>
  <c r="O875" i="48"/>
  <c r="O876" i="48"/>
  <c r="O877" i="48"/>
  <c r="O878" i="48"/>
  <c r="O879" i="48"/>
  <c r="O880" i="48"/>
  <c r="O881" i="48"/>
  <c r="O882" i="48"/>
  <c r="O883" i="48"/>
  <c r="O884" i="48"/>
  <c r="O885" i="48"/>
  <c r="O886" i="48"/>
  <c r="O887" i="48"/>
  <c r="O888" i="48"/>
  <c r="O889" i="48"/>
  <c r="O890" i="48"/>
  <c r="O891" i="48"/>
  <c r="O892" i="48"/>
  <c r="O893" i="48"/>
  <c r="O894" i="48"/>
  <c r="O895" i="48"/>
  <c r="O896" i="48"/>
  <c r="O897" i="48"/>
  <c r="O898" i="48"/>
  <c r="O899" i="48"/>
  <c r="O900" i="48"/>
  <c r="O901" i="48"/>
  <c r="O902" i="48"/>
  <c r="O903" i="48"/>
  <c r="O904" i="48"/>
  <c r="O905" i="48"/>
  <c r="O906" i="48"/>
  <c r="O907" i="48"/>
  <c r="O908" i="48"/>
  <c r="O909" i="48"/>
  <c r="O910" i="48"/>
  <c r="O911" i="48"/>
  <c r="O912" i="48"/>
  <c r="O913" i="48"/>
  <c r="O914" i="48"/>
  <c r="O915" i="48"/>
  <c r="O916" i="48"/>
  <c r="O917" i="48"/>
  <c r="O918" i="48"/>
  <c r="O919" i="48"/>
  <c r="O920" i="48"/>
  <c r="O921" i="48"/>
  <c r="O922" i="48"/>
  <c r="O923" i="48"/>
  <c r="O924" i="48"/>
  <c r="O925" i="48"/>
  <c r="O926" i="48"/>
  <c r="O927" i="48"/>
  <c r="O928" i="48"/>
  <c r="O929" i="48"/>
  <c r="O930" i="48"/>
  <c r="O931" i="48"/>
  <c r="O932" i="48"/>
  <c r="O933" i="48"/>
  <c r="O934" i="48"/>
  <c r="O935" i="48"/>
  <c r="O936" i="48"/>
  <c r="O937" i="48"/>
  <c r="O938" i="48"/>
  <c r="O939" i="48"/>
  <c r="O940" i="48"/>
  <c r="O941" i="48"/>
  <c r="O942" i="48"/>
  <c r="O943" i="48"/>
  <c r="O944" i="48"/>
  <c r="O945" i="48"/>
  <c r="O946" i="48"/>
  <c r="O947" i="48"/>
  <c r="O948" i="48"/>
  <c r="O949" i="48"/>
  <c r="O950" i="48"/>
  <c r="O951" i="48"/>
  <c r="O952" i="48"/>
  <c r="O953" i="48"/>
  <c r="O954" i="48"/>
  <c r="O955" i="48"/>
  <c r="O956" i="48"/>
  <c r="O957" i="48"/>
  <c r="O958" i="48"/>
  <c r="O959" i="48"/>
  <c r="O960" i="48"/>
  <c r="O961" i="48"/>
  <c r="O962" i="48"/>
  <c r="O963" i="48"/>
  <c r="O964" i="48"/>
  <c r="O965" i="48"/>
  <c r="O966" i="48"/>
  <c r="O967" i="48"/>
  <c r="O968" i="48"/>
  <c r="O969" i="48"/>
  <c r="O970" i="48"/>
  <c r="O971" i="48"/>
  <c r="O972" i="48"/>
  <c r="O973" i="48"/>
  <c r="O974" i="48"/>
  <c r="O975" i="48"/>
  <c r="O976" i="48"/>
  <c r="O977" i="48"/>
  <c r="O978" i="48"/>
  <c r="O979" i="48"/>
  <c r="O980" i="48"/>
  <c r="O981" i="48"/>
  <c r="O982" i="48"/>
  <c r="O983" i="48"/>
  <c r="O984" i="48"/>
  <c r="O985" i="48"/>
  <c r="O986" i="48"/>
  <c r="O987" i="48"/>
  <c r="O988" i="48"/>
  <c r="O989" i="48"/>
  <c r="O990" i="48"/>
  <c r="O991" i="48"/>
  <c r="O992" i="48"/>
  <c r="O993" i="48"/>
  <c r="O994" i="48"/>
  <c r="O995" i="48"/>
  <c r="O996" i="48"/>
  <c r="O997" i="48"/>
  <c r="O998" i="48"/>
  <c r="O999" i="48"/>
  <c r="O1000" i="48"/>
  <c r="O1001" i="48"/>
  <c r="O1002" i="48"/>
  <c r="O1003" i="48"/>
  <c r="O1004" i="48"/>
  <c r="O1005" i="48"/>
  <c r="O1006" i="48"/>
  <c r="O1007" i="48"/>
  <c r="O1008" i="48"/>
  <c r="O1009" i="48"/>
  <c r="O1010" i="48"/>
  <c r="O1011" i="48"/>
  <c r="O1012" i="48"/>
  <c r="O1013" i="48"/>
  <c r="O1014" i="48"/>
  <c r="O1015" i="48"/>
  <c r="O16" i="48"/>
  <c r="B10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47" i="48"/>
  <c r="I48" i="48"/>
  <c r="I49" i="48"/>
  <c r="I50" i="48"/>
  <c r="I51" i="48"/>
  <c r="I52" i="48"/>
  <c r="I53" i="48"/>
  <c r="I54" i="48"/>
  <c r="I55" i="48"/>
  <c r="I56" i="48"/>
  <c r="I57" i="48"/>
  <c r="I58" i="48"/>
  <c r="I59" i="48"/>
  <c r="I60" i="48"/>
  <c r="I61" i="48"/>
  <c r="I62" i="48"/>
  <c r="I63" i="48"/>
  <c r="I64" i="48"/>
  <c r="I65" i="48"/>
  <c r="I66" i="48"/>
  <c r="I67" i="48"/>
  <c r="I68" i="48"/>
  <c r="I69" i="48"/>
  <c r="I70" i="48"/>
  <c r="I71" i="48"/>
  <c r="I72" i="48"/>
  <c r="I73" i="48"/>
  <c r="I74" i="48"/>
  <c r="I75" i="48"/>
  <c r="I76" i="48"/>
  <c r="I77" i="48"/>
  <c r="I78" i="48"/>
  <c r="I79" i="48"/>
  <c r="I80" i="48"/>
  <c r="I81" i="48"/>
  <c r="I82" i="48"/>
  <c r="I83" i="48"/>
  <c r="I84" i="48"/>
  <c r="I85" i="48"/>
  <c r="I86" i="48"/>
  <c r="I87" i="48"/>
  <c r="I88" i="48"/>
  <c r="I89" i="48"/>
  <c r="I90" i="48"/>
  <c r="I91" i="48"/>
  <c r="I92" i="48"/>
  <c r="I93" i="48"/>
  <c r="I94" i="48"/>
  <c r="I95" i="48"/>
  <c r="I96" i="48"/>
  <c r="I97" i="48"/>
  <c r="I98" i="48"/>
  <c r="I99" i="48"/>
  <c r="I100" i="48"/>
  <c r="I101" i="48"/>
  <c r="I102" i="48"/>
  <c r="I103" i="48"/>
  <c r="I104" i="48"/>
  <c r="I105" i="48"/>
  <c r="I106" i="48"/>
  <c r="I107" i="48"/>
  <c r="I108" i="48"/>
  <c r="I109" i="48"/>
  <c r="I110" i="48"/>
  <c r="I111" i="48"/>
  <c r="I112" i="48"/>
  <c r="I113" i="48"/>
  <c r="I114" i="48"/>
  <c r="I115" i="48"/>
  <c r="I116" i="48"/>
  <c r="I117" i="48"/>
  <c r="I118" i="48"/>
  <c r="I119" i="48"/>
  <c r="I120" i="48"/>
  <c r="I121" i="48"/>
  <c r="I122" i="48"/>
  <c r="I123" i="48"/>
  <c r="I124" i="48"/>
  <c r="I125" i="48"/>
  <c r="I126" i="48"/>
  <c r="I127" i="48"/>
  <c r="I128" i="48"/>
  <c r="I129" i="48"/>
  <c r="I130" i="48"/>
  <c r="I131" i="48"/>
  <c r="I132" i="48"/>
  <c r="I133" i="48"/>
  <c r="I134" i="48"/>
  <c r="I135" i="48"/>
  <c r="I136" i="48"/>
  <c r="I137" i="48"/>
  <c r="I138" i="48"/>
  <c r="I139" i="48"/>
  <c r="I140" i="48"/>
  <c r="I141" i="48"/>
  <c r="I142" i="48"/>
  <c r="I143" i="48"/>
  <c r="I144" i="48"/>
  <c r="I145" i="48"/>
  <c r="I146" i="48"/>
  <c r="I147" i="48"/>
  <c r="I148" i="48"/>
  <c r="I149" i="48"/>
  <c r="I150" i="48"/>
  <c r="I151" i="48"/>
  <c r="I152" i="48"/>
  <c r="I153" i="48"/>
  <c r="I154" i="48"/>
  <c r="I155" i="48"/>
  <c r="I156" i="48"/>
  <c r="I157" i="48"/>
  <c r="I158" i="48"/>
  <c r="I159" i="48"/>
  <c r="I160" i="48"/>
  <c r="I161" i="48"/>
  <c r="I162" i="48"/>
  <c r="I163" i="48"/>
  <c r="I164" i="48"/>
  <c r="I165" i="48"/>
  <c r="I166" i="48"/>
  <c r="I167" i="48"/>
  <c r="I168" i="48"/>
  <c r="I169" i="48"/>
  <c r="I170" i="48"/>
  <c r="I171" i="48"/>
  <c r="I172" i="48"/>
  <c r="I173" i="48"/>
  <c r="I174" i="48"/>
  <c r="I175" i="48"/>
  <c r="I176" i="48"/>
  <c r="I177" i="48"/>
  <c r="I178" i="48"/>
  <c r="I179" i="48"/>
  <c r="I180" i="48"/>
  <c r="I181" i="48"/>
  <c r="I182" i="48"/>
  <c r="I183" i="48"/>
  <c r="I184" i="48"/>
  <c r="I185" i="48"/>
  <c r="I186" i="48"/>
  <c r="I187" i="48"/>
  <c r="I188" i="48"/>
  <c r="I189" i="48"/>
  <c r="I190" i="48"/>
  <c r="I191" i="48"/>
  <c r="I192" i="48"/>
  <c r="I193" i="48"/>
  <c r="I194" i="48"/>
  <c r="I195" i="48"/>
  <c r="I196" i="48"/>
  <c r="I197" i="48"/>
  <c r="I198" i="48"/>
  <c r="I199" i="48"/>
  <c r="I200" i="48"/>
  <c r="I201" i="48"/>
  <c r="I202" i="48"/>
  <c r="I203" i="48"/>
  <c r="I204" i="48"/>
  <c r="I205" i="48"/>
  <c r="I206" i="48"/>
  <c r="I207" i="48"/>
  <c r="I208" i="48"/>
  <c r="I209" i="48"/>
  <c r="I210" i="48"/>
  <c r="I211" i="48"/>
  <c r="I212" i="48"/>
  <c r="I213" i="48"/>
  <c r="I214" i="48"/>
  <c r="I215" i="48"/>
  <c r="I216" i="48"/>
  <c r="I217" i="48"/>
  <c r="I218" i="48"/>
  <c r="I219" i="48"/>
  <c r="I220" i="48"/>
  <c r="I221" i="48"/>
  <c r="I222" i="48"/>
  <c r="I223" i="48"/>
  <c r="I224" i="48"/>
  <c r="I225" i="48"/>
  <c r="I226" i="48"/>
  <c r="I227" i="48"/>
  <c r="I228" i="48"/>
  <c r="I229" i="48"/>
  <c r="I230" i="48"/>
  <c r="I231" i="48"/>
  <c r="I232" i="48"/>
  <c r="I233" i="48"/>
  <c r="I234" i="48"/>
  <c r="I235" i="48"/>
  <c r="I236" i="48"/>
  <c r="I237" i="48"/>
  <c r="I238" i="48"/>
  <c r="I239" i="48"/>
  <c r="I240" i="48"/>
  <c r="I241" i="48"/>
  <c r="I242" i="48"/>
  <c r="I243" i="48"/>
  <c r="I244" i="48"/>
  <c r="I245" i="48"/>
  <c r="I246" i="48"/>
  <c r="I247" i="48"/>
  <c r="I248" i="48"/>
  <c r="I249" i="48"/>
  <c r="I250" i="48"/>
  <c r="I251" i="48"/>
  <c r="I252" i="48"/>
  <c r="I253" i="48"/>
  <c r="I254" i="48"/>
  <c r="I255" i="48"/>
  <c r="I256" i="48"/>
  <c r="I257" i="48"/>
  <c r="I258" i="48"/>
  <c r="I259" i="48"/>
  <c r="I260" i="48"/>
  <c r="I261" i="48"/>
  <c r="I262" i="48"/>
  <c r="I263" i="48"/>
  <c r="I264" i="48"/>
  <c r="I265" i="48"/>
  <c r="I266" i="48"/>
  <c r="I267" i="48"/>
  <c r="I268" i="48"/>
  <c r="I269" i="48"/>
  <c r="I270" i="48"/>
  <c r="I271" i="48"/>
  <c r="I272" i="48"/>
  <c r="I273" i="48"/>
  <c r="I274" i="48"/>
  <c r="I275" i="48"/>
  <c r="I276" i="48"/>
  <c r="I277" i="48"/>
  <c r="I278" i="48"/>
  <c r="I279" i="48"/>
  <c r="I280" i="48"/>
  <c r="I281" i="48"/>
  <c r="I282" i="48"/>
  <c r="I283" i="48"/>
  <c r="I284" i="48"/>
  <c r="I285" i="48"/>
  <c r="I286" i="48"/>
  <c r="I287" i="48"/>
  <c r="I288" i="48"/>
  <c r="I289" i="48"/>
  <c r="I290" i="48"/>
  <c r="I291" i="48"/>
  <c r="I292" i="48"/>
  <c r="I293" i="48"/>
  <c r="I294" i="48"/>
  <c r="I295" i="48"/>
  <c r="I296" i="48"/>
  <c r="I297" i="48"/>
  <c r="I298" i="48"/>
  <c r="I299" i="48"/>
  <c r="I300" i="48"/>
  <c r="I301" i="48"/>
  <c r="I302" i="48"/>
  <c r="I303" i="48"/>
  <c r="I304" i="48"/>
  <c r="I305" i="48"/>
  <c r="I306" i="48"/>
  <c r="I307" i="48"/>
  <c r="I308" i="48"/>
  <c r="I309" i="48"/>
  <c r="I310" i="48"/>
  <c r="I311" i="48"/>
  <c r="I312" i="48"/>
  <c r="I313" i="48"/>
  <c r="I314" i="48"/>
  <c r="I315" i="48"/>
  <c r="I316" i="48"/>
  <c r="I16" i="48"/>
  <c r="B11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C118" i="48"/>
  <c r="C119" i="48"/>
  <c r="C120" i="48"/>
  <c r="C121" i="48"/>
  <c r="C122" i="48"/>
  <c r="C123" i="48"/>
  <c r="C124" i="48"/>
  <c r="C125" i="48"/>
  <c r="C126" i="48"/>
  <c r="C127" i="48"/>
  <c r="C128" i="48"/>
  <c r="C129" i="48"/>
  <c r="C130" i="48"/>
  <c r="C131" i="48"/>
  <c r="C132" i="48"/>
  <c r="C133" i="48"/>
  <c r="C134" i="48"/>
  <c r="C135" i="48"/>
  <c r="C136" i="48"/>
  <c r="C137" i="48"/>
  <c r="C138" i="48"/>
  <c r="C139" i="48"/>
  <c r="C140" i="48"/>
  <c r="C141" i="48"/>
  <c r="C142" i="48"/>
  <c r="C143" i="48"/>
  <c r="C144" i="48"/>
  <c r="C145" i="48"/>
  <c r="C146" i="48"/>
  <c r="C147" i="48"/>
  <c r="C148" i="48"/>
  <c r="C149" i="48"/>
  <c r="C150" i="48"/>
  <c r="C151" i="48"/>
  <c r="C152" i="48"/>
  <c r="C153" i="48"/>
  <c r="C154" i="48"/>
  <c r="C155" i="48"/>
  <c r="C156" i="48"/>
  <c r="C157" i="48"/>
  <c r="C158" i="48"/>
  <c r="C159" i="48"/>
  <c r="C160" i="48"/>
  <c r="C161" i="48"/>
  <c r="C162" i="48"/>
  <c r="C163" i="48"/>
  <c r="C164" i="48"/>
  <c r="C165" i="48"/>
  <c r="C166" i="48"/>
  <c r="C167" i="48"/>
  <c r="C168" i="48"/>
  <c r="C169" i="48"/>
  <c r="C170" i="48"/>
  <c r="C171" i="48"/>
  <c r="C172" i="48"/>
  <c r="C173" i="48"/>
  <c r="C174" i="48"/>
  <c r="C175" i="48"/>
  <c r="C176" i="48"/>
  <c r="C177" i="48"/>
  <c r="C178" i="48"/>
  <c r="C179" i="48"/>
  <c r="C180" i="48"/>
  <c r="C181" i="48"/>
  <c r="C182" i="48"/>
  <c r="C183" i="48"/>
  <c r="C184" i="48"/>
  <c r="C185" i="48"/>
  <c r="C186" i="48"/>
  <c r="C187" i="48"/>
  <c r="C188" i="48"/>
  <c r="C189" i="48"/>
  <c r="C190" i="48"/>
  <c r="C191" i="48"/>
  <c r="C192" i="48"/>
  <c r="C193" i="48"/>
  <c r="C194" i="48"/>
  <c r="C195" i="48"/>
  <c r="C196" i="48"/>
  <c r="C197" i="48"/>
  <c r="C198" i="48"/>
  <c r="C199" i="48"/>
  <c r="C200" i="48"/>
  <c r="C201" i="48"/>
  <c r="C202" i="48"/>
  <c r="C203" i="48"/>
  <c r="C204" i="48"/>
  <c r="C205" i="48"/>
  <c r="C206" i="48"/>
  <c r="C207" i="48"/>
  <c r="C208" i="48"/>
  <c r="C209" i="48"/>
  <c r="C210" i="48"/>
  <c r="C211" i="48"/>
  <c r="C212" i="48"/>
  <c r="C213" i="48"/>
  <c r="C214" i="48"/>
  <c r="C215" i="48"/>
  <c r="C216" i="48"/>
  <c r="C217" i="48"/>
  <c r="C218" i="48"/>
  <c r="C219" i="48"/>
  <c r="C220" i="48"/>
  <c r="C221" i="48"/>
  <c r="C222" i="48"/>
  <c r="C223" i="48"/>
  <c r="C224" i="48"/>
  <c r="C225" i="48"/>
  <c r="C226" i="48"/>
  <c r="C227" i="48"/>
  <c r="C228" i="48"/>
  <c r="C229" i="48"/>
  <c r="C230" i="48"/>
  <c r="C231" i="48"/>
  <c r="C232" i="48"/>
  <c r="C233" i="48"/>
  <c r="C234" i="48"/>
  <c r="C235" i="48"/>
  <c r="C236" i="48"/>
  <c r="C237" i="48"/>
  <c r="C238" i="48"/>
  <c r="C239" i="48"/>
  <c r="C240" i="48"/>
  <c r="C241" i="48"/>
  <c r="C242" i="48"/>
  <c r="C243" i="48"/>
  <c r="C244" i="48"/>
  <c r="C245" i="48"/>
  <c r="C246" i="48"/>
  <c r="C247" i="48"/>
  <c r="C248" i="48"/>
  <c r="C249" i="48"/>
  <c r="C250" i="48"/>
  <c r="C251" i="48"/>
  <c r="C252" i="48"/>
  <c r="C253" i="48"/>
  <c r="C254" i="48"/>
  <c r="C255" i="48"/>
  <c r="C256" i="48"/>
  <c r="C257" i="48"/>
  <c r="C258" i="48"/>
  <c r="C259" i="48"/>
  <c r="C260" i="48"/>
  <c r="C261" i="48"/>
  <c r="C262" i="48"/>
  <c r="C263" i="48"/>
  <c r="C264" i="48"/>
  <c r="C265" i="48"/>
  <c r="C266" i="48"/>
  <c r="C267" i="48"/>
  <c r="C268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302" i="48"/>
  <c r="C303" i="48"/>
  <c r="C304" i="48"/>
  <c r="C305" i="48"/>
  <c r="C306" i="48"/>
  <c r="C307" i="48"/>
  <c r="C308" i="48"/>
  <c r="C309" i="48"/>
  <c r="C310" i="48"/>
  <c r="C311" i="48"/>
  <c r="C312" i="48"/>
  <c r="C313" i="48"/>
  <c r="C314" i="48"/>
  <c r="C315" i="48"/>
  <c r="C316" i="48"/>
  <c r="C317" i="48"/>
  <c r="C318" i="48"/>
  <c r="C319" i="48"/>
  <c r="C320" i="48"/>
  <c r="C321" i="48"/>
  <c r="C322" i="48"/>
  <c r="C323" i="48"/>
  <c r="C324" i="48"/>
  <c r="C325" i="48"/>
  <c r="C326" i="48"/>
  <c r="C327" i="48"/>
  <c r="C328" i="48"/>
  <c r="C329" i="48"/>
  <c r="C330" i="48"/>
  <c r="C331" i="48"/>
  <c r="C332" i="48"/>
  <c r="C333" i="48"/>
  <c r="C334" i="48"/>
  <c r="C335" i="48"/>
  <c r="C336" i="48"/>
  <c r="C337" i="48"/>
  <c r="C338" i="48"/>
  <c r="C339" i="48"/>
  <c r="C340" i="48"/>
  <c r="C341" i="48"/>
  <c r="C342" i="48"/>
  <c r="C343" i="48"/>
  <c r="C344" i="48"/>
  <c r="C345" i="48"/>
  <c r="C346" i="48"/>
  <c r="C347" i="48"/>
  <c r="C348" i="48"/>
  <c r="C349" i="48"/>
  <c r="C350" i="48"/>
  <c r="C351" i="48"/>
  <c r="C352" i="48"/>
  <c r="C353" i="48"/>
  <c r="C354" i="48"/>
  <c r="C355" i="48"/>
  <c r="C356" i="48"/>
  <c r="C357" i="48"/>
  <c r="C358" i="48"/>
  <c r="C359" i="48"/>
  <c r="C360" i="48"/>
  <c r="C361" i="48"/>
  <c r="C362" i="48"/>
  <c r="C363" i="48"/>
  <c r="C364" i="48"/>
  <c r="C365" i="48"/>
  <c r="C366" i="48"/>
  <c r="C367" i="48"/>
  <c r="C368" i="48"/>
  <c r="C369" i="48"/>
  <c r="C370" i="48"/>
  <c r="C371" i="48"/>
  <c r="C372" i="48"/>
  <c r="C373" i="48"/>
  <c r="C374" i="48"/>
  <c r="C375" i="48"/>
  <c r="C376" i="48"/>
  <c r="C377" i="48"/>
  <c r="C378" i="48"/>
  <c r="C379" i="48"/>
  <c r="C380" i="48"/>
  <c r="C381" i="48"/>
  <c r="C382" i="48"/>
  <c r="C383" i="48"/>
  <c r="C384" i="48"/>
  <c r="C385" i="48"/>
  <c r="C386" i="48"/>
  <c r="C387" i="48"/>
  <c r="C388" i="48"/>
  <c r="C389" i="48"/>
  <c r="C390" i="48"/>
  <c r="C391" i="48"/>
  <c r="C392" i="48"/>
  <c r="C393" i="48"/>
  <c r="C394" i="48"/>
  <c r="C395" i="48"/>
  <c r="C396" i="48"/>
  <c r="C397" i="48"/>
  <c r="C398" i="48"/>
  <c r="C399" i="48"/>
  <c r="C400" i="48"/>
  <c r="C401" i="48"/>
  <c r="C402" i="48"/>
  <c r="C403" i="48"/>
  <c r="C404" i="48"/>
  <c r="C405" i="48"/>
  <c r="C406" i="48"/>
  <c r="C407" i="48"/>
  <c r="C408" i="48"/>
  <c r="C409" i="48"/>
  <c r="C410" i="48"/>
  <c r="C411" i="48"/>
  <c r="C412" i="48"/>
  <c r="C413" i="48"/>
  <c r="C414" i="48"/>
  <c r="C415" i="48"/>
  <c r="C416" i="48"/>
  <c r="C417" i="48"/>
  <c r="C418" i="48"/>
  <c r="C419" i="48"/>
  <c r="C420" i="48"/>
  <c r="C421" i="48"/>
  <c r="C422" i="48"/>
  <c r="C423" i="48"/>
  <c r="C424" i="48"/>
  <c r="C425" i="48"/>
  <c r="C426" i="48"/>
  <c r="C427" i="48"/>
  <c r="C428" i="48"/>
  <c r="C429" i="48"/>
  <c r="C430" i="48"/>
  <c r="C431" i="48"/>
  <c r="C432" i="48"/>
  <c r="C433" i="48"/>
  <c r="C434" i="48"/>
  <c r="C435" i="48"/>
  <c r="C436" i="48"/>
  <c r="C437" i="48"/>
  <c r="C438" i="48"/>
  <c r="C439" i="48"/>
  <c r="C440" i="48"/>
  <c r="C441" i="48"/>
  <c r="C442" i="48"/>
  <c r="C443" i="48"/>
  <c r="C444" i="48"/>
  <c r="C445" i="48"/>
  <c r="C446" i="48"/>
  <c r="C447" i="48"/>
  <c r="C448" i="48"/>
  <c r="C449" i="48"/>
  <c r="C450" i="48"/>
  <c r="C451" i="48"/>
  <c r="C452" i="48"/>
  <c r="C453" i="48"/>
  <c r="C454" i="48"/>
  <c r="C455" i="48"/>
  <c r="C456" i="48"/>
  <c r="C457" i="48"/>
  <c r="C458" i="48"/>
  <c r="C459" i="48"/>
  <c r="C460" i="48"/>
  <c r="C461" i="48"/>
  <c r="C462" i="48"/>
  <c r="C463" i="48"/>
  <c r="C464" i="48"/>
  <c r="C465" i="48"/>
  <c r="C466" i="48"/>
  <c r="C467" i="48"/>
  <c r="C468" i="48"/>
  <c r="C469" i="48"/>
  <c r="C470" i="48"/>
  <c r="C471" i="48"/>
  <c r="C472" i="48"/>
  <c r="C473" i="48"/>
  <c r="C474" i="48"/>
  <c r="C475" i="48"/>
  <c r="C476" i="48"/>
  <c r="C477" i="48"/>
  <c r="C478" i="48"/>
  <c r="C479" i="48"/>
  <c r="C480" i="48"/>
  <c r="C481" i="48"/>
  <c r="C482" i="48"/>
  <c r="C483" i="48"/>
  <c r="C484" i="48"/>
  <c r="C485" i="48"/>
  <c r="C486" i="48"/>
  <c r="C487" i="48"/>
  <c r="C488" i="48"/>
  <c r="C489" i="48"/>
  <c r="C490" i="48"/>
  <c r="C491" i="48"/>
  <c r="C492" i="48"/>
  <c r="C493" i="48"/>
  <c r="C494" i="48"/>
  <c r="C495" i="48"/>
  <c r="C496" i="48"/>
  <c r="C497" i="48"/>
  <c r="C498" i="48"/>
  <c r="C499" i="48"/>
  <c r="C500" i="48"/>
  <c r="C501" i="48"/>
  <c r="C502" i="48"/>
  <c r="C503" i="48"/>
  <c r="C504" i="48"/>
  <c r="C505" i="48"/>
  <c r="C506" i="48"/>
  <c r="C507" i="48"/>
  <c r="C508" i="48"/>
  <c r="C509" i="48"/>
  <c r="C510" i="48"/>
  <c r="C511" i="48"/>
  <c r="C512" i="48"/>
  <c r="C513" i="48"/>
  <c r="C514" i="48"/>
  <c r="C515" i="48"/>
  <c r="C516" i="48"/>
  <c r="C517" i="48"/>
  <c r="C518" i="48"/>
  <c r="C519" i="48"/>
  <c r="C520" i="48"/>
  <c r="C521" i="48"/>
  <c r="C522" i="48"/>
  <c r="C523" i="48"/>
  <c r="C524" i="48"/>
  <c r="C525" i="48"/>
  <c r="C526" i="48"/>
  <c r="C527" i="48"/>
  <c r="C528" i="48"/>
  <c r="C529" i="48"/>
  <c r="C530" i="48"/>
  <c r="C531" i="48"/>
  <c r="C532" i="48"/>
  <c r="C533" i="48"/>
  <c r="C534" i="48"/>
  <c r="C535" i="48"/>
  <c r="C536" i="48"/>
  <c r="C537" i="48"/>
  <c r="C538" i="48"/>
  <c r="C539" i="48"/>
  <c r="C540" i="48"/>
  <c r="C541" i="48"/>
  <c r="C542" i="48"/>
  <c r="C543" i="48"/>
  <c r="C544" i="48"/>
  <c r="C545" i="48"/>
  <c r="C546" i="48"/>
  <c r="C547" i="48"/>
  <c r="C548" i="48"/>
  <c r="C549" i="48"/>
  <c r="C550" i="48"/>
  <c r="C551" i="48"/>
  <c r="C552" i="48"/>
  <c r="C553" i="48"/>
  <c r="C554" i="48"/>
  <c r="C555" i="48"/>
  <c r="C556" i="48"/>
  <c r="C557" i="48"/>
  <c r="C558" i="48"/>
  <c r="C559" i="48"/>
  <c r="C560" i="48"/>
  <c r="C561" i="48"/>
  <c r="C562" i="48"/>
  <c r="C563" i="48"/>
  <c r="C564" i="48"/>
  <c r="C565" i="48"/>
  <c r="C566" i="48"/>
  <c r="C567" i="48"/>
  <c r="C568" i="48"/>
  <c r="C569" i="48"/>
  <c r="C570" i="48"/>
  <c r="C571" i="48"/>
  <c r="C572" i="48"/>
  <c r="C573" i="48"/>
  <c r="C574" i="48"/>
  <c r="C575" i="48"/>
  <c r="C576" i="48"/>
  <c r="C577" i="48"/>
  <c r="C578" i="48"/>
  <c r="C579" i="48"/>
  <c r="C580" i="48"/>
  <c r="C581" i="48"/>
  <c r="C582" i="48"/>
  <c r="C583" i="48"/>
  <c r="C584" i="48"/>
  <c r="C585" i="48"/>
  <c r="C586" i="48"/>
  <c r="C587" i="48"/>
  <c r="C588" i="48"/>
  <c r="C589" i="48"/>
  <c r="C590" i="48"/>
  <c r="C591" i="48"/>
  <c r="C592" i="48"/>
  <c r="C593" i="48"/>
  <c r="C594" i="48"/>
  <c r="C595" i="48"/>
  <c r="C596" i="48"/>
  <c r="C597" i="48"/>
  <c r="C598" i="48"/>
  <c r="C599" i="48"/>
  <c r="C600" i="48"/>
  <c r="C601" i="48"/>
  <c r="C602" i="48"/>
  <c r="C603" i="48"/>
  <c r="C604" i="48"/>
  <c r="C605" i="48"/>
  <c r="C606" i="48"/>
  <c r="C607" i="48"/>
  <c r="C608" i="48"/>
  <c r="C609" i="48"/>
  <c r="C610" i="48"/>
  <c r="C611" i="48"/>
  <c r="C612" i="48"/>
  <c r="C613" i="48"/>
  <c r="C614" i="48"/>
  <c r="C615" i="48"/>
  <c r="C616" i="48"/>
  <c r="C617" i="48"/>
  <c r="C618" i="48"/>
  <c r="C619" i="48"/>
  <c r="C620" i="48"/>
  <c r="C621" i="48"/>
  <c r="C622" i="48"/>
  <c r="C623" i="48"/>
  <c r="C624" i="48"/>
  <c r="C625" i="48"/>
  <c r="C626" i="48"/>
  <c r="C627" i="48"/>
  <c r="C628" i="48"/>
  <c r="C629" i="48"/>
  <c r="C630" i="48"/>
  <c r="C631" i="48"/>
  <c r="C632" i="48"/>
  <c r="C633" i="48"/>
  <c r="C634" i="48"/>
  <c r="C635" i="48"/>
  <c r="C636" i="48"/>
  <c r="C637" i="48"/>
  <c r="C638" i="48"/>
  <c r="C639" i="48"/>
  <c r="C640" i="48"/>
  <c r="C641" i="48"/>
  <c r="C642" i="48"/>
  <c r="C643" i="48"/>
  <c r="C644" i="48"/>
  <c r="C645" i="48"/>
  <c r="C646" i="48"/>
  <c r="C647" i="48"/>
  <c r="C648" i="48"/>
  <c r="C649" i="48"/>
  <c r="C650" i="48"/>
  <c r="C651" i="48"/>
  <c r="C652" i="48"/>
  <c r="C653" i="48"/>
  <c r="C654" i="48"/>
  <c r="C655" i="48"/>
  <c r="C656" i="48"/>
  <c r="C657" i="48"/>
  <c r="C658" i="48"/>
  <c r="C659" i="48"/>
  <c r="C660" i="48"/>
  <c r="C661" i="48"/>
  <c r="C662" i="48"/>
  <c r="C663" i="48"/>
  <c r="C664" i="48"/>
  <c r="C665" i="48"/>
  <c r="C666" i="48"/>
  <c r="C667" i="48"/>
  <c r="C668" i="48"/>
  <c r="C669" i="48"/>
  <c r="C670" i="48"/>
  <c r="C671" i="48"/>
  <c r="C672" i="48"/>
  <c r="C673" i="48"/>
  <c r="C674" i="48"/>
  <c r="C675" i="48"/>
  <c r="C676" i="48"/>
  <c r="C677" i="48"/>
  <c r="C678" i="48"/>
  <c r="C679" i="48"/>
  <c r="C680" i="48"/>
  <c r="C681" i="48"/>
  <c r="C682" i="48"/>
  <c r="C683" i="48"/>
  <c r="C684" i="48"/>
  <c r="C685" i="48"/>
  <c r="C686" i="48"/>
  <c r="C687" i="48"/>
  <c r="C688" i="48"/>
  <c r="C689" i="48"/>
  <c r="C690" i="48"/>
  <c r="C691" i="48"/>
  <c r="C692" i="48"/>
  <c r="C693" i="48"/>
  <c r="C694" i="48"/>
  <c r="C695" i="48"/>
  <c r="C696" i="48"/>
  <c r="C697" i="48"/>
  <c r="C698" i="48"/>
  <c r="C699" i="48"/>
  <c r="C700" i="48"/>
  <c r="C701" i="48"/>
  <c r="C702" i="48"/>
  <c r="C703" i="48"/>
  <c r="C704" i="48"/>
  <c r="C705" i="48"/>
  <c r="C706" i="48"/>
  <c r="C707" i="48"/>
  <c r="C708" i="48"/>
  <c r="C709" i="48"/>
  <c r="C710" i="48"/>
  <c r="C711" i="48"/>
  <c r="C712" i="48"/>
  <c r="C713" i="48"/>
  <c r="C714" i="48"/>
  <c r="C715" i="48"/>
  <c r="C716" i="48"/>
  <c r="C717" i="48"/>
  <c r="C718" i="48"/>
  <c r="C719" i="48"/>
  <c r="C720" i="48"/>
  <c r="C721" i="48"/>
  <c r="C722" i="48"/>
  <c r="C723" i="48"/>
  <c r="C724" i="48"/>
  <c r="C725" i="48"/>
  <c r="C726" i="48"/>
  <c r="C727" i="48"/>
  <c r="C728" i="48"/>
  <c r="C729" i="48"/>
  <c r="C730" i="48"/>
  <c r="C731" i="48"/>
  <c r="C732" i="48"/>
  <c r="C733" i="48"/>
  <c r="C734" i="48"/>
  <c r="C735" i="48"/>
  <c r="C736" i="48"/>
  <c r="C737" i="48"/>
  <c r="C738" i="48"/>
  <c r="C739" i="48"/>
  <c r="C740" i="48"/>
  <c r="C741" i="48"/>
  <c r="C742" i="48"/>
  <c r="C743" i="48"/>
  <c r="C744" i="48"/>
  <c r="C745" i="48"/>
  <c r="C746" i="48"/>
  <c r="C747" i="48"/>
  <c r="C748" i="48"/>
  <c r="C749" i="48"/>
  <c r="C750" i="48"/>
  <c r="C751" i="48"/>
  <c r="C752" i="48"/>
  <c r="C753" i="48"/>
  <c r="C754" i="48"/>
  <c r="C755" i="48"/>
  <c r="C756" i="48"/>
  <c r="C757" i="48"/>
  <c r="C758" i="48"/>
  <c r="C759" i="48"/>
  <c r="C760" i="48"/>
  <c r="C761" i="48"/>
  <c r="C762" i="48"/>
  <c r="C763" i="48"/>
  <c r="C764" i="48"/>
  <c r="C765" i="48"/>
  <c r="C766" i="48"/>
  <c r="C767" i="48"/>
  <c r="C768" i="48"/>
  <c r="C769" i="48"/>
  <c r="C770" i="48"/>
  <c r="C771" i="48"/>
  <c r="C772" i="48"/>
  <c r="C773" i="48"/>
  <c r="C774" i="48"/>
  <c r="C775" i="48"/>
  <c r="C776" i="48"/>
  <c r="C777" i="48"/>
  <c r="C778" i="48"/>
  <c r="C779" i="48"/>
  <c r="C780" i="48"/>
  <c r="C781" i="48"/>
  <c r="C782" i="48"/>
  <c r="C783" i="48"/>
  <c r="C784" i="48"/>
  <c r="C785" i="48"/>
  <c r="C786" i="48"/>
  <c r="C787" i="48"/>
  <c r="C788" i="48"/>
  <c r="C789" i="48"/>
  <c r="C790" i="48"/>
  <c r="C791" i="48"/>
  <c r="C792" i="48"/>
  <c r="C793" i="48"/>
  <c r="C794" i="48"/>
  <c r="C795" i="48"/>
  <c r="C796" i="48"/>
  <c r="C797" i="48"/>
  <c r="C798" i="48"/>
  <c r="C799" i="48"/>
  <c r="C800" i="48"/>
  <c r="C801" i="48"/>
  <c r="C802" i="48"/>
  <c r="C803" i="48"/>
  <c r="C804" i="48"/>
  <c r="C805" i="48"/>
  <c r="C806" i="48"/>
  <c r="C807" i="48"/>
  <c r="C808" i="48"/>
  <c r="C809" i="48"/>
  <c r="C810" i="48"/>
  <c r="C811" i="48"/>
  <c r="C812" i="48"/>
  <c r="C813" i="48"/>
  <c r="C814" i="48"/>
  <c r="C815" i="48"/>
  <c r="C816" i="48"/>
  <c r="C817" i="48"/>
  <c r="C818" i="48"/>
  <c r="C819" i="48"/>
  <c r="C820" i="48"/>
  <c r="C821" i="48"/>
  <c r="C822" i="48"/>
  <c r="C823" i="48"/>
  <c r="C824" i="48"/>
  <c r="C825" i="48"/>
  <c r="C826" i="48"/>
  <c r="C827" i="48"/>
  <c r="C828" i="48"/>
  <c r="C829" i="48"/>
  <c r="C830" i="48"/>
  <c r="C831" i="48"/>
  <c r="C832" i="48"/>
  <c r="C833" i="48"/>
  <c r="C834" i="48"/>
  <c r="C835" i="48"/>
  <c r="C836" i="48"/>
  <c r="C837" i="48"/>
  <c r="C838" i="48"/>
  <c r="C839" i="48"/>
  <c r="C840" i="48"/>
  <c r="C841" i="48"/>
  <c r="C842" i="48"/>
  <c r="C843" i="48"/>
  <c r="C844" i="48"/>
  <c r="C845" i="48"/>
  <c r="C846" i="48"/>
  <c r="C847" i="48"/>
  <c r="C848" i="48"/>
  <c r="C849" i="48"/>
  <c r="C850" i="48"/>
  <c r="C851" i="48"/>
  <c r="C852" i="48"/>
  <c r="C853" i="48"/>
  <c r="C854" i="48"/>
  <c r="C855" i="48"/>
  <c r="C856" i="48"/>
  <c r="C857" i="48"/>
  <c r="C858" i="48"/>
  <c r="C859" i="48"/>
  <c r="C860" i="48"/>
  <c r="C861" i="48"/>
  <c r="C862" i="48"/>
  <c r="C863" i="48"/>
  <c r="C864" i="48"/>
  <c r="C865" i="48"/>
  <c r="C866" i="48"/>
  <c r="C867" i="48"/>
  <c r="C868" i="48"/>
  <c r="C869" i="48"/>
  <c r="C870" i="48"/>
  <c r="C871" i="48"/>
  <c r="C872" i="48"/>
  <c r="C873" i="48"/>
  <c r="C874" i="48"/>
  <c r="C875" i="48"/>
  <c r="C876" i="48"/>
  <c r="C877" i="48"/>
  <c r="C878" i="48"/>
  <c r="C879" i="48"/>
  <c r="C880" i="48"/>
  <c r="C881" i="48"/>
  <c r="C882" i="48"/>
  <c r="C883" i="48"/>
  <c r="C884" i="48"/>
  <c r="C885" i="48"/>
  <c r="C886" i="48"/>
  <c r="C887" i="48"/>
  <c r="C888" i="48"/>
  <c r="C889" i="48"/>
  <c r="C890" i="48"/>
  <c r="C891" i="48"/>
  <c r="C892" i="48"/>
  <c r="C893" i="48"/>
  <c r="C894" i="48"/>
  <c r="C895" i="48"/>
  <c r="C896" i="48"/>
  <c r="C897" i="48"/>
  <c r="C898" i="48"/>
  <c r="C899" i="48"/>
  <c r="C900" i="48"/>
  <c r="C901" i="48"/>
  <c r="C902" i="48"/>
  <c r="C903" i="48"/>
  <c r="C904" i="48"/>
  <c r="C905" i="48"/>
  <c r="C906" i="48"/>
  <c r="C907" i="48"/>
  <c r="C908" i="48"/>
  <c r="C909" i="48"/>
  <c r="C910" i="48"/>
  <c r="C911" i="48"/>
  <c r="C912" i="48"/>
  <c r="C913" i="48"/>
  <c r="C914" i="48"/>
  <c r="C915" i="48"/>
  <c r="C916" i="48"/>
  <c r="C917" i="48"/>
  <c r="C918" i="48"/>
  <c r="C919" i="48"/>
  <c r="C920" i="48"/>
  <c r="C921" i="48"/>
  <c r="C922" i="48"/>
  <c r="C923" i="48"/>
  <c r="C924" i="48"/>
  <c r="C925" i="48"/>
  <c r="C926" i="48"/>
  <c r="C927" i="48"/>
  <c r="C928" i="48"/>
  <c r="C929" i="48"/>
  <c r="C930" i="48"/>
  <c r="C931" i="48"/>
  <c r="C932" i="48"/>
  <c r="C933" i="48"/>
  <c r="C934" i="48"/>
  <c r="C935" i="48"/>
  <c r="C936" i="48"/>
  <c r="C937" i="48"/>
  <c r="C938" i="48"/>
  <c r="C939" i="48"/>
  <c r="C940" i="48"/>
  <c r="C941" i="48"/>
  <c r="C942" i="48"/>
  <c r="C943" i="48"/>
  <c r="C944" i="48"/>
  <c r="C945" i="48"/>
  <c r="C946" i="48"/>
  <c r="C947" i="48"/>
  <c r="C948" i="48"/>
  <c r="C949" i="48"/>
  <c r="C950" i="48"/>
  <c r="C951" i="48"/>
  <c r="C952" i="48"/>
  <c r="C953" i="48"/>
  <c r="C954" i="48"/>
  <c r="C955" i="48"/>
  <c r="C956" i="48"/>
  <c r="C957" i="48"/>
  <c r="C958" i="48"/>
  <c r="C959" i="48"/>
  <c r="C960" i="48"/>
  <c r="C961" i="48"/>
  <c r="C962" i="48"/>
  <c r="C963" i="48"/>
  <c r="C964" i="48"/>
  <c r="C965" i="48"/>
  <c r="C966" i="48"/>
  <c r="C967" i="48"/>
  <c r="C968" i="48"/>
  <c r="C969" i="48"/>
  <c r="C970" i="48"/>
  <c r="C971" i="48"/>
  <c r="C972" i="48"/>
  <c r="C973" i="48"/>
  <c r="C974" i="48"/>
  <c r="C975" i="48"/>
  <c r="C976" i="48"/>
  <c r="C977" i="48"/>
  <c r="C978" i="48"/>
  <c r="C979" i="48"/>
  <c r="C980" i="48"/>
  <c r="C981" i="48"/>
  <c r="C982" i="48"/>
  <c r="C983" i="48"/>
  <c r="C984" i="48"/>
  <c r="C985" i="48"/>
  <c r="C986" i="48"/>
  <c r="C987" i="48"/>
  <c r="C988" i="48"/>
  <c r="C989" i="48"/>
  <c r="C990" i="48"/>
  <c r="C991" i="48"/>
  <c r="C992" i="48"/>
  <c r="C993" i="48"/>
  <c r="C994" i="48"/>
  <c r="C995" i="48"/>
  <c r="C996" i="48"/>
  <c r="C997" i="48"/>
  <c r="C998" i="48"/>
  <c r="C999" i="48"/>
  <c r="C1000" i="48"/>
  <c r="C1001" i="48"/>
  <c r="C1002" i="48"/>
  <c r="C1003" i="48"/>
  <c r="C1004" i="48"/>
  <c r="C1005" i="48"/>
  <c r="C1006" i="48"/>
  <c r="C1007" i="48"/>
  <c r="C1008" i="48"/>
  <c r="C1009" i="48"/>
  <c r="C1010" i="48"/>
  <c r="C1011" i="48"/>
  <c r="C1012" i="48"/>
  <c r="C1013" i="48"/>
  <c r="C1014" i="48"/>
  <c r="C1015" i="48"/>
  <c r="C16" i="48"/>
  <c r="F14" i="48"/>
  <c r="F15" i="48"/>
  <c r="F18" i="48"/>
  <c r="F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83" i="48"/>
  <c r="K84" i="48"/>
  <c r="K85" i="48"/>
  <c r="K86" i="48"/>
  <c r="K87" i="48"/>
  <c r="K88" i="48"/>
  <c r="K89" i="48"/>
  <c r="K90" i="48"/>
  <c r="K91" i="48"/>
  <c r="K92" i="48"/>
  <c r="K93" i="48"/>
  <c r="K94" i="48"/>
  <c r="K95" i="48"/>
  <c r="K96" i="48"/>
  <c r="K97" i="48"/>
  <c r="K98" i="48"/>
  <c r="K99" i="48"/>
  <c r="K100" i="48"/>
  <c r="K101" i="48"/>
  <c r="K102" i="48"/>
  <c r="K103" i="48"/>
  <c r="K104" i="48"/>
  <c r="K105" i="48"/>
  <c r="K106" i="48"/>
  <c r="K107" i="48"/>
  <c r="K108" i="48"/>
  <c r="K109" i="48"/>
  <c r="K110" i="48"/>
  <c r="K111" i="48"/>
  <c r="K112" i="48"/>
  <c r="K113" i="48"/>
  <c r="K114" i="48"/>
  <c r="K115" i="48"/>
  <c r="K116" i="48"/>
  <c r="K117" i="48"/>
  <c r="K118" i="48"/>
  <c r="K119" i="48"/>
  <c r="K120" i="48"/>
  <c r="K121" i="48"/>
  <c r="K122" i="48"/>
  <c r="K123" i="48"/>
  <c r="K124" i="48"/>
  <c r="K125" i="48"/>
  <c r="K126" i="48"/>
  <c r="K127" i="48"/>
  <c r="K128" i="48"/>
  <c r="K129" i="48"/>
  <c r="K130" i="48"/>
  <c r="K131" i="48"/>
  <c r="K132" i="48"/>
  <c r="K133" i="48"/>
  <c r="K134" i="48"/>
  <c r="K135" i="48"/>
  <c r="K136" i="48"/>
  <c r="K137" i="48"/>
  <c r="K138" i="48"/>
  <c r="K139" i="48"/>
  <c r="K140" i="48"/>
  <c r="K141" i="48"/>
  <c r="K142" i="48"/>
  <c r="K143" i="48"/>
  <c r="K144" i="48"/>
  <c r="K145" i="48"/>
  <c r="K146" i="48"/>
  <c r="K147" i="48"/>
  <c r="K148" i="48"/>
  <c r="K149" i="48"/>
  <c r="K150" i="48"/>
  <c r="K151" i="48"/>
  <c r="K152" i="48"/>
  <c r="K153" i="48"/>
  <c r="K154" i="48"/>
  <c r="K155" i="48"/>
  <c r="K156" i="48"/>
  <c r="K157" i="48"/>
  <c r="K158" i="48"/>
  <c r="K159" i="48"/>
  <c r="K160" i="48"/>
  <c r="K161" i="48"/>
  <c r="K162" i="48"/>
  <c r="K163" i="48"/>
  <c r="K164" i="48"/>
  <c r="K165" i="48"/>
  <c r="K166" i="48"/>
  <c r="K167" i="48"/>
  <c r="K168" i="48"/>
  <c r="K169" i="48"/>
  <c r="K170" i="48"/>
  <c r="K171" i="48"/>
  <c r="K172" i="48"/>
  <c r="K173" i="48"/>
  <c r="K174" i="48"/>
  <c r="K175" i="48"/>
  <c r="K176" i="48"/>
  <c r="K177" i="48"/>
  <c r="K178" i="48"/>
  <c r="K179" i="48"/>
  <c r="K180" i="48"/>
  <c r="K181" i="48"/>
  <c r="K182" i="48"/>
  <c r="K183" i="48"/>
  <c r="K184" i="48"/>
  <c r="K185" i="48"/>
  <c r="K186" i="48"/>
  <c r="K187" i="48"/>
  <c r="K188" i="48"/>
  <c r="K189" i="48"/>
  <c r="K190" i="48"/>
  <c r="K191" i="48"/>
  <c r="K192" i="48"/>
  <c r="K193" i="48"/>
  <c r="K194" i="48"/>
  <c r="K195" i="48"/>
  <c r="K196" i="48"/>
  <c r="K197" i="48"/>
  <c r="K198" i="48"/>
  <c r="K199" i="48"/>
  <c r="K200" i="48"/>
  <c r="K201" i="48"/>
  <c r="K202" i="48"/>
  <c r="K203" i="48"/>
  <c r="K204" i="48"/>
  <c r="K205" i="48"/>
  <c r="K206" i="48"/>
  <c r="K207" i="48"/>
  <c r="K208" i="48"/>
  <c r="K209" i="48"/>
  <c r="K210" i="48"/>
  <c r="K211" i="48"/>
  <c r="K212" i="48"/>
  <c r="K213" i="48"/>
  <c r="K214" i="48"/>
  <c r="K215" i="48"/>
  <c r="K216" i="48"/>
  <c r="K217" i="48"/>
  <c r="K218" i="48"/>
  <c r="K219" i="48"/>
  <c r="K220" i="48"/>
  <c r="K221" i="48"/>
  <c r="K222" i="48"/>
  <c r="K223" i="48"/>
  <c r="K224" i="48"/>
  <c r="K225" i="48"/>
  <c r="K226" i="48"/>
  <c r="K227" i="48"/>
  <c r="K228" i="48"/>
  <c r="K229" i="48"/>
  <c r="K230" i="48"/>
  <c r="K231" i="48"/>
  <c r="K232" i="48"/>
  <c r="K233" i="48"/>
  <c r="K234" i="48"/>
  <c r="K235" i="48"/>
  <c r="K236" i="48"/>
  <c r="K237" i="48"/>
  <c r="K238" i="48"/>
  <c r="K239" i="48"/>
  <c r="K240" i="48"/>
  <c r="K241" i="48"/>
  <c r="K242" i="48"/>
  <c r="K243" i="48"/>
  <c r="K244" i="48"/>
  <c r="K245" i="48"/>
  <c r="K246" i="48"/>
  <c r="K247" i="48"/>
  <c r="K248" i="48"/>
  <c r="K249" i="48"/>
  <c r="K250" i="48"/>
  <c r="K251" i="48"/>
  <c r="K252" i="48"/>
  <c r="K253" i="48"/>
  <c r="K254" i="48"/>
  <c r="K255" i="48"/>
  <c r="K256" i="48"/>
  <c r="K257" i="48"/>
  <c r="K258" i="48"/>
  <c r="K259" i="48"/>
  <c r="K260" i="48"/>
  <c r="K261" i="48"/>
  <c r="K262" i="48"/>
  <c r="K263" i="48"/>
  <c r="K264" i="48"/>
  <c r="K265" i="48"/>
  <c r="K266" i="48"/>
  <c r="K267" i="48"/>
  <c r="K268" i="48"/>
  <c r="K269" i="48"/>
  <c r="K270" i="48"/>
  <c r="K271" i="48"/>
  <c r="K272" i="48"/>
  <c r="K273" i="48"/>
  <c r="K274" i="48"/>
  <c r="K275" i="48"/>
  <c r="K276" i="48"/>
  <c r="K277" i="48"/>
  <c r="K278" i="48"/>
  <c r="K279" i="48"/>
  <c r="K280" i="48"/>
  <c r="K281" i="48"/>
  <c r="K282" i="48"/>
  <c r="K283" i="48"/>
  <c r="K284" i="48"/>
  <c r="K285" i="48"/>
  <c r="K286" i="48"/>
  <c r="K287" i="48"/>
  <c r="K288" i="48"/>
  <c r="K289" i="48"/>
  <c r="K290" i="48"/>
  <c r="K291" i="48"/>
  <c r="K292" i="48"/>
  <c r="K293" i="48"/>
  <c r="K294" i="48"/>
  <c r="K295" i="48"/>
  <c r="K296" i="48"/>
  <c r="K297" i="48"/>
  <c r="K298" i="48"/>
  <c r="K299" i="48"/>
  <c r="K300" i="48"/>
  <c r="K301" i="48"/>
  <c r="K302" i="48"/>
  <c r="K303" i="48"/>
  <c r="K304" i="48"/>
  <c r="K305" i="48"/>
  <c r="K306" i="48"/>
  <c r="K307" i="48"/>
  <c r="K308" i="48"/>
  <c r="K309" i="48"/>
  <c r="K310" i="48"/>
  <c r="K311" i="48"/>
  <c r="K312" i="48"/>
  <c r="K313" i="48"/>
  <c r="K314" i="48"/>
  <c r="K315" i="48"/>
  <c r="F16" i="48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4" i="47"/>
  <c r="B125" i="47"/>
  <c r="B126" i="47"/>
  <c r="B127" i="47"/>
  <c r="B128" i="47"/>
  <c r="B129" i="47"/>
  <c r="B130" i="47"/>
  <c r="B131" i="47"/>
  <c r="B132" i="47"/>
  <c r="B133" i="47"/>
  <c r="B134" i="47"/>
  <c r="B135" i="47"/>
  <c r="B136" i="47"/>
  <c r="B137" i="47"/>
  <c r="B138" i="47"/>
  <c r="B139" i="47"/>
  <c r="B140" i="47"/>
  <c r="B141" i="47"/>
  <c r="B142" i="47"/>
  <c r="B143" i="47"/>
  <c r="B144" i="47"/>
  <c r="B145" i="47"/>
  <c r="B146" i="47"/>
  <c r="B147" i="47"/>
  <c r="B148" i="47"/>
  <c r="B149" i="47"/>
  <c r="B150" i="47"/>
  <c r="B151" i="47"/>
  <c r="B152" i="47"/>
  <c r="B153" i="47"/>
  <c r="B154" i="47"/>
  <c r="B155" i="47"/>
  <c r="B156" i="47"/>
  <c r="B157" i="47"/>
  <c r="B158" i="47"/>
  <c r="B159" i="47"/>
  <c r="B160" i="47"/>
  <c r="B161" i="47"/>
  <c r="B162" i="47"/>
  <c r="B163" i="47"/>
  <c r="B164" i="47"/>
  <c r="B165" i="47"/>
  <c r="B166" i="47"/>
  <c r="B167" i="47"/>
  <c r="B168" i="47"/>
  <c r="B169" i="47"/>
  <c r="B170" i="47"/>
  <c r="B171" i="47"/>
  <c r="B172" i="47"/>
  <c r="B173" i="47"/>
  <c r="B174" i="47"/>
  <c r="B175" i="47"/>
  <c r="B176" i="47"/>
  <c r="B177" i="47"/>
  <c r="B178" i="47"/>
  <c r="B179" i="47"/>
  <c r="B180" i="47"/>
  <c r="B181" i="47"/>
  <c r="B182" i="47"/>
  <c r="B183" i="47"/>
  <c r="B184" i="47"/>
  <c r="B185" i="47"/>
  <c r="B186" i="47"/>
  <c r="B187" i="47"/>
  <c r="B188" i="47"/>
  <c r="B189" i="47"/>
  <c r="B190" i="47"/>
  <c r="B191" i="47"/>
  <c r="B192" i="47"/>
  <c r="B193" i="47"/>
  <c r="B194" i="47"/>
  <c r="B195" i="47"/>
  <c r="B196" i="47"/>
  <c r="B197" i="47"/>
  <c r="B198" i="47"/>
  <c r="B199" i="47"/>
  <c r="B200" i="47"/>
  <c r="B201" i="47"/>
  <c r="B202" i="47"/>
  <c r="B203" i="47"/>
  <c r="B204" i="47"/>
  <c r="B205" i="47"/>
  <c r="B206" i="47"/>
  <c r="B207" i="47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24" i="47"/>
  <c r="B225" i="47"/>
  <c r="B226" i="47"/>
  <c r="B227" i="47"/>
  <c r="B228" i="47"/>
  <c r="B229" i="47"/>
  <c r="B230" i="47"/>
  <c r="B231" i="47"/>
  <c r="B232" i="47"/>
  <c r="B233" i="47"/>
  <c r="B234" i="47"/>
  <c r="B235" i="47"/>
  <c r="B236" i="47"/>
  <c r="B237" i="47"/>
  <c r="B238" i="47"/>
  <c r="B239" i="47"/>
  <c r="B240" i="47"/>
  <c r="B241" i="47"/>
  <c r="B242" i="47"/>
  <c r="B243" i="47"/>
  <c r="B244" i="47"/>
  <c r="B245" i="47"/>
  <c r="B246" i="47"/>
  <c r="B247" i="47"/>
  <c r="B248" i="47"/>
  <c r="B249" i="47"/>
  <c r="B250" i="47"/>
  <c r="B251" i="47"/>
  <c r="B252" i="47"/>
  <c r="B253" i="47"/>
  <c r="B254" i="47"/>
  <c r="B255" i="47"/>
  <c r="B256" i="47"/>
  <c r="B257" i="47"/>
  <c r="B258" i="47"/>
  <c r="B259" i="47"/>
  <c r="B260" i="47"/>
  <c r="B261" i="47"/>
  <c r="B262" i="47"/>
  <c r="B263" i="47"/>
  <c r="B264" i="47"/>
  <c r="B265" i="47"/>
  <c r="B266" i="47"/>
  <c r="B267" i="47"/>
  <c r="B268" i="47"/>
  <c r="B269" i="47"/>
  <c r="B270" i="47"/>
  <c r="B271" i="47"/>
  <c r="B272" i="47"/>
  <c r="B273" i="47"/>
  <c r="B274" i="47"/>
  <c r="B275" i="47"/>
  <c r="B276" i="47"/>
  <c r="B277" i="47"/>
  <c r="B278" i="47"/>
  <c r="B279" i="47"/>
  <c r="B280" i="47"/>
  <c r="B281" i="47"/>
  <c r="B282" i="47"/>
  <c r="B283" i="47"/>
  <c r="B284" i="47"/>
  <c r="B285" i="47"/>
  <c r="B286" i="47"/>
  <c r="B287" i="47"/>
  <c r="B288" i="47"/>
  <c r="B289" i="47"/>
  <c r="B290" i="47"/>
  <c r="B291" i="47"/>
  <c r="B292" i="47"/>
  <c r="B293" i="47"/>
  <c r="B294" i="47"/>
  <c r="B295" i="47"/>
  <c r="B296" i="47"/>
  <c r="B297" i="47"/>
  <c r="B298" i="47"/>
  <c r="B299" i="47"/>
  <c r="B300" i="47"/>
  <c r="B301" i="47"/>
  <c r="B302" i="47"/>
  <c r="B303" i="47"/>
  <c r="B304" i="47"/>
  <c r="B305" i="47"/>
  <c r="B306" i="47"/>
  <c r="B307" i="47"/>
  <c r="B308" i="47"/>
  <c r="B309" i="47"/>
  <c r="B310" i="47"/>
  <c r="B311" i="47"/>
  <c r="B312" i="47"/>
  <c r="B313" i="47"/>
  <c r="B314" i="47"/>
  <c r="B315" i="47"/>
  <c r="B316" i="47"/>
  <c r="B317" i="47"/>
  <c r="B318" i="47"/>
  <c r="B319" i="47"/>
  <c r="B320" i="47"/>
  <c r="B321" i="47"/>
  <c r="B322" i="47"/>
  <c r="B323" i="47"/>
  <c r="B324" i="47"/>
  <c r="B325" i="47"/>
  <c r="B326" i="47"/>
  <c r="B327" i="47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B367" i="47"/>
  <c r="B368" i="47"/>
  <c r="B369" i="47"/>
  <c r="B370" i="47"/>
  <c r="B371" i="47"/>
  <c r="B372" i="47"/>
  <c r="B373" i="47"/>
  <c r="B374" i="47"/>
  <c r="B375" i="47"/>
  <c r="B376" i="47"/>
  <c r="B377" i="47"/>
  <c r="B378" i="47"/>
  <c r="B379" i="47"/>
  <c r="B380" i="47"/>
  <c r="B381" i="47"/>
  <c r="B382" i="47"/>
  <c r="B383" i="47"/>
  <c r="B384" i="47"/>
  <c r="B385" i="47"/>
  <c r="B386" i="47"/>
  <c r="B387" i="47"/>
  <c r="B388" i="47"/>
  <c r="B389" i="47"/>
  <c r="B390" i="47"/>
  <c r="B391" i="47"/>
  <c r="B392" i="47"/>
  <c r="B393" i="47"/>
  <c r="B394" i="47"/>
  <c r="B395" i="47"/>
  <c r="B396" i="47"/>
  <c r="B397" i="47"/>
  <c r="B398" i="47"/>
  <c r="B399" i="47"/>
  <c r="B400" i="47"/>
  <c r="B401" i="47"/>
  <c r="B402" i="47"/>
  <c r="B403" i="47"/>
  <c r="B404" i="47"/>
  <c r="B405" i="47"/>
  <c r="B406" i="47"/>
  <c r="B407" i="47"/>
  <c r="B408" i="47"/>
  <c r="B409" i="47"/>
  <c r="B410" i="47"/>
  <c r="B411" i="47"/>
  <c r="B412" i="47"/>
  <c r="B413" i="47"/>
  <c r="B414" i="47"/>
  <c r="B415" i="47"/>
  <c r="B416" i="47"/>
  <c r="B417" i="47"/>
  <c r="B418" i="47"/>
  <c r="B419" i="47"/>
  <c r="B420" i="47"/>
  <c r="B421" i="47"/>
  <c r="B422" i="47"/>
  <c r="B423" i="47"/>
  <c r="B424" i="47"/>
  <c r="B425" i="47"/>
  <c r="B426" i="47"/>
  <c r="B427" i="47"/>
  <c r="B428" i="47"/>
  <c r="B429" i="47"/>
  <c r="B430" i="47"/>
  <c r="B431" i="47"/>
  <c r="B432" i="47"/>
  <c r="B433" i="47"/>
  <c r="B434" i="47"/>
  <c r="B435" i="47"/>
  <c r="B436" i="47"/>
  <c r="B437" i="47"/>
  <c r="B438" i="47"/>
  <c r="B439" i="47"/>
  <c r="B440" i="47"/>
  <c r="B441" i="47"/>
  <c r="B442" i="47"/>
  <c r="B443" i="47"/>
  <c r="B444" i="47"/>
  <c r="B445" i="47"/>
  <c r="B446" i="47"/>
  <c r="B447" i="47"/>
  <c r="B448" i="47"/>
  <c r="B449" i="47"/>
  <c r="B450" i="47"/>
  <c r="B451" i="47"/>
  <c r="B452" i="47"/>
  <c r="B453" i="47"/>
  <c r="B454" i="47"/>
  <c r="B455" i="47"/>
  <c r="B456" i="47"/>
  <c r="B457" i="47"/>
  <c r="B458" i="47"/>
  <c r="B459" i="47"/>
  <c r="B460" i="47"/>
  <c r="B461" i="47"/>
  <c r="B462" i="47"/>
  <c r="B463" i="47"/>
  <c r="B464" i="47"/>
  <c r="B465" i="47"/>
  <c r="B466" i="47"/>
  <c r="B467" i="47"/>
  <c r="B468" i="47"/>
  <c r="B469" i="47"/>
  <c r="B470" i="47"/>
  <c r="B471" i="47"/>
  <c r="B472" i="47"/>
  <c r="B473" i="47"/>
  <c r="B474" i="47"/>
  <c r="B475" i="47"/>
  <c r="B476" i="47"/>
  <c r="B477" i="47"/>
  <c r="B478" i="47"/>
  <c r="B479" i="47"/>
  <c r="B480" i="47"/>
  <c r="B481" i="47"/>
  <c r="B482" i="47"/>
  <c r="B483" i="47"/>
  <c r="B484" i="47"/>
  <c r="B485" i="47"/>
  <c r="B486" i="47"/>
  <c r="B487" i="47"/>
  <c r="B488" i="47"/>
  <c r="B489" i="47"/>
  <c r="B490" i="47"/>
  <c r="B491" i="47"/>
  <c r="B492" i="47"/>
  <c r="B493" i="47"/>
  <c r="B494" i="47"/>
  <c r="B495" i="47"/>
  <c r="B496" i="47"/>
  <c r="B497" i="47"/>
  <c r="B498" i="47"/>
  <c r="B499" i="47"/>
  <c r="B500" i="47"/>
  <c r="B501" i="47"/>
  <c r="B502" i="47"/>
  <c r="B503" i="47"/>
  <c r="B504" i="47"/>
  <c r="B505" i="47"/>
  <c r="B506" i="47"/>
  <c r="B507" i="47"/>
  <c r="B508" i="47"/>
  <c r="B509" i="47"/>
  <c r="B510" i="47"/>
  <c r="B511" i="47"/>
  <c r="B512" i="47"/>
  <c r="B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113" i="47"/>
  <c r="C114" i="47"/>
  <c r="C115" i="47"/>
  <c r="C116" i="47"/>
  <c r="C117" i="47"/>
  <c r="C118" i="47"/>
  <c r="C119" i="47"/>
  <c r="C120" i="47"/>
  <c r="C121" i="47"/>
  <c r="C122" i="47"/>
  <c r="C123" i="47"/>
  <c r="C124" i="47"/>
  <c r="C125" i="47"/>
  <c r="C126" i="47"/>
  <c r="C127" i="47"/>
  <c r="C128" i="47"/>
  <c r="C129" i="47"/>
  <c r="C130" i="47"/>
  <c r="C131" i="47"/>
  <c r="C132" i="47"/>
  <c r="C133" i="47"/>
  <c r="C134" i="47"/>
  <c r="C135" i="47"/>
  <c r="C136" i="47"/>
  <c r="C137" i="47"/>
  <c r="C138" i="47"/>
  <c r="C139" i="47"/>
  <c r="C140" i="47"/>
  <c r="C141" i="47"/>
  <c r="C142" i="47"/>
  <c r="C143" i="47"/>
  <c r="C144" i="47"/>
  <c r="C145" i="47"/>
  <c r="C146" i="47"/>
  <c r="C147" i="47"/>
  <c r="C148" i="47"/>
  <c r="C149" i="47"/>
  <c r="C150" i="47"/>
  <c r="C151" i="47"/>
  <c r="C152" i="47"/>
  <c r="C153" i="47"/>
  <c r="C154" i="47"/>
  <c r="C155" i="47"/>
  <c r="C156" i="47"/>
  <c r="C157" i="47"/>
  <c r="C158" i="47"/>
  <c r="C159" i="47"/>
  <c r="C160" i="47"/>
  <c r="C161" i="47"/>
  <c r="C162" i="47"/>
  <c r="C163" i="47"/>
  <c r="C164" i="47"/>
  <c r="C165" i="47"/>
  <c r="C166" i="47"/>
  <c r="C167" i="47"/>
  <c r="C168" i="47"/>
  <c r="C169" i="47"/>
  <c r="C170" i="47"/>
  <c r="C171" i="47"/>
  <c r="C172" i="47"/>
  <c r="C173" i="47"/>
  <c r="C174" i="47"/>
  <c r="C175" i="47"/>
  <c r="C176" i="47"/>
  <c r="C177" i="47"/>
  <c r="C178" i="47"/>
  <c r="C179" i="47"/>
  <c r="C180" i="47"/>
  <c r="C181" i="47"/>
  <c r="C182" i="47"/>
  <c r="C183" i="47"/>
  <c r="C184" i="47"/>
  <c r="C185" i="47"/>
  <c r="C186" i="47"/>
  <c r="C187" i="47"/>
  <c r="C188" i="47"/>
  <c r="C189" i="47"/>
  <c r="C190" i="47"/>
  <c r="C191" i="47"/>
  <c r="C192" i="47"/>
  <c r="C193" i="47"/>
  <c r="C194" i="47"/>
  <c r="C195" i="47"/>
  <c r="C196" i="47"/>
  <c r="C197" i="47"/>
  <c r="C198" i="47"/>
  <c r="C199" i="47"/>
  <c r="C200" i="47"/>
  <c r="C201" i="47"/>
  <c r="C202" i="47"/>
  <c r="C203" i="47"/>
  <c r="C204" i="47"/>
  <c r="C205" i="47"/>
  <c r="C206" i="47"/>
  <c r="C207" i="47"/>
  <c r="C208" i="47"/>
  <c r="C209" i="47"/>
  <c r="C210" i="47"/>
  <c r="C211" i="47"/>
  <c r="C212" i="47"/>
  <c r="C213" i="47"/>
  <c r="C214" i="47"/>
  <c r="C215" i="47"/>
  <c r="C216" i="47"/>
  <c r="C217" i="47"/>
  <c r="C218" i="47"/>
  <c r="C219" i="47"/>
  <c r="C220" i="47"/>
  <c r="C221" i="47"/>
  <c r="C222" i="47"/>
  <c r="C223" i="47"/>
  <c r="C224" i="47"/>
  <c r="C225" i="47"/>
  <c r="C226" i="47"/>
  <c r="C227" i="47"/>
  <c r="C228" i="47"/>
  <c r="C229" i="47"/>
  <c r="C230" i="47"/>
  <c r="C231" i="47"/>
  <c r="C232" i="47"/>
  <c r="C233" i="47"/>
  <c r="C234" i="47"/>
  <c r="C235" i="47"/>
  <c r="C236" i="47"/>
  <c r="C237" i="47"/>
  <c r="C238" i="47"/>
  <c r="C239" i="47"/>
  <c r="C240" i="47"/>
  <c r="C241" i="47"/>
  <c r="C242" i="47"/>
  <c r="C243" i="47"/>
  <c r="C244" i="47"/>
  <c r="C245" i="47"/>
  <c r="C246" i="47"/>
  <c r="C247" i="47"/>
  <c r="C248" i="47"/>
  <c r="C249" i="47"/>
  <c r="C250" i="47"/>
  <c r="C251" i="47"/>
  <c r="C252" i="47"/>
  <c r="C253" i="47"/>
  <c r="C254" i="47"/>
  <c r="C255" i="47"/>
  <c r="C256" i="47"/>
  <c r="C257" i="47"/>
  <c r="C258" i="47"/>
  <c r="C259" i="47"/>
  <c r="C260" i="47"/>
  <c r="C261" i="47"/>
  <c r="C262" i="47"/>
  <c r="C263" i="47"/>
  <c r="C264" i="47"/>
  <c r="C265" i="47"/>
  <c r="C266" i="47"/>
  <c r="C267" i="47"/>
  <c r="C268" i="47"/>
  <c r="C269" i="47"/>
  <c r="C270" i="47"/>
  <c r="C271" i="47"/>
  <c r="C272" i="47"/>
  <c r="C273" i="47"/>
  <c r="C274" i="47"/>
  <c r="C275" i="47"/>
  <c r="C276" i="47"/>
  <c r="C277" i="47"/>
  <c r="C278" i="47"/>
  <c r="C279" i="47"/>
  <c r="C280" i="47"/>
  <c r="C281" i="47"/>
  <c r="C282" i="47"/>
  <c r="C283" i="47"/>
  <c r="C284" i="47"/>
  <c r="C285" i="47"/>
  <c r="C286" i="47"/>
  <c r="C287" i="47"/>
  <c r="C288" i="47"/>
  <c r="C289" i="47"/>
  <c r="C290" i="47"/>
  <c r="C291" i="47"/>
  <c r="C292" i="47"/>
  <c r="C293" i="47"/>
  <c r="C294" i="47"/>
  <c r="C295" i="47"/>
  <c r="C296" i="47"/>
  <c r="C297" i="47"/>
  <c r="C298" i="47"/>
  <c r="C299" i="47"/>
  <c r="C300" i="47"/>
  <c r="C301" i="47"/>
  <c r="C302" i="47"/>
  <c r="C303" i="47"/>
  <c r="C304" i="47"/>
  <c r="C305" i="47"/>
  <c r="C306" i="47"/>
  <c r="C307" i="47"/>
  <c r="C308" i="47"/>
  <c r="C309" i="47"/>
  <c r="C310" i="47"/>
  <c r="C311" i="47"/>
  <c r="C312" i="47"/>
  <c r="C313" i="47"/>
  <c r="C314" i="47"/>
  <c r="C315" i="47"/>
  <c r="C316" i="47"/>
  <c r="C317" i="47"/>
  <c r="C318" i="47"/>
  <c r="C319" i="47"/>
  <c r="C320" i="47"/>
  <c r="C321" i="47"/>
  <c r="C322" i="47"/>
  <c r="C323" i="47"/>
  <c r="C324" i="47"/>
  <c r="C325" i="47"/>
  <c r="C326" i="47"/>
  <c r="C327" i="47"/>
  <c r="C328" i="47"/>
  <c r="C329" i="47"/>
  <c r="C330" i="47"/>
  <c r="C331" i="47"/>
  <c r="C332" i="47"/>
  <c r="C333" i="47"/>
  <c r="C334" i="47"/>
  <c r="C335" i="47"/>
  <c r="C336" i="47"/>
  <c r="C337" i="47"/>
  <c r="C338" i="47"/>
  <c r="C339" i="47"/>
  <c r="C340" i="47"/>
  <c r="C341" i="47"/>
  <c r="C342" i="47"/>
  <c r="C343" i="47"/>
  <c r="C344" i="47"/>
  <c r="C345" i="47"/>
  <c r="C346" i="47"/>
  <c r="C347" i="47"/>
  <c r="C348" i="47"/>
  <c r="C349" i="47"/>
  <c r="C350" i="47"/>
  <c r="C351" i="47"/>
  <c r="C352" i="47"/>
  <c r="C353" i="47"/>
  <c r="C354" i="47"/>
  <c r="C355" i="47"/>
  <c r="C356" i="47"/>
  <c r="C357" i="47"/>
  <c r="C358" i="47"/>
  <c r="C359" i="47"/>
  <c r="C360" i="47"/>
  <c r="C361" i="47"/>
  <c r="C362" i="47"/>
  <c r="C363" i="47"/>
  <c r="C364" i="47"/>
  <c r="C365" i="47"/>
  <c r="C366" i="47"/>
  <c r="C367" i="47"/>
  <c r="C368" i="47"/>
  <c r="C369" i="47"/>
  <c r="C370" i="47"/>
  <c r="C371" i="47"/>
  <c r="C372" i="47"/>
  <c r="C373" i="47"/>
  <c r="C374" i="47"/>
  <c r="C375" i="47"/>
  <c r="C376" i="47"/>
  <c r="C377" i="47"/>
  <c r="C378" i="47"/>
  <c r="C379" i="47"/>
  <c r="C380" i="47"/>
  <c r="C381" i="47"/>
  <c r="C382" i="47"/>
  <c r="C383" i="47"/>
  <c r="C384" i="47"/>
  <c r="C385" i="47"/>
  <c r="C386" i="47"/>
  <c r="C387" i="47"/>
  <c r="C388" i="47"/>
  <c r="C389" i="47"/>
  <c r="C390" i="47"/>
  <c r="C391" i="47"/>
  <c r="C392" i="47"/>
  <c r="C393" i="47"/>
  <c r="C394" i="47"/>
  <c r="C395" i="47"/>
  <c r="C396" i="47"/>
  <c r="C397" i="47"/>
  <c r="C398" i="47"/>
  <c r="C399" i="47"/>
  <c r="C400" i="47"/>
  <c r="C401" i="47"/>
  <c r="C402" i="47"/>
  <c r="C403" i="47"/>
  <c r="C404" i="47"/>
  <c r="C405" i="47"/>
  <c r="C406" i="47"/>
  <c r="C407" i="47"/>
  <c r="C408" i="47"/>
  <c r="C409" i="47"/>
  <c r="C410" i="47"/>
  <c r="C411" i="47"/>
  <c r="C412" i="47"/>
  <c r="C413" i="47"/>
  <c r="C414" i="47"/>
  <c r="C415" i="47"/>
  <c r="C416" i="47"/>
  <c r="C417" i="47"/>
  <c r="C418" i="47"/>
  <c r="C419" i="47"/>
  <c r="C420" i="47"/>
  <c r="C421" i="47"/>
  <c r="C422" i="47"/>
  <c r="C423" i="47"/>
  <c r="C424" i="47"/>
  <c r="C425" i="47"/>
  <c r="C426" i="47"/>
  <c r="C427" i="47"/>
  <c r="C428" i="47"/>
  <c r="C429" i="47"/>
  <c r="C430" i="47"/>
  <c r="C431" i="47"/>
  <c r="C432" i="47"/>
  <c r="C433" i="47"/>
  <c r="C434" i="47"/>
  <c r="C435" i="47"/>
  <c r="C436" i="47"/>
  <c r="C437" i="47"/>
  <c r="C438" i="47"/>
  <c r="C439" i="47"/>
  <c r="C440" i="47"/>
  <c r="C441" i="47"/>
  <c r="C442" i="47"/>
  <c r="C443" i="47"/>
  <c r="C444" i="47"/>
  <c r="C445" i="47"/>
  <c r="C446" i="47"/>
  <c r="C447" i="47"/>
  <c r="C448" i="47"/>
  <c r="C449" i="47"/>
  <c r="C450" i="47"/>
  <c r="C451" i="47"/>
  <c r="C452" i="47"/>
  <c r="C453" i="47"/>
  <c r="C454" i="47"/>
  <c r="C455" i="47"/>
  <c r="C456" i="47"/>
  <c r="C457" i="47"/>
  <c r="C458" i="47"/>
  <c r="C459" i="47"/>
  <c r="C460" i="47"/>
  <c r="C461" i="47"/>
  <c r="C462" i="47"/>
  <c r="C463" i="47"/>
  <c r="C464" i="47"/>
  <c r="C465" i="47"/>
  <c r="C466" i="47"/>
  <c r="C467" i="47"/>
  <c r="C468" i="47"/>
  <c r="C469" i="47"/>
  <c r="C470" i="47"/>
  <c r="C471" i="47"/>
  <c r="C472" i="47"/>
  <c r="C473" i="47"/>
  <c r="C474" i="47"/>
  <c r="C475" i="47"/>
  <c r="C476" i="47"/>
  <c r="C477" i="47"/>
  <c r="C478" i="47"/>
  <c r="C479" i="47"/>
  <c r="C480" i="47"/>
  <c r="C481" i="47"/>
  <c r="C482" i="47"/>
  <c r="C483" i="47"/>
  <c r="C484" i="47"/>
  <c r="C485" i="47"/>
  <c r="C486" i="47"/>
  <c r="C487" i="47"/>
  <c r="C488" i="47"/>
  <c r="C489" i="47"/>
  <c r="C490" i="47"/>
  <c r="C491" i="47"/>
  <c r="C492" i="47"/>
  <c r="C493" i="47"/>
  <c r="C494" i="47"/>
  <c r="C495" i="47"/>
  <c r="C496" i="47"/>
  <c r="C497" i="47"/>
  <c r="C498" i="47"/>
  <c r="C499" i="47"/>
  <c r="C500" i="47"/>
  <c r="C501" i="47"/>
  <c r="C502" i="47"/>
  <c r="C503" i="47"/>
  <c r="C504" i="47"/>
  <c r="C505" i="47"/>
  <c r="C506" i="47"/>
  <c r="C507" i="47"/>
  <c r="C508" i="47"/>
  <c r="C509" i="47"/>
  <c r="C510" i="47"/>
  <c r="C511" i="47"/>
  <c r="C512" i="47"/>
  <c r="C12" i="47"/>
  <c r="E13" i="47"/>
  <c r="L13" i="47"/>
  <c r="Y13" i="47"/>
  <c r="E14" i="47"/>
  <c r="L14" i="47"/>
  <c r="Y14" i="47"/>
  <c r="E15" i="47"/>
  <c r="L15" i="47"/>
  <c r="Y15" i="47"/>
  <c r="E16" i="47"/>
  <c r="L16" i="47"/>
  <c r="Y16" i="47"/>
  <c r="E17" i="47"/>
  <c r="L17" i="47"/>
  <c r="Y17" i="47"/>
  <c r="E18" i="47"/>
  <c r="L18" i="47"/>
  <c r="Y18" i="47"/>
  <c r="E19" i="47"/>
  <c r="L19" i="47"/>
  <c r="Y19" i="47"/>
  <c r="E20" i="47"/>
  <c r="L20" i="47"/>
  <c r="Y20" i="47"/>
  <c r="E21" i="47"/>
  <c r="L21" i="47"/>
  <c r="Y21" i="47"/>
  <c r="E22" i="47"/>
  <c r="L22" i="47"/>
  <c r="Y22" i="47"/>
  <c r="E23" i="47"/>
  <c r="L23" i="47"/>
  <c r="Y23" i="47"/>
  <c r="E24" i="47"/>
  <c r="L24" i="47"/>
  <c r="Y24" i="47"/>
  <c r="E25" i="47"/>
  <c r="L25" i="47"/>
  <c r="Y25" i="47"/>
  <c r="E26" i="47"/>
  <c r="L26" i="47"/>
  <c r="Y26" i="47"/>
  <c r="E27" i="47"/>
  <c r="L27" i="47"/>
  <c r="Y27" i="47"/>
  <c r="E28" i="47"/>
  <c r="L28" i="47"/>
  <c r="Y28" i="47"/>
  <c r="E29" i="47"/>
  <c r="L29" i="47"/>
  <c r="Y29" i="47"/>
  <c r="E30" i="47"/>
  <c r="L30" i="47"/>
  <c r="Y30" i="47"/>
  <c r="E31" i="47"/>
  <c r="L31" i="47"/>
  <c r="Y31" i="47"/>
  <c r="E32" i="47"/>
  <c r="L32" i="47"/>
  <c r="Y32" i="47"/>
  <c r="E33" i="47"/>
  <c r="L33" i="47"/>
  <c r="Y33" i="47"/>
  <c r="E34" i="47"/>
  <c r="L34" i="47"/>
  <c r="Y34" i="47"/>
  <c r="E35" i="47"/>
  <c r="L35" i="47"/>
  <c r="Y35" i="47"/>
  <c r="E36" i="47"/>
  <c r="L36" i="47"/>
  <c r="Y36" i="47"/>
  <c r="E37" i="47"/>
  <c r="L37" i="47"/>
  <c r="Y37" i="47"/>
  <c r="E38" i="47"/>
  <c r="L38" i="47"/>
  <c r="Y38" i="47"/>
  <c r="E39" i="47"/>
  <c r="L39" i="47"/>
  <c r="Y39" i="47"/>
  <c r="E40" i="47"/>
  <c r="L40" i="47"/>
  <c r="Y40" i="47"/>
  <c r="E41" i="47"/>
  <c r="L41" i="47"/>
  <c r="Y41" i="47"/>
  <c r="E42" i="47"/>
  <c r="L42" i="47"/>
  <c r="Y42" i="47"/>
  <c r="E43" i="47"/>
  <c r="L43" i="47"/>
  <c r="Y43" i="47"/>
  <c r="E44" i="47"/>
  <c r="L44" i="47"/>
  <c r="Y44" i="47"/>
  <c r="E45" i="47"/>
  <c r="L45" i="47"/>
  <c r="Y45" i="47"/>
  <c r="E46" i="47"/>
  <c r="L46" i="47"/>
  <c r="Y46" i="47"/>
  <c r="E47" i="47"/>
  <c r="L47" i="47"/>
  <c r="Y47" i="47"/>
  <c r="E48" i="47"/>
  <c r="L48" i="47"/>
  <c r="Y48" i="47"/>
  <c r="E49" i="47"/>
  <c r="L49" i="47"/>
  <c r="Y49" i="47"/>
  <c r="E50" i="47"/>
  <c r="L50" i="47"/>
  <c r="Y50" i="47"/>
  <c r="E51" i="47"/>
  <c r="L51" i="47"/>
  <c r="Y51" i="47"/>
  <c r="E52" i="47"/>
  <c r="L52" i="47"/>
  <c r="Y52" i="47"/>
  <c r="E53" i="47"/>
  <c r="L53" i="47"/>
  <c r="Y53" i="47"/>
  <c r="E54" i="47"/>
  <c r="L54" i="47"/>
  <c r="Y54" i="47"/>
  <c r="E55" i="47"/>
  <c r="L55" i="47"/>
  <c r="Y55" i="47"/>
  <c r="E56" i="47"/>
  <c r="L56" i="47"/>
  <c r="Y56" i="47"/>
  <c r="E57" i="47"/>
  <c r="L57" i="47"/>
  <c r="Y57" i="47"/>
  <c r="E58" i="47"/>
  <c r="L58" i="47"/>
  <c r="Y58" i="47"/>
  <c r="E59" i="47"/>
  <c r="L59" i="47"/>
  <c r="Y59" i="47"/>
  <c r="E60" i="47"/>
  <c r="L60" i="47"/>
  <c r="Y60" i="47"/>
  <c r="E61" i="47"/>
  <c r="L61" i="47"/>
  <c r="Y61" i="47"/>
  <c r="E62" i="47"/>
  <c r="L62" i="47"/>
  <c r="Y62" i="47"/>
  <c r="E63" i="47"/>
  <c r="L63" i="47"/>
  <c r="Y63" i="47"/>
  <c r="E64" i="47"/>
  <c r="L64" i="47"/>
  <c r="Y64" i="47"/>
  <c r="E65" i="47"/>
  <c r="L65" i="47"/>
  <c r="Y65" i="47"/>
  <c r="E66" i="47"/>
  <c r="L66" i="47"/>
  <c r="Y66" i="47"/>
  <c r="E67" i="47"/>
  <c r="L67" i="47"/>
  <c r="Y67" i="47"/>
  <c r="E68" i="47"/>
  <c r="L68" i="47"/>
  <c r="Y68" i="47"/>
  <c r="E69" i="47"/>
  <c r="L69" i="47"/>
  <c r="Y69" i="47"/>
  <c r="E70" i="47"/>
  <c r="L70" i="47"/>
  <c r="Y70" i="47"/>
  <c r="E71" i="47"/>
  <c r="L71" i="47"/>
  <c r="Y71" i="47"/>
  <c r="E72" i="47"/>
  <c r="L72" i="47"/>
  <c r="Y72" i="47"/>
  <c r="E73" i="47"/>
  <c r="L73" i="47"/>
  <c r="Y73" i="47"/>
  <c r="E74" i="47"/>
  <c r="L74" i="47"/>
  <c r="Y74" i="47"/>
  <c r="E75" i="47"/>
  <c r="L75" i="47"/>
  <c r="Y75" i="47"/>
  <c r="E76" i="47"/>
  <c r="L76" i="47"/>
  <c r="Y76" i="47"/>
  <c r="E77" i="47"/>
  <c r="L77" i="47"/>
  <c r="Y77" i="47"/>
  <c r="E78" i="47"/>
  <c r="L78" i="47"/>
  <c r="Y78" i="47"/>
  <c r="E79" i="47"/>
  <c r="L79" i="47"/>
  <c r="Y79" i="47"/>
  <c r="E80" i="47"/>
  <c r="L80" i="47"/>
  <c r="Y80" i="47"/>
  <c r="E81" i="47"/>
  <c r="L81" i="47"/>
  <c r="Y81" i="47"/>
  <c r="E82" i="47"/>
  <c r="L82" i="47"/>
  <c r="Y82" i="47"/>
  <c r="E83" i="47"/>
  <c r="L83" i="47"/>
  <c r="Y83" i="47"/>
  <c r="E84" i="47"/>
  <c r="L84" i="47"/>
  <c r="Y84" i="47"/>
  <c r="E85" i="47"/>
  <c r="L85" i="47"/>
  <c r="Y85" i="47"/>
  <c r="E86" i="47"/>
  <c r="L86" i="47"/>
  <c r="Y86" i="47"/>
  <c r="E87" i="47"/>
  <c r="L87" i="47"/>
  <c r="Y87" i="47"/>
  <c r="E88" i="47"/>
  <c r="L88" i="47"/>
  <c r="Y88" i="47"/>
  <c r="E89" i="47"/>
  <c r="L89" i="47"/>
  <c r="Y89" i="47"/>
  <c r="E90" i="47"/>
  <c r="L90" i="47"/>
  <c r="Y90" i="47"/>
  <c r="E91" i="47"/>
  <c r="L91" i="47"/>
  <c r="Y91" i="47"/>
  <c r="E92" i="47"/>
  <c r="L92" i="47"/>
  <c r="Y92" i="47"/>
  <c r="E93" i="47"/>
  <c r="L93" i="47"/>
  <c r="Y93" i="47"/>
  <c r="E94" i="47"/>
  <c r="L94" i="47"/>
  <c r="Y94" i="47"/>
  <c r="E95" i="47"/>
  <c r="L95" i="47"/>
  <c r="Y95" i="47"/>
  <c r="E96" i="47"/>
  <c r="L96" i="47"/>
  <c r="Y96" i="47"/>
  <c r="E97" i="47"/>
  <c r="L97" i="47"/>
  <c r="Y97" i="47"/>
  <c r="E98" i="47"/>
  <c r="L98" i="47"/>
  <c r="Y98" i="47"/>
  <c r="E99" i="47"/>
  <c r="L99" i="47"/>
  <c r="Y99" i="47"/>
  <c r="E100" i="47"/>
  <c r="L100" i="47"/>
  <c r="Y100" i="47"/>
  <c r="E101" i="47"/>
  <c r="L101" i="47"/>
  <c r="Y101" i="47"/>
  <c r="E102" i="47"/>
  <c r="L102" i="47"/>
  <c r="Y102" i="47"/>
  <c r="E103" i="47"/>
  <c r="L103" i="47"/>
  <c r="Y103" i="47"/>
  <c r="E104" i="47"/>
  <c r="L104" i="47"/>
  <c r="Y104" i="47"/>
  <c r="E105" i="47"/>
  <c r="L105" i="47"/>
  <c r="Y105" i="47"/>
  <c r="E106" i="47"/>
  <c r="L106" i="47"/>
  <c r="Y106" i="47"/>
  <c r="E107" i="47"/>
  <c r="L107" i="47"/>
  <c r="Y107" i="47"/>
  <c r="E108" i="47"/>
  <c r="L108" i="47"/>
  <c r="Y108" i="47"/>
  <c r="E109" i="47"/>
  <c r="L109" i="47"/>
  <c r="Y109" i="47"/>
  <c r="E110" i="47"/>
  <c r="L110" i="47"/>
  <c r="Y110" i="47"/>
  <c r="E111" i="47"/>
  <c r="L111" i="47"/>
  <c r="Y111" i="47"/>
  <c r="E112" i="47"/>
  <c r="L112" i="47"/>
  <c r="Y112" i="47"/>
  <c r="E113" i="47"/>
  <c r="L113" i="47"/>
  <c r="Y113" i="47"/>
  <c r="E114" i="47"/>
  <c r="L114" i="47"/>
  <c r="Y114" i="47"/>
  <c r="E115" i="47"/>
  <c r="L115" i="47"/>
  <c r="Y115" i="47"/>
  <c r="E116" i="47"/>
  <c r="L116" i="47"/>
  <c r="Y116" i="47"/>
  <c r="E117" i="47"/>
  <c r="L117" i="47"/>
  <c r="Y117" i="47"/>
  <c r="E118" i="47"/>
  <c r="L118" i="47"/>
  <c r="Y118" i="47"/>
  <c r="E119" i="47"/>
  <c r="L119" i="47"/>
  <c r="Y119" i="47"/>
  <c r="E120" i="47"/>
  <c r="L120" i="47"/>
  <c r="Y120" i="47"/>
  <c r="E121" i="47"/>
  <c r="L121" i="47"/>
  <c r="Y121" i="47"/>
  <c r="E122" i="47"/>
  <c r="L122" i="47"/>
  <c r="Y122" i="47"/>
  <c r="E123" i="47"/>
  <c r="L123" i="47"/>
  <c r="Y123" i="47"/>
  <c r="E124" i="47"/>
  <c r="L124" i="47"/>
  <c r="Y124" i="47"/>
  <c r="E125" i="47"/>
  <c r="L125" i="47"/>
  <c r="Y125" i="47"/>
  <c r="E126" i="47"/>
  <c r="L126" i="47"/>
  <c r="Y126" i="47"/>
  <c r="E127" i="47"/>
  <c r="L127" i="47"/>
  <c r="Y127" i="47"/>
  <c r="E128" i="47"/>
  <c r="L128" i="47"/>
  <c r="Y128" i="47"/>
  <c r="E129" i="47"/>
  <c r="L129" i="47"/>
  <c r="Y129" i="47"/>
  <c r="E130" i="47"/>
  <c r="L130" i="47"/>
  <c r="Y130" i="47"/>
  <c r="E131" i="47"/>
  <c r="L131" i="47"/>
  <c r="Y131" i="47"/>
  <c r="E132" i="47"/>
  <c r="L132" i="47"/>
  <c r="Y132" i="47"/>
  <c r="E133" i="47"/>
  <c r="L133" i="47"/>
  <c r="Y133" i="47"/>
  <c r="E134" i="47"/>
  <c r="L134" i="47"/>
  <c r="Y134" i="47"/>
  <c r="E135" i="47"/>
  <c r="L135" i="47"/>
  <c r="Y135" i="47"/>
  <c r="E136" i="47"/>
  <c r="L136" i="47"/>
  <c r="Y136" i="47"/>
  <c r="E137" i="47"/>
  <c r="L137" i="47"/>
  <c r="Y137" i="47"/>
  <c r="E138" i="47"/>
  <c r="L138" i="47"/>
  <c r="Y138" i="47"/>
  <c r="E139" i="47"/>
  <c r="L139" i="47"/>
  <c r="Y139" i="47"/>
  <c r="E140" i="47"/>
  <c r="L140" i="47"/>
  <c r="Y140" i="47"/>
  <c r="E141" i="47"/>
  <c r="L141" i="47"/>
  <c r="Y141" i="47"/>
  <c r="E142" i="47"/>
  <c r="L142" i="47"/>
  <c r="Y142" i="47"/>
  <c r="E143" i="47"/>
  <c r="L143" i="47"/>
  <c r="Y143" i="47"/>
  <c r="E144" i="47"/>
  <c r="L144" i="47"/>
  <c r="Y144" i="47"/>
  <c r="E145" i="47"/>
  <c r="L145" i="47"/>
  <c r="Y145" i="47"/>
  <c r="E146" i="47"/>
  <c r="L146" i="47"/>
  <c r="Y146" i="47"/>
  <c r="E147" i="47"/>
  <c r="L147" i="47"/>
  <c r="Y147" i="47"/>
  <c r="E148" i="47"/>
  <c r="L148" i="47"/>
  <c r="Y148" i="47"/>
  <c r="E149" i="47"/>
  <c r="L149" i="47"/>
  <c r="Y149" i="47"/>
  <c r="E150" i="47"/>
  <c r="L150" i="47"/>
  <c r="Y150" i="47"/>
  <c r="E151" i="47"/>
  <c r="L151" i="47"/>
  <c r="Y151" i="47"/>
  <c r="E152" i="47"/>
  <c r="L152" i="47"/>
  <c r="Y152" i="47"/>
  <c r="E153" i="47"/>
  <c r="L153" i="47"/>
  <c r="Y153" i="47"/>
  <c r="E154" i="47"/>
  <c r="L154" i="47"/>
  <c r="Y154" i="47"/>
  <c r="E155" i="47"/>
  <c r="L155" i="47"/>
  <c r="Y155" i="47"/>
  <c r="E156" i="47"/>
  <c r="L156" i="47"/>
  <c r="Y156" i="47"/>
  <c r="E157" i="47"/>
  <c r="L157" i="47"/>
  <c r="Y157" i="47"/>
  <c r="E158" i="47"/>
  <c r="L158" i="47"/>
  <c r="Y158" i="47"/>
  <c r="E159" i="47"/>
  <c r="L159" i="47"/>
  <c r="Y159" i="47"/>
  <c r="E160" i="47"/>
  <c r="L160" i="47"/>
  <c r="Y160" i="47"/>
  <c r="E161" i="47"/>
  <c r="L161" i="47"/>
  <c r="Y161" i="47"/>
  <c r="E162" i="47"/>
  <c r="L162" i="47"/>
  <c r="Y162" i="47"/>
  <c r="E163" i="47"/>
  <c r="L163" i="47"/>
  <c r="Y163" i="47"/>
  <c r="E164" i="47"/>
  <c r="L164" i="47"/>
  <c r="Y164" i="47"/>
  <c r="E165" i="47"/>
  <c r="L165" i="47"/>
  <c r="Y165" i="47"/>
  <c r="E166" i="47"/>
  <c r="L166" i="47"/>
  <c r="Y166" i="47"/>
  <c r="E167" i="47"/>
  <c r="L167" i="47"/>
  <c r="Y167" i="47"/>
  <c r="E168" i="47"/>
  <c r="L168" i="47"/>
  <c r="Y168" i="47"/>
  <c r="E169" i="47"/>
  <c r="L169" i="47"/>
  <c r="Y169" i="47"/>
  <c r="E170" i="47"/>
  <c r="L170" i="47"/>
  <c r="Y170" i="47"/>
  <c r="E171" i="47"/>
  <c r="L171" i="47"/>
  <c r="Y171" i="47"/>
  <c r="E172" i="47"/>
  <c r="L172" i="47"/>
  <c r="Y172" i="47"/>
  <c r="E173" i="47"/>
  <c r="L173" i="47"/>
  <c r="Y173" i="47"/>
  <c r="E174" i="47"/>
  <c r="L174" i="47"/>
  <c r="Y174" i="47"/>
  <c r="E175" i="47"/>
  <c r="L175" i="47"/>
  <c r="Y175" i="47"/>
  <c r="E176" i="47"/>
  <c r="L176" i="47"/>
  <c r="Y176" i="47"/>
  <c r="E177" i="47"/>
  <c r="L177" i="47"/>
  <c r="Y177" i="47"/>
  <c r="E178" i="47"/>
  <c r="L178" i="47"/>
  <c r="Y178" i="47"/>
  <c r="E179" i="47"/>
  <c r="L179" i="47"/>
  <c r="Y179" i="47"/>
  <c r="E180" i="47"/>
  <c r="L180" i="47"/>
  <c r="Y180" i="47"/>
  <c r="E181" i="47"/>
  <c r="L181" i="47"/>
  <c r="Y181" i="47"/>
  <c r="E182" i="47"/>
  <c r="L182" i="47"/>
  <c r="Y182" i="47"/>
  <c r="E183" i="47"/>
  <c r="L183" i="47"/>
  <c r="Y183" i="47"/>
  <c r="E184" i="47"/>
  <c r="L184" i="47"/>
  <c r="Y184" i="47"/>
  <c r="E185" i="47"/>
  <c r="L185" i="47"/>
  <c r="Y185" i="47"/>
  <c r="E186" i="47"/>
  <c r="L186" i="47"/>
  <c r="Y186" i="47"/>
  <c r="E187" i="47"/>
  <c r="L187" i="47"/>
  <c r="Y187" i="47"/>
  <c r="E188" i="47"/>
  <c r="L188" i="47"/>
  <c r="Y188" i="47"/>
  <c r="E189" i="47"/>
  <c r="L189" i="47"/>
  <c r="Y189" i="47"/>
  <c r="E190" i="47"/>
  <c r="L190" i="47"/>
  <c r="Y190" i="47"/>
  <c r="E191" i="47"/>
  <c r="L191" i="47"/>
  <c r="Y191" i="47"/>
  <c r="E192" i="47"/>
  <c r="L192" i="47"/>
  <c r="Y192" i="47"/>
  <c r="E193" i="47"/>
  <c r="L193" i="47"/>
  <c r="Y193" i="47"/>
  <c r="E194" i="47"/>
  <c r="L194" i="47"/>
  <c r="Y194" i="47"/>
  <c r="E195" i="47"/>
  <c r="L195" i="47"/>
  <c r="Y195" i="47"/>
  <c r="E196" i="47"/>
  <c r="L196" i="47"/>
  <c r="Y196" i="47"/>
  <c r="E197" i="47"/>
  <c r="L197" i="47"/>
  <c r="Y197" i="47"/>
  <c r="E198" i="47"/>
  <c r="L198" i="47"/>
  <c r="Y198" i="47"/>
  <c r="E199" i="47"/>
  <c r="L199" i="47"/>
  <c r="Y199" i="47"/>
  <c r="E200" i="47"/>
  <c r="L200" i="47"/>
  <c r="Y200" i="47"/>
  <c r="E201" i="47"/>
  <c r="L201" i="47"/>
  <c r="Y201" i="47"/>
  <c r="E202" i="47"/>
  <c r="L202" i="47"/>
  <c r="Y202" i="47"/>
  <c r="E203" i="47"/>
  <c r="L203" i="47"/>
  <c r="Y203" i="47"/>
  <c r="E204" i="47"/>
  <c r="L204" i="47"/>
  <c r="Y204" i="47"/>
  <c r="E205" i="47"/>
  <c r="L205" i="47"/>
  <c r="Y205" i="47"/>
  <c r="E206" i="47"/>
  <c r="L206" i="47"/>
  <c r="Y206" i="47"/>
  <c r="E207" i="47"/>
  <c r="L207" i="47"/>
  <c r="Y207" i="47"/>
  <c r="E208" i="47"/>
  <c r="L208" i="47"/>
  <c r="Y208" i="47"/>
  <c r="E209" i="47"/>
  <c r="L209" i="47"/>
  <c r="Y209" i="47"/>
  <c r="E210" i="47"/>
  <c r="L210" i="47"/>
  <c r="Y210" i="47"/>
  <c r="E211" i="47"/>
  <c r="L211" i="47"/>
  <c r="Y211" i="47"/>
  <c r="E212" i="47"/>
  <c r="L212" i="47"/>
  <c r="Y212" i="47"/>
  <c r="E213" i="47"/>
  <c r="L213" i="47"/>
  <c r="Y213" i="47"/>
  <c r="E214" i="47"/>
  <c r="L214" i="47"/>
  <c r="Y214" i="47"/>
  <c r="E215" i="47"/>
  <c r="L215" i="47"/>
  <c r="Y215" i="47"/>
  <c r="E216" i="47"/>
  <c r="L216" i="47"/>
  <c r="Y216" i="47"/>
  <c r="E217" i="47"/>
  <c r="L217" i="47"/>
  <c r="Y217" i="47"/>
  <c r="E218" i="47"/>
  <c r="L218" i="47"/>
  <c r="Y218" i="47"/>
  <c r="E219" i="47"/>
  <c r="L219" i="47"/>
  <c r="Y219" i="47"/>
  <c r="E220" i="47"/>
  <c r="L220" i="47"/>
  <c r="Y220" i="47"/>
  <c r="E221" i="47"/>
  <c r="L221" i="47"/>
  <c r="Y221" i="47"/>
  <c r="E222" i="47"/>
  <c r="L222" i="47"/>
  <c r="Y222" i="47"/>
  <c r="E223" i="47"/>
  <c r="L223" i="47"/>
  <c r="Y223" i="47"/>
  <c r="E224" i="47"/>
  <c r="L224" i="47"/>
  <c r="Y224" i="47"/>
  <c r="E225" i="47"/>
  <c r="L225" i="47"/>
  <c r="Y225" i="47"/>
  <c r="E226" i="47"/>
  <c r="L226" i="47"/>
  <c r="Y226" i="47"/>
  <c r="E227" i="47"/>
  <c r="L227" i="47"/>
  <c r="Y227" i="47"/>
  <c r="E228" i="47"/>
  <c r="L228" i="47"/>
  <c r="Y228" i="47"/>
  <c r="E229" i="47"/>
  <c r="L229" i="47"/>
  <c r="Y229" i="47"/>
  <c r="E230" i="47"/>
  <c r="L230" i="47"/>
  <c r="Y230" i="47"/>
  <c r="E231" i="47"/>
  <c r="L231" i="47"/>
  <c r="Y231" i="47"/>
  <c r="E232" i="47"/>
  <c r="L232" i="47"/>
  <c r="Y232" i="47"/>
  <c r="E233" i="47"/>
  <c r="L233" i="47"/>
  <c r="Y233" i="47"/>
  <c r="E234" i="47"/>
  <c r="L234" i="47"/>
  <c r="Y234" i="47"/>
  <c r="E235" i="47"/>
  <c r="L235" i="47"/>
  <c r="Y235" i="47"/>
  <c r="E236" i="47"/>
  <c r="L236" i="47"/>
  <c r="Y236" i="47"/>
  <c r="E237" i="47"/>
  <c r="L237" i="47"/>
  <c r="Y237" i="47"/>
  <c r="E238" i="47"/>
  <c r="L238" i="47"/>
  <c r="Y238" i="47"/>
  <c r="E239" i="47"/>
  <c r="L239" i="47"/>
  <c r="Y239" i="47"/>
  <c r="E240" i="47"/>
  <c r="L240" i="47"/>
  <c r="Y240" i="47"/>
  <c r="E241" i="47"/>
  <c r="L241" i="47"/>
  <c r="Y241" i="47"/>
  <c r="E242" i="47"/>
  <c r="L242" i="47"/>
  <c r="Y242" i="47"/>
  <c r="E243" i="47"/>
  <c r="L243" i="47"/>
  <c r="Y243" i="47"/>
  <c r="E244" i="47"/>
  <c r="L244" i="47"/>
  <c r="Y244" i="47"/>
  <c r="E245" i="47"/>
  <c r="L245" i="47"/>
  <c r="Y245" i="47"/>
  <c r="E246" i="47"/>
  <c r="L246" i="47"/>
  <c r="Y246" i="47"/>
  <c r="E247" i="47"/>
  <c r="L247" i="47"/>
  <c r="Y247" i="47"/>
  <c r="E248" i="47"/>
  <c r="L248" i="47"/>
  <c r="Y248" i="47"/>
  <c r="E249" i="47"/>
  <c r="L249" i="47"/>
  <c r="Y249" i="47"/>
  <c r="E250" i="47"/>
  <c r="L250" i="47"/>
  <c r="Y250" i="47"/>
  <c r="E251" i="47"/>
  <c r="L251" i="47"/>
  <c r="Y251" i="47"/>
  <c r="E252" i="47"/>
  <c r="L252" i="47"/>
  <c r="Y252" i="47"/>
  <c r="E253" i="47"/>
  <c r="L253" i="47"/>
  <c r="Y253" i="47"/>
  <c r="E254" i="47"/>
  <c r="L254" i="47"/>
  <c r="Y254" i="47"/>
  <c r="E255" i="47"/>
  <c r="L255" i="47"/>
  <c r="Y255" i="47"/>
  <c r="E256" i="47"/>
  <c r="L256" i="47"/>
  <c r="Y256" i="47"/>
  <c r="E257" i="47"/>
  <c r="L257" i="47"/>
  <c r="Y257" i="47"/>
  <c r="E258" i="47"/>
  <c r="L258" i="47"/>
  <c r="Y258" i="47"/>
  <c r="E259" i="47"/>
  <c r="L259" i="47"/>
  <c r="Y259" i="47"/>
  <c r="E260" i="47"/>
  <c r="L260" i="47"/>
  <c r="Y260" i="47"/>
  <c r="E261" i="47"/>
  <c r="L261" i="47"/>
  <c r="Y261" i="47"/>
  <c r="E262" i="47"/>
  <c r="L262" i="47"/>
  <c r="Y262" i="47"/>
  <c r="E263" i="47"/>
  <c r="L263" i="47"/>
  <c r="Y263" i="47"/>
  <c r="E264" i="47"/>
  <c r="L264" i="47"/>
  <c r="Y264" i="47"/>
  <c r="E265" i="47"/>
  <c r="L265" i="47"/>
  <c r="Y265" i="47"/>
  <c r="E266" i="47"/>
  <c r="L266" i="47"/>
  <c r="Y266" i="47"/>
  <c r="E267" i="47"/>
  <c r="L267" i="47"/>
  <c r="Y267" i="47"/>
  <c r="E268" i="47"/>
  <c r="L268" i="47"/>
  <c r="Y268" i="47"/>
  <c r="E269" i="47"/>
  <c r="L269" i="47"/>
  <c r="Y269" i="47"/>
  <c r="E270" i="47"/>
  <c r="L270" i="47"/>
  <c r="Y270" i="47"/>
  <c r="E271" i="47"/>
  <c r="L271" i="47"/>
  <c r="Y271" i="47"/>
  <c r="E272" i="47"/>
  <c r="L272" i="47"/>
  <c r="Y272" i="47"/>
  <c r="E273" i="47"/>
  <c r="L273" i="47"/>
  <c r="Y273" i="47"/>
  <c r="E274" i="47"/>
  <c r="L274" i="47"/>
  <c r="Y274" i="47"/>
  <c r="E275" i="47"/>
  <c r="L275" i="47"/>
  <c r="Y275" i="47"/>
  <c r="E276" i="47"/>
  <c r="L276" i="47"/>
  <c r="Y276" i="47"/>
  <c r="E277" i="47"/>
  <c r="L277" i="47"/>
  <c r="Y277" i="47"/>
  <c r="E278" i="47"/>
  <c r="L278" i="47"/>
  <c r="Y278" i="47"/>
  <c r="E279" i="47"/>
  <c r="L279" i="47"/>
  <c r="Y279" i="47"/>
  <c r="E280" i="47"/>
  <c r="L280" i="47"/>
  <c r="Y280" i="47"/>
  <c r="E281" i="47"/>
  <c r="L281" i="47"/>
  <c r="Y281" i="47"/>
  <c r="E282" i="47"/>
  <c r="L282" i="47"/>
  <c r="Y282" i="47"/>
  <c r="E283" i="47"/>
  <c r="L283" i="47"/>
  <c r="Y283" i="47"/>
  <c r="E284" i="47"/>
  <c r="L284" i="47"/>
  <c r="Y284" i="47"/>
  <c r="E285" i="47"/>
  <c r="L285" i="47"/>
  <c r="Y285" i="47"/>
  <c r="E286" i="47"/>
  <c r="L286" i="47"/>
  <c r="Y286" i="47"/>
  <c r="E287" i="47"/>
  <c r="L287" i="47"/>
  <c r="Y287" i="47"/>
  <c r="E288" i="47"/>
  <c r="L288" i="47"/>
  <c r="Y288" i="47"/>
  <c r="E289" i="47"/>
  <c r="L289" i="47"/>
  <c r="Y289" i="47"/>
  <c r="E290" i="47"/>
  <c r="L290" i="47"/>
  <c r="Y290" i="47"/>
  <c r="E291" i="47"/>
  <c r="L291" i="47"/>
  <c r="Y291" i="47"/>
  <c r="E292" i="47"/>
  <c r="L292" i="47"/>
  <c r="Y292" i="47"/>
  <c r="E293" i="47"/>
  <c r="L293" i="47"/>
  <c r="Y293" i="47"/>
  <c r="E294" i="47"/>
  <c r="L294" i="47"/>
  <c r="Y294" i="47"/>
  <c r="E295" i="47"/>
  <c r="L295" i="47"/>
  <c r="Y295" i="47"/>
  <c r="E296" i="47"/>
  <c r="L296" i="47"/>
  <c r="Y296" i="47"/>
  <c r="E297" i="47"/>
  <c r="L297" i="47"/>
  <c r="Y297" i="47"/>
  <c r="E298" i="47"/>
  <c r="L298" i="47"/>
  <c r="Y298" i="47"/>
  <c r="E299" i="47"/>
  <c r="L299" i="47"/>
  <c r="Y299" i="47"/>
  <c r="E300" i="47"/>
  <c r="L300" i="47"/>
  <c r="Y300" i="47"/>
  <c r="E301" i="47"/>
  <c r="L301" i="47"/>
  <c r="Y301" i="47"/>
  <c r="E302" i="47"/>
  <c r="L302" i="47"/>
  <c r="Y302" i="47"/>
  <c r="E303" i="47"/>
  <c r="L303" i="47"/>
  <c r="Y303" i="47"/>
  <c r="E304" i="47"/>
  <c r="L304" i="47"/>
  <c r="Y304" i="47"/>
  <c r="E305" i="47"/>
  <c r="L305" i="47"/>
  <c r="Y305" i="47"/>
  <c r="E306" i="47"/>
  <c r="L306" i="47"/>
  <c r="Y306" i="47"/>
  <c r="E307" i="47"/>
  <c r="L307" i="47"/>
  <c r="Y307" i="47"/>
  <c r="E308" i="47"/>
  <c r="L308" i="47"/>
  <c r="Y308" i="47"/>
  <c r="E309" i="47"/>
  <c r="L309" i="47"/>
  <c r="Y309" i="47"/>
  <c r="E310" i="47"/>
  <c r="L310" i="47"/>
  <c r="Y310" i="47"/>
  <c r="E311" i="47"/>
  <c r="L311" i="47"/>
  <c r="Y311" i="47"/>
  <c r="E312" i="47"/>
  <c r="L312" i="47"/>
  <c r="Y312" i="47"/>
  <c r="E313" i="47"/>
  <c r="L313" i="47"/>
  <c r="Y313" i="47"/>
  <c r="E314" i="47"/>
  <c r="L314" i="47"/>
  <c r="Y314" i="47"/>
  <c r="E315" i="47"/>
  <c r="L315" i="47"/>
  <c r="Y315" i="47"/>
  <c r="E316" i="47"/>
  <c r="L316" i="47"/>
  <c r="Y316" i="47"/>
  <c r="E317" i="47"/>
  <c r="L317" i="47"/>
  <c r="Y317" i="47"/>
  <c r="E318" i="47"/>
  <c r="L318" i="47"/>
  <c r="Y318" i="47"/>
  <c r="E319" i="47"/>
  <c r="L319" i="47"/>
  <c r="Y319" i="47"/>
  <c r="E320" i="47"/>
  <c r="L320" i="47"/>
  <c r="Y320" i="47"/>
  <c r="E321" i="47"/>
  <c r="L321" i="47"/>
  <c r="Y321" i="47"/>
  <c r="E322" i="47"/>
  <c r="L322" i="47"/>
  <c r="Y322" i="47"/>
  <c r="E323" i="47"/>
  <c r="L323" i="47"/>
  <c r="Y323" i="47"/>
  <c r="E324" i="47"/>
  <c r="L324" i="47"/>
  <c r="Y324" i="47"/>
  <c r="E325" i="47"/>
  <c r="L325" i="47"/>
  <c r="Y325" i="47"/>
  <c r="E326" i="47"/>
  <c r="L326" i="47"/>
  <c r="Y326" i="47"/>
  <c r="E327" i="47"/>
  <c r="L327" i="47"/>
  <c r="Y327" i="47"/>
  <c r="E328" i="47"/>
  <c r="L328" i="47"/>
  <c r="Y328" i="47"/>
  <c r="E329" i="47"/>
  <c r="L329" i="47"/>
  <c r="Y329" i="47"/>
  <c r="E330" i="47"/>
  <c r="L330" i="47"/>
  <c r="Y330" i="47"/>
  <c r="E331" i="47"/>
  <c r="L331" i="47"/>
  <c r="Y331" i="47"/>
  <c r="E332" i="47"/>
  <c r="L332" i="47"/>
  <c r="Y332" i="47"/>
  <c r="E333" i="47"/>
  <c r="L333" i="47"/>
  <c r="Y333" i="47"/>
  <c r="E334" i="47"/>
  <c r="L334" i="47"/>
  <c r="Y334" i="47"/>
  <c r="E335" i="47"/>
  <c r="L335" i="47"/>
  <c r="Y335" i="47"/>
  <c r="E336" i="47"/>
  <c r="L336" i="47"/>
  <c r="Y336" i="47"/>
  <c r="E337" i="47"/>
  <c r="L337" i="47"/>
  <c r="Y337" i="47"/>
  <c r="E338" i="47"/>
  <c r="L338" i="47"/>
  <c r="Y338" i="47"/>
  <c r="E339" i="47"/>
  <c r="L339" i="47"/>
  <c r="Y339" i="47"/>
  <c r="E340" i="47"/>
  <c r="L340" i="47"/>
  <c r="Y340" i="47"/>
  <c r="E341" i="47"/>
  <c r="L341" i="47"/>
  <c r="Y341" i="47"/>
  <c r="E342" i="47"/>
  <c r="L342" i="47"/>
  <c r="Y342" i="47"/>
  <c r="E343" i="47"/>
  <c r="L343" i="47"/>
  <c r="Y343" i="47"/>
  <c r="E344" i="47"/>
  <c r="L344" i="47"/>
  <c r="Y344" i="47"/>
  <c r="E345" i="47"/>
  <c r="L345" i="47"/>
  <c r="Y345" i="47"/>
  <c r="E346" i="47"/>
  <c r="L346" i="47"/>
  <c r="Y346" i="47"/>
  <c r="E347" i="47"/>
  <c r="L347" i="47"/>
  <c r="Y347" i="47"/>
  <c r="E348" i="47"/>
  <c r="L348" i="47"/>
  <c r="Y348" i="47"/>
  <c r="E349" i="47"/>
  <c r="L349" i="47"/>
  <c r="Y349" i="47"/>
  <c r="E350" i="47"/>
  <c r="L350" i="47"/>
  <c r="Y350" i="47"/>
  <c r="E351" i="47"/>
  <c r="L351" i="47"/>
  <c r="Y351" i="47"/>
  <c r="E352" i="47"/>
  <c r="L352" i="47"/>
  <c r="Y352" i="47"/>
  <c r="E353" i="47"/>
  <c r="L353" i="47"/>
  <c r="Y353" i="47"/>
  <c r="E354" i="47"/>
  <c r="L354" i="47"/>
  <c r="Y354" i="47"/>
  <c r="E355" i="47"/>
  <c r="L355" i="47"/>
  <c r="Y355" i="47"/>
  <c r="E356" i="47"/>
  <c r="L356" i="47"/>
  <c r="Y356" i="47"/>
  <c r="E357" i="47"/>
  <c r="L357" i="47"/>
  <c r="Y357" i="47"/>
  <c r="E358" i="47"/>
  <c r="L358" i="47"/>
  <c r="Y358" i="47"/>
  <c r="E359" i="47"/>
  <c r="L359" i="47"/>
  <c r="Y359" i="47"/>
  <c r="E360" i="47"/>
  <c r="L360" i="47"/>
  <c r="Y360" i="47"/>
  <c r="E361" i="47"/>
  <c r="L361" i="47"/>
  <c r="Y361" i="47"/>
  <c r="E362" i="47"/>
  <c r="L362" i="47"/>
  <c r="Y362" i="47"/>
  <c r="E363" i="47"/>
  <c r="L363" i="47"/>
  <c r="Y363" i="47"/>
  <c r="E364" i="47"/>
  <c r="L364" i="47"/>
  <c r="Y364" i="47"/>
  <c r="E365" i="47"/>
  <c r="L365" i="47"/>
  <c r="Y365" i="47"/>
  <c r="E366" i="47"/>
  <c r="L366" i="47"/>
  <c r="Y366" i="47"/>
  <c r="E367" i="47"/>
  <c r="L367" i="47"/>
  <c r="Y367" i="47"/>
  <c r="E368" i="47"/>
  <c r="L368" i="47"/>
  <c r="Y368" i="47"/>
  <c r="E369" i="47"/>
  <c r="L369" i="47"/>
  <c r="Y369" i="47"/>
  <c r="E370" i="47"/>
  <c r="L370" i="47"/>
  <c r="Y370" i="47"/>
  <c r="E371" i="47"/>
  <c r="L371" i="47"/>
  <c r="Y371" i="47"/>
  <c r="E372" i="47"/>
  <c r="L372" i="47"/>
  <c r="Y372" i="47"/>
  <c r="E373" i="47"/>
  <c r="L373" i="47"/>
  <c r="Y373" i="47"/>
  <c r="E374" i="47"/>
  <c r="L374" i="47"/>
  <c r="Y374" i="47"/>
  <c r="E375" i="47"/>
  <c r="L375" i="47"/>
  <c r="Y375" i="47"/>
  <c r="E376" i="47"/>
  <c r="L376" i="47"/>
  <c r="Y376" i="47"/>
  <c r="E377" i="47"/>
  <c r="L377" i="47"/>
  <c r="Y377" i="47"/>
  <c r="E378" i="47"/>
  <c r="L378" i="47"/>
  <c r="Y378" i="47"/>
  <c r="E379" i="47"/>
  <c r="L379" i="47"/>
  <c r="Y379" i="47"/>
  <c r="E380" i="47"/>
  <c r="L380" i="47"/>
  <c r="Y380" i="47"/>
  <c r="E381" i="47"/>
  <c r="L381" i="47"/>
  <c r="Y381" i="47"/>
  <c r="E382" i="47"/>
  <c r="L382" i="47"/>
  <c r="Y382" i="47"/>
  <c r="E383" i="47"/>
  <c r="L383" i="47"/>
  <c r="Y383" i="47"/>
  <c r="E384" i="47"/>
  <c r="L384" i="47"/>
  <c r="Y384" i="47"/>
  <c r="E385" i="47"/>
  <c r="L385" i="47"/>
  <c r="Y385" i="47"/>
  <c r="E386" i="47"/>
  <c r="L386" i="47"/>
  <c r="Y386" i="47"/>
  <c r="E387" i="47"/>
  <c r="L387" i="47"/>
  <c r="Y387" i="47"/>
  <c r="E388" i="47"/>
  <c r="L388" i="47"/>
  <c r="Y388" i="47"/>
  <c r="E389" i="47"/>
  <c r="L389" i="47"/>
  <c r="Y389" i="47"/>
  <c r="E390" i="47"/>
  <c r="L390" i="47"/>
  <c r="Y390" i="47"/>
  <c r="E391" i="47"/>
  <c r="L391" i="47"/>
  <c r="Y391" i="47"/>
  <c r="E392" i="47"/>
  <c r="L392" i="47"/>
  <c r="Y392" i="47"/>
  <c r="E393" i="47"/>
  <c r="L393" i="47"/>
  <c r="Y393" i="47"/>
  <c r="E394" i="47"/>
  <c r="L394" i="47"/>
  <c r="Y394" i="47"/>
  <c r="E395" i="47"/>
  <c r="L395" i="47"/>
  <c r="Y395" i="47"/>
  <c r="E396" i="47"/>
  <c r="L396" i="47"/>
  <c r="Y396" i="47"/>
  <c r="E397" i="47"/>
  <c r="L397" i="47"/>
  <c r="Y397" i="47"/>
  <c r="E398" i="47"/>
  <c r="L398" i="47"/>
  <c r="Y398" i="47"/>
  <c r="E399" i="47"/>
  <c r="L399" i="47"/>
  <c r="Y399" i="47"/>
  <c r="E400" i="47"/>
  <c r="L400" i="47"/>
  <c r="Y400" i="47"/>
  <c r="E401" i="47"/>
  <c r="L401" i="47"/>
  <c r="Y401" i="47"/>
  <c r="E402" i="47"/>
  <c r="L402" i="47"/>
  <c r="Y402" i="47"/>
  <c r="E403" i="47"/>
  <c r="L403" i="47"/>
  <c r="Y403" i="47"/>
  <c r="E404" i="47"/>
  <c r="L404" i="47"/>
  <c r="Y404" i="47"/>
  <c r="E405" i="47"/>
  <c r="L405" i="47"/>
  <c r="Y405" i="47"/>
  <c r="E406" i="47"/>
  <c r="L406" i="47"/>
  <c r="Y406" i="47"/>
  <c r="E407" i="47"/>
  <c r="L407" i="47"/>
  <c r="Y407" i="47"/>
  <c r="E408" i="47"/>
  <c r="L408" i="47"/>
  <c r="Y408" i="47"/>
  <c r="E409" i="47"/>
  <c r="L409" i="47"/>
  <c r="Y409" i="47"/>
  <c r="E410" i="47"/>
  <c r="L410" i="47"/>
  <c r="Y410" i="47"/>
  <c r="E411" i="47"/>
  <c r="L411" i="47"/>
  <c r="Y411" i="47"/>
  <c r="E412" i="47"/>
  <c r="L412" i="47"/>
  <c r="Y412" i="47"/>
  <c r="E413" i="47"/>
  <c r="L413" i="47"/>
  <c r="Y413" i="47"/>
  <c r="E414" i="47"/>
  <c r="L414" i="47"/>
  <c r="Y414" i="47"/>
  <c r="E415" i="47"/>
  <c r="L415" i="47"/>
  <c r="Y415" i="47"/>
  <c r="E416" i="47"/>
  <c r="L416" i="47"/>
  <c r="Y416" i="47"/>
  <c r="E417" i="47"/>
  <c r="L417" i="47"/>
  <c r="Y417" i="47"/>
  <c r="E418" i="47"/>
  <c r="L418" i="47"/>
  <c r="Y418" i="47"/>
  <c r="E419" i="47"/>
  <c r="L419" i="47"/>
  <c r="Y419" i="47"/>
  <c r="E420" i="47"/>
  <c r="L420" i="47"/>
  <c r="Y420" i="47"/>
  <c r="E421" i="47"/>
  <c r="L421" i="47"/>
  <c r="Y421" i="47"/>
  <c r="E422" i="47"/>
  <c r="L422" i="47"/>
  <c r="Y422" i="47"/>
  <c r="E423" i="47"/>
  <c r="L423" i="47"/>
  <c r="Y423" i="47"/>
  <c r="E424" i="47"/>
  <c r="L424" i="47"/>
  <c r="Y424" i="47"/>
  <c r="E425" i="47"/>
  <c r="L425" i="47"/>
  <c r="Y425" i="47"/>
  <c r="E426" i="47"/>
  <c r="L426" i="47"/>
  <c r="Y426" i="47"/>
  <c r="E427" i="47"/>
  <c r="L427" i="47"/>
  <c r="Y427" i="47"/>
  <c r="E428" i="47"/>
  <c r="L428" i="47"/>
  <c r="Y428" i="47"/>
  <c r="E429" i="47"/>
  <c r="L429" i="47"/>
  <c r="Y429" i="47"/>
  <c r="E430" i="47"/>
  <c r="L430" i="47"/>
  <c r="Y430" i="47"/>
  <c r="E431" i="47"/>
  <c r="L431" i="47"/>
  <c r="Y431" i="47"/>
  <c r="E432" i="47"/>
  <c r="L432" i="47"/>
  <c r="Y432" i="47"/>
  <c r="E433" i="47"/>
  <c r="L433" i="47"/>
  <c r="Y433" i="47"/>
  <c r="E434" i="47"/>
  <c r="L434" i="47"/>
  <c r="Y434" i="47"/>
  <c r="E435" i="47"/>
  <c r="L435" i="47"/>
  <c r="Y435" i="47"/>
  <c r="E436" i="47"/>
  <c r="L436" i="47"/>
  <c r="Y436" i="47"/>
  <c r="E437" i="47"/>
  <c r="L437" i="47"/>
  <c r="Y437" i="47"/>
  <c r="E438" i="47"/>
  <c r="L438" i="47"/>
  <c r="Y438" i="47"/>
  <c r="E439" i="47"/>
  <c r="L439" i="47"/>
  <c r="Y439" i="47"/>
  <c r="E440" i="47"/>
  <c r="L440" i="47"/>
  <c r="Y440" i="47"/>
  <c r="E441" i="47"/>
  <c r="L441" i="47"/>
  <c r="Y441" i="47"/>
  <c r="E442" i="47"/>
  <c r="L442" i="47"/>
  <c r="Y442" i="47"/>
  <c r="E443" i="47"/>
  <c r="L443" i="47"/>
  <c r="Y443" i="47"/>
  <c r="E444" i="47"/>
  <c r="L444" i="47"/>
  <c r="Y444" i="47"/>
  <c r="E445" i="47"/>
  <c r="L445" i="47"/>
  <c r="Y445" i="47"/>
  <c r="E446" i="47"/>
  <c r="L446" i="47"/>
  <c r="Y446" i="47"/>
  <c r="E447" i="47"/>
  <c r="L447" i="47"/>
  <c r="Y447" i="47"/>
  <c r="E448" i="47"/>
  <c r="L448" i="47"/>
  <c r="Y448" i="47"/>
  <c r="E449" i="47"/>
  <c r="L449" i="47"/>
  <c r="Y449" i="47"/>
  <c r="E450" i="47"/>
  <c r="L450" i="47"/>
  <c r="Y450" i="47"/>
  <c r="E451" i="47"/>
  <c r="L451" i="47"/>
  <c r="Y451" i="47"/>
  <c r="E452" i="47"/>
  <c r="L452" i="47"/>
  <c r="Y452" i="47"/>
  <c r="E453" i="47"/>
  <c r="L453" i="47"/>
  <c r="Y453" i="47"/>
  <c r="E454" i="47"/>
  <c r="L454" i="47"/>
  <c r="Y454" i="47"/>
  <c r="E455" i="47"/>
  <c r="L455" i="47"/>
  <c r="Y455" i="47"/>
  <c r="E456" i="47"/>
  <c r="L456" i="47"/>
  <c r="Y456" i="47"/>
  <c r="E457" i="47"/>
  <c r="L457" i="47"/>
  <c r="Y457" i="47"/>
  <c r="E458" i="47"/>
  <c r="L458" i="47"/>
  <c r="Y458" i="47"/>
  <c r="E459" i="47"/>
  <c r="L459" i="47"/>
  <c r="Y459" i="47"/>
  <c r="E460" i="47"/>
  <c r="L460" i="47"/>
  <c r="Y460" i="47"/>
  <c r="E461" i="47"/>
  <c r="L461" i="47"/>
  <c r="Y461" i="47"/>
  <c r="E462" i="47"/>
  <c r="L462" i="47"/>
  <c r="Y462" i="47"/>
  <c r="E463" i="47"/>
  <c r="L463" i="47"/>
  <c r="Y463" i="47"/>
  <c r="E464" i="47"/>
  <c r="L464" i="47"/>
  <c r="Y464" i="47"/>
  <c r="E465" i="47"/>
  <c r="L465" i="47"/>
  <c r="Y465" i="47"/>
  <c r="E466" i="47"/>
  <c r="L466" i="47"/>
  <c r="Y466" i="47"/>
  <c r="E467" i="47"/>
  <c r="L467" i="47"/>
  <c r="Y467" i="47"/>
  <c r="E468" i="47"/>
  <c r="L468" i="47"/>
  <c r="Y468" i="47"/>
  <c r="E469" i="47"/>
  <c r="L469" i="47"/>
  <c r="Y469" i="47"/>
  <c r="E470" i="47"/>
  <c r="L470" i="47"/>
  <c r="Y470" i="47"/>
  <c r="E471" i="47"/>
  <c r="L471" i="47"/>
  <c r="Y471" i="47"/>
  <c r="E472" i="47"/>
  <c r="L472" i="47"/>
  <c r="Y472" i="47"/>
  <c r="E473" i="47"/>
  <c r="L473" i="47"/>
  <c r="Y473" i="47"/>
  <c r="E474" i="47"/>
  <c r="L474" i="47"/>
  <c r="Y474" i="47"/>
  <c r="E475" i="47"/>
  <c r="L475" i="47"/>
  <c r="Y475" i="47"/>
  <c r="E476" i="47"/>
  <c r="L476" i="47"/>
  <c r="Y476" i="47"/>
  <c r="E477" i="47"/>
  <c r="L477" i="47"/>
  <c r="Y477" i="47"/>
  <c r="E478" i="47"/>
  <c r="L478" i="47"/>
  <c r="Y478" i="47"/>
  <c r="E479" i="47"/>
  <c r="L479" i="47"/>
  <c r="Y479" i="47"/>
  <c r="E480" i="47"/>
  <c r="L480" i="47"/>
  <c r="Y480" i="47"/>
  <c r="E481" i="47"/>
  <c r="L481" i="47"/>
  <c r="Y481" i="47"/>
  <c r="E482" i="47"/>
  <c r="L482" i="47"/>
  <c r="Y482" i="47"/>
  <c r="E483" i="47"/>
  <c r="L483" i="47"/>
  <c r="Y483" i="47"/>
  <c r="E484" i="47"/>
  <c r="L484" i="47"/>
  <c r="Y484" i="47"/>
  <c r="E485" i="47"/>
  <c r="L485" i="47"/>
  <c r="Y485" i="47"/>
  <c r="E486" i="47"/>
  <c r="L486" i="47"/>
  <c r="Y486" i="47"/>
  <c r="E487" i="47"/>
  <c r="L487" i="47"/>
  <c r="Y487" i="47"/>
  <c r="E488" i="47"/>
  <c r="L488" i="47"/>
  <c r="Y488" i="47"/>
  <c r="E489" i="47"/>
  <c r="L489" i="47"/>
  <c r="Y489" i="47"/>
  <c r="E490" i="47"/>
  <c r="L490" i="47"/>
  <c r="Y490" i="47"/>
  <c r="E491" i="47"/>
  <c r="L491" i="47"/>
  <c r="Y491" i="47"/>
  <c r="E492" i="47"/>
  <c r="L492" i="47"/>
  <c r="Y492" i="47"/>
  <c r="E493" i="47"/>
  <c r="L493" i="47"/>
  <c r="Y493" i="47"/>
  <c r="E494" i="47"/>
  <c r="L494" i="47"/>
  <c r="Y494" i="47"/>
  <c r="E495" i="47"/>
  <c r="L495" i="47"/>
  <c r="Y495" i="47"/>
  <c r="E496" i="47"/>
  <c r="L496" i="47"/>
  <c r="Y496" i="47"/>
  <c r="E497" i="47"/>
  <c r="L497" i="47"/>
  <c r="Y497" i="47"/>
  <c r="E498" i="47"/>
  <c r="L498" i="47"/>
  <c r="Y498" i="47"/>
  <c r="E499" i="47"/>
  <c r="L499" i="47"/>
  <c r="Y499" i="47"/>
  <c r="E500" i="47"/>
  <c r="L500" i="47"/>
  <c r="Y500" i="47"/>
  <c r="E501" i="47"/>
  <c r="L501" i="47"/>
  <c r="Y501" i="47"/>
  <c r="E502" i="47"/>
  <c r="L502" i="47"/>
  <c r="Y502" i="47"/>
  <c r="E503" i="47"/>
  <c r="L503" i="47"/>
  <c r="Y503" i="47"/>
  <c r="E504" i="47"/>
  <c r="L504" i="47"/>
  <c r="Y504" i="47"/>
  <c r="E505" i="47"/>
  <c r="L505" i="47"/>
  <c r="Y505" i="47"/>
  <c r="E506" i="47"/>
  <c r="L506" i="47"/>
  <c r="Y506" i="47"/>
  <c r="E507" i="47"/>
  <c r="L507" i="47"/>
  <c r="Y507" i="47"/>
  <c r="E508" i="47"/>
  <c r="L508" i="47"/>
  <c r="Y508" i="47"/>
  <c r="E509" i="47"/>
  <c r="L509" i="47"/>
  <c r="Y509" i="47"/>
  <c r="E510" i="47"/>
  <c r="L510" i="47"/>
  <c r="Y510" i="47"/>
  <c r="E511" i="47"/>
  <c r="L511" i="47"/>
  <c r="Y511" i="47"/>
  <c r="E512" i="47"/>
  <c r="L512" i="47"/>
  <c r="Y512" i="47"/>
  <c r="E12" i="47"/>
  <c r="L12" i="47"/>
  <c r="Y12" i="47"/>
  <c r="AD12" i="47"/>
  <c r="P12" i="47"/>
  <c r="P13" i="47"/>
  <c r="AE12" i="47"/>
  <c r="H12" i="47"/>
  <c r="H13" i="47"/>
  <c r="H14" i="47"/>
  <c r="AF12" i="47"/>
  <c r="Z13" i="47"/>
  <c r="Z14" i="47"/>
  <c r="Z15" i="47"/>
  <c r="Z16" i="47"/>
  <c r="Z17" i="47"/>
  <c r="Z18" i="47"/>
  <c r="Z19" i="47"/>
  <c r="Z20" i="47"/>
  <c r="Z21" i="47"/>
  <c r="Z22" i="47"/>
  <c r="Z23" i="47"/>
  <c r="Z24" i="47"/>
  <c r="Z25" i="47"/>
  <c r="Z26" i="47"/>
  <c r="Z27" i="47"/>
  <c r="Z28" i="47"/>
  <c r="Z29" i="47"/>
  <c r="Z30" i="47"/>
  <c r="Z31" i="47"/>
  <c r="Z32" i="47"/>
  <c r="Z33" i="47"/>
  <c r="Z34" i="47"/>
  <c r="Z35" i="47"/>
  <c r="Z36" i="47"/>
  <c r="Z37" i="47"/>
  <c r="Z38" i="47"/>
  <c r="Z39" i="47"/>
  <c r="Z40" i="47"/>
  <c r="Z41" i="47"/>
  <c r="Z42" i="47"/>
  <c r="Z43" i="47"/>
  <c r="Z44" i="47"/>
  <c r="Z45" i="47"/>
  <c r="Z46" i="47"/>
  <c r="Z47" i="47"/>
  <c r="Z48" i="47"/>
  <c r="Z49" i="47"/>
  <c r="Z50" i="47"/>
  <c r="Z51" i="47"/>
  <c r="Z52" i="47"/>
  <c r="Z53" i="47"/>
  <c r="Z54" i="47"/>
  <c r="Z55" i="47"/>
  <c r="Z56" i="47"/>
  <c r="Z57" i="47"/>
  <c r="Z58" i="47"/>
  <c r="Z59" i="47"/>
  <c r="Z60" i="47"/>
  <c r="Z61" i="47"/>
  <c r="Z62" i="47"/>
  <c r="Z63" i="47"/>
  <c r="Z64" i="47"/>
  <c r="Z65" i="47"/>
  <c r="Z66" i="47"/>
  <c r="Z67" i="47"/>
  <c r="Z68" i="47"/>
  <c r="Z69" i="47"/>
  <c r="Z70" i="47"/>
  <c r="Z71" i="47"/>
  <c r="Z72" i="47"/>
  <c r="Z73" i="47"/>
  <c r="Z74" i="47"/>
  <c r="Z75" i="47"/>
  <c r="Z76" i="47"/>
  <c r="Z77" i="47"/>
  <c r="Z78" i="47"/>
  <c r="Z79" i="47"/>
  <c r="Z80" i="47"/>
  <c r="Z81" i="47"/>
  <c r="Z82" i="47"/>
  <c r="Z83" i="47"/>
  <c r="Z84" i="47"/>
  <c r="Z85" i="47"/>
  <c r="Z86" i="47"/>
  <c r="Z87" i="47"/>
  <c r="Z88" i="47"/>
  <c r="Z89" i="47"/>
  <c r="Z90" i="47"/>
  <c r="Z91" i="47"/>
  <c r="Z92" i="47"/>
  <c r="Z93" i="47"/>
  <c r="Z94" i="47"/>
  <c r="Z95" i="47"/>
  <c r="Z96" i="47"/>
  <c r="Z97" i="47"/>
  <c r="Z98" i="47"/>
  <c r="Z99" i="47"/>
  <c r="Z100" i="47"/>
  <c r="Z101" i="47"/>
  <c r="Z102" i="47"/>
  <c r="Z103" i="47"/>
  <c r="Z104" i="47"/>
  <c r="Z105" i="47"/>
  <c r="Z106" i="47"/>
  <c r="Z107" i="47"/>
  <c r="Z108" i="47"/>
  <c r="Z109" i="47"/>
  <c r="Z110" i="47"/>
  <c r="Z111" i="47"/>
  <c r="Z112" i="47"/>
  <c r="Z113" i="47"/>
  <c r="Z114" i="47"/>
  <c r="Z115" i="47"/>
  <c r="Z116" i="47"/>
  <c r="Z117" i="47"/>
  <c r="Z118" i="47"/>
  <c r="Z119" i="47"/>
  <c r="Z120" i="47"/>
  <c r="Z121" i="47"/>
  <c r="Z122" i="47"/>
  <c r="Z123" i="47"/>
  <c r="Z124" i="47"/>
  <c r="Z125" i="47"/>
  <c r="Z126" i="47"/>
  <c r="Z127" i="47"/>
  <c r="Z128" i="47"/>
  <c r="Z129" i="47"/>
  <c r="Z130" i="47"/>
  <c r="Z131" i="47"/>
  <c r="Z132" i="47"/>
  <c r="Z133" i="47"/>
  <c r="Z134" i="47"/>
  <c r="Z135" i="47"/>
  <c r="Z136" i="47"/>
  <c r="Z137" i="47"/>
  <c r="Z138" i="47"/>
  <c r="Z139" i="47"/>
  <c r="Z140" i="47"/>
  <c r="Z141" i="47"/>
  <c r="Z142" i="47"/>
  <c r="Z143" i="47"/>
  <c r="Z144" i="47"/>
  <c r="Z145" i="47"/>
  <c r="Z146" i="47"/>
  <c r="Z147" i="47"/>
  <c r="Z148" i="47"/>
  <c r="Z149" i="47"/>
  <c r="Z150" i="47"/>
  <c r="Z151" i="47"/>
  <c r="Z152" i="47"/>
  <c r="Z153" i="47"/>
  <c r="Z154" i="47"/>
  <c r="Z155" i="47"/>
  <c r="Z156" i="47"/>
  <c r="Z157" i="47"/>
  <c r="Z158" i="47"/>
  <c r="Z159" i="47"/>
  <c r="Z160" i="47"/>
  <c r="Z161" i="47"/>
  <c r="Z162" i="47"/>
  <c r="Z163" i="47"/>
  <c r="Z164" i="47"/>
  <c r="Z165" i="47"/>
  <c r="Z166" i="47"/>
  <c r="Z167" i="47"/>
  <c r="Z168" i="47"/>
  <c r="Z169" i="47"/>
  <c r="Z170" i="47"/>
  <c r="Z171" i="47"/>
  <c r="Z172" i="47"/>
  <c r="Z173" i="47"/>
  <c r="Z174" i="47"/>
  <c r="Z175" i="47"/>
  <c r="Z176" i="47"/>
  <c r="Z177" i="47"/>
  <c r="Z178" i="47"/>
  <c r="Z179" i="47"/>
  <c r="Z180" i="47"/>
  <c r="Z181" i="47"/>
  <c r="Z182" i="47"/>
  <c r="Z183" i="47"/>
  <c r="Z184" i="47"/>
  <c r="Z185" i="47"/>
  <c r="Z186" i="47"/>
  <c r="Z187" i="47"/>
  <c r="Z188" i="47"/>
  <c r="Z189" i="47"/>
  <c r="Z190" i="47"/>
  <c r="Z191" i="47"/>
  <c r="Z192" i="47"/>
  <c r="Z193" i="47"/>
  <c r="Z194" i="47"/>
  <c r="Z195" i="47"/>
  <c r="Z196" i="47"/>
  <c r="Z197" i="47"/>
  <c r="Z198" i="47"/>
  <c r="Z199" i="47"/>
  <c r="Z200" i="47"/>
  <c r="Z201" i="47"/>
  <c r="Z202" i="47"/>
  <c r="Z203" i="47"/>
  <c r="Z204" i="47"/>
  <c r="Z205" i="47"/>
  <c r="Z206" i="47"/>
  <c r="Z207" i="47"/>
  <c r="Z208" i="47"/>
  <c r="Z209" i="47"/>
  <c r="Z210" i="47"/>
  <c r="Z211" i="47"/>
  <c r="Z212" i="47"/>
  <c r="Z213" i="47"/>
  <c r="Z214" i="47"/>
  <c r="Z215" i="47"/>
  <c r="Z216" i="47"/>
  <c r="Z217" i="47"/>
  <c r="Z218" i="47"/>
  <c r="Z219" i="47"/>
  <c r="Z220" i="47"/>
  <c r="Z221" i="47"/>
  <c r="Z222" i="47"/>
  <c r="Z223" i="47"/>
  <c r="Z224" i="47"/>
  <c r="Z225" i="47"/>
  <c r="Z226" i="47"/>
  <c r="Z227" i="47"/>
  <c r="Z228" i="47"/>
  <c r="Z229" i="47"/>
  <c r="Z230" i="47"/>
  <c r="Z231" i="47"/>
  <c r="Z232" i="47"/>
  <c r="Z233" i="47"/>
  <c r="Z234" i="47"/>
  <c r="Z235" i="47"/>
  <c r="Z236" i="47"/>
  <c r="Z237" i="47"/>
  <c r="Z238" i="47"/>
  <c r="Z239" i="47"/>
  <c r="Z240" i="47"/>
  <c r="Z241" i="47"/>
  <c r="Z242" i="47"/>
  <c r="Z243" i="47"/>
  <c r="Z244" i="47"/>
  <c r="Z245" i="47"/>
  <c r="Z246" i="47"/>
  <c r="Z247" i="47"/>
  <c r="Z248" i="47"/>
  <c r="Z249" i="47"/>
  <c r="Z250" i="47"/>
  <c r="Z251" i="47"/>
  <c r="Z252" i="47"/>
  <c r="Z253" i="47"/>
  <c r="Z254" i="47"/>
  <c r="Z255" i="47"/>
  <c r="Z256" i="47"/>
  <c r="Z257" i="47"/>
  <c r="Z258" i="47"/>
  <c r="Z259" i="47"/>
  <c r="Z260" i="47"/>
  <c r="Z261" i="47"/>
  <c r="Z262" i="47"/>
  <c r="Z263" i="47"/>
  <c r="Z264" i="47"/>
  <c r="Z265" i="47"/>
  <c r="Z266" i="47"/>
  <c r="Z267" i="47"/>
  <c r="Z268" i="47"/>
  <c r="Z269" i="47"/>
  <c r="Z270" i="47"/>
  <c r="Z271" i="47"/>
  <c r="Z272" i="47"/>
  <c r="Z273" i="47"/>
  <c r="Z274" i="47"/>
  <c r="Z275" i="47"/>
  <c r="Z276" i="47"/>
  <c r="Z277" i="47"/>
  <c r="Z278" i="47"/>
  <c r="Z279" i="47"/>
  <c r="Z280" i="47"/>
  <c r="Z281" i="47"/>
  <c r="Z282" i="47"/>
  <c r="Z283" i="47"/>
  <c r="Z284" i="47"/>
  <c r="Z285" i="47"/>
  <c r="Z286" i="47"/>
  <c r="Z287" i="47"/>
  <c r="Z288" i="47"/>
  <c r="Z289" i="47"/>
  <c r="Z290" i="47"/>
  <c r="Z291" i="47"/>
  <c r="Z292" i="47"/>
  <c r="Z293" i="47"/>
  <c r="Z294" i="47"/>
  <c r="Z295" i="47"/>
  <c r="Z296" i="47"/>
  <c r="Z297" i="47"/>
  <c r="Z298" i="47"/>
  <c r="Z299" i="47"/>
  <c r="Z300" i="47"/>
  <c r="Z301" i="47"/>
  <c r="Z302" i="47"/>
  <c r="Z303" i="47"/>
  <c r="Z304" i="47"/>
  <c r="Z305" i="47"/>
  <c r="Z306" i="47"/>
  <c r="Z307" i="47"/>
  <c r="Z308" i="47"/>
  <c r="Z309" i="47"/>
  <c r="Z310" i="47"/>
  <c r="Z311" i="47"/>
  <c r="Z312" i="47"/>
  <c r="Z313" i="47"/>
  <c r="Z314" i="47"/>
  <c r="Z315" i="47"/>
  <c r="Z316" i="47"/>
  <c r="Z317" i="47"/>
  <c r="Z318" i="47"/>
  <c r="Z319" i="47"/>
  <c r="Z320" i="47"/>
  <c r="Z321" i="47"/>
  <c r="Z322" i="47"/>
  <c r="Z323" i="47"/>
  <c r="Z324" i="47"/>
  <c r="Z325" i="47"/>
  <c r="Z326" i="47"/>
  <c r="Z327" i="47"/>
  <c r="Z328" i="47"/>
  <c r="Z329" i="47"/>
  <c r="Z330" i="47"/>
  <c r="Z331" i="47"/>
  <c r="Z332" i="47"/>
  <c r="Z333" i="47"/>
  <c r="Z334" i="47"/>
  <c r="Z335" i="47"/>
  <c r="Z336" i="47"/>
  <c r="Z337" i="47"/>
  <c r="Z338" i="47"/>
  <c r="Z339" i="47"/>
  <c r="Z340" i="47"/>
  <c r="Z341" i="47"/>
  <c r="Z342" i="47"/>
  <c r="Z343" i="47"/>
  <c r="Z344" i="47"/>
  <c r="Z345" i="47"/>
  <c r="Z346" i="47"/>
  <c r="Z347" i="47"/>
  <c r="Z348" i="47"/>
  <c r="Z349" i="47"/>
  <c r="Z350" i="47"/>
  <c r="Z351" i="47"/>
  <c r="Z352" i="47"/>
  <c r="Z353" i="47"/>
  <c r="Z354" i="47"/>
  <c r="Z355" i="47"/>
  <c r="Z356" i="47"/>
  <c r="Z357" i="47"/>
  <c r="Z358" i="47"/>
  <c r="Z359" i="47"/>
  <c r="Z360" i="47"/>
  <c r="Z361" i="47"/>
  <c r="Z362" i="47"/>
  <c r="Z363" i="47"/>
  <c r="Z364" i="47"/>
  <c r="Z365" i="47"/>
  <c r="Z366" i="47"/>
  <c r="Z367" i="47"/>
  <c r="Z368" i="47"/>
  <c r="Z369" i="47"/>
  <c r="Z370" i="47"/>
  <c r="Z371" i="47"/>
  <c r="Z372" i="47"/>
  <c r="Z373" i="47"/>
  <c r="Z374" i="47"/>
  <c r="Z375" i="47"/>
  <c r="Z376" i="47"/>
  <c r="Z377" i="47"/>
  <c r="Z378" i="47"/>
  <c r="Z379" i="47"/>
  <c r="Z380" i="47"/>
  <c r="Z381" i="47"/>
  <c r="Z382" i="47"/>
  <c r="Z383" i="47"/>
  <c r="Z384" i="47"/>
  <c r="Z385" i="47"/>
  <c r="Z386" i="47"/>
  <c r="Z387" i="47"/>
  <c r="Z388" i="47"/>
  <c r="Z389" i="47"/>
  <c r="Z390" i="47"/>
  <c r="Z391" i="47"/>
  <c r="Z392" i="47"/>
  <c r="Z393" i="47"/>
  <c r="Z394" i="47"/>
  <c r="Z395" i="47"/>
  <c r="Z396" i="47"/>
  <c r="Z397" i="47"/>
  <c r="Z398" i="47"/>
  <c r="Z399" i="47"/>
  <c r="Z400" i="47"/>
  <c r="Z401" i="47"/>
  <c r="Z402" i="47"/>
  <c r="Z403" i="47"/>
  <c r="Z404" i="47"/>
  <c r="Z405" i="47"/>
  <c r="Z406" i="47"/>
  <c r="Z407" i="47"/>
  <c r="Z408" i="47"/>
  <c r="Z409" i="47"/>
  <c r="Z410" i="47"/>
  <c r="Z411" i="47"/>
  <c r="Z412" i="47"/>
  <c r="Z413" i="47"/>
  <c r="Z414" i="47"/>
  <c r="Z415" i="47"/>
  <c r="Z416" i="47"/>
  <c r="Z417" i="47"/>
  <c r="Z418" i="47"/>
  <c r="Z419" i="47"/>
  <c r="Z420" i="47"/>
  <c r="Z421" i="47"/>
  <c r="Z422" i="47"/>
  <c r="Z423" i="47"/>
  <c r="Z424" i="47"/>
  <c r="Z425" i="47"/>
  <c r="Z426" i="47"/>
  <c r="Z427" i="47"/>
  <c r="Z428" i="47"/>
  <c r="Z429" i="47"/>
  <c r="Z430" i="47"/>
  <c r="Z431" i="47"/>
  <c r="Z432" i="47"/>
  <c r="Z433" i="47"/>
  <c r="Z434" i="47"/>
  <c r="Z435" i="47"/>
  <c r="Z436" i="47"/>
  <c r="Z437" i="47"/>
  <c r="Z438" i="47"/>
  <c r="Z439" i="47"/>
  <c r="Z440" i="47"/>
  <c r="Z441" i="47"/>
  <c r="Z442" i="47"/>
  <c r="Z443" i="47"/>
  <c r="Z444" i="47"/>
  <c r="Z445" i="47"/>
  <c r="Z446" i="47"/>
  <c r="Z447" i="47"/>
  <c r="Z448" i="47"/>
  <c r="Z449" i="47"/>
  <c r="Z450" i="47"/>
  <c r="Z451" i="47"/>
  <c r="Z452" i="47"/>
  <c r="Z453" i="47"/>
  <c r="Z454" i="47"/>
  <c r="Z455" i="47"/>
  <c r="Z456" i="47"/>
  <c r="Z457" i="47"/>
  <c r="Z458" i="47"/>
  <c r="Z459" i="47"/>
  <c r="Z460" i="47"/>
  <c r="Z461" i="47"/>
  <c r="Z462" i="47"/>
  <c r="Z463" i="47"/>
  <c r="Z464" i="47"/>
  <c r="Z465" i="47"/>
  <c r="Z466" i="47"/>
  <c r="Z467" i="47"/>
  <c r="Z468" i="47"/>
  <c r="Z469" i="47"/>
  <c r="Z470" i="47"/>
  <c r="Z471" i="47"/>
  <c r="Z472" i="47"/>
  <c r="Z473" i="47"/>
  <c r="Z474" i="47"/>
  <c r="Z475" i="47"/>
  <c r="Z476" i="47"/>
  <c r="Z477" i="47"/>
  <c r="Z478" i="47"/>
  <c r="Z479" i="47"/>
  <c r="Z480" i="47"/>
  <c r="Z481" i="47"/>
  <c r="Z482" i="47"/>
  <c r="Z483" i="47"/>
  <c r="Z484" i="47"/>
  <c r="Z485" i="47"/>
  <c r="Z486" i="47"/>
  <c r="Z487" i="47"/>
  <c r="Z488" i="47"/>
  <c r="Z489" i="47"/>
  <c r="Z490" i="47"/>
  <c r="Z491" i="47"/>
  <c r="Z492" i="47"/>
  <c r="Z493" i="47"/>
  <c r="Z494" i="47"/>
  <c r="Z495" i="47"/>
  <c r="Z496" i="47"/>
  <c r="Z497" i="47"/>
  <c r="Z498" i="47"/>
  <c r="Z499" i="47"/>
  <c r="Z500" i="47"/>
  <c r="Z501" i="47"/>
  <c r="Z502" i="47"/>
  <c r="Z503" i="47"/>
  <c r="Z504" i="47"/>
  <c r="Z505" i="47"/>
  <c r="Z506" i="47"/>
  <c r="Z507" i="47"/>
  <c r="Z508" i="47"/>
  <c r="Z509" i="47"/>
  <c r="Z510" i="47"/>
  <c r="Z511" i="47"/>
  <c r="Z512" i="47"/>
  <c r="Z12" i="47"/>
  <c r="AD13" i="47"/>
  <c r="AE13" i="47"/>
  <c r="AF13" i="47"/>
  <c r="S13" i="47"/>
  <c r="AA13" i="47"/>
  <c r="S14" i="47"/>
  <c r="AA14" i="47"/>
  <c r="S15" i="47"/>
  <c r="AA15" i="47"/>
  <c r="S16" i="47"/>
  <c r="AA16" i="47"/>
  <c r="S17" i="47"/>
  <c r="AA17" i="47"/>
  <c r="S18" i="47"/>
  <c r="AA18" i="47"/>
  <c r="S19" i="47"/>
  <c r="AA19" i="47"/>
  <c r="S20" i="47"/>
  <c r="AA20" i="47"/>
  <c r="S21" i="47"/>
  <c r="AA21" i="47"/>
  <c r="S22" i="47"/>
  <c r="AA22" i="47"/>
  <c r="S23" i="47"/>
  <c r="AA23" i="47"/>
  <c r="S24" i="47"/>
  <c r="AA24" i="47"/>
  <c r="S25" i="47"/>
  <c r="AA25" i="47"/>
  <c r="S26" i="47"/>
  <c r="AA26" i="47"/>
  <c r="S27" i="47"/>
  <c r="AA27" i="47"/>
  <c r="S28" i="47"/>
  <c r="AA28" i="47"/>
  <c r="S29" i="47"/>
  <c r="AA29" i="47"/>
  <c r="S30" i="47"/>
  <c r="AA30" i="47"/>
  <c r="S31" i="47"/>
  <c r="AA31" i="47"/>
  <c r="S32" i="47"/>
  <c r="AA32" i="47"/>
  <c r="S33" i="47"/>
  <c r="AA33" i="47"/>
  <c r="S34" i="47"/>
  <c r="AA34" i="47"/>
  <c r="S35" i="47"/>
  <c r="AA35" i="47"/>
  <c r="S36" i="47"/>
  <c r="AA36" i="47"/>
  <c r="S37" i="47"/>
  <c r="AA37" i="47"/>
  <c r="S38" i="47"/>
  <c r="AA38" i="47"/>
  <c r="S39" i="47"/>
  <c r="AA39" i="47"/>
  <c r="S40" i="47"/>
  <c r="AA40" i="47"/>
  <c r="S41" i="47"/>
  <c r="AA41" i="47"/>
  <c r="S42" i="47"/>
  <c r="AA42" i="47"/>
  <c r="S43" i="47"/>
  <c r="AA43" i="47"/>
  <c r="S44" i="47"/>
  <c r="AA44" i="47"/>
  <c r="S45" i="47"/>
  <c r="AA45" i="47"/>
  <c r="S46" i="47"/>
  <c r="AA46" i="47"/>
  <c r="S47" i="47"/>
  <c r="AA47" i="47"/>
  <c r="S48" i="47"/>
  <c r="AA48" i="47"/>
  <c r="S49" i="47"/>
  <c r="AA49" i="47"/>
  <c r="S50" i="47"/>
  <c r="AA50" i="47"/>
  <c r="S51" i="47"/>
  <c r="AA51" i="47"/>
  <c r="S52" i="47"/>
  <c r="AA52" i="47"/>
  <c r="S53" i="47"/>
  <c r="AA53" i="47"/>
  <c r="S54" i="47"/>
  <c r="AA54" i="47"/>
  <c r="S55" i="47"/>
  <c r="AA55" i="47"/>
  <c r="S56" i="47"/>
  <c r="AA56" i="47"/>
  <c r="S57" i="47"/>
  <c r="AA57" i="47"/>
  <c r="S58" i="47"/>
  <c r="AA58" i="47"/>
  <c r="S59" i="47"/>
  <c r="AA59" i="47"/>
  <c r="S60" i="47"/>
  <c r="AA60" i="47"/>
  <c r="S61" i="47"/>
  <c r="AA61" i="47"/>
  <c r="S62" i="47"/>
  <c r="AA62" i="47"/>
  <c r="S63" i="47"/>
  <c r="AA63" i="47"/>
  <c r="S64" i="47"/>
  <c r="AA64" i="47"/>
  <c r="S65" i="47"/>
  <c r="AA65" i="47"/>
  <c r="S66" i="47"/>
  <c r="AA66" i="47"/>
  <c r="S67" i="47"/>
  <c r="AA67" i="47"/>
  <c r="S68" i="47"/>
  <c r="AA68" i="47"/>
  <c r="S69" i="47"/>
  <c r="AA69" i="47"/>
  <c r="S70" i="47"/>
  <c r="AA70" i="47"/>
  <c r="S71" i="47"/>
  <c r="AA71" i="47"/>
  <c r="S72" i="47"/>
  <c r="AA72" i="47"/>
  <c r="S73" i="47"/>
  <c r="AA73" i="47"/>
  <c r="S74" i="47"/>
  <c r="AA74" i="47"/>
  <c r="S75" i="47"/>
  <c r="AA75" i="47"/>
  <c r="S76" i="47"/>
  <c r="AA76" i="47"/>
  <c r="S77" i="47"/>
  <c r="AA77" i="47"/>
  <c r="S78" i="47"/>
  <c r="AA78" i="47"/>
  <c r="S79" i="47"/>
  <c r="AA79" i="47"/>
  <c r="S80" i="47"/>
  <c r="AA80" i="47"/>
  <c r="S81" i="47"/>
  <c r="AA81" i="47"/>
  <c r="S82" i="47"/>
  <c r="AA82" i="47"/>
  <c r="S83" i="47"/>
  <c r="AA83" i="47"/>
  <c r="S84" i="47"/>
  <c r="AA84" i="47"/>
  <c r="S85" i="47"/>
  <c r="AA85" i="47"/>
  <c r="S86" i="47"/>
  <c r="AA86" i="47"/>
  <c r="S87" i="47"/>
  <c r="AA87" i="47"/>
  <c r="S88" i="47"/>
  <c r="AA88" i="47"/>
  <c r="S89" i="47"/>
  <c r="AA89" i="47"/>
  <c r="S90" i="47"/>
  <c r="AA90" i="47"/>
  <c r="S91" i="47"/>
  <c r="AA91" i="47"/>
  <c r="S92" i="47"/>
  <c r="AA92" i="47"/>
  <c r="S93" i="47"/>
  <c r="AA93" i="47"/>
  <c r="S94" i="47"/>
  <c r="AA94" i="47"/>
  <c r="S95" i="47"/>
  <c r="AA95" i="47"/>
  <c r="S96" i="47"/>
  <c r="AA96" i="47"/>
  <c r="S97" i="47"/>
  <c r="AA97" i="47"/>
  <c r="S98" i="47"/>
  <c r="AA98" i="47"/>
  <c r="S99" i="47"/>
  <c r="AA99" i="47"/>
  <c r="S100" i="47"/>
  <c r="AA100" i="47"/>
  <c r="S101" i="47"/>
  <c r="AA101" i="47"/>
  <c r="S102" i="47"/>
  <c r="AA102" i="47"/>
  <c r="S103" i="47"/>
  <c r="AA103" i="47"/>
  <c r="S104" i="47"/>
  <c r="AA104" i="47"/>
  <c r="S105" i="47"/>
  <c r="AA105" i="47"/>
  <c r="S106" i="47"/>
  <c r="AA106" i="47"/>
  <c r="S107" i="47"/>
  <c r="AA107" i="47"/>
  <c r="S108" i="47"/>
  <c r="AA108" i="47"/>
  <c r="S109" i="47"/>
  <c r="AA109" i="47"/>
  <c r="S110" i="47"/>
  <c r="AA110" i="47"/>
  <c r="S111" i="47"/>
  <c r="AA111" i="47"/>
  <c r="S112" i="47"/>
  <c r="AA112" i="47"/>
  <c r="S113" i="47"/>
  <c r="AA113" i="47"/>
  <c r="S114" i="47"/>
  <c r="AA114" i="47"/>
  <c r="S115" i="47"/>
  <c r="AA115" i="47"/>
  <c r="S116" i="47"/>
  <c r="AA116" i="47"/>
  <c r="S117" i="47"/>
  <c r="AA117" i="47"/>
  <c r="S118" i="47"/>
  <c r="AA118" i="47"/>
  <c r="S119" i="47"/>
  <c r="AA119" i="47"/>
  <c r="S120" i="47"/>
  <c r="AA120" i="47"/>
  <c r="S121" i="47"/>
  <c r="AA121" i="47"/>
  <c r="S122" i="47"/>
  <c r="AA122" i="47"/>
  <c r="S123" i="47"/>
  <c r="AA123" i="47"/>
  <c r="S124" i="47"/>
  <c r="AA124" i="47"/>
  <c r="S125" i="47"/>
  <c r="AA125" i="47"/>
  <c r="S126" i="47"/>
  <c r="AA126" i="47"/>
  <c r="S127" i="47"/>
  <c r="AA127" i="47"/>
  <c r="S128" i="47"/>
  <c r="AA128" i="47"/>
  <c r="S129" i="47"/>
  <c r="AA129" i="47"/>
  <c r="S130" i="47"/>
  <c r="AA130" i="47"/>
  <c r="S131" i="47"/>
  <c r="AA131" i="47"/>
  <c r="S132" i="47"/>
  <c r="AA132" i="47"/>
  <c r="S133" i="47"/>
  <c r="AA133" i="47"/>
  <c r="S134" i="47"/>
  <c r="AA134" i="47"/>
  <c r="S135" i="47"/>
  <c r="AA135" i="47"/>
  <c r="S136" i="47"/>
  <c r="AA136" i="47"/>
  <c r="S137" i="47"/>
  <c r="AA137" i="47"/>
  <c r="S138" i="47"/>
  <c r="AA138" i="47"/>
  <c r="S139" i="47"/>
  <c r="AA139" i="47"/>
  <c r="S140" i="47"/>
  <c r="AA140" i="47"/>
  <c r="S141" i="47"/>
  <c r="AA141" i="47"/>
  <c r="S142" i="47"/>
  <c r="AA142" i="47"/>
  <c r="S143" i="47"/>
  <c r="AA143" i="47"/>
  <c r="S144" i="47"/>
  <c r="AA144" i="47"/>
  <c r="S145" i="47"/>
  <c r="AA145" i="47"/>
  <c r="S146" i="47"/>
  <c r="AA146" i="47"/>
  <c r="S147" i="47"/>
  <c r="AA147" i="47"/>
  <c r="S148" i="47"/>
  <c r="AA148" i="47"/>
  <c r="S149" i="47"/>
  <c r="AA149" i="47"/>
  <c r="S150" i="47"/>
  <c r="AA150" i="47"/>
  <c r="S151" i="47"/>
  <c r="AA151" i="47"/>
  <c r="S152" i="47"/>
  <c r="AA152" i="47"/>
  <c r="S153" i="47"/>
  <c r="AA153" i="47"/>
  <c r="S154" i="47"/>
  <c r="AA154" i="47"/>
  <c r="S155" i="47"/>
  <c r="AA155" i="47"/>
  <c r="S156" i="47"/>
  <c r="AA156" i="47"/>
  <c r="S157" i="47"/>
  <c r="AA157" i="47"/>
  <c r="S158" i="47"/>
  <c r="AA158" i="47"/>
  <c r="S159" i="47"/>
  <c r="AA159" i="47"/>
  <c r="S160" i="47"/>
  <c r="AA160" i="47"/>
  <c r="S161" i="47"/>
  <c r="AA161" i="47"/>
  <c r="S162" i="47"/>
  <c r="AA162" i="47"/>
  <c r="S163" i="47"/>
  <c r="AA163" i="47"/>
  <c r="S164" i="47"/>
  <c r="AA164" i="47"/>
  <c r="S165" i="47"/>
  <c r="AA165" i="47"/>
  <c r="S166" i="47"/>
  <c r="AA166" i="47"/>
  <c r="S167" i="47"/>
  <c r="AA167" i="47"/>
  <c r="S168" i="47"/>
  <c r="AA168" i="47"/>
  <c r="S169" i="47"/>
  <c r="AA169" i="47"/>
  <c r="S170" i="47"/>
  <c r="AA170" i="47"/>
  <c r="S171" i="47"/>
  <c r="AA171" i="47"/>
  <c r="S172" i="47"/>
  <c r="AA172" i="47"/>
  <c r="S173" i="47"/>
  <c r="AA173" i="47"/>
  <c r="S174" i="47"/>
  <c r="AA174" i="47"/>
  <c r="S175" i="47"/>
  <c r="AA175" i="47"/>
  <c r="S176" i="47"/>
  <c r="AA176" i="47"/>
  <c r="S177" i="47"/>
  <c r="AA177" i="47"/>
  <c r="S178" i="47"/>
  <c r="AA178" i="47"/>
  <c r="S179" i="47"/>
  <c r="AA179" i="47"/>
  <c r="S180" i="47"/>
  <c r="AA180" i="47"/>
  <c r="S181" i="47"/>
  <c r="AA181" i="47"/>
  <c r="S182" i="47"/>
  <c r="AA182" i="47"/>
  <c r="S183" i="47"/>
  <c r="AA183" i="47"/>
  <c r="S184" i="47"/>
  <c r="AA184" i="47"/>
  <c r="S185" i="47"/>
  <c r="AA185" i="47"/>
  <c r="S186" i="47"/>
  <c r="AA186" i="47"/>
  <c r="S187" i="47"/>
  <c r="AA187" i="47"/>
  <c r="S188" i="47"/>
  <c r="AA188" i="47"/>
  <c r="S189" i="47"/>
  <c r="AA189" i="47"/>
  <c r="S190" i="47"/>
  <c r="AA190" i="47"/>
  <c r="S191" i="47"/>
  <c r="AA191" i="47"/>
  <c r="S192" i="47"/>
  <c r="AA192" i="47"/>
  <c r="S193" i="47"/>
  <c r="AA193" i="47"/>
  <c r="S194" i="47"/>
  <c r="AA194" i="47"/>
  <c r="S195" i="47"/>
  <c r="AA195" i="47"/>
  <c r="S196" i="47"/>
  <c r="AA196" i="47"/>
  <c r="S197" i="47"/>
  <c r="AA197" i="47"/>
  <c r="S198" i="47"/>
  <c r="AA198" i="47"/>
  <c r="S199" i="47"/>
  <c r="AA199" i="47"/>
  <c r="S200" i="47"/>
  <c r="AA200" i="47"/>
  <c r="S201" i="47"/>
  <c r="AA201" i="47"/>
  <c r="S202" i="47"/>
  <c r="AA202" i="47"/>
  <c r="S203" i="47"/>
  <c r="AA203" i="47"/>
  <c r="S204" i="47"/>
  <c r="AA204" i="47"/>
  <c r="S205" i="47"/>
  <c r="AA205" i="47"/>
  <c r="S206" i="47"/>
  <c r="AA206" i="47"/>
  <c r="S207" i="47"/>
  <c r="AA207" i="47"/>
  <c r="S208" i="47"/>
  <c r="AA208" i="47"/>
  <c r="S209" i="47"/>
  <c r="AA209" i="47"/>
  <c r="S210" i="47"/>
  <c r="AA210" i="47"/>
  <c r="S211" i="47"/>
  <c r="AA211" i="47"/>
  <c r="S212" i="47"/>
  <c r="AA212" i="47"/>
  <c r="S213" i="47"/>
  <c r="AA213" i="47"/>
  <c r="S214" i="47"/>
  <c r="AA214" i="47"/>
  <c r="S215" i="47"/>
  <c r="AA215" i="47"/>
  <c r="S216" i="47"/>
  <c r="AA216" i="47"/>
  <c r="S217" i="47"/>
  <c r="AA217" i="47"/>
  <c r="S218" i="47"/>
  <c r="AA218" i="47"/>
  <c r="S219" i="47"/>
  <c r="AA219" i="47"/>
  <c r="S220" i="47"/>
  <c r="AA220" i="47"/>
  <c r="S221" i="47"/>
  <c r="AA221" i="47"/>
  <c r="S222" i="47"/>
  <c r="AA222" i="47"/>
  <c r="S223" i="47"/>
  <c r="AA223" i="47"/>
  <c r="S224" i="47"/>
  <c r="AA224" i="47"/>
  <c r="S225" i="47"/>
  <c r="AA225" i="47"/>
  <c r="S226" i="47"/>
  <c r="AA226" i="47"/>
  <c r="S227" i="47"/>
  <c r="AA227" i="47"/>
  <c r="S228" i="47"/>
  <c r="AA228" i="47"/>
  <c r="S229" i="47"/>
  <c r="AA229" i="47"/>
  <c r="S230" i="47"/>
  <c r="AA230" i="47"/>
  <c r="S231" i="47"/>
  <c r="AA231" i="47"/>
  <c r="S232" i="47"/>
  <c r="AA232" i="47"/>
  <c r="S233" i="47"/>
  <c r="AA233" i="47"/>
  <c r="S234" i="47"/>
  <c r="AA234" i="47"/>
  <c r="S235" i="47"/>
  <c r="AA235" i="47"/>
  <c r="S236" i="47"/>
  <c r="AA236" i="47"/>
  <c r="S237" i="47"/>
  <c r="AA237" i="47"/>
  <c r="S238" i="47"/>
  <c r="AA238" i="47"/>
  <c r="S239" i="47"/>
  <c r="AA239" i="47"/>
  <c r="S240" i="47"/>
  <c r="AA240" i="47"/>
  <c r="S241" i="47"/>
  <c r="AA241" i="47"/>
  <c r="S242" i="47"/>
  <c r="AA242" i="47"/>
  <c r="S243" i="47"/>
  <c r="AA243" i="47"/>
  <c r="S244" i="47"/>
  <c r="AA244" i="47"/>
  <c r="S245" i="47"/>
  <c r="AA245" i="47"/>
  <c r="S246" i="47"/>
  <c r="AA246" i="47"/>
  <c r="S247" i="47"/>
  <c r="AA247" i="47"/>
  <c r="S248" i="47"/>
  <c r="AA248" i="47"/>
  <c r="S249" i="47"/>
  <c r="AA249" i="47"/>
  <c r="S250" i="47"/>
  <c r="AA250" i="47"/>
  <c r="S251" i="47"/>
  <c r="AA251" i="47"/>
  <c r="S252" i="47"/>
  <c r="AA252" i="47"/>
  <c r="S253" i="47"/>
  <c r="AA253" i="47"/>
  <c r="S254" i="47"/>
  <c r="AA254" i="47"/>
  <c r="S255" i="47"/>
  <c r="AA255" i="47"/>
  <c r="S256" i="47"/>
  <c r="AA256" i="47"/>
  <c r="S257" i="47"/>
  <c r="AA257" i="47"/>
  <c r="S258" i="47"/>
  <c r="AA258" i="47"/>
  <c r="S259" i="47"/>
  <c r="AA259" i="47"/>
  <c r="S260" i="47"/>
  <c r="AA260" i="47"/>
  <c r="S261" i="47"/>
  <c r="AA261" i="47"/>
  <c r="S262" i="47"/>
  <c r="AA262" i="47"/>
  <c r="S263" i="47"/>
  <c r="AA263" i="47"/>
  <c r="S264" i="47"/>
  <c r="AA264" i="47"/>
  <c r="S265" i="47"/>
  <c r="AA265" i="47"/>
  <c r="S266" i="47"/>
  <c r="AA266" i="47"/>
  <c r="S267" i="47"/>
  <c r="AA267" i="47"/>
  <c r="S268" i="47"/>
  <c r="AA268" i="47"/>
  <c r="S269" i="47"/>
  <c r="AA269" i="47"/>
  <c r="S270" i="47"/>
  <c r="AA270" i="47"/>
  <c r="S271" i="47"/>
  <c r="AA271" i="47"/>
  <c r="S272" i="47"/>
  <c r="AA272" i="47"/>
  <c r="S273" i="47"/>
  <c r="AA273" i="47"/>
  <c r="S274" i="47"/>
  <c r="AA274" i="47"/>
  <c r="S275" i="47"/>
  <c r="AA275" i="47"/>
  <c r="S276" i="47"/>
  <c r="AA276" i="47"/>
  <c r="S277" i="47"/>
  <c r="AA277" i="47"/>
  <c r="S278" i="47"/>
  <c r="AA278" i="47"/>
  <c r="S279" i="47"/>
  <c r="AA279" i="47"/>
  <c r="S280" i="47"/>
  <c r="AA280" i="47"/>
  <c r="S281" i="47"/>
  <c r="AA281" i="47"/>
  <c r="S282" i="47"/>
  <c r="AA282" i="47"/>
  <c r="S283" i="47"/>
  <c r="AA283" i="47"/>
  <c r="S284" i="47"/>
  <c r="AA284" i="47"/>
  <c r="S285" i="47"/>
  <c r="AA285" i="47"/>
  <c r="S286" i="47"/>
  <c r="AA286" i="47"/>
  <c r="S287" i="47"/>
  <c r="AA287" i="47"/>
  <c r="S288" i="47"/>
  <c r="AA288" i="47"/>
  <c r="S289" i="47"/>
  <c r="AA289" i="47"/>
  <c r="S290" i="47"/>
  <c r="AA290" i="47"/>
  <c r="S291" i="47"/>
  <c r="AA291" i="47"/>
  <c r="S292" i="47"/>
  <c r="AA292" i="47"/>
  <c r="S293" i="47"/>
  <c r="AA293" i="47"/>
  <c r="S294" i="47"/>
  <c r="AA294" i="47"/>
  <c r="S295" i="47"/>
  <c r="AA295" i="47"/>
  <c r="S296" i="47"/>
  <c r="AA296" i="47"/>
  <c r="S297" i="47"/>
  <c r="AA297" i="47"/>
  <c r="S298" i="47"/>
  <c r="AA298" i="47"/>
  <c r="S299" i="47"/>
  <c r="AA299" i="47"/>
  <c r="S300" i="47"/>
  <c r="AA300" i="47"/>
  <c r="S301" i="47"/>
  <c r="AA301" i="47"/>
  <c r="S302" i="47"/>
  <c r="AA302" i="47"/>
  <c r="S303" i="47"/>
  <c r="AA303" i="47"/>
  <c r="S304" i="47"/>
  <c r="AA304" i="47"/>
  <c r="S305" i="47"/>
  <c r="AA305" i="47"/>
  <c r="S306" i="47"/>
  <c r="AA306" i="47"/>
  <c r="S307" i="47"/>
  <c r="AA307" i="47"/>
  <c r="S308" i="47"/>
  <c r="AA308" i="47"/>
  <c r="S309" i="47"/>
  <c r="AA309" i="47"/>
  <c r="S310" i="47"/>
  <c r="AA310" i="47"/>
  <c r="S311" i="47"/>
  <c r="AA311" i="47"/>
  <c r="S312" i="47"/>
  <c r="AA312" i="47"/>
  <c r="S313" i="47"/>
  <c r="AA313" i="47"/>
  <c r="S314" i="47"/>
  <c r="AA314" i="47"/>
  <c r="S315" i="47"/>
  <c r="AA315" i="47"/>
  <c r="S316" i="47"/>
  <c r="AA316" i="47"/>
  <c r="S317" i="47"/>
  <c r="AA317" i="47"/>
  <c r="S318" i="47"/>
  <c r="AA318" i="47"/>
  <c r="S319" i="47"/>
  <c r="AA319" i="47"/>
  <c r="S320" i="47"/>
  <c r="AA320" i="47"/>
  <c r="S321" i="47"/>
  <c r="AA321" i="47"/>
  <c r="S322" i="47"/>
  <c r="AA322" i="47"/>
  <c r="S323" i="47"/>
  <c r="AA323" i="47"/>
  <c r="S324" i="47"/>
  <c r="AA324" i="47"/>
  <c r="S325" i="47"/>
  <c r="AA325" i="47"/>
  <c r="S326" i="47"/>
  <c r="AA326" i="47"/>
  <c r="S327" i="47"/>
  <c r="AA327" i="47"/>
  <c r="S328" i="47"/>
  <c r="AA328" i="47"/>
  <c r="S329" i="47"/>
  <c r="AA329" i="47"/>
  <c r="S330" i="47"/>
  <c r="AA330" i="47"/>
  <c r="S331" i="47"/>
  <c r="AA331" i="47"/>
  <c r="S332" i="47"/>
  <c r="AA332" i="47"/>
  <c r="S333" i="47"/>
  <c r="AA333" i="47"/>
  <c r="S334" i="47"/>
  <c r="AA334" i="47"/>
  <c r="S335" i="47"/>
  <c r="AA335" i="47"/>
  <c r="S336" i="47"/>
  <c r="AA336" i="47"/>
  <c r="S337" i="47"/>
  <c r="AA337" i="47"/>
  <c r="S338" i="47"/>
  <c r="AA338" i="47"/>
  <c r="S339" i="47"/>
  <c r="AA339" i="47"/>
  <c r="S340" i="47"/>
  <c r="AA340" i="47"/>
  <c r="S341" i="47"/>
  <c r="AA341" i="47"/>
  <c r="S342" i="47"/>
  <c r="AA342" i="47"/>
  <c r="S343" i="47"/>
  <c r="AA343" i="47"/>
  <c r="S344" i="47"/>
  <c r="AA344" i="47"/>
  <c r="S345" i="47"/>
  <c r="AA345" i="47"/>
  <c r="S346" i="47"/>
  <c r="AA346" i="47"/>
  <c r="S347" i="47"/>
  <c r="AA347" i="47"/>
  <c r="S348" i="47"/>
  <c r="AA348" i="47"/>
  <c r="S349" i="47"/>
  <c r="AA349" i="47"/>
  <c r="S350" i="47"/>
  <c r="AA350" i="47"/>
  <c r="S351" i="47"/>
  <c r="AA351" i="47"/>
  <c r="S352" i="47"/>
  <c r="AA352" i="47"/>
  <c r="S353" i="47"/>
  <c r="AA353" i="47"/>
  <c r="S354" i="47"/>
  <c r="AA354" i="47"/>
  <c r="S355" i="47"/>
  <c r="AA355" i="47"/>
  <c r="S356" i="47"/>
  <c r="AA356" i="47"/>
  <c r="S357" i="47"/>
  <c r="AA357" i="47"/>
  <c r="S358" i="47"/>
  <c r="AA358" i="47"/>
  <c r="S359" i="47"/>
  <c r="AA359" i="47"/>
  <c r="S360" i="47"/>
  <c r="AA360" i="47"/>
  <c r="S361" i="47"/>
  <c r="AA361" i="47"/>
  <c r="S362" i="47"/>
  <c r="AA362" i="47"/>
  <c r="S363" i="47"/>
  <c r="AA363" i="47"/>
  <c r="S364" i="47"/>
  <c r="AA364" i="47"/>
  <c r="S365" i="47"/>
  <c r="AA365" i="47"/>
  <c r="S366" i="47"/>
  <c r="AA366" i="47"/>
  <c r="S367" i="47"/>
  <c r="AA367" i="47"/>
  <c r="S368" i="47"/>
  <c r="AA368" i="47"/>
  <c r="S369" i="47"/>
  <c r="AA369" i="47"/>
  <c r="S370" i="47"/>
  <c r="AA370" i="47"/>
  <c r="S371" i="47"/>
  <c r="AA371" i="47"/>
  <c r="S372" i="47"/>
  <c r="AA372" i="47"/>
  <c r="S373" i="47"/>
  <c r="AA373" i="47"/>
  <c r="S374" i="47"/>
  <c r="AA374" i="47"/>
  <c r="S375" i="47"/>
  <c r="AA375" i="47"/>
  <c r="S376" i="47"/>
  <c r="AA376" i="47"/>
  <c r="S377" i="47"/>
  <c r="AA377" i="47"/>
  <c r="S378" i="47"/>
  <c r="AA378" i="47"/>
  <c r="S379" i="47"/>
  <c r="AA379" i="47"/>
  <c r="S380" i="47"/>
  <c r="AA380" i="47"/>
  <c r="S381" i="47"/>
  <c r="AA381" i="47"/>
  <c r="S382" i="47"/>
  <c r="AA382" i="47"/>
  <c r="S383" i="47"/>
  <c r="AA383" i="47"/>
  <c r="S384" i="47"/>
  <c r="AA384" i="47"/>
  <c r="S385" i="47"/>
  <c r="AA385" i="47"/>
  <c r="S386" i="47"/>
  <c r="AA386" i="47"/>
  <c r="S387" i="47"/>
  <c r="AA387" i="47"/>
  <c r="S388" i="47"/>
  <c r="AA388" i="47"/>
  <c r="S389" i="47"/>
  <c r="AA389" i="47"/>
  <c r="S390" i="47"/>
  <c r="AA390" i="47"/>
  <c r="S391" i="47"/>
  <c r="AA391" i="47"/>
  <c r="S392" i="47"/>
  <c r="AA392" i="47"/>
  <c r="S393" i="47"/>
  <c r="AA393" i="47"/>
  <c r="S394" i="47"/>
  <c r="AA394" i="47"/>
  <c r="S395" i="47"/>
  <c r="AA395" i="47"/>
  <c r="S396" i="47"/>
  <c r="AA396" i="47"/>
  <c r="S397" i="47"/>
  <c r="AA397" i="47"/>
  <c r="S398" i="47"/>
  <c r="AA398" i="47"/>
  <c r="S399" i="47"/>
  <c r="AA399" i="47"/>
  <c r="S400" i="47"/>
  <c r="AA400" i="47"/>
  <c r="S401" i="47"/>
  <c r="AA401" i="47"/>
  <c r="S402" i="47"/>
  <c r="AA402" i="47"/>
  <c r="S403" i="47"/>
  <c r="AA403" i="47"/>
  <c r="S404" i="47"/>
  <c r="AA404" i="47"/>
  <c r="S405" i="47"/>
  <c r="AA405" i="47"/>
  <c r="S406" i="47"/>
  <c r="AA406" i="47"/>
  <c r="S407" i="47"/>
  <c r="AA407" i="47"/>
  <c r="S408" i="47"/>
  <c r="AA408" i="47"/>
  <c r="S409" i="47"/>
  <c r="AA409" i="47"/>
  <c r="S410" i="47"/>
  <c r="AA410" i="47"/>
  <c r="S411" i="47"/>
  <c r="AA411" i="47"/>
  <c r="S412" i="47"/>
  <c r="AA412" i="47"/>
  <c r="S413" i="47"/>
  <c r="AA413" i="47"/>
  <c r="S414" i="47"/>
  <c r="AA414" i="47"/>
  <c r="S415" i="47"/>
  <c r="AA415" i="47"/>
  <c r="S416" i="47"/>
  <c r="AA416" i="47"/>
  <c r="S417" i="47"/>
  <c r="AA417" i="47"/>
  <c r="S418" i="47"/>
  <c r="AA418" i="47"/>
  <c r="S419" i="47"/>
  <c r="AA419" i="47"/>
  <c r="S420" i="47"/>
  <c r="AA420" i="47"/>
  <c r="S421" i="47"/>
  <c r="AA421" i="47"/>
  <c r="S422" i="47"/>
  <c r="AA422" i="47"/>
  <c r="S423" i="47"/>
  <c r="AA423" i="47"/>
  <c r="S424" i="47"/>
  <c r="AA424" i="47"/>
  <c r="S425" i="47"/>
  <c r="AA425" i="47"/>
  <c r="S426" i="47"/>
  <c r="AA426" i="47"/>
  <c r="S427" i="47"/>
  <c r="AA427" i="47"/>
  <c r="S428" i="47"/>
  <c r="AA428" i="47"/>
  <c r="S429" i="47"/>
  <c r="AA429" i="47"/>
  <c r="S430" i="47"/>
  <c r="AA430" i="47"/>
  <c r="S431" i="47"/>
  <c r="AA431" i="47"/>
  <c r="S432" i="47"/>
  <c r="AA432" i="47"/>
  <c r="S433" i="47"/>
  <c r="AA433" i="47"/>
  <c r="S434" i="47"/>
  <c r="AA434" i="47"/>
  <c r="S435" i="47"/>
  <c r="AA435" i="47"/>
  <c r="S436" i="47"/>
  <c r="AA436" i="47"/>
  <c r="S437" i="47"/>
  <c r="AA437" i="47"/>
  <c r="S438" i="47"/>
  <c r="AA438" i="47"/>
  <c r="S439" i="47"/>
  <c r="AA439" i="47"/>
  <c r="S440" i="47"/>
  <c r="AA440" i="47"/>
  <c r="S441" i="47"/>
  <c r="AA441" i="47"/>
  <c r="S442" i="47"/>
  <c r="AA442" i="47"/>
  <c r="S443" i="47"/>
  <c r="AA443" i="47"/>
  <c r="S444" i="47"/>
  <c r="AA444" i="47"/>
  <c r="S445" i="47"/>
  <c r="AA445" i="47"/>
  <c r="S446" i="47"/>
  <c r="AA446" i="47"/>
  <c r="S447" i="47"/>
  <c r="AA447" i="47"/>
  <c r="S448" i="47"/>
  <c r="AA448" i="47"/>
  <c r="S449" i="47"/>
  <c r="AA449" i="47"/>
  <c r="S450" i="47"/>
  <c r="AA450" i="47"/>
  <c r="S451" i="47"/>
  <c r="AA451" i="47"/>
  <c r="S452" i="47"/>
  <c r="AA452" i="47"/>
  <c r="S453" i="47"/>
  <c r="AA453" i="47"/>
  <c r="S454" i="47"/>
  <c r="AA454" i="47"/>
  <c r="S455" i="47"/>
  <c r="AA455" i="47"/>
  <c r="S456" i="47"/>
  <c r="AA456" i="47"/>
  <c r="S457" i="47"/>
  <c r="AA457" i="47"/>
  <c r="S458" i="47"/>
  <c r="AA458" i="47"/>
  <c r="S459" i="47"/>
  <c r="AA459" i="47"/>
  <c r="S460" i="47"/>
  <c r="AA460" i="47"/>
  <c r="S461" i="47"/>
  <c r="AA461" i="47"/>
  <c r="S462" i="47"/>
  <c r="AA462" i="47"/>
  <c r="S463" i="47"/>
  <c r="AA463" i="47"/>
  <c r="S464" i="47"/>
  <c r="AA464" i="47"/>
  <c r="S465" i="47"/>
  <c r="AA465" i="47"/>
  <c r="S466" i="47"/>
  <c r="AA466" i="47"/>
  <c r="S467" i="47"/>
  <c r="AA467" i="47"/>
  <c r="S468" i="47"/>
  <c r="AA468" i="47"/>
  <c r="S469" i="47"/>
  <c r="AA469" i="47"/>
  <c r="S470" i="47"/>
  <c r="AA470" i="47"/>
  <c r="S471" i="47"/>
  <c r="AA471" i="47"/>
  <c r="S472" i="47"/>
  <c r="AA472" i="47"/>
  <c r="S473" i="47"/>
  <c r="AA473" i="47"/>
  <c r="S474" i="47"/>
  <c r="AA474" i="47"/>
  <c r="S475" i="47"/>
  <c r="AA475" i="47"/>
  <c r="S476" i="47"/>
  <c r="AA476" i="47"/>
  <c r="S477" i="47"/>
  <c r="AA477" i="47"/>
  <c r="S478" i="47"/>
  <c r="AA478" i="47"/>
  <c r="S479" i="47"/>
  <c r="AA479" i="47"/>
  <c r="S480" i="47"/>
  <c r="AA480" i="47"/>
  <c r="S481" i="47"/>
  <c r="AA481" i="47"/>
  <c r="S482" i="47"/>
  <c r="AA482" i="47"/>
  <c r="S483" i="47"/>
  <c r="AA483" i="47"/>
  <c r="S484" i="47"/>
  <c r="AA484" i="47"/>
  <c r="S485" i="47"/>
  <c r="AA485" i="47"/>
  <c r="S486" i="47"/>
  <c r="AA486" i="47"/>
  <c r="S487" i="47"/>
  <c r="AA487" i="47"/>
  <c r="S488" i="47"/>
  <c r="AA488" i="47"/>
  <c r="S489" i="47"/>
  <c r="AA489" i="47"/>
  <c r="S490" i="47"/>
  <c r="AA490" i="47"/>
  <c r="S491" i="47"/>
  <c r="AA491" i="47"/>
  <c r="S492" i="47"/>
  <c r="AA492" i="47"/>
  <c r="S493" i="47"/>
  <c r="AA493" i="47"/>
  <c r="S494" i="47"/>
  <c r="AA494" i="47"/>
  <c r="S495" i="47"/>
  <c r="AA495" i="47"/>
  <c r="S496" i="47"/>
  <c r="AA496" i="47"/>
  <c r="S497" i="47"/>
  <c r="AA497" i="47"/>
  <c r="S498" i="47"/>
  <c r="AA498" i="47"/>
  <c r="S499" i="47"/>
  <c r="AA499" i="47"/>
  <c r="S500" i="47"/>
  <c r="AA500" i="47"/>
  <c r="S501" i="47"/>
  <c r="AA501" i="47"/>
  <c r="S502" i="47"/>
  <c r="AA502" i="47"/>
  <c r="S503" i="47"/>
  <c r="AA503" i="47"/>
  <c r="S504" i="47"/>
  <c r="AA504" i="47"/>
  <c r="S505" i="47"/>
  <c r="AA505" i="47"/>
  <c r="S506" i="47"/>
  <c r="AA506" i="47"/>
  <c r="S507" i="47"/>
  <c r="AA507" i="47"/>
  <c r="S508" i="47"/>
  <c r="AA508" i="47"/>
  <c r="S509" i="47"/>
  <c r="AA509" i="47"/>
  <c r="S510" i="47"/>
  <c r="AA510" i="47"/>
  <c r="S511" i="47"/>
  <c r="AA511" i="47"/>
  <c r="S512" i="47"/>
  <c r="AA512" i="47"/>
  <c r="S12" i="47"/>
  <c r="AA12" i="47"/>
  <c r="AD14" i="47"/>
  <c r="W12" i="47"/>
  <c r="W13" i="47"/>
  <c r="AE14" i="47"/>
  <c r="AF14" i="47"/>
  <c r="AF16" i="47"/>
  <c r="P14" i="47"/>
  <c r="W14" i="47"/>
  <c r="W16" i="47"/>
  <c r="AF17" i="47"/>
  <c r="AF18" i="47"/>
  <c r="AF19" i="47"/>
  <c r="R12" i="47"/>
  <c r="B8" i="47"/>
  <c r="B9" i="47"/>
  <c r="K12" i="47"/>
  <c r="R13" i="47"/>
  <c r="K13" i="47"/>
  <c r="R14" i="47"/>
  <c r="D14" i="47"/>
  <c r="K14" i="47"/>
  <c r="R15" i="47"/>
  <c r="D15" i="47"/>
  <c r="K15" i="47"/>
  <c r="R16" i="47"/>
  <c r="D16" i="47"/>
  <c r="K16" i="47"/>
  <c r="R17" i="47"/>
  <c r="D17" i="47"/>
  <c r="K17" i="47"/>
  <c r="R18" i="47"/>
  <c r="D18" i="47"/>
  <c r="K18" i="47"/>
  <c r="R19" i="47"/>
  <c r="D19" i="47"/>
  <c r="K19" i="47"/>
  <c r="R20" i="47"/>
  <c r="D20" i="47"/>
  <c r="K20" i="47"/>
  <c r="R21" i="47"/>
  <c r="D21" i="47"/>
  <c r="K21" i="47"/>
  <c r="R22" i="47"/>
  <c r="D22" i="47"/>
  <c r="K22" i="47"/>
  <c r="R23" i="47"/>
  <c r="D23" i="47"/>
  <c r="K23" i="47"/>
  <c r="R24" i="47"/>
  <c r="D24" i="47"/>
  <c r="K24" i="47"/>
  <c r="R25" i="47"/>
  <c r="D25" i="47"/>
  <c r="K25" i="47"/>
  <c r="R26" i="47"/>
  <c r="D26" i="47"/>
  <c r="K26" i="47"/>
  <c r="R27" i="47"/>
  <c r="D27" i="47"/>
  <c r="K27" i="47"/>
  <c r="R28" i="47"/>
  <c r="D28" i="47"/>
  <c r="K28" i="47"/>
  <c r="R29" i="47"/>
  <c r="D29" i="47"/>
  <c r="K29" i="47"/>
  <c r="R30" i="47"/>
  <c r="D30" i="47"/>
  <c r="K30" i="47"/>
  <c r="R31" i="47"/>
  <c r="D31" i="47"/>
  <c r="K31" i="47"/>
  <c r="R32" i="47"/>
  <c r="D32" i="47"/>
  <c r="K32" i="47"/>
  <c r="R33" i="47"/>
  <c r="D33" i="47"/>
  <c r="K33" i="47"/>
  <c r="R34" i="47"/>
  <c r="D34" i="47"/>
  <c r="K34" i="47"/>
  <c r="R35" i="47"/>
  <c r="D35" i="47"/>
  <c r="K35" i="47"/>
  <c r="R36" i="47"/>
  <c r="D36" i="47"/>
  <c r="K36" i="47"/>
  <c r="R37" i="47"/>
  <c r="D37" i="47"/>
  <c r="K37" i="47"/>
  <c r="R38" i="47"/>
  <c r="D38" i="47"/>
  <c r="K38" i="47"/>
  <c r="R39" i="47"/>
  <c r="D39" i="47"/>
  <c r="K39" i="47"/>
  <c r="R40" i="47"/>
  <c r="D40" i="47"/>
  <c r="K40" i="47"/>
  <c r="R41" i="47"/>
  <c r="D41" i="47"/>
  <c r="K41" i="47"/>
  <c r="R42" i="47"/>
  <c r="D42" i="47"/>
  <c r="K42" i="47"/>
  <c r="R43" i="47"/>
  <c r="D43" i="47"/>
  <c r="K43" i="47"/>
  <c r="R44" i="47"/>
  <c r="D44" i="47"/>
  <c r="K44" i="47"/>
  <c r="R45" i="47"/>
  <c r="D45" i="47"/>
  <c r="K45" i="47"/>
  <c r="R46" i="47"/>
  <c r="D46" i="47"/>
  <c r="K46" i="47"/>
  <c r="R47" i="47"/>
  <c r="D47" i="47"/>
  <c r="K47" i="47"/>
  <c r="R48" i="47"/>
  <c r="D48" i="47"/>
  <c r="K48" i="47"/>
  <c r="R49" i="47"/>
  <c r="D49" i="47"/>
  <c r="K49" i="47"/>
  <c r="R50" i="47"/>
  <c r="D50" i="47"/>
  <c r="K50" i="47"/>
  <c r="R51" i="47"/>
  <c r="D51" i="47"/>
  <c r="K51" i="47"/>
  <c r="R52" i="47"/>
  <c r="D52" i="47"/>
  <c r="K52" i="47"/>
  <c r="R53" i="47"/>
  <c r="D53" i="47"/>
  <c r="K53" i="47"/>
  <c r="R54" i="47"/>
  <c r="D54" i="47"/>
  <c r="K54" i="47"/>
  <c r="R55" i="47"/>
  <c r="D55" i="47"/>
  <c r="K55" i="47"/>
  <c r="R56" i="47"/>
  <c r="D56" i="47"/>
  <c r="K56" i="47"/>
  <c r="R57" i="47"/>
  <c r="D57" i="47"/>
  <c r="K57" i="47"/>
  <c r="R58" i="47"/>
  <c r="D58" i="47"/>
  <c r="K58" i="47"/>
  <c r="R59" i="47"/>
  <c r="D59" i="47"/>
  <c r="K59" i="47"/>
  <c r="R60" i="47"/>
  <c r="D60" i="47"/>
  <c r="K60" i="47"/>
  <c r="R61" i="47"/>
  <c r="D61" i="47"/>
  <c r="K61" i="47"/>
  <c r="R62" i="47"/>
  <c r="D62" i="47"/>
  <c r="K62" i="47"/>
  <c r="R63" i="47"/>
  <c r="D63" i="47"/>
  <c r="K63" i="47"/>
  <c r="R64" i="47"/>
  <c r="D64" i="47"/>
  <c r="K64" i="47"/>
  <c r="R65" i="47"/>
  <c r="D65" i="47"/>
  <c r="K65" i="47"/>
  <c r="R66" i="47"/>
  <c r="D66" i="47"/>
  <c r="K66" i="47"/>
  <c r="R67" i="47"/>
  <c r="D67" i="47"/>
  <c r="K67" i="47"/>
  <c r="R68" i="47"/>
  <c r="D68" i="47"/>
  <c r="K68" i="47"/>
  <c r="R69" i="47"/>
  <c r="D69" i="47"/>
  <c r="K69" i="47"/>
  <c r="R70" i="47"/>
  <c r="D70" i="47"/>
  <c r="K70" i="47"/>
  <c r="R71" i="47"/>
  <c r="D71" i="47"/>
  <c r="K71" i="47"/>
  <c r="R72" i="47"/>
  <c r="D72" i="47"/>
  <c r="K72" i="47"/>
  <c r="R73" i="47"/>
  <c r="D73" i="47"/>
  <c r="K73" i="47"/>
  <c r="R74" i="47"/>
  <c r="D74" i="47"/>
  <c r="K74" i="47"/>
  <c r="R75" i="47"/>
  <c r="D75" i="47"/>
  <c r="K75" i="47"/>
  <c r="R76" i="47"/>
  <c r="D76" i="47"/>
  <c r="K76" i="47"/>
  <c r="R77" i="47"/>
  <c r="D77" i="47"/>
  <c r="K77" i="47"/>
  <c r="R78" i="47"/>
  <c r="D78" i="47"/>
  <c r="K78" i="47"/>
  <c r="R79" i="47"/>
  <c r="D79" i="47"/>
  <c r="K79" i="47"/>
  <c r="R80" i="47"/>
  <c r="D80" i="47"/>
  <c r="K80" i="47"/>
  <c r="R81" i="47"/>
  <c r="D81" i="47"/>
  <c r="K81" i="47"/>
  <c r="R82" i="47"/>
  <c r="D82" i="47"/>
  <c r="K82" i="47"/>
  <c r="R83" i="47"/>
  <c r="D83" i="47"/>
  <c r="K83" i="47"/>
  <c r="R84" i="47"/>
  <c r="D84" i="47"/>
  <c r="K84" i="47"/>
  <c r="R85" i="47"/>
  <c r="D85" i="47"/>
  <c r="K85" i="47"/>
  <c r="R86" i="47"/>
  <c r="D86" i="47"/>
  <c r="K86" i="47"/>
  <c r="R87" i="47"/>
  <c r="D87" i="47"/>
  <c r="K87" i="47"/>
  <c r="R88" i="47"/>
  <c r="D88" i="47"/>
  <c r="K88" i="47"/>
  <c r="R89" i="47"/>
  <c r="D89" i="47"/>
  <c r="K89" i="47"/>
  <c r="R90" i="47"/>
  <c r="D90" i="47"/>
  <c r="K90" i="47"/>
  <c r="R91" i="47"/>
  <c r="D91" i="47"/>
  <c r="K91" i="47"/>
  <c r="R92" i="47"/>
  <c r="D92" i="47"/>
  <c r="K92" i="47"/>
  <c r="R93" i="47"/>
  <c r="D93" i="47"/>
  <c r="K93" i="47"/>
  <c r="R94" i="47"/>
  <c r="D94" i="47"/>
  <c r="K94" i="47"/>
  <c r="R95" i="47"/>
  <c r="D95" i="47"/>
  <c r="K95" i="47"/>
  <c r="R96" i="47"/>
  <c r="D96" i="47"/>
  <c r="K96" i="47"/>
  <c r="R97" i="47"/>
  <c r="D97" i="47"/>
  <c r="K97" i="47"/>
  <c r="R98" i="47"/>
  <c r="D98" i="47"/>
  <c r="K98" i="47"/>
  <c r="R99" i="47"/>
  <c r="D99" i="47"/>
  <c r="K99" i="47"/>
  <c r="R100" i="47"/>
  <c r="D100" i="47"/>
  <c r="K100" i="47"/>
  <c r="R101" i="47"/>
  <c r="D101" i="47"/>
  <c r="K101" i="47"/>
  <c r="R102" i="47"/>
  <c r="D102" i="47"/>
  <c r="K102" i="47"/>
  <c r="R103" i="47"/>
  <c r="D103" i="47"/>
  <c r="K103" i="47"/>
  <c r="R104" i="47"/>
  <c r="D104" i="47"/>
  <c r="K104" i="47"/>
  <c r="R105" i="47"/>
  <c r="D105" i="47"/>
  <c r="K105" i="47"/>
  <c r="R106" i="47"/>
  <c r="D106" i="47"/>
  <c r="K106" i="47"/>
  <c r="R107" i="47"/>
  <c r="D107" i="47"/>
  <c r="K107" i="47"/>
  <c r="R108" i="47"/>
  <c r="D108" i="47"/>
  <c r="K108" i="47"/>
  <c r="R109" i="47"/>
  <c r="D109" i="47"/>
  <c r="K109" i="47"/>
  <c r="R110" i="47"/>
  <c r="D110" i="47"/>
  <c r="K110" i="47"/>
  <c r="R111" i="47"/>
  <c r="D111" i="47"/>
  <c r="K111" i="47"/>
  <c r="R112" i="47"/>
  <c r="D112" i="47"/>
  <c r="K112" i="47"/>
  <c r="R113" i="47"/>
  <c r="D113" i="47"/>
  <c r="K113" i="47"/>
  <c r="R114" i="47"/>
  <c r="D114" i="47"/>
  <c r="K114" i="47"/>
  <c r="R115" i="47"/>
  <c r="D115" i="47"/>
  <c r="K115" i="47"/>
  <c r="R116" i="47"/>
  <c r="D116" i="47"/>
  <c r="K116" i="47"/>
  <c r="R117" i="47"/>
  <c r="D117" i="47"/>
  <c r="K117" i="47"/>
  <c r="R118" i="47"/>
  <c r="D118" i="47"/>
  <c r="K118" i="47"/>
  <c r="R119" i="47"/>
  <c r="D119" i="47"/>
  <c r="K119" i="47"/>
  <c r="R120" i="47"/>
  <c r="D120" i="47"/>
  <c r="K120" i="47"/>
  <c r="R121" i="47"/>
  <c r="D121" i="47"/>
  <c r="K121" i="47"/>
  <c r="R122" i="47"/>
  <c r="D122" i="47"/>
  <c r="K122" i="47"/>
  <c r="R123" i="47"/>
  <c r="D123" i="47"/>
  <c r="K123" i="47"/>
  <c r="R124" i="47"/>
  <c r="D124" i="47"/>
  <c r="K124" i="47"/>
  <c r="R125" i="47"/>
  <c r="D125" i="47"/>
  <c r="K125" i="47"/>
  <c r="R126" i="47"/>
  <c r="D126" i="47"/>
  <c r="K126" i="47"/>
  <c r="R127" i="47"/>
  <c r="D127" i="47"/>
  <c r="K127" i="47"/>
  <c r="R128" i="47"/>
  <c r="D128" i="47"/>
  <c r="K128" i="47"/>
  <c r="R129" i="47"/>
  <c r="D129" i="47"/>
  <c r="K129" i="47"/>
  <c r="R130" i="47"/>
  <c r="D130" i="47"/>
  <c r="K130" i="47"/>
  <c r="R131" i="47"/>
  <c r="D131" i="47"/>
  <c r="K131" i="47"/>
  <c r="R132" i="47"/>
  <c r="D132" i="47"/>
  <c r="K132" i="47"/>
  <c r="R133" i="47"/>
  <c r="D133" i="47"/>
  <c r="K133" i="47"/>
  <c r="R134" i="47"/>
  <c r="D134" i="47"/>
  <c r="K134" i="47"/>
  <c r="R135" i="47"/>
  <c r="D135" i="47"/>
  <c r="K135" i="47"/>
  <c r="R136" i="47"/>
  <c r="D136" i="47"/>
  <c r="K136" i="47"/>
  <c r="R137" i="47"/>
  <c r="D137" i="47"/>
  <c r="K137" i="47"/>
  <c r="R138" i="47"/>
  <c r="D138" i="47"/>
  <c r="K138" i="47"/>
  <c r="R139" i="47"/>
  <c r="D139" i="47"/>
  <c r="K139" i="47"/>
  <c r="R140" i="47"/>
  <c r="D140" i="47"/>
  <c r="K140" i="47"/>
  <c r="R141" i="47"/>
  <c r="D141" i="47"/>
  <c r="K141" i="47"/>
  <c r="R142" i="47"/>
  <c r="D142" i="47"/>
  <c r="K142" i="47"/>
  <c r="R143" i="47"/>
  <c r="D143" i="47"/>
  <c r="K143" i="47"/>
  <c r="R144" i="47"/>
  <c r="D144" i="47"/>
  <c r="K144" i="47"/>
  <c r="R145" i="47"/>
  <c r="D145" i="47"/>
  <c r="K145" i="47"/>
  <c r="R146" i="47"/>
  <c r="D146" i="47"/>
  <c r="K146" i="47"/>
  <c r="R147" i="47"/>
  <c r="D147" i="47"/>
  <c r="K147" i="47"/>
  <c r="R148" i="47"/>
  <c r="D148" i="47"/>
  <c r="K148" i="47"/>
  <c r="R149" i="47"/>
  <c r="D149" i="47"/>
  <c r="K149" i="47"/>
  <c r="R150" i="47"/>
  <c r="D150" i="47"/>
  <c r="K150" i="47"/>
  <c r="R151" i="47"/>
  <c r="D151" i="47"/>
  <c r="K151" i="47"/>
  <c r="R152" i="47"/>
  <c r="D152" i="47"/>
  <c r="K152" i="47"/>
  <c r="R153" i="47"/>
  <c r="D153" i="47"/>
  <c r="K153" i="47"/>
  <c r="R154" i="47"/>
  <c r="D154" i="47"/>
  <c r="K154" i="47"/>
  <c r="R155" i="47"/>
  <c r="D155" i="47"/>
  <c r="K155" i="47"/>
  <c r="R156" i="47"/>
  <c r="D156" i="47"/>
  <c r="K156" i="47"/>
  <c r="R157" i="47"/>
  <c r="D157" i="47"/>
  <c r="K157" i="47"/>
  <c r="R158" i="47"/>
  <c r="D158" i="47"/>
  <c r="K158" i="47"/>
  <c r="R159" i="47"/>
  <c r="D159" i="47"/>
  <c r="K159" i="47"/>
  <c r="R160" i="47"/>
  <c r="D160" i="47"/>
  <c r="K160" i="47"/>
  <c r="R161" i="47"/>
  <c r="D161" i="47"/>
  <c r="K161" i="47"/>
  <c r="R162" i="47"/>
  <c r="D162" i="47"/>
  <c r="K162" i="47"/>
  <c r="R163" i="47"/>
  <c r="D163" i="47"/>
  <c r="K163" i="47"/>
  <c r="R164" i="47"/>
  <c r="D164" i="47"/>
  <c r="K164" i="47"/>
  <c r="R165" i="47"/>
  <c r="D165" i="47"/>
  <c r="K165" i="47"/>
  <c r="R166" i="47"/>
  <c r="D166" i="47"/>
  <c r="K166" i="47"/>
  <c r="R167" i="47"/>
  <c r="D167" i="47"/>
  <c r="K167" i="47"/>
  <c r="R168" i="47"/>
  <c r="D168" i="47"/>
  <c r="K168" i="47"/>
  <c r="R169" i="47"/>
  <c r="D169" i="47"/>
  <c r="K169" i="47"/>
  <c r="R170" i="47"/>
  <c r="D170" i="47"/>
  <c r="K170" i="47"/>
  <c r="R171" i="47"/>
  <c r="D171" i="47"/>
  <c r="K171" i="47"/>
  <c r="R172" i="47"/>
  <c r="D172" i="47"/>
  <c r="K172" i="47"/>
  <c r="R173" i="47"/>
  <c r="D173" i="47"/>
  <c r="K173" i="47"/>
  <c r="R174" i="47"/>
  <c r="D174" i="47"/>
  <c r="K174" i="47"/>
  <c r="R175" i="47"/>
  <c r="D175" i="47"/>
  <c r="K175" i="47"/>
  <c r="R176" i="47"/>
  <c r="D176" i="47"/>
  <c r="K176" i="47"/>
  <c r="R177" i="47"/>
  <c r="D177" i="47"/>
  <c r="K177" i="47"/>
  <c r="R178" i="47"/>
  <c r="D178" i="47"/>
  <c r="K178" i="47"/>
  <c r="R179" i="47"/>
  <c r="D179" i="47"/>
  <c r="K179" i="47"/>
  <c r="R180" i="47"/>
  <c r="D180" i="47"/>
  <c r="K180" i="47"/>
  <c r="R181" i="47"/>
  <c r="D181" i="47"/>
  <c r="K181" i="47"/>
  <c r="R182" i="47"/>
  <c r="D182" i="47"/>
  <c r="K182" i="47"/>
  <c r="R183" i="47"/>
  <c r="D183" i="47"/>
  <c r="K183" i="47"/>
  <c r="R184" i="47"/>
  <c r="D184" i="47"/>
  <c r="K184" i="47"/>
  <c r="R185" i="47"/>
  <c r="D185" i="47"/>
  <c r="K185" i="47"/>
  <c r="R186" i="47"/>
  <c r="D186" i="47"/>
  <c r="K186" i="47"/>
  <c r="R187" i="47"/>
  <c r="D187" i="47"/>
  <c r="K187" i="47"/>
  <c r="R188" i="47"/>
  <c r="D188" i="47"/>
  <c r="K188" i="47"/>
  <c r="R189" i="47"/>
  <c r="D189" i="47"/>
  <c r="K189" i="47"/>
  <c r="R190" i="47"/>
  <c r="D190" i="47"/>
  <c r="K190" i="47"/>
  <c r="R191" i="47"/>
  <c r="D191" i="47"/>
  <c r="K191" i="47"/>
  <c r="R192" i="47"/>
  <c r="D192" i="47"/>
  <c r="K192" i="47"/>
  <c r="R193" i="47"/>
  <c r="D193" i="47"/>
  <c r="K193" i="47"/>
  <c r="R194" i="47"/>
  <c r="D194" i="47"/>
  <c r="K194" i="47"/>
  <c r="R195" i="47"/>
  <c r="D195" i="47"/>
  <c r="K195" i="47"/>
  <c r="R196" i="47"/>
  <c r="D196" i="47"/>
  <c r="K196" i="47"/>
  <c r="R197" i="47"/>
  <c r="D197" i="47"/>
  <c r="K197" i="47"/>
  <c r="R198" i="47"/>
  <c r="D198" i="47"/>
  <c r="K198" i="47"/>
  <c r="R199" i="47"/>
  <c r="D199" i="47"/>
  <c r="K199" i="47"/>
  <c r="R200" i="47"/>
  <c r="D200" i="47"/>
  <c r="K200" i="47"/>
  <c r="R201" i="47"/>
  <c r="D201" i="47"/>
  <c r="K201" i="47"/>
  <c r="R202" i="47"/>
  <c r="D202" i="47"/>
  <c r="K202" i="47"/>
  <c r="R203" i="47"/>
  <c r="D203" i="47"/>
  <c r="K203" i="47"/>
  <c r="R204" i="47"/>
  <c r="D204" i="47"/>
  <c r="K204" i="47"/>
  <c r="R205" i="47"/>
  <c r="D205" i="47"/>
  <c r="K205" i="47"/>
  <c r="R206" i="47"/>
  <c r="D206" i="47"/>
  <c r="K206" i="47"/>
  <c r="R207" i="47"/>
  <c r="D207" i="47"/>
  <c r="K207" i="47"/>
  <c r="R208" i="47"/>
  <c r="D208" i="47"/>
  <c r="K208" i="47"/>
  <c r="R209" i="47"/>
  <c r="D209" i="47"/>
  <c r="K209" i="47"/>
  <c r="R210" i="47"/>
  <c r="D210" i="47"/>
  <c r="K210" i="47"/>
  <c r="R211" i="47"/>
  <c r="D211" i="47"/>
  <c r="K211" i="47"/>
  <c r="R212" i="47"/>
  <c r="D212" i="47"/>
  <c r="K212" i="47"/>
  <c r="R213" i="47"/>
  <c r="D213" i="47"/>
  <c r="K213" i="47"/>
  <c r="R214" i="47"/>
  <c r="D214" i="47"/>
  <c r="K214" i="47"/>
  <c r="R215" i="47"/>
  <c r="D215" i="47"/>
  <c r="K215" i="47"/>
  <c r="R216" i="47"/>
  <c r="D216" i="47"/>
  <c r="K216" i="47"/>
  <c r="R217" i="47"/>
  <c r="D217" i="47"/>
  <c r="K217" i="47"/>
  <c r="R218" i="47"/>
  <c r="D218" i="47"/>
  <c r="K218" i="47"/>
  <c r="R219" i="47"/>
  <c r="D219" i="47"/>
  <c r="K219" i="47"/>
  <c r="R220" i="47"/>
  <c r="D220" i="47"/>
  <c r="K220" i="47"/>
  <c r="R221" i="47"/>
  <c r="D221" i="47"/>
  <c r="K221" i="47"/>
  <c r="R222" i="47"/>
  <c r="D222" i="47"/>
  <c r="K222" i="47"/>
  <c r="R223" i="47"/>
  <c r="D223" i="47"/>
  <c r="K223" i="47"/>
  <c r="R224" i="47"/>
  <c r="D224" i="47"/>
  <c r="K224" i="47"/>
  <c r="R225" i="47"/>
  <c r="D225" i="47"/>
  <c r="K225" i="47"/>
  <c r="R226" i="47"/>
  <c r="D226" i="47"/>
  <c r="K226" i="47"/>
  <c r="R227" i="47"/>
  <c r="D227" i="47"/>
  <c r="K227" i="47"/>
  <c r="R228" i="47"/>
  <c r="D228" i="47"/>
  <c r="K228" i="47"/>
  <c r="R229" i="47"/>
  <c r="D229" i="47"/>
  <c r="K229" i="47"/>
  <c r="R230" i="47"/>
  <c r="D230" i="47"/>
  <c r="K230" i="47"/>
  <c r="R231" i="47"/>
  <c r="D231" i="47"/>
  <c r="K231" i="47"/>
  <c r="R232" i="47"/>
  <c r="D232" i="47"/>
  <c r="K232" i="47"/>
  <c r="R233" i="47"/>
  <c r="D233" i="47"/>
  <c r="K233" i="47"/>
  <c r="R234" i="47"/>
  <c r="D234" i="47"/>
  <c r="K234" i="47"/>
  <c r="R235" i="47"/>
  <c r="D235" i="47"/>
  <c r="K235" i="47"/>
  <c r="R236" i="47"/>
  <c r="D236" i="47"/>
  <c r="K236" i="47"/>
  <c r="R237" i="47"/>
  <c r="D237" i="47"/>
  <c r="K237" i="47"/>
  <c r="R238" i="47"/>
  <c r="D238" i="47"/>
  <c r="K238" i="47"/>
  <c r="R239" i="47"/>
  <c r="D239" i="47"/>
  <c r="K239" i="47"/>
  <c r="R240" i="47"/>
  <c r="D240" i="47"/>
  <c r="K240" i="47"/>
  <c r="R241" i="47"/>
  <c r="D241" i="47"/>
  <c r="K241" i="47"/>
  <c r="R242" i="47"/>
  <c r="D242" i="47"/>
  <c r="K242" i="47"/>
  <c r="R243" i="47"/>
  <c r="D243" i="47"/>
  <c r="K243" i="47"/>
  <c r="R244" i="47"/>
  <c r="D244" i="47"/>
  <c r="K244" i="47"/>
  <c r="R245" i="47"/>
  <c r="D245" i="47"/>
  <c r="K245" i="47"/>
  <c r="R246" i="47"/>
  <c r="D246" i="47"/>
  <c r="K246" i="47"/>
  <c r="R247" i="47"/>
  <c r="D247" i="47"/>
  <c r="K247" i="47"/>
  <c r="R248" i="47"/>
  <c r="D248" i="47"/>
  <c r="K248" i="47"/>
  <c r="R249" i="47"/>
  <c r="D249" i="47"/>
  <c r="K249" i="47"/>
  <c r="R250" i="47"/>
  <c r="D250" i="47"/>
  <c r="K250" i="47"/>
  <c r="R251" i="47"/>
  <c r="D251" i="47"/>
  <c r="K251" i="47"/>
  <c r="R252" i="47"/>
  <c r="D252" i="47"/>
  <c r="K252" i="47"/>
  <c r="R253" i="47"/>
  <c r="D253" i="47"/>
  <c r="K253" i="47"/>
  <c r="R254" i="47"/>
  <c r="D254" i="47"/>
  <c r="K254" i="47"/>
  <c r="R255" i="47"/>
  <c r="D255" i="47"/>
  <c r="K255" i="47"/>
  <c r="R256" i="47"/>
  <c r="D256" i="47"/>
  <c r="K256" i="47"/>
  <c r="R257" i="47"/>
  <c r="D257" i="47"/>
  <c r="K257" i="47"/>
  <c r="R258" i="47"/>
  <c r="D258" i="47"/>
  <c r="K258" i="47"/>
  <c r="R259" i="47"/>
  <c r="D259" i="47"/>
  <c r="K259" i="47"/>
  <c r="R260" i="47"/>
  <c r="D260" i="47"/>
  <c r="K260" i="47"/>
  <c r="R261" i="47"/>
  <c r="D261" i="47"/>
  <c r="K261" i="47"/>
  <c r="R262" i="47"/>
  <c r="D262" i="47"/>
  <c r="K262" i="47"/>
  <c r="R263" i="47"/>
  <c r="D263" i="47"/>
  <c r="K263" i="47"/>
  <c r="R264" i="47"/>
  <c r="D264" i="47"/>
  <c r="K264" i="47"/>
  <c r="R265" i="47"/>
  <c r="D265" i="47"/>
  <c r="K265" i="47"/>
  <c r="R266" i="47"/>
  <c r="D266" i="47"/>
  <c r="K266" i="47"/>
  <c r="R267" i="47"/>
  <c r="D267" i="47"/>
  <c r="K267" i="47"/>
  <c r="R268" i="47"/>
  <c r="D268" i="47"/>
  <c r="K268" i="47"/>
  <c r="R269" i="47"/>
  <c r="D269" i="47"/>
  <c r="K269" i="47"/>
  <c r="R270" i="47"/>
  <c r="D270" i="47"/>
  <c r="K270" i="47"/>
  <c r="R271" i="47"/>
  <c r="D271" i="47"/>
  <c r="K271" i="47"/>
  <c r="R272" i="47"/>
  <c r="D272" i="47"/>
  <c r="K272" i="47"/>
  <c r="R273" i="47"/>
  <c r="D273" i="47"/>
  <c r="K273" i="47"/>
  <c r="R274" i="47"/>
  <c r="D274" i="47"/>
  <c r="K274" i="47"/>
  <c r="R275" i="47"/>
  <c r="D275" i="47"/>
  <c r="K275" i="47"/>
  <c r="R276" i="47"/>
  <c r="D276" i="47"/>
  <c r="K276" i="47"/>
  <c r="R277" i="47"/>
  <c r="D277" i="47"/>
  <c r="K277" i="47"/>
  <c r="R278" i="47"/>
  <c r="D278" i="47"/>
  <c r="K278" i="47"/>
  <c r="R279" i="47"/>
  <c r="D279" i="47"/>
  <c r="K279" i="47"/>
  <c r="R280" i="47"/>
  <c r="D280" i="47"/>
  <c r="K280" i="47"/>
  <c r="R281" i="47"/>
  <c r="D281" i="47"/>
  <c r="K281" i="47"/>
  <c r="R282" i="47"/>
  <c r="D282" i="47"/>
  <c r="K282" i="47"/>
  <c r="R283" i="47"/>
  <c r="D283" i="47"/>
  <c r="K283" i="47"/>
  <c r="R284" i="47"/>
  <c r="D284" i="47"/>
  <c r="K284" i="47"/>
  <c r="R285" i="47"/>
  <c r="D285" i="47"/>
  <c r="K285" i="47"/>
  <c r="R286" i="47"/>
  <c r="D286" i="47"/>
  <c r="K286" i="47"/>
  <c r="R287" i="47"/>
  <c r="D287" i="47"/>
  <c r="K287" i="47"/>
  <c r="R288" i="47"/>
  <c r="D288" i="47"/>
  <c r="K288" i="47"/>
  <c r="R289" i="47"/>
  <c r="D289" i="47"/>
  <c r="K289" i="47"/>
  <c r="R290" i="47"/>
  <c r="D290" i="47"/>
  <c r="K290" i="47"/>
  <c r="R291" i="47"/>
  <c r="D291" i="47"/>
  <c r="K291" i="47"/>
  <c r="R292" i="47"/>
  <c r="D292" i="47"/>
  <c r="K292" i="47"/>
  <c r="R293" i="47"/>
  <c r="D293" i="47"/>
  <c r="K293" i="47"/>
  <c r="R294" i="47"/>
  <c r="D294" i="47"/>
  <c r="K294" i="47"/>
  <c r="R295" i="47"/>
  <c r="D295" i="47"/>
  <c r="K295" i="47"/>
  <c r="R296" i="47"/>
  <c r="D296" i="47"/>
  <c r="K296" i="47"/>
  <c r="R297" i="47"/>
  <c r="D297" i="47"/>
  <c r="K297" i="47"/>
  <c r="R298" i="47"/>
  <c r="D298" i="47"/>
  <c r="K298" i="47"/>
  <c r="R299" i="47"/>
  <c r="D299" i="47"/>
  <c r="K299" i="47"/>
  <c r="R300" i="47"/>
  <c r="D300" i="47"/>
  <c r="K300" i="47"/>
  <c r="R301" i="47"/>
  <c r="D301" i="47"/>
  <c r="K301" i="47"/>
  <c r="R302" i="47"/>
  <c r="D302" i="47"/>
  <c r="K302" i="47"/>
  <c r="R303" i="47"/>
  <c r="D303" i="47"/>
  <c r="K303" i="47"/>
  <c r="R304" i="47"/>
  <c r="D304" i="47"/>
  <c r="K304" i="47"/>
  <c r="R305" i="47"/>
  <c r="D305" i="47"/>
  <c r="K305" i="47"/>
  <c r="R306" i="47"/>
  <c r="D306" i="47"/>
  <c r="K306" i="47"/>
  <c r="R307" i="47"/>
  <c r="D307" i="47"/>
  <c r="K307" i="47"/>
  <c r="R308" i="47"/>
  <c r="D308" i="47"/>
  <c r="K308" i="47"/>
  <c r="R309" i="47"/>
  <c r="D309" i="47"/>
  <c r="K309" i="47"/>
  <c r="R310" i="47"/>
  <c r="D310" i="47"/>
  <c r="K310" i="47"/>
  <c r="R311" i="47"/>
  <c r="D311" i="47"/>
  <c r="K311" i="47"/>
  <c r="R312" i="47"/>
  <c r="D312" i="47"/>
  <c r="K312" i="47"/>
  <c r="R313" i="47"/>
  <c r="D313" i="47"/>
  <c r="K313" i="47"/>
  <c r="R314" i="47"/>
  <c r="D314" i="47"/>
  <c r="K314" i="47"/>
  <c r="R315" i="47"/>
  <c r="D315" i="47"/>
  <c r="K315" i="47"/>
  <c r="R316" i="47"/>
  <c r="D316" i="47"/>
  <c r="K316" i="47"/>
  <c r="R317" i="47"/>
  <c r="D317" i="47"/>
  <c r="K317" i="47"/>
  <c r="R318" i="47"/>
  <c r="D318" i="47"/>
  <c r="K318" i="47"/>
  <c r="R319" i="47"/>
  <c r="D319" i="47"/>
  <c r="K319" i="47"/>
  <c r="R320" i="47"/>
  <c r="D320" i="47"/>
  <c r="K320" i="47"/>
  <c r="R321" i="47"/>
  <c r="D321" i="47"/>
  <c r="K321" i="47"/>
  <c r="R322" i="47"/>
  <c r="D322" i="47"/>
  <c r="K322" i="47"/>
  <c r="R323" i="47"/>
  <c r="D323" i="47"/>
  <c r="K323" i="47"/>
  <c r="R324" i="47"/>
  <c r="D324" i="47"/>
  <c r="K324" i="47"/>
  <c r="R325" i="47"/>
  <c r="D325" i="47"/>
  <c r="K325" i="47"/>
  <c r="R326" i="47"/>
  <c r="D326" i="47"/>
  <c r="K326" i="47"/>
  <c r="R327" i="47"/>
  <c r="D327" i="47"/>
  <c r="K327" i="47"/>
  <c r="R328" i="47"/>
  <c r="D328" i="47"/>
  <c r="K328" i="47"/>
  <c r="R329" i="47"/>
  <c r="D329" i="47"/>
  <c r="K329" i="47"/>
  <c r="R330" i="47"/>
  <c r="D330" i="47"/>
  <c r="K330" i="47"/>
  <c r="R331" i="47"/>
  <c r="D331" i="47"/>
  <c r="K331" i="47"/>
  <c r="R332" i="47"/>
  <c r="D332" i="47"/>
  <c r="K332" i="47"/>
  <c r="R333" i="47"/>
  <c r="D333" i="47"/>
  <c r="K333" i="47"/>
  <c r="R334" i="47"/>
  <c r="D334" i="47"/>
  <c r="K334" i="47"/>
  <c r="R335" i="47"/>
  <c r="D335" i="47"/>
  <c r="K335" i="47"/>
  <c r="R336" i="47"/>
  <c r="D336" i="47"/>
  <c r="K336" i="47"/>
  <c r="R337" i="47"/>
  <c r="D337" i="47"/>
  <c r="K337" i="47"/>
  <c r="R338" i="47"/>
  <c r="D338" i="47"/>
  <c r="K338" i="47"/>
  <c r="R339" i="47"/>
  <c r="D339" i="47"/>
  <c r="K339" i="47"/>
  <c r="R340" i="47"/>
  <c r="D340" i="47"/>
  <c r="K340" i="47"/>
  <c r="R341" i="47"/>
  <c r="D341" i="47"/>
  <c r="K341" i="47"/>
  <c r="R342" i="47"/>
  <c r="D342" i="47"/>
  <c r="K342" i="47"/>
  <c r="R343" i="47"/>
  <c r="D343" i="47"/>
  <c r="K343" i="47"/>
  <c r="R344" i="47"/>
  <c r="D344" i="47"/>
  <c r="K344" i="47"/>
  <c r="R345" i="47"/>
  <c r="D345" i="47"/>
  <c r="K345" i="47"/>
  <c r="R346" i="47"/>
  <c r="D346" i="47"/>
  <c r="K346" i="47"/>
  <c r="R347" i="47"/>
  <c r="D347" i="47"/>
  <c r="K347" i="47"/>
  <c r="R348" i="47"/>
  <c r="D348" i="47"/>
  <c r="K348" i="47"/>
  <c r="R349" i="47"/>
  <c r="D349" i="47"/>
  <c r="K349" i="47"/>
  <c r="R350" i="47"/>
  <c r="D350" i="47"/>
  <c r="K350" i="47"/>
  <c r="R351" i="47"/>
  <c r="D351" i="47"/>
  <c r="K351" i="47"/>
  <c r="R352" i="47"/>
  <c r="D352" i="47"/>
  <c r="K352" i="47"/>
  <c r="R353" i="47"/>
  <c r="D353" i="47"/>
  <c r="K353" i="47"/>
  <c r="R354" i="47"/>
  <c r="D354" i="47"/>
  <c r="K354" i="47"/>
  <c r="R355" i="47"/>
  <c r="D355" i="47"/>
  <c r="K355" i="47"/>
  <c r="R356" i="47"/>
  <c r="D356" i="47"/>
  <c r="K356" i="47"/>
  <c r="R357" i="47"/>
  <c r="D357" i="47"/>
  <c r="K357" i="47"/>
  <c r="R358" i="47"/>
  <c r="D358" i="47"/>
  <c r="K358" i="47"/>
  <c r="R359" i="47"/>
  <c r="D359" i="47"/>
  <c r="K359" i="47"/>
  <c r="R360" i="47"/>
  <c r="D360" i="47"/>
  <c r="K360" i="47"/>
  <c r="R361" i="47"/>
  <c r="D361" i="47"/>
  <c r="K361" i="47"/>
  <c r="R362" i="47"/>
  <c r="D362" i="47"/>
  <c r="K362" i="47"/>
  <c r="R363" i="47"/>
  <c r="D363" i="47"/>
  <c r="K363" i="47"/>
  <c r="R364" i="47"/>
  <c r="D364" i="47"/>
  <c r="K364" i="47"/>
  <c r="R365" i="47"/>
  <c r="D365" i="47"/>
  <c r="K365" i="47"/>
  <c r="R366" i="47"/>
  <c r="D366" i="47"/>
  <c r="K366" i="47"/>
  <c r="R367" i="47"/>
  <c r="D367" i="47"/>
  <c r="K367" i="47"/>
  <c r="R368" i="47"/>
  <c r="D368" i="47"/>
  <c r="K368" i="47"/>
  <c r="R369" i="47"/>
  <c r="D369" i="47"/>
  <c r="K369" i="47"/>
  <c r="R370" i="47"/>
  <c r="D370" i="47"/>
  <c r="K370" i="47"/>
  <c r="R371" i="47"/>
  <c r="D371" i="47"/>
  <c r="K371" i="47"/>
  <c r="R372" i="47"/>
  <c r="D372" i="47"/>
  <c r="K372" i="47"/>
  <c r="R373" i="47"/>
  <c r="D373" i="47"/>
  <c r="K373" i="47"/>
  <c r="R374" i="47"/>
  <c r="D374" i="47"/>
  <c r="K374" i="47"/>
  <c r="R375" i="47"/>
  <c r="D375" i="47"/>
  <c r="K375" i="47"/>
  <c r="R376" i="47"/>
  <c r="D376" i="47"/>
  <c r="K376" i="47"/>
  <c r="R377" i="47"/>
  <c r="D377" i="47"/>
  <c r="K377" i="47"/>
  <c r="R378" i="47"/>
  <c r="D378" i="47"/>
  <c r="K378" i="47"/>
  <c r="R379" i="47"/>
  <c r="D379" i="47"/>
  <c r="K379" i="47"/>
  <c r="R380" i="47"/>
  <c r="D380" i="47"/>
  <c r="K380" i="47"/>
  <c r="R381" i="47"/>
  <c r="D381" i="47"/>
  <c r="K381" i="47"/>
  <c r="R382" i="47"/>
  <c r="D382" i="47"/>
  <c r="K382" i="47"/>
  <c r="R383" i="47"/>
  <c r="D383" i="47"/>
  <c r="K383" i="47"/>
  <c r="R384" i="47"/>
  <c r="D384" i="47"/>
  <c r="K384" i="47"/>
  <c r="R385" i="47"/>
  <c r="D385" i="47"/>
  <c r="K385" i="47"/>
  <c r="R386" i="47"/>
  <c r="D386" i="47"/>
  <c r="K386" i="47"/>
  <c r="R387" i="47"/>
  <c r="D387" i="47"/>
  <c r="K387" i="47"/>
  <c r="R388" i="47"/>
  <c r="D388" i="47"/>
  <c r="K388" i="47"/>
  <c r="R389" i="47"/>
  <c r="D389" i="47"/>
  <c r="K389" i="47"/>
  <c r="R390" i="47"/>
  <c r="D390" i="47"/>
  <c r="K390" i="47"/>
  <c r="R391" i="47"/>
  <c r="D391" i="47"/>
  <c r="K391" i="47"/>
  <c r="R392" i="47"/>
  <c r="D392" i="47"/>
  <c r="K392" i="47"/>
  <c r="R393" i="47"/>
  <c r="D393" i="47"/>
  <c r="K393" i="47"/>
  <c r="R394" i="47"/>
  <c r="D394" i="47"/>
  <c r="K394" i="47"/>
  <c r="R395" i="47"/>
  <c r="D395" i="47"/>
  <c r="K395" i="47"/>
  <c r="R396" i="47"/>
  <c r="D396" i="47"/>
  <c r="K396" i="47"/>
  <c r="R397" i="47"/>
  <c r="D397" i="47"/>
  <c r="K397" i="47"/>
  <c r="R398" i="47"/>
  <c r="D398" i="47"/>
  <c r="K398" i="47"/>
  <c r="R399" i="47"/>
  <c r="D399" i="47"/>
  <c r="K399" i="47"/>
  <c r="R400" i="47"/>
  <c r="D400" i="47"/>
  <c r="K400" i="47"/>
  <c r="R401" i="47"/>
  <c r="D401" i="47"/>
  <c r="K401" i="47"/>
  <c r="R402" i="47"/>
  <c r="D402" i="47"/>
  <c r="K402" i="47"/>
  <c r="R403" i="47"/>
  <c r="D403" i="47"/>
  <c r="K403" i="47"/>
  <c r="R404" i="47"/>
  <c r="D404" i="47"/>
  <c r="K404" i="47"/>
  <c r="R405" i="47"/>
  <c r="D405" i="47"/>
  <c r="K405" i="47"/>
  <c r="R406" i="47"/>
  <c r="D406" i="47"/>
  <c r="K406" i="47"/>
  <c r="R407" i="47"/>
  <c r="D407" i="47"/>
  <c r="K407" i="47"/>
  <c r="R408" i="47"/>
  <c r="D408" i="47"/>
  <c r="K408" i="47"/>
  <c r="R409" i="47"/>
  <c r="D409" i="47"/>
  <c r="K409" i="47"/>
  <c r="R410" i="47"/>
  <c r="D410" i="47"/>
  <c r="K410" i="47"/>
  <c r="R411" i="47"/>
  <c r="D411" i="47"/>
  <c r="K411" i="47"/>
  <c r="R412" i="47"/>
  <c r="D412" i="47"/>
  <c r="K412" i="47"/>
  <c r="R413" i="47"/>
  <c r="D413" i="47"/>
  <c r="K413" i="47"/>
  <c r="R414" i="47"/>
  <c r="D414" i="47"/>
  <c r="K414" i="47"/>
  <c r="R415" i="47"/>
  <c r="D415" i="47"/>
  <c r="K415" i="47"/>
  <c r="R416" i="47"/>
  <c r="D416" i="47"/>
  <c r="K416" i="47"/>
  <c r="R417" i="47"/>
  <c r="D417" i="47"/>
  <c r="K417" i="47"/>
  <c r="R418" i="47"/>
  <c r="D418" i="47"/>
  <c r="K418" i="47"/>
  <c r="R419" i="47"/>
  <c r="D419" i="47"/>
  <c r="K419" i="47"/>
  <c r="R420" i="47"/>
  <c r="D420" i="47"/>
  <c r="K420" i="47"/>
  <c r="R421" i="47"/>
  <c r="D421" i="47"/>
  <c r="K421" i="47"/>
  <c r="R422" i="47"/>
  <c r="D422" i="47"/>
  <c r="K422" i="47"/>
  <c r="R423" i="47"/>
  <c r="D423" i="47"/>
  <c r="K423" i="47"/>
  <c r="R424" i="47"/>
  <c r="D424" i="47"/>
  <c r="K424" i="47"/>
  <c r="R425" i="47"/>
  <c r="D425" i="47"/>
  <c r="K425" i="47"/>
  <c r="R426" i="47"/>
  <c r="D426" i="47"/>
  <c r="K426" i="47"/>
  <c r="R427" i="47"/>
  <c r="D427" i="47"/>
  <c r="K427" i="47"/>
  <c r="R428" i="47"/>
  <c r="D428" i="47"/>
  <c r="K428" i="47"/>
  <c r="R429" i="47"/>
  <c r="D429" i="47"/>
  <c r="K429" i="47"/>
  <c r="R430" i="47"/>
  <c r="D430" i="47"/>
  <c r="K430" i="47"/>
  <c r="R431" i="47"/>
  <c r="D431" i="47"/>
  <c r="K431" i="47"/>
  <c r="R432" i="47"/>
  <c r="D432" i="47"/>
  <c r="K432" i="47"/>
  <c r="R433" i="47"/>
  <c r="D433" i="47"/>
  <c r="K433" i="47"/>
  <c r="R434" i="47"/>
  <c r="D434" i="47"/>
  <c r="K434" i="47"/>
  <c r="R435" i="47"/>
  <c r="D435" i="47"/>
  <c r="K435" i="47"/>
  <c r="R436" i="47"/>
  <c r="D436" i="47"/>
  <c r="K436" i="47"/>
  <c r="R437" i="47"/>
  <c r="D437" i="47"/>
  <c r="K437" i="47"/>
  <c r="R438" i="47"/>
  <c r="D438" i="47"/>
  <c r="K438" i="47"/>
  <c r="R439" i="47"/>
  <c r="D439" i="47"/>
  <c r="K439" i="47"/>
  <c r="R440" i="47"/>
  <c r="D440" i="47"/>
  <c r="K440" i="47"/>
  <c r="R441" i="47"/>
  <c r="D441" i="47"/>
  <c r="K441" i="47"/>
  <c r="R442" i="47"/>
  <c r="D442" i="47"/>
  <c r="K442" i="47"/>
  <c r="R443" i="47"/>
  <c r="D443" i="47"/>
  <c r="K443" i="47"/>
  <c r="R444" i="47"/>
  <c r="D444" i="47"/>
  <c r="K444" i="47"/>
  <c r="R445" i="47"/>
  <c r="D445" i="47"/>
  <c r="K445" i="47"/>
  <c r="R446" i="47"/>
  <c r="D446" i="47"/>
  <c r="K446" i="47"/>
  <c r="R447" i="47"/>
  <c r="D447" i="47"/>
  <c r="K447" i="47"/>
  <c r="R448" i="47"/>
  <c r="D448" i="47"/>
  <c r="K448" i="47"/>
  <c r="R449" i="47"/>
  <c r="D449" i="47"/>
  <c r="K449" i="47"/>
  <c r="R450" i="47"/>
  <c r="D450" i="47"/>
  <c r="K450" i="47"/>
  <c r="R451" i="47"/>
  <c r="D451" i="47"/>
  <c r="K451" i="47"/>
  <c r="R452" i="47"/>
  <c r="D452" i="47"/>
  <c r="K452" i="47"/>
  <c r="R453" i="47"/>
  <c r="D453" i="47"/>
  <c r="K453" i="47"/>
  <c r="R454" i="47"/>
  <c r="D454" i="47"/>
  <c r="K454" i="47"/>
  <c r="R455" i="47"/>
  <c r="D455" i="47"/>
  <c r="K455" i="47"/>
  <c r="R456" i="47"/>
  <c r="D456" i="47"/>
  <c r="K456" i="47"/>
  <c r="R457" i="47"/>
  <c r="D457" i="47"/>
  <c r="K457" i="47"/>
  <c r="R458" i="47"/>
  <c r="D458" i="47"/>
  <c r="K458" i="47"/>
  <c r="R459" i="47"/>
  <c r="D459" i="47"/>
  <c r="K459" i="47"/>
  <c r="R460" i="47"/>
  <c r="D460" i="47"/>
  <c r="K460" i="47"/>
  <c r="R461" i="47"/>
  <c r="D461" i="47"/>
  <c r="K461" i="47"/>
  <c r="R462" i="47"/>
  <c r="D462" i="47"/>
  <c r="K462" i="47"/>
  <c r="R463" i="47"/>
  <c r="D463" i="47"/>
  <c r="K463" i="47"/>
  <c r="R464" i="47"/>
  <c r="D464" i="47"/>
  <c r="K464" i="47"/>
  <c r="R465" i="47"/>
  <c r="D465" i="47"/>
  <c r="K465" i="47"/>
  <c r="R466" i="47"/>
  <c r="D466" i="47"/>
  <c r="K466" i="47"/>
  <c r="R467" i="47"/>
  <c r="D467" i="47"/>
  <c r="K467" i="47"/>
  <c r="R468" i="47"/>
  <c r="D468" i="47"/>
  <c r="K468" i="47"/>
  <c r="R469" i="47"/>
  <c r="D469" i="47"/>
  <c r="K469" i="47"/>
  <c r="R470" i="47"/>
  <c r="D470" i="47"/>
  <c r="K470" i="47"/>
  <c r="R471" i="47"/>
  <c r="D471" i="47"/>
  <c r="K471" i="47"/>
  <c r="R472" i="47"/>
  <c r="D472" i="47"/>
  <c r="K472" i="47"/>
  <c r="R473" i="47"/>
  <c r="D473" i="47"/>
  <c r="K473" i="47"/>
  <c r="R474" i="47"/>
  <c r="D474" i="47"/>
  <c r="K474" i="47"/>
  <c r="R475" i="47"/>
  <c r="D475" i="47"/>
  <c r="K475" i="47"/>
  <c r="R476" i="47"/>
  <c r="D476" i="47"/>
  <c r="K476" i="47"/>
  <c r="R477" i="47"/>
  <c r="D477" i="47"/>
  <c r="K477" i="47"/>
  <c r="R478" i="47"/>
  <c r="D478" i="47"/>
  <c r="K478" i="47"/>
  <c r="R479" i="47"/>
  <c r="D479" i="47"/>
  <c r="K479" i="47"/>
  <c r="R480" i="47"/>
  <c r="D480" i="47"/>
  <c r="K480" i="47"/>
  <c r="R481" i="47"/>
  <c r="D481" i="47"/>
  <c r="K481" i="47"/>
  <c r="R482" i="47"/>
  <c r="D482" i="47"/>
  <c r="K482" i="47"/>
  <c r="R483" i="47"/>
  <c r="D483" i="47"/>
  <c r="K483" i="47"/>
  <c r="R484" i="47"/>
  <c r="D484" i="47"/>
  <c r="K484" i="47"/>
  <c r="R485" i="47"/>
  <c r="D485" i="47"/>
  <c r="K485" i="47"/>
  <c r="R486" i="47"/>
  <c r="D486" i="47"/>
  <c r="K486" i="47"/>
  <c r="R487" i="47"/>
  <c r="D487" i="47"/>
  <c r="K487" i="47"/>
  <c r="R488" i="47"/>
  <c r="D488" i="47"/>
  <c r="K488" i="47"/>
  <c r="R489" i="47"/>
  <c r="D489" i="47"/>
  <c r="K489" i="47"/>
  <c r="R490" i="47"/>
  <c r="D490" i="47"/>
  <c r="K490" i="47"/>
  <c r="R491" i="47"/>
  <c r="D491" i="47"/>
  <c r="K491" i="47"/>
  <c r="R492" i="47"/>
  <c r="D492" i="47"/>
  <c r="K492" i="47"/>
  <c r="R493" i="47"/>
  <c r="D493" i="47"/>
  <c r="K493" i="47"/>
  <c r="R494" i="47"/>
  <c r="D494" i="47"/>
  <c r="K494" i="47"/>
  <c r="R495" i="47"/>
  <c r="D495" i="47"/>
  <c r="K495" i="47"/>
  <c r="R496" i="47"/>
  <c r="D496" i="47"/>
  <c r="K496" i="47"/>
  <c r="R497" i="47"/>
  <c r="D497" i="47"/>
  <c r="K497" i="47"/>
  <c r="R498" i="47"/>
  <c r="D498" i="47"/>
  <c r="K498" i="47"/>
  <c r="R499" i="47"/>
  <c r="D499" i="47"/>
  <c r="K499" i="47"/>
  <c r="R500" i="47"/>
  <c r="D500" i="47"/>
  <c r="K500" i="47"/>
  <c r="R501" i="47"/>
  <c r="D501" i="47"/>
  <c r="K501" i="47"/>
  <c r="R502" i="47"/>
  <c r="D502" i="47"/>
  <c r="K502" i="47"/>
  <c r="R503" i="47"/>
  <c r="D503" i="47"/>
  <c r="K503" i="47"/>
  <c r="R504" i="47"/>
  <c r="D504" i="47"/>
  <c r="K504" i="47"/>
  <c r="R505" i="47"/>
  <c r="D505" i="47"/>
  <c r="K505" i="47"/>
  <c r="R506" i="47"/>
  <c r="D506" i="47"/>
  <c r="K506" i="47"/>
  <c r="R507" i="47"/>
  <c r="D507" i="47"/>
  <c r="K507" i="47"/>
  <c r="R508" i="47"/>
  <c r="D508" i="47"/>
  <c r="K508" i="47"/>
  <c r="R509" i="47"/>
  <c r="D509" i="47"/>
  <c r="K509" i="47"/>
  <c r="R510" i="47"/>
  <c r="D510" i="47"/>
  <c r="K510" i="47"/>
  <c r="R511" i="47"/>
  <c r="D511" i="47"/>
  <c r="K511" i="47"/>
  <c r="R512" i="47"/>
  <c r="K512" i="47"/>
  <c r="AA513" i="47"/>
  <c r="Z513" i="47"/>
  <c r="Y513" i="47"/>
  <c r="I18" i="47"/>
  <c r="P26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13" i="46"/>
  <c r="B7" i="46"/>
  <c r="B8" i="46"/>
  <c r="B13" i="46"/>
  <c r="C13" i="46"/>
  <c r="F13" i="46"/>
  <c r="B14" i="46"/>
  <c r="C14" i="46"/>
  <c r="F14" i="46"/>
  <c r="B15" i="46"/>
  <c r="C15" i="46"/>
  <c r="F15" i="46"/>
  <c r="B16" i="46"/>
  <c r="C16" i="46"/>
  <c r="F16" i="46"/>
  <c r="B17" i="46"/>
  <c r="C17" i="46"/>
  <c r="F17" i="46"/>
  <c r="B18" i="46"/>
  <c r="C18" i="46"/>
  <c r="F18" i="46"/>
  <c r="B19" i="46"/>
  <c r="C19" i="46"/>
  <c r="F19" i="46"/>
  <c r="B20" i="46"/>
  <c r="C20" i="46"/>
  <c r="F20" i="46"/>
  <c r="B21" i="46"/>
  <c r="C21" i="46"/>
  <c r="F21" i="46"/>
  <c r="B22" i="46"/>
  <c r="C22" i="46"/>
  <c r="F22" i="46"/>
  <c r="B23" i="46"/>
  <c r="C23" i="46"/>
  <c r="F23" i="46"/>
  <c r="B24" i="46"/>
  <c r="C24" i="46"/>
  <c r="F24" i="46"/>
  <c r="B25" i="46"/>
  <c r="C25" i="46"/>
  <c r="F25" i="46"/>
  <c r="B26" i="46"/>
  <c r="C26" i="46"/>
  <c r="F26" i="46"/>
  <c r="B27" i="46"/>
  <c r="C27" i="46"/>
  <c r="F27" i="46"/>
  <c r="F28" i="46"/>
  <c r="E14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F29" i="46"/>
  <c r="I14" i="46"/>
  <c r="J14" i="46"/>
  <c r="K14" i="46"/>
  <c r="I15" i="46"/>
  <c r="J15" i="46"/>
  <c r="K15" i="46"/>
  <c r="I16" i="46"/>
  <c r="J16" i="46"/>
  <c r="K16" i="46"/>
  <c r="I17" i="46"/>
  <c r="J17" i="46"/>
  <c r="K17" i="46"/>
  <c r="I18" i="46"/>
  <c r="J18" i="46"/>
  <c r="K18" i="46"/>
  <c r="I19" i="46"/>
  <c r="J19" i="46"/>
  <c r="K19" i="46"/>
  <c r="I20" i="46"/>
  <c r="J20" i="46"/>
  <c r="K20" i="46"/>
  <c r="I21" i="46"/>
  <c r="J21" i="46"/>
  <c r="K21" i="46"/>
  <c r="I22" i="46"/>
  <c r="J22" i="46"/>
  <c r="K22" i="46"/>
  <c r="I23" i="46"/>
  <c r="J23" i="46"/>
  <c r="K23" i="46"/>
  <c r="I24" i="46"/>
  <c r="J24" i="46"/>
  <c r="K24" i="46"/>
  <c r="I25" i="46"/>
  <c r="J25" i="46"/>
  <c r="K25" i="46"/>
  <c r="I26" i="46"/>
  <c r="J26" i="46"/>
  <c r="K26" i="46"/>
  <c r="I27" i="46"/>
  <c r="J27" i="46"/>
  <c r="K27" i="46"/>
  <c r="K28" i="46"/>
  <c r="K30" i="46"/>
  <c r="K31" i="46"/>
  <c r="O13" i="46"/>
  <c r="O14" i="46"/>
  <c r="N14" i="46"/>
  <c r="Q13" i="46"/>
  <c r="O15" i="46"/>
  <c r="N15" i="46"/>
  <c r="Q14" i="46"/>
  <c r="O16" i="46"/>
  <c r="N16" i="46"/>
  <c r="Q15" i="46"/>
  <c r="O17" i="46"/>
  <c r="N17" i="46"/>
  <c r="Q16" i="46"/>
  <c r="O18" i="46"/>
  <c r="N18" i="46"/>
  <c r="Q17" i="46"/>
  <c r="O19" i="46"/>
  <c r="N19" i="46"/>
  <c r="Q18" i="46"/>
  <c r="O20" i="46"/>
  <c r="N20" i="46"/>
  <c r="Q19" i="46"/>
  <c r="O21" i="46"/>
  <c r="N21" i="46"/>
  <c r="Q20" i="46"/>
  <c r="O22" i="46"/>
  <c r="N22" i="46"/>
  <c r="Q21" i="46"/>
  <c r="O23" i="46"/>
  <c r="N23" i="46"/>
  <c r="Q22" i="46"/>
  <c r="O24" i="46"/>
  <c r="N24" i="46"/>
  <c r="Q23" i="46"/>
  <c r="O25" i="46"/>
  <c r="N25" i="46"/>
  <c r="Q24" i="46"/>
  <c r="Q25" i="46"/>
  <c r="Q26" i="46"/>
  <c r="N13" i="46"/>
  <c r="P13" i="46"/>
  <c r="P14" i="46"/>
  <c r="P15" i="46"/>
  <c r="P16" i="46"/>
  <c r="P17" i="46"/>
  <c r="P18" i="46"/>
  <c r="P19" i="46"/>
  <c r="P20" i="46"/>
  <c r="P21" i="46"/>
  <c r="P22" i="46"/>
  <c r="P23" i="46"/>
  <c r="P24" i="46"/>
  <c r="Q28" i="46"/>
  <c r="J13" i="46"/>
  <c r="I13" i="46"/>
  <c r="C8" i="45"/>
  <c r="C9" i="45"/>
  <c r="C10" i="45"/>
  <c r="C11" i="45"/>
  <c r="C12" i="45"/>
  <c r="C13" i="45"/>
  <c r="C7" i="45"/>
  <c r="E7" i="45"/>
  <c r="E8" i="45"/>
  <c r="A9" i="45"/>
  <c r="E9" i="45"/>
  <c r="A10" i="45"/>
  <c r="E10" i="45"/>
  <c r="A11" i="45"/>
  <c r="E11" i="45"/>
  <c r="A12" i="45"/>
  <c r="E12" i="45"/>
  <c r="E13" i="45"/>
  <c r="E14" i="45"/>
  <c r="C19" i="45"/>
  <c r="D13" i="44"/>
  <c r="D12" i="44"/>
  <c r="D11" i="44"/>
  <c r="D10" i="44"/>
  <c r="D9" i="44"/>
  <c r="D8" i="44"/>
  <c r="D7" i="44"/>
  <c r="I851" i="44"/>
  <c r="H9" i="44"/>
  <c r="H10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G104" i="44"/>
  <c r="G105" i="44"/>
  <c r="G106" i="44"/>
  <c r="G107" i="44"/>
  <c r="G108" i="44"/>
  <c r="G109" i="44"/>
  <c r="G110" i="44"/>
  <c r="G111" i="44"/>
  <c r="G112" i="44"/>
  <c r="G113" i="44"/>
  <c r="G114" i="44"/>
  <c r="G115" i="44"/>
  <c r="G116" i="44"/>
  <c r="G117" i="44"/>
  <c r="G118" i="44"/>
  <c r="G119" i="44"/>
  <c r="G120" i="44"/>
  <c r="G121" i="44"/>
  <c r="G122" i="44"/>
  <c r="G123" i="44"/>
  <c r="G124" i="44"/>
  <c r="G125" i="44"/>
  <c r="G126" i="44"/>
  <c r="G127" i="44"/>
  <c r="G128" i="44"/>
  <c r="G129" i="44"/>
  <c r="G130" i="44"/>
  <c r="G131" i="44"/>
  <c r="G132" i="44"/>
  <c r="G133" i="44"/>
  <c r="G134" i="44"/>
  <c r="G135" i="44"/>
  <c r="G136" i="44"/>
  <c r="G137" i="44"/>
  <c r="G138" i="44"/>
  <c r="G139" i="44"/>
  <c r="G140" i="44"/>
  <c r="G141" i="44"/>
  <c r="G142" i="44"/>
  <c r="G143" i="44"/>
  <c r="G144" i="44"/>
  <c r="G145" i="44"/>
  <c r="G146" i="44"/>
  <c r="G147" i="44"/>
  <c r="G148" i="44"/>
  <c r="G149" i="44"/>
  <c r="G150" i="44"/>
  <c r="G151" i="44"/>
  <c r="G152" i="44"/>
  <c r="G153" i="44"/>
  <c r="G154" i="44"/>
  <c r="G155" i="44"/>
  <c r="G156" i="44"/>
  <c r="G157" i="44"/>
  <c r="G158" i="44"/>
  <c r="G159" i="44"/>
  <c r="G160" i="44"/>
  <c r="G161" i="44"/>
  <c r="G162" i="44"/>
  <c r="G163" i="44"/>
  <c r="G164" i="44"/>
  <c r="G165" i="44"/>
  <c r="G166" i="44"/>
  <c r="G167" i="44"/>
  <c r="G168" i="44"/>
  <c r="G169" i="44"/>
  <c r="G170" i="44"/>
  <c r="G171" i="44"/>
  <c r="G172" i="44"/>
  <c r="G173" i="44"/>
  <c r="G174" i="44"/>
  <c r="G175" i="44"/>
  <c r="G176" i="44"/>
  <c r="G177" i="44"/>
  <c r="G178" i="44"/>
  <c r="G179" i="44"/>
  <c r="G180" i="44"/>
  <c r="G181" i="44"/>
  <c r="G182" i="44"/>
  <c r="G183" i="44"/>
  <c r="G184" i="44"/>
  <c r="G185" i="44"/>
  <c r="G186" i="44"/>
  <c r="G187" i="44"/>
  <c r="G188" i="44"/>
  <c r="G189" i="44"/>
  <c r="G190" i="44"/>
  <c r="G191" i="44"/>
  <c r="G192" i="44"/>
  <c r="G193" i="44"/>
  <c r="G194" i="44"/>
  <c r="G195" i="44"/>
  <c r="G196" i="44"/>
  <c r="G197" i="44"/>
  <c r="G198" i="44"/>
  <c r="G199" i="44"/>
  <c r="G200" i="44"/>
  <c r="G201" i="44"/>
  <c r="G202" i="44"/>
  <c r="G203" i="44"/>
  <c r="G204" i="44"/>
  <c r="G205" i="44"/>
  <c r="G206" i="44"/>
  <c r="G207" i="44"/>
  <c r="G208" i="44"/>
  <c r="G209" i="44"/>
  <c r="G210" i="44"/>
  <c r="G211" i="44"/>
  <c r="G212" i="44"/>
  <c r="G213" i="44"/>
  <c r="G214" i="44"/>
  <c r="G215" i="44"/>
  <c r="G216" i="44"/>
  <c r="G217" i="44"/>
  <c r="G218" i="44"/>
  <c r="G219" i="44"/>
  <c r="G220" i="44"/>
  <c r="G221" i="44"/>
  <c r="G222" i="44"/>
  <c r="G223" i="44"/>
  <c r="G224" i="44"/>
  <c r="G225" i="44"/>
  <c r="G226" i="44"/>
  <c r="G227" i="44"/>
  <c r="G228" i="44"/>
  <c r="G229" i="44"/>
  <c r="G230" i="44"/>
  <c r="G231" i="44"/>
  <c r="G232" i="44"/>
  <c r="G233" i="44"/>
  <c r="G234" i="44"/>
  <c r="G235" i="44"/>
  <c r="G236" i="44"/>
  <c r="G237" i="44"/>
  <c r="G238" i="44"/>
  <c r="G239" i="44"/>
  <c r="G240" i="44"/>
  <c r="G241" i="44"/>
  <c r="G242" i="44"/>
  <c r="G243" i="44"/>
  <c r="G244" i="44"/>
  <c r="G245" i="44"/>
  <c r="G246" i="44"/>
  <c r="G247" i="44"/>
  <c r="G248" i="44"/>
  <c r="G249" i="44"/>
  <c r="G250" i="44"/>
  <c r="G251" i="44"/>
  <c r="G252" i="44"/>
  <c r="G253" i="44"/>
  <c r="G254" i="44"/>
  <c r="G255" i="44"/>
  <c r="G256" i="44"/>
  <c r="G257" i="44"/>
  <c r="G258" i="44"/>
  <c r="G259" i="44"/>
  <c r="G260" i="44"/>
  <c r="G261" i="44"/>
  <c r="G262" i="44"/>
  <c r="G263" i="44"/>
  <c r="G264" i="44"/>
  <c r="G265" i="44"/>
  <c r="G266" i="44"/>
  <c r="G267" i="44"/>
  <c r="G268" i="44"/>
  <c r="G269" i="44"/>
  <c r="G270" i="44"/>
  <c r="G271" i="44"/>
  <c r="G272" i="44"/>
  <c r="G273" i="44"/>
  <c r="G274" i="44"/>
  <c r="G275" i="44"/>
  <c r="G276" i="44"/>
  <c r="G277" i="44"/>
  <c r="G278" i="44"/>
  <c r="G279" i="44"/>
  <c r="G280" i="44"/>
  <c r="G281" i="44"/>
  <c r="G282" i="44"/>
  <c r="G283" i="44"/>
  <c r="G284" i="44"/>
  <c r="G285" i="44"/>
  <c r="G286" i="44"/>
  <c r="G287" i="44"/>
  <c r="G288" i="44"/>
  <c r="G289" i="44"/>
  <c r="G290" i="44"/>
  <c r="G291" i="44"/>
  <c r="G292" i="44"/>
  <c r="G293" i="44"/>
  <c r="G294" i="44"/>
  <c r="G295" i="44"/>
  <c r="G296" i="44"/>
  <c r="G297" i="44"/>
  <c r="G298" i="44"/>
  <c r="G299" i="44"/>
  <c r="G300" i="44"/>
  <c r="G301" i="44"/>
  <c r="G302" i="44"/>
  <c r="G303" i="44"/>
  <c r="G304" i="44"/>
  <c r="G305" i="44"/>
  <c r="G306" i="44"/>
  <c r="G307" i="44"/>
  <c r="G308" i="44"/>
  <c r="G309" i="44"/>
  <c r="G310" i="44"/>
  <c r="G311" i="44"/>
  <c r="G312" i="44"/>
  <c r="G313" i="44"/>
  <c r="G314" i="44"/>
  <c r="G315" i="44"/>
  <c r="G316" i="44"/>
  <c r="G317" i="44"/>
  <c r="G318" i="44"/>
  <c r="G319" i="44"/>
  <c r="G320" i="44"/>
  <c r="G321" i="44"/>
  <c r="G322" i="44"/>
  <c r="G323" i="44"/>
  <c r="G324" i="44"/>
  <c r="G325" i="44"/>
  <c r="G326" i="44"/>
  <c r="G327" i="44"/>
  <c r="G328" i="44"/>
  <c r="G329" i="44"/>
  <c r="G330" i="44"/>
  <c r="G331" i="44"/>
  <c r="G332" i="44"/>
  <c r="G333" i="44"/>
  <c r="G334" i="44"/>
  <c r="G335" i="44"/>
  <c r="G336" i="44"/>
  <c r="G337" i="44"/>
  <c r="G338" i="44"/>
  <c r="G339" i="44"/>
  <c r="G340" i="44"/>
  <c r="G341" i="44"/>
  <c r="G342" i="44"/>
  <c r="G343" i="44"/>
  <c r="G344" i="44"/>
  <c r="G345" i="44"/>
  <c r="G346" i="44"/>
  <c r="G347" i="44"/>
  <c r="G348" i="44"/>
  <c r="G349" i="44"/>
  <c r="G350" i="44"/>
  <c r="G351" i="44"/>
  <c r="G352" i="44"/>
  <c r="G353" i="44"/>
  <c r="G354" i="44"/>
  <c r="G355" i="44"/>
  <c r="G356" i="44"/>
  <c r="G357" i="44"/>
  <c r="G358" i="44"/>
  <c r="G359" i="44"/>
  <c r="G360" i="44"/>
  <c r="G361" i="44"/>
  <c r="G362" i="44"/>
  <c r="G363" i="44"/>
  <c r="G364" i="44"/>
  <c r="G365" i="44"/>
  <c r="G366" i="44"/>
  <c r="G367" i="44"/>
  <c r="G368" i="44"/>
  <c r="G369" i="44"/>
  <c r="G370" i="44"/>
  <c r="G371" i="44"/>
  <c r="G372" i="44"/>
  <c r="G373" i="44"/>
  <c r="G374" i="44"/>
  <c r="G375" i="44"/>
  <c r="G376" i="44"/>
  <c r="G377" i="44"/>
  <c r="G378" i="44"/>
  <c r="G379" i="44"/>
  <c r="G380" i="44"/>
  <c r="G381" i="44"/>
  <c r="G382" i="44"/>
  <c r="G383" i="44"/>
  <c r="G384" i="44"/>
  <c r="G385" i="44"/>
  <c r="G386" i="44"/>
  <c r="G387" i="44"/>
  <c r="G388" i="44"/>
  <c r="G389" i="44"/>
  <c r="G390" i="44"/>
  <c r="G391" i="44"/>
  <c r="G392" i="44"/>
  <c r="G393" i="44"/>
  <c r="G394" i="44"/>
  <c r="G395" i="44"/>
  <c r="G396" i="44"/>
  <c r="G397" i="44"/>
  <c r="G398" i="44"/>
  <c r="G399" i="44"/>
  <c r="G400" i="44"/>
  <c r="G401" i="44"/>
  <c r="G402" i="44"/>
  <c r="G403" i="44"/>
  <c r="G404" i="44"/>
  <c r="G405" i="44"/>
  <c r="G406" i="44"/>
  <c r="G407" i="44"/>
  <c r="G408" i="44"/>
  <c r="G409" i="44"/>
  <c r="G410" i="44"/>
  <c r="G411" i="44"/>
  <c r="G412" i="44"/>
  <c r="G413" i="44"/>
  <c r="G414" i="44"/>
  <c r="G415" i="44"/>
  <c r="G416" i="44"/>
  <c r="G417" i="44"/>
  <c r="G418" i="44"/>
  <c r="G419" i="44"/>
  <c r="G420" i="44"/>
  <c r="G421" i="44"/>
  <c r="G422" i="44"/>
  <c r="G423" i="44"/>
  <c r="G424" i="44"/>
  <c r="G425" i="44"/>
  <c r="G426" i="44"/>
  <c r="G427" i="44"/>
  <c r="G428" i="44"/>
  <c r="G429" i="44"/>
  <c r="G430" i="44"/>
  <c r="G431" i="44"/>
  <c r="G432" i="44"/>
  <c r="G433" i="44"/>
  <c r="G434" i="44"/>
  <c r="G435" i="44"/>
  <c r="G436" i="44"/>
  <c r="G437" i="44"/>
  <c r="G438" i="44"/>
  <c r="G439" i="44"/>
  <c r="G440" i="44"/>
  <c r="G441" i="44"/>
  <c r="G442" i="44"/>
  <c r="G443" i="44"/>
  <c r="G444" i="44"/>
  <c r="G445" i="44"/>
  <c r="G446" i="44"/>
  <c r="G447" i="44"/>
  <c r="G448" i="44"/>
  <c r="G449" i="44"/>
  <c r="G450" i="44"/>
  <c r="G451" i="44"/>
  <c r="G452" i="44"/>
  <c r="G453" i="44"/>
  <c r="G454" i="44"/>
  <c r="G455" i="44"/>
  <c r="G456" i="44"/>
  <c r="G457" i="44"/>
  <c r="G458" i="44"/>
  <c r="G459" i="44"/>
  <c r="G460" i="44"/>
  <c r="G461" i="44"/>
  <c r="G462" i="44"/>
  <c r="G463" i="44"/>
  <c r="G464" i="44"/>
  <c r="G465" i="44"/>
  <c r="G466" i="44"/>
  <c r="G467" i="44"/>
  <c r="G468" i="44"/>
  <c r="G469" i="44"/>
  <c r="G470" i="44"/>
  <c r="G471" i="44"/>
  <c r="G472" i="44"/>
  <c r="G473" i="44"/>
  <c r="G474" i="44"/>
  <c r="G475" i="44"/>
  <c r="G476" i="44"/>
  <c r="G477" i="44"/>
  <c r="G478" i="44"/>
  <c r="G479" i="44"/>
  <c r="G480" i="44"/>
  <c r="G481" i="44"/>
  <c r="G482" i="44"/>
  <c r="G483" i="44"/>
  <c r="G484" i="44"/>
  <c r="G485" i="44"/>
  <c r="G486" i="44"/>
  <c r="G487" i="44"/>
  <c r="G488" i="44"/>
  <c r="G489" i="44"/>
  <c r="G490" i="44"/>
  <c r="G491" i="44"/>
  <c r="G492" i="44"/>
  <c r="G493" i="44"/>
  <c r="G494" i="44"/>
  <c r="G495" i="44"/>
  <c r="G496" i="44"/>
  <c r="G497" i="44"/>
  <c r="G498" i="44"/>
  <c r="G499" i="44"/>
  <c r="G500" i="44"/>
  <c r="G501" i="44"/>
  <c r="G502" i="44"/>
  <c r="G503" i="44"/>
  <c r="G504" i="44"/>
  <c r="G505" i="44"/>
  <c r="G506" i="44"/>
  <c r="G507" i="44"/>
  <c r="G508" i="44"/>
  <c r="G509" i="44"/>
  <c r="G510" i="44"/>
  <c r="G511" i="44"/>
  <c r="G512" i="44"/>
  <c r="G513" i="44"/>
  <c r="G514" i="44"/>
  <c r="G515" i="44"/>
  <c r="G516" i="44"/>
  <c r="G517" i="44"/>
  <c r="G518" i="44"/>
  <c r="G519" i="44"/>
  <c r="G520" i="44"/>
  <c r="G521" i="44"/>
  <c r="G522" i="44"/>
  <c r="G523" i="44"/>
  <c r="G524" i="44"/>
  <c r="G525" i="44"/>
  <c r="G526" i="44"/>
  <c r="G527" i="44"/>
  <c r="G528" i="44"/>
  <c r="G529" i="44"/>
  <c r="G530" i="44"/>
  <c r="G531" i="44"/>
  <c r="G532" i="44"/>
  <c r="G533" i="44"/>
  <c r="G534" i="44"/>
  <c r="G535" i="44"/>
  <c r="G536" i="44"/>
  <c r="G537" i="44"/>
  <c r="G538" i="44"/>
  <c r="G539" i="44"/>
  <c r="G540" i="44"/>
  <c r="G541" i="44"/>
  <c r="G542" i="44"/>
  <c r="G543" i="44"/>
  <c r="G544" i="44"/>
  <c r="G545" i="44"/>
  <c r="G546" i="44"/>
  <c r="G547" i="44"/>
  <c r="G548" i="44"/>
  <c r="G549" i="44"/>
  <c r="G550" i="44"/>
  <c r="G551" i="44"/>
  <c r="G552" i="44"/>
  <c r="G553" i="44"/>
  <c r="G554" i="44"/>
  <c r="G555" i="44"/>
  <c r="G556" i="44"/>
  <c r="G557" i="44"/>
  <c r="G558" i="44"/>
  <c r="G559" i="44"/>
  <c r="G560" i="44"/>
  <c r="G561" i="44"/>
  <c r="G562" i="44"/>
  <c r="G563" i="44"/>
  <c r="G564" i="44"/>
  <c r="G565" i="44"/>
  <c r="G566" i="44"/>
  <c r="G567" i="44"/>
  <c r="G568" i="44"/>
  <c r="G569" i="44"/>
  <c r="G570" i="44"/>
  <c r="G571" i="44"/>
  <c r="G572" i="44"/>
  <c r="G573" i="44"/>
  <c r="G574" i="44"/>
  <c r="G575" i="44"/>
  <c r="G576" i="44"/>
  <c r="G577" i="44"/>
  <c r="G578" i="44"/>
  <c r="G579" i="44"/>
  <c r="G580" i="44"/>
  <c r="G581" i="44"/>
  <c r="G582" i="44"/>
  <c r="G583" i="44"/>
  <c r="G584" i="44"/>
  <c r="G585" i="44"/>
  <c r="G586" i="44"/>
  <c r="G587" i="44"/>
  <c r="G588" i="44"/>
  <c r="G589" i="44"/>
  <c r="G590" i="44"/>
  <c r="G591" i="44"/>
  <c r="G592" i="44"/>
  <c r="G593" i="44"/>
  <c r="G594" i="44"/>
  <c r="G595" i="44"/>
  <c r="G596" i="44"/>
  <c r="G597" i="44"/>
  <c r="G598" i="44"/>
  <c r="G599" i="44"/>
  <c r="G600" i="44"/>
  <c r="G601" i="44"/>
  <c r="G602" i="44"/>
  <c r="G603" i="44"/>
  <c r="G604" i="44"/>
  <c r="G605" i="44"/>
  <c r="G606" i="44"/>
  <c r="G607" i="44"/>
  <c r="G608" i="44"/>
  <c r="G609" i="44"/>
  <c r="G610" i="44"/>
  <c r="G611" i="44"/>
  <c r="G612" i="44"/>
  <c r="G613" i="44"/>
  <c r="G614" i="44"/>
  <c r="G615" i="44"/>
  <c r="G616" i="44"/>
  <c r="G617" i="44"/>
  <c r="G618" i="44"/>
  <c r="G619" i="44"/>
  <c r="G620" i="44"/>
  <c r="G621" i="44"/>
  <c r="G622" i="44"/>
  <c r="G623" i="44"/>
  <c r="G624" i="44"/>
  <c r="G625" i="44"/>
  <c r="G626" i="44"/>
  <c r="G627" i="44"/>
  <c r="G628" i="44"/>
  <c r="G629" i="44"/>
  <c r="G630" i="44"/>
  <c r="G631" i="44"/>
  <c r="G632" i="44"/>
  <c r="G633" i="44"/>
  <c r="G634" i="44"/>
  <c r="G635" i="44"/>
  <c r="G636" i="44"/>
  <c r="G637" i="44"/>
  <c r="G638" i="44"/>
  <c r="G639" i="44"/>
  <c r="G640" i="44"/>
  <c r="G641" i="44"/>
  <c r="G642" i="44"/>
  <c r="G643" i="44"/>
  <c r="G644" i="44"/>
  <c r="G645" i="44"/>
  <c r="G646" i="44"/>
  <c r="G647" i="44"/>
  <c r="G648" i="44"/>
  <c r="G649" i="44"/>
  <c r="G650" i="44"/>
  <c r="G651" i="44"/>
  <c r="G652" i="44"/>
  <c r="G653" i="44"/>
  <c r="G654" i="44"/>
  <c r="G655" i="44"/>
  <c r="G656" i="44"/>
  <c r="G657" i="44"/>
  <c r="G658" i="44"/>
  <c r="G659" i="44"/>
  <c r="G660" i="44"/>
  <c r="G661" i="44"/>
  <c r="G662" i="44"/>
  <c r="G663" i="44"/>
  <c r="G664" i="44"/>
  <c r="G665" i="44"/>
  <c r="G666" i="44"/>
  <c r="G667" i="44"/>
  <c r="G668" i="44"/>
  <c r="G669" i="44"/>
  <c r="G670" i="44"/>
  <c r="G671" i="44"/>
  <c r="G672" i="44"/>
  <c r="G673" i="44"/>
  <c r="G674" i="44"/>
  <c r="G675" i="44"/>
  <c r="G676" i="44"/>
  <c r="G677" i="44"/>
  <c r="G678" i="44"/>
  <c r="G679" i="44"/>
  <c r="G680" i="44"/>
  <c r="G681" i="44"/>
  <c r="G682" i="44"/>
  <c r="G683" i="44"/>
  <c r="G684" i="44"/>
  <c r="G685" i="44"/>
  <c r="G686" i="44"/>
  <c r="G687" i="44"/>
  <c r="G688" i="44"/>
  <c r="G689" i="44"/>
  <c r="G690" i="44"/>
  <c r="G691" i="44"/>
  <c r="G692" i="44"/>
  <c r="G693" i="44"/>
  <c r="G694" i="44"/>
  <c r="G695" i="44"/>
  <c r="G696" i="44"/>
  <c r="G697" i="44"/>
  <c r="G698" i="44"/>
  <c r="G699" i="44"/>
  <c r="G700" i="44"/>
  <c r="G701" i="44"/>
  <c r="G702" i="44"/>
  <c r="G703" i="44"/>
  <c r="G704" i="44"/>
  <c r="G705" i="44"/>
  <c r="G706" i="44"/>
  <c r="G707" i="44"/>
  <c r="G708" i="44"/>
  <c r="G709" i="44"/>
  <c r="G710" i="44"/>
  <c r="G711" i="44"/>
  <c r="G712" i="44"/>
  <c r="G713" i="44"/>
  <c r="G714" i="44"/>
  <c r="G715" i="44"/>
  <c r="G716" i="44"/>
  <c r="G717" i="44"/>
  <c r="G718" i="44"/>
  <c r="G719" i="44"/>
  <c r="G720" i="44"/>
  <c r="G721" i="44"/>
  <c r="G722" i="44"/>
  <c r="G723" i="44"/>
  <c r="G724" i="44"/>
  <c r="G725" i="44"/>
  <c r="G726" i="44"/>
  <c r="G727" i="44"/>
  <c r="G728" i="44"/>
  <c r="G729" i="44"/>
  <c r="G730" i="44"/>
  <c r="G731" i="44"/>
  <c r="G732" i="44"/>
  <c r="G733" i="44"/>
  <c r="G734" i="44"/>
  <c r="G735" i="44"/>
  <c r="G736" i="44"/>
  <c r="G737" i="44"/>
  <c r="G738" i="44"/>
  <c r="G739" i="44"/>
  <c r="G740" i="44"/>
  <c r="G741" i="44"/>
  <c r="G742" i="44"/>
  <c r="G743" i="44"/>
  <c r="G744" i="44"/>
  <c r="G745" i="44"/>
  <c r="G746" i="44"/>
  <c r="G747" i="44"/>
  <c r="G748" i="44"/>
  <c r="G749" i="44"/>
  <c r="G750" i="44"/>
  <c r="G751" i="44"/>
  <c r="G752" i="44"/>
  <c r="G753" i="44"/>
  <c r="G754" i="44"/>
  <c r="G755" i="44"/>
  <c r="G756" i="44"/>
  <c r="G757" i="44"/>
  <c r="G758" i="44"/>
  <c r="G759" i="44"/>
  <c r="G760" i="44"/>
  <c r="G761" i="44"/>
  <c r="G762" i="44"/>
  <c r="G763" i="44"/>
  <c r="G764" i="44"/>
  <c r="G765" i="44"/>
  <c r="G766" i="44"/>
  <c r="G767" i="44"/>
  <c r="G768" i="44"/>
  <c r="G769" i="44"/>
  <c r="G770" i="44"/>
  <c r="G771" i="44"/>
  <c r="G772" i="44"/>
  <c r="G773" i="44"/>
  <c r="G774" i="44"/>
  <c r="G775" i="44"/>
  <c r="G776" i="44"/>
  <c r="G777" i="44"/>
  <c r="G778" i="44"/>
  <c r="G779" i="44"/>
  <c r="G780" i="44"/>
  <c r="G781" i="44"/>
  <c r="G782" i="44"/>
  <c r="G783" i="44"/>
  <c r="G784" i="44"/>
  <c r="G785" i="44"/>
  <c r="G786" i="44"/>
  <c r="G787" i="44"/>
  <c r="G788" i="44"/>
  <c r="G789" i="44"/>
  <c r="G790" i="44"/>
  <c r="G791" i="44"/>
  <c r="G792" i="44"/>
  <c r="G793" i="44"/>
  <c r="G794" i="44"/>
  <c r="G795" i="44"/>
  <c r="G796" i="44"/>
  <c r="G797" i="44"/>
  <c r="G798" i="44"/>
  <c r="G799" i="44"/>
  <c r="G800" i="44"/>
  <c r="G801" i="44"/>
  <c r="G802" i="44"/>
  <c r="G803" i="44"/>
  <c r="G804" i="44"/>
  <c r="G805" i="44"/>
  <c r="G806" i="44"/>
  <c r="G807" i="44"/>
  <c r="G808" i="44"/>
  <c r="G809" i="44"/>
  <c r="G810" i="44"/>
  <c r="G811" i="44"/>
  <c r="G812" i="44"/>
  <c r="G813" i="44"/>
  <c r="G814" i="44"/>
  <c r="G815" i="44"/>
  <c r="G816" i="44"/>
  <c r="G817" i="44"/>
  <c r="G818" i="44"/>
  <c r="G819" i="44"/>
  <c r="G820" i="44"/>
  <c r="G821" i="44"/>
  <c r="G822" i="44"/>
  <c r="G823" i="44"/>
  <c r="G824" i="44"/>
  <c r="G825" i="44"/>
  <c r="G826" i="44"/>
  <c r="G827" i="44"/>
  <c r="G828" i="44"/>
  <c r="G829" i="44"/>
  <c r="G830" i="44"/>
  <c r="G831" i="44"/>
  <c r="G832" i="44"/>
  <c r="G833" i="44"/>
  <c r="G834" i="44"/>
  <c r="G835" i="44"/>
  <c r="G836" i="44"/>
  <c r="G837" i="44"/>
  <c r="G838" i="44"/>
  <c r="G839" i="44"/>
  <c r="G840" i="44"/>
  <c r="G841" i="44"/>
  <c r="G842" i="44"/>
  <c r="G843" i="44"/>
  <c r="G844" i="44"/>
  <c r="G845" i="44"/>
  <c r="G846" i="44"/>
  <c r="G847" i="44"/>
  <c r="G848" i="44"/>
  <c r="G849" i="44"/>
  <c r="G850" i="44"/>
  <c r="G851" i="44"/>
  <c r="H851" i="44"/>
  <c r="H850" i="44"/>
  <c r="I850" i="44"/>
  <c r="H849" i="44"/>
  <c r="I849" i="44"/>
  <c r="H848" i="44"/>
  <c r="I848" i="44"/>
  <c r="H847" i="44"/>
  <c r="I847" i="44"/>
  <c r="H846" i="44"/>
  <c r="I846" i="44"/>
  <c r="H845" i="44"/>
  <c r="I845" i="44"/>
  <c r="H844" i="44"/>
  <c r="I844" i="44"/>
  <c r="H843" i="44"/>
  <c r="I843" i="44"/>
  <c r="H842" i="44"/>
  <c r="I842" i="44"/>
  <c r="H841" i="44"/>
  <c r="I841" i="44"/>
  <c r="H840" i="44"/>
  <c r="I840" i="44"/>
  <c r="H839" i="44"/>
  <c r="I839" i="44"/>
  <c r="H838" i="44"/>
  <c r="I838" i="44"/>
  <c r="H837" i="44"/>
  <c r="I837" i="44"/>
  <c r="H836" i="44"/>
  <c r="I836" i="44"/>
  <c r="H835" i="44"/>
  <c r="I835" i="44"/>
  <c r="H834" i="44"/>
  <c r="I834" i="44"/>
  <c r="H833" i="44"/>
  <c r="I833" i="44"/>
  <c r="H832" i="44"/>
  <c r="I832" i="44"/>
  <c r="H831" i="44"/>
  <c r="I831" i="44"/>
  <c r="H830" i="44"/>
  <c r="I830" i="44"/>
  <c r="H829" i="44"/>
  <c r="I829" i="44"/>
  <c r="H828" i="44"/>
  <c r="I828" i="44"/>
  <c r="H827" i="44"/>
  <c r="I827" i="44"/>
  <c r="H826" i="44"/>
  <c r="I826" i="44"/>
  <c r="H825" i="44"/>
  <c r="I825" i="44"/>
  <c r="H824" i="44"/>
  <c r="I824" i="44"/>
  <c r="H823" i="44"/>
  <c r="I823" i="44"/>
  <c r="H822" i="44"/>
  <c r="I822" i="44"/>
  <c r="H821" i="44"/>
  <c r="I821" i="44"/>
  <c r="H820" i="44"/>
  <c r="I820" i="44"/>
  <c r="H819" i="44"/>
  <c r="I819" i="44"/>
  <c r="H818" i="44"/>
  <c r="I818" i="44"/>
  <c r="H817" i="44"/>
  <c r="I817" i="44"/>
  <c r="H816" i="44"/>
  <c r="I816" i="44"/>
  <c r="H815" i="44"/>
  <c r="I815" i="44"/>
  <c r="H814" i="44"/>
  <c r="I814" i="44"/>
  <c r="H813" i="44"/>
  <c r="I813" i="44"/>
  <c r="H812" i="44"/>
  <c r="I812" i="44"/>
  <c r="H811" i="44"/>
  <c r="I811" i="44"/>
  <c r="H810" i="44"/>
  <c r="I810" i="44"/>
  <c r="H809" i="44"/>
  <c r="I809" i="44"/>
  <c r="H808" i="44"/>
  <c r="I808" i="44"/>
  <c r="H807" i="44"/>
  <c r="I807" i="44"/>
  <c r="H806" i="44"/>
  <c r="I806" i="44"/>
  <c r="H805" i="44"/>
  <c r="I805" i="44"/>
  <c r="H804" i="44"/>
  <c r="I804" i="44"/>
  <c r="H803" i="44"/>
  <c r="I803" i="44"/>
  <c r="H802" i="44"/>
  <c r="I802" i="44"/>
  <c r="H801" i="44"/>
  <c r="I801" i="44"/>
  <c r="H800" i="44"/>
  <c r="I800" i="44"/>
  <c r="H799" i="44"/>
  <c r="I799" i="44"/>
  <c r="H798" i="44"/>
  <c r="I798" i="44"/>
  <c r="H797" i="44"/>
  <c r="I797" i="44"/>
  <c r="H796" i="44"/>
  <c r="I796" i="44"/>
  <c r="H795" i="44"/>
  <c r="I795" i="44"/>
  <c r="H794" i="44"/>
  <c r="I794" i="44"/>
  <c r="H793" i="44"/>
  <c r="I793" i="44"/>
  <c r="H792" i="44"/>
  <c r="I792" i="44"/>
  <c r="H791" i="44"/>
  <c r="I791" i="44"/>
  <c r="H790" i="44"/>
  <c r="I790" i="44"/>
  <c r="H789" i="44"/>
  <c r="I789" i="44"/>
  <c r="H788" i="44"/>
  <c r="I788" i="44"/>
  <c r="H787" i="44"/>
  <c r="I787" i="44"/>
  <c r="H786" i="44"/>
  <c r="I786" i="44"/>
  <c r="H785" i="44"/>
  <c r="I785" i="44"/>
  <c r="H784" i="44"/>
  <c r="I784" i="44"/>
  <c r="H783" i="44"/>
  <c r="I783" i="44"/>
  <c r="H782" i="44"/>
  <c r="I782" i="44"/>
  <c r="H781" i="44"/>
  <c r="I781" i="44"/>
  <c r="H780" i="44"/>
  <c r="I780" i="44"/>
  <c r="H779" i="44"/>
  <c r="I779" i="44"/>
  <c r="H778" i="44"/>
  <c r="I778" i="44"/>
  <c r="H777" i="44"/>
  <c r="I777" i="44"/>
  <c r="H776" i="44"/>
  <c r="I776" i="44"/>
  <c r="H775" i="44"/>
  <c r="I775" i="44"/>
  <c r="H774" i="44"/>
  <c r="I774" i="44"/>
  <c r="H773" i="44"/>
  <c r="I773" i="44"/>
  <c r="H772" i="44"/>
  <c r="I772" i="44"/>
  <c r="H771" i="44"/>
  <c r="I771" i="44"/>
  <c r="H770" i="44"/>
  <c r="I770" i="44"/>
  <c r="H769" i="44"/>
  <c r="I769" i="44"/>
  <c r="H768" i="44"/>
  <c r="I768" i="44"/>
  <c r="H767" i="44"/>
  <c r="I767" i="44"/>
  <c r="H766" i="44"/>
  <c r="I766" i="44"/>
  <c r="H765" i="44"/>
  <c r="I765" i="44"/>
  <c r="H764" i="44"/>
  <c r="I764" i="44"/>
  <c r="H763" i="44"/>
  <c r="I763" i="44"/>
  <c r="H762" i="44"/>
  <c r="I762" i="44"/>
  <c r="H761" i="44"/>
  <c r="I761" i="44"/>
  <c r="H760" i="44"/>
  <c r="I760" i="44"/>
  <c r="H759" i="44"/>
  <c r="I759" i="44"/>
  <c r="H758" i="44"/>
  <c r="I758" i="44"/>
  <c r="H757" i="44"/>
  <c r="I757" i="44"/>
  <c r="H756" i="44"/>
  <c r="I756" i="44"/>
  <c r="H755" i="44"/>
  <c r="I755" i="44"/>
  <c r="H754" i="44"/>
  <c r="I754" i="44"/>
  <c r="H753" i="44"/>
  <c r="I753" i="44"/>
  <c r="H752" i="44"/>
  <c r="I752" i="44"/>
  <c r="H751" i="44"/>
  <c r="I751" i="44"/>
  <c r="H750" i="44"/>
  <c r="I750" i="44"/>
  <c r="H749" i="44"/>
  <c r="I749" i="44"/>
  <c r="H748" i="44"/>
  <c r="I748" i="44"/>
  <c r="H747" i="44"/>
  <c r="I747" i="44"/>
  <c r="H746" i="44"/>
  <c r="I746" i="44"/>
  <c r="H745" i="44"/>
  <c r="I745" i="44"/>
  <c r="H744" i="44"/>
  <c r="I744" i="44"/>
  <c r="H743" i="44"/>
  <c r="I743" i="44"/>
  <c r="H742" i="44"/>
  <c r="I742" i="44"/>
  <c r="H741" i="44"/>
  <c r="I741" i="44"/>
  <c r="H740" i="44"/>
  <c r="I740" i="44"/>
  <c r="H739" i="44"/>
  <c r="I739" i="44"/>
  <c r="H738" i="44"/>
  <c r="I738" i="44"/>
  <c r="H737" i="44"/>
  <c r="I737" i="44"/>
  <c r="H736" i="44"/>
  <c r="I736" i="44"/>
  <c r="H735" i="44"/>
  <c r="I735" i="44"/>
  <c r="H734" i="44"/>
  <c r="I734" i="44"/>
  <c r="H733" i="44"/>
  <c r="I733" i="44"/>
  <c r="H732" i="44"/>
  <c r="I732" i="44"/>
  <c r="H731" i="44"/>
  <c r="I731" i="44"/>
  <c r="H730" i="44"/>
  <c r="I730" i="44"/>
  <c r="H729" i="44"/>
  <c r="I729" i="44"/>
  <c r="H728" i="44"/>
  <c r="I728" i="44"/>
  <c r="H727" i="44"/>
  <c r="I727" i="44"/>
  <c r="H726" i="44"/>
  <c r="I726" i="44"/>
  <c r="H725" i="44"/>
  <c r="I725" i="44"/>
  <c r="H724" i="44"/>
  <c r="I724" i="44"/>
  <c r="H723" i="44"/>
  <c r="I723" i="44"/>
  <c r="H722" i="44"/>
  <c r="I722" i="44"/>
  <c r="H721" i="44"/>
  <c r="I721" i="44"/>
  <c r="H720" i="44"/>
  <c r="I720" i="44"/>
  <c r="H719" i="44"/>
  <c r="I719" i="44"/>
  <c r="H718" i="44"/>
  <c r="I718" i="44"/>
  <c r="H717" i="44"/>
  <c r="I717" i="44"/>
  <c r="H716" i="44"/>
  <c r="I716" i="44"/>
  <c r="H715" i="44"/>
  <c r="I715" i="44"/>
  <c r="H714" i="44"/>
  <c r="I714" i="44"/>
  <c r="H713" i="44"/>
  <c r="I713" i="44"/>
  <c r="H712" i="44"/>
  <c r="I712" i="44"/>
  <c r="H711" i="44"/>
  <c r="I711" i="44"/>
  <c r="H710" i="44"/>
  <c r="I710" i="44"/>
  <c r="H709" i="44"/>
  <c r="I709" i="44"/>
  <c r="H708" i="44"/>
  <c r="I708" i="44"/>
  <c r="H707" i="44"/>
  <c r="I707" i="44"/>
  <c r="H706" i="44"/>
  <c r="I706" i="44"/>
  <c r="H705" i="44"/>
  <c r="I705" i="44"/>
  <c r="H704" i="44"/>
  <c r="I704" i="44"/>
  <c r="H703" i="44"/>
  <c r="I703" i="44"/>
  <c r="H702" i="44"/>
  <c r="I702" i="44"/>
  <c r="H701" i="44"/>
  <c r="I701" i="44"/>
  <c r="H700" i="44"/>
  <c r="I700" i="44"/>
  <c r="H699" i="44"/>
  <c r="I699" i="44"/>
  <c r="H698" i="44"/>
  <c r="I698" i="44"/>
  <c r="H697" i="44"/>
  <c r="I697" i="44"/>
  <c r="H696" i="44"/>
  <c r="I696" i="44"/>
  <c r="H695" i="44"/>
  <c r="I695" i="44"/>
  <c r="H694" i="44"/>
  <c r="I694" i="44"/>
  <c r="H693" i="44"/>
  <c r="I693" i="44"/>
  <c r="H692" i="44"/>
  <c r="I692" i="44"/>
  <c r="H691" i="44"/>
  <c r="I691" i="44"/>
  <c r="H690" i="44"/>
  <c r="I690" i="44"/>
  <c r="H689" i="44"/>
  <c r="I689" i="44"/>
  <c r="H688" i="44"/>
  <c r="I688" i="44"/>
  <c r="H687" i="44"/>
  <c r="I687" i="44"/>
  <c r="H686" i="44"/>
  <c r="I686" i="44"/>
  <c r="H685" i="44"/>
  <c r="I685" i="44"/>
  <c r="H684" i="44"/>
  <c r="I684" i="44"/>
  <c r="H683" i="44"/>
  <c r="I683" i="44"/>
  <c r="H682" i="44"/>
  <c r="I682" i="44"/>
  <c r="H681" i="44"/>
  <c r="I681" i="44"/>
  <c r="H680" i="44"/>
  <c r="I680" i="44"/>
  <c r="H679" i="44"/>
  <c r="I679" i="44"/>
  <c r="H678" i="44"/>
  <c r="I678" i="44"/>
  <c r="H677" i="44"/>
  <c r="I677" i="44"/>
  <c r="H676" i="44"/>
  <c r="I676" i="44"/>
  <c r="H675" i="44"/>
  <c r="I675" i="44"/>
  <c r="H674" i="44"/>
  <c r="I674" i="44"/>
  <c r="H673" i="44"/>
  <c r="I673" i="44"/>
  <c r="H672" i="44"/>
  <c r="I672" i="44"/>
  <c r="H671" i="44"/>
  <c r="I671" i="44"/>
  <c r="H670" i="44"/>
  <c r="I670" i="44"/>
  <c r="H669" i="44"/>
  <c r="I669" i="44"/>
  <c r="H668" i="44"/>
  <c r="I668" i="44"/>
  <c r="H667" i="44"/>
  <c r="I667" i="44"/>
  <c r="H666" i="44"/>
  <c r="I666" i="44"/>
  <c r="H665" i="44"/>
  <c r="I665" i="44"/>
  <c r="H664" i="44"/>
  <c r="I664" i="44"/>
  <c r="H663" i="44"/>
  <c r="I663" i="44"/>
  <c r="H662" i="44"/>
  <c r="I662" i="44"/>
  <c r="H661" i="44"/>
  <c r="I661" i="44"/>
  <c r="H660" i="44"/>
  <c r="I660" i="44"/>
  <c r="H659" i="44"/>
  <c r="I659" i="44"/>
  <c r="H658" i="44"/>
  <c r="I658" i="44"/>
  <c r="H657" i="44"/>
  <c r="I657" i="44"/>
  <c r="H656" i="44"/>
  <c r="I656" i="44"/>
  <c r="H655" i="44"/>
  <c r="I655" i="44"/>
  <c r="H654" i="44"/>
  <c r="I654" i="44"/>
  <c r="H653" i="44"/>
  <c r="I653" i="44"/>
  <c r="H652" i="44"/>
  <c r="I652" i="44"/>
  <c r="H651" i="44"/>
  <c r="I651" i="44"/>
  <c r="H650" i="44"/>
  <c r="I650" i="44"/>
  <c r="H649" i="44"/>
  <c r="I649" i="44"/>
  <c r="H648" i="44"/>
  <c r="I648" i="44"/>
  <c r="H647" i="44"/>
  <c r="I647" i="44"/>
  <c r="H646" i="44"/>
  <c r="I646" i="44"/>
  <c r="H645" i="44"/>
  <c r="I645" i="44"/>
  <c r="H644" i="44"/>
  <c r="I644" i="44"/>
  <c r="H643" i="44"/>
  <c r="I643" i="44"/>
  <c r="H642" i="44"/>
  <c r="I642" i="44"/>
  <c r="H641" i="44"/>
  <c r="I641" i="44"/>
  <c r="H640" i="44"/>
  <c r="I640" i="44"/>
  <c r="H639" i="44"/>
  <c r="I639" i="44"/>
  <c r="H638" i="44"/>
  <c r="I638" i="44"/>
  <c r="H637" i="44"/>
  <c r="I637" i="44"/>
  <c r="H636" i="44"/>
  <c r="I636" i="44"/>
  <c r="H635" i="44"/>
  <c r="I635" i="44"/>
  <c r="H634" i="44"/>
  <c r="I634" i="44"/>
  <c r="H633" i="44"/>
  <c r="I633" i="44"/>
  <c r="H632" i="44"/>
  <c r="I632" i="44"/>
  <c r="H631" i="44"/>
  <c r="I631" i="44"/>
  <c r="H630" i="44"/>
  <c r="I630" i="44"/>
  <c r="H629" i="44"/>
  <c r="I629" i="44"/>
  <c r="H628" i="44"/>
  <c r="I628" i="44"/>
  <c r="H627" i="44"/>
  <c r="I627" i="44"/>
  <c r="H626" i="44"/>
  <c r="I626" i="44"/>
  <c r="H625" i="44"/>
  <c r="I625" i="44"/>
  <c r="H624" i="44"/>
  <c r="I624" i="44"/>
  <c r="H623" i="44"/>
  <c r="I623" i="44"/>
  <c r="H622" i="44"/>
  <c r="I622" i="44"/>
  <c r="H621" i="44"/>
  <c r="I621" i="44"/>
  <c r="H620" i="44"/>
  <c r="I620" i="44"/>
  <c r="H619" i="44"/>
  <c r="I619" i="44"/>
  <c r="H618" i="44"/>
  <c r="I618" i="44"/>
  <c r="H617" i="44"/>
  <c r="I617" i="44"/>
  <c r="H616" i="44"/>
  <c r="I616" i="44"/>
  <c r="H615" i="44"/>
  <c r="I615" i="44"/>
  <c r="H614" i="44"/>
  <c r="I614" i="44"/>
  <c r="H613" i="44"/>
  <c r="I613" i="44"/>
  <c r="H612" i="44"/>
  <c r="I612" i="44"/>
  <c r="H611" i="44"/>
  <c r="I611" i="44"/>
  <c r="H610" i="44"/>
  <c r="I610" i="44"/>
  <c r="H609" i="44"/>
  <c r="I609" i="44"/>
  <c r="H608" i="44"/>
  <c r="I608" i="44"/>
  <c r="H607" i="44"/>
  <c r="I607" i="44"/>
  <c r="H606" i="44"/>
  <c r="I606" i="44"/>
  <c r="H605" i="44"/>
  <c r="I605" i="44"/>
  <c r="H604" i="44"/>
  <c r="I604" i="44"/>
  <c r="H603" i="44"/>
  <c r="I603" i="44"/>
  <c r="H602" i="44"/>
  <c r="I602" i="44"/>
  <c r="H601" i="44"/>
  <c r="I601" i="44"/>
  <c r="H600" i="44"/>
  <c r="I600" i="44"/>
  <c r="H599" i="44"/>
  <c r="I599" i="44"/>
  <c r="H598" i="44"/>
  <c r="I598" i="44"/>
  <c r="H597" i="44"/>
  <c r="I597" i="44"/>
  <c r="H596" i="44"/>
  <c r="I596" i="44"/>
  <c r="H595" i="44"/>
  <c r="I595" i="44"/>
  <c r="H594" i="44"/>
  <c r="I594" i="44"/>
  <c r="H593" i="44"/>
  <c r="I593" i="44"/>
  <c r="H592" i="44"/>
  <c r="I592" i="44"/>
  <c r="H591" i="44"/>
  <c r="I591" i="44"/>
  <c r="H590" i="44"/>
  <c r="I590" i="44"/>
  <c r="H589" i="44"/>
  <c r="I589" i="44"/>
  <c r="H588" i="44"/>
  <c r="I588" i="44"/>
  <c r="H587" i="44"/>
  <c r="I587" i="44"/>
  <c r="H586" i="44"/>
  <c r="I586" i="44"/>
  <c r="H585" i="44"/>
  <c r="I585" i="44"/>
  <c r="H584" i="44"/>
  <c r="I584" i="44"/>
  <c r="H583" i="44"/>
  <c r="I583" i="44"/>
  <c r="H582" i="44"/>
  <c r="I582" i="44"/>
  <c r="H581" i="44"/>
  <c r="I581" i="44"/>
  <c r="H580" i="44"/>
  <c r="I580" i="44"/>
  <c r="H579" i="44"/>
  <c r="I579" i="44"/>
  <c r="H578" i="44"/>
  <c r="I578" i="44"/>
  <c r="H577" i="44"/>
  <c r="I577" i="44"/>
  <c r="H576" i="44"/>
  <c r="I576" i="44"/>
  <c r="H575" i="44"/>
  <c r="I575" i="44"/>
  <c r="H574" i="44"/>
  <c r="I574" i="44"/>
  <c r="H573" i="44"/>
  <c r="I573" i="44"/>
  <c r="H572" i="44"/>
  <c r="I572" i="44"/>
  <c r="H571" i="44"/>
  <c r="I571" i="44"/>
  <c r="H570" i="44"/>
  <c r="I570" i="44"/>
  <c r="H569" i="44"/>
  <c r="I569" i="44"/>
  <c r="H568" i="44"/>
  <c r="I568" i="44"/>
  <c r="H567" i="44"/>
  <c r="I567" i="44"/>
  <c r="H566" i="44"/>
  <c r="I566" i="44"/>
  <c r="H565" i="44"/>
  <c r="I565" i="44"/>
  <c r="H564" i="44"/>
  <c r="I564" i="44"/>
  <c r="H563" i="44"/>
  <c r="I563" i="44"/>
  <c r="H562" i="44"/>
  <c r="I562" i="44"/>
  <c r="H561" i="44"/>
  <c r="I561" i="44"/>
  <c r="H560" i="44"/>
  <c r="I560" i="44"/>
  <c r="H559" i="44"/>
  <c r="I559" i="44"/>
  <c r="H558" i="44"/>
  <c r="I558" i="44"/>
  <c r="H557" i="44"/>
  <c r="I557" i="44"/>
  <c r="H556" i="44"/>
  <c r="I556" i="44"/>
  <c r="H555" i="44"/>
  <c r="I555" i="44"/>
  <c r="H554" i="44"/>
  <c r="I554" i="44"/>
  <c r="H553" i="44"/>
  <c r="I553" i="44"/>
  <c r="H552" i="44"/>
  <c r="I552" i="44"/>
  <c r="H551" i="44"/>
  <c r="I551" i="44"/>
  <c r="H550" i="44"/>
  <c r="I550" i="44"/>
  <c r="H549" i="44"/>
  <c r="I549" i="44"/>
  <c r="H548" i="44"/>
  <c r="I548" i="44"/>
  <c r="H547" i="44"/>
  <c r="I547" i="44"/>
  <c r="H546" i="44"/>
  <c r="I546" i="44"/>
  <c r="H545" i="44"/>
  <c r="I545" i="44"/>
  <c r="H544" i="44"/>
  <c r="I544" i="44"/>
  <c r="H543" i="44"/>
  <c r="I543" i="44"/>
  <c r="H542" i="44"/>
  <c r="I542" i="44"/>
  <c r="H541" i="44"/>
  <c r="I541" i="44"/>
  <c r="H540" i="44"/>
  <c r="I540" i="44"/>
  <c r="H539" i="44"/>
  <c r="I539" i="44"/>
  <c r="H538" i="44"/>
  <c r="I538" i="44"/>
  <c r="H537" i="44"/>
  <c r="I537" i="44"/>
  <c r="H536" i="44"/>
  <c r="I536" i="44"/>
  <c r="H535" i="44"/>
  <c r="I535" i="44"/>
  <c r="H534" i="44"/>
  <c r="I534" i="44"/>
  <c r="H533" i="44"/>
  <c r="I533" i="44"/>
  <c r="H532" i="44"/>
  <c r="I532" i="44"/>
  <c r="H531" i="44"/>
  <c r="I531" i="44"/>
  <c r="H530" i="44"/>
  <c r="I530" i="44"/>
  <c r="H529" i="44"/>
  <c r="I529" i="44"/>
  <c r="H528" i="44"/>
  <c r="I528" i="44"/>
  <c r="H527" i="44"/>
  <c r="I527" i="44"/>
  <c r="H526" i="44"/>
  <c r="I526" i="44"/>
  <c r="H525" i="44"/>
  <c r="I525" i="44"/>
  <c r="H524" i="44"/>
  <c r="I524" i="44"/>
  <c r="H523" i="44"/>
  <c r="I523" i="44"/>
  <c r="H522" i="44"/>
  <c r="I522" i="44"/>
  <c r="H521" i="44"/>
  <c r="I521" i="44"/>
  <c r="H520" i="44"/>
  <c r="I520" i="44"/>
  <c r="H519" i="44"/>
  <c r="I519" i="44"/>
  <c r="H518" i="44"/>
  <c r="I518" i="44"/>
  <c r="H517" i="44"/>
  <c r="I517" i="44"/>
  <c r="H516" i="44"/>
  <c r="I516" i="44"/>
  <c r="H515" i="44"/>
  <c r="I515" i="44"/>
  <c r="H514" i="44"/>
  <c r="I514" i="44"/>
  <c r="H513" i="44"/>
  <c r="I513" i="44"/>
  <c r="H512" i="44"/>
  <c r="I512" i="44"/>
  <c r="H511" i="44"/>
  <c r="I511" i="44"/>
  <c r="H510" i="44"/>
  <c r="I510" i="44"/>
  <c r="H509" i="44"/>
  <c r="I509" i="44"/>
  <c r="H508" i="44"/>
  <c r="I508" i="44"/>
  <c r="H507" i="44"/>
  <c r="I507" i="44"/>
  <c r="H506" i="44"/>
  <c r="I506" i="44"/>
  <c r="H505" i="44"/>
  <c r="I505" i="44"/>
  <c r="H504" i="44"/>
  <c r="I504" i="44"/>
  <c r="H503" i="44"/>
  <c r="I503" i="44"/>
  <c r="H502" i="44"/>
  <c r="I502" i="44"/>
  <c r="H501" i="44"/>
  <c r="I501" i="44"/>
  <c r="H500" i="44"/>
  <c r="I500" i="44"/>
  <c r="H499" i="44"/>
  <c r="I499" i="44"/>
  <c r="H498" i="44"/>
  <c r="I498" i="44"/>
  <c r="H497" i="44"/>
  <c r="I497" i="44"/>
  <c r="H496" i="44"/>
  <c r="I496" i="44"/>
  <c r="H495" i="44"/>
  <c r="I495" i="44"/>
  <c r="H494" i="44"/>
  <c r="I494" i="44"/>
  <c r="H493" i="44"/>
  <c r="I493" i="44"/>
  <c r="H492" i="44"/>
  <c r="I492" i="44"/>
  <c r="H491" i="44"/>
  <c r="I491" i="44"/>
  <c r="H490" i="44"/>
  <c r="I490" i="44"/>
  <c r="H489" i="44"/>
  <c r="I489" i="44"/>
  <c r="H488" i="44"/>
  <c r="I488" i="44"/>
  <c r="H487" i="44"/>
  <c r="I487" i="44"/>
  <c r="H486" i="44"/>
  <c r="I486" i="44"/>
  <c r="H485" i="44"/>
  <c r="I485" i="44"/>
  <c r="H484" i="44"/>
  <c r="I484" i="44"/>
  <c r="H483" i="44"/>
  <c r="I483" i="44"/>
  <c r="H482" i="44"/>
  <c r="I482" i="44"/>
  <c r="H481" i="44"/>
  <c r="I481" i="44"/>
  <c r="H480" i="44"/>
  <c r="I480" i="44"/>
  <c r="H479" i="44"/>
  <c r="I479" i="44"/>
  <c r="H478" i="44"/>
  <c r="I478" i="44"/>
  <c r="H477" i="44"/>
  <c r="I477" i="44"/>
  <c r="H476" i="44"/>
  <c r="I476" i="44"/>
  <c r="H475" i="44"/>
  <c r="I475" i="44"/>
  <c r="H474" i="44"/>
  <c r="I474" i="44"/>
  <c r="H473" i="44"/>
  <c r="I473" i="44"/>
  <c r="H472" i="44"/>
  <c r="I472" i="44"/>
  <c r="H471" i="44"/>
  <c r="I471" i="44"/>
  <c r="H470" i="44"/>
  <c r="I470" i="44"/>
  <c r="H469" i="44"/>
  <c r="I469" i="44"/>
  <c r="H468" i="44"/>
  <c r="I468" i="44"/>
  <c r="H467" i="44"/>
  <c r="I467" i="44"/>
  <c r="H466" i="44"/>
  <c r="I466" i="44"/>
  <c r="H465" i="44"/>
  <c r="I465" i="44"/>
  <c r="H464" i="44"/>
  <c r="I464" i="44"/>
  <c r="H463" i="44"/>
  <c r="I463" i="44"/>
  <c r="H462" i="44"/>
  <c r="I462" i="44"/>
  <c r="H461" i="44"/>
  <c r="I461" i="44"/>
  <c r="H460" i="44"/>
  <c r="I460" i="44"/>
  <c r="H459" i="44"/>
  <c r="I459" i="44"/>
  <c r="H458" i="44"/>
  <c r="I458" i="44"/>
  <c r="H457" i="44"/>
  <c r="I457" i="44"/>
  <c r="H456" i="44"/>
  <c r="I456" i="44"/>
  <c r="H455" i="44"/>
  <c r="I455" i="44"/>
  <c r="H454" i="44"/>
  <c r="I454" i="44"/>
  <c r="H453" i="44"/>
  <c r="I453" i="44"/>
  <c r="H452" i="44"/>
  <c r="I452" i="44"/>
  <c r="H451" i="44"/>
  <c r="I451" i="44"/>
  <c r="H450" i="44"/>
  <c r="I450" i="44"/>
  <c r="H449" i="44"/>
  <c r="I449" i="44"/>
  <c r="H448" i="44"/>
  <c r="I448" i="44"/>
  <c r="H447" i="44"/>
  <c r="I447" i="44"/>
  <c r="H446" i="44"/>
  <c r="I446" i="44"/>
  <c r="H445" i="44"/>
  <c r="I445" i="44"/>
  <c r="H444" i="44"/>
  <c r="I444" i="44"/>
  <c r="H443" i="44"/>
  <c r="I443" i="44"/>
  <c r="H442" i="44"/>
  <c r="I442" i="44"/>
  <c r="H441" i="44"/>
  <c r="I441" i="44"/>
  <c r="H440" i="44"/>
  <c r="I440" i="44"/>
  <c r="H439" i="44"/>
  <c r="I439" i="44"/>
  <c r="H438" i="44"/>
  <c r="I438" i="44"/>
  <c r="H437" i="44"/>
  <c r="I437" i="44"/>
  <c r="H436" i="44"/>
  <c r="I436" i="44"/>
  <c r="H435" i="44"/>
  <c r="I435" i="44"/>
  <c r="H434" i="44"/>
  <c r="I434" i="44"/>
  <c r="H433" i="44"/>
  <c r="I433" i="44"/>
  <c r="H432" i="44"/>
  <c r="I432" i="44"/>
  <c r="H431" i="44"/>
  <c r="I431" i="44"/>
  <c r="H430" i="44"/>
  <c r="I430" i="44"/>
  <c r="H429" i="44"/>
  <c r="I429" i="44"/>
  <c r="H428" i="44"/>
  <c r="I428" i="44"/>
  <c r="H427" i="44"/>
  <c r="I427" i="44"/>
  <c r="H426" i="44"/>
  <c r="I426" i="44"/>
  <c r="H425" i="44"/>
  <c r="I425" i="44"/>
  <c r="H424" i="44"/>
  <c r="I424" i="44"/>
  <c r="H423" i="44"/>
  <c r="I423" i="44"/>
  <c r="H422" i="44"/>
  <c r="I422" i="44"/>
  <c r="H421" i="44"/>
  <c r="I421" i="44"/>
  <c r="H420" i="44"/>
  <c r="I420" i="44"/>
  <c r="H419" i="44"/>
  <c r="I419" i="44"/>
  <c r="H418" i="44"/>
  <c r="I418" i="44"/>
  <c r="H417" i="44"/>
  <c r="I417" i="44"/>
  <c r="H416" i="44"/>
  <c r="I416" i="44"/>
  <c r="H415" i="44"/>
  <c r="I415" i="44"/>
  <c r="H414" i="44"/>
  <c r="I414" i="44"/>
  <c r="H413" i="44"/>
  <c r="I413" i="44"/>
  <c r="H412" i="44"/>
  <c r="I412" i="44"/>
  <c r="H411" i="44"/>
  <c r="I411" i="44"/>
  <c r="H410" i="44"/>
  <c r="I410" i="44"/>
  <c r="H409" i="44"/>
  <c r="I409" i="44"/>
  <c r="H408" i="44"/>
  <c r="I408" i="44"/>
  <c r="H407" i="44"/>
  <c r="I407" i="44"/>
  <c r="H406" i="44"/>
  <c r="I406" i="44"/>
  <c r="H405" i="44"/>
  <c r="I405" i="44"/>
  <c r="H404" i="44"/>
  <c r="I404" i="44"/>
  <c r="H403" i="44"/>
  <c r="I403" i="44"/>
  <c r="H402" i="44"/>
  <c r="I402" i="44"/>
  <c r="H401" i="44"/>
  <c r="I401" i="44"/>
  <c r="H400" i="44"/>
  <c r="I400" i="44"/>
  <c r="H399" i="44"/>
  <c r="I399" i="44"/>
  <c r="H398" i="44"/>
  <c r="I398" i="44"/>
  <c r="H397" i="44"/>
  <c r="I397" i="44"/>
  <c r="H396" i="44"/>
  <c r="I396" i="44"/>
  <c r="H395" i="44"/>
  <c r="I395" i="44"/>
  <c r="H394" i="44"/>
  <c r="I394" i="44"/>
  <c r="H393" i="44"/>
  <c r="I393" i="44"/>
  <c r="H392" i="44"/>
  <c r="I392" i="44"/>
  <c r="H391" i="44"/>
  <c r="I391" i="44"/>
  <c r="H390" i="44"/>
  <c r="I390" i="44"/>
  <c r="H389" i="44"/>
  <c r="I389" i="44"/>
  <c r="H388" i="44"/>
  <c r="I388" i="44"/>
  <c r="H387" i="44"/>
  <c r="I387" i="44"/>
  <c r="H386" i="44"/>
  <c r="I386" i="44"/>
  <c r="H385" i="44"/>
  <c r="I385" i="44"/>
  <c r="H384" i="44"/>
  <c r="I384" i="44"/>
  <c r="H383" i="44"/>
  <c r="I383" i="44"/>
  <c r="H382" i="44"/>
  <c r="I382" i="44"/>
  <c r="H381" i="44"/>
  <c r="I381" i="44"/>
  <c r="H380" i="44"/>
  <c r="I380" i="44"/>
  <c r="H379" i="44"/>
  <c r="I379" i="44"/>
  <c r="H378" i="44"/>
  <c r="I378" i="44"/>
  <c r="H377" i="44"/>
  <c r="I377" i="44"/>
  <c r="H376" i="44"/>
  <c r="I376" i="44"/>
  <c r="H375" i="44"/>
  <c r="I375" i="44"/>
  <c r="H374" i="44"/>
  <c r="I374" i="44"/>
  <c r="H373" i="44"/>
  <c r="I373" i="44"/>
  <c r="H372" i="44"/>
  <c r="I372" i="44"/>
  <c r="H371" i="44"/>
  <c r="I371" i="44"/>
  <c r="H370" i="44"/>
  <c r="I370" i="44"/>
  <c r="H369" i="44"/>
  <c r="I369" i="44"/>
  <c r="H368" i="44"/>
  <c r="I368" i="44"/>
  <c r="H367" i="44"/>
  <c r="I367" i="44"/>
  <c r="H366" i="44"/>
  <c r="I366" i="44"/>
  <c r="H365" i="44"/>
  <c r="I365" i="44"/>
  <c r="H364" i="44"/>
  <c r="I364" i="44"/>
  <c r="H363" i="44"/>
  <c r="I363" i="44"/>
  <c r="H362" i="44"/>
  <c r="I362" i="44"/>
  <c r="H361" i="44"/>
  <c r="I361" i="44"/>
  <c r="H360" i="44"/>
  <c r="I360" i="44"/>
  <c r="H359" i="44"/>
  <c r="I359" i="44"/>
  <c r="H358" i="44"/>
  <c r="I358" i="44"/>
  <c r="H357" i="44"/>
  <c r="I357" i="44"/>
  <c r="H356" i="44"/>
  <c r="I356" i="44"/>
  <c r="H355" i="44"/>
  <c r="I355" i="44"/>
  <c r="H354" i="44"/>
  <c r="I354" i="44"/>
  <c r="H353" i="44"/>
  <c r="I353" i="44"/>
  <c r="H352" i="44"/>
  <c r="I352" i="44"/>
  <c r="H351" i="44"/>
  <c r="I351" i="44"/>
  <c r="H350" i="44"/>
  <c r="I350" i="44"/>
  <c r="H349" i="44"/>
  <c r="I349" i="44"/>
  <c r="H348" i="44"/>
  <c r="I348" i="44"/>
  <c r="H347" i="44"/>
  <c r="I347" i="44"/>
  <c r="H346" i="44"/>
  <c r="I346" i="44"/>
  <c r="H345" i="44"/>
  <c r="I345" i="44"/>
  <c r="H344" i="44"/>
  <c r="I344" i="44"/>
  <c r="H343" i="44"/>
  <c r="I343" i="44"/>
  <c r="H342" i="44"/>
  <c r="I342" i="44"/>
  <c r="H341" i="44"/>
  <c r="I341" i="44"/>
  <c r="H340" i="44"/>
  <c r="I340" i="44"/>
  <c r="H339" i="44"/>
  <c r="I339" i="44"/>
  <c r="H338" i="44"/>
  <c r="I338" i="44"/>
  <c r="H337" i="44"/>
  <c r="I337" i="44"/>
  <c r="H336" i="44"/>
  <c r="I336" i="44"/>
  <c r="H335" i="44"/>
  <c r="I335" i="44"/>
  <c r="H334" i="44"/>
  <c r="I334" i="44"/>
  <c r="H333" i="44"/>
  <c r="I333" i="44"/>
  <c r="H332" i="44"/>
  <c r="I332" i="44"/>
  <c r="H331" i="44"/>
  <c r="I331" i="44"/>
  <c r="H330" i="44"/>
  <c r="I330" i="44"/>
  <c r="H329" i="44"/>
  <c r="I329" i="44"/>
  <c r="H328" i="44"/>
  <c r="I328" i="44"/>
  <c r="H327" i="44"/>
  <c r="I327" i="44"/>
  <c r="H326" i="44"/>
  <c r="I326" i="44"/>
  <c r="H325" i="44"/>
  <c r="I325" i="44"/>
  <c r="H324" i="44"/>
  <c r="I324" i="44"/>
  <c r="H323" i="44"/>
  <c r="I323" i="44"/>
  <c r="H322" i="44"/>
  <c r="I322" i="44"/>
  <c r="H321" i="44"/>
  <c r="I321" i="44"/>
  <c r="H320" i="44"/>
  <c r="I320" i="44"/>
  <c r="H319" i="44"/>
  <c r="I319" i="44"/>
  <c r="H318" i="44"/>
  <c r="I318" i="44"/>
  <c r="H317" i="44"/>
  <c r="I317" i="44"/>
  <c r="H316" i="44"/>
  <c r="I316" i="44"/>
  <c r="H315" i="44"/>
  <c r="I315" i="44"/>
  <c r="H314" i="44"/>
  <c r="I314" i="44"/>
  <c r="H313" i="44"/>
  <c r="I313" i="44"/>
  <c r="H312" i="44"/>
  <c r="I312" i="44"/>
  <c r="H311" i="44"/>
  <c r="I311" i="44"/>
  <c r="H310" i="44"/>
  <c r="I310" i="44"/>
  <c r="H309" i="44"/>
  <c r="I309" i="44"/>
  <c r="H308" i="44"/>
  <c r="I308" i="44"/>
  <c r="H307" i="44"/>
  <c r="I307" i="44"/>
  <c r="H306" i="44"/>
  <c r="I306" i="44"/>
  <c r="H305" i="44"/>
  <c r="I305" i="44"/>
  <c r="H304" i="44"/>
  <c r="I304" i="44"/>
  <c r="H303" i="44"/>
  <c r="I303" i="44"/>
  <c r="H302" i="44"/>
  <c r="I302" i="44"/>
  <c r="H301" i="44"/>
  <c r="I301" i="44"/>
  <c r="H300" i="44"/>
  <c r="I300" i="44"/>
  <c r="H299" i="44"/>
  <c r="I299" i="44"/>
  <c r="H298" i="44"/>
  <c r="I298" i="44"/>
  <c r="H297" i="44"/>
  <c r="I297" i="44"/>
  <c r="H296" i="44"/>
  <c r="I296" i="44"/>
  <c r="H295" i="44"/>
  <c r="I295" i="44"/>
  <c r="H294" i="44"/>
  <c r="I294" i="44"/>
  <c r="H293" i="44"/>
  <c r="I293" i="44"/>
  <c r="H292" i="44"/>
  <c r="I292" i="44"/>
  <c r="H291" i="44"/>
  <c r="I291" i="44"/>
  <c r="H290" i="44"/>
  <c r="I290" i="44"/>
  <c r="H289" i="44"/>
  <c r="I289" i="44"/>
  <c r="H288" i="44"/>
  <c r="I288" i="44"/>
  <c r="H287" i="44"/>
  <c r="I287" i="44"/>
  <c r="H286" i="44"/>
  <c r="I286" i="44"/>
  <c r="H285" i="44"/>
  <c r="I285" i="44"/>
  <c r="H284" i="44"/>
  <c r="I284" i="44"/>
  <c r="H283" i="44"/>
  <c r="I283" i="44"/>
  <c r="H282" i="44"/>
  <c r="I282" i="44"/>
  <c r="H281" i="44"/>
  <c r="I281" i="44"/>
  <c r="H280" i="44"/>
  <c r="I280" i="44"/>
  <c r="H279" i="44"/>
  <c r="I279" i="44"/>
  <c r="H278" i="44"/>
  <c r="I278" i="44"/>
  <c r="H277" i="44"/>
  <c r="I277" i="44"/>
  <c r="H276" i="44"/>
  <c r="I276" i="44"/>
  <c r="H275" i="44"/>
  <c r="I275" i="44"/>
  <c r="H274" i="44"/>
  <c r="I274" i="44"/>
  <c r="H273" i="44"/>
  <c r="I273" i="44"/>
  <c r="H272" i="44"/>
  <c r="I272" i="44"/>
  <c r="H271" i="44"/>
  <c r="I271" i="44"/>
  <c r="H270" i="44"/>
  <c r="I270" i="44"/>
  <c r="H269" i="44"/>
  <c r="I269" i="44"/>
  <c r="H268" i="44"/>
  <c r="I268" i="44"/>
  <c r="H267" i="44"/>
  <c r="I267" i="44"/>
  <c r="H266" i="44"/>
  <c r="I266" i="44"/>
  <c r="H265" i="44"/>
  <c r="I265" i="44"/>
  <c r="H264" i="44"/>
  <c r="I264" i="44"/>
  <c r="H263" i="44"/>
  <c r="I263" i="44"/>
  <c r="H262" i="44"/>
  <c r="I262" i="44"/>
  <c r="H261" i="44"/>
  <c r="I261" i="44"/>
  <c r="H260" i="44"/>
  <c r="I260" i="44"/>
  <c r="H259" i="44"/>
  <c r="I259" i="44"/>
  <c r="H258" i="44"/>
  <c r="I258" i="44"/>
  <c r="H257" i="44"/>
  <c r="I257" i="44"/>
  <c r="H256" i="44"/>
  <c r="I256" i="44"/>
  <c r="H255" i="44"/>
  <c r="I255" i="44"/>
  <c r="H254" i="44"/>
  <c r="I254" i="44"/>
  <c r="H253" i="44"/>
  <c r="I253" i="44"/>
  <c r="H252" i="44"/>
  <c r="I252" i="44"/>
  <c r="H251" i="44"/>
  <c r="I251" i="44"/>
  <c r="H250" i="44"/>
  <c r="I250" i="44"/>
  <c r="H249" i="44"/>
  <c r="I249" i="44"/>
  <c r="H248" i="44"/>
  <c r="I248" i="44"/>
  <c r="H247" i="44"/>
  <c r="I247" i="44"/>
  <c r="H246" i="44"/>
  <c r="I246" i="44"/>
  <c r="H245" i="44"/>
  <c r="I245" i="44"/>
  <c r="H244" i="44"/>
  <c r="I244" i="44"/>
  <c r="H243" i="44"/>
  <c r="I243" i="44"/>
  <c r="H242" i="44"/>
  <c r="I242" i="44"/>
  <c r="H241" i="44"/>
  <c r="I241" i="44"/>
  <c r="H240" i="44"/>
  <c r="I240" i="44"/>
  <c r="H239" i="44"/>
  <c r="I239" i="44"/>
  <c r="H238" i="44"/>
  <c r="I238" i="44"/>
  <c r="H237" i="44"/>
  <c r="I237" i="44"/>
  <c r="H236" i="44"/>
  <c r="I236" i="44"/>
  <c r="H235" i="44"/>
  <c r="I235" i="44"/>
  <c r="H234" i="44"/>
  <c r="I234" i="44"/>
  <c r="H233" i="44"/>
  <c r="I233" i="44"/>
  <c r="H232" i="44"/>
  <c r="I232" i="44"/>
  <c r="H231" i="44"/>
  <c r="I231" i="44"/>
  <c r="H230" i="44"/>
  <c r="I230" i="44"/>
  <c r="H229" i="44"/>
  <c r="I229" i="44"/>
  <c r="H228" i="44"/>
  <c r="I228" i="44"/>
  <c r="H227" i="44"/>
  <c r="I227" i="44"/>
  <c r="H226" i="44"/>
  <c r="I226" i="44"/>
  <c r="H225" i="44"/>
  <c r="I225" i="44"/>
  <c r="H224" i="44"/>
  <c r="I224" i="44"/>
  <c r="H223" i="44"/>
  <c r="I223" i="44"/>
  <c r="H222" i="44"/>
  <c r="I222" i="44"/>
  <c r="H221" i="44"/>
  <c r="I221" i="44"/>
  <c r="H220" i="44"/>
  <c r="I220" i="44"/>
  <c r="H219" i="44"/>
  <c r="I219" i="44"/>
  <c r="H218" i="44"/>
  <c r="I218" i="44"/>
  <c r="H217" i="44"/>
  <c r="I217" i="44"/>
  <c r="H216" i="44"/>
  <c r="I216" i="44"/>
  <c r="H215" i="44"/>
  <c r="I215" i="44"/>
  <c r="H214" i="44"/>
  <c r="I214" i="44"/>
  <c r="H213" i="44"/>
  <c r="I213" i="44"/>
  <c r="H212" i="44"/>
  <c r="I212" i="44"/>
  <c r="H211" i="44"/>
  <c r="I211" i="44"/>
  <c r="H210" i="44"/>
  <c r="I210" i="44"/>
  <c r="H209" i="44"/>
  <c r="I209" i="44"/>
  <c r="H208" i="44"/>
  <c r="I208" i="44"/>
  <c r="H207" i="44"/>
  <c r="I207" i="44"/>
  <c r="H206" i="44"/>
  <c r="I206" i="44"/>
  <c r="H205" i="44"/>
  <c r="I205" i="44"/>
  <c r="H204" i="44"/>
  <c r="I204" i="44"/>
  <c r="H203" i="44"/>
  <c r="I203" i="44"/>
  <c r="H202" i="44"/>
  <c r="I202" i="44"/>
  <c r="H201" i="44"/>
  <c r="I201" i="44"/>
  <c r="H200" i="44"/>
  <c r="I200" i="44"/>
  <c r="H199" i="44"/>
  <c r="I199" i="44"/>
  <c r="H198" i="44"/>
  <c r="I198" i="44"/>
  <c r="H197" i="44"/>
  <c r="I197" i="44"/>
  <c r="H196" i="44"/>
  <c r="I196" i="44"/>
  <c r="H195" i="44"/>
  <c r="I195" i="44"/>
  <c r="H194" i="44"/>
  <c r="I194" i="44"/>
  <c r="H193" i="44"/>
  <c r="I193" i="44"/>
  <c r="H192" i="44"/>
  <c r="I192" i="44"/>
  <c r="H191" i="44"/>
  <c r="I191" i="44"/>
  <c r="H190" i="44"/>
  <c r="I190" i="44"/>
  <c r="H189" i="44"/>
  <c r="I189" i="44"/>
  <c r="H188" i="44"/>
  <c r="I188" i="44"/>
  <c r="H187" i="44"/>
  <c r="I187" i="44"/>
  <c r="H186" i="44"/>
  <c r="I186" i="44"/>
  <c r="H185" i="44"/>
  <c r="I185" i="44"/>
  <c r="H184" i="44"/>
  <c r="I184" i="44"/>
  <c r="H183" i="44"/>
  <c r="I183" i="44"/>
  <c r="H182" i="44"/>
  <c r="I182" i="44"/>
  <c r="H181" i="44"/>
  <c r="I181" i="44"/>
  <c r="H180" i="44"/>
  <c r="I180" i="44"/>
  <c r="H179" i="44"/>
  <c r="I179" i="44"/>
  <c r="H178" i="44"/>
  <c r="I178" i="44"/>
  <c r="H177" i="44"/>
  <c r="I177" i="44"/>
  <c r="H176" i="44"/>
  <c r="I176" i="44"/>
  <c r="H175" i="44"/>
  <c r="I175" i="44"/>
  <c r="H174" i="44"/>
  <c r="I174" i="44"/>
  <c r="H173" i="44"/>
  <c r="I173" i="44"/>
  <c r="H172" i="44"/>
  <c r="I172" i="44"/>
  <c r="H171" i="44"/>
  <c r="I171" i="44"/>
  <c r="H170" i="44"/>
  <c r="I170" i="44"/>
  <c r="H169" i="44"/>
  <c r="I169" i="44"/>
  <c r="H168" i="44"/>
  <c r="I168" i="44"/>
  <c r="H167" i="44"/>
  <c r="I167" i="44"/>
  <c r="H166" i="44"/>
  <c r="I166" i="44"/>
  <c r="H165" i="44"/>
  <c r="I165" i="44"/>
  <c r="H164" i="44"/>
  <c r="I164" i="44"/>
  <c r="H163" i="44"/>
  <c r="I163" i="44"/>
  <c r="H162" i="44"/>
  <c r="I162" i="44"/>
  <c r="H161" i="44"/>
  <c r="I161" i="44"/>
  <c r="H160" i="44"/>
  <c r="I160" i="44"/>
  <c r="H159" i="44"/>
  <c r="I159" i="44"/>
  <c r="H158" i="44"/>
  <c r="I158" i="44"/>
  <c r="H157" i="44"/>
  <c r="I157" i="44"/>
  <c r="H156" i="44"/>
  <c r="I156" i="44"/>
  <c r="H155" i="44"/>
  <c r="I155" i="44"/>
  <c r="H154" i="44"/>
  <c r="I154" i="44"/>
  <c r="H153" i="44"/>
  <c r="I153" i="44"/>
  <c r="H152" i="44"/>
  <c r="I152" i="44"/>
  <c r="H151" i="44"/>
  <c r="I151" i="44"/>
  <c r="H150" i="44"/>
  <c r="I150" i="44"/>
  <c r="H149" i="44"/>
  <c r="I149" i="44"/>
  <c r="H148" i="44"/>
  <c r="I148" i="44"/>
  <c r="H147" i="44"/>
  <c r="I147" i="44"/>
  <c r="H146" i="44"/>
  <c r="I146" i="44"/>
  <c r="H145" i="44"/>
  <c r="I145" i="44"/>
  <c r="H144" i="44"/>
  <c r="I144" i="44"/>
  <c r="H143" i="44"/>
  <c r="I143" i="44"/>
  <c r="H142" i="44"/>
  <c r="I142" i="44"/>
  <c r="H141" i="44"/>
  <c r="I141" i="44"/>
  <c r="H140" i="44"/>
  <c r="I140" i="44"/>
  <c r="H139" i="44"/>
  <c r="I139" i="44"/>
  <c r="H138" i="44"/>
  <c r="I138" i="44"/>
  <c r="H137" i="44"/>
  <c r="I137" i="44"/>
  <c r="H136" i="44"/>
  <c r="I136" i="44"/>
  <c r="H135" i="44"/>
  <c r="I135" i="44"/>
  <c r="H134" i="44"/>
  <c r="I134" i="44"/>
  <c r="H133" i="44"/>
  <c r="I133" i="44"/>
  <c r="H132" i="44"/>
  <c r="I132" i="44"/>
  <c r="H131" i="44"/>
  <c r="I131" i="44"/>
  <c r="H130" i="44"/>
  <c r="I130" i="44"/>
  <c r="H129" i="44"/>
  <c r="I129" i="44"/>
  <c r="H128" i="44"/>
  <c r="I128" i="44"/>
  <c r="H127" i="44"/>
  <c r="I127" i="44"/>
  <c r="H126" i="44"/>
  <c r="I126" i="44"/>
  <c r="H125" i="44"/>
  <c r="I125" i="44"/>
  <c r="H124" i="44"/>
  <c r="I124" i="44"/>
  <c r="H123" i="44"/>
  <c r="I123" i="44"/>
  <c r="H122" i="44"/>
  <c r="I122" i="44"/>
  <c r="H121" i="44"/>
  <c r="I121" i="44"/>
  <c r="H120" i="44"/>
  <c r="I120" i="44"/>
  <c r="H119" i="44"/>
  <c r="I119" i="44"/>
  <c r="H118" i="44"/>
  <c r="I118" i="44"/>
  <c r="H117" i="44"/>
  <c r="I117" i="44"/>
  <c r="H116" i="44"/>
  <c r="I116" i="44"/>
  <c r="H115" i="44"/>
  <c r="I115" i="44"/>
  <c r="H114" i="44"/>
  <c r="I114" i="44"/>
  <c r="H113" i="44"/>
  <c r="I113" i="44"/>
  <c r="H112" i="44"/>
  <c r="I112" i="44"/>
  <c r="H111" i="44"/>
  <c r="I111" i="44"/>
  <c r="H110" i="44"/>
  <c r="I110" i="44"/>
  <c r="H109" i="44"/>
  <c r="I109" i="44"/>
  <c r="H108" i="44"/>
  <c r="I108" i="44"/>
  <c r="H107" i="44"/>
  <c r="I107" i="44"/>
  <c r="H106" i="44"/>
  <c r="I106" i="44"/>
  <c r="H105" i="44"/>
  <c r="I105" i="44"/>
  <c r="H104" i="44"/>
  <c r="I104" i="44"/>
  <c r="H103" i="44"/>
  <c r="I103" i="44"/>
  <c r="H102" i="44"/>
  <c r="I102" i="44"/>
  <c r="H101" i="44"/>
  <c r="I101" i="44"/>
  <c r="H100" i="44"/>
  <c r="I100" i="44"/>
  <c r="H99" i="44"/>
  <c r="I99" i="44"/>
  <c r="H98" i="44"/>
  <c r="I98" i="44"/>
  <c r="H97" i="44"/>
  <c r="I97" i="44"/>
  <c r="H96" i="44"/>
  <c r="I96" i="44"/>
  <c r="H95" i="44"/>
  <c r="I95" i="44"/>
  <c r="H94" i="44"/>
  <c r="I94" i="44"/>
  <c r="H93" i="44"/>
  <c r="I93" i="44"/>
  <c r="H92" i="44"/>
  <c r="I92" i="44"/>
  <c r="H91" i="44"/>
  <c r="I91" i="44"/>
  <c r="H90" i="44"/>
  <c r="I90" i="44"/>
  <c r="H89" i="44"/>
  <c r="I89" i="44"/>
  <c r="H88" i="44"/>
  <c r="I88" i="44"/>
  <c r="H87" i="44"/>
  <c r="I87" i="44"/>
  <c r="H86" i="44"/>
  <c r="I86" i="44"/>
  <c r="H85" i="44"/>
  <c r="I85" i="44"/>
  <c r="H84" i="44"/>
  <c r="I84" i="44"/>
  <c r="H83" i="44"/>
  <c r="I83" i="44"/>
  <c r="H82" i="44"/>
  <c r="I82" i="44"/>
  <c r="H81" i="44"/>
  <c r="I81" i="44"/>
  <c r="H80" i="44"/>
  <c r="I80" i="44"/>
  <c r="H79" i="44"/>
  <c r="I79" i="44"/>
  <c r="H78" i="44"/>
  <c r="I78" i="44"/>
  <c r="H77" i="44"/>
  <c r="I77" i="44"/>
  <c r="H76" i="44"/>
  <c r="I76" i="44"/>
  <c r="H75" i="44"/>
  <c r="I75" i="44"/>
  <c r="H74" i="44"/>
  <c r="I74" i="44"/>
  <c r="H73" i="44"/>
  <c r="I73" i="44"/>
  <c r="H72" i="44"/>
  <c r="I72" i="44"/>
  <c r="H71" i="44"/>
  <c r="I71" i="44"/>
  <c r="H70" i="44"/>
  <c r="I70" i="44"/>
  <c r="H69" i="44"/>
  <c r="I69" i="44"/>
  <c r="H68" i="44"/>
  <c r="I68" i="44"/>
  <c r="H67" i="44"/>
  <c r="I67" i="44"/>
  <c r="H66" i="44"/>
  <c r="I66" i="44"/>
  <c r="H65" i="44"/>
  <c r="I65" i="44"/>
  <c r="H64" i="44"/>
  <c r="I64" i="44"/>
  <c r="H63" i="44"/>
  <c r="I63" i="44"/>
  <c r="H62" i="44"/>
  <c r="I62" i="44"/>
  <c r="H61" i="44"/>
  <c r="I61" i="44"/>
  <c r="H60" i="44"/>
  <c r="I60" i="44"/>
  <c r="H59" i="44"/>
  <c r="I59" i="44"/>
  <c r="H58" i="44"/>
  <c r="I58" i="44"/>
  <c r="H57" i="44"/>
  <c r="I57" i="44"/>
  <c r="H56" i="44"/>
  <c r="I56" i="44"/>
  <c r="H55" i="44"/>
  <c r="I55" i="44"/>
  <c r="H54" i="44"/>
  <c r="I54" i="44"/>
  <c r="H53" i="44"/>
  <c r="I53" i="44"/>
  <c r="H52" i="44"/>
  <c r="I52" i="44"/>
  <c r="H51" i="44"/>
  <c r="I51" i="44"/>
  <c r="H50" i="44"/>
  <c r="I50" i="44"/>
  <c r="H49" i="44"/>
  <c r="I49" i="44"/>
  <c r="H48" i="44"/>
  <c r="I48" i="44"/>
  <c r="H47" i="44"/>
  <c r="I47" i="44"/>
  <c r="H46" i="44"/>
  <c r="I46" i="44"/>
  <c r="H45" i="44"/>
  <c r="I45" i="44"/>
  <c r="H44" i="44"/>
  <c r="I44" i="44"/>
  <c r="H43" i="44"/>
  <c r="I43" i="44"/>
  <c r="H42" i="44"/>
  <c r="I42" i="44"/>
  <c r="H41" i="44"/>
  <c r="I41" i="44"/>
  <c r="H40" i="44"/>
  <c r="I40" i="44"/>
  <c r="H39" i="44"/>
  <c r="I39" i="44"/>
  <c r="H38" i="44"/>
  <c r="I38" i="44"/>
  <c r="H37" i="44"/>
  <c r="I37" i="44"/>
  <c r="H36" i="44"/>
  <c r="I36" i="44"/>
  <c r="H35" i="44"/>
  <c r="I35" i="44"/>
  <c r="H34" i="44"/>
  <c r="I34" i="44"/>
  <c r="H33" i="44"/>
  <c r="I33" i="44"/>
  <c r="H32" i="44"/>
  <c r="I32" i="44"/>
  <c r="H31" i="44"/>
  <c r="I31" i="44"/>
  <c r="H30" i="44"/>
  <c r="I30" i="44"/>
  <c r="H29" i="44"/>
  <c r="I29" i="44"/>
  <c r="H28" i="44"/>
  <c r="I28" i="44"/>
  <c r="H27" i="44"/>
  <c r="I27" i="44"/>
  <c r="H26" i="44"/>
  <c r="I26" i="44"/>
  <c r="H25" i="44"/>
  <c r="I25" i="44"/>
  <c r="H24" i="44"/>
  <c r="I24" i="44"/>
  <c r="H23" i="44"/>
  <c r="I23" i="44"/>
  <c r="H22" i="44"/>
  <c r="I22" i="44"/>
  <c r="H21" i="44"/>
  <c r="I21" i="44"/>
  <c r="H20" i="44"/>
  <c r="I20" i="44"/>
  <c r="H19" i="44"/>
  <c r="I19" i="44"/>
  <c r="H18" i="44"/>
  <c r="I18" i="44"/>
  <c r="H17" i="44"/>
  <c r="I17" i="44"/>
  <c r="H16" i="44"/>
  <c r="I16" i="44"/>
  <c r="H15" i="44"/>
  <c r="I15" i="44"/>
  <c r="H14" i="44"/>
  <c r="I14" i="44"/>
  <c r="H13" i="44"/>
  <c r="I13" i="44"/>
  <c r="C8" i="44"/>
  <c r="A9" i="44"/>
  <c r="C9" i="44"/>
  <c r="A10" i="44"/>
  <c r="C10" i="44"/>
  <c r="A11" i="44"/>
  <c r="C11" i="44"/>
  <c r="A12" i="44"/>
  <c r="C12" i="44"/>
  <c r="C13" i="44"/>
  <c r="C7" i="44"/>
  <c r="E7" i="44"/>
  <c r="E8" i="44"/>
  <c r="E9" i="44"/>
  <c r="E10" i="44"/>
  <c r="E11" i="44"/>
  <c r="E12" i="44"/>
  <c r="E13" i="44"/>
  <c r="E14" i="44"/>
  <c r="C17" i="44"/>
  <c r="R9" i="43"/>
  <c r="R10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Q111" i="43"/>
  <c r="Q112" i="43"/>
  <c r="Q113" i="43"/>
  <c r="Q114" i="43"/>
  <c r="Q115" i="43"/>
  <c r="Q116" i="43"/>
  <c r="Q117" i="43"/>
  <c r="Q118" i="43"/>
  <c r="Q119" i="43"/>
  <c r="Q120" i="43"/>
  <c r="Q121" i="43"/>
  <c r="Q122" i="43"/>
  <c r="Q123" i="43"/>
  <c r="Q124" i="43"/>
  <c r="Q125" i="43"/>
  <c r="Q126" i="43"/>
  <c r="Q127" i="43"/>
  <c r="Q128" i="43"/>
  <c r="Q129" i="43"/>
  <c r="Q130" i="43"/>
  <c r="Q131" i="43"/>
  <c r="Q132" i="43"/>
  <c r="Q133" i="43"/>
  <c r="Q134" i="43"/>
  <c r="Q135" i="43"/>
  <c r="Q136" i="43"/>
  <c r="Q137" i="43"/>
  <c r="Q138" i="43"/>
  <c r="Q139" i="43"/>
  <c r="Q140" i="43"/>
  <c r="Q141" i="43"/>
  <c r="Q142" i="43"/>
  <c r="Q143" i="43"/>
  <c r="Q144" i="43"/>
  <c r="Q145" i="43"/>
  <c r="Q146" i="43"/>
  <c r="Q147" i="43"/>
  <c r="Q148" i="43"/>
  <c r="Q149" i="43"/>
  <c r="Q150" i="43"/>
  <c r="Q151" i="43"/>
  <c r="Q152" i="43"/>
  <c r="Q153" i="43"/>
  <c r="Q154" i="43"/>
  <c r="Q155" i="43"/>
  <c r="Q156" i="43"/>
  <c r="Q157" i="43"/>
  <c r="Q158" i="43"/>
  <c r="Q159" i="43"/>
  <c r="Q160" i="43"/>
  <c r="Q161" i="43"/>
  <c r="Q162" i="43"/>
  <c r="Q163" i="43"/>
  <c r="Q164" i="43"/>
  <c r="Q165" i="43"/>
  <c r="Q166" i="43"/>
  <c r="Q167" i="43"/>
  <c r="Q168" i="43"/>
  <c r="Q169" i="43"/>
  <c r="Q170" i="43"/>
  <c r="Q171" i="43"/>
  <c r="Q172" i="43"/>
  <c r="Q173" i="43"/>
  <c r="Q174" i="43"/>
  <c r="Q175" i="43"/>
  <c r="Q176" i="43"/>
  <c r="Q177" i="43"/>
  <c r="Q178" i="43"/>
  <c r="Q179" i="43"/>
  <c r="Q180" i="43"/>
  <c r="Q181" i="43"/>
  <c r="Q182" i="43"/>
  <c r="Q183" i="43"/>
  <c r="Q184" i="43"/>
  <c r="Q185" i="43"/>
  <c r="Q186" i="43"/>
  <c r="Q187" i="43"/>
  <c r="Q188" i="43"/>
  <c r="Q189" i="43"/>
  <c r="Q190" i="43"/>
  <c r="Q191" i="43"/>
  <c r="Q192" i="43"/>
  <c r="Q193" i="43"/>
  <c r="Q194" i="43"/>
  <c r="Q195" i="43"/>
  <c r="Q196" i="43"/>
  <c r="Q197" i="43"/>
  <c r="Q198" i="43"/>
  <c r="Q199" i="43"/>
  <c r="Q200" i="43"/>
  <c r="Q201" i="43"/>
  <c r="Q202" i="43"/>
  <c r="Q203" i="43"/>
  <c r="Q204" i="43"/>
  <c r="Q205" i="43"/>
  <c r="Q206" i="43"/>
  <c r="Q207" i="43"/>
  <c r="Q208" i="43"/>
  <c r="Q209" i="43"/>
  <c r="Q210" i="43"/>
  <c r="Q211" i="43"/>
  <c r="Q212" i="43"/>
  <c r="Q213" i="43"/>
  <c r="Q214" i="43"/>
  <c r="Q215" i="43"/>
  <c r="Q216" i="43"/>
  <c r="Q217" i="43"/>
  <c r="Q218" i="43"/>
  <c r="Q219" i="43"/>
  <c r="Q220" i="43"/>
  <c r="Q221" i="43"/>
  <c r="Q222" i="43"/>
  <c r="Q223" i="43"/>
  <c r="Q224" i="43"/>
  <c r="Q225" i="43"/>
  <c r="Q226" i="43"/>
  <c r="Q227" i="43"/>
  <c r="Q228" i="43"/>
  <c r="Q229" i="43"/>
  <c r="Q230" i="43"/>
  <c r="Q231" i="43"/>
  <c r="Q232" i="43"/>
  <c r="Q233" i="43"/>
  <c r="Q234" i="43"/>
  <c r="Q235" i="43"/>
  <c r="Q236" i="43"/>
  <c r="Q237" i="43"/>
  <c r="Q238" i="43"/>
  <c r="Q239" i="43"/>
  <c r="Q240" i="43"/>
  <c r="Q241" i="43"/>
  <c r="Q242" i="43"/>
  <c r="Q243" i="43"/>
  <c r="Q244" i="43"/>
  <c r="Q245" i="43"/>
  <c r="Q246" i="43"/>
  <c r="Q247" i="43"/>
  <c r="Q248" i="43"/>
  <c r="Q249" i="43"/>
  <c r="Q250" i="43"/>
  <c r="Q251" i="43"/>
  <c r="Q252" i="43"/>
  <c r="Q253" i="43"/>
  <c r="Q254" i="43"/>
  <c r="Q255" i="43"/>
  <c r="Q256" i="43"/>
  <c r="Q257" i="43"/>
  <c r="Q258" i="43"/>
  <c r="Q259" i="43"/>
  <c r="Q260" i="43"/>
  <c r="Q261" i="43"/>
  <c r="Q262" i="43"/>
  <c r="Q263" i="43"/>
  <c r="Q264" i="43"/>
  <c r="Q265" i="43"/>
  <c r="Q266" i="43"/>
  <c r="Q267" i="43"/>
  <c r="Q268" i="43"/>
  <c r="Q269" i="43"/>
  <c r="Q270" i="43"/>
  <c r="Q271" i="43"/>
  <c r="Q272" i="43"/>
  <c r="Q273" i="43"/>
  <c r="Q274" i="43"/>
  <c r="Q275" i="43"/>
  <c r="Q276" i="43"/>
  <c r="Q277" i="43"/>
  <c r="Q278" i="43"/>
  <c r="Q279" i="43"/>
  <c r="Q280" i="43"/>
  <c r="Q281" i="43"/>
  <c r="Q282" i="43"/>
  <c r="Q283" i="43"/>
  <c r="Q284" i="43"/>
  <c r="Q285" i="43"/>
  <c r="Q286" i="43"/>
  <c r="Q287" i="43"/>
  <c r="Q288" i="43"/>
  <c r="Q289" i="43"/>
  <c r="Q290" i="43"/>
  <c r="Q291" i="43"/>
  <c r="Q292" i="43"/>
  <c r="Q293" i="43"/>
  <c r="Q294" i="43"/>
  <c r="Q295" i="43"/>
  <c r="Q296" i="43"/>
  <c r="Q297" i="43"/>
  <c r="Q298" i="43"/>
  <c r="Q299" i="43"/>
  <c r="Q300" i="43"/>
  <c r="Q301" i="43"/>
  <c r="Q302" i="43"/>
  <c r="Q303" i="43"/>
  <c r="Q304" i="43"/>
  <c r="Q305" i="43"/>
  <c r="Q306" i="43"/>
  <c r="Q307" i="43"/>
  <c r="Q308" i="43"/>
  <c r="Q309" i="43"/>
  <c r="Q310" i="43"/>
  <c r="Q311" i="43"/>
  <c r="Q312" i="43"/>
  <c r="Q313" i="43"/>
  <c r="Q314" i="43"/>
  <c r="Q315" i="43"/>
  <c r="Q316" i="43"/>
  <c r="Q317" i="43"/>
  <c r="Q318" i="43"/>
  <c r="Q319" i="43"/>
  <c r="Q320" i="43"/>
  <c r="Q321" i="43"/>
  <c r="Q322" i="43"/>
  <c r="Q323" i="43"/>
  <c r="Q324" i="43"/>
  <c r="Q325" i="43"/>
  <c r="Q326" i="43"/>
  <c r="Q327" i="43"/>
  <c r="Q328" i="43"/>
  <c r="Q329" i="43"/>
  <c r="Q330" i="43"/>
  <c r="Q331" i="43"/>
  <c r="Q332" i="43"/>
  <c r="Q333" i="43"/>
  <c r="Q334" i="43"/>
  <c r="Q335" i="43"/>
  <c r="Q336" i="43"/>
  <c r="Q337" i="43"/>
  <c r="Q338" i="43"/>
  <c r="Q339" i="43"/>
  <c r="Q340" i="43"/>
  <c r="Q341" i="43"/>
  <c r="Q342" i="43"/>
  <c r="Q343" i="43"/>
  <c r="Q344" i="43"/>
  <c r="Q345" i="43"/>
  <c r="Q346" i="43"/>
  <c r="Q347" i="43"/>
  <c r="Q348" i="43"/>
  <c r="Q349" i="43"/>
  <c r="Q350" i="43"/>
  <c r="Q351" i="43"/>
  <c r="Q352" i="43"/>
  <c r="Q353" i="43"/>
  <c r="Q354" i="43"/>
  <c r="Q355" i="43"/>
  <c r="Q356" i="43"/>
  <c r="Q357" i="43"/>
  <c r="Q358" i="43"/>
  <c r="Q359" i="43"/>
  <c r="Q360" i="43"/>
  <c r="Q361" i="43"/>
  <c r="Q362" i="43"/>
  <c r="Q363" i="43"/>
  <c r="Q364" i="43"/>
  <c r="Q365" i="43"/>
  <c r="Q366" i="43"/>
  <c r="Q367" i="43"/>
  <c r="Q368" i="43"/>
  <c r="Q369" i="43"/>
  <c r="Q370" i="43"/>
  <c r="Q371" i="43"/>
  <c r="Q372" i="43"/>
  <c r="Q373" i="43"/>
  <c r="Q374" i="43"/>
  <c r="Q375" i="43"/>
  <c r="Q376" i="43"/>
  <c r="Q377" i="43"/>
  <c r="Q378" i="43"/>
  <c r="Q379" i="43"/>
  <c r="Q380" i="43"/>
  <c r="Q381" i="43"/>
  <c r="Q382" i="43"/>
  <c r="Q383" i="43"/>
  <c r="Q384" i="43"/>
  <c r="Q385" i="43"/>
  <c r="Q386" i="43"/>
  <c r="Q387" i="43"/>
  <c r="Q388" i="43"/>
  <c r="Q389" i="43"/>
  <c r="Q390" i="43"/>
  <c r="Q391" i="43"/>
  <c r="Q392" i="43"/>
  <c r="Q393" i="43"/>
  <c r="Q394" i="43"/>
  <c r="Q395" i="43"/>
  <c r="Q396" i="43"/>
  <c r="Q397" i="43"/>
  <c r="Q398" i="43"/>
  <c r="Q399" i="43"/>
  <c r="Q400" i="43"/>
  <c r="Q401" i="43"/>
  <c r="Q402" i="43"/>
  <c r="Q403" i="43"/>
  <c r="Q404" i="43"/>
  <c r="Q405" i="43"/>
  <c r="Q406" i="43"/>
  <c r="Q407" i="43"/>
  <c r="Q408" i="43"/>
  <c r="Q409" i="43"/>
  <c r="Q410" i="43"/>
  <c r="Q411" i="43"/>
  <c r="Q412" i="43"/>
  <c r="Q413" i="43"/>
  <c r="Q414" i="43"/>
  <c r="Q415" i="43"/>
  <c r="Q416" i="43"/>
  <c r="Q417" i="43"/>
  <c r="Q418" i="43"/>
  <c r="Q419" i="43"/>
  <c r="Q420" i="43"/>
  <c r="Q421" i="43"/>
  <c r="Q422" i="43"/>
  <c r="Q423" i="43"/>
  <c r="Q424" i="43"/>
  <c r="Q425" i="43"/>
  <c r="Q426" i="43"/>
  <c r="Q427" i="43"/>
  <c r="Q428" i="43"/>
  <c r="Q429" i="43"/>
  <c r="Q430" i="43"/>
  <c r="Q431" i="43"/>
  <c r="Q432" i="43"/>
  <c r="Q433" i="43"/>
  <c r="Q434" i="43"/>
  <c r="Q435" i="43"/>
  <c r="Q436" i="43"/>
  <c r="Q437" i="43"/>
  <c r="Q438" i="43"/>
  <c r="Q439" i="43"/>
  <c r="Q440" i="43"/>
  <c r="Q441" i="43"/>
  <c r="Q442" i="43"/>
  <c r="Q443" i="43"/>
  <c r="Q444" i="43"/>
  <c r="Q445" i="43"/>
  <c r="Q446" i="43"/>
  <c r="Q447" i="43"/>
  <c r="Q448" i="43"/>
  <c r="Q449" i="43"/>
  <c r="Q450" i="43"/>
  <c r="Q451" i="43"/>
  <c r="Q452" i="43"/>
  <c r="Q453" i="43"/>
  <c r="Q454" i="43"/>
  <c r="Q455" i="43"/>
  <c r="Q456" i="43"/>
  <c r="Q457" i="43"/>
  <c r="Q458" i="43"/>
  <c r="Q459" i="43"/>
  <c r="Q460" i="43"/>
  <c r="Q461" i="43"/>
  <c r="Q462" i="43"/>
  <c r="Q463" i="43"/>
  <c r="Q464" i="43"/>
  <c r="Q465" i="43"/>
  <c r="Q466" i="43"/>
  <c r="Q467" i="43"/>
  <c r="Q468" i="43"/>
  <c r="Q469" i="43"/>
  <c r="Q470" i="43"/>
  <c r="Q471" i="43"/>
  <c r="Q472" i="43"/>
  <c r="Q473" i="43"/>
  <c r="Q474" i="43"/>
  <c r="Q475" i="43"/>
  <c r="Q476" i="43"/>
  <c r="Q477" i="43"/>
  <c r="Q478" i="43"/>
  <c r="Q479" i="43"/>
  <c r="Q480" i="43"/>
  <c r="Q481" i="43"/>
  <c r="Q482" i="43"/>
  <c r="Q483" i="43"/>
  <c r="Q484" i="43"/>
  <c r="Q485" i="43"/>
  <c r="Q486" i="43"/>
  <c r="Q487" i="43"/>
  <c r="Q488" i="43"/>
  <c r="Q489" i="43"/>
  <c r="Q490" i="43"/>
  <c r="Q491" i="43"/>
  <c r="Q492" i="43"/>
  <c r="Q493" i="43"/>
  <c r="Q494" i="43"/>
  <c r="Q495" i="43"/>
  <c r="Q496" i="43"/>
  <c r="Q497" i="43"/>
  <c r="Q498" i="43"/>
  <c r="Q499" i="43"/>
  <c r="Q500" i="43"/>
  <c r="Q501" i="43"/>
  <c r="Q502" i="43"/>
  <c r="Q503" i="43"/>
  <c r="Q504" i="43"/>
  <c r="Q505" i="43"/>
  <c r="Q506" i="43"/>
  <c r="Q507" i="43"/>
  <c r="Q508" i="43"/>
  <c r="Q509" i="43"/>
  <c r="Q510" i="43"/>
  <c r="Q511" i="43"/>
  <c r="Q512" i="43"/>
  <c r="Q513" i="43"/>
  <c r="Q514" i="43"/>
  <c r="Q515" i="43"/>
  <c r="Q516" i="43"/>
  <c r="Q517" i="43"/>
  <c r="Q518" i="43"/>
  <c r="Q519" i="43"/>
  <c r="Q520" i="43"/>
  <c r="Q521" i="43"/>
  <c r="Q522" i="43"/>
  <c r="Q523" i="43"/>
  <c r="Q524" i="43"/>
  <c r="Q525" i="43"/>
  <c r="Q526" i="43"/>
  <c r="Q527" i="43"/>
  <c r="Q528" i="43"/>
  <c r="Q529" i="43"/>
  <c r="Q530" i="43"/>
  <c r="Q531" i="43"/>
  <c r="Q532" i="43"/>
  <c r="Q533" i="43"/>
  <c r="Q534" i="43"/>
  <c r="Q535" i="43"/>
  <c r="Q536" i="43"/>
  <c r="Q537" i="43"/>
  <c r="Q538" i="43"/>
  <c r="Q539" i="43"/>
  <c r="Q540" i="43"/>
  <c r="Q541" i="43"/>
  <c r="Q542" i="43"/>
  <c r="Q543" i="43"/>
  <c r="Q544" i="43"/>
  <c r="Q545" i="43"/>
  <c r="Q546" i="43"/>
  <c r="Q547" i="43"/>
  <c r="Q548" i="43"/>
  <c r="Q549" i="43"/>
  <c r="Q550" i="43"/>
  <c r="Q551" i="43"/>
  <c r="Q552" i="43"/>
  <c r="Q553" i="43"/>
  <c r="Q554" i="43"/>
  <c r="Q555" i="43"/>
  <c r="Q556" i="43"/>
  <c r="Q557" i="43"/>
  <c r="Q558" i="43"/>
  <c r="Q559" i="43"/>
  <c r="Q560" i="43"/>
  <c r="Q561" i="43"/>
  <c r="Q562" i="43"/>
  <c r="Q563" i="43"/>
  <c r="Q564" i="43"/>
  <c r="Q565" i="43"/>
  <c r="Q566" i="43"/>
  <c r="Q567" i="43"/>
  <c r="Q568" i="43"/>
  <c r="Q569" i="43"/>
  <c r="Q570" i="43"/>
  <c r="Q571" i="43"/>
  <c r="Q572" i="43"/>
  <c r="Q573" i="43"/>
  <c r="Q574" i="43"/>
  <c r="Q575" i="43"/>
  <c r="Q576" i="43"/>
  <c r="Q577" i="43"/>
  <c r="Q578" i="43"/>
  <c r="Q579" i="43"/>
  <c r="Q580" i="43"/>
  <c r="Q581" i="43"/>
  <c r="Q582" i="43"/>
  <c r="Q583" i="43"/>
  <c r="Q584" i="43"/>
  <c r="Q585" i="43"/>
  <c r="Q586" i="43"/>
  <c r="Q587" i="43"/>
  <c r="Q588" i="43"/>
  <c r="Q589" i="43"/>
  <c r="Q590" i="43"/>
  <c r="Q591" i="43"/>
  <c r="Q592" i="43"/>
  <c r="Q593" i="43"/>
  <c r="Q594" i="43"/>
  <c r="Q595" i="43"/>
  <c r="Q596" i="43"/>
  <c r="Q597" i="43"/>
  <c r="Q598" i="43"/>
  <c r="Q599" i="43"/>
  <c r="Q600" i="43"/>
  <c r="Q601" i="43"/>
  <c r="Q602" i="43"/>
  <c r="Q603" i="43"/>
  <c r="Q604" i="43"/>
  <c r="Q605" i="43"/>
  <c r="Q606" i="43"/>
  <c r="Q607" i="43"/>
  <c r="Q608" i="43"/>
  <c r="Q609" i="43"/>
  <c r="Q610" i="43"/>
  <c r="Q611" i="43"/>
  <c r="Q612" i="43"/>
  <c r="Q613" i="43"/>
  <c r="Q614" i="43"/>
  <c r="Q615" i="43"/>
  <c r="Q616" i="43"/>
  <c r="Q617" i="43"/>
  <c r="Q618" i="43"/>
  <c r="Q619" i="43"/>
  <c r="Q620" i="43"/>
  <c r="Q621" i="43"/>
  <c r="Q622" i="43"/>
  <c r="Q623" i="43"/>
  <c r="Q624" i="43"/>
  <c r="Q625" i="43"/>
  <c r="Q626" i="43"/>
  <c r="Q627" i="43"/>
  <c r="Q628" i="43"/>
  <c r="Q629" i="43"/>
  <c r="Q630" i="43"/>
  <c r="Q631" i="43"/>
  <c r="Q632" i="43"/>
  <c r="Q633" i="43"/>
  <c r="Q634" i="43"/>
  <c r="Q635" i="43"/>
  <c r="Q636" i="43"/>
  <c r="Q637" i="43"/>
  <c r="Q638" i="43"/>
  <c r="Q639" i="43"/>
  <c r="Q640" i="43"/>
  <c r="Q641" i="43"/>
  <c r="Q642" i="43"/>
  <c r="Q643" i="43"/>
  <c r="Q644" i="43"/>
  <c r="Q645" i="43"/>
  <c r="Q646" i="43"/>
  <c r="Q647" i="43"/>
  <c r="Q648" i="43"/>
  <c r="Q649" i="43"/>
  <c r="Q650" i="43"/>
  <c r="Q651" i="43"/>
  <c r="Q652" i="43"/>
  <c r="Q653" i="43"/>
  <c r="Q654" i="43"/>
  <c r="Q655" i="43"/>
  <c r="Q656" i="43"/>
  <c r="Q657" i="43"/>
  <c r="Q658" i="43"/>
  <c r="Q659" i="43"/>
  <c r="Q660" i="43"/>
  <c r="Q661" i="43"/>
  <c r="Q662" i="43"/>
  <c r="Q663" i="43"/>
  <c r="Q664" i="43"/>
  <c r="Q665" i="43"/>
  <c r="Q666" i="43"/>
  <c r="Q667" i="43"/>
  <c r="Q668" i="43"/>
  <c r="Q669" i="43"/>
  <c r="Q670" i="43"/>
  <c r="Q671" i="43"/>
  <c r="Q672" i="43"/>
  <c r="Q673" i="43"/>
  <c r="Q674" i="43"/>
  <c r="Q675" i="43"/>
  <c r="Q676" i="43"/>
  <c r="Q677" i="43"/>
  <c r="Q678" i="43"/>
  <c r="Q679" i="43"/>
  <c r="Q680" i="43"/>
  <c r="Q681" i="43"/>
  <c r="Q682" i="43"/>
  <c r="Q683" i="43"/>
  <c r="Q684" i="43"/>
  <c r="Q685" i="43"/>
  <c r="Q686" i="43"/>
  <c r="Q687" i="43"/>
  <c r="Q688" i="43"/>
  <c r="Q689" i="43"/>
  <c r="Q690" i="43"/>
  <c r="Q691" i="43"/>
  <c r="Q692" i="43"/>
  <c r="Q693" i="43"/>
  <c r="Q694" i="43"/>
  <c r="Q695" i="43"/>
  <c r="Q696" i="43"/>
  <c r="Q697" i="43"/>
  <c r="Q698" i="43"/>
  <c r="Q699" i="43"/>
  <c r="Q700" i="43"/>
  <c r="Q701" i="43"/>
  <c r="Q702" i="43"/>
  <c r="Q703" i="43"/>
  <c r="Q704" i="43"/>
  <c r="Q705" i="43"/>
  <c r="Q706" i="43"/>
  <c r="Q707" i="43"/>
  <c r="Q708" i="43"/>
  <c r="Q709" i="43"/>
  <c r="Q710" i="43"/>
  <c r="Q711" i="43"/>
  <c r="Q712" i="43"/>
  <c r="Q713" i="43"/>
  <c r="Q714" i="43"/>
  <c r="Q715" i="43"/>
  <c r="Q716" i="43"/>
  <c r="Q717" i="43"/>
  <c r="Q718" i="43"/>
  <c r="Q719" i="43"/>
  <c r="Q720" i="43"/>
  <c r="Q721" i="43"/>
  <c r="Q722" i="43"/>
  <c r="Q723" i="43"/>
  <c r="Q724" i="43"/>
  <c r="Q725" i="43"/>
  <c r="Q726" i="43"/>
  <c r="Q727" i="43"/>
  <c r="Q728" i="43"/>
  <c r="Q729" i="43"/>
  <c r="Q730" i="43"/>
  <c r="Q731" i="43"/>
  <c r="Q732" i="43"/>
  <c r="Q733" i="43"/>
  <c r="Q734" i="43"/>
  <c r="Q735" i="43"/>
  <c r="Q736" i="43"/>
  <c r="Q737" i="43"/>
  <c r="Q738" i="43"/>
  <c r="Q739" i="43"/>
  <c r="Q740" i="43"/>
  <c r="Q741" i="43"/>
  <c r="Q742" i="43"/>
  <c r="Q743" i="43"/>
  <c r="Q744" i="43"/>
  <c r="Q745" i="43"/>
  <c r="Q746" i="43"/>
  <c r="Q747" i="43"/>
  <c r="Q748" i="43"/>
  <c r="Q749" i="43"/>
  <c r="Q750" i="43"/>
  <c r="Q751" i="43"/>
  <c r="Q752" i="43"/>
  <c r="Q753" i="43"/>
  <c r="Q754" i="43"/>
  <c r="Q755" i="43"/>
  <c r="Q756" i="43"/>
  <c r="Q757" i="43"/>
  <c r="Q758" i="43"/>
  <c r="Q759" i="43"/>
  <c r="Q760" i="43"/>
  <c r="Q761" i="43"/>
  <c r="Q762" i="43"/>
  <c r="Q763" i="43"/>
  <c r="Q764" i="43"/>
  <c r="Q765" i="43"/>
  <c r="Q766" i="43"/>
  <c r="Q767" i="43"/>
  <c r="Q768" i="43"/>
  <c r="Q769" i="43"/>
  <c r="Q770" i="43"/>
  <c r="Q771" i="43"/>
  <c r="Q772" i="43"/>
  <c r="Q773" i="43"/>
  <c r="Q774" i="43"/>
  <c r="Q775" i="43"/>
  <c r="Q776" i="43"/>
  <c r="Q777" i="43"/>
  <c r="Q778" i="43"/>
  <c r="Q779" i="43"/>
  <c r="Q780" i="43"/>
  <c r="Q781" i="43"/>
  <c r="Q782" i="43"/>
  <c r="Q783" i="43"/>
  <c r="Q784" i="43"/>
  <c r="Q785" i="43"/>
  <c r="Q786" i="43"/>
  <c r="Q787" i="43"/>
  <c r="Q788" i="43"/>
  <c r="Q789" i="43"/>
  <c r="Q790" i="43"/>
  <c r="Q791" i="43"/>
  <c r="Q792" i="43"/>
  <c r="Q793" i="43"/>
  <c r="Q794" i="43"/>
  <c r="Q795" i="43"/>
  <c r="Q796" i="43"/>
  <c r="Q797" i="43"/>
  <c r="Q798" i="43"/>
  <c r="Q799" i="43"/>
  <c r="Q800" i="43"/>
  <c r="Q801" i="43"/>
  <c r="Q802" i="43"/>
  <c r="Q803" i="43"/>
  <c r="Q804" i="43"/>
  <c r="Q805" i="43"/>
  <c r="Q806" i="43"/>
  <c r="Q807" i="43"/>
  <c r="Q808" i="43"/>
  <c r="Q809" i="43"/>
  <c r="Q810" i="43"/>
  <c r="Q811" i="43"/>
  <c r="Q812" i="43"/>
  <c r="Q813" i="43"/>
  <c r="Q814" i="43"/>
  <c r="Q815" i="43"/>
  <c r="Q816" i="43"/>
  <c r="Q817" i="43"/>
  <c r="Q818" i="43"/>
  <c r="Q819" i="43"/>
  <c r="Q820" i="43"/>
  <c r="Q821" i="43"/>
  <c r="Q822" i="43"/>
  <c r="Q823" i="43"/>
  <c r="Q824" i="43"/>
  <c r="Q825" i="43"/>
  <c r="Q826" i="43"/>
  <c r="Q827" i="43"/>
  <c r="Q828" i="43"/>
  <c r="Q829" i="43"/>
  <c r="Q830" i="43"/>
  <c r="Q831" i="43"/>
  <c r="Q832" i="43"/>
  <c r="Q833" i="43"/>
  <c r="Q834" i="43"/>
  <c r="Q835" i="43"/>
  <c r="Q836" i="43"/>
  <c r="Q837" i="43"/>
  <c r="Q838" i="43"/>
  <c r="Q839" i="43"/>
  <c r="Q840" i="43"/>
  <c r="Q841" i="43"/>
  <c r="Q842" i="43"/>
  <c r="Q843" i="43"/>
  <c r="Q844" i="43"/>
  <c r="Q845" i="43"/>
  <c r="Q846" i="43"/>
  <c r="Q847" i="43"/>
  <c r="Q848" i="43"/>
  <c r="Q849" i="43"/>
  <c r="R849" i="43"/>
  <c r="Q850" i="43"/>
  <c r="R850" i="43"/>
  <c r="Q851" i="43"/>
  <c r="R851" i="43"/>
  <c r="R14" i="43"/>
  <c r="R15" i="43"/>
  <c r="R16" i="43"/>
  <c r="R17" i="43"/>
  <c r="R18" i="43"/>
  <c r="R19" i="43"/>
  <c r="R20" i="43"/>
  <c r="R21" i="43"/>
  <c r="R22" i="43"/>
  <c r="R23" i="43"/>
  <c r="R24" i="43"/>
  <c r="R25" i="43"/>
  <c r="R26" i="43"/>
  <c r="R27" i="43"/>
  <c r="R28" i="43"/>
  <c r="R29" i="43"/>
  <c r="R30" i="43"/>
  <c r="R31" i="43"/>
  <c r="R32" i="43"/>
  <c r="R33" i="43"/>
  <c r="R34" i="43"/>
  <c r="R35" i="43"/>
  <c r="R36" i="43"/>
  <c r="R37" i="43"/>
  <c r="R38" i="43"/>
  <c r="R39" i="43"/>
  <c r="R40" i="43"/>
  <c r="R41" i="43"/>
  <c r="R42" i="43"/>
  <c r="R43" i="43"/>
  <c r="R44" i="43"/>
  <c r="R45" i="43"/>
  <c r="R46" i="43"/>
  <c r="R47" i="43"/>
  <c r="R48" i="43"/>
  <c r="R49" i="43"/>
  <c r="R50" i="43"/>
  <c r="R51" i="43"/>
  <c r="R52" i="43"/>
  <c r="R53" i="43"/>
  <c r="R54" i="43"/>
  <c r="R55" i="43"/>
  <c r="R56" i="43"/>
  <c r="R57" i="43"/>
  <c r="R58" i="43"/>
  <c r="R59" i="43"/>
  <c r="R60" i="43"/>
  <c r="R61" i="43"/>
  <c r="R62" i="43"/>
  <c r="R63" i="43"/>
  <c r="R64" i="43"/>
  <c r="R65" i="43"/>
  <c r="R66" i="43"/>
  <c r="R67" i="43"/>
  <c r="R68" i="43"/>
  <c r="R69" i="43"/>
  <c r="R70" i="43"/>
  <c r="R71" i="43"/>
  <c r="R72" i="43"/>
  <c r="R73" i="43"/>
  <c r="R74" i="43"/>
  <c r="R75" i="43"/>
  <c r="R76" i="43"/>
  <c r="R77" i="43"/>
  <c r="R78" i="43"/>
  <c r="R79" i="43"/>
  <c r="R80" i="43"/>
  <c r="R81" i="43"/>
  <c r="R82" i="43"/>
  <c r="R83" i="43"/>
  <c r="R84" i="43"/>
  <c r="R85" i="43"/>
  <c r="R86" i="43"/>
  <c r="R87" i="43"/>
  <c r="R88" i="43"/>
  <c r="R89" i="43"/>
  <c r="R90" i="43"/>
  <c r="R91" i="43"/>
  <c r="R92" i="43"/>
  <c r="R93" i="43"/>
  <c r="R94" i="43"/>
  <c r="R95" i="43"/>
  <c r="R96" i="43"/>
  <c r="R97" i="43"/>
  <c r="R98" i="43"/>
  <c r="R99" i="43"/>
  <c r="R100" i="43"/>
  <c r="R101" i="43"/>
  <c r="R102" i="43"/>
  <c r="R103" i="43"/>
  <c r="R104" i="43"/>
  <c r="R105" i="43"/>
  <c r="R106" i="43"/>
  <c r="R107" i="43"/>
  <c r="R108" i="43"/>
  <c r="R109" i="43"/>
  <c r="R110" i="43"/>
  <c r="R111" i="43"/>
  <c r="R112" i="43"/>
  <c r="R113" i="43"/>
  <c r="R114" i="43"/>
  <c r="R115" i="43"/>
  <c r="R116" i="43"/>
  <c r="R117" i="43"/>
  <c r="R118" i="43"/>
  <c r="R119" i="43"/>
  <c r="R120" i="43"/>
  <c r="R121" i="43"/>
  <c r="R122" i="43"/>
  <c r="R123" i="43"/>
  <c r="R124" i="43"/>
  <c r="R125" i="43"/>
  <c r="R126" i="43"/>
  <c r="R127" i="43"/>
  <c r="R128" i="43"/>
  <c r="R129" i="43"/>
  <c r="R130" i="43"/>
  <c r="R131" i="43"/>
  <c r="R132" i="43"/>
  <c r="R133" i="43"/>
  <c r="R134" i="43"/>
  <c r="R135" i="43"/>
  <c r="R136" i="43"/>
  <c r="R137" i="43"/>
  <c r="R138" i="43"/>
  <c r="R139" i="43"/>
  <c r="R140" i="43"/>
  <c r="R141" i="43"/>
  <c r="R142" i="43"/>
  <c r="R143" i="43"/>
  <c r="R144" i="43"/>
  <c r="R145" i="43"/>
  <c r="R146" i="43"/>
  <c r="R147" i="43"/>
  <c r="R148" i="43"/>
  <c r="R149" i="43"/>
  <c r="R150" i="43"/>
  <c r="R151" i="43"/>
  <c r="R152" i="43"/>
  <c r="R153" i="43"/>
  <c r="R154" i="43"/>
  <c r="R155" i="43"/>
  <c r="R156" i="43"/>
  <c r="R157" i="43"/>
  <c r="R158" i="43"/>
  <c r="R159" i="43"/>
  <c r="R160" i="43"/>
  <c r="R161" i="43"/>
  <c r="R162" i="43"/>
  <c r="R163" i="43"/>
  <c r="R164" i="43"/>
  <c r="R165" i="43"/>
  <c r="R166" i="43"/>
  <c r="R167" i="43"/>
  <c r="R168" i="43"/>
  <c r="R169" i="43"/>
  <c r="R170" i="43"/>
  <c r="R171" i="43"/>
  <c r="R172" i="43"/>
  <c r="R173" i="43"/>
  <c r="R174" i="43"/>
  <c r="R175" i="43"/>
  <c r="R176" i="43"/>
  <c r="R177" i="43"/>
  <c r="R178" i="43"/>
  <c r="R179" i="43"/>
  <c r="R180" i="43"/>
  <c r="R181" i="43"/>
  <c r="R182" i="43"/>
  <c r="R183" i="43"/>
  <c r="R184" i="43"/>
  <c r="R185" i="43"/>
  <c r="R186" i="43"/>
  <c r="R187" i="43"/>
  <c r="R188" i="43"/>
  <c r="R189" i="43"/>
  <c r="R190" i="43"/>
  <c r="R191" i="43"/>
  <c r="R192" i="43"/>
  <c r="R193" i="43"/>
  <c r="R194" i="43"/>
  <c r="R195" i="43"/>
  <c r="R196" i="43"/>
  <c r="R197" i="43"/>
  <c r="R198" i="43"/>
  <c r="R199" i="43"/>
  <c r="R200" i="43"/>
  <c r="R201" i="43"/>
  <c r="R202" i="43"/>
  <c r="R203" i="43"/>
  <c r="R204" i="43"/>
  <c r="R205" i="43"/>
  <c r="R206" i="43"/>
  <c r="R207" i="43"/>
  <c r="R208" i="43"/>
  <c r="R209" i="43"/>
  <c r="R210" i="43"/>
  <c r="R211" i="43"/>
  <c r="R212" i="43"/>
  <c r="R213" i="43"/>
  <c r="R214" i="43"/>
  <c r="R215" i="43"/>
  <c r="R216" i="43"/>
  <c r="R217" i="43"/>
  <c r="R218" i="43"/>
  <c r="R219" i="43"/>
  <c r="R220" i="43"/>
  <c r="R221" i="43"/>
  <c r="R222" i="43"/>
  <c r="R223" i="43"/>
  <c r="R224" i="43"/>
  <c r="R225" i="43"/>
  <c r="R226" i="43"/>
  <c r="R227" i="43"/>
  <c r="R228" i="43"/>
  <c r="R229" i="43"/>
  <c r="R230" i="43"/>
  <c r="R231" i="43"/>
  <c r="R232" i="43"/>
  <c r="R233" i="43"/>
  <c r="R234" i="43"/>
  <c r="R235" i="43"/>
  <c r="R236" i="43"/>
  <c r="R237" i="43"/>
  <c r="R238" i="43"/>
  <c r="R239" i="43"/>
  <c r="R240" i="43"/>
  <c r="R241" i="43"/>
  <c r="R242" i="43"/>
  <c r="R243" i="43"/>
  <c r="R244" i="43"/>
  <c r="R245" i="43"/>
  <c r="R246" i="43"/>
  <c r="R247" i="43"/>
  <c r="R248" i="43"/>
  <c r="R249" i="43"/>
  <c r="R250" i="43"/>
  <c r="R251" i="43"/>
  <c r="R252" i="43"/>
  <c r="R253" i="43"/>
  <c r="R254" i="43"/>
  <c r="R255" i="43"/>
  <c r="R256" i="43"/>
  <c r="R257" i="43"/>
  <c r="R258" i="43"/>
  <c r="R259" i="43"/>
  <c r="R260" i="43"/>
  <c r="R261" i="43"/>
  <c r="R262" i="43"/>
  <c r="R263" i="43"/>
  <c r="R264" i="43"/>
  <c r="R265" i="43"/>
  <c r="R266" i="43"/>
  <c r="R267" i="43"/>
  <c r="R268" i="43"/>
  <c r="R269" i="43"/>
  <c r="R270" i="43"/>
  <c r="R271" i="43"/>
  <c r="R272" i="43"/>
  <c r="R273" i="43"/>
  <c r="R274" i="43"/>
  <c r="R275" i="43"/>
  <c r="R276" i="43"/>
  <c r="R277" i="43"/>
  <c r="R278" i="43"/>
  <c r="R279" i="43"/>
  <c r="R280" i="43"/>
  <c r="R281" i="43"/>
  <c r="R282" i="43"/>
  <c r="R283" i="43"/>
  <c r="R284" i="43"/>
  <c r="R285" i="43"/>
  <c r="R286" i="43"/>
  <c r="R287" i="43"/>
  <c r="R288" i="43"/>
  <c r="R289" i="43"/>
  <c r="R290" i="43"/>
  <c r="R291" i="43"/>
  <c r="R292" i="43"/>
  <c r="R293" i="43"/>
  <c r="R294" i="43"/>
  <c r="R295" i="43"/>
  <c r="R296" i="43"/>
  <c r="R297" i="43"/>
  <c r="R298" i="43"/>
  <c r="R299" i="43"/>
  <c r="R300" i="43"/>
  <c r="R301" i="43"/>
  <c r="R302" i="43"/>
  <c r="R303" i="43"/>
  <c r="R304" i="43"/>
  <c r="R305" i="43"/>
  <c r="R306" i="43"/>
  <c r="R307" i="43"/>
  <c r="R308" i="43"/>
  <c r="R309" i="43"/>
  <c r="R310" i="43"/>
  <c r="R311" i="43"/>
  <c r="R312" i="43"/>
  <c r="R313" i="43"/>
  <c r="R314" i="43"/>
  <c r="R315" i="43"/>
  <c r="R316" i="43"/>
  <c r="R317" i="43"/>
  <c r="R318" i="43"/>
  <c r="R319" i="43"/>
  <c r="R320" i="43"/>
  <c r="R321" i="43"/>
  <c r="R322" i="43"/>
  <c r="R323" i="43"/>
  <c r="R324" i="43"/>
  <c r="R325" i="43"/>
  <c r="R326" i="43"/>
  <c r="R327" i="43"/>
  <c r="R328" i="43"/>
  <c r="R329" i="43"/>
  <c r="R330" i="43"/>
  <c r="R331" i="43"/>
  <c r="R332" i="43"/>
  <c r="R333" i="43"/>
  <c r="R334" i="43"/>
  <c r="R335" i="43"/>
  <c r="R336" i="43"/>
  <c r="R337" i="43"/>
  <c r="R338" i="43"/>
  <c r="R339" i="43"/>
  <c r="R340" i="43"/>
  <c r="R341" i="43"/>
  <c r="R342" i="43"/>
  <c r="R343" i="43"/>
  <c r="R344" i="43"/>
  <c r="R345" i="43"/>
  <c r="R346" i="43"/>
  <c r="R347" i="43"/>
  <c r="R348" i="43"/>
  <c r="R349" i="43"/>
  <c r="R350" i="43"/>
  <c r="R351" i="43"/>
  <c r="R352" i="43"/>
  <c r="R353" i="43"/>
  <c r="R354" i="43"/>
  <c r="R355" i="43"/>
  <c r="R356" i="43"/>
  <c r="R357" i="43"/>
  <c r="R358" i="43"/>
  <c r="R359" i="43"/>
  <c r="R360" i="43"/>
  <c r="R361" i="43"/>
  <c r="R362" i="43"/>
  <c r="R363" i="43"/>
  <c r="R364" i="43"/>
  <c r="R365" i="43"/>
  <c r="R366" i="43"/>
  <c r="R367" i="43"/>
  <c r="R368" i="43"/>
  <c r="R369" i="43"/>
  <c r="R370" i="43"/>
  <c r="R371" i="43"/>
  <c r="R372" i="43"/>
  <c r="R373" i="43"/>
  <c r="R374" i="43"/>
  <c r="R375" i="43"/>
  <c r="R376" i="43"/>
  <c r="R377" i="43"/>
  <c r="R378" i="43"/>
  <c r="R379" i="43"/>
  <c r="R380" i="43"/>
  <c r="R381" i="43"/>
  <c r="R382" i="43"/>
  <c r="R383" i="43"/>
  <c r="R384" i="43"/>
  <c r="R385" i="43"/>
  <c r="R386" i="43"/>
  <c r="R387" i="43"/>
  <c r="R388" i="43"/>
  <c r="R389" i="43"/>
  <c r="R390" i="43"/>
  <c r="R391" i="43"/>
  <c r="R392" i="43"/>
  <c r="R393" i="43"/>
  <c r="R394" i="43"/>
  <c r="R395" i="43"/>
  <c r="R396" i="43"/>
  <c r="R397" i="43"/>
  <c r="R398" i="43"/>
  <c r="R399" i="43"/>
  <c r="R400" i="43"/>
  <c r="R401" i="43"/>
  <c r="R402" i="43"/>
  <c r="R403" i="43"/>
  <c r="R404" i="43"/>
  <c r="R405" i="43"/>
  <c r="R406" i="43"/>
  <c r="R407" i="43"/>
  <c r="R408" i="43"/>
  <c r="R409" i="43"/>
  <c r="R410" i="43"/>
  <c r="R411" i="43"/>
  <c r="R412" i="43"/>
  <c r="R413" i="43"/>
  <c r="R414" i="43"/>
  <c r="R415" i="43"/>
  <c r="R416" i="43"/>
  <c r="R417" i="43"/>
  <c r="R418" i="43"/>
  <c r="R419" i="43"/>
  <c r="R420" i="43"/>
  <c r="R421" i="43"/>
  <c r="R422" i="43"/>
  <c r="R423" i="43"/>
  <c r="R424" i="43"/>
  <c r="R425" i="43"/>
  <c r="R426" i="43"/>
  <c r="R427" i="43"/>
  <c r="R428" i="43"/>
  <c r="R429" i="43"/>
  <c r="R430" i="43"/>
  <c r="R431" i="43"/>
  <c r="R432" i="43"/>
  <c r="R433" i="43"/>
  <c r="R434" i="43"/>
  <c r="R435" i="43"/>
  <c r="R436" i="43"/>
  <c r="R437" i="43"/>
  <c r="R438" i="43"/>
  <c r="R439" i="43"/>
  <c r="R440" i="43"/>
  <c r="R441" i="43"/>
  <c r="R442" i="43"/>
  <c r="R443" i="43"/>
  <c r="R444" i="43"/>
  <c r="R445" i="43"/>
  <c r="R446" i="43"/>
  <c r="R447" i="43"/>
  <c r="R448" i="43"/>
  <c r="R449" i="43"/>
  <c r="R450" i="43"/>
  <c r="R451" i="43"/>
  <c r="R452" i="43"/>
  <c r="R453" i="43"/>
  <c r="R454" i="43"/>
  <c r="R455" i="43"/>
  <c r="R456" i="43"/>
  <c r="R457" i="43"/>
  <c r="R458" i="43"/>
  <c r="R459" i="43"/>
  <c r="R460" i="43"/>
  <c r="R461" i="43"/>
  <c r="R462" i="43"/>
  <c r="R463" i="43"/>
  <c r="R464" i="43"/>
  <c r="R465" i="43"/>
  <c r="R466" i="43"/>
  <c r="R467" i="43"/>
  <c r="R468" i="43"/>
  <c r="R469" i="43"/>
  <c r="R470" i="43"/>
  <c r="R471" i="43"/>
  <c r="R472" i="43"/>
  <c r="R473" i="43"/>
  <c r="R474" i="43"/>
  <c r="R475" i="43"/>
  <c r="R476" i="43"/>
  <c r="R477" i="43"/>
  <c r="R478" i="43"/>
  <c r="R479" i="43"/>
  <c r="R480" i="43"/>
  <c r="R481" i="43"/>
  <c r="R482" i="43"/>
  <c r="R483" i="43"/>
  <c r="R484" i="43"/>
  <c r="R485" i="43"/>
  <c r="R486" i="43"/>
  <c r="R487" i="43"/>
  <c r="R488" i="43"/>
  <c r="R489" i="43"/>
  <c r="R490" i="43"/>
  <c r="R491" i="43"/>
  <c r="R492" i="43"/>
  <c r="R493" i="43"/>
  <c r="R494" i="43"/>
  <c r="R495" i="43"/>
  <c r="R496" i="43"/>
  <c r="R497" i="43"/>
  <c r="R498" i="43"/>
  <c r="R499" i="43"/>
  <c r="R500" i="43"/>
  <c r="R501" i="43"/>
  <c r="R502" i="43"/>
  <c r="R503" i="43"/>
  <c r="R504" i="43"/>
  <c r="R505" i="43"/>
  <c r="R506" i="43"/>
  <c r="R507" i="43"/>
  <c r="R508" i="43"/>
  <c r="R509" i="43"/>
  <c r="R510" i="43"/>
  <c r="R511" i="43"/>
  <c r="R512" i="43"/>
  <c r="R513" i="43"/>
  <c r="R514" i="43"/>
  <c r="R515" i="43"/>
  <c r="R516" i="43"/>
  <c r="R517" i="43"/>
  <c r="R518" i="43"/>
  <c r="R519" i="43"/>
  <c r="R520" i="43"/>
  <c r="R521" i="43"/>
  <c r="R522" i="43"/>
  <c r="R523" i="43"/>
  <c r="R524" i="43"/>
  <c r="R525" i="43"/>
  <c r="R526" i="43"/>
  <c r="R527" i="43"/>
  <c r="R528" i="43"/>
  <c r="R529" i="43"/>
  <c r="R530" i="43"/>
  <c r="R531" i="43"/>
  <c r="R532" i="43"/>
  <c r="R533" i="43"/>
  <c r="R534" i="43"/>
  <c r="R535" i="43"/>
  <c r="R536" i="43"/>
  <c r="R537" i="43"/>
  <c r="R538" i="43"/>
  <c r="R539" i="43"/>
  <c r="R540" i="43"/>
  <c r="R541" i="43"/>
  <c r="R542" i="43"/>
  <c r="R543" i="43"/>
  <c r="R544" i="43"/>
  <c r="R545" i="43"/>
  <c r="R546" i="43"/>
  <c r="R547" i="43"/>
  <c r="R548" i="43"/>
  <c r="R549" i="43"/>
  <c r="R550" i="43"/>
  <c r="R551" i="43"/>
  <c r="R552" i="43"/>
  <c r="R553" i="43"/>
  <c r="R554" i="43"/>
  <c r="R555" i="43"/>
  <c r="R556" i="43"/>
  <c r="R557" i="43"/>
  <c r="R558" i="43"/>
  <c r="R559" i="43"/>
  <c r="R560" i="43"/>
  <c r="R561" i="43"/>
  <c r="R562" i="43"/>
  <c r="R563" i="43"/>
  <c r="R564" i="43"/>
  <c r="R565" i="43"/>
  <c r="R566" i="43"/>
  <c r="R567" i="43"/>
  <c r="R568" i="43"/>
  <c r="R569" i="43"/>
  <c r="R570" i="43"/>
  <c r="R571" i="43"/>
  <c r="R572" i="43"/>
  <c r="R573" i="43"/>
  <c r="R574" i="43"/>
  <c r="R575" i="43"/>
  <c r="R576" i="43"/>
  <c r="R577" i="43"/>
  <c r="R578" i="43"/>
  <c r="R579" i="43"/>
  <c r="R580" i="43"/>
  <c r="R581" i="43"/>
  <c r="R582" i="43"/>
  <c r="R583" i="43"/>
  <c r="R584" i="43"/>
  <c r="R585" i="43"/>
  <c r="R586" i="43"/>
  <c r="R587" i="43"/>
  <c r="R588" i="43"/>
  <c r="R589" i="43"/>
  <c r="R590" i="43"/>
  <c r="R591" i="43"/>
  <c r="R592" i="43"/>
  <c r="R593" i="43"/>
  <c r="R594" i="43"/>
  <c r="R595" i="43"/>
  <c r="R596" i="43"/>
  <c r="R597" i="43"/>
  <c r="R598" i="43"/>
  <c r="R599" i="43"/>
  <c r="R600" i="43"/>
  <c r="R601" i="43"/>
  <c r="R602" i="43"/>
  <c r="R603" i="43"/>
  <c r="R604" i="43"/>
  <c r="R605" i="43"/>
  <c r="R606" i="43"/>
  <c r="R607" i="43"/>
  <c r="R608" i="43"/>
  <c r="R609" i="43"/>
  <c r="R610" i="43"/>
  <c r="R611" i="43"/>
  <c r="R612" i="43"/>
  <c r="R613" i="43"/>
  <c r="R614" i="43"/>
  <c r="R615" i="43"/>
  <c r="R616" i="43"/>
  <c r="R617" i="43"/>
  <c r="R618" i="43"/>
  <c r="R619" i="43"/>
  <c r="R620" i="43"/>
  <c r="R621" i="43"/>
  <c r="R622" i="43"/>
  <c r="R623" i="43"/>
  <c r="R624" i="43"/>
  <c r="R625" i="43"/>
  <c r="R626" i="43"/>
  <c r="R627" i="43"/>
  <c r="R628" i="43"/>
  <c r="R629" i="43"/>
  <c r="R630" i="43"/>
  <c r="R631" i="43"/>
  <c r="R632" i="43"/>
  <c r="R633" i="43"/>
  <c r="R634" i="43"/>
  <c r="R635" i="43"/>
  <c r="R636" i="43"/>
  <c r="R637" i="43"/>
  <c r="R638" i="43"/>
  <c r="R639" i="43"/>
  <c r="R640" i="43"/>
  <c r="R641" i="43"/>
  <c r="R642" i="43"/>
  <c r="R643" i="43"/>
  <c r="R644" i="43"/>
  <c r="R645" i="43"/>
  <c r="R646" i="43"/>
  <c r="R647" i="43"/>
  <c r="R648" i="43"/>
  <c r="R649" i="43"/>
  <c r="R650" i="43"/>
  <c r="R651" i="43"/>
  <c r="R652" i="43"/>
  <c r="R653" i="43"/>
  <c r="R654" i="43"/>
  <c r="R655" i="43"/>
  <c r="R656" i="43"/>
  <c r="R657" i="43"/>
  <c r="R658" i="43"/>
  <c r="R659" i="43"/>
  <c r="R660" i="43"/>
  <c r="R661" i="43"/>
  <c r="R662" i="43"/>
  <c r="R663" i="43"/>
  <c r="R664" i="43"/>
  <c r="R665" i="43"/>
  <c r="R666" i="43"/>
  <c r="R667" i="43"/>
  <c r="R668" i="43"/>
  <c r="R669" i="43"/>
  <c r="R670" i="43"/>
  <c r="R671" i="43"/>
  <c r="R672" i="43"/>
  <c r="R673" i="43"/>
  <c r="R674" i="43"/>
  <c r="R675" i="43"/>
  <c r="R676" i="43"/>
  <c r="R677" i="43"/>
  <c r="R678" i="43"/>
  <c r="R679" i="43"/>
  <c r="R680" i="43"/>
  <c r="R681" i="43"/>
  <c r="R682" i="43"/>
  <c r="R683" i="43"/>
  <c r="R684" i="43"/>
  <c r="R685" i="43"/>
  <c r="R686" i="43"/>
  <c r="R687" i="43"/>
  <c r="R688" i="43"/>
  <c r="R689" i="43"/>
  <c r="R690" i="43"/>
  <c r="R691" i="43"/>
  <c r="R692" i="43"/>
  <c r="R693" i="43"/>
  <c r="R694" i="43"/>
  <c r="R695" i="43"/>
  <c r="R696" i="43"/>
  <c r="R697" i="43"/>
  <c r="R698" i="43"/>
  <c r="R699" i="43"/>
  <c r="R700" i="43"/>
  <c r="R701" i="43"/>
  <c r="R702" i="43"/>
  <c r="R703" i="43"/>
  <c r="R704" i="43"/>
  <c r="R705" i="43"/>
  <c r="R706" i="43"/>
  <c r="R707" i="43"/>
  <c r="R708" i="43"/>
  <c r="R709" i="43"/>
  <c r="R710" i="43"/>
  <c r="R711" i="43"/>
  <c r="R712" i="43"/>
  <c r="R713" i="43"/>
  <c r="R714" i="43"/>
  <c r="R715" i="43"/>
  <c r="R716" i="43"/>
  <c r="R717" i="43"/>
  <c r="R718" i="43"/>
  <c r="R719" i="43"/>
  <c r="R720" i="43"/>
  <c r="R721" i="43"/>
  <c r="R722" i="43"/>
  <c r="R723" i="43"/>
  <c r="R724" i="43"/>
  <c r="R725" i="43"/>
  <c r="R726" i="43"/>
  <c r="R727" i="43"/>
  <c r="R728" i="43"/>
  <c r="R729" i="43"/>
  <c r="R730" i="43"/>
  <c r="R731" i="43"/>
  <c r="R732" i="43"/>
  <c r="R733" i="43"/>
  <c r="R734" i="43"/>
  <c r="R735" i="43"/>
  <c r="R736" i="43"/>
  <c r="R737" i="43"/>
  <c r="R738" i="43"/>
  <c r="R739" i="43"/>
  <c r="R740" i="43"/>
  <c r="R741" i="43"/>
  <c r="R742" i="43"/>
  <c r="R743" i="43"/>
  <c r="R744" i="43"/>
  <c r="R745" i="43"/>
  <c r="R746" i="43"/>
  <c r="R747" i="43"/>
  <c r="R748" i="43"/>
  <c r="R749" i="43"/>
  <c r="R750" i="43"/>
  <c r="R751" i="43"/>
  <c r="R752" i="43"/>
  <c r="R753" i="43"/>
  <c r="R754" i="43"/>
  <c r="R755" i="43"/>
  <c r="R756" i="43"/>
  <c r="R757" i="43"/>
  <c r="R758" i="43"/>
  <c r="R759" i="43"/>
  <c r="R760" i="43"/>
  <c r="R761" i="43"/>
  <c r="R762" i="43"/>
  <c r="R763" i="43"/>
  <c r="R764" i="43"/>
  <c r="R765" i="43"/>
  <c r="R766" i="43"/>
  <c r="R767" i="43"/>
  <c r="R768" i="43"/>
  <c r="R769" i="43"/>
  <c r="R770" i="43"/>
  <c r="R771" i="43"/>
  <c r="R772" i="43"/>
  <c r="R773" i="43"/>
  <c r="R774" i="43"/>
  <c r="R775" i="43"/>
  <c r="R776" i="43"/>
  <c r="R777" i="43"/>
  <c r="R778" i="43"/>
  <c r="R779" i="43"/>
  <c r="R780" i="43"/>
  <c r="R781" i="43"/>
  <c r="R782" i="43"/>
  <c r="R783" i="43"/>
  <c r="R784" i="43"/>
  <c r="R785" i="43"/>
  <c r="R786" i="43"/>
  <c r="R787" i="43"/>
  <c r="R788" i="43"/>
  <c r="R789" i="43"/>
  <c r="R790" i="43"/>
  <c r="R791" i="43"/>
  <c r="R792" i="43"/>
  <c r="R793" i="43"/>
  <c r="R794" i="43"/>
  <c r="R795" i="43"/>
  <c r="R796" i="43"/>
  <c r="R797" i="43"/>
  <c r="R798" i="43"/>
  <c r="R799" i="43"/>
  <c r="R800" i="43"/>
  <c r="R801" i="43"/>
  <c r="R802" i="43"/>
  <c r="R803" i="43"/>
  <c r="R804" i="43"/>
  <c r="R805" i="43"/>
  <c r="R806" i="43"/>
  <c r="R807" i="43"/>
  <c r="R808" i="43"/>
  <c r="R809" i="43"/>
  <c r="R810" i="43"/>
  <c r="R811" i="43"/>
  <c r="R812" i="43"/>
  <c r="R813" i="43"/>
  <c r="R814" i="43"/>
  <c r="R815" i="43"/>
  <c r="R816" i="43"/>
  <c r="R817" i="43"/>
  <c r="R818" i="43"/>
  <c r="R819" i="43"/>
  <c r="R820" i="43"/>
  <c r="R821" i="43"/>
  <c r="R822" i="43"/>
  <c r="R823" i="43"/>
  <c r="R824" i="43"/>
  <c r="R825" i="43"/>
  <c r="R826" i="43"/>
  <c r="R827" i="43"/>
  <c r="R828" i="43"/>
  <c r="R829" i="43"/>
  <c r="R830" i="43"/>
  <c r="R831" i="43"/>
  <c r="R832" i="43"/>
  <c r="R833" i="43"/>
  <c r="R834" i="43"/>
  <c r="R835" i="43"/>
  <c r="R836" i="43"/>
  <c r="R837" i="43"/>
  <c r="R838" i="43"/>
  <c r="R839" i="43"/>
  <c r="R840" i="43"/>
  <c r="R841" i="43"/>
  <c r="R842" i="43"/>
  <c r="R843" i="43"/>
  <c r="R844" i="43"/>
  <c r="R845" i="43"/>
  <c r="R846" i="43"/>
  <c r="R847" i="43"/>
  <c r="R848" i="43"/>
  <c r="R13" i="43"/>
  <c r="L7" i="43"/>
  <c r="L8" i="43"/>
  <c r="L9" i="43"/>
  <c r="L10" i="43"/>
  <c r="L11" i="43"/>
  <c r="L12" i="43"/>
  <c r="L13" i="43"/>
  <c r="S851" i="43"/>
  <c r="S850" i="43"/>
  <c r="S849" i="43"/>
  <c r="S848" i="43"/>
  <c r="S847" i="43"/>
  <c r="S846" i="43"/>
  <c r="S845" i="43"/>
  <c r="S844" i="43"/>
  <c r="S843" i="43"/>
  <c r="S842" i="43"/>
  <c r="S841" i="43"/>
  <c r="S840" i="43"/>
  <c r="S839" i="43"/>
  <c r="S838" i="43"/>
  <c r="S837" i="43"/>
  <c r="S836" i="43"/>
  <c r="S835" i="43"/>
  <c r="S834" i="43"/>
  <c r="S833" i="43"/>
  <c r="S832" i="43"/>
  <c r="S831" i="43"/>
  <c r="S830" i="43"/>
  <c r="S829" i="43"/>
  <c r="S828" i="43"/>
  <c r="S827" i="43"/>
  <c r="S826" i="43"/>
  <c r="S825" i="43"/>
  <c r="S824" i="43"/>
  <c r="S823" i="43"/>
  <c r="S822" i="43"/>
  <c r="S821" i="43"/>
  <c r="S820" i="43"/>
  <c r="S819" i="43"/>
  <c r="S818" i="43"/>
  <c r="S817" i="43"/>
  <c r="S816" i="43"/>
  <c r="S815" i="43"/>
  <c r="S814" i="43"/>
  <c r="S813" i="43"/>
  <c r="S812" i="43"/>
  <c r="S811" i="43"/>
  <c r="S810" i="43"/>
  <c r="S809" i="43"/>
  <c r="S808" i="43"/>
  <c r="S807" i="43"/>
  <c r="S806" i="43"/>
  <c r="S805" i="43"/>
  <c r="S804" i="43"/>
  <c r="S803" i="43"/>
  <c r="S802" i="43"/>
  <c r="S801" i="43"/>
  <c r="S800" i="43"/>
  <c r="S799" i="43"/>
  <c r="S798" i="43"/>
  <c r="S797" i="43"/>
  <c r="S796" i="43"/>
  <c r="S795" i="43"/>
  <c r="S794" i="43"/>
  <c r="S793" i="43"/>
  <c r="S792" i="43"/>
  <c r="S791" i="43"/>
  <c r="S790" i="43"/>
  <c r="S789" i="43"/>
  <c r="S788" i="43"/>
  <c r="S787" i="43"/>
  <c r="S786" i="43"/>
  <c r="S785" i="43"/>
  <c r="S784" i="43"/>
  <c r="S783" i="43"/>
  <c r="S782" i="43"/>
  <c r="S781" i="43"/>
  <c r="S780" i="43"/>
  <c r="S779" i="43"/>
  <c r="S778" i="43"/>
  <c r="S777" i="43"/>
  <c r="S776" i="43"/>
  <c r="S775" i="43"/>
  <c r="S774" i="43"/>
  <c r="S773" i="43"/>
  <c r="S772" i="43"/>
  <c r="S771" i="43"/>
  <c r="S770" i="43"/>
  <c r="S769" i="43"/>
  <c r="S768" i="43"/>
  <c r="S767" i="43"/>
  <c r="S766" i="43"/>
  <c r="S765" i="43"/>
  <c r="S764" i="43"/>
  <c r="S763" i="43"/>
  <c r="S762" i="43"/>
  <c r="S761" i="43"/>
  <c r="S760" i="43"/>
  <c r="S759" i="43"/>
  <c r="S758" i="43"/>
  <c r="S757" i="43"/>
  <c r="S756" i="43"/>
  <c r="S755" i="43"/>
  <c r="S754" i="43"/>
  <c r="S753" i="43"/>
  <c r="S752" i="43"/>
  <c r="S751" i="43"/>
  <c r="S750" i="43"/>
  <c r="S749" i="43"/>
  <c r="S748" i="43"/>
  <c r="S747" i="43"/>
  <c r="S746" i="43"/>
  <c r="S745" i="43"/>
  <c r="S744" i="43"/>
  <c r="S743" i="43"/>
  <c r="S742" i="43"/>
  <c r="S741" i="43"/>
  <c r="S740" i="43"/>
  <c r="S739" i="43"/>
  <c r="S738" i="43"/>
  <c r="S737" i="43"/>
  <c r="S736" i="43"/>
  <c r="S735" i="43"/>
  <c r="S734" i="43"/>
  <c r="S733" i="43"/>
  <c r="S732" i="43"/>
  <c r="S731" i="43"/>
  <c r="S730" i="43"/>
  <c r="S729" i="43"/>
  <c r="S728" i="43"/>
  <c r="S727" i="43"/>
  <c r="S726" i="43"/>
  <c r="S725" i="43"/>
  <c r="S724" i="43"/>
  <c r="S723" i="43"/>
  <c r="S722" i="43"/>
  <c r="S721" i="43"/>
  <c r="S720" i="43"/>
  <c r="S719" i="43"/>
  <c r="S718" i="43"/>
  <c r="S717" i="43"/>
  <c r="S716" i="43"/>
  <c r="S715" i="43"/>
  <c r="S714" i="43"/>
  <c r="S713" i="43"/>
  <c r="S712" i="43"/>
  <c r="S711" i="43"/>
  <c r="S710" i="43"/>
  <c r="S709" i="43"/>
  <c r="S708" i="43"/>
  <c r="S707" i="43"/>
  <c r="S706" i="43"/>
  <c r="S705" i="43"/>
  <c r="S704" i="43"/>
  <c r="S703" i="43"/>
  <c r="S702" i="43"/>
  <c r="S701" i="43"/>
  <c r="S700" i="43"/>
  <c r="S699" i="43"/>
  <c r="S698" i="43"/>
  <c r="S697" i="43"/>
  <c r="S696" i="43"/>
  <c r="S695" i="43"/>
  <c r="S694" i="43"/>
  <c r="S693" i="43"/>
  <c r="S692" i="43"/>
  <c r="S691" i="43"/>
  <c r="S690" i="43"/>
  <c r="S689" i="43"/>
  <c r="S688" i="43"/>
  <c r="S687" i="43"/>
  <c r="S686" i="43"/>
  <c r="S685" i="43"/>
  <c r="S684" i="43"/>
  <c r="S683" i="43"/>
  <c r="S682" i="43"/>
  <c r="S681" i="43"/>
  <c r="S680" i="43"/>
  <c r="S679" i="43"/>
  <c r="S678" i="43"/>
  <c r="S677" i="43"/>
  <c r="S676" i="43"/>
  <c r="S675" i="43"/>
  <c r="S674" i="43"/>
  <c r="S673" i="43"/>
  <c r="S672" i="43"/>
  <c r="S671" i="43"/>
  <c r="S670" i="43"/>
  <c r="S669" i="43"/>
  <c r="S668" i="43"/>
  <c r="S667" i="43"/>
  <c r="S666" i="43"/>
  <c r="S665" i="43"/>
  <c r="S664" i="43"/>
  <c r="S663" i="43"/>
  <c r="S662" i="43"/>
  <c r="S661" i="43"/>
  <c r="S660" i="43"/>
  <c r="S659" i="43"/>
  <c r="S658" i="43"/>
  <c r="S657" i="43"/>
  <c r="S656" i="43"/>
  <c r="S655" i="43"/>
  <c r="S654" i="43"/>
  <c r="S653" i="43"/>
  <c r="S652" i="43"/>
  <c r="S651" i="43"/>
  <c r="S650" i="43"/>
  <c r="S649" i="43"/>
  <c r="S648" i="43"/>
  <c r="S647" i="43"/>
  <c r="S646" i="43"/>
  <c r="S645" i="43"/>
  <c r="S644" i="43"/>
  <c r="S643" i="43"/>
  <c r="S642" i="43"/>
  <c r="S641" i="43"/>
  <c r="S640" i="43"/>
  <c r="S639" i="43"/>
  <c r="S638" i="43"/>
  <c r="S637" i="43"/>
  <c r="S636" i="43"/>
  <c r="S635" i="43"/>
  <c r="S634" i="43"/>
  <c r="S633" i="43"/>
  <c r="S632" i="43"/>
  <c r="S631" i="43"/>
  <c r="S630" i="43"/>
  <c r="S629" i="43"/>
  <c r="S628" i="43"/>
  <c r="S627" i="43"/>
  <c r="S626" i="43"/>
  <c r="S625" i="43"/>
  <c r="S624" i="43"/>
  <c r="S623" i="43"/>
  <c r="S622" i="43"/>
  <c r="S621" i="43"/>
  <c r="S620" i="43"/>
  <c r="S619" i="43"/>
  <c r="S618" i="43"/>
  <c r="S617" i="43"/>
  <c r="S616" i="43"/>
  <c r="S615" i="43"/>
  <c r="S614" i="43"/>
  <c r="S613" i="43"/>
  <c r="S612" i="43"/>
  <c r="S611" i="43"/>
  <c r="S610" i="43"/>
  <c r="S609" i="43"/>
  <c r="S608" i="43"/>
  <c r="S607" i="43"/>
  <c r="S606" i="43"/>
  <c r="S605" i="43"/>
  <c r="S604" i="43"/>
  <c r="S603" i="43"/>
  <c r="S602" i="43"/>
  <c r="S601" i="43"/>
  <c r="S600" i="43"/>
  <c r="S599" i="43"/>
  <c r="S598" i="43"/>
  <c r="S597" i="43"/>
  <c r="S596" i="43"/>
  <c r="S595" i="43"/>
  <c r="S594" i="43"/>
  <c r="S593" i="43"/>
  <c r="S592" i="43"/>
  <c r="S591" i="43"/>
  <c r="S590" i="43"/>
  <c r="S589" i="43"/>
  <c r="S588" i="43"/>
  <c r="S587" i="43"/>
  <c r="S586" i="43"/>
  <c r="S585" i="43"/>
  <c r="S584" i="43"/>
  <c r="S583" i="43"/>
  <c r="S582" i="43"/>
  <c r="S581" i="43"/>
  <c r="S580" i="43"/>
  <c r="S579" i="43"/>
  <c r="S578" i="43"/>
  <c r="S577" i="43"/>
  <c r="S576" i="43"/>
  <c r="S575" i="43"/>
  <c r="S574" i="43"/>
  <c r="S573" i="43"/>
  <c r="S572" i="43"/>
  <c r="S571" i="43"/>
  <c r="S570" i="43"/>
  <c r="S569" i="43"/>
  <c r="S568" i="43"/>
  <c r="S567" i="43"/>
  <c r="S566" i="43"/>
  <c r="S565" i="43"/>
  <c r="S564" i="43"/>
  <c r="S563" i="43"/>
  <c r="S562" i="43"/>
  <c r="S561" i="43"/>
  <c r="S560" i="43"/>
  <c r="S559" i="43"/>
  <c r="S558" i="43"/>
  <c r="S557" i="43"/>
  <c r="S556" i="43"/>
  <c r="S555" i="43"/>
  <c r="S554" i="43"/>
  <c r="S553" i="43"/>
  <c r="S552" i="43"/>
  <c r="S551" i="43"/>
  <c r="S550" i="43"/>
  <c r="S549" i="43"/>
  <c r="S548" i="43"/>
  <c r="S547" i="43"/>
  <c r="S546" i="43"/>
  <c r="S545" i="43"/>
  <c r="S544" i="43"/>
  <c r="S543" i="43"/>
  <c r="S542" i="43"/>
  <c r="S541" i="43"/>
  <c r="S540" i="43"/>
  <c r="S539" i="43"/>
  <c r="S538" i="43"/>
  <c r="S537" i="43"/>
  <c r="S536" i="43"/>
  <c r="S535" i="43"/>
  <c r="S534" i="43"/>
  <c r="S533" i="43"/>
  <c r="S532" i="43"/>
  <c r="S531" i="43"/>
  <c r="S530" i="43"/>
  <c r="S529" i="43"/>
  <c r="S528" i="43"/>
  <c r="S527" i="43"/>
  <c r="S526" i="43"/>
  <c r="S525" i="43"/>
  <c r="S524" i="43"/>
  <c r="S523" i="43"/>
  <c r="S522" i="43"/>
  <c r="S521" i="43"/>
  <c r="S520" i="43"/>
  <c r="S519" i="43"/>
  <c r="S518" i="43"/>
  <c r="S517" i="43"/>
  <c r="S516" i="43"/>
  <c r="S515" i="43"/>
  <c r="S514" i="43"/>
  <c r="S513" i="43"/>
  <c r="S512" i="43"/>
  <c r="S511" i="43"/>
  <c r="S510" i="43"/>
  <c r="S509" i="43"/>
  <c r="S508" i="43"/>
  <c r="S507" i="43"/>
  <c r="S506" i="43"/>
  <c r="S505" i="43"/>
  <c r="S504" i="43"/>
  <c r="S503" i="43"/>
  <c r="S502" i="43"/>
  <c r="S501" i="43"/>
  <c r="S500" i="43"/>
  <c r="S499" i="43"/>
  <c r="S498" i="43"/>
  <c r="S497" i="43"/>
  <c r="S496" i="43"/>
  <c r="S495" i="43"/>
  <c r="S494" i="43"/>
  <c r="S493" i="43"/>
  <c r="S492" i="43"/>
  <c r="S491" i="43"/>
  <c r="S490" i="43"/>
  <c r="S489" i="43"/>
  <c r="S488" i="43"/>
  <c r="S487" i="43"/>
  <c r="S486" i="43"/>
  <c r="S485" i="43"/>
  <c r="S484" i="43"/>
  <c r="S483" i="43"/>
  <c r="S482" i="43"/>
  <c r="S481" i="43"/>
  <c r="S480" i="43"/>
  <c r="S479" i="43"/>
  <c r="S478" i="43"/>
  <c r="S477" i="43"/>
  <c r="S476" i="43"/>
  <c r="S475" i="43"/>
  <c r="S474" i="43"/>
  <c r="S473" i="43"/>
  <c r="S472" i="43"/>
  <c r="S471" i="43"/>
  <c r="S470" i="43"/>
  <c r="S469" i="43"/>
  <c r="S468" i="43"/>
  <c r="S467" i="43"/>
  <c r="S466" i="43"/>
  <c r="S465" i="43"/>
  <c r="S464" i="43"/>
  <c r="S463" i="43"/>
  <c r="S462" i="43"/>
  <c r="S461" i="43"/>
  <c r="S460" i="43"/>
  <c r="S459" i="43"/>
  <c r="S458" i="43"/>
  <c r="S457" i="43"/>
  <c r="S456" i="43"/>
  <c r="S455" i="43"/>
  <c r="S454" i="43"/>
  <c r="S453" i="43"/>
  <c r="S452" i="43"/>
  <c r="S451" i="43"/>
  <c r="S450" i="43"/>
  <c r="S449" i="43"/>
  <c r="S448" i="43"/>
  <c r="S447" i="43"/>
  <c r="S446" i="43"/>
  <c r="S445" i="43"/>
  <c r="S444" i="43"/>
  <c r="S443" i="43"/>
  <c r="S442" i="43"/>
  <c r="S441" i="43"/>
  <c r="S440" i="43"/>
  <c r="S439" i="43"/>
  <c r="S438" i="43"/>
  <c r="S437" i="43"/>
  <c r="S436" i="43"/>
  <c r="S435" i="43"/>
  <c r="S434" i="43"/>
  <c r="S433" i="43"/>
  <c r="S432" i="43"/>
  <c r="S431" i="43"/>
  <c r="S430" i="43"/>
  <c r="S429" i="43"/>
  <c r="S428" i="43"/>
  <c r="S427" i="43"/>
  <c r="S426" i="43"/>
  <c r="S425" i="43"/>
  <c r="S424" i="43"/>
  <c r="S423" i="43"/>
  <c r="S422" i="43"/>
  <c r="S421" i="43"/>
  <c r="S420" i="43"/>
  <c r="S419" i="43"/>
  <c r="S418" i="43"/>
  <c r="S417" i="43"/>
  <c r="S416" i="43"/>
  <c r="S415" i="43"/>
  <c r="S414" i="43"/>
  <c r="S413" i="43"/>
  <c r="S412" i="43"/>
  <c r="S411" i="43"/>
  <c r="S410" i="43"/>
  <c r="S409" i="43"/>
  <c r="S408" i="43"/>
  <c r="S407" i="43"/>
  <c r="S406" i="43"/>
  <c r="S405" i="43"/>
  <c r="S404" i="43"/>
  <c r="S403" i="43"/>
  <c r="S402" i="43"/>
  <c r="S401" i="43"/>
  <c r="S400" i="43"/>
  <c r="S399" i="43"/>
  <c r="S398" i="43"/>
  <c r="S397" i="43"/>
  <c r="S396" i="43"/>
  <c r="S395" i="43"/>
  <c r="S394" i="43"/>
  <c r="S393" i="43"/>
  <c r="S392" i="43"/>
  <c r="S391" i="43"/>
  <c r="S390" i="43"/>
  <c r="S389" i="43"/>
  <c r="S388" i="43"/>
  <c r="S387" i="43"/>
  <c r="S386" i="43"/>
  <c r="S385" i="43"/>
  <c r="S384" i="43"/>
  <c r="S383" i="43"/>
  <c r="S382" i="43"/>
  <c r="S381" i="43"/>
  <c r="S380" i="43"/>
  <c r="S379" i="43"/>
  <c r="S378" i="43"/>
  <c r="S377" i="43"/>
  <c r="S376" i="43"/>
  <c r="S375" i="43"/>
  <c r="S374" i="43"/>
  <c r="S373" i="43"/>
  <c r="S372" i="43"/>
  <c r="S371" i="43"/>
  <c r="S370" i="43"/>
  <c r="S369" i="43"/>
  <c r="S368" i="43"/>
  <c r="S367" i="43"/>
  <c r="S366" i="43"/>
  <c r="S365" i="43"/>
  <c r="S364" i="43"/>
  <c r="S363" i="43"/>
  <c r="S362" i="43"/>
  <c r="S361" i="43"/>
  <c r="S360" i="43"/>
  <c r="S359" i="43"/>
  <c r="S358" i="43"/>
  <c r="S357" i="43"/>
  <c r="S356" i="43"/>
  <c r="S355" i="43"/>
  <c r="S354" i="43"/>
  <c r="S353" i="43"/>
  <c r="S352" i="43"/>
  <c r="S351" i="43"/>
  <c r="S350" i="43"/>
  <c r="S349" i="43"/>
  <c r="S348" i="43"/>
  <c r="S347" i="43"/>
  <c r="S346" i="43"/>
  <c r="S345" i="43"/>
  <c r="S344" i="43"/>
  <c r="S343" i="43"/>
  <c r="S342" i="43"/>
  <c r="S341" i="43"/>
  <c r="S340" i="43"/>
  <c r="S339" i="43"/>
  <c r="S338" i="43"/>
  <c r="S337" i="43"/>
  <c r="S336" i="43"/>
  <c r="S335" i="43"/>
  <c r="S334" i="43"/>
  <c r="S333" i="43"/>
  <c r="S332" i="43"/>
  <c r="S331" i="43"/>
  <c r="S330" i="43"/>
  <c r="S329" i="43"/>
  <c r="S328" i="43"/>
  <c r="S327" i="43"/>
  <c r="S326" i="43"/>
  <c r="S325" i="43"/>
  <c r="S324" i="43"/>
  <c r="S323" i="43"/>
  <c r="S322" i="43"/>
  <c r="S321" i="43"/>
  <c r="S320" i="43"/>
  <c r="S319" i="43"/>
  <c r="S318" i="43"/>
  <c r="S317" i="43"/>
  <c r="S316" i="43"/>
  <c r="S315" i="43"/>
  <c r="S314" i="43"/>
  <c r="S313" i="43"/>
  <c r="S312" i="43"/>
  <c r="S311" i="43"/>
  <c r="S310" i="43"/>
  <c r="S309" i="43"/>
  <c r="S308" i="43"/>
  <c r="S307" i="43"/>
  <c r="S306" i="43"/>
  <c r="S305" i="43"/>
  <c r="S304" i="43"/>
  <c r="S303" i="43"/>
  <c r="S302" i="43"/>
  <c r="S301" i="43"/>
  <c r="S300" i="43"/>
  <c r="S299" i="43"/>
  <c r="S298" i="43"/>
  <c r="S297" i="43"/>
  <c r="S296" i="43"/>
  <c r="S295" i="43"/>
  <c r="S294" i="43"/>
  <c r="S293" i="43"/>
  <c r="S292" i="43"/>
  <c r="S291" i="43"/>
  <c r="S290" i="43"/>
  <c r="S289" i="43"/>
  <c r="S288" i="43"/>
  <c r="S287" i="43"/>
  <c r="S286" i="43"/>
  <c r="S285" i="43"/>
  <c r="S284" i="43"/>
  <c r="S283" i="43"/>
  <c r="S282" i="43"/>
  <c r="S281" i="43"/>
  <c r="S280" i="43"/>
  <c r="S279" i="43"/>
  <c r="S278" i="43"/>
  <c r="S277" i="43"/>
  <c r="S276" i="43"/>
  <c r="S275" i="43"/>
  <c r="S274" i="43"/>
  <c r="S273" i="43"/>
  <c r="S272" i="43"/>
  <c r="S271" i="43"/>
  <c r="S270" i="43"/>
  <c r="S269" i="43"/>
  <c r="S268" i="43"/>
  <c r="S267" i="43"/>
  <c r="S266" i="43"/>
  <c r="S265" i="43"/>
  <c r="S264" i="43"/>
  <c r="S263" i="43"/>
  <c r="S262" i="43"/>
  <c r="S261" i="43"/>
  <c r="S260" i="43"/>
  <c r="S259" i="43"/>
  <c r="S258" i="43"/>
  <c r="S257" i="43"/>
  <c r="S256" i="43"/>
  <c r="S255" i="43"/>
  <c r="S254" i="43"/>
  <c r="S253" i="43"/>
  <c r="S252" i="43"/>
  <c r="S251" i="43"/>
  <c r="S250" i="43"/>
  <c r="S249" i="43"/>
  <c r="S248" i="43"/>
  <c r="S247" i="43"/>
  <c r="S246" i="43"/>
  <c r="S245" i="43"/>
  <c r="S244" i="43"/>
  <c r="S243" i="43"/>
  <c r="S242" i="43"/>
  <c r="S241" i="43"/>
  <c r="S240" i="43"/>
  <c r="S239" i="43"/>
  <c r="S238" i="43"/>
  <c r="S237" i="43"/>
  <c r="S236" i="43"/>
  <c r="S235" i="43"/>
  <c r="S234" i="43"/>
  <c r="S233" i="43"/>
  <c r="S232" i="43"/>
  <c r="S231" i="43"/>
  <c r="S230" i="43"/>
  <c r="S229" i="43"/>
  <c r="S228" i="43"/>
  <c r="S227" i="43"/>
  <c r="S226" i="43"/>
  <c r="S225" i="43"/>
  <c r="S224" i="43"/>
  <c r="S223" i="43"/>
  <c r="S222" i="43"/>
  <c r="S221" i="43"/>
  <c r="S220" i="43"/>
  <c r="S219" i="43"/>
  <c r="S218" i="43"/>
  <c r="S217" i="43"/>
  <c r="S216" i="43"/>
  <c r="S215" i="43"/>
  <c r="S214" i="43"/>
  <c r="S213" i="43"/>
  <c r="S212" i="43"/>
  <c r="S211" i="43"/>
  <c r="S210" i="43"/>
  <c r="S209" i="43"/>
  <c r="S208" i="43"/>
  <c r="S207" i="43"/>
  <c r="S206" i="43"/>
  <c r="S205" i="43"/>
  <c r="S204" i="43"/>
  <c r="S203" i="43"/>
  <c r="S202" i="43"/>
  <c r="S201" i="43"/>
  <c r="S200" i="43"/>
  <c r="S199" i="43"/>
  <c r="S198" i="43"/>
  <c r="S197" i="43"/>
  <c r="S196" i="43"/>
  <c r="S195" i="43"/>
  <c r="S194" i="43"/>
  <c r="S193" i="43"/>
  <c r="S192" i="43"/>
  <c r="S191" i="43"/>
  <c r="S190" i="43"/>
  <c r="S189" i="43"/>
  <c r="S188" i="43"/>
  <c r="S187" i="43"/>
  <c r="S186" i="43"/>
  <c r="S185" i="43"/>
  <c r="S184" i="43"/>
  <c r="S183" i="43"/>
  <c r="S182" i="43"/>
  <c r="S181" i="43"/>
  <c r="S180" i="43"/>
  <c r="S179" i="43"/>
  <c r="S178" i="43"/>
  <c r="S177" i="43"/>
  <c r="S176" i="43"/>
  <c r="S175" i="43"/>
  <c r="S174" i="43"/>
  <c r="S173" i="43"/>
  <c r="S172" i="43"/>
  <c r="S171" i="43"/>
  <c r="S170" i="43"/>
  <c r="S169" i="43"/>
  <c r="S168" i="43"/>
  <c r="S167" i="43"/>
  <c r="S166" i="43"/>
  <c r="S165" i="43"/>
  <c r="S164" i="43"/>
  <c r="S163" i="43"/>
  <c r="S162" i="43"/>
  <c r="S161" i="43"/>
  <c r="S160" i="43"/>
  <c r="S159" i="43"/>
  <c r="S158" i="43"/>
  <c r="S157" i="43"/>
  <c r="S156" i="43"/>
  <c r="S155" i="43"/>
  <c r="S154" i="43"/>
  <c r="S153" i="43"/>
  <c r="S152" i="43"/>
  <c r="S151" i="43"/>
  <c r="S150" i="43"/>
  <c r="S149" i="43"/>
  <c r="S148" i="43"/>
  <c r="S147" i="43"/>
  <c r="S146" i="43"/>
  <c r="S145" i="43"/>
  <c r="S144" i="43"/>
  <c r="S143" i="43"/>
  <c r="S142" i="43"/>
  <c r="S141" i="43"/>
  <c r="S140" i="43"/>
  <c r="S139" i="43"/>
  <c r="S138" i="43"/>
  <c r="S137" i="43"/>
  <c r="S136" i="43"/>
  <c r="S135" i="43"/>
  <c r="S134" i="43"/>
  <c r="S133" i="43"/>
  <c r="S132" i="43"/>
  <c r="S131" i="43"/>
  <c r="S130" i="43"/>
  <c r="S129" i="43"/>
  <c r="S128" i="43"/>
  <c r="S127" i="43"/>
  <c r="S126" i="43"/>
  <c r="S125" i="43"/>
  <c r="S124" i="43"/>
  <c r="S123" i="43"/>
  <c r="S122" i="43"/>
  <c r="S121" i="43"/>
  <c r="S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6" i="43"/>
  <c r="S105" i="43"/>
  <c r="S104" i="43"/>
  <c r="S103" i="43"/>
  <c r="S102" i="43"/>
  <c r="S101" i="43"/>
  <c r="S100" i="43"/>
  <c r="S99" i="43"/>
  <c r="S98" i="43"/>
  <c r="S97" i="43"/>
  <c r="S96" i="43"/>
  <c r="S95" i="43"/>
  <c r="S94" i="43"/>
  <c r="S93" i="43"/>
  <c r="S92" i="43"/>
  <c r="S91" i="43"/>
  <c r="S90" i="43"/>
  <c r="S89" i="43"/>
  <c r="S88" i="43"/>
  <c r="S87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2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8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14" i="43"/>
  <c r="S13" i="43"/>
  <c r="F34" i="43"/>
  <c r="F35" i="43"/>
  <c r="F36" i="43"/>
  <c r="F37" i="43"/>
  <c r="F33" i="43"/>
  <c r="F8" i="43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7" i="43"/>
  <c r="D7" i="43"/>
  <c r="E7" i="43"/>
  <c r="G7" i="43"/>
  <c r="D8" i="43"/>
  <c r="E8" i="43"/>
  <c r="G8" i="43"/>
  <c r="D9" i="43"/>
  <c r="E9" i="43"/>
  <c r="G9" i="43"/>
  <c r="D10" i="43"/>
  <c r="E10" i="43"/>
  <c r="G10" i="43"/>
  <c r="D11" i="43"/>
  <c r="E11" i="43"/>
  <c r="G11" i="43"/>
  <c r="D12" i="43"/>
  <c r="E12" i="43"/>
  <c r="G12" i="43"/>
  <c r="D13" i="43"/>
  <c r="E13" i="43"/>
  <c r="G13" i="43"/>
  <c r="D14" i="43"/>
  <c r="E14" i="43"/>
  <c r="G14" i="43"/>
  <c r="D15" i="43"/>
  <c r="E15" i="43"/>
  <c r="G15" i="43"/>
  <c r="D16" i="43"/>
  <c r="E16" i="43"/>
  <c r="G16" i="43"/>
  <c r="D17" i="43"/>
  <c r="E17" i="43"/>
  <c r="G17" i="43"/>
  <c r="D18" i="43"/>
  <c r="E18" i="43"/>
  <c r="G18" i="43"/>
  <c r="D19" i="43"/>
  <c r="E19" i="43"/>
  <c r="G19" i="43"/>
  <c r="D20" i="43"/>
  <c r="E20" i="43"/>
  <c r="G20" i="43"/>
  <c r="D21" i="43"/>
  <c r="E21" i="43"/>
  <c r="G21" i="43"/>
  <c r="D22" i="43"/>
  <c r="E22" i="43"/>
  <c r="G22" i="43"/>
  <c r="D23" i="43"/>
  <c r="E23" i="43"/>
  <c r="G23" i="43"/>
  <c r="D24" i="43"/>
  <c r="E24" i="43"/>
  <c r="G24" i="43"/>
  <c r="D25" i="43"/>
  <c r="E25" i="43"/>
  <c r="G25" i="43"/>
  <c r="D26" i="43"/>
  <c r="E26" i="43"/>
  <c r="G26" i="43"/>
  <c r="D27" i="43"/>
  <c r="E27" i="43"/>
  <c r="G27" i="43"/>
  <c r="D28" i="43"/>
  <c r="E28" i="43"/>
  <c r="G28" i="43"/>
  <c r="D29" i="43"/>
  <c r="E29" i="43"/>
  <c r="G29" i="43"/>
  <c r="D30" i="43"/>
  <c r="E30" i="43"/>
  <c r="G30" i="43"/>
  <c r="D31" i="43"/>
  <c r="E31" i="43"/>
  <c r="G31" i="43"/>
  <c r="D33" i="43"/>
  <c r="E33" i="43"/>
  <c r="G33" i="43"/>
  <c r="D34" i="43"/>
  <c r="E34" i="43"/>
  <c r="G34" i="43"/>
  <c r="D35" i="43"/>
  <c r="E35" i="43"/>
  <c r="G35" i="43"/>
  <c r="D36" i="43"/>
  <c r="E36" i="43"/>
  <c r="G36" i="43"/>
  <c r="D37" i="43"/>
  <c r="E37" i="43"/>
  <c r="G37" i="43"/>
  <c r="G39" i="43"/>
  <c r="K7" i="43"/>
  <c r="M7" i="43"/>
  <c r="N7" i="43"/>
  <c r="O7" i="43"/>
  <c r="K8" i="43"/>
  <c r="M8" i="43"/>
  <c r="N8" i="43"/>
  <c r="O8" i="43"/>
  <c r="K9" i="43"/>
  <c r="M9" i="43"/>
  <c r="N9" i="43"/>
  <c r="O9" i="43"/>
  <c r="K10" i="43"/>
  <c r="M10" i="43"/>
  <c r="N10" i="43"/>
  <c r="O10" i="43"/>
  <c r="K11" i="43"/>
  <c r="M11" i="43"/>
  <c r="N11" i="43"/>
  <c r="O11" i="43"/>
  <c r="K12" i="43"/>
  <c r="M12" i="43"/>
  <c r="N12" i="43"/>
  <c r="O12" i="43"/>
  <c r="K13" i="43"/>
  <c r="M13" i="43"/>
  <c r="N13" i="43"/>
  <c r="O13" i="43"/>
  <c r="O14" i="43"/>
  <c r="O16" i="43"/>
  <c r="M13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F111" i="39"/>
  <c r="F112" i="39"/>
  <c r="F113" i="39"/>
  <c r="F114" i="39"/>
  <c r="F115" i="39"/>
  <c r="F116" i="39"/>
  <c r="F117" i="39"/>
  <c r="F118" i="39"/>
  <c r="F119" i="39"/>
  <c r="F120" i="39"/>
  <c r="F121" i="39"/>
  <c r="F122" i="39"/>
  <c r="F123" i="39"/>
  <c r="F124" i="39"/>
  <c r="F125" i="39"/>
  <c r="F126" i="39"/>
  <c r="F127" i="39"/>
  <c r="F128" i="39"/>
  <c r="F129" i="39"/>
  <c r="F130" i="39"/>
  <c r="F131" i="39"/>
  <c r="F132" i="39"/>
  <c r="F133" i="39"/>
  <c r="F134" i="39"/>
  <c r="F135" i="39"/>
  <c r="F136" i="39"/>
  <c r="F137" i="39"/>
  <c r="F138" i="39"/>
  <c r="F139" i="39"/>
  <c r="F140" i="39"/>
  <c r="F141" i="39"/>
  <c r="F142" i="39"/>
  <c r="F143" i="39"/>
  <c r="F144" i="39"/>
  <c r="F145" i="39"/>
  <c r="F146" i="39"/>
  <c r="F147" i="39"/>
  <c r="F148" i="39"/>
  <c r="F149" i="39"/>
  <c r="F150" i="39"/>
  <c r="F151" i="39"/>
  <c r="F152" i="39"/>
  <c r="F153" i="39"/>
  <c r="F154" i="39"/>
  <c r="F155" i="39"/>
  <c r="F156" i="39"/>
  <c r="F157" i="39"/>
  <c r="F158" i="39"/>
  <c r="F159" i="39"/>
  <c r="F160" i="39"/>
  <c r="F161" i="39"/>
  <c r="F162" i="39"/>
  <c r="F163" i="39"/>
  <c r="F164" i="39"/>
  <c r="F165" i="39"/>
  <c r="F166" i="39"/>
  <c r="F167" i="39"/>
  <c r="F168" i="39"/>
  <c r="F169" i="39"/>
  <c r="F170" i="39"/>
  <c r="F171" i="39"/>
  <c r="F172" i="39"/>
  <c r="F173" i="39"/>
  <c r="F174" i="39"/>
  <c r="F175" i="39"/>
  <c r="F176" i="39"/>
  <c r="F177" i="39"/>
  <c r="F178" i="39"/>
  <c r="F179" i="39"/>
  <c r="F180" i="39"/>
  <c r="F181" i="39"/>
  <c r="F182" i="39"/>
  <c r="F183" i="39"/>
  <c r="F184" i="39"/>
  <c r="F185" i="39"/>
  <c r="F186" i="39"/>
  <c r="F187" i="39"/>
  <c r="F188" i="39"/>
  <c r="F189" i="39"/>
  <c r="F190" i="39"/>
  <c r="F191" i="39"/>
  <c r="F192" i="39"/>
  <c r="F193" i="39"/>
  <c r="F194" i="39"/>
  <c r="F195" i="39"/>
  <c r="F196" i="39"/>
  <c r="F197" i="39"/>
  <c r="F198" i="39"/>
  <c r="F199" i="39"/>
  <c r="F200" i="39"/>
  <c r="F201" i="39"/>
  <c r="F202" i="39"/>
  <c r="F203" i="39"/>
  <c r="F204" i="39"/>
  <c r="F205" i="39"/>
  <c r="F206" i="39"/>
  <c r="F207" i="39"/>
  <c r="F208" i="39"/>
  <c r="F209" i="39"/>
  <c r="F210" i="39"/>
  <c r="F211" i="39"/>
  <c r="F212" i="39"/>
  <c r="F213" i="39"/>
  <c r="F214" i="39"/>
  <c r="F215" i="39"/>
  <c r="F216" i="39"/>
  <c r="F217" i="39"/>
  <c r="F218" i="39"/>
  <c r="F219" i="39"/>
  <c r="F220" i="39"/>
  <c r="F221" i="39"/>
  <c r="F222" i="39"/>
  <c r="F223" i="39"/>
  <c r="F224" i="39"/>
  <c r="F225" i="39"/>
  <c r="F226" i="39"/>
  <c r="F227" i="39"/>
  <c r="F228" i="39"/>
  <c r="F229" i="39"/>
  <c r="F230" i="39"/>
  <c r="F231" i="39"/>
  <c r="F232" i="39"/>
  <c r="F233" i="39"/>
  <c r="F234" i="39"/>
  <c r="F235" i="39"/>
  <c r="F236" i="39"/>
  <c r="F237" i="39"/>
  <c r="F238" i="39"/>
  <c r="F239" i="39"/>
  <c r="F240" i="39"/>
  <c r="F241" i="39"/>
  <c r="F242" i="39"/>
  <c r="F243" i="39"/>
  <c r="F244" i="39"/>
  <c r="F245" i="39"/>
  <c r="F246" i="39"/>
  <c r="F247" i="39"/>
  <c r="F248" i="39"/>
  <c r="F249" i="39"/>
  <c r="F250" i="39"/>
  <c r="F251" i="39"/>
  <c r="F252" i="39"/>
  <c r="F253" i="39"/>
  <c r="F254" i="39"/>
  <c r="F255" i="39"/>
  <c r="F256" i="39"/>
  <c r="F257" i="39"/>
  <c r="F258" i="39"/>
  <c r="F259" i="39"/>
  <c r="F260" i="39"/>
  <c r="F261" i="39"/>
  <c r="F262" i="39"/>
  <c r="F263" i="39"/>
  <c r="F264" i="39"/>
  <c r="F265" i="39"/>
  <c r="F266" i="39"/>
  <c r="F267" i="39"/>
  <c r="F268" i="39"/>
  <c r="F269" i="39"/>
  <c r="F270" i="39"/>
  <c r="F271" i="39"/>
  <c r="F272" i="39"/>
  <c r="F273" i="39"/>
  <c r="F274" i="39"/>
  <c r="F275" i="39"/>
  <c r="F276" i="39"/>
  <c r="F277" i="39"/>
  <c r="F278" i="39"/>
  <c r="F279" i="39"/>
  <c r="F280" i="39"/>
  <c r="F281" i="39"/>
  <c r="F282" i="39"/>
  <c r="F283" i="39"/>
  <c r="F284" i="39"/>
  <c r="F285" i="39"/>
  <c r="F286" i="39"/>
  <c r="F287" i="39"/>
  <c r="F288" i="39"/>
  <c r="F289" i="39"/>
  <c r="F290" i="39"/>
  <c r="F291" i="39"/>
  <c r="F292" i="39"/>
  <c r="F293" i="39"/>
  <c r="F294" i="39"/>
  <c r="F295" i="39"/>
  <c r="F296" i="39"/>
  <c r="F297" i="39"/>
  <c r="F298" i="39"/>
  <c r="F299" i="39"/>
  <c r="F300" i="39"/>
  <c r="F301" i="39"/>
  <c r="F302" i="39"/>
  <c r="F303" i="39"/>
  <c r="F304" i="39"/>
  <c r="F305" i="39"/>
  <c r="F306" i="39"/>
  <c r="F307" i="39"/>
  <c r="F308" i="39"/>
  <c r="F309" i="39"/>
  <c r="F310" i="39"/>
  <c r="F311" i="39"/>
  <c r="F312" i="39"/>
  <c r="F313" i="39"/>
  <c r="F314" i="39"/>
  <c r="F315" i="39"/>
  <c r="F316" i="39"/>
  <c r="F317" i="39"/>
  <c r="F318" i="39"/>
  <c r="F319" i="39"/>
  <c r="F320" i="39"/>
  <c r="F321" i="39"/>
  <c r="F322" i="39"/>
  <c r="F323" i="39"/>
  <c r="F324" i="39"/>
  <c r="F325" i="39"/>
  <c r="F326" i="39"/>
  <c r="F327" i="39"/>
  <c r="F328" i="39"/>
  <c r="F329" i="39"/>
  <c r="F330" i="39"/>
  <c r="F331" i="39"/>
  <c r="F332" i="39"/>
  <c r="F333" i="39"/>
  <c r="F334" i="39"/>
  <c r="F335" i="39"/>
  <c r="F336" i="39"/>
  <c r="F337" i="39"/>
  <c r="F338" i="39"/>
  <c r="F339" i="39"/>
  <c r="F340" i="39"/>
  <c r="F341" i="39"/>
  <c r="F342" i="39"/>
  <c r="F343" i="39"/>
  <c r="F344" i="39"/>
  <c r="F345" i="39"/>
  <c r="F346" i="39"/>
  <c r="F347" i="39"/>
  <c r="F348" i="39"/>
  <c r="F349" i="39"/>
  <c r="F350" i="39"/>
  <c r="F351" i="39"/>
  <c r="F352" i="39"/>
  <c r="F353" i="39"/>
  <c r="F354" i="39"/>
  <c r="F355" i="39"/>
  <c r="F356" i="39"/>
  <c r="F357" i="39"/>
  <c r="F358" i="39"/>
  <c r="F359" i="39"/>
  <c r="F360" i="39"/>
  <c r="F361" i="39"/>
  <c r="F362" i="39"/>
  <c r="F363" i="39"/>
  <c r="F364" i="39"/>
  <c r="F365" i="39"/>
  <c r="F366" i="39"/>
  <c r="F367" i="39"/>
  <c r="F368" i="39"/>
  <c r="F369" i="39"/>
  <c r="F370" i="39"/>
  <c r="F371" i="39"/>
  <c r="F372" i="39"/>
  <c r="F373" i="39"/>
  <c r="F374" i="39"/>
  <c r="F375" i="39"/>
  <c r="F376" i="39"/>
  <c r="F377" i="39"/>
  <c r="F378" i="39"/>
  <c r="F379" i="39"/>
  <c r="F380" i="39"/>
  <c r="F381" i="39"/>
  <c r="F382" i="39"/>
  <c r="F383" i="39"/>
  <c r="F384" i="39"/>
  <c r="F385" i="39"/>
  <c r="F386" i="39"/>
  <c r="F387" i="39"/>
  <c r="F388" i="39"/>
  <c r="F389" i="39"/>
  <c r="F390" i="39"/>
  <c r="F391" i="39"/>
  <c r="F392" i="39"/>
  <c r="F393" i="39"/>
  <c r="F394" i="39"/>
  <c r="F395" i="39"/>
  <c r="F396" i="39"/>
  <c r="F397" i="39"/>
  <c r="F398" i="39"/>
  <c r="F399" i="39"/>
  <c r="F400" i="39"/>
  <c r="F401" i="39"/>
  <c r="F402" i="39"/>
  <c r="F403" i="39"/>
  <c r="F404" i="39"/>
  <c r="F405" i="39"/>
  <c r="F406" i="39"/>
  <c r="F407" i="39"/>
  <c r="F408" i="39"/>
  <c r="F409" i="39"/>
  <c r="F410" i="39"/>
  <c r="F411" i="39"/>
  <c r="F412" i="39"/>
  <c r="F413" i="39"/>
  <c r="F414" i="39"/>
  <c r="F415" i="39"/>
  <c r="F416" i="39"/>
  <c r="F417" i="39"/>
  <c r="F418" i="39"/>
  <c r="F419" i="39"/>
  <c r="F420" i="39"/>
  <c r="F421" i="39"/>
  <c r="F422" i="39"/>
  <c r="F423" i="39"/>
  <c r="F424" i="39"/>
  <c r="F425" i="39"/>
  <c r="F426" i="39"/>
  <c r="F427" i="39"/>
  <c r="F428" i="39"/>
  <c r="F429" i="39"/>
  <c r="F430" i="39"/>
  <c r="F431" i="39"/>
  <c r="F432" i="39"/>
  <c r="F433" i="39"/>
  <c r="F434" i="39"/>
  <c r="F435" i="39"/>
  <c r="F436" i="39"/>
  <c r="F437" i="39"/>
  <c r="F438" i="39"/>
  <c r="F439" i="39"/>
  <c r="F440" i="39"/>
  <c r="F441" i="39"/>
  <c r="F442" i="39"/>
  <c r="F443" i="39"/>
  <c r="F444" i="39"/>
  <c r="F445" i="39"/>
  <c r="F446" i="39"/>
  <c r="F447" i="39"/>
  <c r="F448" i="39"/>
  <c r="F449" i="39"/>
  <c r="F450" i="39"/>
  <c r="F451" i="39"/>
  <c r="F452" i="39"/>
  <c r="F453" i="39"/>
  <c r="F454" i="39"/>
  <c r="F455" i="39"/>
  <c r="F456" i="39"/>
  <c r="F457" i="39"/>
  <c r="F458" i="39"/>
  <c r="F459" i="39"/>
  <c r="F460" i="39"/>
  <c r="F461" i="39"/>
  <c r="F462" i="39"/>
  <c r="F463" i="39"/>
  <c r="F464" i="39"/>
  <c r="F465" i="39"/>
  <c r="F466" i="39"/>
  <c r="F467" i="39"/>
  <c r="F468" i="39"/>
  <c r="F469" i="39"/>
  <c r="F470" i="39"/>
  <c r="F471" i="39"/>
  <c r="F472" i="39"/>
  <c r="F473" i="39"/>
  <c r="F474" i="39"/>
  <c r="F475" i="39"/>
  <c r="F476" i="39"/>
  <c r="F477" i="39"/>
  <c r="F478" i="39"/>
  <c r="F479" i="39"/>
  <c r="F480" i="39"/>
  <c r="F481" i="39"/>
  <c r="F482" i="39"/>
  <c r="F483" i="39"/>
  <c r="F484" i="39"/>
  <c r="F485" i="39"/>
  <c r="F486" i="39"/>
  <c r="F487" i="39"/>
  <c r="F488" i="39"/>
  <c r="F489" i="39"/>
  <c r="F490" i="39"/>
  <c r="F491" i="39"/>
  <c r="F492" i="39"/>
  <c r="F493" i="39"/>
  <c r="F494" i="39"/>
  <c r="F495" i="39"/>
  <c r="F496" i="39"/>
  <c r="F497" i="39"/>
  <c r="F498" i="39"/>
  <c r="F499" i="39"/>
  <c r="F500" i="39"/>
  <c r="F501" i="39"/>
  <c r="F502" i="39"/>
  <c r="F503" i="39"/>
  <c r="F504" i="39"/>
  <c r="F505" i="39"/>
  <c r="F506" i="39"/>
  <c r="F507" i="39"/>
  <c r="F508" i="39"/>
  <c r="F509" i="39"/>
  <c r="F510" i="39"/>
  <c r="F511" i="39"/>
  <c r="F512" i="39"/>
  <c r="F513" i="39"/>
  <c r="F514" i="39"/>
  <c r="F515" i="39"/>
  <c r="F516" i="39"/>
  <c r="F517" i="39"/>
  <c r="F518" i="39"/>
  <c r="F519" i="39"/>
  <c r="F520" i="39"/>
  <c r="F521" i="39"/>
  <c r="F522" i="39"/>
  <c r="F523" i="39"/>
  <c r="F524" i="39"/>
  <c r="F525" i="39"/>
  <c r="F526" i="39"/>
  <c r="F527" i="39"/>
  <c r="F528" i="39"/>
  <c r="F529" i="39"/>
  <c r="F530" i="39"/>
  <c r="F531" i="39"/>
  <c r="F532" i="39"/>
  <c r="F533" i="39"/>
  <c r="F534" i="39"/>
  <c r="F535" i="39"/>
  <c r="F536" i="39"/>
  <c r="F537" i="39"/>
  <c r="F538" i="39"/>
  <c r="F539" i="39"/>
  <c r="F540" i="39"/>
  <c r="F541" i="39"/>
  <c r="F542" i="39"/>
  <c r="F543" i="39"/>
  <c r="F544" i="39"/>
  <c r="F545" i="39"/>
  <c r="F546" i="39"/>
  <c r="F547" i="39"/>
  <c r="F548" i="39"/>
  <c r="F549" i="39"/>
  <c r="F550" i="39"/>
  <c r="F551" i="39"/>
  <c r="F552" i="39"/>
  <c r="F553" i="39"/>
  <c r="F554" i="39"/>
  <c r="F555" i="39"/>
  <c r="F556" i="39"/>
  <c r="F557" i="39"/>
  <c r="F558" i="39"/>
  <c r="F559" i="39"/>
  <c r="F560" i="39"/>
  <c r="F561" i="39"/>
  <c r="F562" i="39"/>
  <c r="F563" i="39"/>
  <c r="F564" i="39"/>
  <c r="F565" i="39"/>
  <c r="F566" i="39"/>
  <c r="F567" i="39"/>
  <c r="F568" i="39"/>
  <c r="F569" i="39"/>
  <c r="F570" i="39"/>
  <c r="F571" i="39"/>
  <c r="F572" i="39"/>
  <c r="F573" i="39"/>
  <c r="F574" i="39"/>
  <c r="F575" i="39"/>
  <c r="F576" i="39"/>
  <c r="F577" i="39"/>
  <c r="F578" i="39"/>
  <c r="F579" i="39"/>
  <c r="F580" i="39"/>
  <c r="F581" i="39"/>
  <c r="F582" i="39"/>
  <c r="F583" i="39"/>
  <c r="F584" i="39"/>
  <c r="F585" i="39"/>
  <c r="F586" i="39"/>
  <c r="F587" i="39"/>
  <c r="F588" i="39"/>
  <c r="F589" i="39"/>
  <c r="F590" i="39"/>
  <c r="F591" i="39"/>
  <c r="F592" i="39"/>
  <c r="F593" i="39"/>
  <c r="F594" i="39"/>
  <c r="F595" i="39"/>
  <c r="F596" i="39"/>
  <c r="F597" i="39"/>
  <c r="F598" i="39"/>
  <c r="F599" i="39"/>
  <c r="F600" i="39"/>
  <c r="F601" i="39"/>
  <c r="F602" i="39"/>
  <c r="F603" i="39"/>
  <c r="F604" i="39"/>
  <c r="F605" i="39"/>
  <c r="F606" i="39"/>
  <c r="F607" i="39"/>
  <c r="F608" i="39"/>
  <c r="F609" i="39"/>
  <c r="F610" i="39"/>
  <c r="F611" i="39"/>
  <c r="F612" i="39"/>
  <c r="F613" i="39"/>
  <c r="F614" i="39"/>
  <c r="F615" i="39"/>
  <c r="F616" i="39"/>
  <c r="F617" i="39"/>
  <c r="F618" i="39"/>
  <c r="F619" i="39"/>
  <c r="F620" i="39"/>
  <c r="F621" i="39"/>
  <c r="F622" i="39"/>
  <c r="F623" i="39"/>
  <c r="F624" i="39"/>
  <c r="F625" i="39"/>
  <c r="F626" i="39"/>
  <c r="F627" i="39"/>
  <c r="F628" i="39"/>
  <c r="F629" i="39"/>
  <c r="F630" i="39"/>
  <c r="F631" i="39"/>
  <c r="F632" i="39"/>
  <c r="F633" i="39"/>
  <c r="F634" i="39"/>
  <c r="F635" i="39"/>
  <c r="F636" i="39"/>
  <c r="F637" i="39"/>
  <c r="F638" i="39"/>
  <c r="F639" i="39"/>
  <c r="F640" i="39"/>
  <c r="F641" i="39"/>
  <c r="F642" i="39"/>
  <c r="F643" i="39"/>
  <c r="F644" i="39"/>
  <c r="F645" i="39"/>
  <c r="F646" i="39"/>
  <c r="F647" i="39"/>
  <c r="F648" i="39"/>
  <c r="F649" i="39"/>
  <c r="F650" i="39"/>
  <c r="F651" i="39"/>
  <c r="F652" i="39"/>
  <c r="F653" i="39"/>
  <c r="F654" i="39"/>
  <c r="F655" i="39"/>
  <c r="F656" i="39"/>
  <c r="F657" i="39"/>
  <c r="F658" i="39"/>
  <c r="F659" i="39"/>
  <c r="F660" i="39"/>
  <c r="F661" i="39"/>
  <c r="F662" i="39"/>
  <c r="F663" i="39"/>
  <c r="F664" i="39"/>
  <c r="F665" i="39"/>
  <c r="F666" i="39"/>
  <c r="F667" i="39"/>
  <c r="F668" i="39"/>
  <c r="F669" i="39"/>
  <c r="F670" i="39"/>
  <c r="F671" i="39"/>
  <c r="F672" i="39"/>
  <c r="F673" i="39"/>
  <c r="F674" i="39"/>
  <c r="F675" i="39"/>
  <c r="F676" i="39"/>
  <c r="F677" i="39"/>
  <c r="F678" i="39"/>
  <c r="F679" i="39"/>
  <c r="F680" i="39"/>
  <c r="F681" i="39"/>
  <c r="F682" i="39"/>
  <c r="F683" i="39"/>
  <c r="F684" i="39"/>
  <c r="F685" i="39"/>
  <c r="F686" i="39"/>
  <c r="F687" i="39"/>
  <c r="F688" i="39"/>
  <c r="F689" i="39"/>
  <c r="F690" i="39"/>
  <c r="F691" i="39"/>
  <c r="F692" i="39"/>
  <c r="F693" i="39"/>
  <c r="F694" i="39"/>
  <c r="F695" i="39"/>
  <c r="F696" i="39"/>
  <c r="F697" i="39"/>
  <c r="F698" i="39"/>
  <c r="F699" i="39"/>
  <c r="F700" i="39"/>
  <c r="F701" i="39"/>
  <c r="F702" i="39"/>
  <c r="F703" i="39"/>
  <c r="F704" i="39"/>
  <c r="F705" i="39"/>
  <c r="F706" i="39"/>
  <c r="F707" i="39"/>
  <c r="F708" i="39"/>
  <c r="F709" i="39"/>
  <c r="F710" i="39"/>
  <c r="F711" i="39"/>
  <c r="F712" i="39"/>
  <c r="F713" i="39"/>
  <c r="F714" i="39"/>
  <c r="F715" i="39"/>
  <c r="F716" i="39"/>
  <c r="F717" i="39"/>
  <c r="F718" i="39"/>
  <c r="F719" i="39"/>
  <c r="F720" i="39"/>
  <c r="F721" i="39"/>
  <c r="F722" i="39"/>
  <c r="F723" i="39"/>
  <c r="F724" i="39"/>
  <c r="F725" i="39"/>
  <c r="F726" i="39"/>
  <c r="F727" i="39"/>
  <c r="F728" i="39"/>
  <c r="F729" i="39"/>
  <c r="F730" i="39"/>
  <c r="F731" i="39"/>
  <c r="F732" i="39"/>
  <c r="F733" i="39"/>
  <c r="F734" i="39"/>
  <c r="F735" i="39"/>
  <c r="F736" i="39"/>
  <c r="F737" i="39"/>
  <c r="F738" i="39"/>
  <c r="F739" i="39"/>
  <c r="F740" i="39"/>
  <c r="F741" i="39"/>
  <c r="F742" i="39"/>
  <c r="F743" i="39"/>
  <c r="F744" i="39"/>
  <c r="F745" i="39"/>
  <c r="F746" i="39"/>
  <c r="F747" i="39"/>
  <c r="F748" i="39"/>
  <c r="F749" i="39"/>
  <c r="F750" i="39"/>
  <c r="F751" i="39"/>
  <c r="F752" i="39"/>
  <c r="F753" i="39"/>
  <c r="F754" i="39"/>
  <c r="F755" i="39"/>
  <c r="F756" i="39"/>
  <c r="F757" i="39"/>
  <c r="F758" i="39"/>
  <c r="F759" i="39"/>
  <c r="F760" i="39"/>
  <c r="F761" i="39"/>
  <c r="F762" i="39"/>
  <c r="F763" i="39"/>
  <c r="F764" i="39"/>
  <c r="F765" i="39"/>
  <c r="F766" i="39"/>
  <c r="F767" i="39"/>
  <c r="F768" i="39"/>
  <c r="F769" i="39"/>
  <c r="F770" i="39"/>
  <c r="F771" i="39"/>
  <c r="F772" i="39"/>
  <c r="F773" i="39"/>
  <c r="F774" i="39"/>
  <c r="F775" i="39"/>
  <c r="F776" i="39"/>
  <c r="F777" i="39"/>
  <c r="F778" i="39"/>
  <c r="F779" i="39"/>
  <c r="F780" i="39"/>
  <c r="F781" i="39"/>
  <c r="F782" i="39"/>
  <c r="F783" i="39"/>
  <c r="F784" i="39"/>
  <c r="F785" i="39"/>
  <c r="F786" i="39"/>
  <c r="F787" i="39"/>
  <c r="F788" i="39"/>
  <c r="F789" i="39"/>
  <c r="F790" i="39"/>
  <c r="F791" i="39"/>
  <c r="F792" i="39"/>
  <c r="F793" i="39"/>
  <c r="F794" i="39"/>
  <c r="F795" i="39"/>
  <c r="F796" i="39"/>
  <c r="F797" i="39"/>
  <c r="F798" i="39"/>
  <c r="F799" i="39"/>
  <c r="F800" i="39"/>
  <c r="F801" i="39"/>
  <c r="F802" i="39"/>
  <c r="F803" i="39"/>
  <c r="F804" i="39"/>
  <c r="F805" i="39"/>
  <c r="F806" i="39"/>
  <c r="F807" i="39"/>
  <c r="F808" i="39"/>
  <c r="F809" i="39"/>
  <c r="F810" i="39"/>
  <c r="F811" i="39"/>
  <c r="F812" i="39"/>
  <c r="F813" i="39"/>
  <c r="F814" i="39"/>
  <c r="F815" i="39"/>
  <c r="F816" i="39"/>
  <c r="F817" i="39"/>
  <c r="F818" i="39"/>
  <c r="F819" i="39"/>
  <c r="F820" i="39"/>
  <c r="F821" i="39"/>
  <c r="F822" i="39"/>
  <c r="F823" i="39"/>
  <c r="F824" i="39"/>
  <c r="F825" i="39"/>
  <c r="F826" i="39"/>
  <c r="F827" i="39"/>
  <c r="F828" i="39"/>
  <c r="F829" i="39"/>
  <c r="F830" i="39"/>
  <c r="F831" i="39"/>
  <c r="F832" i="39"/>
  <c r="F833" i="39"/>
  <c r="F834" i="39"/>
  <c r="F835" i="39"/>
  <c r="F836" i="39"/>
  <c r="F837" i="39"/>
  <c r="F838" i="39"/>
  <c r="F839" i="39"/>
  <c r="F840" i="39"/>
  <c r="F841" i="39"/>
  <c r="F842" i="39"/>
  <c r="F843" i="39"/>
  <c r="F844" i="39"/>
  <c r="F845" i="39"/>
  <c r="F846" i="39"/>
  <c r="F847" i="39"/>
  <c r="F848" i="39"/>
  <c r="F849" i="39"/>
  <c r="F850" i="39"/>
  <c r="F851" i="39"/>
  <c r="F852" i="39"/>
  <c r="F853" i="39"/>
  <c r="F854" i="39"/>
  <c r="F855" i="39"/>
  <c r="F856" i="39"/>
  <c r="F857" i="39"/>
  <c r="F858" i="39"/>
  <c r="F859" i="39"/>
  <c r="F860" i="39"/>
  <c r="F861" i="39"/>
  <c r="F862" i="39"/>
  <c r="F863" i="39"/>
  <c r="F864" i="39"/>
  <c r="F865" i="39"/>
  <c r="F866" i="39"/>
  <c r="F867" i="39"/>
  <c r="F868" i="39"/>
  <c r="F869" i="39"/>
  <c r="F870" i="39"/>
  <c r="F871" i="39"/>
  <c r="F872" i="39"/>
  <c r="F873" i="39"/>
  <c r="F874" i="39"/>
  <c r="F875" i="39"/>
  <c r="F876" i="39"/>
  <c r="F877" i="39"/>
  <c r="F878" i="39"/>
  <c r="F879" i="39"/>
  <c r="F880" i="39"/>
  <c r="F881" i="39"/>
  <c r="F882" i="39"/>
  <c r="F883" i="39"/>
  <c r="F884" i="39"/>
  <c r="F885" i="39"/>
  <c r="F886" i="39"/>
  <c r="F887" i="39"/>
  <c r="F888" i="39"/>
  <c r="F889" i="39"/>
  <c r="F890" i="39"/>
  <c r="F891" i="39"/>
  <c r="F892" i="39"/>
  <c r="F893" i="39"/>
  <c r="F894" i="39"/>
  <c r="F895" i="39"/>
  <c r="F896" i="39"/>
  <c r="F897" i="39"/>
  <c r="F898" i="39"/>
  <c r="F899" i="39"/>
  <c r="F900" i="39"/>
  <c r="F901" i="39"/>
  <c r="F902" i="39"/>
  <c r="F903" i="39"/>
  <c r="F904" i="39"/>
  <c r="F905" i="39"/>
  <c r="F906" i="39"/>
  <c r="F907" i="39"/>
  <c r="F908" i="39"/>
  <c r="F909" i="39"/>
  <c r="F910" i="39"/>
  <c r="F911" i="39"/>
  <c r="F912" i="39"/>
  <c r="F913" i="39"/>
  <c r="F914" i="39"/>
  <c r="F915" i="39"/>
  <c r="F916" i="39"/>
  <c r="F917" i="39"/>
  <c r="F918" i="39"/>
  <c r="F919" i="39"/>
  <c r="F920" i="39"/>
  <c r="F921" i="39"/>
  <c r="F922" i="39"/>
  <c r="F923" i="39"/>
  <c r="F924" i="39"/>
  <c r="F925" i="39"/>
  <c r="F926" i="39"/>
  <c r="F927" i="39"/>
  <c r="F928" i="39"/>
  <c r="F929" i="39"/>
  <c r="F930" i="39"/>
  <c r="F931" i="39"/>
  <c r="F932" i="39"/>
  <c r="F933" i="39"/>
  <c r="F934" i="39"/>
  <c r="F935" i="39"/>
  <c r="F936" i="39"/>
  <c r="F937" i="39"/>
  <c r="F938" i="39"/>
  <c r="F939" i="39"/>
  <c r="F940" i="39"/>
  <c r="F941" i="39"/>
  <c r="F942" i="39"/>
  <c r="F943" i="39"/>
  <c r="F944" i="39"/>
  <c r="F945" i="39"/>
  <c r="F946" i="39"/>
  <c r="F947" i="39"/>
  <c r="F948" i="39"/>
  <c r="F949" i="39"/>
  <c r="F950" i="39"/>
  <c r="F951" i="39"/>
  <c r="F952" i="39"/>
  <c r="F953" i="39"/>
  <c r="F954" i="39"/>
  <c r="F955" i="39"/>
  <c r="F956" i="39"/>
  <c r="F957" i="39"/>
  <c r="F958" i="39"/>
  <c r="F959" i="39"/>
  <c r="F960" i="39"/>
  <c r="F961" i="39"/>
  <c r="F962" i="39"/>
  <c r="F963" i="39"/>
  <c r="F964" i="39"/>
  <c r="F965" i="39"/>
  <c r="F966" i="39"/>
  <c r="F967" i="39"/>
  <c r="F968" i="39"/>
  <c r="F969" i="39"/>
  <c r="F970" i="39"/>
  <c r="F971" i="39"/>
  <c r="F972" i="39"/>
  <c r="F973" i="39"/>
  <c r="F974" i="39"/>
  <c r="F975" i="39"/>
  <c r="F976" i="39"/>
  <c r="F977" i="39"/>
  <c r="F978" i="39"/>
  <c r="F979" i="39"/>
  <c r="F980" i="39"/>
  <c r="F981" i="39"/>
  <c r="F982" i="39"/>
  <c r="F983" i="39"/>
  <c r="F984" i="39"/>
  <c r="F985" i="39"/>
  <c r="F986" i="39"/>
  <c r="F987" i="39"/>
  <c r="F988" i="39"/>
  <c r="F989" i="39"/>
  <c r="F990" i="39"/>
  <c r="F991" i="39"/>
  <c r="F992" i="39"/>
  <c r="F993" i="39"/>
  <c r="F994" i="39"/>
  <c r="F995" i="39"/>
  <c r="F996" i="39"/>
  <c r="F997" i="39"/>
  <c r="F998" i="39"/>
  <c r="F999" i="39"/>
  <c r="F1000" i="39"/>
  <c r="F1001" i="39"/>
  <c r="F1002" i="39"/>
  <c r="F1003" i="39"/>
  <c r="F1004" i="39"/>
  <c r="F1005" i="39"/>
  <c r="F1006" i="39"/>
  <c r="F1007" i="39"/>
  <c r="F1008" i="39"/>
  <c r="F1009" i="39"/>
  <c r="F1010" i="39"/>
  <c r="F1011" i="39"/>
  <c r="F1012" i="39"/>
  <c r="F1013" i="39"/>
  <c r="F1014" i="39"/>
  <c r="F1015" i="39"/>
  <c r="F1016" i="39"/>
  <c r="F1017" i="39"/>
  <c r="F1018" i="39"/>
  <c r="F1019" i="39"/>
  <c r="F1020" i="39"/>
  <c r="F1021" i="39"/>
  <c r="F1022" i="39"/>
  <c r="F1023" i="39"/>
  <c r="F1024" i="39"/>
  <c r="F1025" i="39"/>
  <c r="F1026" i="39"/>
  <c r="F1027" i="39"/>
  <c r="F1028" i="39"/>
  <c r="F1029" i="39"/>
  <c r="F1030" i="39"/>
  <c r="F1031" i="39"/>
  <c r="F1032" i="39"/>
  <c r="F1033" i="39"/>
  <c r="F1034" i="39"/>
  <c r="F1035" i="39"/>
  <c r="F1036" i="39"/>
  <c r="F1037" i="39"/>
  <c r="F1038" i="39"/>
  <c r="F1039" i="39"/>
  <c r="F1040" i="39"/>
  <c r="F1041" i="39"/>
  <c r="F1042" i="39"/>
  <c r="F1043" i="39"/>
  <c r="F1044" i="39"/>
  <c r="F1045" i="39"/>
  <c r="F1046" i="39"/>
  <c r="F1047" i="39"/>
  <c r="F1048" i="39"/>
  <c r="F1049" i="39"/>
  <c r="F1050" i="39"/>
  <c r="F1051" i="39"/>
  <c r="F1052" i="39"/>
  <c r="F1053" i="39"/>
  <c r="F1054" i="39"/>
  <c r="F1055" i="39"/>
  <c r="F1056" i="39"/>
  <c r="F1057" i="39"/>
  <c r="F1058" i="39"/>
  <c r="F1059" i="39"/>
  <c r="F1060" i="39"/>
  <c r="F1061" i="39"/>
  <c r="F1062" i="39"/>
  <c r="F1063" i="39"/>
  <c r="F1064" i="39"/>
  <c r="F1065" i="39"/>
  <c r="F1066" i="39"/>
  <c r="F1067" i="39"/>
  <c r="F1068" i="39"/>
  <c r="F1069" i="39"/>
  <c r="F1070" i="39"/>
  <c r="F1071" i="39"/>
  <c r="F1072" i="39"/>
  <c r="F1073" i="39"/>
  <c r="F1074" i="39"/>
  <c r="F1075" i="39"/>
  <c r="F1076" i="39"/>
  <c r="F1077" i="39"/>
  <c r="F1078" i="39"/>
  <c r="F1079" i="39"/>
  <c r="F1080" i="39"/>
  <c r="F1081" i="39"/>
  <c r="F1082" i="39"/>
  <c r="F1083" i="39"/>
  <c r="F1084" i="39"/>
  <c r="F1085" i="39"/>
  <c r="F1086" i="39"/>
  <c r="F1087" i="39"/>
  <c r="F1088" i="39"/>
  <c r="F1089" i="39"/>
  <c r="F1090" i="39"/>
  <c r="F1091" i="39"/>
  <c r="F1092" i="39"/>
  <c r="F1093" i="39"/>
  <c r="F1094" i="39"/>
  <c r="F1095" i="39"/>
  <c r="F1096" i="39"/>
  <c r="F1097" i="39"/>
  <c r="F1098" i="39"/>
  <c r="F1099" i="39"/>
  <c r="F1100" i="39"/>
  <c r="F1101" i="39"/>
  <c r="F1102" i="39"/>
  <c r="F1103" i="39"/>
  <c r="F1104" i="39"/>
  <c r="F1105" i="39"/>
  <c r="F1106" i="39"/>
  <c r="F1107" i="39"/>
  <c r="F1108" i="39"/>
  <c r="F1109" i="39"/>
  <c r="F1110" i="39"/>
  <c r="F1111" i="39"/>
  <c r="F1112" i="39"/>
  <c r="F1113" i="39"/>
  <c r="F1114" i="39"/>
  <c r="F1115" i="39"/>
  <c r="F1116" i="39"/>
  <c r="F1117" i="39"/>
  <c r="F1118" i="39"/>
  <c r="F1119" i="39"/>
  <c r="F1120" i="39"/>
  <c r="F1121" i="39"/>
  <c r="F1122" i="39"/>
  <c r="F1123" i="39"/>
  <c r="F1124" i="39"/>
  <c r="F1125" i="39"/>
  <c r="F1126" i="39"/>
  <c r="F1127" i="39"/>
  <c r="F1128" i="39"/>
  <c r="F1129" i="39"/>
  <c r="F1130" i="39"/>
  <c r="F1131" i="39"/>
  <c r="F1132" i="39"/>
  <c r="F1133" i="39"/>
  <c r="F1134" i="39"/>
  <c r="F1135" i="39"/>
  <c r="F1136" i="39"/>
  <c r="F1137" i="39"/>
  <c r="F1138" i="39"/>
  <c r="F1139" i="39"/>
  <c r="F1140" i="39"/>
  <c r="F1141" i="39"/>
  <c r="F1142" i="39"/>
  <c r="F1143" i="39"/>
  <c r="F1144" i="39"/>
  <c r="F1145" i="39"/>
  <c r="F1146" i="39"/>
  <c r="F1147" i="39"/>
  <c r="F1148" i="39"/>
  <c r="F1149" i="39"/>
  <c r="F1150" i="39"/>
  <c r="F1151" i="39"/>
  <c r="F1152" i="39"/>
  <c r="F1153" i="39"/>
  <c r="F1154" i="39"/>
  <c r="F1155" i="39"/>
  <c r="F1156" i="39"/>
  <c r="F1157" i="39"/>
  <c r="F1158" i="39"/>
  <c r="F1159" i="39"/>
  <c r="F1160" i="39"/>
  <c r="F1161" i="39"/>
  <c r="F1162" i="39"/>
  <c r="F1163" i="39"/>
  <c r="F1164" i="39"/>
  <c r="F1165" i="39"/>
  <c r="F1166" i="39"/>
  <c r="F1167" i="39"/>
  <c r="F1168" i="39"/>
  <c r="F1169" i="39"/>
  <c r="F1170" i="39"/>
  <c r="F1171" i="39"/>
  <c r="F1172" i="39"/>
  <c r="F1173" i="39"/>
  <c r="F1174" i="39"/>
  <c r="F1175" i="39"/>
  <c r="F1176" i="39"/>
  <c r="F1177" i="39"/>
  <c r="F1178" i="39"/>
  <c r="F1179" i="39"/>
  <c r="F1180" i="39"/>
  <c r="F1181" i="39"/>
  <c r="F1182" i="39"/>
  <c r="F1183" i="39"/>
  <c r="F1184" i="39"/>
  <c r="F1185" i="39"/>
  <c r="F1186" i="39"/>
  <c r="F1187" i="39"/>
  <c r="F1188" i="39"/>
  <c r="F1189" i="39"/>
  <c r="F1190" i="39"/>
  <c r="F1191" i="39"/>
  <c r="F1192" i="39"/>
  <c r="F1193" i="39"/>
  <c r="F1194" i="39"/>
  <c r="F1195" i="39"/>
  <c r="F1196" i="39"/>
  <c r="F1197" i="39"/>
  <c r="F1198" i="39"/>
  <c r="F1199" i="39"/>
  <c r="F1200" i="39"/>
  <c r="F1201" i="39"/>
  <c r="F1202" i="39"/>
  <c r="F1203" i="39"/>
  <c r="F1204" i="39"/>
  <c r="F1205" i="39"/>
  <c r="F1206" i="39"/>
  <c r="F1207" i="39"/>
  <c r="F1208" i="39"/>
  <c r="F1209" i="39"/>
  <c r="F1210" i="39"/>
  <c r="F1211" i="39"/>
  <c r="F1212" i="39"/>
  <c r="F1213" i="39"/>
  <c r="F14" i="39"/>
  <c r="B15" i="39"/>
  <c r="I15" i="39"/>
  <c r="B16" i="39"/>
  <c r="I16" i="39"/>
  <c r="B17" i="39"/>
  <c r="C17" i="39"/>
  <c r="D17" i="39"/>
  <c r="E17" i="39"/>
  <c r="I17" i="39"/>
  <c r="B18" i="39"/>
  <c r="C18" i="39"/>
  <c r="D18" i="39"/>
  <c r="E18" i="39"/>
  <c r="I18" i="39"/>
  <c r="B19" i="39"/>
  <c r="C19" i="39"/>
  <c r="D19" i="39"/>
  <c r="E19" i="39"/>
  <c r="I19" i="39"/>
  <c r="B20" i="39"/>
  <c r="C20" i="39"/>
  <c r="D20" i="39"/>
  <c r="E20" i="39"/>
  <c r="I20" i="39"/>
  <c r="B21" i="39"/>
  <c r="C21" i="39"/>
  <c r="D21" i="39"/>
  <c r="E21" i="39"/>
  <c r="I21" i="39"/>
  <c r="B22" i="39"/>
  <c r="C22" i="39"/>
  <c r="D22" i="39"/>
  <c r="E22" i="39"/>
  <c r="I22" i="39"/>
  <c r="B23" i="39"/>
  <c r="C23" i="39"/>
  <c r="D23" i="39"/>
  <c r="E23" i="39"/>
  <c r="I23" i="39"/>
  <c r="B24" i="39"/>
  <c r="C24" i="39"/>
  <c r="D24" i="39"/>
  <c r="E24" i="39"/>
  <c r="I24" i="39"/>
  <c r="B25" i="39"/>
  <c r="C25" i="39"/>
  <c r="D25" i="39"/>
  <c r="E25" i="39"/>
  <c r="I25" i="39"/>
  <c r="B26" i="39"/>
  <c r="C26" i="39"/>
  <c r="D26" i="39"/>
  <c r="E26" i="39"/>
  <c r="I26" i="39"/>
  <c r="B27" i="39"/>
  <c r="C27" i="39"/>
  <c r="D27" i="39"/>
  <c r="E27" i="39"/>
  <c r="I27" i="39"/>
  <c r="B28" i="39"/>
  <c r="C28" i="39"/>
  <c r="D28" i="39"/>
  <c r="E28" i="39"/>
  <c r="I28" i="39"/>
  <c r="B29" i="39"/>
  <c r="C29" i="39"/>
  <c r="D29" i="39"/>
  <c r="E29" i="39"/>
  <c r="I29" i="39"/>
  <c r="B30" i="39"/>
  <c r="C30" i="39"/>
  <c r="D30" i="39"/>
  <c r="E30" i="39"/>
  <c r="I30" i="39"/>
  <c r="B31" i="39"/>
  <c r="C31" i="39"/>
  <c r="D31" i="39"/>
  <c r="E31" i="39"/>
  <c r="I31" i="39"/>
  <c r="B32" i="39"/>
  <c r="C32" i="39"/>
  <c r="D32" i="39"/>
  <c r="E32" i="39"/>
  <c r="I32" i="39"/>
  <c r="B33" i="39"/>
  <c r="C33" i="39"/>
  <c r="D33" i="39"/>
  <c r="E33" i="39"/>
  <c r="I33" i="39"/>
  <c r="B34" i="39"/>
  <c r="C34" i="39"/>
  <c r="D34" i="39"/>
  <c r="E34" i="39"/>
  <c r="I34" i="39"/>
  <c r="B35" i="39"/>
  <c r="C35" i="39"/>
  <c r="D35" i="39"/>
  <c r="E35" i="39"/>
  <c r="I35" i="39"/>
  <c r="B36" i="39"/>
  <c r="C36" i="39"/>
  <c r="D36" i="39"/>
  <c r="E36" i="39"/>
  <c r="I36" i="39"/>
  <c r="B37" i="39"/>
  <c r="C37" i="39"/>
  <c r="D37" i="39"/>
  <c r="E37" i="39"/>
  <c r="I37" i="39"/>
  <c r="B38" i="39"/>
  <c r="C38" i="39"/>
  <c r="D38" i="39"/>
  <c r="E38" i="39"/>
  <c r="I38" i="39"/>
  <c r="B39" i="39"/>
  <c r="C39" i="39"/>
  <c r="D39" i="39"/>
  <c r="E39" i="39"/>
  <c r="I39" i="39"/>
  <c r="B40" i="39"/>
  <c r="C40" i="39"/>
  <c r="D40" i="39"/>
  <c r="E40" i="39"/>
  <c r="I40" i="39"/>
  <c r="B41" i="39"/>
  <c r="C41" i="39"/>
  <c r="D41" i="39"/>
  <c r="E41" i="39"/>
  <c r="I41" i="39"/>
  <c r="B42" i="39"/>
  <c r="C42" i="39"/>
  <c r="D42" i="39"/>
  <c r="E42" i="39"/>
  <c r="I42" i="39"/>
  <c r="B43" i="39"/>
  <c r="C43" i="39"/>
  <c r="D43" i="39"/>
  <c r="E43" i="39"/>
  <c r="I43" i="39"/>
  <c r="B44" i="39"/>
  <c r="C44" i="39"/>
  <c r="D44" i="39"/>
  <c r="E44" i="39"/>
  <c r="I44" i="39"/>
  <c r="B45" i="39"/>
  <c r="C45" i="39"/>
  <c r="D45" i="39"/>
  <c r="E45" i="39"/>
  <c r="I45" i="39"/>
  <c r="B46" i="39"/>
  <c r="C46" i="39"/>
  <c r="D46" i="39"/>
  <c r="E46" i="39"/>
  <c r="I46" i="39"/>
  <c r="B47" i="39"/>
  <c r="C47" i="39"/>
  <c r="D47" i="39"/>
  <c r="E47" i="39"/>
  <c r="I47" i="39"/>
  <c r="B48" i="39"/>
  <c r="C48" i="39"/>
  <c r="D48" i="39"/>
  <c r="E48" i="39"/>
  <c r="I48" i="39"/>
  <c r="B49" i="39"/>
  <c r="C49" i="39"/>
  <c r="D49" i="39"/>
  <c r="E49" i="39"/>
  <c r="I49" i="39"/>
  <c r="B50" i="39"/>
  <c r="C50" i="39"/>
  <c r="D50" i="39"/>
  <c r="E50" i="39"/>
  <c r="I50" i="39"/>
  <c r="B51" i="39"/>
  <c r="C51" i="39"/>
  <c r="D51" i="39"/>
  <c r="E51" i="39"/>
  <c r="I51" i="39"/>
  <c r="B52" i="39"/>
  <c r="C52" i="39"/>
  <c r="D52" i="39"/>
  <c r="E52" i="39"/>
  <c r="I52" i="39"/>
  <c r="B53" i="39"/>
  <c r="C53" i="39"/>
  <c r="D53" i="39"/>
  <c r="E53" i="39"/>
  <c r="I53" i="39"/>
  <c r="B54" i="39"/>
  <c r="C54" i="39"/>
  <c r="D54" i="39"/>
  <c r="E54" i="39"/>
  <c r="I54" i="39"/>
  <c r="B55" i="39"/>
  <c r="C55" i="39"/>
  <c r="D55" i="39"/>
  <c r="E55" i="39"/>
  <c r="I55" i="39"/>
  <c r="B56" i="39"/>
  <c r="C56" i="39"/>
  <c r="D56" i="39"/>
  <c r="E56" i="39"/>
  <c r="I56" i="39"/>
  <c r="B57" i="39"/>
  <c r="C57" i="39"/>
  <c r="D57" i="39"/>
  <c r="E57" i="39"/>
  <c r="I57" i="39"/>
  <c r="B58" i="39"/>
  <c r="C58" i="39"/>
  <c r="D58" i="39"/>
  <c r="E58" i="39"/>
  <c r="I58" i="39"/>
  <c r="B59" i="39"/>
  <c r="C59" i="39"/>
  <c r="D59" i="39"/>
  <c r="E59" i="39"/>
  <c r="I59" i="39"/>
  <c r="B60" i="39"/>
  <c r="C60" i="39"/>
  <c r="D60" i="39"/>
  <c r="E60" i="39"/>
  <c r="I60" i="39"/>
  <c r="B61" i="39"/>
  <c r="C61" i="39"/>
  <c r="D61" i="39"/>
  <c r="E61" i="39"/>
  <c r="I61" i="39"/>
  <c r="B62" i="39"/>
  <c r="C62" i="39"/>
  <c r="D62" i="39"/>
  <c r="E62" i="39"/>
  <c r="I62" i="39"/>
  <c r="B63" i="39"/>
  <c r="C63" i="39"/>
  <c r="D63" i="39"/>
  <c r="E63" i="39"/>
  <c r="I63" i="39"/>
  <c r="B64" i="39"/>
  <c r="C64" i="39"/>
  <c r="D64" i="39"/>
  <c r="E64" i="39"/>
  <c r="I64" i="39"/>
  <c r="B65" i="39"/>
  <c r="C65" i="39"/>
  <c r="D65" i="39"/>
  <c r="E65" i="39"/>
  <c r="I65" i="39"/>
  <c r="B66" i="39"/>
  <c r="C66" i="39"/>
  <c r="D66" i="39"/>
  <c r="E66" i="39"/>
  <c r="I66" i="39"/>
  <c r="B67" i="39"/>
  <c r="C67" i="39"/>
  <c r="D67" i="39"/>
  <c r="E67" i="39"/>
  <c r="I67" i="39"/>
  <c r="B68" i="39"/>
  <c r="C68" i="39"/>
  <c r="D68" i="39"/>
  <c r="E68" i="39"/>
  <c r="I68" i="39"/>
  <c r="B69" i="39"/>
  <c r="C69" i="39"/>
  <c r="D69" i="39"/>
  <c r="E69" i="39"/>
  <c r="I69" i="39"/>
  <c r="B70" i="39"/>
  <c r="C70" i="39"/>
  <c r="D70" i="39"/>
  <c r="E70" i="39"/>
  <c r="I70" i="39"/>
  <c r="B71" i="39"/>
  <c r="C71" i="39"/>
  <c r="D71" i="39"/>
  <c r="E71" i="39"/>
  <c r="I71" i="39"/>
  <c r="B72" i="39"/>
  <c r="C72" i="39"/>
  <c r="D72" i="39"/>
  <c r="E72" i="39"/>
  <c r="I72" i="39"/>
  <c r="B73" i="39"/>
  <c r="C73" i="39"/>
  <c r="D73" i="39"/>
  <c r="E73" i="39"/>
  <c r="I73" i="39"/>
  <c r="B74" i="39"/>
  <c r="C74" i="39"/>
  <c r="D74" i="39"/>
  <c r="E74" i="39"/>
  <c r="I74" i="39"/>
  <c r="B75" i="39"/>
  <c r="C75" i="39"/>
  <c r="D75" i="39"/>
  <c r="E75" i="39"/>
  <c r="I75" i="39"/>
  <c r="B76" i="39"/>
  <c r="C76" i="39"/>
  <c r="D76" i="39"/>
  <c r="E76" i="39"/>
  <c r="I76" i="39"/>
  <c r="B77" i="39"/>
  <c r="C77" i="39"/>
  <c r="D77" i="39"/>
  <c r="E77" i="39"/>
  <c r="I77" i="39"/>
  <c r="B78" i="39"/>
  <c r="C78" i="39"/>
  <c r="D78" i="39"/>
  <c r="E78" i="39"/>
  <c r="I78" i="39"/>
  <c r="B79" i="39"/>
  <c r="C79" i="39"/>
  <c r="D79" i="39"/>
  <c r="E79" i="39"/>
  <c r="I79" i="39"/>
  <c r="B80" i="39"/>
  <c r="C80" i="39"/>
  <c r="D80" i="39"/>
  <c r="E80" i="39"/>
  <c r="I80" i="39"/>
  <c r="B81" i="39"/>
  <c r="C81" i="39"/>
  <c r="D81" i="39"/>
  <c r="E81" i="39"/>
  <c r="I81" i="39"/>
  <c r="B82" i="39"/>
  <c r="C82" i="39"/>
  <c r="D82" i="39"/>
  <c r="E82" i="39"/>
  <c r="I82" i="39"/>
  <c r="B83" i="39"/>
  <c r="C83" i="39"/>
  <c r="D83" i="39"/>
  <c r="E83" i="39"/>
  <c r="I83" i="39"/>
  <c r="B84" i="39"/>
  <c r="C84" i="39"/>
  <c r="D84" i="39"/>
  <c r="E84" i="39"/>
  <c r="I84" i="39"/>
  <c r="B85" i="39"/>
  <c r="C85" i="39"/>
  <c r="D85" i="39"/>
  <c r="E85" i="39"/>
  <c r="I85" i="39"/>
  <c r="B86" i="39"/>
  <c r="C86" i="39"/>
  <c r="D86" i="39"/>
  <c r="E86" i="39"/>
  <c r="I86" i="39"/>
  <c r="B87" i="39"/>
  <c r="C87" i="39"/>
  <c r="D87" i="39"/>
  <c r="E87" i="39"/>
  <c r="I87" i="39"/>
  <c r="B88" i="39"/>
  <c r="C88" i="39"/>
  <c r="D88" i="39"/>
  <c r="E88" i="39"/>
  <c r="I88" i="39"/>
  <c r="B89" i="39"/>
  <c r="C89" i="39"/>
  <c r="D89" i="39"/>
  <c r="E89" i="39"/>
  <c r="I89" i="39"/>
  <c r="B90" i="39"/>
  <c r="C90" i="39"/>
  <c r="D90" i="39"/>
  <c r="E90" i="39"/>
  <c r="I90" i="39"/>
  <c r="B91" i="39"/>
  <c r="C91" i="39"/>
  <c r="D91" i="39"/>
  <c r="E91" i="39"/>
  <c r="I91" i="39"/>
  <c r="B92" i="39"/>
  <c r="C92" i="39"/>
  <c r="D92" i="39"/>
  <c r="E92" i="39"/>
  <c r="I92" i="39"/>
  <c r="B93" i="39"/>
  <c r="C93" i="39"/>
  <c r="D93" i="39"/>
  <c r="E93" i="39"/>
  <c r="I93" i="39"/>
  <c r="B94" i="39"/>
  <c r="C94" i="39"/>
  <c r="D94" i="39"/>
  <c r="E94" i="39"/>
  <c r="I94" i="39"/>
  <c r="B95" i="39"/>
  <c r="C95" i="39"/>
  <c r="D95" i="39"/>
  <c r="E95" i="39"/>
  <c r="I95" i="39"/>
  <c r="B96" i="39"/>
  <c r="C96" i="39"/>
  <c r="D96" i="39"/>
  <c r="E96" i="39"/>
  <c r="I96" i="39"/>
  <c r="B97" i="39"/>
  <c r="C97" i="39"/>
  <c r="D97" i="39"/>
  <c r="E97" i="39"/>
  <c r="I97" i="39"/>
  <c r="B98" i="39"/>
  <c r="C98" i="39"/>
  <c r="D98" i="39"/>
  <c r="E98" i="39"/>
  <c r="I98" i="39"/>
  <c r="B99" i="39"/>
  <c r="C99" i="39"/>
  <c r="D99" i="39"/>
  <c r="E99" i="39"/>
  <c r="I99" i="39"/>
  <c r="B100" i="39"/>
  <c r="C100" i="39"/>
  <c r="D100" i="39"/>
  <c r="E100" i="39"/>
  <c r="I100" i="39"/>
  <c r="B101" i="39"/>
  <c r="C101" i="39"/>
  <c r="D101" i="39"/>
  <c r="E101" i="39"/>
  <c r="I101" i="39"/>
  <c r="B102" i="39"/>
  <c r="C102" i="39"/>
  <c r="D102" i="39"/>
  <c r="E102" i="39"/>
  <c r="I102" i="39"/>
  <c r="B103" i="39"/>
  <c r="C103" i="39"/>
  <c r="D103" i="39"/>
  <c r="E103" i="39"/>
  <c r="I103" i="39"/>
  <c r="B104" i="39"/>
  <c r="C104" i="39"/>
  <c r="D104" i="39"/>
  <c r="E104" i="39"/>
  <c r="I104" i="39"/>
  <c r="B105" i="39"/>
  <c r="C105" i="39"/>
  <c r="D105" i="39"/>
  <c r="E105" i="39"/>
  <c r="I105" i="39"/>
  <c r="B106" i="39"/>
  <c r="C106" i="39"/>
  <c r="D106" i="39"/>
  <c r="E106" i="39"/>
  <c r="I106" i="39"/>
  <c r="B107" i="39"/>
  <c r="C107" i="39"/>
  <c r="D107" i="39"/>
  <c r="E107" i="39"/>
  <c r="I107" i="39"/>
  <c r="B108" i="39"/>
  <c r="C108" i="39"/>
  <c r="D108" i="39"/>
  <c r="E108" i="39"/>
  <c r="I108" i="39"/>
  <c r="B109" i="39"/>
  <c r="C109" i="39"/>
  <c r="D109" i="39"/>
  <c r="E109" i="39"/>
  <c r="I109" i="39"/>
  <c r="B110" i="39"/>
  <c r="C110" i="39"/>
  <c r="D110" i="39"/>
  <c r="E110" i="39"/>
  <c r="I110" i="39"/>
  <c r="B111" i="39"/>
  <c r="C111" i="39"/>
  <c r="D111" i="39"/>
  <c r="E111" i="39"/>
  <c r="I111" i="39"/>
  <c r="B112" i="39"/>
  <c r="C112" i="39"/>
  <c r="D112" i="39"/>
  <c r="E112" i="39"/>
  <c r="I112" i="39"/>
  <c r="B113" i="39"/>
  <c r="C113" i="39"/>
  <c r="D113" i="39"/>
  <c r="E113" i="39"/>
  <c r="I113" i="39"/>
  <c r="B114" i="39"/>
  <c r="C114" i="39"/>
  <c r="D114" i="39"/>
  <c r="E114" i="39"/>
  <c r="I114" i="39"/>
  <c r="B115" i="39"/>
  <c r="C115" i="39"/>
  <c r="D115" i="39"/>
  <c r="E115" i="39"/>
  <c r="I115" i="39"/>
  <c r="B116" i="39"/>
  <c r="C116" i="39"/>
  <c r="D116" i="39"/>
  <c r="E116" i="39"/>
  <c r="I116" i="39"/>
  <c r="B117" i="39"/>
  <c r="C117" i="39"/>
  <c r="D117" i="39"/>
  <c r="E117" i="39"/>
  <c r="I117" i="39"/>
  <c r="B118" i="39"/>
  <c r="C118" i="39"/>
  <c r="D118" i="39"/>
  <c r="E118" i="39"/>
  <c r="I118" i="39"/>
  <c r="B119" i="39"/>
  <c r="C119" i="39"/>
  <c r="D119" i="39"/>
  <c r="E119" i="39"/>
  <c r="I119" i="39"/>
  <c r="B120" i="39"/>
  <c r="C120" i="39"/>
  <c r="D120" i="39"/>
  <c r="E120" i="39"/>
  <c r="I120" i="39"/>
  <c r="B121" i="39"/>
  <c r="C121" i="39"/>
  <c r="D121" i="39"/>
  <c r="E121" i="39"/>
  <c r="I121" i="39"/>
  <c r="B122" i="39"/>
  <c r="C122" i="39"/>
  <c r="D122" i="39"/>
  <c r="E122" i="39"/>
  <c r="I122" i="39"/>
  <c r="B123" i="39"/>
  <c r="C123" i="39"/>
  <c r="D123" i="39"/>
  <c r="E123" i="39"/>
  <c r="I123" i="39"/>
  <c r="B124" i="39"/>
  <c r="C124" i="39"/>
  <c r="D124" i="39"/>
  <c r="E124" i="39"/>
  <c r="I124" i="39"/>
  <c r="B125" i="39"/>
  <c r="C125" i="39"/>
  <c r="D125" i="39"/>
  <c r="E125" i="39"/>
  <c r="I125" i="39"/>
  <c r="B126" i="39"/>
  <c r="C126" i="39"/>
  <c r="D126" i="39"/>
  <c r="E126" i="39"/>
  <c r="I126" i="39"/>
  <c r="B127" i="39"/>
  <c r="C127" i="39"/>
  <c r="D127" i="39"/>
  <c r="E127" i="39"/>
  <c r="I127" i="39"/>
  <c r="B128" i="39"/>
  <c r="C128" i="39"/>
  <c r="D128" i="39"/>
  <c r="E128" i="39"/>
  <c r="I128" i="39"/>
  <c r="B129" i="39"/>
  <c r="C129" i="39"/>
  <c r="D129" i="39"/>
  <c r="E129" i="39"/>
  <c r="I129" i="39"/>
  <c r="B130" i="39"/>
  <c r="C130" i="39"/>
  <c r="D130" i="39"/>
  <c r="E130" i="39"/>
  <c r="I130" i="39"/>
  <c r="B131" i="39"/>
  <c r="C131" i="39"/>
  <c r="D131" i="39"/>
  <c r="E131" i="39"/>
  <c r="I131" i="39"/>
  <c r="B132" i="39"/>
  <c r="C132" i="39"/>
  <c r="D132" i="39"/>
  <c r="E132" i="39"/>
  <c r="I132" i="39"/>
  <c r="B133" i="39"/>
  <c r="C133" i="39"/>
  <c r="D133" i="39"/>
  <c r="E133" i="39"/>
  <c r="I133" i="39"/>
  <c r="B134" i="39"/>
  <c r="C134" i="39"/>
  <c r="D134" i="39"/>
  <c r="E134" i="39"/>
  <c r="I134" i="39"/>
  <c r="B135" i="39"/>
  <c r="C135" i="39"/>
  <c r="D135" i="39"/>
  <c r="E135" i="39"/>
  <c r="I135" i="39"/>
  <c r="B136" i="39"/>
  <c r="C136" i="39"/>
  <c r="D136" i="39"/>
  <c r="E136" i="39"/>
  <c r="I136" i="39"/>
  <c r="B137" i="39"/>
  <c r="C137" i="39"/>
  <c r="D137" i="39"/>
  <c r="E137" i="39"/>
  <c r="I137" i="39"/>
  <c r="B138" i="39"/>
  <c r="C138" i="39"/>
  <c r="D138" i="39"/>
  <c r="E138" i="39"/>
  <c r="I138" i="39"/>
  <c r="B139" i="39"/>
  <c r="C139" i="39"/>
  <c r="D139" i="39"/>
  <c r="E139" i="39"/>
  <c r="I139" i="39"/>
  <c r="B140" i="39"/>
  <c r="C140" i="39"/>
  <c r="D140" i="39"/>
  <c r="E140" i="39"/>
  <c r="I140" i="39"/>
  <c r="B141" i="39"/>
  <c r="C141" i="39"/>
  <c r="D141" i="39"/>
  <c r="E141" i="39"/>
  <c r="I141" i="39"/>
  <c r="B142" i="39"/>
  <c r="C142" i="39"/>
  <c r="D142" i="39"/>
  <c r="E142" i="39"/>
  <c r="I142" i="39"/>
  <c r="B143" i="39"/>
  <c r="C143" i="39"/>
  <c r="D143" i="39"/>
  <c r="E143" i="39"/>
  <c r="I143" i="39"/>
  <c r="B144" i="39"/>
  <c r="C144" i="39"/>
  <c r="D144" i="39"/>
  <c r="E144" i="39"/>
  <c r="I144" i="39"/>
  <c r="B145" i="39"/>
  <c r="C145" i="39"/>
  <c r="D145" i="39"/>
  <c r="E145" i="39"/>
  <c r="I145" i="39"/>
  <c r="B146" i="39"/>
  <c r="C146" i="39"/>
  <c r="D146" i="39"/>
  <c r="E146" i="39"/>
  <c r="I146" i="39"/>
  <c r="B147" i="39"/>
  <c r="C147" i="39"/>
  <c r="D147" i="39"/>
  <c r="E147" i="39"/>
  <c r="I147" i="39"/>
  <c r="B148" i="39"/>
  <c r="C148" i="39"/>
  <c r="D148" i="39"/>
  <c r="E148" i="39"/>
  <c r="I148" i="39"/>
  <c r="B149" i="39"/>
  <c r="C149" i="39"/>
  <c r="D149" i="39"/>
  <c r="E149" i="39"/>
  <c r="I149" i="39"/>
  <c r="B150" i="39"/>
  <c r="C150" i="39"/>
  <c r="D150" i="39"/>
  <c r="E150" i="39"/>
  <c r="I150" i="39"/>
  <c r="B151" i="39"/>
  <c r="C151" i="39"/>
  <c r="D151" i="39"/>
  <c r="E151" i="39"/>
  <c r="I151" i="39"/>
  <c r="B152" i="39"/>
  <c r="C152" i="39"/>
  <c r="D152" i="39"/>
  <c r="E152" i="39"/>
  <c r="I152" i="39"/>
  <c r="B153" i="39"/>
  <c r="C153" i="39"/>
  <c r="D153" i="39"/>
  <c r="E153" i="39"/>
  <c r="I153" i="39"/>
  <c r="B154" i="39"/>
  <c r="C154" i="39"/>
  <c r="D154" i="39"/>
  <c r="E154" i="39"/>
  <c r="I154" i="39"/>
  <c r="B155" i="39"/>
  <c r="C155" i="39"/>
  <c r="D155" i="39"/>
  <c r="E155" i="39"/>
  <c r="I155" i="39"/>
  <c r="B156" i="39"/>
  <c r="C156" i="39"/>
  <c r="D156" i="39"/>
  <c r="E156" i="39"/>
  <c r="I156" i="39"/>
  <c r="B157" i="39"/>
  <c r="C157" i="39"/>
  <c r="D157" i="39"/>
  <c r="E157" i="39"/>
  <c r="I157" i="39"/>
  <c r="B158" i="39"/>
  <c r="C158" i="39"/>
  <c r="D158" i="39"/>
  <c r="E158" i="39"/>
  <c r="I158" i="39"/>
  <c r="B159" i="39"/>
  <c r="C159" i="39"/>
  <c r="D159" i="39"/>
  <c r="E159" i="39"/>
  <c r="I159" i="39"/>
  <c r="B160" i="39"/>
  <c r="C160" i="39"/>
  <c r="D160" i="39"/>
  <c r="E160" i="39"/>
  <c r="I160" i="39"/>
  <c r="B161" i="39"/>
  <c r="C161" i="39"/>
  <c r="D161" i="39"/>
  <c r="E161" i="39"/>
  <c r="I161" i="39"/>
  <c r="B162" i="39"/>
  <c r="C162" i="39"/>
  <c r="D162" i="39"/>
  <c r="E162" i="39"/>
  <c r="I162" i="39"/>
  <c r="B163" i="39"/>
  <c r="C163" i="39"/>
  <c r="D163" i="39"/>
  <c r="E163" i="39"/>
  <c r="I163" i="39"/>
  <c r="B164" i="39"/>
  <c r="C164" i="39"/>
  <c r="D164" i="39"/>
  <c r="E164" i="39"/>
  <c r="I164" i="39"/>
  <c r="B165" i="39"/>
  <c r="C165" i="39"/>
  <c r="D165" i="39"/>
  <c r="E165" i="39"/>
  <c r="I165" i="39"/>
  <c r="B166" i="39"/>
  <c r="C166" i="39"/>
  <c r="D166" i="39"/>
  <c r="E166" i="39"/>
  <c r="I166" i="39"/>
  <c r="B167" i="39"/>
  <c r="C167" i="39"/>
  <c r="D167" i="39"/>
  <c r="E167" i="39"/>
  <c r="I167" i="39"/>
  <c r="B168" i="39"/>
  <c r="C168" i="39"/>
  <c r="D168" i="39"/>
  <c r="E168" i="39"/>
  <c r="I168" i="39"/>
  <c r="B169" i="39"/>
  <c r="C169" i="39"/>
  <c r="D169" i="39"/>
  <c r="E169" i="39"/>
  <c r="I169" i="39"/>
  <c r="B170" i="39"/>
  <c r="C170" i="39"/>
  <c r="D170" i="39"/>
  <c r="E170" i="39"/>
  <c r="I170" i="39"/>
  <c r="B171" i="39"/>
  <c r="C171" i="39"/>
  <c r="D171" i="39"/>
  <c r="E171" i="39"/>
  <c r="I171" i="39"/>
  <c r="B172" i="39"/>
  <c r="C172" i="39"/>
  <c r="D172" i="39"/>
  <c r="E172" i="39"/>
  <c r="I172" i="39"/>
  <c r="B173" i="39"/>
  <c r="C173" i="39"/>
  <c r="D173" i="39"/>
  <c r="E173" i="39"/>
  <c r="I173" i="39"/>
  <c r="B174" i="39"/>
  <c r="C174" i="39"/>
  <c r="D174" i="39"/>
  <c r="E174" i="39"/>
  <c r="I174" i="39"/>
  <c r="B175" i="39"/>
  <c r="C175" i="39"/>
  <c r="D175" i="39"/>
  <c r="E175" i="39"/>
  <c r="I175" i="39"/>
  <c r="B176" i="39"/>
  <c r="C176" i="39"/>
  <c r="D176" i="39"/>
  <c r="E176" i="39"/>
  <c r="I176" i="39"/>
  <c r="B177" i="39"/>
  <c r="C177" i="39"/>
  <c r="D177" i="39"/>
  <c r="E177" i="39"/>
  <c r="I177" i="39"/>
  <c r="B178" i="39"/>
  <c r="C178" i="39"/>
  <c r="D178" i="39"/>
  <c r="E178" i="39"/>
  <c r="I178" i="39"/>
  <c r="B179" i="39"/>
  <c r="C179" i="39"/>
  <c r="D179" i="39"/>
  <c r="E179" i="39"/>
  <c r="I179" i="39"/>
  <c r="B180" i="39"/>
  <c r="C180" i="39"/>
  <c r="D180" i="39"/>
  <c r="E180" i="39"/>
  <c r="I180" i="39"/>
  <c r="B181" i="39"/>
  <c r="C181" i="39"/>
  <c r="D181" i="39"/>
  <c r="E181" i="39"/>
  <c r="I181" i="39"/>
  <c r="B182" i="39"/>
  <c r="C182" i="39"/>
  <c r="D182" i="39"/>
  <c r="E182" i="39"/>
  <c r="I182" i="39"/>
  <c r="B183" i="39"/>
  <c r="C183" i="39"/>
  <c r="D183" i="39"/>
  <c r="E183" i="39"/>
  <c r="I183" i="39"/>
  <c r="B184" i="39"/>
  <c r="C184" i="39"/>
  <c r="D184" i="39"/>
  <c r="E184" i="39"/>
  <c r="I184" i="39"/>
  <c r="B185" i="39"/>
  <c r="C185" i="39"/>
  <c r="D185" i="39"/>
  <c r="E185" i="39"/>
  <c r="I185" i="39"/>
  <c r="B186" i="39"/>
  <c r="C186" i="39"/>
  <c r="D186" i="39"/>
  <c r="E186" i="39"/>
  <c r="I186" i="39"/>
  <c r="B187" i="39"/>
  <c r="C187" i="39"/>
  <c r="D187" i="39"/>
  <c r="E187" i="39"/>
  <c r="I187" i="39"/>
  <c r="B188" i="39"/>
  <c r="C188" i="39"/>
  <c r="D188" i="39"/>
  <c r="E188" i="39"/>
  <c r="I188" i="39"/>
  <c r="B189" i="39"/>
  <c r="C189" i="39"/>
  <c r="D189" i="39"/>
  <c r="E189" i="39"/>
  <c r="I189" i="39"/>
  <c r="B190" i="39"/>
  <c r="C190" i="39"/>
  <c r="D190" i="39"/>
  <c r="E190" i="39"/>
  <c r="I190" i="39"/>
  <c r="B191" i="39"/>
  <c r="C191" i="39"/>
  <c r="D191" i="39"/>
  <c r="E191" i="39"/>
  <c r="I191" i="39"/>
  <c r="B192" i="39"/>
  <c r="C192" i="39"/>
  <c r="D192" i="39"/>
  <c r="E192" i="39"/>
  <c r="I192" i="39"/>
  <c r="B193" i="39"/>
  <c r="C193" i="39"/>
  <c r="D193" i="39"/>
  <c r="E193" i="39"/>
  <c r="I193" i="39"/>
  <c r="B194" i="39"/>
  <c r="C194" i="39"/>
  <c r="D194" i="39"/>
  <c r="E194" i="39"/>
  <c r="I194" i="39"/>
  <c r="B195" i="39"/>
  <c r="C195" i="39"/>
  <c r="D195" i="39"/>
  <c r="E195" i="39"/>
  <c r="I195" i="39"/>
  <c r="B196" i="39"/>
  <c r="C196" i="39"/>
  <c r="D196" i="39"/>
  <c r="E196" i="39"/>
  <c r="I196" i="39"/>
  <c r="B197" i="39"/>
  <c r="C197" i="39"/>
  <c r="D197" i="39"/>
  <c r="E197" i="39"/>
  <c r="I197" i="39"/>
  <c r="B198" i="39"/>
  <c r="C198" i="39"/>
  <c r="D198" i="39"/>
  <c r="E198" i="39"/>
  <c r="I198" i="39"/>
  <c r="B199" i="39"/>
  <c r="C199" i="39"/>
  <c r="D199" i="39"/>
  <c r="E199" i="39"/>
  <c r="I199" i="39"/>
  <c r="B200" i="39"/>
  <c r="C200" i="39"/>
  <c r="D200" i="39"/>
  <c r="E200" i="39"/>
  <c r="I200" i="39"/>
  <c r="B201" i="39"/>
  <c r="C201" i="39"/>
  <c r="D201" i="39"/>
  <c r="E201" i="39"/>
  <c r="I201" i="39"/>
  <c r="B202" i="39"/>
  <c r="C202" i="39"/>
  <c r="D202" i="39"/>
  <c r="E202" i="39"/>
  <c r="I202" i="39"/>
  <c r="B203" i="39"/>
  <c r="C203" i="39"/>
  <c r="D203" i="39"/>
  <c r="E203" i="39"/>
  <c r="I203" i="39"/>
  <c r="B204" i="39"/>
  <c r="C204" i="39"/>
  <c r="D204" i="39"/>
  <c r="E204" i="39"/>
  <c r="I204" i="39"/>
  <c r="B205" i="39"/>
  <c r="C205" i="39"/>
  <c r="D205" i="39"/>
  <c r="E205" i="39"/>
  <c r="I205" i="39"/>
  <c r="B206" i="39"/>
  <c r="C206" i="39"/>
  <c r="D206" i="39"/>
  <c r="E206" i="39"/>
  <c r="I206" i="39"/>
  <c r="B207" i="39"/>
  <c r="C207" i="39"/>
  <c r="D207" i="39"/>
  <c r="E207" i="39"/>
  <c r="I207" i="39"/>
  <c r="B208" i="39"/>
  <c r="C208" i="39"/>
  <c r="D208" i="39"/>
  <c r="E208" i="39"/>
  <c r="I208" i="39"/>
  <c r="B209" i="39"/>
  <c r="C209" i="39"/>
  <c r="D209" i="39"/>
  <c r="E209" i="39"/>
  <c r="I209" i="39"/>
  <c r="B210" i="39"/>
  <c r="C210" i="39"/>
  <c r="D210" i="39"/>
  <c r="E210" i="39"/>
  <c r="I210" i="39"/>
  <c r="B211" i="39"/>
  <c r="C211" i="39"/>
  <c r="D211" i="39"/>
  <c r="E211" i="39"/>
  <c r="I211" i="39"/>
  <c r="B212" i="39"/>
  <c r="C212" i="39"/>
  <c r="D212" i="39"/>
  <c r="E212" i="39"/>
  <c r="I212" i="39"/>
  <c r="B213" i="39"/>
  <c r="C213" i="39"/>
  <c r="D213" i="39"/>
  <c r="E213" i="39"/>
  <c r="I213" i="39"/>
  <c r="B214" i="39"/>
  <c r="C214" i="39"/>
  <c r="D214" i="39"/>
  <c r="E214" i="39"/>
  <c r="I214" i="39"/>
  <c r="B215" i="39"/>
  <c r="C215" i="39"/>
  <c r="D215" i="39"/>
  <c r="E215" i="39"/>
  <c r="I215" i="39"/>
  <c r="B216" i="39"/>
  <c r="C216" i="39"/>
  <c r="D216" i="39"/>
  <c r="E216" i="39"/>
  <c r="I216" i="39"/>
  <c r="B217" i="39"/>
  <c r="C217" i="39"/>
  <c r="D217" i="39"/>
  <c r="E217" i="39"/>
  <c r="I217" i="39"/>
  <c r="B218" i="39"/>
  <c r="C218" i="39"/>
  <c r="D218" i="39"/>
  <c r="E218" i="39"/>
  <c r="I218" i="39"/>
  <c r="B219" i="39"/>
  <c r="C219" i="39"/>
  <c r="D219" i="39"/>
  <c r="E219" i="39"/>
  <c r="I219" i="39"/>
  <c r="B220" i="39"/>
  <c r="C220" i="39"/>
  <c r="D220" i="39"/>
  <c r="E220" i="39"/>
  <c r="I220" i="39"/>
  <c r="B221" i="39"/>
  <c r="C221" i="39"/>
  <c r="D221" i="39"/>
  <c r="E221" i="39"/>
  <c r="I221" i="39"/>
  <c r="B222" i="39"/>
  <c r="C222" i="39"/>
  <c r="D222" i="39"/>
  <c r="E222" i="39"/>
  <c r="I222" i="39"/>
  <c r="B223" i="39"/>
  <c r="C223" i="39"/>
  <c r="D223" i="39"/>
  <c r="E223" i="39"/>
  <c r="I223" i="39"/>
  <c r="B224" i="39"/>
  <c r="C224" i="39"/>
  <c r="D224" i="39"/>
  <c r="E224" i="39"/>
  <c r="I224" i="39"/>
  <c r="B225" i="39"/>
  <c r="C225" i="39"/>
  <c r="D225" i="39"/>
  <c r="E225" i="39"/>
  <c r="I225" i="39"/>
  <c r="B226" i="39"/>
  <c r="C226" i="39"/>
  <c r="D226" i="39"/>
  <c r="E226" i="39"/>
  <c r="I226" i="39"/>
  <c r="B227" i="39"/>
  <c r="C227" i="39"/>
  <c r="D227" i="39"/>
  <c r="E227" i="39"/>
  <c r="I227" i="39"/>
  <c r="B228" i="39"/>
  <c r="C228" i="39"/>
  <c r="D228" i="39"/>
  <c r="E228" i="39"/>
  <c r="I228" i="39"/>
  <c r="B229" i="39"/>
  <c r="C229" i="39"/>
  <c r="D229" i="39"/>
  <c r="E229" i="39"/>
  <c r="I229" i="39"/>
  <c r="B230" i="39"/>
  <c r="C230" i="39"/>
  <c r="D230" i="39"/>
  <c r="E230" i="39"/>
  <c r="I230" i="39"/>
  <c r="B231" i="39"/>
  <c r="C231" i="39"/>
  <c r="D231" i="39"/>
  <c r="E231" i="39"/>
  <c r="I231" i="39"/>
  <c r="B232" i="39"/>
  <c r="C232" i="39"/>
  <c r="D232" i="39"/>
  <c r="E232" i="39"/>
  <c r="I232" i="39"/>
  <c r="B233" i="39"/>
  <c r="C233" i="39"/>
  <c r="D233" i="39"/>
  <c r="E233" i="39"/>
  <c r="I233" i="39"/>
  <c r="B234" i="39"/>
  <c r="C234" i="39"/>
  <c r="D234" i="39"/>
  <c r="E234" i="39"/>
  <c r="I234" i="39"/>
  <c r="B235" i="39"/>
  <c r="C235" i="39"/>
  <c r="D235" i="39"/>
  <c r="E235" i="39"/>
  <c r="I235" i="39"/>
  <c r="B236" i="39"/>
  <c r="C236" i="39"/>
  <c r="D236" i="39"/>
  <c r="E236" i="39"/>
  <c r="I236" i="39"/>
  <c r="B237" i="39"/>
  <c r="C237" i="39"/>
  <c r="D237" i="39"/>
  <c r="E237" i="39"/>
  <c r="I237" i="39"/>
  <c r="B238" i="39"/>
  <c r="C238" i="39"/>
  <c r="D238" i="39"/>
  <c r="E238" i="39"/>
  <c r="I238" i="39"/>
  <c r="B239" i="39"/>
  <c r="C239" i="39"/>
  <c r="D239" i="39"/>
  <c r="E239" i="39"/>
  <c r="I239" i="39"/>
  <c r="B240" i="39"/>
  <c r="C240" i="39"/>
  <c r="D240" i="39"/>
  <c r="E240" i="39"/>
  <c r="I240" i="39"/>
  <c r="B241" i="39"/>
  <c r="C241" i="39"/>
  <c r="D241" i="39"/>
  <c r="E241" i="39"/>
  <c r="I241" i="39"/>
  <c r="B242" i="39"/>
  <c r="C242" i="39"/>
  <c r="D242" i="39"/>
  <c r="E242" i="39"/>
  <c r="I242" i="39"/>
  <c r="B243" i="39"/>
  <c r="C243" i="39"/>
  <c r="D243" i="39"/>
  <c r="E243" i="39"/>
  <c r="I243" i="39"/>
  <c r="B244" i="39"/>
  <c r="C244" i="39"/>
  <c r="D244" i="39"/>
  <c r="E244" i="39"/>
  <c r="I244" i="39"/>
  <c r="B245" i="39"/>
  <c r="C245" i="39"/>
  <c r="D245" i="39"/>
  <c r="E245" i="39"/>
  <c r="I245" i="39"/>
  <c r="B246" i="39"/>
  <c r="C246" i="39"/>
  <c r="D246" i="39"/>
  <c r="E246" i="39"/>
  <c r="I246" i="39"/>
  <c r="B247" i="39"/>
  <c r="C247" i="39"/>
  <c r="D247" i="39"/>
  <c r="E247" i="39"/>
  <c r="I247" i="39"/>
  <c r="B248" i="39"/>
  <c r="C248" i="39"/>
  <c r="D248" i="39"/>
  <c r="E248" i="39"/>
  <c r="I248" i="39"/>
  <c r="B249" i="39"/>
  <c r="C249" i="39"/>
  <c r="D249" i="39"/>
  <c r="E249" i="39"/>
  <c r="I249" i="39"/>
  <c r="B250" i="39"/>
  <c r="C250" i="39"/>
  <c r="D250" i="39"/>
  <c r="E250" i="39"/>
  <c r="I250" i="39"/>
  <c r="B251" i="39"/>
  <c r="C251" i="39"/>
  <c r="D251" i="39"/>
  <c r="E251" i="39"/>
  <c r="I251" i="39"/>
  <c r="B252" i="39"/>
  <c r="C252" i="39"/>
  <c r="D252" i="39"/>
  <c r="E252" i="39"/>
  <c r="I252" i="39"/>
  <c r="B253" i="39"/>
  <c r="C253" i="39"/>
  <c r="D253" i="39"/>
  <c r="E253" i="39"/>
  <c r="I253" i="39"/>
  <c r="B254" i="39"/>
  <c r="C254" i="39"/>
  <c r="D254" i="39"/>
  <c r="E254" i="39"/>
  <c r="I254" i="39"/>
  <c r="B255" i="39"/>
  <c r="C255" i="39"/>
  <c r="D255" i="39"/>
  <c r="E255" i="39"/>
  <c r="I255" i="39"/>
  <c r="B256" i="39"/>
  <c r="C256" i="39"/>
  <c r="D256" i="39"/>
  <c r="E256" i="39"/>
  <c r="I256" i="39"/>
  <c r="B257" i="39"/>
  <c r="C257" i="39"/>
  <c r="D257" i="39"/>
  <c r="E257" i="39"/>
  <c r="I257" i="39"/>
  <c r="B258" i="39"/>
  <c r="C258" i="39"/>
  <c r="D258" i="39"/>
  <c r="E258" i="39"/>
  <c r="I258" i="39"/>
  <c r="B259" i="39"/>
  <c r="C259" i="39"/>
  <c r="D259" i="39"/>
  <c r="E259" i="39"/>
  <c r="I259" i="39"/>
  <c r="B260" i="39"/>
  <c r="C260" i="39"/>
  <c r="D260" i="39"/>
  <c r="E260" i="39"/>
  <c r="I260" i="39"/>
  <c r="B261" i="39"/>
  <c r="C261" i="39"/>
  <c r="D261" i="39"/>
  <c r="E261" i="39"/>
  <c r="I261" i="39"/>
  <c r="B262" i="39"/>
  <c r="C262" i="39"/>
  <c r="D262" i="39"/>
  <c r="E262" i="39"/>
  <c r="I262" i="39"/>
  <c r="B263" i="39"/>
  <c r="C263" i="39"/>
  <c r="D263" i="39"/>
  <c r="E263" i="39"/>
  <c r="I263" i="39"/>
  <c r="B264" i="39"/>
  <c r="C264" i="39"/>
  <c r="D264" i="39"/>
  <c r="E264" i="39"/>
  <c r="I264" i="39"/>
  <c r="B265" i="39"/>
  <c r="C265" i="39"/>
  <c r="D265" i="39"/>
  <c r="E265" i="39"/>
  <c r="I265" i="39"/>
  <c r="B266" i="39"/>
  <c r="C266" i="39"/>
  <c r="D266" i="39"/>
  <c r="E266" i="39"/>
  <c r="I266" i="39"/>
  <c r="B267" i="39"/>
  <c r="C267" i="39"/>
  <c r="D267" i="39"/>
  <c r="E267" i="39"/>
  <c r="I267" i="39"/>
  <c r="B268" i="39"/>
  <c r="C268" i="39"/>
  <c r="D268" i="39"/>
  <c r="E268" i="39"/>
  <c r="I268" i="39"/>
  <c r="B269" i="39"/>
  <c r="C269" i="39"/>
  <c r="D269" i="39"/>
  <c r="E269" i="39"/>
  <c r="I269" i="39"/>
  <c r="B270" i="39"/>
  <c r="C270" i="39"/>
  <c r="D270" i="39"/>
  <c r="E270" i="39"/>
  <c r="I270" i="39"/>
  <c r="B271" i="39"/>
  <c r="C271" i="39"/>
  <c r="D271" i="39"/>
  <c r="E271" i="39"/>
  <c r="I271" i="39"/>
  <c r="B272" i="39"/>
  <c r="C272" i="39"/>
  <c r="D272" i="39"/>
  <c r="E272" i="39"/>
  <c r="I272" i="39"/>
  <c r="B273" i="39"/>
  <c r="C273" i="39"/>
  <c r="D273" i="39"/>
  <c r="E273" i="39"/>
  <c r="I273" i="39"/>
  <c r="B274" i="39"/>
  <c r="C274" i="39"/>
  <c r="D274" i="39"/>
  <c r="E274" i="39"/>
  <c r="I274" i="39"/>
  <c r="B275" i="39"/>
  <c r="C275" i="39"/>
  <c r="D275" i="39"/>
  <c r="E275" i="39"/>
  <c r="I275" i="39"/>
  <c r="B276" i="39"/>
  <c r="C276" i="39"/>
  <c r="D276" i="39"/>
  <c r="E276" i="39"/>
  <c r="I276" i="39"/>
  <c r="B277" i="39"/>
  <c r="C277" i="39"/>
  <c r="D277" i="39"/>
  <c r="E277" i="39"/>
  <c r="I277" i="39"/>
  <c r="B278" i="39"/>
  <c r="C278" i="39"/>
  <c r="D278" i="39"/>
  <c r="E278" i="39"/>
  <c r="I278" i="39"/>
  <c r="B279" i="39"/>
  <c r="C279" i="39"/>
  <c r="D279" i="39"/>
  <c r="E279" i="39"/>
  <c r="I279" i="39"/>
  <c r="B280" i="39"/>
  <c r="C280" i="39"/>
  <c r="D280" i="39"/>
  <c r="E280" i="39"/>
  <c r="I280" i="39"/>
  <c r="B281" i="39"/>
  <c r="C281" i="39"/>
  <c r="D281" i="39"/>
  <c r="E281" i="39"/>
  <c r="I281" i="39"/>
  <c r="B282" i="39"/>
  <c r="C282" i="39"/>
  <c r="D282" i="39"/>
  <c r="E282" i="39"/>
  <c r="I282" i="39"/>
  <c r="B283" i="39"/>
  <c r="C283" i="39"/>
  <c r="D283" i="39"/>
  <c r="E283" i="39"/>
  <c r="I283" i="39"/>
  <c r="B284" i="39"/>
  <c r="C284" i="39"/>
  <c r="D284" i="39"/>
  <c r="E284" i="39"/>
  <c r="I284" i="39"/>
  <c r="B285" i="39"/>
  <c r="C285" i="39"/>
  <c r="D285" i="39"/>
  <c r="E285" i="39"/>
  <c r="I285" i="39"/>
  <c r="B286" i="39"/>
  <c r="C286" i="39"/>
  <c r="D286" i="39"/>
  <c r="E286" i="39"/>
  <c r="I286" i="39"/>
  <c r="B287" i="39"/>
  <c r="C287" i="39"/>
  <c r="D287" i="39"/>
  <c r="E287" i="39"/>
  <c r="I287" i="39"/>
  <c r="B288" i="39"/>
  <c r="C288" i="39"/>
  <c r="D288" i="39"/>
  <c r="E288" i="39"/>
  <c r="I288" i="39"/>
  <c r="B289" i="39"/>
  <c r="C289" i="39"/>
  <c r="D289" i="39"/>
  <c r="E289" i="39"/>
  <c r="I289" i="39"/>
  <c r="B290" i="39"/>
  <c r="C290" i="39"/>
  <c r="D290" i="39"/>
  <c r="E290" i="39"/>
  <c r="I290" i="39"/>
  <c r="B291" i="39"/>
  <c r="C291" i="39"/>
  <c r="D291" i="39"/>
  <c r="E291" i="39"/>
  <c r="I291" i="39"/>
  <c r="B292" i="39"/>
  <c r="C292" i="39"/>
  <c r="D292" i="39"/>
  <c r="E292" i="39"/>
  <c r="I292" i="39"/>
  <c r="B293" i="39"/>
  <c r="C293" i="39"/>
  <c r="D293" i="39"/>
  <c r="E293" i="39"/>
  <c r="I293" i="39"/>
  <c r="B294" i="39"/>
  <c r="C294" i="39"/>
  <c r="D294" i="39"/>
  <c r="E294" i="39"/>
  <c r="I294" i="39"/>
  <c r="B295" i="39"/>
  <c r="C295" i="39"/>
  <c r="D295" i="39"/>
  <c r="E295" i="39"/>
  <c r="I295" i="39"/>
  <c r="B296" i="39"/>
  <c r="C296" i="39"/>
  <c r="D296" i="39"/>
  <c r="E296" i="39"/>
  <c r="I296" i="39"/>
  <c r="B297" i="39"/>
  <c r="C297" i="39"/>
  <c r="D297" i="39"/>
  <c r="E297" i="39"/>
  <c r="I297" i="39"/>
  <c r="B298" i="39"/>
  <c r="C298" i="39"/>
  <c r="D298" i="39"/>
  <c r="E298" i="39"/>
  <c r="I298" i="39"/>
  <c r="B299" i="39"/>
  <c r="C299" i="39"/>
  <c r="D299" i="39"/>
  <c r="E299" i="39"/>
  <c r="I299" i="39"/>
  <c r="B300" i="39"/>
  <c r="C300" i="39"/>
  <c r="D300" i="39"/>
  <c r="E300" i="39"/>
  <c r="I300" i="39"/>
  <c r="B301" i="39"/>
  <c r="C301" i="39"/>
  <c r="D301" i="39"/>
  <c r="E301" i="39"/>
  <c r="I301" i="39"/>
  <c r="B302" i="39"/>
  <c r="C302" i="39"/>
  <c r="D302" i="39"/>
  <c r="E302" i="39"/>
  <c r="I302" i="39"/>
  <c r="B303" i="39"/>
  <c r="C303" i="39"/>
  <c r="D303" i="39"/>
  <c r="E303" i="39"/>
  <c r="I303" i="39"/>
  <c r="B304" i="39"/>
  <c r="C304" i="39"/>
  <c r="D304" i="39"/>
  <c r="E304" i="39"/>
  <c r="I304" i="39"/>
  <c r="B305" i="39"/>
  <c r="C305" i="39"/>
  <c r="D305" i="39"/>
  <c r="E305" i="39"/>
  <c r="I305" i="39"/>
  <c r="B306" i="39"/>
  <c r="C306" i="39"/>
  <c r="D306" i="39"/>
  <c r="E306" i="39"/>
  <c r="I306" i="39"/>
  <c r="B307" i="39"/>
  <c r="C307" i="39"/>
  <c r="D307" i="39"/>
  <c r="E307" i="39"/>
  <c r="I307" i="39"/>
  <c r="B308" i="39"/>
  <c r="C308" i="39"/>
  <c r="D308" i="39"/>
  <c r="E308" i="39"/>
  <c r="I308" i="39"/>
  <c r="B309" i="39"/>
  <c r="C309" i="39"/>
  <c r="D309" i="39"/>
  <c r="E309" i="39"/>
  <c r="I309" i="39"/>
  <c r="B310" i="39"/>
  <c r="C310" i="39"/>
  <c r="D310" i="39"/>
  <c r="E310" i="39"/>
  <c r="I310" i="39"/>
  <c r="B311" i="39"/>
  <c r="C311" i="39"/>
  <c r="D311" i="39"/>
  <c r="E311" i="39"/>
  <c r="I311" i="39"/>
  <c r="B312" i="39"/>
  <c r="C312" i="39"/>
  <c r="D312" i="39"/>
  <c r="E312" i="39"/>
  <c r="I312" i="39"/>
  <c r="B313" i="39"/>
  <c r="C313" i="39"/>
  <c r="D313" i="39"/>
  <c r="E313" i="39"/>
  <c r="I313" i="39"/>
  <c r="B314" i="39"/>
  <c r="C314" i="39"/>
  <c r="D314" i="39"/>
  <c r="E314" i="39"/>
  <c r="I314" i="39"/>
  <c r="B315" i="39"/>
  <c r="C315" i="39"/>
  <c r="D315" i="39"/>
  <c r="E315" i="39"/>
  <c r="I315" i="39"/>
  <c r="B316" i="39"/>
  <c r="C316" i="39"/>
  <c r="D316" i="39"/>
  <c r="E316" i="39"/>
  <c r="I316" i="39"/>
  <c r="B317" i="39"/>
  <c r="C317" i="39"/>
  <c r="D317" i="39"/>
  <c r="E317" i="39"/>
  <c r="I317" i="39"/>
  <c r="B318" i="39"/>
  <c r="C318" i="39"/>
  <c r="D318" i="39"/>
  <c r="E318" i="39"/>
  <c r="I318" i="39"/>
  <c r="B319" i="39"/>
  <c r="C319" i="39"/>
  <c r="D319" i="39"/>
  <c r="E319" i="39"/>
  <c r="I319" i="39"/>
  <c r="B320" i="39"/>
  <c r="C320" i="39"/>
  <c r="D320" i="39"/>
  <c r="E320" i="39"/>
  <c r="I320" i="39"/>
  <c r="B321" i="39"/>
  <c r="C321" i="39"/>
  <c r="D321" i="39"/>
  <c r="E321" i="39"/>
  <c r="I321" i="39"/>
  <c r="B322" i="39"/>
  <c r="C322" i="39"/>
  <c r="D322" i="39"/>
  <c r="E322" i="39"/>
  <c r="I322" i="39"/>
  <c r="B323" i="39"/>
  <c r="C323" i="39"/>
  <c r="D323" i="39"/>
  <c r="E323" i="39"/>
  <c r="I323" i="39"/>
  <c r="B324" i="39"/>
  <c r="C324" i="39"/>
  <c r="D324" i="39"/>
  <c r="E324" i="39"/>
  <c r="I324" i="39"/>
  <c r="B325" i="39"/>
  <c r="C325" i="39"/>
  <c r="D325" i="39"/>
  <c r="E325" i="39"/>
  <c r="I325" i="39"/>
  <c r="B326" i="39"/>
  <c r="C326" i="39"/>
  <c r="D326" i="39"/>
  <c r="E326" i="39"/>
  <c r="I326" i="39"/>
  <c r="B327" i="39"/>
  <c r="C327" i="39"/>
  <c r="D327" i="39"/>
  <c r="E327" i="39"/>
  <c r="I327" i="39"/>
  <c r="B328" i="39"/>
  <c r="C328" i="39"/>
  <c r="D328" i="39"/>
  <c r="E328" i="39"/>
  <c r="I328" i="39"/>
  <c r="B329" i="39"/>
  <c r="C329" i="39"/>
  <c r="D329" i="39"/>
  <c r="E329" i="39"/>
  <c r="I329" i="39"/>
  <c r="B330" i="39"/>
  <c r="C330" i="39"/>
  <c r="D330" i="39"/>
  <c r="E330" i="39"/>
  <c r="I330" i="39"/>
  <c r="B331" i="39"/>
  <c r="C331" i="39"/>
  <c r="D331" i="39"/>
  <c r="E331" i="39"/>
  <c r="I331" i="39"/>
  <c r="B332" i="39"/>
  <c r="C332" i="39"/>
  <c r="D332" i="39"/>
  <c r="E332" i="39"/>
  <c r="I332" i="39"/>
  <c r="B333" i="39"/>
  <c r="C333" i="39"/>
  <c r="D333" i="39"/>
  <c r="E333" i="39"/>
  <c r="I333" i="39"/>
  <c r="B334" i="39"/>
  <c r="C334" i="39"/>
  <c r="D334" i="39"/>
  <c r="E334" i="39"/>
  <c r="I334" i="39"/>
  <c r="B335" i="39"/>
  <c r="C335" i="39"/>
  <c r="D335" i="39"/>
  <c r="E335" i="39"/>
  <c r="I335" i="39"/>
  <c r="B336" i="39"/>
  <c r="C336" i="39"/>
  <c r="D336" i="39"/>
  <c r="E336" i="39"/>
  <c r="I336" i="39"/>
  <c r="B337" i="39"/>
  <c r="C337" i="39"/>
  <c r="D337" i="39"/>
  <c r="E337" i="39"/>
  <c r="I337" i="39"/>
  <c r="B338" i="39"/>
  <c r="C338" i="39"/>
  <c r="D338" i="39"/>
  <c r="E338" i="39"/>
  <c r="I338" i="39"/>
  <c r="B339" i="39"/>
  <c r="C339" i="39"/>
  <c r="D339" i="39"/>
  <c r="E339" i="39"/>
  <c r="I339" i="39"/>
  <c r="B340" i="39"/>
  <c r="C340" i="39"/>
  <c r="D340" i="39"/>
  <c r="E340" i="39"/>
  <c r="I340" i="39"/>
  <c r="B341" i="39"/>
  <c r="C341" i="39"/>
  <c r="D341" i="39"/>
  <c r="E341" i="39"/>
  <c r="I341" i="39"/>
  <c r="B342" i="39"/>
  <c r="C342" i="39"/>
  <c r="D342" i="39"/>
  <c r="E342" i="39"/>
  <c r="I342" i="39"/>
  <c r="B343" i="39"/>
  <c r="C343" i="39"/>
  <c r="D343" i="39"/>
  <c r="E343" i="39"/>
  <c r="I343" i="39"/>
  <c r="B344" i="39"/>
  <c r="C344" i="39"/>
  <c r="D344" i="39"/>
  <c r="E344" i="39"/>
  <c r="I344" i="39"/>
  <c r="B345" i="39"/>
  <c r="C345" i="39"/>
  <c r="D345" i="39"/>
  <c r="E345" i="39"/>
  <c r="I345" i="39"/>
  <c r="B346" i="39"/>
  <c r="C346" i="39"/>
  <c r="D346" i="39"/>
  <c r="E346" i="39"/>
  <c r="I346" i="39"/>
  <c r="B347" i="39"/>
  <c r="C347" i="39"/>
  <c r="D347" i="39"/>
  <c r="E347" i="39"/>
  <c r="I347" i="39"/>
  <c r="B348" i="39"/>
  <c r="C348" i="39"/>
  <c r="D348" i="39"/>
  <c r="E348" i="39"/>
  <c r="I348" i="39"/>
  <c r="B349" i="39"/>
  <c r="C349" i="39"/>
  <c r="D349" i="39"/>
  <c r="E349" i="39"/>
  <c r="I349" i="39"/>
  <c r="B350" i="39"/>
  <c r="C350" i="39"/>
  <c r="D350" i="39"/>
  <c r="E350" i="39"/>
  <c r="I350" i="39"/>
  <c r="B351" i="39"/>
  <c r="C351" i="39"/>
  <c r="D351" i="39"/>
  <c r="E351" i="39"/>
  <c r="I351" i="39"/>
  <c r="B352" i="39"/>
  <c r="C352" i="39"/>
  <c r="D352" i="39"/>
  <c r="E352" i="39"/>
  <c r="I352" i="39"/>
  <c r="B353" i="39"/>
  <c r="C353" i="39"/>
  <c r="D353" i="39"/>
  <c r="E353" i="39"/>
  <c r="I353" i="39"/>
  <c r="B354" i="39"/>
  <c r="C354" i="39"/>
  <c r="D354" i="39"/>
  <c r="E354" i="39"/>
  <c r="I354" i="39"/>
  <c r="B355" i="39"/>
  <c r="C355" i="39"/>
  <c r="D355" i="39"/>
  <c r="E355" i="39"/>
  <c r="I355" i="39"/>
  <c r="B356" i="39"/>
  <c r="C356" i="39"/>
  <c r="D356" i="39"/>
  <c r="E356" i="39"/>
  <c r="I356" i="39"/>
  <c r="B357" i="39"/>
  <c r="C357" i="39"/>
  <c r="D357" i="39"/>
  <c r="E357" i="39"/>
  <c r="I357" i="39"/>
  <c r="B358" i="39"/>
  <c r="C358" i="39"/>
  <c r="D358" i="39"/>
  <c r="E358" i="39"/>
  <c r="I358" i="39"/>
  <c r="B359" i="39"/>
  <c r="C359" i="39"/>
  <c r="D359" i="39"/>
  <c r="E359" i="39"/>
  <c r="I359" i="39"/>
  <c r="B360" i="39"/>
  <c r="C360" i="39"/>
  <c r="D360" i="39"/>
  <c r="E360" i="39"/>
  <c r="I360" i="39"/>
  <c r="B361" i="39"/>
  <c r="C361" i="39"/>
  <c r="D361" i="39"/>
  <c r="E361" i="39"/>
  <c r="I361" i="39"/>
  <c r="B362" i="39"/>
  <c r="C362" i="39"/>
  <c r="D362" i="39"/>
  <c r="E362" i="39"/>
  <c r="I362" i="39"/>
  <c r="B363" i="39"/>
  <c r="C363" i="39"/>
  <c r="D363" i="39"/>
  <c r="E363" i="39"/>
  <c r="I363" i="39"/>
  <c r="B364" i="39"/>
  <c r="C364" i="39"/>
  <c r="D364" i="39"/>
  <c r="E364" i="39"/>
  <c r="I364" i="39"/>
  <c r="B365" i="39"/>
  <c r="C365" i="39"/>
  <c r="D365" i="39"/>
  <c r="E365" i="39"/>
  <c r="I365" i="39"/>
  <c r="B366" i="39"/>
  <c r="C366" i="39"/>
  <c r="D366" i="39"/>
  <c r="E366" i="39"/>
  <c r="I366" i="39"/>
  <c r="B367" i="39"/>
  <c r="C367" i="39"/>
  <c r="D367" i="39"/>
  <c r="E367" i="39"/>
  <c r="I367" i="39"/>
  <c r="B368" i="39"/>
  <c r="C368" i="39"/>
  <c r="D368" i="39"/>
  <c r="E368" i="39"/>
  <c r="I368" i="39"/>
  <c r="B369" i="39"/>
  <c r="C369" i="39"/>
  <c r="D369" i="39"/>
  <c r="E369" i="39"/>
  <c r="I369" i="39"/>
  <c r="B370" i="39"/>
  <c r="C370" i="39"/>
  <c r="D370" i="39"/>
  <c r="E370" i="39"/>
  <c r="I370" i="39"/>
  <c r="B371" i="39"/>
  <c r="C371" i="39"/>
  <c r="D371" i="39"/>
  <c r="E371" i="39"/>
  <c r="I371" i="39"/>
  <c r="B372" i="39"/>
  <c r="C372" i="39"/>
  <c r="D372" i="39"/>
  <c r="E372" i="39"/>
  <c r="I372" i="39"/>
  <c r="B373" i="39"/>
  <c r="C373" i="39"/>
  <c r="D373" i="39"/>
  <c r="E373" i="39"/>
  <c r="I373" i="39"/>
  <c r="B374" i="39"/>
  <c r="C374" i="39"/>
  <c r="D374" i="39"/>
  <c r="E374" i="39"/>
  <c r="I374" i="39"/>
  <c r="B375" i="39"/>
  <c r="C375" i="39"/>
  <c r="D375" i="39"/>
  <c r="E375" i="39"/>
  <c r="I375" i="39"/>
  <c r="B376" i="39"/>
  <c r="C376" i="39"/>
  <c r="D376" i="39"/>
  <c r="E376" i="39"/>
  <c r="I376" i="39"/>
  <c r="B377" i="39"/>
  <c r="C377" i="39"/>
  <c r="D377" i="39"/>
  <c r="E377" i="39"/>
  <c r="I377" i="39"/>
  <c r="B378" i="39"/>
  <c r="C378" i="39"/>
  <c r="D378" i="39"/>
  <c r="E378" i="39"/>
  <c r="I378" i="39"/>
  <c r="B379" i="39"/>
  <c r="C379" i="39"/>
  <c r="D379" i="39"/>
  <c r="E379" i="39"/>
  <c r="I379" i="39"/>
  <c r="B380" i="39"/>
  <c r="C380" i="39"/>
  <c r="D380" i="39"/>
  <c r="E380" i="39"/>
  <c r="I380" i="39"/>
  <c r="B381" i="39"/>
  <c r="C381" i="39"/>
  <c r="D381" i="39"/>
  <c r="E381" i="39"/>
  <c r="I381" i="39"/>
  <c r="B382" i="39"/>
  <c r="C382" i="39"/>
  <c r="D382" i="39"/>
  <c r="E382" i="39"/>
  <c r="I382" i="39"/>
  <c r="B383" i="39"/>
  <c r="C383" i="39"/>
  <c r="D383" i="39"/>
  <c r="E383" i="39"/>
  <c r="I383" i="39"/>
  <c r="B384" i="39"/>
  <c r="C384" i="39"/>
  <c r="D384" i="39"/>
  <c r="E384" i="39"/>
  <c r="I384" i="39"/>
  <c r="B385" i="39"/>
  <c r="C385" i="39"/>
  <c r="D385" i="39"/>
  <c r="E385" i="39"/>
  <c r="I385" i="39"/>
  <c r="B386" i="39"/>
  <c r="C386" i="39"/>
  <c r="D386" i="39"/>
  <c r="E386" i="39"/>
  <c r="I386" i="39"/>
  <c r="B387" i="39"/>
  <c r="C387" i="39"/>
  <c r="D387" i="39"/>
  <c r="E387" i="39"/>
  <c r="I387" i="39"/>
  <c r="B388" i="39"/>
  <c r="C388" i="39"/>
  <c r="D388" i="39"/>
  <c r="E388" i="39"/>
  <c r="I388" i="39"/>
  <c r="B389" i="39"/>
  <c r="C389" i="39"/>
  <c r="D389" i="39"/>
  <c r="E389" i="39"/>
  <c r="I389" i="39"/>
  <c r="B390" i="39"/>
  <c r="C390" i="39"/>
  <c r="D390" i="39"/>
  <c r="E390" i="39"/>
  <c r="I390" i="39"/>
  <c r="B391" i="39"/>
  <c r="C391" i="39"/>
  <c r="D391" i="39"/>
  <c r="E391" i="39"/>
  <c r="I391" i="39"/>
  <c r="B392" i="39"/>
  <c r="C392" i="39"/>
  <c r="D392" i="39"/>
  <c r="E392" i="39"/>
  <c r="I392" i="39"/>
  <c r="B393" i="39"/>
  <c r="C393" i="39"/>
  <c r="D393" i="39"/>
  <c r="E393" i="39"/>
  <c r="I393" i="39"/>
  <c r="B394" i="39"/>
  <c r="C394" i="39"/>
  <c r="D394" i="39"/>
  <c r="E394" i="39"/>
  <c r="I394" i="39"/>
  <c r="B395" i="39"/>
  <c r="C395" i="39"/>
  <c r="D395" i="39"/>
  <c r="E395" i="39"/>
  <c r="I395" i="39"/>
  <c r="B396" i="39"/>
  <c r="C396" i="39"/>
  <c r="D396" i="39"/>
  <c r="E396" i="39"/>
  <c r="I396" i="39"/>
  <c r="B397" i="39"/>
  <c r="C397" i="39"/>
  <c r="D397" i="39"/>
  <c r="E397" i="39"/>
  <c r="I397" i="39"/>
  <c r="B398" i="39"/>
  <c r="C398" i="39"/>
  <c r="D398" i="39"/>
  <c r="E398" i="39"/>
  <c r="I398" i="39"/>
  <c r="B399" i="39"/>
  <c r="C399" i="39"/>
  <c r="D399" i="39"/>
  <c r="E399" i="39"/>
  <c r="I399" i="39"/>
  <c r="B400" i="39"/>
  <c r="C400" i="39"/>
  <c r="D400" i="39"/>
  <c r="E400" i="39"/>
  <c r="I400" i="39"/>
  <c r="B401" i="39"/>
  <c r="C401" i="39"/>
  <c r="D401" i="39"/>
  <c r="E401" i="39"/>
  <c r="I401" i="39"/>
  <c r="B402" i="39"/>
  <c r="C402" i="39"/>
  <c r="D402" i="39"/>
  <c r="E402" i="39"/>
  <c r="I402" i="39"/>
  <c r="B403" i="39"/>
  <c r="C403" i="39"/>
  <c r="D403" i="39"/>
  <c r="E403" i="39"/>
  <c r="I403" i="39"/>
  <c r="B404" i="39"/>
  <c r="C404" i="39"/>
  <c r="D404" i="39"/>
  <c r="E404" i="39"/>
  <c r="I404" i="39"/>
  <c r="B405" i="39"/>
  <c r="C405" i="39"/>
  <c r="D405" i="39"/>
  <c r="E405" i="39"/>
  <c r="I405" i="39"/>
  <c r="B406" i="39"/>
  <c r="C406" i="39"/>
  <c r="D406" i="39"/>
  <c r="E406" i="39"/>
  <c r="I406" i="39"/>
  <c r="B407" i="39"/>
  <c r="C407" i="39"/>
  <c r="D407" i="39"/>
  <c r="E407" i="39"/>
  <c r="I407" i="39"/>
  <c r="B408" i="39"/>
  <c r="C408" i="39"/>
  <c r="D408" i="39"/>
  <c r="E408" i="39"/>
  <c r="I408" i="39"/>
  <c r="B409" i="39"/>
  <c r="C409" i="39"/>
  <c r="D409" i="39"/>
  <c r="E409" i="39"/>
  <c r="I409" i="39"/>
  <c r="B410" i="39"/>
  <c r="C410" i="39"/>
  <c r="D410" i="39"/>
  <c r="E410" i="39"/>
  <c r="I410" i="39"/>
  <c r="B411" i="39"/>
  <c r="C411" i="39"/>
  <c r="D411" i="39"/>
  <c r="E411" i="39"/>
  <c r="I411" i="39"/>
  <c r="B412" i="39"/>
  <c r="C412" i="39"/>
  <c r="D412" i="39"/>
  <c r="E412" i="39"/>
  <c r="I412" i="39"/>
  <c r="B413" i="39"/>
  <c r="C413" i="39"/>
  <c r="D413" i="39"/>
  <c r="E413" i="39"/>
  <c r="I413" i="39"/>
  <c r="B414" i="39"/>
  <c r="C414" i="39"/>
  <c r="D414" i="39"/>
  <c r="E414" i="39"/>
  <c r="I414" i="39"/>
  <c r="B415" i="39"/>
  <c r="C415" i="39"/>
  <c r="D415" i="39"/>
  <c r="E415" i="39"/>
  <c r="I415" i="39"/>
  <c r="B416" i="39"/>
  <c r="C416" i="39"/>
  <c r="D416" i="39"/>
  <c r="E416" i="39"/>
  <c r="I416" i="39"/>
  <c r="B417" i="39"/>
  <c r="C417" i="39"/>
  <c r="D417" i="39"/>
  <c r="E417" i="39"/>
  <c r="I417" i="39"/>
  <c r="B418" i="39"/>
  <c r="C418" i="39"/>
  <c r="D418" i="39"/>
  <c r="E418" i="39"/>
  <c r="I418" i="39"/>
  <c r="B419" i="39"/>
  <c r="C419" i="39"/>
  <c r="D419" i="39"/>
  <c r="E419" i="39"/>
  <c r="I419" i="39"/>
  <c r="B420" i="39"/>
  <c r="C420" i="39"/>
  <c r="D420" i="39"/>
  <c r="E420" i="39"/>
  <c r="I420" i="39"/>
  <c r="B421" i="39"/>
  <c r="C421" i="39"/>
  <c r="D421" i="39"/>
  <c r="E421" i="39"/>
  <c r="I421" i="39"/>
  <c r="B422" i="39"/>
  <c r="C422" i="39"/>
  <c r="D422" i="39"/>
  <c r="E422" i="39"/>
  <c r="I422" i="39"/>
  <c r="B423" i="39"/>
  <c r="C423" i="39"/>
  <c r="D423" i="39"/>
  <c r="E423" i="39"/>
  <c r="I423" i="39"/>
  <c r="B424" i="39"/>
  <c r="C424" i="39"/>
  <c r="D424" i="39"/>
  <c r="E424" i="39"/>
  <c r="I424" i="39"/>
  <c r="B425" i="39"/>
  <c r="C425" i="39"/>
  <c r="D425" i="39"/>
  <c r="E425" i="39"/>
  <c r="I425" i="39"/>
  <c r="B426" i="39"/>
  <c r="C426" i="39"/>
  <c r="D426" i="39"/>
  <c r="E426" i="39"/>
  <c r="I426" i="39"/>
  <c r="B427" i="39"/>
  <c r="C427" i="39"/>
  <c r="D427" i="39"/>
  <c r="E427" i="39"/>
  <c r="I427" i="39"/>
  <c r="B428" i="39"/>
  <c r="C428" i="39"/>
  <c r="D428" i="39"/>
  <c r="E428" i="39"/>
  <c r="I428" i="39"/>
  <c r="B429" i="39"/>
  <c r="C429" i="39"/>
  <c r="D429" i="39"/>
  <c r="E429" i="39"/>
  <c r="I429" i="39"/>
  <c r="B430" i="39"/>
  <c r="C430" i="39"/>
  <c r="D430" i="39"/>
  <c r="E430" i="39"/>
  <c r="I430" i="39"/>
  <c r="B431" i="39"/>
  <c r="C431" i="39"/>
  <c r="D431" i="39"/>
  <c r="E431" i="39"/>
  <c r="I431" i="39"/>
  <c r="B432" i="39"/>
  <c r="C432" i="39"/>
  <c r="D432" i="39"/>
  <c r="E432" i="39"/>
  <c r="I432" i="39"/>
  <c r="B433" i="39"/>
  <c r="C433" i="39"/>
  <c r="D433" i="39"/>
  <c r="E433" i="39"/>
  <c r="I433" i="39"/>
  <c r="B434" i="39"/>
  <c r="C434" i="39"/>
  <c r="D434" i="39"/>
  <c r="E434" i="39"/>
  <c r="I434" i="39"/>
  <c r="B435" i="39"/>
  <c r="C435" i="39"/>
  <c r="D435" i="39"/>
  <c r="E435" i="39"/>
  <c r="I435" i="39"/>
  <c r="B436" i="39"/>
  <c r="C436" i="39"/>
  <c r="D436" i="39"/>
  <c r="E436" i="39"/>
  <c r="I436" i="39"/>
  <c r="B437" i="39"/>
  <c r="C437" i="39"/>
  <c r="D437" i="39"/>
  <c r="E437" i="39"/>
  <c r="I437" i="39"/>
  <c r="B438" i="39"/>
  <c r="C438" i="39"/>
  <c r="D438" i="39"/>
  <c r="E438" i="39"/>
  <c r="I438" i="39"/>
  <c r="B439" i="39"/>
  <c r="C439" i="39"/>
  <c r="D439" i="39"/>
  <c r="E439" i="39"/>
  <c r="I439" i="39"/>
  <c r="B440" i="39"/>
  <c r="C440" i="39"/>
  <c r="D440" i="39"/>
  <c r="E440" i="39"/>
  <c r="I440" i="39"/>
  <c r="B441" i="39"/>
  <c r="C441" i="39"/>
  <c r="D441" i="39"/>
  <c r="E441" i="39"/>
  <c r="I441" i="39"/>
  <c r="B442" i="39"/>
  <c r="C442" i="39"/>
  <c r="D442" i="39"/>
  <c r="E442" i="39"/>
  <c r="I442" i="39"/>
  <c r="B443" i="39"/>
  <c r="C443" i="39"/>
  <c r="D443" i="39"/>
  <c r="E443" i="39"/>
  <c r="I443" i="39"/>
  <c r="B444" i="39"/>
  <c r="C444" i="39"/>
  <c r="D444" i="39"/>
  <c r="E444" i="39"/>
  <c r="I444" i="39"/>
  <c r="B445" i="39"/>
  <c r="C445" i="39"/>
  <c r="D445" i="39"/>
  <c r="E445" i="39"/>
  <c r="I445" i="39"/>
  <c r="B446" i="39"/>
  <c r="C446" i="39"/>
  <c r="D446" i="39"/>
  <c r="E446" i="39"/>
  <c r="I446" i="39"/>
  <c r="B447" i="39"/>
  <c r="C447" i="39"/>
  <c r="D447" i="39"/>
  <c r="E447" i="39"/>
  <c r="I447" i="39"/>
  <c r="B448" i="39"/>
  <c r="C448" i="39"/>
  <c r="D448" i="39"/>
  <c r="E448" i="39"/>
  <c r="I448" i="39"/>
  <c r="B449" i="39"/>
  <c r="C449" i="39"/>
  <c r="D449" i="39"/>
  <c r="E449" i="39"/>
  <c r="I449" i="39"/>
  <c r="B450" i="39"/>
  <c r="C450" i="39"/>
  <c r="D450" i="39"/>
  <c r="E450" i="39"/>
  <c r="I450" i="39"/>
  <c r="B451" i="39"/>
  <c r="C451" i="39"/>
  <c r="D451" i="39"/>
  <c r="E451" i="39"/>
  <c r="I451" i="39"/>
  <c r="B452" i="39"/>
  <c r="C452" i="39"/>
  <c r="D452" i="39"/>
  <c r="E452" i="39"/>
  <c r="I452" i="39"/>
  <c r="B453" i="39"/>
  <c r="C453" i="39"/>
  <c r="D453" i="39"/>
  <c r="E453" i="39"/>
  <c r="I453" i="39"/>
  <c r="B454" i="39"/>
  <c r="C454" i="39"/>
  <c r="D454" i="39"/>
  <c r="E454" i="39"/>
  <c r="I454" i="39"/>
  <c r="B455" i="39"/>
  <c r="C455" i="39"/>
  <c r="D455" i="39"/>
  <c r="E455" i="39"/>
  <c r="I455" i="39"/>
  <c r="B456" i="39"/>
  <c r="C456" i="39"/>
  <c r="D456" i="39"/>
  <c r="E456" i="39"/>
  <c r="I456" i="39"/>
  <c r="B457" i="39"/>
  <c r="C457" i="39"/>
  <c r="D457" i="39"/>
  <c r="E457" i="39"/>
  <c r="I457" i="39"/>
  <c r="B458" i="39"/>
  <c r="C458" i="39"/>
  <c r="D458" i="39"/>
  <c r="E458" i="39"/>
  <c r="I458" i="39"/>
  <c r="B459" i="39"/>
  <c r="C459" i="39"/>
  <c r="D459" i="39"/>
  <c r="E459" i="39"/>
  <c r="I459" i="39"/>
  <c r="B460" i="39"/>
  <c r="C460" i="39"/>
  <c r="D460" i="39"/>
  <c r="E460" i="39"/>
  <c r="I460" i="39"/>
  <c r="B461" i="39"/>
  <c r="C461" i="39"/>
  <c r="D461" i="39"/>
  <c r="E461" i="39"/>
  <c r="I461" i="39"/>
  <c r="B462" i="39"/>
  <c r="C462" i="39"/>
  <c r="D462" i="39"/>
  <c r="E462" i="39"/>
  <c r="I462" i="39"/>
  <c r="B463" i="39"/>
  <c r="C463" i="39"/>
  <c r="D463" i="39"/>
  <c r="E463" i="39"/>
  <c r="I463" i="39"/>
  <c r="B464" i="39"/>
  <c r="C464" i="39"/>
  <c r="D464" i="39"/>
  <c r="E464" i="39"/>
  <c r="I464" i="39"/>
  <c r="B465" i="39"/>
  <c r="C465" i="39"/>
  <c r="D465" i="39"/>
  <c r="E465" i="39"/>
  <c r="I465" i="39"/>
  <c r="B466" i="39"/>
  <c r="C466" i="39"/>
  <c r="D466" i="39"/>
  <c r="E466" i="39"/>
  <c r="I466" i="39"/>
  <c r="B467" i="39"/>
  <c r="C467" i="39"/>
  <c r="D467" i="39"/>
  <c r="E467" i="39"/>
  <c r="I467" i="39"/>
  <c r="B468" i="39"/>
  <c r="C468" i="39"/>
  <c r="D468" i="39"/>
  <c r="E468" i="39"/>
  <c r="I468" i="39"/>
  <c r="B469" i="39"/>
  <c r="C469" i="39"/>
  <c r="D469" i="39"/>
  <c r="E469" i="39"/>
  <c r="I469" i="39"/>
  <c r="B470" i="39"/>
  <c r="C470" i="39"/>
  <c r="D470" i="39"/>
  <c r="E470" i="39"/>
  <c r="I470" i="39"/>
  <c r="B471" i="39"/>
  <c r="C471" i="39"/>
  <c r="D471" i="39"/>
  <c r="E471" i="39"/>
  <c r="I471" i="39"/>
  <c r="B472" i="39"/>
  <c r="C472" i="39"/>
  <c r="D472" i="39"/>
  <c r="E472" i="39"/>
  <c r="I472" i="39"/>
  <c r="B473" i="39"/>
  <c r="C473" i="39"/>
  <c r="D473" i="39"/>
  <c r="E473" i="39"/>
  <c r="I473" i="39"/>
  <c r="B474" i="39"/>
  <c r="C474" i="39"/>
  <c r="D474" i="39"/>
  <c r="E474" i="39"/>
  <c r="I474" i="39"/>
  <c r="B475" i="39"/>
  <c r="C475" i="39"/>
  <c r="D475" i="39"/>
  <c r="E475" i="39"/>
  <c r="I475" i="39"/>
  <c r="B476" i="39"/>
  <c r="C476" i="39"/>
  <c r="D476" i="39"/>
  <c r="E476" i="39"/>
  <c r="I476" i="39"/>
  <c r="B477" i="39"/>
  <c r="C477" i="39"/>
  <c r="D477" i="39"/>
  <c r="E477" i="39"/>
  <c r="I477" i="39"/>
  <c r="B478" i="39"/>
  <c r="C478" i="39"/>
  <c r="D478" i="39"/>
  <c r="E478" i="39"/>
  <c r="I478" i="39"/>
  <c r="B479" i="39"/>
  <c r="C479" i="39"/>
  <c r="D479" i="39"/>
  <c r="E479" i="39"/>
  <c r="I479" i="39"/>
  <c r="B480" i="39"/>
  <c r="C480" i="39"/>
  <c r="D480" i="39"/>
  <c r="E480" i="39"/>
  <c r="I480" i="39"/>
  <c r="B481" i="39"/>
  <c r="C481" i="39"/>
  <c r="D481" i="39"/>
  <c r="E481" i="39"/>
  <c r="I481" i="39"/>
  <c r="B482" i="39"/>
  <c r="C482" i="39"/>
  <c r="D482" i="39"/>
  <c r="E482" i="39"/>
  <c r="I482" i="39"/>
  <c r="B483" i="39"/>
  <c r="C483" i="39"/>
  <c r="D483" i="39"/>
  <c r="E483" i="39"/>
  <c r="I483" i="39"/>
  <c r="B484" i="39"/>
  <c r="C484" i="39"/>
  <c r="D484" i="39"/>
  <c r="E484" i="39"/>
  <c r="I484" i="39"/>
  <c r="B485" i="39"/>
  <c r="C485" i="39"/>
  <c r="D485" i="39"/>
  <c r="E485" i="39"/>
  <c r="I485" i="39"/>
  <c r="B486" i="39"/>
  <c r="C486" i="39"/>
  <c r="D486" i="39"/>
  <c r="E486" i="39"/>
  <c r="I486" i="39"/>
  <c r="B487" i="39"/>
  <c r="C487" i="39"/>
  <c r="D487" i="39"/>
  <c r="E487" i="39"/>
  <c r="I487" i="39"/>
  <c r="B488" i="39"/>
  <c r="C488" i="39"/>
  <c r="D488" i="39"/>
  <c r="E488" i="39"/>
  <c r="I488" i="39"/>
  <c r="B489" i="39"/>
  <c r="C489" i="39"/>
  <c r="D489" i="39"/>
  <c r="E489" i="39"/>
  <c r="I489" i="39"/>
  <c r="B490" i="39"/>
  <c r="C490" i="39"/>
  <c r="D490" i="39"/>
  <c r="E490" i="39"/>
  <c r="I490" i="39"/>
  <c r="B491" i="39"/>
  <c r="C491" i="39"/>
  <c r="D491" i="39"/>
  <c r="E491" i="39"/>
  <c r="I491" i="39"/>
  <c r="B492" i="39"/>
  <c r="C492" i="39"/>
  <c r="D492" i="39"/>
  <c r="E492" i="39"/>
  <c r="I492" i="39"/>
  <c r="B493" i="39"/>
  <c r="C493" i="39"/>
  <c r="D493" i="39"/>
  <c r="E493" i="39"/>
  <c r="I493" i="39"/>
  <c r="B494" i="39"/>
  <c r="C494" i="39"/>
  <c r="D494" i="39"/>
  <c r="E494" i="39"/>
  <c r="I494" i="39"/>
  <c r="B495" i="39"/>
  <c r="C495" i="39"/>
  <c r="D495" i="39"/>
  <c r="E495" i="39"/>
  <c r="I495" i="39"/>
  <c r="B496" i="39"/>
  <c r="C496" i="39"/>
  <c r="D496" i="39"/>
  <c r="E496" i="39"/>
  <c r="I496" i="39"/>
  <c r="B497" i="39"/>
  <c r="C497" i="39"/>
  <c r="D497" i="39"/>
  <c r="E497" i="39"/>
  <c r="I497" i="39"/>
  <c r="B498" i="39"/>
  <c r="C498" i="39"/>
  <c r="D498" i="39"/>
  <c r="E498" i="39"/>
  <c r="I498" i="39"/>
  <c r="B499" i="39"/>
  <c r="C499" i="39"/>
  <c r="D499" i="39"/>
  <c r="E499" i="39"/>
  <c r="I499" i="39"/>
  <c r="B500" i="39"/>
  <c r="C500" i="39"/>
  <c r="D500" i="39"/>
  <c r="E500" i="39"/>
  <c r="I500" i="39"/>
  <c r="B501" i="39"/>
  <c r="C501" i="39"/>
  <c r="D501" i="39"/>
  <c r="E501" i="39"/>
  <c r="I501" i="39"/>
  <c r="B502" i="39"/>
  <c r="C502" i="39"/>
  <c r="D502" i="39"/>
  <c r="E502" i="39"/>
  <c r="I502" i="39"/>
  <c r="B503" i="39"/>
  <c r="C503" i="39"/>
  <c r="D503" i="39"/>
  <c r="E503" i="39"/>
  <c r="I503" i="39"/>
  <c r="B504" i="39"/>
  <c r="C504" i="39"/>
  <c r="D504" i="39"/>
  <c r="E504" i="39"/>
  <c r="I504" i="39"/>
  <c r="B505" i="39"/>
  <c r="C505" i="39"/>
  <c r="D505" i="39"/>
  <c r="E505" i="39"/>
  <c r="I505" i="39"/>
  <c r="B506" i="39"/>
  <c r="C506" i="39"/>
  <c r="D506" i="39"/>
  <c r="E506" i="39"/>
  <c r="I506" i="39"/>
  <c r="B507" i="39"/>
  <c r="C507" i="39"/>
  <c r="D507" i="39"/>
  <c r="E507" i="39"/>
  <c r="I507" i="39"/>
  <c r="B508" i="39"/>
  <c r="C508" i="39"/>
  <c r="D508" i="39"/>
  <c r="E508" i="39"/>
  <c r="I508" i="39"/>
  <c r="B509" i="39"/>
  <c r="C509" i="39"/>
  <c r="D509" i="39"/>
  <c r="E509" i="39"/>
  <c r="I509" i="39"/>
  <c r="B510" i="39"/>
  <c r="C510" i="39"/>
  <c r="D510" i="39"/>
  <c r="E510" i="39"/>
  <c r="I510" i="39"/>
  <c r="B511" i="39"/>
  <c r="C511" i="39"/>
  <c r="D511" i="39"/>
  <c r="E511" i="39"/>
  <c r="I511" i="39"/>
  <c r="B512" i="39"/>
  <c r="C512" i="39"/>
  <c r="D512" i="39"/>
  <c r="E512" i="39"/>
  <c r="I512" i="39"/>
  <c r="B513" i="39"/>
  <c r="C513" i="39"/>
  <c r="D513" i="39"/>
  <c r="E513" i="39"/>
  <c r="I513" i="39"/>
  <c r="B514" i="39"/>
  <c r="C514" i="39"/>
  <c r="D514" i="39"/>
  <c r="E514" i="39"/>
  <c r="I514" i="39"/>
  <c r="B515" i="39"/>
  <c r="C515" i="39"/>
  <c r="D515" i="39"/>
  <c r="E515" i="39"/>
  <c r="I515" i="39"/>
  <c r="B516" i="39"/>
  <c r="C516" i="39"/>
  <c r="D516" i="39"/>
  <c r="E516" i="39"/>
  <c r="I516" i="39"/>
  <c r="B517" i="39"/>
  <c r="C517" i="39"/>
  <c r="D517" i="39"/>
  <c r="E517" i="39"/>
  <c r="I517" i="39"/>
  <c r="B518" i="39"/>
  <c r="C518" i="39"/>
  <c r="D518" i="39"/>
  <c r="E518" i="39"/>
  <c r="I518" i="39"/>
  <c r="B519" i="39"/>
  <c r="C519" i="39"/>
  <c r="D519" i="39"/>
  <c r="E519" i="39"/>
  <c r="I519" i="39"/>
  <c r="B520" i="39"/>
  <c r="C520" i="39"/>
  <c r="D520" i="39"/>
  <c r="E520" i="39"/>
  <c r="I520" i="39"/>
  <c r="B521" i="39"/>
  <c r="C521" i="39"/>
  <c r="D521" i="39"/>
  <c r="E521" i="39"/>
  <c r="I521" i="39"/>
  <c r="B522" i="39"/>
  <c r="C522" i="39"/>
  <c r="D522" i="39"/>
  <c r="E522" i="39"/>
  <c r="I522" i="39"/>
  <c r="B523" i="39"/>
  <c r="C523" i="39"/>
  <c r="D523" i="39"/>
  <c r="E523" i="39"/>
  <c r="I523" i="39"/>
  <c r="B524" i="39"/>
  <c r="C524" i="39"/>
  <c r="D524" i="39"/>
  <c r="E524" i="39"/>
  <c r="I524" i="39"/>
  <c r="B525" i="39"/>
  <c r="C525" i="39"/>
  <c r="D525" i="39"/>
  <c r="E525" i="39"/>
  <c r="I525" i="39"/>
  <c r="B526" i="39"/>
  <c r="C526" i="39"/>
  <c r="D526" i="39"/>
  <c r="E526" i="39"/>
  <c r="I526" i="39"/>
  <c r="B527" i="39"/>
  <c r="C527" i="39"/>
  <c r="D527" i="39"/>
  <c r="E527" i="39"/>
  <c r="I527" i="39"/>
  <c r="B528" i="39"/>
  <c r="C528" i="39"/>
  <c r="D528" i="39"/>
  <c r="E528" i="39"/>
  <c r="I528" i="39"/>
  <c r="B529" i="39"/>
  <c r="C529" i="39"/>
  <c r="D529" i="39"/>
  <c r="E529" i="39"/>
  <c r="I529" i="39"/>
  <c r="B530" i="39"/>
  <c r="C530" i="39"/>
  <c r="D530" i="39"/>
  <c r="E530" i="39"/>
  <c r="I530" i="39"/>
  <c r="B531" i="39"/>
  <c r="C531" i="39"/>
  <c r="D531" i="39"/>
  <c r="E531" i="39"/>
  <c r="I531" i="39"/>
  <c r="B532" i="39"/>
  <c r="C532" i="39"/>
  <c r="D532" i="39"/>
  <c r="E532" i="39"/>
  <c r="I532" i="39"/>
  <c r="B533" i="39"/>
  <c r="C533" i="39"/>
  <c r="D533" i="39"/>
  <c r="E533" i="39"/>
  <c r="I533" i="39"/>
  <c r="B534" i="39"/>
  <c r="C534" i="39"/>
  <c r="D534" i="39"/>
  <c r="E534" i="39"/>
  <c r="I534" i="39"/>
  <c r="B535" i="39"/>
  <c r="C535" i="39"/>
  <c r="D535" i="39"/>
  <c r="E535" i="39"/>
  <c r="I535" i="39"/>
  <c r="B536" i="39"/>
  <c r="C536" i="39"/>
  <c r="D536" i="39"/>
  <c r="E536" i="39"/>
  <c r="I536" i="39"/>
  <c r="B537" i="39"/>
  <c r="C537" i="39"/>
  <c r="D537" i="39"/>
  <c r="E537" i="39"/>
  <c r="I537" i="39"/>
  <c r="B538" i="39"/>
  <c r="C538" i="39"/>
  <c r="D538" i="39"/>
  <c r="E538" i="39"/>
  <c r="I538" i="39"/>
  <c r="B539" i="39"/>
  <c r="C539" i="39"/>
  <c r="D539" i="39"/>
  <c r="E539" i="39"/>
  <c r="I539" i="39"/>
  <c r="B540" i="39"/>
  <c r="C540" i="39"/>
  <c r="D540" i="39"/>
  <c r="E540" i="39"/>
  <c r="I540" i="39"/>
  <c r="B541" i="39"/>
  <c r="C541" i="39"/>
  <c r="D541" i="39"/>
  <c r="E541" i="39"/>
  <c r="I541" i="39"/>
  <c r="B542" i="39"/>
  <c r="C542" i="39"/>
  <c r="D542" i="39"/>
  <c r="E542" i="39"/>
  <c r="I542" i="39"/>
  <c r="B543" i="39"/>
  <c r="C543" i="39"/>
  <c r="D543" i="39"/>
  <c r="E543" i="39"/>
  <c r="I543" i="39"/>
  <c r="B544" i="39"/>
  <c r="C544" i="39"/>
  <c r="D544" i="39"/>
  <c r="E544" i="39"/>
  <c r="I544" i="39"/>
  <c r="B545" i="39"/>
  <c r="C545" i="39"/>
  <c r="D545" i="39"/>
  <c r="E545" i="39"/>
  <c r="I545" i="39"/>
  <c r="B546" i="39"/>
  <c r="C546" i="39"/>
  <c r="D546" i="39"/>
  <c r="E546" i="39"/>
  <c r="I546" i="39"/>
  <c r="B547" i="39"/>
  <c r="C547" i="39"/>
  <c r="D547" i="39"/>
  <c r="E547" i="39"/>
  <c r="I547" i="39"/>
  <c r="B548" i="39"/>
  <c r="C548" i="39"/>
  <c r="D548" i="39"/>
  <c r="E548" i="39"/>
  <c r="I548" i="39"/>
  <c r="B549" i="39"/>
  <c r="C549" i="39"/>
  <c r="D549" i="39"/>
  <c r="E549" i="39"/>
  <c r="I549" i="39"/>
  <c r="B550" i="39"/>
  <c r="C550" i="39"/>
  <c r="D550" i="39"/>
  <c r="E550" i="39"/>
  <c r="I550" i="39"/>
  <c r="B551" i="39"/>
  <c r="C551" i="39"/>
  <c r="D551" i="39"/>
  <c r="E551" i="39"/>
  <c r="I551" i="39"/>
  <c r="B552" i="39"/>
  <c r="C552" i="39"/>
  <c r="D552" i="39"/>
  <c r="E552" i="39"/>
  <c r="I552" i="39"/>
  <c r="B553" i="39"/>
  <c r="C553" i="39"/>
  <c r="D553" i="39"/>
  <c r="E553" i="39"/>
  <c r="I553" i="39"/>
  <c r="B554" i="39"/>
  <c r="C554" i="39"/>
  <c r="D554" i="39"/>
  <c r="E554" i="39"/>
  <c r="I554" i="39"/>
  <c r="B555" i="39"/>
  <c r="C555" i="39"/>
  <c r="D555" i="39"/>
  <c r="E555" i="39"/>
  <c r="I555" i="39"/>
  <c r="B556" i="39"/>
  <c r="C556" i="39"/>
  <c r="D556" i="39"/>
  <c r="E556" i="39"/>
  <c r="I556" i="39"/>
  <c r="B557" i="39"/>
  <c r="C557" i="39"/>
  <c r="D557" i="39"/>
  <c r="E557" i="39"/>
  <c r="I557" i="39"/>
  <c r="B558" i="39"/>
  <c r="C558" i="39"/>
  <c r="D558" i="39"/>
  <c r="E558" i="39"/>
  <c r="I558" i="39"/>
  <c r="B559" i="39"/>
  <c r="C559" i="39"/>
  <c r="D559" i="39"/>
  <c r="E559" i="39"/>
  <c r="I559" i="39"/>
  <c r="B560" i="39"/>
  <c r="C560" i="39"/>
  <c r="D560" i="39"/>
  <c r="E560" i="39"/>
  <c r="I560" i="39"/>
  <c r="B561" i="39"/>
  <c r="C561" i="39"/>
  <c r="D561" i="39"/>
  <c r="E561" i="39"/>
  <c r="I561" i="39"/>
  <c r="B562" i="39"/>
  <c r="C562" i="39"/>
  <c r="D562" i="39"/>
  <c r="E562" i="39"/>
  <c r="I562" i="39"/>
  <c r="B563" i="39"/>
  <c r="C563" i="39"/>
  <c r="D563" i="39"/>
  <c r="E563" i="39"/>
  <c r="I563" i="39"/>
  <c r="B564" i="39"/>
  <c r="C564" i="39"/>
  <c r="D564" i="39"/>
  <c r="E564" i="39"/>
  <c r="I564" i="39"/>
  <c r="B565" i="39"/>
  <c r="C565" i="39"/>
  <c r="D565" i="39"/>
  <c r="E565" i="39"/>
  <c r="I565" i="39"/>
  <c r="B566" i="39"/>
  <c r="C566" i="39"/>
  <c r="D566" i="39"/>
  <c r="E566" i="39"/>
  <c r="I566" i="39"/>
  <c r="B567" i="39"/>
  <c r="C567" i="39"/>
  <c r="D567" i="39"/>
  <c r="E567" i="39"/>
  <c r="I567" i="39"/>
  <c r="B568" i="39"/>
  <c r="C568" i="39"/>
  <c r="D568" i="39"/>
  <c r="E568" i="39"/>
  <c r="I568" i="39"/>
  <c r="B569" i="39"/>
  <c r="C569" i="39"/>
  <c r="D569" i="39"/>
  <c r="E569" i="39"/>
  <c r="I569" i="39"/>
  <c r="B570" i="39"/>
  <c r="C570" i="39"/>
  <c r="D570" i="39"/>
  <c r="E570" i="39"/>
  <c r="I570" i="39"/>
  <c r="B571" i="39"/>
  <c r="C571" i="39"/>
  <c r="D571" i="39"/>
  <c r="E571" i="39"/>
  <c r="I571" i="39"/>
  <c r="B572" i="39"/>
  <c r="C572" i="39"/>
  <c r="D572" i="39"/>
  <c r="E572" i="39"/>
  <c r="I572" i="39"/>
  <c r="B573" i="39"/>
  <c r="C573" i="39"/>
  <c r="D573" i="39"/>
  <c r="E573" i="39"/>
  <c r="I573" i="39"/>
  <c r="B574" i="39"/>
  <c r="C574" i="39"/>
  <c r="D574" i="39"/>
  <c r="E574" i="39"/>
  <c r="I574" i="39"/>
  <c r="B575" i="39"/>
  <c r="C575" i="39"/>
  <c r="D575" i="39"/>
  <c r="E575" i="39"/>
  <c r="I575" i="39"/>
  <c r="B576" i="39"/>
  <c r="C576" i="39"/>
  <c r="D576" i="39"/>
  <c r="E576" i="39"/>
  <c r="I576" i="39"/>
  <c r="B577" i="39"/>
  <c r="C577" i="39"/>
  <c r="D577" i="39"/>
  <c r="E577" i="39"/>
  <c r="I577" i="39"/>
  <c r="B578" i="39"/>
  <c r="C578" i="39"/>
  <c r="D578" i="39"/>
  <c r="E578" i="39"/>
  <c r="I578" i="39"/>
  <c r="B579" i="39"/>
  <c r="C579" i="39"/>
  <c r="D579" i="39"/>
  <c r="E579" i="39"/>
  <c r="I579" i="39"/>
  <c r="B580" i="39"/>
  <c r="C580" i="39"/>
  <c r="D580" i="39"/>
  <c r="E580" i="39"/>
  <c r="I580" i="39"/>
  <c r="B581" i="39"/>
  <c r="C581" i="39"/>
  <c r="D581" i="39"/>
  <c r="E581" i="39"/>
  <c r="I581" i="39"/>
  <c r="B582" i="39"/>
  <c r="C582" i="39"/>
  <c r="D582" i="39"/>
  <c r="E582" i="39"/>
  <c r="I582" i="39"/>
  <c r="B583" i="39"/>
  <c r="C583" i="39"/>
  <c r="D583" i="39"/>
  <c r="E583" i="39"/>
  <c r="I583" i="39"/>
  <c r="B584" i="39"/>
  <c r="C584" i="39"/>
  <c r="D584" i="39"/>
  <c r="E584" i="39"/>
  <c r="I584" i="39"/>
  <c r="B585" i="39"/>
  <c r="C585" i="39"/>
  <c r="D585" i="39"/>
  <c r="E585" i="39"/>
  <c r="I585" i="39"/>
  <c r="B586" i="39"/>
  <c r="C586" i="39"/>
  <c r="D586" i="39"/>
  <c r="E586" i="39"/>
  <c r="I586" i="39"/>
  <c r="B587" i="39"/>
  <c r="C587" i="39"/>
  <c r="D587" i="39"/>
  <c r="E587" i="39"/>
  <c r="I587" i="39"/>
  <c r="B588" i="39"/>
  <c r="C588" i="39"/>
  <c r="D588" i="39"/>
  <c r="E588" i="39"/>
  <c r="I588" i="39"/>
  <c r="B589" i="39"/>
  <c r="C589" i="39"/>
  <c r="D589" i="39"/>
  <c r="E589" i="39"/>
  <c r="I589" i="39"/>
  <c r="B590" i="39"/>
  <c r="C590" i="39"/>
  <c r="D590" i="39"/>
  <c r="E590" i="39"/>
  <c r="I590" i="39"/>
  <c r="B591" i="39"/>
  <c r="C591" i="39"/>
  <c r="D591" i="39"/>
  <c r="E591" i="39"/>
  <c r="I591" i="39"/>
  <c r="B592" i="39"/>
  <c r="C592" i="39"/>
  <c r="D592" i="39"/>
  <c r="E592" i="39"/>
  <c r="I592" i="39"/>
  <c r="B593" i="39"/>
  <c r="C593" i="39"/>
  <c r="D593" i="39"/>
  <c r="E593" i="39"/>
  <c r="I593" i="39"/>
  <c r="B594" i="39"/>
  <c r="C594" i="39"/>
  <c r="D594" i="39"/>
  <c r="E594" i="39"/>
  <c r="I594" i="39"/>
  <c r="B595" i="39"/>
  <c r="C595" i="39"/>
  <c r="D595" i="39"/>
  <c r="E595" i="39"/>
  <c r="I595" i="39"/>
  <c r="B596" i="39"/>
  <c r="C596" i="39"/>
  <c r="D596" i="39"/>
  <c r="E596" i="39"/>
  <c r="I596" i="39"/>
  <c r="B597" i="39"/>
  <c r="C597" i="39"/>
  <c r="D597" i="39"/>
  <c r="E597" i="39"/>
  <c r="I597" i="39"/>
  <c r="B598" i="39"/>
  <c r="C598" i="39"/>
  <c r="D598" i="39"/>
  <c r="E598" i="39"/>
  <c r="I598" i="39"/>
  <c r="B599" i="39"/>
  <c r="C599" i="39"/>
  <c r="D599" i="39"/>
  <c r="E599" i="39"/>
  <c r="I599" i="39"/>
  <c r="B600" i="39"/>
  <c r="C600" i="39"/>
  <c r="D600" i="39"/>
  <c r="E600" i="39"/>
  <c r="I600" i="39"/>
  <c r="B601" i="39"/>
  <c r="C601" i="39"/>
  <c r="D601" i="39"/>
  <c r="E601" i="39"/>
  <c r="I601" i="39"/>
  <c r="B602" i="39"/>
  <c r="C602" i="39"/>
  <c r="D602" i="39"/>
  <c r="E602" i="39"/>
  <c r="I602" i="39"/>
  <c r="B603" i="39"/>
  <c r="C603" i="39"/>
  <c r="D603" i="39"/>
  <c r="E603" i="39"/>
  <c r="I603" i="39"/>
  <c r="B604" i="39"/>
  <c r="C604" i="39"/>
  <c r="D604" i="39"/>
  <c r="E604" i="39"/>
  <c r="I604" i="39"/>
  <c r="B605" i="39"/>
  <c r="C605" i="39"/>
  <c r="D605" i="39"/>
  <c r="E605" i="39"/>
  <c r="I605" i="39"/>
  <c r="B606" i="39"/>
  <c r="C606" i="39"/>
  <c r="D606" i="39"/>
  <c r="E606" i="39"/>
  <c r="I606" i="39"/>
  <c r="B607" i="39"/>
  <c r="C607" i="39"/>
  <c r="D607" i="39"/>
  <c r="E607" i="39"/>
  <c r="I607" i="39"/>
  <c r="B608" i="39"/>
  <c r="C608" i="39"/>
  <c r="D608" i="39"/>
  <c r="E608" i="39"/>
  <c r="I608" i="39"/>
  <c r="B609" i="39"/>
  <c r="C609" i="39"/>
  <c r="D609" i="39"/>
  <c r="E609" i="39"/>
  <c r="I609" i="39"/>
  <c r="B610" i="39"/>
  <c r="C610" i="39"/>
  <c r="D610" i="39"/>
  <c r="E610" i="39"/>
  <c r="I610" i="39"/>
  <c r="B611" i="39"/>
  <c r="C611" i="39"/>
  <c r="D611" i="39"/>
  <c r="E611" i="39"/>
  <c r="I611" i="39"/>
  <c r="B612" i="39"/>
  <c r="C612" i="39"/>
  <c r="D612" i="39"/>
  <c r="E612" i="39"/>
  <c r="I612" i="39"/>
  <c r="B613" i="39"/>
  <c r="C613" i="39"/>
  <c r="D613" i="39"/>
  <c r="E613" i="39"/>
  <c r="I613" i="39"/>
  <c r="B614" i="39"/>
  <c r="C614" i="39"/>
  <c r="D614" i="39"/>
  <c r="E614" i="39"/>
  <c r="I614" i="39"/>
  <c r="B615" i="39"/>
  <c r="C615" i="39"/>
  <c r="D615" i="39"/>
  <c r="E615" i="39"/>
  <c r="I615" i="39"/>
  <c r="B616" i="39"/>
  <c r="C616" i="39"/>
  <c r="D616" i="39"/>
  <c r="E616" i="39"/>
  <c r="I616" i="39"/>
  <c r="B617" i="39"/>
  <c r="C617" i="39"/>
  <c r="D617" i="39"/>
  <c r="E617" i="39"/>
  <c r="I617" i="39"/>
  <c r="B618" i="39"/>
  <c r="C618" i="39"/>
  <c r="D618" i="39"/>
  <c r="E618" i="39"/>
  <c r="I618" i="39"/>
  <c r="B619" i="39"/>
  <c r="C619" i="39"/>
  <c r="D619" i="39"/>
  <c r="E619" i="39"/>
  <c r="I619" i="39"/>
  <c r="B620" i="39"/>
  <c r="C620" i="39"/>
  <c r="D620" i="39"/>
  <c r="E620" i="39"/>
  <c r="I620" i="39"/>
  <c r="B621" i="39"/>
  <c r="C621" i="39"/>
  <c r="D621" i="39"/>
  <c r="E621" i="39"/>
  <c r="I621" i="39"/>
  <c r="B622" i="39"/>
  <c r="C622" i="39"/>
  <c r="D622" i="39"/>
  <c r="E622" i="39"/>
  <c r="I622" i="39"/>
  <c r="B623" i="39"/>
  <c r="C623" i="39"/>
  <c r="D623" i="39"/>
  <c r="E623" i="39"/>
  <c r="I623" i="39"/>
  <c r="B624" i="39"/>
  <c r="C624" i="39"/>
  <c r="D624" i="39"/>
  <c r="E624" i="39"/>
  <c r="I624" i="39"/>
  <c r="B625" i="39"/>
  <c r="C625" i="39"/>
  <c r="D625" i="39"/>
  <c r="E625" i="39"/>
  <c r="I625" i="39"/>
  <c r="B626" i="39"/>
  <c r="C626" i="39"/>
  <c r="D626" i="39"/>
  <c r="E626" i="39"/>
  <c r="I626" i="39"/>
  <c r="B627" i="39"/>
  <c r="C627" i="39"/>
  <c r="D627" i="39"/>
  <c r="E627" i="39"/>
  <c r="I627" i="39"/>
  <c r="B628" i="39"/>
  <c r="C628" i="39"/>
  <c r="D628" i="39"/>
  <c r="E628" i="39"/>
  <c r="I628" i="39"/>
  <c r="B629" i="39"/>
  <c r="C629" i="39"/>
  <c r="D629" i="39"/>
  <c r="E629" i="39"/>
  <c r="I629" i="39"/>
  <c r="B630" i="39"/>
  <c r="C630" i="39"/>
  <c r="D630" i="39"/>
  <c r="E630" i="39"/>
  <c r="I630" i="39"/>
  <c r="B631" i="39"/>
  <c r="C631" i="39"/>
  <c r="D631" i="39"/>
  <c r="E631" i="39"/>
  <c r="I631" i="39"/>
  <c r="B632" i="39"/>
  <c r="C632" i="39"/>
  <c r="D632" i="39"/>
  <c r="E632" i="39"/>
  <c r="I632" i="39"/>
  <c r="B633" i="39"/>
  <c r="C633" i="39"/>
  <c r="D633" i="39"/>
  <c r="E633" i="39"/>
  <c r="I633" i="39"/>
  <c r="B634" i="39"/>
  <c r="C634" i="39"/>
  <c r="D634" i="39"/>
  <c r="E634" i="39"/>
  <c r="I634" i="39"/>
  <c r="B635" i="39"/>
  <c r="C635" i="39"/>
  <c r="D635" i="39"/>
  <c r="E635" i="39"/>
  <c r="I635" i="39"/>
  <c r="B636" i="39"/>
  <c r="C636" i="39"/>
  <c r="D636" i="39"/>
  <c r="E636" i="39"/>
  <c r="I636" i="39"/>
  <c r="B637" i="39"/>
  <c r="C637" i="39"/>
  <c r="D637" i="39"/>
  <c r="E637" i="39"/>
  <c r="I637" i="39"/>
  <c r="B638" i="39"/>
  <c r="C638" i="39"/>
  <c r="D638" i="39"/>
  <c r="E638" i="39"/>
  <c r="I638" i="39"/>
  <c r="B639" i="39"/>
  <c r="C639" i="39"/>
  <c r="D639" i="39"/>
  <c r="E639" i="39"/>
  <c r="I639" i="39"/>
  <c r="B640" i="39"/>
  <c r="C640" i="39"/>
  <c r="D640" i="39"/>
  <c r="E640" i="39"/>
  <c r="I640" i="39"/>
  <c r="B641" i="39"/>
  <c r="C641" i="39"/>
  <c r="D641" i="39"/>
  <c r="E641" i="39"/>
  <c r="I641" i="39"/>
  <c r="B642" i="39"/>
  <c r="C642" i="39"/>
  <c r="D642" i="39"/>
  <c r="E642" i="39"/>
  <c r="I642" i="39"/>
  <c r="B643" i="39"/>
  <c r="C643" i="39"/>
  <c r="D643" i="39"/>
  <c r="E643" i="39"/>
  <c r="I643" i="39"/>
  <c r="B644" i="39"/>
  <c r="C644" i="39"/>
  <c r="D644" i="39"/>
  <c r="E644" i="39"/>
  <c r="I644" i="39"/>
  <c r="B645" i="39"/>
  <c r="C645" i="39"/>
  <c r="D645" i="39"/>
  <c r="E645" i="39"/>
  <c r="I645" i="39"/>
  <c r="B646" i="39"/>
  <c r="C646" i="39"/>
  <c r="D646" i="39"/>
  <c r="E646" i="39"/>
  <c r="I646" i="39"/>
  <c r="B647" i="39"/>
  <c r="C647" i="39"/>
  <c r="D647" i="39"/>
  <c r="E647" i="39"/>
  <c r="I647" i="39"/>
  <c r="B648" i="39"/>
  <c r="C648" i="39"/>
  <c r="D648" i="39"/>
  <c r="E648" i="39"/>
  <c r="I648" i="39"/>
  <c r="B649" i="39"/>
  <c r="C649" i="39"/>
  <c r="D649" i="39"/>
  <c r="E649" i="39"/>
  <c r="I649" i="39"/>
  <c r="B650" i="39"/>
  <c r="C650" i="39"/>
  <c r="D650" i="39"/>
  <c r="E650" i="39"/>
  <c r="I650" i="39"/>
  <c r="B651" i="39"/>
  <c r="C651" i="39"/>
  <c r="D651" i="39"/>
  <c r="E651" i="39"/>
  <c r="I651" i="39"/>
  <c r="B652" i="39"/>
  <c r="C652" i="39"/>
  <c r="D652" i="39"/>
  <c r="E652" i="39"/>
  <c r="I652" i="39"/>
  <c r="B653" i="39"/>
  <c r="C653" i="39"/>
  <c r="D653" i="39"/>
  <c r="E653" i="39"/>
  <c r="I653" i="39"/>
  <c r="B654" i="39"/>
  <c r="C654" i="39"/>
  <c r="D654" i="39"/>
  <c r="E654" i="39"/>
  <c r="I654" i="39"/>
  <c r="B655" i="39"/>
  <c r="C655" i="39"/>
  <c r="D655" i="39"/>
  <c r="E655" i="39"/>
  <c r="I655" i="39"/>
  <c r="B656" i="39"/>
  <c r="C656" i="39"/>
  <c r="D656" i="39"/>
  <c r="E656" i="39"/>
  <c r="I656" i="39"/>
  <c r="B657" i="39"/>
  <c r="C657" i="39"/>
  <c r="D657" i="39"/>
  <c r="E657" i="39"/>
  <c r="I657" i="39"/>
  <c r="B658" i="39"/>
  <c r="C658" i="39"/>
  <c r="D658" i="39"/>
  <c r="E658" i="39"/>
  <c r="I658" i="39"/>
  <c r="B659" i="39"/>
  <c r="C659" i="39"/>
  <c r="D659" i="39"/>
  <c r="E659" i="39"/>
  <c r="I659" i="39"/>
  <c r="B660" i="39"/>
  <c r="C660" i="39"/>
  <c r="D660" i="39"/>
  <c r="E660" i="39"/>
  <c r="I660" i="39"/>
  <c r="B661" i="39"/>
  <c r="C661" i="39"/>
  <c r="D661" i="39"/>
  <c r="E661" i="39"/>
  <c r="I661" i="39"/>
  <c r="B662" i="39"/>
  <c r="C662" i="39"/>
  <c r="D662" i="39"/>
  <c r="E662" i="39"/>
  <c r="I662" i="39"/>
  <c r="B663" i="39"/>
  <c r="C663" i="39"/>
  <c r="D663" i="39"/>
  <c r="E663" i="39"/>
  <c r="I663" i="39"/>
  <c r="B664" i="39"/>
  <c r="C664" i="39"/>
  <c r="D664" i="39"/>
  <c r="E664" i="39"/>
  <c r="I664" i="39"/>
  <c r="B665" i="39"/>
  <c r="C665" i="39"/>
  <c r="D665" i="39"/>
  <c r="E665" i="39"/>
  <c r="I665" i="39"/>
  <c r="B666" i="39"/>
  <c r="C666" i="39"/>
  <c r="D666" i="39"/>
  <c r="E666" i="39"/>
  <c r="I666" i="39"/>
  <c r="B667" i="39"/>
  <c r="C667" i="39"/>
  <c r="D667" i="39"/>
  <c r="E667" i="39"/>
  <c r="I667" i="39"/>
  <c r="B668" i="39"/>
  <c r="C668" i="39"/>
  <c r="D668" i="39"/>
  <c r="E668" i="39"/>
  <c r="I668" i="39"/>
  <c r="B669" i="39"/>
  <c r="C669" i="39"/>
  <c r="D669" i="39"/>
  <c r="E669" i="39"/>
  <c r="I669" i="39"/>
  <c r="B670" i="39"/>
  <c r="C670" i="39"/>
  <c r="D670" i="39"/>
  <c r="E670" i="39"/>
  <c r="I670" i="39"/>
  <c r="B671" i="39"/>
  <c r="C671" i="39"/>
  <c r="D671" i="39"/>
  <c r="E671" i="39"/>
  <c r="I671" i="39"/>
  <c r="B672" i="39"/>
  <c r="C672" i="39"/>
  <c r="D672" i="39"/>
  <c r="E672" i="39"/>
  <c r="I672" i="39"/>
  <c r="B673" i="39"/>
  <c r="C673" i="39"/>
  <c r="D673" i="39"/>
  <c r="E673" i="39"/>
  <c r="I673" i="39"/>
  <c r="B674" i="39"/>
  <c r="C674" i="39"/>
  <c r="D674" i="39"/>
  <c r="E674" i="39"/>
  <c r="I674" i="39"/>
  <c r="B675" i="39"/>
  <c r="C675" i="39"/>
  <c r="D675" i="39"/>
  <c r="E675" i="39"/>
  <c r="I675" i="39"/>
  <c r="B676" i="39"/>
  <c r="C676" i="39"/>
  <c r="D676" i="39"/>
  <c r="E676" i="39"/>
  <c r="I676" i="39"/>
  <c r="B677" i="39"/>
  <c r="C677" i="39"/>
  <c r="D677" i="39"/>
  <c r="E677" i="39"/>
  <c r="I677" i="39"/>
  <c r="B678" i="39"/>
  <c r="C678" i="39"/>
  <c r="D678" i="39"/>
  <c r="E678" i="39"/>
  <c r="I678" i="39"/>
  <c r="B679" i="39"/>
  <c r="C679" i="39"/>
  <c r="D679" i="39"/>
  <c r="E679" i="39"/>
  <c r="I679" i="39"/>
  <c r="B680" i="39"/>
  <c r="C680" i="39"/>
  <c r="D680" i="39"/>
  <c r="E680" i="39"/>
  <c r="I680" i="39"/>
  <c r="B681" i="39"/>
  <c r="C681" i="39"/>
  <c r="D681" i="39"/>
  <c r="E681" i="39"/>
  <c r="I681" i="39"/>
  <c r="B682" i="39"/>
  <c r="C682" i="39"/>
  <c r="D682" i="39"/>
  <c r="E682" i="39"/>
  <c r="I682" i="39"/>
  <c r="B683" i="39"/>
  <c r="C683" i="39"/>
  <c r="D683" i="39"/>
  <c r="E683" i="39"/>
  <c r="I683" i="39"/>
  <c r="B684" i="39"/>
  <c r="C684" i="39"/>
  <c r="D684" i="39"/>
  <c r="E684" i="39"/>
  <c r="I684" i="39"/>
  <c r="B685" i="39"/>
  <c r="C685" i="39"/>
  <c r="D685" i="39"/>
  <c r="E685" i="39"/>
  <c r="I685" i="39"/>
  <c r="B686" i="39"/>
  <c r="C686" i="39"/>
  <c r="D686" i="39"/>
  <c r="E686" i="39"/>
  <c r="I686" i="39"/>
  <c r="B687" i="39"/>
  <c r="C687" i="39"/>
  <c r="D687" i="39"/>
  <c r="E687" i="39"/>
  <c r="I687" i="39"/>
  <c r="B688" i="39"/>
  <c r="C688" i="39"/>
  <c r="D688" i="39"/>
  <c r="E688" i="39"/>
  <c r="I688" i="39"/>
  <c r="B689" i="39"/>
  <c r="C689" i="39"/>
  <c r="D689" i="39"/>
  <c r="E689" i="39"/>
  <c r="I689" i="39"/>
  <c r="B690" i="39"/>
  <c r="C690" i="39"/>
  <c r="D690" i="39"/>
  <c r="E690" i="39"/>
  <c r="I690" i="39"/>
  <c r="B691" i="39"/>
  <c r="C691" i="39"/>
  <c r="D691" i="39"/>
  <c r="E691" i="39"/>
  <c r="I691" i="39"/>
  <c r="B692" i="39"/>
  <c r="C692" i="39"/>
  <c r="D692" i="39"/>
  <c r="E692" i="39"/>
  <c r="I692" i="39"/>
  <c r="B693" i="39"/>
  <c r="C693" i="39"/>
  <c r="D693" i="39"/>
  <c r="E693" i="39"/>
  <c r="I693" i="39"/>
  <c r="B694" i="39"/>
  <c r="C694" i="39"/>
  <c r="D694" i="39"/>
  <c r="E694" i="39"/>
  <c r="I694" i="39"/>
  <c r="B695" i="39"/>
  <c r="C695" i="39"/>
  <c r="D695" i="39"/>
  <c r="E695" i="39"/>
  <c r="I695" i="39"/>
  <c r="B696" i="39"/>
  <c r="C696" i="39"/>
  <c r="D696" i="39"/>
  <c r="E696" i="39"/>
  <c r="I696" i="39"/>
  <c r="B697" i="39"/>
  <c r="C697" i="39"/>
  <c r="D697" i="39"/>
  <c r="E697" i="39"/>
  <c r="I697" i="39"/>
  <c r="B698" i="39"/>
  <c r="C698" i="39"/>
  <c r="D698" i="39"/>
  <c r="E698" i="39"/>
  <c r="I698" i="39"/>
  <c r="B699" i="39"/>
  <c r="C699" i="39"/>
  <c r="D699" i="39"/>
  <c r="E699" i="39"/>
  <c r="I699" i="39"/>
  <c r="B700" i="39"/>
  <c r="C700" i="39"/>
  <c r="D700" i="39"/>
  <c r="E700" i="39"/>
  <c r="I700" i="39"/>
  <c r="B701" i="39"/>
  <c r="C701" i="39"/>
  <c r="D701" i="39"/>
  <c r="E701" i="39"/>
  <c r="I701" i="39"/>
  <c r="B702" i="39"/>
  <c r="C702" i="39"/>
  <c r="D702" i="39"/>
  <c r="E702" i="39"/>
  <c r="I702" i="39"/>
  <c r="B703" i="39"/>
  <c r="C703" i="39"/>
  <c r="D703" i="39"/>
  <c r="E703" i="39"/>
  <c r="I703" i="39"/>
  <c r="B704" i="39"/>
  <c r="C704" i="39"/>
  <c r="D704" i="39"/>
  <c r="E704" i="39"/>
  <c r="I704" i="39"/>
  <c r="B705" i="39"/>
  <c r="C705" i="39"/>
  <c r="D705" i="39"/>
  <c r="E705" i="39"/>
  <c r="I705" i="39"/>
  <c r="B706" i="39"/>
  <c r="C706" i="39"/>
  <c r="D706" i="39"/>
  <c r="E706" i="39"/>
  <c r="I706" i="39"/>
  <c r="B707" i="39"/>
  <c r="C707" i="39"/>
  <c r="D707" i="39"/>
  <c r="E707" i="39"/>
  <c r="I707" i="39"/>
  <c r="B708" i="39"/>
  <c r="C708" i="39"/>
  <c r="D708" i="39"/>
  <c r="E708" i="39"/>
  <c r="I708" i="39"/>
  <c r="B709" i="39"/>
  <c r="C709" i="39"/>
  <c r="D709" i="39"/>
  <c r="E709" i="39"/>
  <c r="I709" i="39"/>
  <c r="B710" i="39"/>
  <c r="C710" i="39"/>
  <c r="D710" i="39"/>
  <c r="E710" i="39"/>
  <c r="I710" i="39"/>
  <c r="B711" i="39"/>
  <c r="C711" i="39"/>
  <c r="D711" i="39"/>
  <c r="E711" i="39"/>
  <c r="I711" i="39"/>
  <c r="B712" i="39"/>
  <c r="C712" i="39"/>
  <c r="D712" i="39"/>
  <c r="E712" i="39"/>
  <c r="I712" i="39"/>
  <c r="B713" i="39"/>
  <c r="C713" i="39"/>
  <c r="D713" i="39"/>
  <c r="E713" i="39"/>
  <c r="I713" i="39"/>
  <c r="B714" i="39"/>
  <c r="C714" i="39"/>
  <c r="D714" i="39"/>
  <c r="E714" i="39"/>
  <c r="I714" i="39"/>
  <c r="B715" i="39"/>
  <c r="C715" i="39"/>
  <c r="D715" i="39"/>
  <c r="E715" i="39"/>
  <c r="I715" i="39"/>
  <c r="B716" i="39"/>
  <c r="C716" i="39"/>
  <c r="D716" i="39"/>
  <c r="E716" i="39"/>
  <c r="I716" i="39"/>
  <c r="B717" i="39"/>
  <c r="C717" i="39"/>
  <c r="D717" i="39"/>
  <c r="E717" i="39"/>
  <c r="I717" i="39"/>
  <c r="B718" i="39"/>
  <c r="C718" i="39"/>
  <c r="D718" i="39"/>
  <c r="E718" i="39"/>
  <c r="I718" i="39"/>
  <c r="B719" i="39"/>
  <c r="C719" i="39"/>
  <c r="D719" i="39"/>
  <c r="E719" i="39"/>
  <c r="I719" i="39"/>
  <c r="B720" i="39"/>
  <c r="C720" i="39"/>
  <c r="D720" i="39"/>
  <c r="E720" i="39"/>
  <c r="I720" i="39"/>
  <c r="B721" i="39"/>
  <c r="C721" i="39"/>
  <c r="D721" i="39"/>
  <c r="E721" i="39"/>
  <c r="I721" i="39"/>
  <c r="B722" i="39"/>
  <c r="C722" i="39"/>
  <c r="D722" i="39"/>
  <c r="E722" i="39"/>
  <c r="I722" i="39"/>
  <c r="B723" i="39"/>
  <c r="C723" i="39"/>
  <c r="D723" i="39"/>
  <c r="E723" i="39"/>
  <c r="I723" i="39"/>
  <c r="B724" i="39"/>
  <c r="C724" i="39"/>
  <c r="D724" i="39"/>
  <c r="E724" i="39"/>
  <c r="I724" i="39"/>
  <c r="B725" i="39"/>
  <c r="C725" i="39"/>
  <c r="D725" i="39"/>
  <c r="E725" i="39"/>
  <c r="I725" i="39"/>
  <c r="B726" i="39"/>
  <c r="C726" i="39"/>
  <c r="D726" i="39"/>
  <c r="E726" i="39"/>
  <c r="I726" i="39"/>
  <c r="B727" i="39"/>
  <c r="C727" i="39"/>
  <c r="D727" i="39"/>
  <c r="E727" i="39"/>
  <c r="I727" i="39"/>
  <c r="B728" i="39"/>
  <c r="C728" i="39"/>
  <c r="D728" i="39"/>
  <c r="E728" i="39"/>
  <c r="I728" i="39"/>
  <c r="B729" i="39"/>
  <c r="C729" i="39"/>
  <c r="D729" i="39"/>
  <c r="E729" i="39"/>
  <c r="I729" i="39"/>
  <c r="B730" i="39"/>
  <c r="C730" i="39"/>
  <c r="D730" i="39"/>
  <c r="E730" i="39"/>
  <c r="I730" i="39"/>
  <c r="B731" i="39"/>
  <c r="C731" i="39"/>
  <c r="D731" i="39"/>
  <c r="E731" i="39"/>
  <c r="I731" i="39"/>
  <c r="B732" i="39"/>
  <c r="C732" i="39"/>
  <c r="D732" i="39"/>
  <c r="E732" i="39"/>
  <c r="I732" i="39"/>
  <c r="B733" i="39"/>
  <c r="C733" i="39"/>
  <c r="D733" i="39"/>
  <c r="E733" i="39"/>
  <c r="I733" i="39"/>
  <c r="B734" i="39"/>
  <c r="C734" i="39"/>
  <c r="D734" i="39"/>
  <c r="E734" i="39"/>
  <c r="I734" i="39"/>
  <c r="B735" i="39"/>
  <c r="C735" i="39"/>
  <c r="D735" i="39"/>
  <c r="E735" i="39"/>
  <c r="I735" i="39"/>
  <c r="B736" i="39"/>
  <c r="C736" i="39"/>
  <c r="D736" i="39"/>
  <c r="E736" i="39"/>
  <c r="I736" i="39"/>
  <c r="B737" i="39"/>
  <c r="C737" i="39"/>
  <c r="D737" i="39"/>
  <c r="E737" i="39"/>
  <c r="I737" i="39"/>
  <c r="B738" i="39"/>
  <c r="C738" i="39"/>
  <c r="D738" i="39"/>
  <c r="E738" i="39"/>
  <c r="I738" i="39"/>
  <c r="B739" i="39"/>
  <c r="C739" i="39"/>
  <c r="D739" i="39"/>
  <c r="E739" i="39"/>
  <c r="I739" i="39"/>
  <c r="B740" i="39"/>
  <c r="C740" i="39"/>
  <c r="D740" i="39"/>
  <c r="E740" i="39"/>
  <c r="I740" i="39"/>
  <c r="B741" i="39"/>
  <c r="C741" i="39"/>
  <c r="D741" i="39"/>
  <c r="E741" i="39"/>
  <c r="I741" i="39"/>
  <c r="B742" i="39"/>
  <c r="C742" i="39"/>
  <c r="D742" i="39"/>
  <c r="E742" i="39"/>
  <c r="I742" i="39"/>
  <c r="B743" i="39"/>
  <c r="C743" i="39"/>
  <c r="D743" i="39"/>
  <c r="E743" i="39"/>
  <c r="I743" i="39"/>
  <c r="B744" i="39"/>
  <c r="C744" i="39"/>
  <c r="D744" i="39"/>
  <c r="E744" i="39"/>
  <c r="I744" i="39"/>
  <c r="B745" i="39"/>
  <c r="C745" i="39"/>
  <c r="D745" i="39"/>
  <c r="E745" i="39"/>
  <c r="I745" i="39"/>
  <c r="B746" i="39"/>
  <c r="C746" i="39"/>
  <c r="D746" i="39"/>
  <c r="E746" i="39"/>
  <c r="I746" i="39"/>
  <c r="B747" i="39"/>
  <c r="C747" i="39"/>
  <c r="D747" i="39"/>
  <c r="E747" i="39"/>
  <c r="I747" i="39"/>
  <c r="B748" i="39"/>
  <c r="C748" i="39"/>
  <c r="D748" i="39"/>
  <c r="E748" i="39"/>
  <c r="I748" i="39"/>
  <c r="B749" i="39"/>
  <c r="C749" i="39"/>
  <c r="D749" i="39"/>
  <c r="E749" i="39"/>
  <c r="I749" i="39"/>
  <c r="B750" i="39"/>
  <c r="C750" i="39"/>
  <c r="D750" i="39"/>
  <c r="E750" i="39"/>
  <c r="I750" i="39"/>
  <c r="B751" i="39"/>
  <c r="C751" i="39"/>
  <c r="D751" i="39"/>
  <c r="E751" i="39"/>
  <c r="I751" i="39"/>
  <c r="B752" i="39"/>
  <c r="C752" i="39"/>
  <c r="D752" i="39"/>
  <c r="E752" i="39"/>
  <c r="I752" i="39"/>
  <c r="B753" i="39"/>
  <c r="C753" i="39"/>
  <c r="D753" i="39"/>
  <c r="E753" i="39"/>
  <c r="I753" i="39"/>
  <c r="B754" i="39"/>
  <c r="C754" i="39"/>
  <c r="D754" i="39"/>
  <c r="E754" i="39"/>
  <c r="I754" i="39"/>
  <c r="B755" i="39"/>
  <c r="C755" i="39"/>
  <c r="D755" i="39"/>
  <c r="E755" i="39"/>
  <c r="I755" i="39"/>
  <c r="B756" i="39"/>
  <c r="C756" i="39"/>
  <c r="D756" i="39"/>
  <c r="E756" i="39"/>
  <c r="I756" i="39"/>
  <c r="B757" i="39"/>
  <c r="C757" i="39"/>
  <c r="D757" i="39"/>
  <c r="E757" i="39"/>
  <c r="I757" i="39"/>
  <c r="B758" i="39"/>
  <c r="C758" i="39"/>
  <c r="D758" i="39"/>
  <c r="E758" i="39"/>
  <c r="I758" i="39"/>
  <c r="B759" i="39"/>
  <c r="C759" i="39"/>
  <c r="D759" i="39"/>
  <c r="E759" i="39"/>
  <c r="I759" i="39"/>
  <c r="B760" i="39"/>
  <c r="C760" i="39"/>
  <c r="D760" i="39"/>
  <c r="E760" i="39"/>
  <c r="I760" i="39"/>
  <c r="B761" i="39"/>
  <c r="C761" i="39"/>
  <c r="D761" i="39"/>
  <c r="E761" i="39"/>
  <c r="I761" i="39"/>
  <c r="B762" i="39"/>
  <c r="C762" i="39"/>
  <c r="D762" i="39"/>
  <c r="E762" i="39"/>
  <c r="I762" i="39"/>
  <c r="B763" i="39"/>
  <c r="C763" i="39"/>
  <c r="D763" i="39"/>
  <c r="E763" i="39"/>
  <c r="I763" i="39"/>
  <c r="B764" i="39"/>
  <c r="C764" i="39"/>
  <c r="D764" i="39"/>
  <c r="E764" i="39"/>
  <c r="I764" i="39"/>
  <c r="B765" i="39"/>
  <c r="C765" i="39"/>
  <c r="D765" i="39"/>
  <c r="E765" i="39"/>
  <c r="I765" i="39"/>
  <c r="B766" i="39"/>
  <c r="C766" i="39"/>
  <c r="D766" i="39"/>
  <c r="E766" i="39"/>
  <c r="I766" i="39"/>
  <c r="B767" i="39"/>
  <c r="C767" i="39"/>
  <c r="D767" i="39"/>
  <c r="E767" i="39"/>
  <c r="I767" i="39"/>
  <c r="B768" i="39"/>
  <c r="C768" i="39"/>
  <c r="D768" i="39"/>
  <c r="E768" i="39"/>
  <c r="I768" i="39"/>
  <c r="B769" i="39"/>
  <c r="C769" i="39"/>
  <c r="D769" i="39"/>
  <c r="E769" i="39"/>
  <c r="I769" i="39"/>
  <c r="B770" i="39"/>
  <c r="C770" i="39"/>
  <c r="D770" i="39"/>
  <c r="E770" i="39"/>
  <c r="I770" i="39"/>
  <c r="B771" i="39"/>
  <c r="C771" i="39"/>
  <c r="D771" i="39"/>
  <c r="E771" i="39"/>
  <c r="I771" i="39"/>
  <c r="B772" i="39"/>
  <c r="C772" i="39"/>
  <c r="D772" i="39"/>
  <c r="E772" i="39"/>
  <c r="I772" i="39"/>
  <c r="B773" i="39"/>
  <c r="C773" i="39"/>
  <c r="D773" i="39"/>
  <c r="E773" i="39"/>
  <c r="I773" i="39"/>
  <c r="B774" i="39"/>
  <c r="C774" i="39"/>
  <c r="D774" i="39"/>
  <c r="E774" i="39"/>
  <c r="I774" i="39"/>
  <c r="B775" i="39"/>
  <c r="C775" i="39"/>
  <c r="D775" i="39"/>
  <c r="E775" i="39"/>
  <c r="I775" i="39"/>
  <c r="B776" i="39"/>
  <c r="C776" i="39"/>
  <c r="D776" i="39"/>
  <c r="E776" i="39"/>
  <c r="I776" i="39"/>
  <c r="B777" i="39"/>
  <c r="C777" i="39"/>
  <c r="D777" i="39"/>
  <c r="E777" i="39"/>
  <c r="I777" i="39"/>
  <c r="B778" i="39"/>
  <c r="C778" i="39"/>
  <c r="D778" i="39"/>
  <c r="E778" i="39"/>
  <c r="I778" i="39"/>
  <c r="B779" i="39"/>
  <c r="C779" i="39"/>
  <c r="D779" i="39"/>
  <c r="E779" i="39"/>
  <c r="I779" i="39"/>
  <c r="B780" i="39"/>
  <c r="C780" i="39"/>
  <c r="D780" i="39"/>
  <c r="E780" i="39"/>
  <c r="I780" i="39"/>
  <c r="B781" i="39"/>
  <c r="C781" i="39"/>
  <c r="D781" i="39"/>
  <c r="E781" i="39"/>
  <c r="I781" i="39"/>
  <c r="B782" i="39"/>
  <c r="C782" i="39"/>
  <c r="D782" i="39"/>
  <c r="E782" i="39"/>
  <c r="I782" i="39"/>
  <c r="B783" i="39"/>
  <c r="C783" i="39"/>
  <c r="D783" i="39"/>
  <c r="E783" i="39"/>
  <c r="I783" i="39"/>
  <c r="B784" i="39"/>
  <c r="C784" i="39"/>
  <c r="D784" i="39"/>
  <c r="E784" i="39"/>
  <c r="I784" i="39"/>
  <c r="B785" i="39"/>
  <c r="C785" i="39"/>
  <c r="D785" i="39"/>
  <c r="E785" i="39"/>
  <c r="I785" i="39"/>
  <c r="B786" i="39"/>
  <c r="C786" i="39"/>
  <c r="D786" i="39"/>
  <c r="E786" i="39"/>
  <c r="I786" i="39"/>
  <c r="B787" i="39"/>
  <c r="C787" i="39"/>
  <c r="D787" i="39"/>
  <c r="E787" i="39"/>
  <c r="I787" i="39"/>
  <c r="B788" i="39"/>
  <c r="C788" i="39"/>
  <c r="D788" i="39"/>
  <c r="E788" i="39"/>
  <c r="I788" i="39"/>
  <c r="B789" i="39"/>
  <c r="C789" i="39"/>
  <c r="D789" i="39"/>
  <c r="E789" i="39"/>
  <c r="I789" i="39"/>
  <c r="B790" i="39"/>
  <c r="C790" i="39"/>
  <c r="D790" i="39"/>
  <c r="E790" i="39"/>
  <c r="I790" i="39"/>
  <c r="B791" i="39"/>
  <c r="C791" i="39"/>
  <c r="D791" i="39"/>
  <c r="E791" i="39"/>
  <c r="I791" i="39"/>
  <c r="B792" i="39"/>
  <c r="C792" i="39"/>
  <c r="D792" i="39"/>
  <c r="E792" i="39"/>
  <c r="I792" i="39"/>
  <c r="B793" i="39"/>
  <c r="C793" i="39"/>
  <c r="D793" i="39"/>
  <c r="E793" i="39"/>
  <c r="I793" i="39"/>
  <c r="B794" i="39"/>
  <c r="C794" i="39"/>
  <c r="D794" i="39"/>
  <c r="E794" i="39"/>
  <c r="I794" i="39"/>
  <c r="B795" i="39"/>
  <c r="C795" i="39"/>
  <c r="D795" i="39"/>
  <c r="E795" i="39"/>
  <c r="I795" i="39"/>
  <c r="B796" i="39"/>
  <c r="C796" i="39"/>
  <c r="D796" i="39"/>
  <c r="E796" i="39"/>
  <c r="I796" i="39"/>
  <c r="B797" i="39"/>
  <c r="C797" i="39"/>
  <c r="D797" i="39"/>
  <c r="E797" i="39"/>
  <c r="I797" i="39"/>
  <c r="B798" i="39"/>
  <c r="C798" i="39"/>
  <c r="D798" i="39"/>
  <c r="E798" i="39"/>
  <c r="I798" i="39"/>
  <c r="B799" i="39"/>
  <c r="C799" i="39"/>
  <c r="D799" i="39"/>
  <c r="E799" i="39"/>
  <c r="I799" i="39"/>
  <c r="B800" i="39"/>
  <c r="C800" i="39"/>
  <c r="D800" i="39"/>
  <c r="E800" i="39"/>
  <c r="I800" i="39"/>
  <c r="B801" i="39"/>
  <c r="C801" i="39"/>
  <c r="D801" i="39"/>
  <c r="E801" i="39"/>
  <c r="I801" i="39"/>
  <c r="B802" i="39"/>
  <c r="C802" i="39"/>
  <c r="D802" i="39"/>
  <c r="E802" i="39"/>
  <c r="I802" i="39"/>
  <c r="B803" i="39"/>
  <c r="C803" i="39"/>
  <c r="D803" i="39"/>
  <c r="E803" i="39"/>
  <c r="I803" i="39"/>
  <c r="B804" i="39"/>
  <c r="C804" i="39"/>
  <c r="D804" i="39"/>
  <c r="E804" i="39"/>
  <c r="I804" i="39"/>
  <c r="B805" i="39"/>
  <c r="C805" i="39"/>
  <c r="D805" i="39"/>
  <c r="E805" i="39"/>
  <c r="I805" i="39"/>
  <c r="B806" i="39"/>
  <c r="C806" i="39"/>
  <c r="D806" i="39"/>
  <c r="E806" i="39"/>
  <c r="I806" i="39"/>
  <c r="B807" i="39"/>
  <c r="C807" i="39"/>
  <c r="D807" i="39"/>
  <c r="E807" i="39"/>
  <c r="I807" i="39"/>
  <c r="B808" i="39"/>
  <c r="C808" i="39"/>
  <c r="D808" i="39"/>
  <c r="E808" i="39"/>
  <c r="I808" i="39"/>
  <c r="B809" i="39"/>
  <c r="C809" i="39"/>
  <c r="D809" i="39"/>
  <c r="E809" i="39"/>
  <c r="I809" i="39"/>
  <c r="B810" i="39"/>
  <c r="C810" i="39"/>
  <c r="D810" i="39"/>
  <c r="E810" i="39"/>
  <c r="I810" i="39"/>
  <c r="B811" i="39"/>
  <c r="C811" i="39"/>
  <c r="D811" i="39"/>
  <c r="E811" i="39"/>
  <c r="I811" i="39"/>
  <c r="B812" i="39"/>
  <c r="C812" i="39"/>
  <c r="D812" i="39"/>
  <c r="E812" i="39"/>
  <c r="I812" i="39"/>
  <c r="B813" i="39"/>
  <c r="C813" i="39"/>
  <c r="D813" i="39"/>
  <c r="E813" i="39"/>
  <c r="I813" i="39"/>
  <c r="B814" i="39"/>
  <c r="C814" i="39"/>
  <c r="D814" i="39"/>
  <c r="E814" i="39"/>
  <c r="I814" i="39"/>
  <c r="B815" i="39"/>
  <c r="C815" i="39"/>
  <c r="D815" i="39"/>
  <c r="E815" i="39"/>
  <c r="I815" i="39"/>
  <c r="B816" i="39"/>
  <c r="C816" i="39"/>
  <c r="D816" i="39"/>
  <c r="E816" i="39"/>
  <c r="I816" i="39"/>
  <c r="B817" i="39"/>
  <c r="C817" i="39"/>
  <c r="D817" i="39"/>
  <c r="E817" i="39"/>
  <c r="I817" i="39"/>
  <c r="B818" i="39"/>
  <c r="C818" i="39"/>
  <c r="D818" i="39"/>
  <c r="E818" i="39"/>
  <c r="I818" i="39"/>
  <c r="B819" i="39"/>
  <c r="C819" i="39"/>
  <c r="D819" i="39"/>
  <c r="E819" i="39"/>
  <c r="I819" i="39"/>
  <c r="B820" i="39"/>
  <c r="C820" i="39"/>
  <c r="D820" i="39"/>
  <c r="E820" i="39"/>
  <c r="I820" i="39"/>
  <c r="B821" i="39"/>
  <c r="C821" i="39"/>
  <c r="D821" i="39"/>
  <c r="E821" i="39"/>
  <c r="I821" i="39"/>
  <c r="B822" i="39"/>
  <c r="C822" i="39"/>
  <c r="D822" i="39"/>
  <c r="E822" i="39"/>
  <c r="I822" i="39"/>
  <c r="B823" i="39"/>
  <c r="C823" i="39"/>
  <c r="D823" i="39"/>
  <c r="E823" i="39"/>
  <c r="I823" i="39"/>
  <c r="B824" i="39"/>
  <c r="C824" i="39"/>
  <c r="D824" i="39"/>
  <c r="E824" i="39"/>
  <c r="I824" i="39"/>
  <c r="B825" i="39"/>
  <c r="C825" i="39"/>
  <c r="D825" i="39"/>
  <c r="E825" i="39"/>
  <c r="I825" i="39"/>
  <c r="B826" i="39"/>
  <c r="C826" i="39"/>
  <c r="D826" i="39"/>
  <c r="E826" i="39"/>
  <c r="I826" i="39"/>
  <c r="B827" i="39"/>
  <c r="C827" i="39"/>
  <c r="D827" i="39"/>
  <c r="E827" i="39"/>
  <c r="I827" i="39"/>
  <c r="B828" i="39"/>
  <c r="C828" i="39"/>
  <c r="D828" i="39"/>
  <c r="E828" i="39"/>
  <c r="I828" i="39"/>
  <c r="B829" i="39"/>
  <c r="C829" i="39"/>
  <c r="D829" i="39"/>
  <c r="E829" i="39"/>
  <c r="I829" i="39"/>
  <c r="B830" i="39"/>
  <c r="C830" i="39"/>
  <c r="D830" i="39"/>
  <c r="E830" i="39"/>
  <c r="I830" i="39"/>
  <c r="B831" i="39"/>
  <c r="C831" i="39"/>
  <c r="D831" i="39"/>
  <c r="E831" i="39"/>
  <c r="I831" i="39"/>
  <c r="B832" i="39"/>
  <c r="C832" i="39"/>
  <c r="D832" i="39"/>
  <c r="E832" i="39"/>
  <c r="I832" i="39"/>
  <c r="B833" i="39"/>
  <c r="C833" i="39"/>
  <c r="D833" i="39"/>
  <c r="E833" i="39"/>
  <c r="I833" i="39"/>
  <c r="B834" i="39"/>
  <c r="C834" i="39"/>
  <c r="D834" i="39"/>
  <c r="E834" i="39"/>
  <c r="I834" i="39"/>
  <c r="B835" i="39"/>
  <c r="C835" i="39"/>
  <c r="D835" i="39"/>
  <c r="E835" i="39"/>
  <c r="I835" i="39"/>
  <c r="B836" i="39"/>
  <c r="C836" i="39"/>
  <c r="D836" i="39"/>
  <c r="E836" i="39"/>
  <c r="I836" i="39"/>
  <c r="B837" i="39"/>
  <c r="C837" i="39"/>
  <c r="D837" i="39"/>
  <c r="E837" i="39"/>
  <c r="I837" i="39"/>
  <c r="B838" i="39"/>
  <c r="C838" i="39"/>
  <c r="D838" i="39"/>
  <c r="E838" i="39"/>
  <c r="I838" i="39"/>
  <c r="B839" i="39"/>
  <c r="C839" i="39"/>
  <c r="D839" i="39"/>
  <c r="E839" i="39"/>
  <c r="I839" i="39"/>
  <c r="B840" i="39"/>
  <c r="C840" i="39"/>
  <c r="D840" i="39"/>
  <c r="E840" i="39"/>
  <c r="I840" i="39"/>
  <c r="B841" i="39"/>
  <c r="C841" i="39"/>
  <c r="D841" i="39"/>
  <c r="E841" i="39"/>
  <c r="I841" i="39"/>
  <c r="B842" i="39"/>
  <c r="C842" i="39"/>
  <c r="D842" i="39"/>
  <c r="E842" i="39"/>
  <c r="I842" i="39"/>
  <c r="B843" i="39"/>
  <c r="C843" i="39"/>
  <c r="D843" i="39"/>
  <c r="E843" i="39"/>
  <c r="I843" i="39"/>
  <c r="B844" i="39"/>
  <c r="C844" i="39"/>
  <c r="D844" i="39"/>
  <c r="E844" i="39"/>
  <c r="I844" i="39"/>
  <c r="B845" i="39"/>
  <c r="C845" i="39"/>
  <c r="D845" i="39"/>
  <c r="E845" i="39"/>
  <c r="I845" i="39"/>
  <c r="B846" i="39"/>
  <c r="C846" i="39"/>
  <c r="D846" i="39"/>
  <c r="E846" i="39"/>
  <c r="I846" i="39"/>
  <c r="B847" i="39"/>
  <c r="C847" i="39"/>
  <c r="D847" i="39"/>
  <c r="E847" i="39"/>
  <c r="I847" i="39"/>
  <c r="B848" i="39"/>
  <c r="C848" i="39"/>
  <c r="D848" i="39"/>
  <c r="E848" i="39"/>
  <c r="I848" i="39"/>
  <c r="B849" i="39"/>
  <c r="C849" i="39"/>
  <c r="D849" i="39"/>
  <c r="E849" i="39"/>
  <c r="I849" i="39"/>
  <c r="B850" i="39"/>
  <c r="C850" i="39"/>
  <c r="D850" i="39"/>
  <c r="E850" i="39"/>
  <c r="I850" i="39"/>
  <c r="B851" i="39"/>
  <c r="C851" i="39"/>
  <c r="D851" i="39"/>
  <c r="E851" i="39"/>
  <c r="I851" i="39"/>
  <c r="B852" i="39"/>
  <c r="C852" i="39"/>
  <c r="D852" i="39"/>
  <c r="E852" i="39"/>
  <c r="I852" i="39"/>
  <c r="B853" i="39"/>
  <c r="C853" i="39"/>
  <c r="D853" i="39"/>
  <c r="E853" i="39"/>
  <c r="I853" i="39"/>
  <c r="B854" i="39"/>
  <c r="C854" i="39"/>
  <c r="D854" i="39"/>
  <c r="E854" i="39"/>
  <c r="I854" i="39"/>
  <c r="B855" i="39"/>
  <c r="C855" i="39"/>
  <c r="D855" i="39"/>
  <c r="E855" i="39"/>
  <c r="I855" i="39"/>
  <c r="B856" i="39"/>
  <c r="C856" i="39"/>
  <c r="D856" i="39"/>
  <c r="E856" i="39"/>
  <c r="I856" i="39"/>
  <c r="B857" i="39"/>
  <c r="C857" i="39"/>
  <c r="D857" i="39"/>
  <c r="E857" i="39"/>
  <c r="I857" i="39"/>
  <c r="B858" i="39"/>
  <c r="C858" i="39"/>
  <c r="D858" i="39"/>
  <c r="E858" i="39"/>
  <c r="I858" i="39"/>
  <c r="B859" i="39"/>
  <c r="C859" i="39"/>
  <c r="D859" i="39"/>
  <c r="E859" i="39"/>
  <c r="I859" i="39"/>
  <c r="B860" i="39"/>
  <c r="C860" i="39"/>
  <c r="D860" i="39"/>
  <c r="E860" i="39"/>
  <c r="I860" i="39"/>
  <c r="B861" i="39"/>
  <c r="C861" i="39"/>
  <c r="D861" i="39"/>
  <c r="E861" i="39"/>
  <c r="I861" i="39"/>
  <c r="B862" i="39"/>
  <c r="C862" i="39"/>
  <c r="D862" i="39"/>
  <c r="E862" i="39"/>
  <c r="I862" i="39"/>
  <c r="B863" i="39"/>
  <c r="C863" i="39"/>
  <c r="D863" i="39"/>
  <c r="E863" i="39"/>
  <c r="I863" i="39"/>
  <c r="B864" i="39"/>
  <c r="C864" i="39"/>
  <c r="D864" i="39"/>
  <c r="E864" i="39"/>
  <c r="I864" i="39"/>
  <c r="B865" i="39"/>
  <c r="C865" i="39"/>
  <c r="D865" i="39"/>
  <c r="E865" i="39"/>
  <c r="I865" i="39"/>
  <c r="B866" i="39"/>
  <c r="C866" i="39"/>
  <c r="D866" i="39"/>
  <c r="E866" i="39"/>
  <c r="I866" i="39"/>
  <c r="B867" i="39"/>
  <c r="C867" i="39"/>
  <c r="D867" i="39"/>
  <c r="E867" i="39"/>
  <c r="I867" i="39"/>
  <c r="B868" i="39"/>
  <c r="C868" i="39"/>
  <c r="D868" i="39"/>
  <c r="E868" i="39"/>
  <c r="I868" i="39"/>
  <c r="B869" i="39"/>
  <c r="C869" i="39"/>
  <c r="D869" i="39"/>
  <c r="E869" i="39"/>
  <c r="I869" i="39"/>
  <c r="B870" i="39"/>
  <c r="C870" i="39"/>
  <c r="D870" i="39"/>
  <c r="E870" i="39"/>
  <c r="I870" i="39"/>
  <c r="B871" i="39"/>
  <c r="C871" i="39"/>
  <c r="D871" i="39"/>
  <c r="E871" i="39"/>
  <c r="I871" i="39"/>
  <c r="B872" i="39"/>
  <c r="C872" i="39"/>
  <c r="D872" i="39"/>
  <c r="E872" i="39"/>
  <c r="I872" i="39"/>
  <c r="B873" i="39"/>
  <c r="C873" i="39"/>
  <c r="D873" i="39"/>
  <c r="E873" i="39"/>
  <c r="I873" i="39"/>
  <c r="B874" i="39"/>
  <c r="C874" i="39"/>
  <c r="D874" i="39"/>
  <c r="E874" i="39"/>
  <c r="I874" i="39"/>
  <c r="B875" i="39"/>
  <c r="C875" i="39"/>
  <c r="D875" i="39"/>
  <c r="E875" i="39"/>
  <c r="I875" i="39"/>
  <c r="B876" i="39"/>
  <c r="C876" i="39"/>
  <c r="D876" i="39"/>
  <c r="E876" i="39"/>
  <c r="I876" i="39"/>
  <c r="B877" i="39"/>
  <c r="C877" i="39"/>
  <c r="D877" i="39"/>
  <c r="E877" i="39"/>
  <c r="I877" i="39"/>
  <c r="B878" i="39"/>
  <c r="C878" i="39"/>
  <c r="D878" i="39"/>
  <c r="E878" i="39"/>
  <c r="I878" i="39"/>
  <c r="B879" i="39"/>
  <c r="C879" i="39"/>
  <c r="D879" i="39"/>
  <c r="E879" i="39"/>
  <c r="I879" i="39"/>
  <c r="B880" i="39"/>
  <c r="C880" i="39"/>
  <c r="D880" i="39"/>
  <c r="E880" i="39"/>
  <c r="I880" i="39"/>
  <c r="B881" i="39"/>
  <c r="C881" i="39"/>
  <c r="D881" i="39"/>
  <c r="E881" i="39"/>
  <c r="I881" i="39"/>
  <c r="B882" i="39"/>
  <c r="C882" i="39"/>
  <c r="D882" i="39"/>
  <c r="E882" i="39"/>
  <c r="I882" i="39"/>
  <c r="B883" i="39"/>
  <c r="C883" i="39"/>
  <c r="D883" i="39"/>
  <c r="E883" i="39"/>
  <c r="I883" i="39"/>
  <c r="B884" i="39"/>
  <c r="C884" i="39"/>
  <c r="D884" i="39"/>
  <c r="E884" i="39"/>
  <c r="I884" i="39"/>
  <c r="B885" i="39"/>
  <c r="C885" i="39"/>
  <c r="D885" i="39"/>
  <c r="E885" i="39"/>
  <c r="I885" i="39"/>
  <c r="B886" i="39"/>
  <c r="C886" i="39"/>
  <c r="D886" i="39"/>
  <c r="E886" i="39"/>
  <c r="I886" i="39"/>
  <c r="B887" i="39"/>
  <c r="C887" i="39"/>
  <c r="D887" i="39"/>
  <c r="E887" i="39"/>
  <c r="I887" i="39"/>
  <c r="B888" i="39"/>
  <c r="C888" i="39"/>
  <c r="D888" i="39"/>
  <c r="E888" i="39"/>
  <c r="I888" i="39"/>
  <c r="B889" i="39"/>
  <c r="C889" i="39"/>
  <c r="D889" i="39"/>
  <c r="E889" i="39"/>
  <c r="I889" i="39"/>
  <c r="B890" i="39"/>
  <c r="C890" i="39"/>
  <c r="D890" i="39"/>
  <c r="E890" i="39"/>
  <c r="I890" i="39"/>
  <c r="B891" i="39"/>
  <c r="C891" i="39"/>
  <c r="D891" i="39"/>
  <c r="E891" i="39"/>
  <c r="I891" i="39"/>
  <c r="B892" i="39"/>
  <c r="C892" i="39"/>
  <c r="D892" i="39"/>
  <c r="E892" i="39"/>
  <c r="I892" i="39"/>
  <c r="B893" i="39"/>
  <c r="C893" i="39"/>
  <c r="D893" i="39"/>
  <c r="E893" i="39"/>
  <c r="I893" i="39"/>
  <c r="B894" i="39"/>
  <c r="C894" i="39"/>
  <c r="D894" i="39"/>
  <c r="E894" i="39"/>
  <c r="I894" i="39"/>
  <c r="B895" i="39"/>
  <c r="C895" i="39"/>
  <c r="D895" i="39"/>
  <c r="E895" i="39"/>
  <c r="I895" i="39"/>
  <c r="B896" i="39"/>
  <c r="C896" i="39"/>
  <c r="D896" i="39"/>
  <c r="E896" i="39"/>
  <c r="I896" i="39"/>
  <c r="B897" i="39"/>
  <c r="C897" i="39"/>
  <c r="D897" i="39"/>
  <c r="E897" i="39"/>
  <c r="I897" i="39"/>
  <c r="B898" i="39"/>
  <c r="C898" i="39"/>
  <c r="D898" i="39"/>
  <c r="E898" i="39"/>
  <c r="I898" i="39"/>
  <c r="B899" i="39"/>
  <c r="C899" i="39"/>
  <c r="D899" i="39"/>
  <c r="E899" i="39"/>
  <c r="I899" i="39"/>
  <c r="B900" i="39"/>
  <c r="C900" i="39"/>
  <c r="D900" i="39"/>
  <c r="E900" i="39"/>
  <c r="I900" i="39"/>
  <c r="B901" i="39"/>
  <c r="C901" i="39"/>
  <c r="D901" i="39"/>
  <c r="E901" i="39"/>
  <c r="I901" i="39"/>
  <c r="B902" i="39"/>
  <c r="C902" i="39"/>
  <c r="D902" i="39"/>
  <c r="E902" i="39"/>
  <c r="I902" i="39"/>
  <c r="B903" i="39"/>
  <c r="C903" i="39"/>
  <c r="D903" i="39"/>
  <c r="E903" i="39"/>
  <c r="I903" i="39"/>
  <c r="B904" i="39"/>
  <c r="C904" i="39"/>
  <c r="D904" i="39"/>
  <c r="E904" i="39"/>
  <c r="I904" i="39"/>
  <c r="B905" i="39"/>
  <c r="C905" i="39"/>
  <c r="D905" i="39"/>
  <c r="E905" i="39"/>
  <c r="I905" i="39"/>
  <c r="B906" i="39"/>
  <c r="C906" i="39"/>
  <c r="D906" i="39"/>
  <c r="E906" i="39"/>
  <c r="I906" i="39"/>
  <c r="B907" i="39"/>
  <c r="C907" i="39"/>
  <c r="D907" i="39"/>
  <c r="E907" i="39"/>
  <c r="I907" i="39"/>
  <c r="B908" i="39"/>
  <c r="C908" i="39"/>
  <c r="D908" i="39"/>
  <c r="E908" i="39"/>
  <c r="I908" i="39"/>
  <c r="B909" i="39"/>
  <c r="C909" i="39"/>
  <c r="D909" i="39"/>
  <c r="E909" i="39"/>
  <c r="I909" i="39"/>
  <c r="B910" i="39"/>
  <c r="C910" i="39"/>
  <c r="D910" i="39"/>
  <c r="E910" i="39"/>
  <c r="I910" i="39"/>
  <c r="B911" i="39"/>
  <c r="C911" i="39"/>
  <c r="D911" i="39"/>
  <c r="E911" i="39"/>
  <c r="I911" i="39"/>
  <c r="B912" i="39"/>
  <c r="C912" i="39"/>
  <c r="D912" i="39"/>
  <c r="E912" i="39"/>
  <c r="I912" i="39"/>
  <c r="B913" i="39"/>
  <c r="C913" i="39"/>
  <c r="D913" i="39"/>
  <c r="E913" i="39"/>
  <c r="I913" i="39"/>
  <c r="B914" i="39"/>
  <c r="C914" i="39"/>
  <c r="D914" i="39"/>
  <c r="E914" i="39"/>
  <c r="I914" i="39"/>
  <c r="B915" i="39"/>
  <c r="C915" i="39"/>
  <c r="D915" i="39"/>
  <c r="E915" i="39"/>
  <c r="I915" i="39"/>
  <c r="B916" i="39"/>
  <c r="C916" i="39"/>
  <c r="D916" i="39"/>
  <c r="E916" i="39"/>
  <c r="I916" i="39"/>
  <c r="B917" i="39"/>
  <c r="C917" i="39"/>
  <c r="D917" i="39"/>
  <c r="E917" i="39"/>
  <c r="I917" i="39"/>
  <c r="B918" i="39"/>
  <c r="C918" i="39"/>
  <c r="D918" i="39"/>
  <c r="E918" i="39"/>
  <c r="I918" i="39"/>
  <c r="B919" i="39"/>
  <c r="C919" i="39"/>
  <c r="D919" i="39"/>
  <c r="E919" i="39"/>
  <c r="I919" i="39"/>
  <c r="B920" i="39"/>
  <c r="C920" i="39"/>
  <c r="D920" i="39"/>
  <c r="E920" i="39"/>
  <c r="I920" i="39"/>
  <c r="B921" i="39"/>
  <c r="C921" i="39"/>
  <c r="D921" i="39"/>
  <c r="E921" i="39"/>
  <c r="I921" i="39"/>
  <c r="B922" i="39"/>
  <c r="C922" i="39"/>
  <c r="D922" i="39"/>
  <c r="E922" i="39"/>
  <c r="I922" i="39"/>
  <c r="B923" i="39"/>
  <c r="C923" i="39"/>
  <c r="D923" i="39"/>
  <c r="E923" i="39"/>
  <c r="I923" i="39"/>
  <c r="B924" i="39"/>
  <c r="C924" i="39"/>
  <c r="D924" i="39"/>
  <c r="E924" i="39"/>
  <c r="I924" i="39"/>
  <c r="B925" i="39"/>
  <c r="C925" i="39"/>
  <c r="D925" i="39"/>
  <c r="E925" i="39"/>
  <c r="I925" i="39"/>
  <c r="B926" i="39"/>
  <c r="C926" i="39"/>
  <c r="D926" i="39"/>
  <c r="E926" i="39"/>
  <c r="I926" i="39"/>
  <c r="B927" i="39"/>
  <c r="C927" i="39"/>
  <c r="D927" i="39"/>
  <c r="E927" i="39"/>
  <c r="I927" i="39"/>
  <c r="B928" i="39"/>
  <c r="C928" i="39"/>
  <c r="D928" i="39"/>
  <c r="E928" i="39"/>
  <c r="I928" i="39"/>
  <c r="B929" i="39"/>
  <c r="C929" i="39"/>
  <c r="D929" i="39"/>
  <c r="E929" i="39"/>
  <c r="I929" i="39"/>
  <c r="B930" i="39"/>
  <c r="C930" i="39"/>
  <c r="D930" i="39"/>
  <c r="E930" i="39"/>
  <c r="I930" i="39"/>
  <c r="B931" i="39"/>
  <c r="C931" i="39"/>
  <c r="D931" i="39"/>
  <c r="E931" i="39"/>
  <c r="I931" i="39"/>
  <c r="B932" i="39"/>
  <c r="C932" i="39"/>
  <c r="D932" i="39"/>
  <c r="E932" i="39"/>
  <c r="I932" i="39"/>
  <c r="B933" i="39"/>
  <c r="C933" i="39"/>
  <c r="D933" i="39"/>
  <c r="E933" i="39"/>
  <c r="I933" i="39"/>
  <c r="B934" i="39"/>
  <c r="C934" i="39"/>
  <c r="D934" i="39"/>
  <c r="E934" i="39"/>
  <c r="I934" i="39"/>
  <c r="B935" i="39"/>
  <c r="C935" i="39"/>
  <c r="D935" i="39"/>
  <c r="E935" i="39"/>
  <c r="I935" i="39"/>
  <c r="B936" i="39"/>
  <c r="C936" i="39"/>
  <c r="D936" i="39"/>
  <c r="E936" i="39"/>
  <c r="I936" i="39"/>
  <c r="B937" i="39"/>
  <c r="C937" i="39"/>
  <c r="D937" i="39"/>
  <c r="E937" i="39"/>
  <c r="I937" i="39"/>
  <c r="B938" i="39"/>
  <c r="C938" i="39"/>
  <c r="D938" i="39"/>
  <c r="E938" i="39"/>
  <c r="I938" i="39"/>
  <c r="B939" i="39"/>
  <c r="C939" i="39"/>
  <c r="D939" i="39"/>
  <c r="E939" i="39"/>
  <c r="I939" i="39"/>
  <c r="B940" i="39"/>
  <c r="C940" i="39"/>
  <c r="D940" i="39"/>
  <c r="E940" i="39"/>
  <c r="I940" i="39"/>
  <c r="B941" i="39"/>
  <c r="C941" i="39"/>
  <c r="D941" i="39"/>
  <c r="E941" i="39"/>
  <c r="I941" i="39"/>
  <c r="B942" i="39"/>
  <c r="C942" i="39"/>
  <c r="D942" i="39"/>
  <c r="E942" i="39"/>
  <c r="I942" i="39"/>
  <c r="B943" i="39"/>
  <c r="C943" i="39"/>
  <c r="D943" i="39"/>
  <c r="E943" i="39"/>
  <c r="I943" i="39"/>
  <c r="B944" i="39"/>
  <c r="C944" i="39"/>
  <c r="D944" i="39"/>
  <c r="E944" i="39"/>
  <c r="I944" i="39"/>
  <c r="B945" i="39"/>
  <c r="C945" i="39"/>
  <c r="D945" i="39"/>
  <c r="E945" i="39"/>
  <c r="I945" i="39"/>
  <c r="B946" i="39"/>
  <c r="C946" i="39"/>
  <c r="D946" i="39"/>
  <c r="E946" i="39"/>
  <c r="I946" i="39"/>
  <c r="B947" i="39"/>
  <c r="C947" i="39"/>
  <c r="D947" i="39"/>
  <c r="E947" i="39"/>
  <c r="I947" i="39"/>
  <c r="B948" i="39"/>
  <c r="C948" i="39"/>
  <c r="D948" i="39"/>
  <c r="E948" i="39"/>
  <c r="I948" i="39"/>
  <c r="B949" i="39"/>
  <c r="C949" i="39"/>
  <c r="D949" i="39"/>
  <c r="E949" i="39"/>
  <c r="I949" i="39"/>
  <c r="B950" i="39"/>
  <c r="C950" i="39"/>
  <c r="D950" i="39"/>
  <c r="E950" i="39"/>
  <c r="I950" i="39"/>
  <c r="B951" i="39"/>
  <c r="C951" i="39"/>
  <c r="D951" i="39"/>
  <c r="E951" i="39"/>
  <c r="I951" i="39"/>
  <c r="B952" i="39"/>
  <c r="C952" i="39"/>
  <c r="D952" i="39"/>
  <c r="E952" i="39"/>
  <c r="I952" i="39"/>
  <c r="B953" i="39"/>
  <c r="C953" i="39"/>
  <c r="D953" i="39"/>
  <c r="E953" i="39"/>
  <c r="I953" i="39"/>
  <c r="B954" i="39"/>
  <c r="C954" i="39"/>
  <c r="D954" i="39"/>
  <c r="E954" i="39"/>
  <c r="I954" i="39"/>
  <c r="B955" i="39"/>
  <c r="C955" i="39"/>
  <c r="D955" i="39"/>
  <c r="E955" i="39"/>
  <c r="I955" i="39"/>
  <c r="B956" i="39"/>
  <c r="C956" i="39"/>
  <c r="D956" i="39"/>
  <c r="E956" i="39"/>
  <c r="I956" i="39"/>
  <c r="B957" i="39"/>
  <c r="C957" i="39"/>
  <c r="D957" i="39"/>
  <c r="E957" i="39"/>
  <c r="I957" i="39"/>
  <c r="B958" i="39"/>
  <c r="C958" i="39"/>
  <c r="D958" i="39"/>
  <c r="E958" i="39"/>
  <c r="I958" i="39"/>
  <c r="B959" i="39"/>
  <c r="C959" i="39"/>
  <c r="D959" i="39"/>
  <c r="E959" i="39"/>
  <c r="I959" i="39"/>
  <c r="B960" i="39"/>
  <c r="C960" i="39"/>
  <c r="D960" i="39"/>
  <c r="E960" i="39"/>
  <c r="I960" i="39"/>
  <c r="B961" i="39"/>
  <c r="C961" i="39"/>
  <c r="D961" i="39"/>
  <c r="E961" i="39"/>
  <c r="I961" i="39"/>
  <c r="B962" i="39"/>
  <c r="C962" i="39"/>
  <c r="D962" i="39"/>
  <c r="E962" i="39"/>
  <c r="I962" i="39"/>
  <c r="B963" i="39"/>
  <c r="C963" i="39"/>
  <c r="D963" i="39"/>
  <c r="E963" i="39"/>
  <c r="I963" i="39"/>
  <c r="B964" i="39"/>
  <c r="C964" i="39"/>
  <c r="D964" i="39"/>
  <c r="E964" i="39"/>
  <c r="I964" i="39"/>
  <c r="B965" i="39"/>
  <c r="C965" i="39"/>
  <c r="D965" i="39"/>
  <c r="E965" i="39"/>
  <c r="I965" i="39"/>
  <c r="B966" i="39"/>
  <c r="C966" i="39"/>
  <c r="D966" i="39"/>
  <c r="E966" i="39"/>
  <c r="I966" i="39"/>
  <c r="B967" i="39"/>
  <c r="C967" i="39"/>
  <c r="D967" i="39"/>
  <c r="E967" i="39"/>
  <c r="I967" i="39"/>
  <c r="B968" i="39"/>
  <c r="C968" i="39"/>
  <c r="D968" i="39"/>
  <c r="E968" i="39"/>
  <c r="I968" i="39"/>
  <c r="B969" i="39"/>
  <c r="C969" i="39"/>
  <c r="D969" i="39"/>
  <c r="E969" i="39"/>
  <c r="I969" i="39"/>
  <c r="B970" i="39"/>
  <c r="C970" i="39"/>
  <c r="D970" i="39"/>
  <c r="E970" i="39"/>
  <c r="I970" i="39"/>
  <c r="B971" i="39"/>
  <c r="C971" i="39"/>
  <c r="D971" i="39"/>
  <c r="E971" i="39"/>
  <c r="I971" i="39"/>
  <c r="B972" i="39"/>
  <c r="C972" i="39"/>
  <c r="D972" i="39"/>
  <c r="E972" i="39"/>
  <c r="I972" i="39"/>
  <c r="B973" i="39"/>
  <c r="C973" i="39"/>
  <c r="D973" i="39"/>
  <c r="E973" i="39"/>
  <c r="I973" i="39"/>
  <c r="B974" i="39"/>
  <c r="C974" i="39"/>
  <c r="D974" i="39"/>
  <c r="E974" i="39"/>
  <c r="I974" i="39"/>
  <c r="B975" i="39"/>
  <c r="C975" i="39"/>
  <c r="D975" i="39"/>
  <c r="E975" i="39"/>
  <c r="I975" i="39"/>
  <c r="B976" i="39"/>
  <c r="C976" i="39"/>
  <c r="D976" i="39"/>
  <c r="E976" i="39"/>
  <c r="I976" i="39"/>
  <c r="B977" i="39"/>
  <c r="C977" i="39"/>
  <c r="D977" i="39"/>
  <c r="E977" i="39"/>
  <c r="I977" i="39"/>
  <c r="B978" i="39"/>
  <c r="C978" i="39"/>
  <c r="D978" i="39"/>
  <c r="E978" i="39"/>
  <c r="I978" i="39"/>
  <c r="B979" i="39"/>
  <c r="C979" i="39"/>
  <c r="D979" i="39"/>
  <c r="E979" i="39"/>
  <c r="I979" i="39"/>
  <c r="B980" i="39"/>
  <c r="C980" i="39"/>
  <c r="D980" i="39"/>
  <c r="E980" i="39"/>
  <c r="I980" i="39"/>
  <c r="B981" i="39"/>
  <c r="C981" i="39"/>
  <c r="D981" i="39"/>
  <c r="E981" i="39"/>
  <c r="I981" i="39"/>
  <c r="B982" i="39"/>
  <c r="C982" i="39"/>
  <c r="D982" i="39"/>
  <c r="E982" i="39"/>
  <c r="I982" i="39"/>
  <c r="B983" i="39"/>
  <c r="C983" i="39"/>
  <c r="D983" i="39"/>
  <c r="E983" i="39"/>
  <c r="I983" i="39"/>
  <c r="B984" i="39"/>
  <c r="C984" i="39"/>
  <c r="D984" i="39"/>
  <c r="E984" i="39"/>
  <c r="I984" i="39"/>
  <c r="B985" i="39"/>
  <c r="C985" i="39"/>
  <c r="D985" i="39"/>
  <c r="E985" i="39"/>
  <c r="I985" i="39"/>
  <c r="B986" i="39"/>
  <c r="C986" i="39"/>
  <c r="D986" i="39"/>
  <c r="E986" i="39"/>
  <c r="I986" i="39"/>
  <c r="B987" i="39"/>
  <c r="C987" i="39"/>
  <c r="D987" i="39"/>
  <c r="E987" i="39"/>
  <c r="I987" i="39"/>
  <c r="B988" i="39"/>
  <c r="C988" i="39"/>
  <c r="D988" i="39"/>
  <c r="E988" i="39"/>
  <c r="I988" i="39"/>
  <c r="B989" i="39"/>
  <c r="C989" i="39"/>
  <c r="D989" i="39"/>
  <c r="E989" i="39"/>
  <c r="I989" i="39"/>
  <c r="B990" i="39"/>
  <c r="C990" i="39"/>
  <c r="D990" i="39"/>
  <c r="E990" i="39"/>
  <c r="I990" i="39"/>
  <c r="B991" i="39"/>
  <c r="C991" i="39"/>
  <c r="D991" i="39"/>
  <c r="E991" i="39"/>
  <c r="I991" i="39"/>
  <c r="B992" i="39"/>
  <c r="C992" i="39"/>
  <c r="D992" i="39"/>
  <c r="E992" i="39"/>
  <c r="I992" i="39"/>
  <c r="B993" i="39"/>
  <c r="C993" i="39"/>
  <c r="D993" i="39"/>
  <c r="E993" i="39"/>
  <c r="I993" i="39"/>
  <c r="B994" i="39"/>
  <c r="C994" i="39"/>
  <c r="D994" i="39"/>
  <c r="E994" i="39"/>
  <c r="I994" i="39"/>
  <c r="B995" i="39"/>
  <c r="C995" i="39"/>
  <c r="D995" i="39"/>
  <c r="E995" i="39"/>
  <c r="I995" i="39"/>
  <c r="B996" i="39"/>
  <c r="C996" i="39"/>
  <c r="D996" i="39"/>
  <c r="E996" i="39"/>
  <c r="I996" i="39"/>
  <c r="B997" i="39"/>
  <c r="C997" i="39"/>
  <c r="D997" i="39"/>
  <c r="E997" i="39"/>
  <c r="I997" i="39"/>
  <c r="B998" i="39"/>
  <c r="C998" i="39"/>
  <c r="D998" i="39"/>
  <c r="E998" i="39"/>
  <c r="I998" i="39"/>
  <c r="B999" i="39"/>
  <c r="C999" i="39"/>
  <c r="D999" i="39"/>
  <c r="E999" i="39"/>
  <c r="I999" i="39"/>
  <c r="B1000" i="39"/>
  <c r="C1000" i="39"/>
  <c r="D1000" i="39"/>
  <c r="E1000" i="39"/>
  <c r="I1000" i="39"/>
  <c r="B1001" i="39"/>
  <c r="C1001" i="39"/>
  <c r="D1001" i="39"/>
  <c r="E1001" i="39"/>
  <c r="I1001" i="39"/>
  <c r="B1002" i="39"/>
  <c r="C1002" i="39"/>
  <c r="D1002" i="39"/>
  <c r="E1002" i="39"/>
  <c r="I1002" i="39"/>
  <c r="B1003" i="39"/>
  <c r="C1003" i="39"/>
  <c r="D1003" i="39"/>
  <c r="E1003" i="39"/>
  <c r="I1003" i="39"/>
  <c r="B1004" i="39"/>
  <c r="C1004" i="39"/>
  <c r="D1004" i="39"/>
  <c r="E1004" i="39"/>
  <c r="I1004" i="39"/>
  <c r="B1005" i="39"/>
  <c r="C1005" i="39"/>
  <c r="D1005" i="39"/>
  <c r="E1005" i="39"/>
  <c r="I1005" i="39"/>
  <c r="B1006" i="39"/>
  <c r="C1006" i="39"/>
  <c r="D1006" i="39"/>
  <c r="E1006" i="39"/>
  <c r="I1006" i="39"/>
  <c r="B1007" i="39"/>
  <c r="C1007" i="39"/>
  <c r="D1007" i="39"/>
  <c r="E1007" i="39"/>
  <c r="I1007" i="39"/>
  <c r="B1008" i="39"/>
  <c r="C1008" i="39"/>
  <c r="D1008" i="39"/>
  <c r="E1008" i="39"/>
  <c r="I1008" i="39"/>
  <c r="B1009" i="39"/>
  <c r="C1009" i="39"/>
  <c r="D1009" i="39"/>
  <c r="E1009" i="39"/>
  <c r="I1009" i="39"/>
  <c r="B1010" i="39"/>
  <c r="C1010" i="39"/>
  <c r="D1010" i="39"/>
  <c r="E1010" i="39"/>
  <c r="I1010" i="39"/>
  <c r="B1011" i="39"/>
  <c r="C1011" i="39"/>
  <c r="D1011" i="39"/>
  <c r="E1011" i="39"/>
  <c r="I1011" i="39"/>
  <c r="B1012" i="39"/>
  <c r="C1012" i="39"/>
  <c r="D1012" i="39"/>
  <c r="E1012" i="39"/>
  <c r="I1012" i="39"/>
  <c r="B1013" i="39"/>
  <c r="C1013" i="39"/>
  <c r="D1013" i="39"/>
  <c r="E1013" i="39"/>
  <c r="I1013" i="39"/>
  <c r="B1014" i="39"/>
  <c r="C1014" i="39"/>
  <c r="D1014" i="39"/>
  <c r="E1014" i="39"/>
  <c r="I1014" i="39"/>
  <c r="B1015" i="39"/>
  <c r="C1015" i="39"/>
  <c r="D1015" i="39"/>
  <c r="E1015" i="39"/>
  <c r="I1015" i="39"/>
  <c r="B1016" i="39"/>
  <c r="C1016" i="39"/>
  <c r="D1016" i="39"/>
  <c r="E1016" i="39"/>
  <c r="I1016" i="39"/>
  <c r="B1017" i="39"/>
  <c r="C1017" i="39"/>
  <c r="D1017" i="39"/>
  <c r="E1017" i="39"/>
  <c r="I1017" i="39"/>
  <c r="B1018" i="39"/>
  <c r="C1018" i="39"/>
  <c r="D1018" i="39"/>
  <c r="E1018" i="39"/>
  <c r="I1018" i="39"/>
  <c r="B1019" i="39"/>
  <c r="C1019" i="39"/>
  <c r="D1019" i="39"/>
  <c r="E1019" i="39"/>
  <c r="I1019" i="39"/>
  <c r="B1020" i="39"/>
  <c r="C1020" i="39"/>
  <c r="D1020" i="39"/>
  <c r="E1020" i="39"/>
  <c r="I1020" i="39"/>
  <c r="B1021" i="39"/>
  <c r="C1021" i="39"/>
  <c r="D1021" i="39"/>
  <c r="E1021" i="39"/>
  <c r="I1021" i="39"/>
  <c r="B1022" i="39"/>
  <c r="C1022" i="39"/>
  <c r="D1022" i="39"/>
  <c r="E1022" i="39"/>
  <c r="I1022" i="39"/>
  <c r="B1023" i="39"/>
  <c r="C1023" i="39"/>
  <c r="D1023" i="39"/>
  <c r="E1023" i="39"/>
  <c r="I1023" i="39"/>
  <c r="B1024" i="39"/>
  <c r="C1024" i="39"/>
  <c r="D1024" i="39"/>
  <c r="E1024" i="39"/>
  <c r="I1024" i="39"/>
  <c r="B1025" i="39"/>
  <c r="C1025" i="39"/>
  <c r="D1025" i="39"/>
  <c r="E1025" i="39"/>
  <c r="I1025" i="39"/>
  <c r="B1026" i="39"/>
  <c r="C1026" i="39"/>
  <c r="D1026" i="39"/>
  <c r="E1026" i="39"/>
  <c r="I1026" i="39"/>
  <c r="B1027" i="39"/>
  <c r="C1027" i="39"/>
  <c r="D1027" i="39"/>
  <c r="E1027" i="39"/>
  <c r="I1027" i="39"/>
  <c r="B1028" i="39"/>
  <c r="C1028" i="39"/>
  <c r="D1028" i="39"/>
  <c r="E1028" i="39"/>
  <c r="I1028" i="39"/>
  <c r="B1029" i="39"/>
  <c r="C1029" i="39"/>
  <c r="D1029" i="39"/>
  <c r="E1029" i="39"/>
  <c r="I1029" i="39"/>
  <c r="B1030" i="39"/>
  <c r="C1030" i="39"/>
  <c r="D1030" i="39"/>
  <c r="E1030" i="39"/>
  <c r="I1030" i="39"/>
  <c r="B1031" i="39"/>
  <c r="C1031" i="39"/>
  <c r="D1031" i="39"/>
  <c r="E1031" i="39"/>
  <c r="I1031" i="39"/>
  <c r="B1032" i="39"/>
  <c r="C1032" i="39"/>
  <c r="D1032" i="39"/>
  <c r="E1032" i="39"/>
  <c r="I1032" i="39"/>
  <c r="B1033" i="39"/>
  <c r="C1033" i="39"/>
  <c r="D1033" i="39"/>
  <c r="E1033" i="39"/>
  <c r="I1033" i="39"/>
  <c r="B1034" i="39"/>
  <c r="C1034" i="39"/>
  <c r="D1034" i="39"/>
  <c r="E1034" i="39"/>
  <c r="I1034" i="39"/>
  <c r="B1035" i="39"/>
  <c r="C1035" i="39"/>
  <c r="D1035" i="39"/>
  <c r="E1035" i="39"/>
  <c r="I1035" i="39"/>
  <c r="B1036" i="39"/>
  <c r="C1036" i="39"/>
  <c r="D1036" i="39"/>
  <c r="E1036" i="39"/>
  <c r="I1036" i="39"/>
  <c r="B1037" i="39"/>
  <c r="C1037" i="39"/>
  <c r="D1037" i="39"/>
  <c r="E1037" i="39"/>
  <c r="I1037" i="39"/>
  <c r="B1038" i="39"/>
  <c r="C1038" i="39"/>
  <c r="D1038" i="39"/>
  <c r="E1038" i="39"/>
  <c r="I1038" i="39"/>
  <c r="B1039" i="39"/>
  <c r="C1039" i="39"/>
  <c r="D1039" i="39"/>
  <c r="E1039" i="39"/>
  <c r="I1039" i="39"/>
  <c r="B1040" i="39"/>
  <c r="C1040" i="39"/>
  <c r="D1040" i="39"/>
  <c r="E1040" i="39"/>
  <c r="I1040" i="39"/>
  <c r="B1041" i="39"/>
  <c r="C1041" i="39"/>
  <c r="D1041" i="39"/>
  <c r="E1041" i="39"/>
  <c r="I1041" i="39"/>
  <c r="B1042" i="39"/>
  <c r="C1042" i="39"/>
  <c r="D1042" i="39"/>
  <c r="E1042" i="39"/>
  <c r="I1042" i="39"/>
  <c r="B1043" i="39"/>
  <c r="C1043" i="39"/>
  <c r="D1043" i="39"/>
  <c r="E1043" i="39"/>
  <c r="I1043" i="39"/>
  <c r="B1044" i="39"/>
  <c r="C1044" i="39"/>
  <c r="D1044" i="39"/>
  <c r="E1044" i="39"/>
  <c r="I1044" i="39"/>
  <c r="B1045" i="39"/>
  <c r="C1045" i="39"/>
  <c r="D1045" i="39"/>
  <c r="E1045" i="39"/>
  <c r="I1045" i="39"/>
  <c r="B1046" i="39"/>
  <c r="C1046" i="39"/>
  <c r="D1046" i="39"/>
  <c r="E1046" i="39"/>
  <c r="I1046" i="39"/>
  <c r="B1047" i="39"/>
  <c r="C1047" i="39"/>
  <c r="D1047" i="39"/>
  <c r="E1047" i="39"/>
  <c r="I1047" i="39"/>
  <c r="B1048" i="39"/>
  <c r="C1048" i="39"/>
  <c r="D1048" i="39"/>
  <c r="E1048" i="39"/>
  <c r="I1048" i="39"/>
  <c r="B1049" i="39"/>
  <c r="C1049" i="39"/>
  <c r="D1049" i="39"/>
  <c r="E1049" i="39"/>
  <c r="I1049" i="39"/>
  <c r="B1050" i="39"/>
  <c r="C1050" i="39"/>
  <c r="D1050" i="39"/>
  <c r="E1050" i="39"/>
  <c r="I1050" i="39"/>
  <c r="B1051" i="39"/>
  <c r="C1051" i="39"/>
  <c r="D1051" i="39"/>
  <c r="E1051" i="39"/>
  <c r="I1051" i="39"/>
  <c r="B1052" i="39"/>
  <c r="C1052" i="39"/>
  <c r="D1052" i="39"/>
  <c r="E1052" i="39"/>
  <c r="I1052" i="39"/>
  <c r="B1053" i="39"/>
  <c r="C1053" i="39"/>
  <c r="D1053" i="39"/>
  <c r="E1053" i="39"/>
  <c r="I1053" i="39"/>
  <c r="B1054" i="39"/>
  <c r="C1054" i="39"/>
  <c r="D1054" i="39"/>
  <c r="E1054" i="39"/>
  <c r="I1054" i="39"/>
  <c r="B1055" i="39"/>
  <c r="C1055" i="39"/>
  <c r="D1055" i="39"/>
  <c r="E1055" i="39"/>
  <c r="I1055" i="39"/>
  <c r="B1056" i="39"/>
  <c r="C1056" i="39"/>
  <c r="D1056" i="39"/>
  <c r="E1056" i="39"/>
  <c r="I1056" i="39"/>
  <c r="B1057" i="39"/>
  <c r="C1057" i="39"/>
  <c r="D1057" i="39"/>
  <c r="E1057" i="39"/>
  <c r="I1057" i="39"/>
  <c r="B1058" i="39"/>
  <c r="C1058" i="39"/>
  <c r="D1058" i="39"/>
  <c r="E1058" i="39"/>
  <c r="I1058" i="39"/>
  <c r="B1059" i="39"/>
  <c r="C1059" i="39"/>
  <c r="D1059" i="39"/>
  <c r="E1059" i="39"/>
  <c r="I1059" i="39"/>
  <c r="B1060" i="39"/>
  <c r="C1060" i="39"/>
  <c r="D1060" i="39"/>
  <c r="E1060" i="39"/>
  <c r="I1060" i="39"/>
  <c r="B1061" i="39"/>
  <c r="C1061" i="39"/>
  <c r="D1061" i="39"/>
  <c r="E1061" i="39"/>
  <c r="I1061" i="39"/>
  <c r="B1062" i="39"/>
  <c r="C1062" i="39"/>
  <c r="D1062" i="39"/>
  <c r="E1062" i="39"/>
  <c r="I1062" i="39"/>
  <c r="B1063" i="39"/>
  <c r="C1063" i="39"/>
  <c r="D1063" i="39"/>
  <c r="E1063" i="39"/>
  <c r="I1063" i="39"/>
  <c r="B1064" i="39"/>
  <c r="C1064" i="39"/>
  <c r="D1064" i="39"/>
  <c r="E1064" i="39"/>
  <c r="I1064" i="39"/>
  <c r="B1065" i="39"/>
  <c r="C1065" i="39"/>
  <c r="D1065" i="39"/>
  <c r="E1065" i="39"/>
  <c r="I1065" i="39"/>
  <c r="B1066" i="39"/>
  <c r="C1066" i="39"/>
  <c r="D1066" i="39"/>
  <c r="E1066" i="39"/>
  <c r="I1066" i="39"/>
  <c r="B1067" i="39"/>
  <c r="C1067" i="39"/>
  <c r="D1067" i="39"/>
  <c r="E1067" i="39"/>
  <c r="I1067" i="39"/>
  <c r="B1068" i="39"/>
  <c r="C1068" i="39"/>
  <c r="D1068" i="39"/>
  <c r="E1068" i="39"/>
  <c r="I1068" i="39"/>
  <c r="B1069" i="39"/>
  <c r="C1069" i="39"/>
  <c r="D1069" i="39"/>
  <c r="E1069" i="39"/>
  <c r="I1069" i="39"/>
  <c r="B1070" i="39"/>
  <c r="C1070" i="39"/>
  <c r="D1070" i="39"/>
  <c r="E1070" i="39"/>
  <c r="I1070" i="39"/>
  <c r="B1071" i="39"/>
  <c r="C1071" i="39"/>
  <c r="D1071" i="39"/>
  <c r="E1071" i="39"/>
  <c r="I1071" i="39"/>
  <c r="B1072" i="39"/>
  <c r="C1072" i="39"/>
  <c r="D1072" i="39"/>
  <c r="E1072" i="39"/>
  <c r="I1072" i="39"/>
  <c r="B1073" i="39"/>
  <c r="C1073" i="39"/>
  <c r="D1073" i="39"/>
  <c r="E1073" i="39"/>
  <c r="I1073" i="39"/>
  <c r="B1074" i="39"/>
  <c r="C1074" i="39"/>
  <c r="D1074" i="39"/>
  <c r="E1074" i="39"/>
  <c r="I1074" i="39"/>
  <c r="B1075" i="39"/>
  <c r="C1075" i="39"/>
  <c r="D1075" i="39"/>
  <c r="E1075" i="39"/>
  <c r="I1075" i="39"/>
  <c r="B1076" i="39"/>
  <c r="C1076" i="39"/>
  <c r="D1076" i="39"/>
  <c r="E1076" i="39"/>
  <c r="I1076" i="39"/>
  <c r="B1077" i="39"/>
  <c r="C1077" i="39"/>
  <c r="D1077" i="39"/>
  <c r="E1077" i="39"/>
  <c r="I1077" i="39"/>
  <c r="B1078" i="39"/>
  <c r="C1078" i="39"/>
  <c r="D1078" i="39"/>
  <c r="E1078" i="39"/>
  <c r="I1078" i="39"/>
  <c r="B1079" i="39"/>
  <c r="C1079" i="39"/>
  <c r="D1079" i="39"/>
  <c r="E1079" i="39"/>
  <c r="I1079" i="39"/>
  <c r="B1080" i="39"/>
  <c r="C1080" i="39"/>
  <c r="D1080" i="39"/>
  <c r="E1080" i="39"/>
  <c r="I1080" i="39"/>
  <c r="B1081" i="39"/>
  <c r="C1081" i="39"/>
  <c r="D1081" i="39"/>
  <c r="E1081" i="39"/>
  <c r="I1081" i="39"/>
  <c r="B1082" i="39"/>
  <c r="C1082" i="39"/>
  <c r="D1082" i="39"/>
  <c r="E1082" i="39"/>
  <c r="I1082" i="39"/>
  <c r="B1083" i="39"/>
  <c r="C1083" i="39"/>
  <c r="D1083" i="39"/>
  <c r="E1083" i="39"/>
  <c r="I1083" i="39"/>
  <c r="B1084" i="39"/>
  <c r="C1084" i="39"/>
  <c r="D1084" i="39"/>
  <c r="E1084" i="39"/>
  <c r="I1084" i="39"/>
  <c r="B1085" i="39"/>
  <c r="C1085" i="39"/>
  <c r="D1085" i="39"/>
  <c r="E1085" i="39"/>
  <c r="I1085" i="39"/>
  <c r="B1086" i="39"/>
  <c r="C1086" i="39"/>
  <c r="D1086" i="39"/>
  <c r="E1086" i="39"/>
  <c r="I1086" i="39"/>
  <c r="B1087" i="39"/>
  <c r="C1087" i="39"/>
  <c r="D1087" i="39"/>
  <c r="E1087" i="39"/>
  <c r="I1087" i="39"/>
  <c r="B1088" i="39"/>
  <c r="C1088" i="39"/>
  <c r="D1088" i="39"/>
  <c r="E1088" i="39"/>
  <c r="I1088" i="39"/>
  <c r="B1089" i="39"/>
  <c r="C1089" i="39"/>
  <c r="D1089" i="39"/>
  <c r="E1089" i="39"/>
  <c r="I1089" i="39"/>
  <c r="B1090" i="39"/>
  <c r="C1090" i="39"/>
  <c r="D1090" i="39"/>
  <c r="E1090" i="39"/>
  <c r="I1090" i="39"/>
  <c r="B1091" i="39"/>
  <c r="C1091" i="39"/>
  <c r="D1091" i="39"/>
  <c r="E1091" i="39"/>
  <c r="I1091" i="39"/>
  <c r="B1092" i="39"/>
  <c r="C1092" i="39"/>
  <c r="D1092" i="39"/>
  <c r="E1092" i="39"/>
  <c r="I1092" i="39"/>
  <c r="B1093" i="39"/>
  <c r="C1093" i="39"/>
  <c r="D1093" i="39"/>
  <c r="E1093" i="39"/>
  <c r="I1093" i="39"/>
  <c r="B1094" i="39"/>
  <c r="C1094" i="39"/>
  <c r="D1094" i="39"/>
  <c r="E1094" i="39"/>
  <c r="I1094" i="39"/>
  <c r="B1095" i="39"/>
  <c r="C1095" i="39"/>
  <c r="D1095" i="39"/>
  <c r="E1095" i="39"/>
  <c r="I1095" i="39"/>
  <c r="B1096" i="39"/>
  <c r="C1096" i="39"/>
  <c r="D1096" i="39"/>
  <c r="E1096" i="39"/>
  <c r="I1096" i="39"/>
  <c r="B1097" i="39"/>
  <c r="C1097" i="39"/>
  <c r="D1097" i="39"/>
  <c r="E1097" i="39"/>
  <c r="I1097" i="39"/>
  <c r="B1098" i="39"/>
  <c r="C1098" i="39"/>
  <c r="D1098" i="39"/>
  <c r="E1098" i="39"/>
  <c r="I1098" i="39"/>
  <c r="B1099" i="39"/>
  <c r="C1099" i="39"/>
  <c r="D1099" i="39"/>
  <c r="E1099" i="39"/>
  <c r="I1099" i="39"/>
  <c r="B1100" i="39"/>
  <c r="C1100" i="39"/>
  <c r="D1100" i="39"/>
  <c r="E1100" i="39"/>
  <c r="I1100" i="39"/>
  <c r="B1101" i="39"/>
  <c r="C1101" i="39"/>
  <c r="D1101" i="39"/>
  <c r="E1101" i="39"/>
  <c r="I1101" i="39"/>
  <c r="B1102" i="39"/>
  <c r="C1102" i="39"/>
  <c r="D1102" i="39"/>
  <c r="E1102" i="39"/>
  <c r="I1102" i="39"/>
  <c r="B1103" i="39"/>
  <c r="C1103" i="39"/>
  <c r="D1103" i="39"/>
  <c r="E1103" i="39"/>
  <c r="I1103" i="39"/>
  <c r="B1104" i="39"/>
  <c r="C1104" i="39"/>
  <c r="D1104" i="39"/>
  <c r="E1104" i="39"/>
  <c r="I1104" i="39"/>
  <c r="B1105" i="39"/>
  <c r="C1105" i="39"/>
  <c r="D1105" i="39"/>
  <c r="E1105" i="39"/>
  <c r="I1105" i="39"/>
  <c r="B1106" i="39"/>
  <c r="C1106" i="39"/>
  <c r="D1106" i="39"/>
  <c r="E1106" i="39"/>
  <c r="I1106" i="39"/>
  <c r="B1107" i="39"/>
  <c r="C1107" i="39"/>
  <c r="D1107" i="39"/>
  <c r="E1107" i="39"/>
  <c r="I1107" i="39"/>
  <c r="B1108" i="39"/>
  <c r="C1108" i="39"/>
  <c r="D1108" i="39"/>
  <c r="E1108" i="39"/>
  <c r="I1108" i="39"/>
  <c r="B1109" i="39"/>
  <c r="C1109" i="39"/>
  <c r="D1109" i="39"/>
  <c r="E1109" i="39"/>
  <c r="I1109" i="39"/>
  <c r="B1110" i="39"/>
  <c r="C1110" i="39"/>
  <c r="D1110" i="39"/>
  <c r="E1110" i="39"/>
  <c r="I1110" i="39"/>
  <c r="B1111" i="39"/>
  <c r="C1111" i="39"/>
  <c r="D1111" i="39"/>
  <c r="E1111" i="39"/>
  <c r="I1111" i="39"/>
  <c r="B1112" i="39"/>
  <c r="C1112" i="39"/>
  <c r="D1112" i="39"/>
  <c r="E1112" i="39"/>
  <c r="I1112" i="39"/>
  <c r="B1113" i="39"/>
  <c r="C1113" i="39"/>
  <c r="D1113" i="39"/>
  <c r="E1113" i="39"/>
  <c r="I1113" i="39"/>
  <c r="B1114" i="39"/>
  <c r="C1114" i="39"/>
  <c r="D1114" i="39"/>
  <c r="E1114" i="39"/>
  <c r="I1114" i="39"/>
  <c r="B1115" i="39"/>
  <c r="C1115" i="39"/>
  <c r="D1115" i="39"/>
  <c r="E1115" i="39"/>
  <c r="I1115" i="39"/>
  <c r="B1116" i="39"/>
  <c r="C1116" i="39"/>
  <c r="D1116" i="39"/>
  <c r="E1116" i="39"/>
  <c r="I1116" i="39"/>
  <c r="B1117" i="39"/>
  <c r="C1117" i="39"/>
  <c r="D1117" i="39"/>
  <c r="E1117" i="39"/>
  <c r="I1117" i="39"/>
  <c r="B1118" i="39"/>
  <c r="C1118" i="39"/>
  <c r="D1118" i="39"/>
  <c r="E1118" i="39"/>
  <c r="I1118" i="39"/>
  <c r="B1119" i="39"/>
  <c r="C1119" i="39"/>
  <c r="D1119" i="39"/>
  <c r="E1119" i="39"/>
  <c r="I1119" i="39"/>
  <c r="B1120" i="39"/>
  <c r="C1120" i="39"/>
  <c r="D1120" i="39"/>
  <c r="E1120" i="39"/>
  <c r="I1120" i="39"/>
  <c r="B1121" i="39"/>
  <c r="C1121" i="39"/>
  <c r="D1121" i="39"/>
  <c r="E1121" i="39"/>
  <c r="I1121" i="39"/>
  <c r="B1122" i="39"/>
  <c r="C1122" i="39"/>
  <c r="D1122" i="39"/>
  <c r="E1122" i="39"/>
  <c r="I1122" i="39"/>
  <c r="B1123" i="39"/>
  <c r="C1123" i="39"/>
  <c r="D1123" i="39"/>
  <c r="E1123" i="39"/>
  <c r="I1123" i="39"/>
  <c r="B1124" i="39"/>
  <c r="C1124" i="39"/>
  <c r="D1124" i="39"/>
  <c r="E1124" i="39"/>
  <c r="I1124" i="39"/>
  <c r="B1125" i="39"/>
  <c r="C1125" i="39"/>
  <c r="D1125" i="39"/>
  <c r="E1125" i="39"/>
  <c r="I1125" i="39"/>
  <c r="B1126" i="39"/>
  <c r="C1126" i="39"/>
  <c r="D1126" i="39"/>
  <c r="E1126" i="39"/>
  <c r="I1126" i="39"/>
  <c r="B1127" i="39"/>
  <c r="C1127" i="39"/>
  <c r="D1127" i="39"/>
  <c r="E1127" i="39"/>
  <c r="I1127" i="39"/>
  <c r="B1128" i="39"/>
  <c r="C1128" i="39"/>
  <c r="D1128" i="39"/>
  <c r="E1128" i="39"/>
  <c r="I1128" i="39"/>
  <c r="B1129" i="39"/>
  <c r="C1129" i="39"/>
  <c r="D1129" i="39"/>
  <c r="E1129" i="39"/>
  <c r="I1129" i="39"/>
  <c r="B1130" i="39"/>
  <c r="C1130" i="39"/>
  <c r="D1130" i="39"/>
  <c r="E1130" i="39"/>
  <c r="I1130" i="39"/>
  <c r="B1131" i="39"/>
  <c r="C1131" i="39"/>
  <c r="D1131" i="39"/>
  <c r="E1131" i="39"/>
  <c r="I1131" i="39"/>
  <c r="B1132" i="39"/>
  <c r="C1132" i="39"/>
  <c r="D1132" i="39"/>
  <c r="E1132" i="39"/>
  <c r="I1132" i="39"/>
  <c r="B1133" i="39"/>
  <c r="C1133" i="39"/>
  <c r="D1133" i="39"/>
  <c r="E1133" i="39"/>
  <c r="I1133" i="39"/>
  <c r="B1134" i="39"/>
  <c r="C1134" i="39"/>
  <c r="D1134" i="39"/>
  <c r="E1134" i="39"/>
  <c r="I1134" i="39"/>
  <c r="B1135" i="39"/>
  <c r="C1135" i="39"/>
  <c r="D1135" i="39"/>
  <c r="E1135" i="39"/>
  <c r="I1135" i="39"/>
  <c r="B1136" i="39"/>
  <c r="C1136" i="39"/>
  <c r="D1136" i="39"/>
  <c r="E1136" i="39"/>
  <c r="I1136" i="39"/>
  <c r="B1137" i="39"/>
  <c r="C1137" i="39"/>
  <c r="D1137" i="39"/>
  <c r="E1137" i="39"/>
  <c r="I1137" i="39"/>
  <c r="B1138" i="39"/>
  <c r="C1138" i="39"/>
  <c r="D1138" i="39"/>
  <c r="E1138" i="39"/>
  <c r="I1138" i="39"/>
  <c r="B1139" i="39"/>
  <c r="C1139" i="39"/>
  <c r="D1139" i="39"/>
  <c r="E1139" i="39"/>
  <c r="I1139" i="39"/>
  <c r="B1140" i="39"/>
  <c r="C1140" i="39"/>
  <c r="D1140" i="39"/>
  <c r="E1140" i="39"/>
  <c r="I1140" i="39"/>
  <c r="B1141" i="39"/>
  <c r="C1141" i="39"/>
  <c r="D1141" i="39"/>
  <c r="E1141" i="39"/>
  <c r="I1141" i="39"/>
  <c r="B1142" i="39"/>
  <c r="C1142" i="39"/>
  <c r="D1142" i="39"/>
  <c r="E1142" i="39"/>
  <c r="I1142" i="39"/>
  <c r="B1143" i="39"/>
  <c r="C1143" i="39"/>
  <c r="D1143" i="39"/>
  <c r="E1143" i="39"/>
  <c r="I1143" i="39"/>
  <c r="B1144" i="39"/>
  <c r="C1144" i="39"/>
  <c r="D1144" i="39"/>
  <c r="E1144" i="39"/>
  <c r="I1144" i="39"/>
  <c r="B1145" i="39"/>
  <c r="C1145" i="39"/>
  <c r="D1145" i="39"/>
  <c r="E1145" i="39"/>
  <c r="I1145" i="39"/>
  <c r="B1146" i="39"/>
  <c r="C1146" i="39"/>
  <c r="D1146" i="39"/>
  <c r="E1146" i="39"/>
  <c r="I1146" i="39"/>
  <c r="B1147" i="39"/>
  <c r="C1147" i="39"/>
  <c r="D1147" i="39"/>
  <c r="E1147" i="39"/>
  <c r="I1147" i="39"/>
  <c r="B1148" i="39"/>
  <c r="C1148" i="39"/>
  <c r="D1148" i="39"/>
  <c r="E1148" i="39"/>
  <c r="I1148" i="39"/>
  <c r="B1149" i="39"/>
  <c r="C1149" i="39"/>
  <c r="D1149" i="39"/>
  <c r="E1149" i="39"/>
  <c r="I1149" i="39"/>
  <c r="B1150" i="39"/>
  <c r="C1150" i="39"/>
  <c r="D1150" i="39"/>
  <c r="E1150" i="39"/>
  <c r="I1150" i="39"/>
  <c r="B1151" i="39"/>
  <c r="C1151" i="39"/>
  <c r="D1151" i="39"/>
  <c r="E1151" i="39"/>
  <c r="I1151" i="39"/>
  <c r="B1152" i="39"/>
  <c r="C1152" i="39"/>
  <c r="D1152" i="39"/>
  <c r="E1152" i="39"/>
  <c r="I1152" i="39"/>
  <c r="B1153" i="39"/>
  <c r="C1153" i="39"/>
  <c r="D1153" i="39"/>
  <c r="E1153" i="39"/>
  <c r="I1153" i="39"/>
  <c r="B1154" i="39"/>
  <c r="C1154" i="39"/>
  <c r="D1154" i="39"/>
  <c r="E1154" i="39"/>
  <c r="I1154" i="39"/>
  <c r="B1155" i="39"/>
  <c r="C1155" i="39"/>
  <c r="D1155" i="39"/>
  <c r="E1155" i="39"/>
  <c r="I1155" i="39"/>
  <c r="B1156" i="39"/>
  <c r="C1156" i="39"/>
  <c r="D1156" i="39"/>
  <c r="E1156" i="39"/>
  <c r="I1156" i="39"/>
  <c r="B1157" i="39"/>
  <c r="C1157" i="39"/>
  <c r="D1157" i="39"/>
  <c r="E1157" i="39"/>
  <c r="I1157" i="39"/>
  <c r="B1158" i="39"/>
  <c r="C1158" i="39"/>
  <c r="D1158" i="39"/>
  <c r="E1158" i="39"/>
  <c r="I1158" i="39"/>
  <c r="B1159" i="39"/>
  <c r="C1159" i="39"/>
  <c r="D1159" i="39"/>
  <c r="E1159" i="39"/>
  <c r="I1159" i="39"/>
  <c r="B1160" i="39"/>
  <c r="C1160" i="39"/>
  <c r="D1160" i="39"/>
  <c r="E1160" i="39"/>
  <c r="I1160" i="39"/>
  <c r="B1161" i="39"/>
  <c r="C1161" i="39"/>
  <c r="D1161" i="39"/>
  <c r="E1161" i="39"/>
  <c r="I1161" i="39"/>
  <c r="B1162" i="39"/>
  <c r="C1162" i="39"/>
  <c r="D1162" i="39"/>
  <c r="E1162" i="39"/>
  <c r="I1162" i="39"/>
  <c r="B1163" i="39"/>
  <c r="C1163" i="39"/>
  <c r="D1163" i="39"/>
  <c r="E1163" i="39"/>
  <c r="I1163" i="39"/>
  <c r="B1164" i="39"/>
  <c r="C1164" i="39"/>
  <c r="D1164" i="39"/>
  <c r="E1164" i="39"/>
  <c r="I1164" i="39"/>
  <c r="B1165" i="39"/>
  <c r="C1165" i="39"/>
  <c r="D1165" i="39"/>
  <c r="E1165" i="39"/>
  <c r="I1165" i="39"/>
  <c r="B1166" i="39"/>
  <c r="C1166" i="39"/>
  <c r="D1166" i="39"/>
  <c r="E1166" i="39"/>
  <c r="I1166" i="39"/>
  <c r="B1167" i="39"/>
  <c r="C1167" i="39"/>
  <c r="D1167" i="39"/>
  <c r="E1167" i="39"/>
  <c r="I1167" i="39"/>
  <c r="B1168" i="39"/>
  <c r="C1168" i="39"/>
  <c r="D1168" i="39"/>
  <c r="E1168" i="39"/>
  <c r="I1168" i="39"/>
  <c r="B1169" i="39"/>
  <c r="C1169" i="39"/>
  <c r="D1169" i="39"/>
  <c r="E1169" i="39"/>
  <c r="I1169" i="39"/>
  <c r="B1170" i="39"/>
  <c r="C1170" i="39"/>
  <c r="D1170" i="39"/>
  <c r="E1170" i="39"/>
  <c r="I1170" i="39"/>
  <c r="B1171" i="39"/>
  <c r="C1171" i="39"/>
  <c r="D1171" i="39"/>
  <c r="E1171" i="39"/>
  <c r="I1171" i="39"/>
  <c r="B1172" i="39"/>
  <c r="C1172" i="39"/>
  <c r="D1172" i="39"/>
  <c r="E1172" i="39"/>
  <c r="I1172" i="39"/>
  <c r="B1173" i="39"/>
  <c r="C1173" i="39"/>
  <c r="D1173" i="39"/>
  <c r="E1173" i="39"/>
  <c r="I1173" i="39"/>
  <c r="B1174" i="39"/>
  <c r="C1174" i="39"/>
  <c r="D1174" i="39"/>
  <c r="E1174" i="39"/>
  <c r="I1174" i="39"/>
  <c r="B1175" i="39"/>
  <c r="C1175" i="39"/>
  <c r="D1175" i="39"/>
  <c r="E1175" i="39"/>
  <c r="I1175" i="39"/>
  <c r="B1176" i="39"/>
  <c r="C1176" i="39"/>
  <c r="D1176" i="39"/>
  <c r="E1176" i="39"/>
  <c r="I1176" i="39"/>
  <c r="B1177" i="39"/>
  <c r="C1177" i="39"/>
  <c r="D1177" i="39"/>
  <c r="E1177" i="39"/>
  <c r="I1177" i="39"/>
  <c r="B1178" i="39"/>
  <c r="C1178" i="39"/>
  <c r="D1178" i="39"/>
  <c r="E1178" i="39"/>
  <c r="I1178" i="39"/>
  <c r="B1179" i="39"/>
  <c r="C1179" i="39"/>
  <c r="D1179" i="39"/>
  <c r="E1179" i="39"/>
  <c r="I1179" i="39"/>
  <c r="B1180" i="39"/>
  <c r="C1180" i="39"/>
  <c r="D1180" i="39"/>
  <c r="E1180" i="39"/>
  <c r="I1180" i="39"/>
  <c r="B1181" i="39"/>
  <c r="C1181" i="39"/>
  <c r="D1181" i="39"/>
  <c r="E1181" i="39"/>
  <c r="I1181" i="39"/>
  <c r="B1182" i="39"/>
  <c r="C1182" i="39"/>
  <c r="D1182" i="39"/>
  <c r="E1182" i="39"/>
  <c r="I1182" i="39"/>
  <c r="B1183" i="39"/>
  <c r="C1183" i="39"/>
  <c r="D1183" i="39"/>
  <c r="E1183" i="39"/>
  <c r="I1183" i="39"/>
  <c r="B1184" i="39"/>
  <c r="C1184" i="39"/>
  <c r="D1184" i="39"/>
  <c r="E1184" i="39"/>
  <c r="I1184" i="39"/>
  <c r="B1185" i="39"/>
  <c r="C1185" i="39"/>
  <c r="D1185" i="39"/>
  <c r="E1185" i="39"/>
  <c r="I1185" i="39"/>
  <c r="B1186" i="39"/>
  <c r="C1186" i="39"/>
  <c r="D1186" i="39"/>
  <c r="E1186" i="39"/>
  <c r="I1186" i="39"/>
  <c r="B1187" i="39"/>
  <c r="C1187" i="39"/>
  <c r="D1187" i="39"/>
  <c r="E1187" i="39"/>
  <c r="I1187" i="39"/>
  <c r="B1188" i="39"/>
  <c r="C1188" i="39"/>
  <c r="D1188" i="39"/>
  <c r="E1188" i="39"/>
  <c r="I1188" i="39"/>
  <c r="B1189" i="39"/>
  <c r="C1189" i="39"/>
  <c r="D1189" i="39"/>
  <c r="E1189" i="39"/>
  <c r="I1189" i="39"/>
  <c r="B1190" i="39"/>
  <c r="C1190" i="39"/>
  <c r="D1190" i="39"/>
  <c r="E1190" i="39"/>
  <c r="I1190" i="39"/>
  <c r="B1191" i="39"/>
  <c r="C1191" i="39"/>
  <c r="D1191" i="39"/>
  <c r="E1191" i="39"/>
  <c r="I1191" i="39"/>
  <c r="B1192" i="39"/>
  <c r="C1192" i="39"/>
  <c r="D1192" i="39"/>
  <c r="E1192" i="39"/>
  <c r="I1192" i="39"/>
  <c r="B1193" i="39"/>
  <c r="C1193" i="39"/>
  <c r="D1193" i="39"/>
  <c r="E1193" i="39"/>
  <c r="I1193" i="39"/>
  <c r="B1194" i="39"/>
  <c r="C1194" i="39"/>
  <c r="D1194" i="39"/>
  <c r="E1194" i="39"/>
  <c r="I1194" i="39"/>
  <c r="B1195" i="39"/>
  <c r="C1195" i="39"/>
  <c r="D1195" i="39"/>
  <c r="E1195" i="39"/>
  <c r="I1195" i="39"/>
  <c r="B1196" i="39"/>
  <c r="C1196" i="39"/>
  <c r="D1196" i="39"/>
  <c r="E1196" i="39"/>
  <c r="I1196" i="39"/>
  <c r="B1197" i="39"/>
  <c r="C1197" i="39"/>
  <c r="D1197" i="39"/>
  <c r="E1197" i="39"/>
  <c r="I1197" i="39"/>
  <c r="B1198" i="39"/>
  <c r="C1198" i="39"/>
  <c r="D1198" i="39"/>
  <c r="E1198" i="39"/>
  <c r="I1198" i="39"/>
  <c r="B1199" i="39"/>
  <c r="C1199" i="39"/>
  <c r="D1199" i="39"/>
  <c r="E1199" i="39"/>
  <c r="I1199" i="39"/>
  <c r="B1200" i="39"/>
  <c r="C1200" i="39"/>
  <c r="D1200" i="39"/>
  <c r="E1200" i="39"/>
  <c r="I1200" i="39"/>
  <c r="B1201" i="39"/>
  <c r="C1201" i="39"/>
  <c r="D1201" i="39"/>
  <c r="E1201" i="39"/>
  <c r="I1201" i="39"/>
  <c r="B1202" i="39"/>
  <c r="C1202" i="39"/>
  <c r="D1202" i="39"/>
  <c r="E1202" i="39"/>
  <c r="I1202" i="39"/>
  <c r="B1203" i="39"/>
  <c r="C1203" i="39"/>
  <c r="D1203" i="39"/>
  <c r="E1203" i="39"/>
  <c r="I1203" i="39"/>
  <c r="B1204" i="39"/>
  <c r="C1204" i="39"/>
  <c r="D1204" i="39"/>
  <c r="E1204" i="39"/>
  <c r="I1204" i="39"/>
  <c r="B1205" i="39"/>
  <c r="C1205" i="39"/>
  <c r="D1205" i="39"/>
  <c r="E1205" i="39"/>
  <c r="I1205" i="39"/>
  <c r="B1206" i="39"/>
  <c r="C1206" i="39"/>
  <c r="D1206" i="39"/>
  <c r="E1206" i="39"/>
  <c r="I1206" i="39"/>
  <c r="B1207" i="39"/>
  <c r="C1207" i="39"/>
  <c r="D1207" i="39"/>
  <c r="E1207" i="39"/>
  <c r="I1207" i="39"/>
  <c r="B1208" i="39"/>
  <c r="C1208" i="39"/>
  <c r="D1208" i="39"/>
  <c r="E1208" i="39"/>
  <c r="I1208" i="39"/>
  <c r="B1209" i="39"/>
  <c r="C1209" i="39"/>
  <c r="D1209" i="39"/>
  <c r="E1209" i="39"/>
  <c r="I1209" i="39"/>
  <c r="B1210" i="39"/>
  <c r="C1210" i="39"/>
  <c r="D1210" i="39"/>
  <c r="E1210" i="39"/>
  <c r="I1210" i="39"/>
  <c r="B1211" i="39"/>
  <c r="C1211" i="39"/>
  <c r="D1211" i="39"/>
  <c r="E1211" i="39"/>
  <c r="I1211" i="39"/>
  <c r="B1212" i="39"/>
  <c r="C1212" i="39"/>
  <c r="D1212" i="39"/>
  <c r="E1212" i="39"/>
  <c r="I1212" i="39"/>
  <c r="B1213" i="39"/>
  <c r="C1213" i="39"/>
  <c r="D1213" i="39"/>
  <c r="E1213" i="39"/>
  <c r="I1213" i="39"/>
  <c r="I14" i="39"/>
  <c r="M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5" i="39"/>
  <c r="H86" i="39"/>
  <c r="H87" i="39"/>
  <c r="H88" i="39"/>
  <c r="H89" i="39"/>
  <c r="H90" i="39"/>
  <c r="H91" i="39"/>
  <c r="H92" i="39"/>
  <c r="H93" i="39"/>
  <c r="H94" i="39"/>
  <c r="H95" i="39"/>
  <c r="H96" i="39"/>
  <c r="H97" i="39"/>
  <c r="H98" i="39"/>
  <c r="H99" i="39"/>
  <c r="H100" i="39"/>
  <c r="H101" i="39"/>
  <c r="H102" i="39"/>
  <c r="H103" i="39"/>
  <c r="H104" i="39"/>
  <c r="H105" i="39"/>
  <c r="H106" i="39"/>
  <c r="H107" i="39"/>
  <c r="H108" i="39"/>
  <c r="H109" i="39"/>
  <c r="H110" i="39"/>
  <c r="H111" i="39"/>
  <c r="H112" i="39"/>
  <c r="H113" i="39"/>
  <c r="H114" i="39"/>
  <c r="H115" i="39"/>
  <c r="H116" i="39"/>
  <c r="H117" i="39"/>
  <c r="H118" i="39"/>
  <c r="H119" i="39"/>
  <c r="H120" i="39"/>
  <c r="H121" i="39"/>
  <c r="H122" i="39"/>
  <c r="H123" i="39"/>
  <c r="H124" i="39"/>
  <c r="H125" i="39"/>
  <c r="H126" i="39"/>
  <c r="H127" i="39"/>
  <c r="H128" i="39"/>
  <c r="H129" i="39"/>
  <c r="H130" i="39"/>
  <c r="H131" i="39"/>
  <c r="H132" i="39"/>
  <c r="H133" i="39"/>
  <c r="H134" i="39"/>
  <c r="H135" i="39"/>
  <c r="H136" i="39"/>
  <c r="H137" i="39"/>
  <c r="H138" i="39"/>
  <c r="H139" i="39"/>
  <c r="H140" i="39"/>
  <c r="H141" i="39"/>
  <c r="H142" i="39"/>
  <c r="H143" i="39"/>
  <c r="H144" i="39"/>
  <c r="H145" i="39"/>
  <c r="H146" i="39"/>
  <c r="H147" i="39"/>
  <c r="H148" i="39"/>
  <c r="H149" i="39"/>
  <c r="H150" i="39"/>
  <c r="H151" i="39"/>
  <c r="H152" i="39"/>
  <c r="H153" i="39"/>
  <c r="H154" i="39"/>
  <c r="H155" i="39"/>
  <c r="H156" i="39"/>
  <c r="H157" i="39"/>
  <c r="H158" i="39"/>
  <c r="H159" i="39"/>
  <c r="H160" i="39"/>
  <c r="H161" i="39"/>
  <c r="H162" i="39"/>
  <c r="H163" i="39"/>
  <c r="H164" i="39"/>
  <c r="H165" i="39"/>
  <c r="H166" i="39"/>
  <c r="H167" i="39"/>
  <c r="H168" i="39"/>
  <c r="H169" i="39"/>
  <c r="H170" i="39"/>
  <c r="H171" i="39"/>
  <c r="H172" i="39"/>
  <c r="H173" i="39"/>
  <c r="H174" i="39"/>
  <c r="H175" i="39"/>
  <c r="H176" i="39"/>
  <c r="H177" i="39"/>
  <c r="H178" i="39"/>
  <c r="H179" i="39"/>
  <c r="H180" i="39"/>
  <c r="H181" i="39"/>
  <c r="H182" i="39"/>
  <c r="H183" i="39"/>
  <c r="H184" i="39"/>
  <c r="H185" i="39"/>
  <c r="H186" i="39"/>
  <c r="H187" i="39"/>
  <c r="H188" i="39"/>
  <c r="H189" i="39"/>
  <c r="H190" i="39"/>
  <c r="H191" i="39"/>
  <c r="H192" i="39"/>
  <c r="H193" i="39"/>
  <c r="H194" i="39"/>
  <c r="H195" i="39"/>
  <c r="H196" i="39"/>
  <c r="H197" i="39"/>
  <c r="H198" i="39"/>
  <c r="H199" i="39"/>
  <c r="H200" i="39"/>
  <c r="H201" i="39"/>
  <c r="H202" i="39"/>
  <c r="H203" i="39"/>
  <c r="H204" i="39"/>
  <c r="H205" i="39"/>
  <c r="H206" i="39"/>
  <c r="H207" i="39"/>
  <c r="H208" i="39"/>
  <c r="H209" i="39"/>
  <c r="H210" i="39"/>
  <c r="H211" i="39"/>
  <c r="H212" i="39"/>
  <c r="H213" i="39"/>
  <c r="H214" i="39"/>
  <c r="H215" i="39"/>
  <c r="H216" i="39"/>
  <c r="H217" i="39"/>
  <c r="H218" i="39"/>
  <c r="H219" i="39"/>
  <c r="H220" i="39"/>
  <c r="H221" i="39"/>
  <c r="H222" i="39"/>
  <c r="H223" i="39"/>
  <c r="H224" i="39"/>
  <c r="H225" i="39"/>
  <c r="H226" i="39"/>
  <c r="H227" i="39"/>
  <c r="H228" i="39"/>
  <c r="H229" i="39"/>
  <c r="H230" i="39"/>
  <c r="H231" i="39"/>
  <c r="H232" i="39"/>
  <c r="H233" i="39"/>
  <c r="H234" i="39"/>
  <c r="H235" i="39"/>
  <c r="H236" i="39"/>
  <c r="H237" i="39"/>
  <c r="H238" i="39"/>
  <c r="H239" i="39"/>
  <c r="H240" i="39"/>
  <c r="H241" i="39"/>
  <c r="H242" i="39"/>
  <c r="H243" i="39"/>
  <c r="H244" i="39"/>
  <c r="H245" i="39"/>
  <c r="H246" i="39"/>
  <c r="H247" i="39"/>
  <c r="H248" i="39"/>
  <c r="H249" i="39"/>
  <c r="H250" i="39"/>
  <c r="H251" i="39"/>
  <c r="H252" i="39"/>
  <c r="H253" i="39"/>
  <c r="H254" i="39"/>
  <c r="H255" i="39"/>
  <c r="H256" i="39"/>
  <c r="H257" i="39"/>
  <c r="H258" i="39"/>
  <c r="H259" i="39"/>
  <c r="H260" i="39"/>
  <c r="H261" i="39"/>
  <c r="H262" i="39"/>
  <c r="H263" i="39"/>
  <c r="H264" i="39"/>
  <c r="H265" i="39"/>
  <c r="H266" i="39"/>
  <c r="H267" i="39"/>
  <c r="H268" i="39"/>
  <c r="H269" i="39"/>
  <c r="H270" i="39"/>
  <c r="H271" i="39"/>
  <c r="H272" i="39"/>
  <c r="H273" i="39"/>
  <c r="H274" i="39"/>
  <c r="H275" i="39"/>
  <c r="H276" i="39"/>
  <c r="H277" i="39"/>
  <c r="H278" i="39"/>
  <c r="H279" i="39"/>
  <c r="H280" i="39"/>
  <c r="H281" i="39"/>
  <c r="H282" i="39"/>
  <c r="H283" i="39"/>
  <c r="H284" i="39"/>
  <c r="H285" i="39"/>
  <c r="H286" i="39"/>
  <c r="H287" i="39"/>
  <c r="H288" i="39"/>
  <c r="H289" i="39"/>
  <c r="H290" i="39"/>
  <c r="H291" i="39"/>
  <c r="H292" i="39"/>
  <c r="H293" i="39"/>
  <c r="H294" i="39"/>
  <c r="H295" i="39"/>
  <c r="H296" i="39"/>
  <c r="H297" i="39"/>
  <c r="H298" i="39"/>
  <c r="H299" i="39"/>
  <c r="H300" i="39"/>
  <c r="H301" i="39"/>
  <c r="H302" i="39"/>
  <c r="H303" i="39"/>
  <c r="H304" i="39"/>
  <c r="H305" i="39"/>
  <c r="H306" i="39"/>
  <c r="H307" i="39"/>
  <c r="H308" i="39"/>
  <c r="H309" i="39"/>
  <c r="H310" i="39"/>
  <c r="H311" i="39"/>
  <c r="H312" i="39"/>
  <c r="H14" i="39"/>
  <c r="M15" i="39"/>
  <c r="M16" i="39"/>
  <c r="B9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472" i="39"/>
  <c r="A473" i="39"/>
  <c r="A474" i="39"/>
  <c r="A475" i="39"/>
  <c r="A476" i="39"/>
  <c r="A477" i="39"/>
  <c r="A478" i="39"/>
  <c r="A479" i="39"/>
  <c r="A480" i="39"/>
  <c r="A481" i="39"/>
  <c r="A482" i="39"/>
  <c r="A483" i="39"/>
  <c r="A484" i="39"/>
  <c r="A485" i="39"/>
  <c r="A486" i="39"/>
  <c r="A487" i="39"/>
  <c r="A488" i="39"/>
  <c r="A489" i="39"/>
  <c r="A490" i="39"/>
  <c r="A491" i="39"/>
  <c r="A492" i="39"/>
  <c r="A493" i="39"/>
  <c r="A494" i="39"/>
  <c r="A495" i="39"/>
  <c r="A496" i="39"/>
  <c r="A497" i="39"/>
  <c r="A498" i="39"/>
  <c r="A499" i="39"/>
  <c r="A500" i="39"/>
  <c r="A501" i="39"/>
  <c r="A502" i="39"/>
  <c r="A503" i="39"/>
  <c r="A504" i="39"/>
  <c r="A505" i="39"/>
  <c r="A506" i="39"/>
  <c r="A507" i="39"/>
  <c r="A508" i="39"/>
  <c r="A509" i="39"/>
  <c r="A510" i="39"/>
  <c r="A511" i="39"/>
  <c r="A512" i="39"/>
  <c r="A513" i="39"/>
  <c r="A514" i="39"/>
  <c r="A515" i="39"/>
  <c r="A516" i="39"/>
  <c r="A517" i="39"/>
  <c r="A518" i="39"/>
  <c r="A519" i="39"/>
  <c r="A520" i="39"/>
  <c r="A521" i="39"/>
  <c r="A522" i="39"/>
  <c r="A523" i="39"/>
  <c r="A524" i="39"/>
  <c r="A525" i="39"/>
  <c r="A526" i="39"/>
  <c r="A527" i="39"/>
  <c r="A528" i="39"/>
  <c r="A529" i="39"/>
  <c r="A530" i="39"/>
  <c r="A531" i="39"/>
  <c r="A532" i="39"/>
  <c r="A533" i="39"/>
  <c r="A534" i="39"/>
  <c r="A535" i="39"/>
  <c r="A536" i="39"/>
  <c r="A537" i="39"/>
  <c r="A538" i="39"/>
  <c r="A539" i="39"/>
  <c r="A540" i="39"/>
  <c r="A541" i="39"/>
  <c r="A542" i="39"/>
  <c r="A543" i="39"/>
  <c r="A544" i="39"/>
  <c r="A545" i="39"/>
  <c r="A546" i="39"/>
  <c r="A547" i="39"/>
  <c r="A548" i="39"/>
  <c r="A549" i="39"/>
  <c r="A550" i="39"/>
  <c r="A551" i="39"/>
  <c r="A552" i="39"/>
  <c r="A553" i="39"/>
  <c r="A554" i="39"/>
  <c r="A555" i="39"/>
  <c r="A556" i="39"/>
  <c r="A557" i="39"/>
  <c r="A558" i="39"/>
  <c r="A559" i="39"/>
  <c r="A560" i="39"/>
  <c r="A561" i="39"/>
  <c r="A562" i="39"/>
  <c r="A563" i="39"/>
  <c r="A564" i="39"/>
  <c r="A565" i="39"/>
  <c r="A566" i="39"/>
  <c r="A567" i="39"/>
  <c r="A568" i="39"/>
  <c r="A569" i="39"/>
  <c r="A570" i="39"/>
  <c r="A571" i="39"/>
  <c r="A572" i="39"/>
  <c r="A573" i="39"/>
  <c r="A574" i="39"/>
  <c r="A575" i="39"/>
  <c r="A576" i="39"/>
  <c r="A577" i="39"/>
  <c r="A578" i="39"/>
  <c r="A579" i="39"/>
  <c r="A580" i="39"/>
  <c r="A581" i="39"/>
  <c r="A582" i="39"/>
  <c r="A583" i="39"/>
  <c r="A584" i="39"/>
  <c r="A585" i="39"/>
  <c r="A586" i="39"/>
  <c r="A587" i="39"/>
  <c r="A588" i="39"/>
  <c r="A589" i="39"/>
  <c r="A590" i="39"/>
  <c r="A591" i="39"/>
  <c r="A592" i="39"/>
  <c r="A593" i="39"/>
  <c r="A594" i="39"/>
  <c r="A595" i="39"/>
  <c r="A596" i="39"/>
  <c r="A597" i="39"/>
  <c r="A598" i="39"/>
  <c r="A599" i="39"/>
  <c r="A600" i="39"/>
  <c r="A601" i="39"/>
  <c r="A602" i="39"/>
  <c r="A603" i="39"/>
  <c r="A604" i="39"/>
  <c r="A605" i="39"/>
  <c r="A606" i="39"/>
  <c r="A607" i="39"/>
  <c r="A608" i="39"/>
  <c r="A609" i="39"/>
  <c r="A610" i="39"/>
  <c r="A611" i="39"/>
  <c r="A612" i="39"/>
  <c r="A613" i="39"/>
  <c r="A614" i="39"/>
  <c r="A615" i="39"/>
  <c r="A616" i="39"/>
  <c r="A617" i="39"/>
  <c r="A618" i="39"/>
  <c r="A619" i="39"/>
  <c r="A620" i="39"/>
  <c r="A621" i="39"/>
  <c r="A622" i="39"/>
  <c r="A623" i="39"/>
  <c r="A624" i="39"/>
  <c r="A625" i="39"/>
  <c r="A626" i="39"/>
  <c r="A627" i="39"/>
  <c r="A628" i="39"/>
  <c r="A629" i="39"/>
  <c r="A630" i="39"/>
  <c r="A631" i="39"/>
  <c r="A632" i="39"/>
  <c r="A633" i="39"/>
  <c r="A634" i="39"/>
  <c r="A635" i="39"/>
  <c r="A636" i="39"/>
  <c r="A637" i="39"/>
  <c r="A638" i="39"/>
  <c r="A639" i="39"/>
  <c r="A640" i="39"/>
  <c r="A641" i="39"/>
  <c r="A642" i="39"/>
  <c r="A643" i="39"/>
  <c r="A644" i="39"/>
  <c r="A645" i="39"/>
  <c r="A646" i="39"/>
  <c r="A647" i="39"/>
  <c r="A648" i="39"/>
  <c r="A649" i="39"/>
  <c r="A650" i="39"/>
  <c r="A651" i="39"/>
  <c r="A652" i="39"/>
  <c r="A653" i="39"/>
  <c r="A654" i="39"/>
  <c r="A655" i="39"/>
  <c r="A656" i="39"/>
  <c r="A657" i="39"/>
  <c r="A658" i="39"/>
  <c r="A659" i="39"/>
  <c r="A660" i="39"/>
  <c r="A661" i="39"/>
  <c r="A662" i="39"/>
  <c r="A663" i="39"/>
  <c r="A664" i="39"/>
  <c r="A665" i="39"/>
  <c r="A666" i="39"/>
  <c r="A667" i="39"/>
  <c r="A668" i="39"/>
  <c r="A669" i="39"/>
  <c r="A670" i="39"/>
  <c r="A671" i="39"/>
  <c r="A672" i="39"/>
  <c r="A673" i="39"/>
  <c r="A674" i="39"/>
  <c r="A675" i="39"/>
  <c r="A676" i="39"/>
  <c r="A677" i="39"/>
  <c r="A678" i="39"/>
  <c r="A679" i="39"/>
  <c r="A680" i="39"/>
  <c r="A681" i="39"/>
  <c r="A682" i="39"/>
  <c r="A683" i="39"/>
  <c r="A684" i="39"/>
  <c r="A685" i="39"/>
  <c r="A686" i="39"/>
  <c r="A687" i="39"/>
  <c r="A688" i="39"/>
  <c r="A689" i="39"/>
  <c r="A690" i="39"/>
  <c r="A691" i="39"/>
  <c r="A692" i="39"/>
  <c r="A693" i="39"/>
  <c r="A694" i="39"/>
  <c r="A695" i="39"/>
  <c r="A696" i="39"/>
  <c r="A697" i="39"/>
  <c r="A698" i="39"/>
  <c r="A699" i="39"/>
  <c r="A700" i="39"/>
  <c r="A701" i="39"/>
  <c r="A702" i="39"/>
  <c r="A703" i="39"/>
  <c r="A704" i="39"/>
  <c r="A705" i="39"/>
  <c r="A706" i="39"/>
  <c r="A707" i="39"/>
  <c r="A708" i="39"/>
  <c r="A709" i="39"/>
  <c r="A710" i="39"/>
  <c r="A711" i="39"/>
  <c r="A712" i="39"/>
  <c r="A713" i="39"/>
  <c r="A714" i="39"/>
  <c r="A715" i="39"/>
  <c r="A716" i="39"/>
  <c r="A717" i="39"/>
  <c r="A718" i="39"/>
  <c r="A719" i="39"/>
  <c r="A720" i="39"/>
  <c r="A721" i="39"/>
  <c r="A722" i="39"/>
  <c r="A723" i="39"/>
  <c r="A724" i="39"/>
  <c r="A725" i="39"/>
  <c r="A726" i="39"/>
  <c r="A727" i="39"/>
  <c r="A728" i="39"/>
  <c r="A729" i="39"/>
  <c r="A730" i="39"/>
  <c r="A731" i="39"/>
  <c r="A732" i="39"/>
  <c r="A733" i="39"/>
  <c r="A734" i="39"/>
  <c r="A735" i="39"/>
  <c r="A736" i="39"/>
  <c r="A737" i="39"/>
  <c r="A738" i="39"/>
  <c r="A739" i="39"/>
  <c r="A740" i="39"/>
  <c r="A741" i="39"/>
  <c r="A742" i="39"/>
  <c r="A743" i="39"/>
  <c r="A744" i="39"/>
  <c r="A745" i="39"/>
  <c r="A746" i="39"/>
  <c r="A747" i="39"/>
  <c r="A748" i="39"/>
  <c r="A749" i="39"/>
  <c r="A750" i="39"/>
  <c r="A751" i="39"/>
  <c r="A752" i="39"/>
  <c r="A753" i="39"/>
  <c r="A754" i="39"/>
  <c r="A755" i="39"/>
  <c r="A756" i="39"/>
  <c r="A757" i="39"/>
  <c r="A758" i="39"/>
  <c r="A759" i="39"/>
  <c r="A760" i="39"/>
  <c r="A761" i="39"/>
  <c r="A762" i="39"/>
  <c r="A763" i="39"/>
  <c r="A764" i="39"/>
  <c r="A765" i="39"/>
  <c r="A766" i="39"/>
  <c r="A767" i="39"/>
  <c r="A768" i="39"/>
  <c r="A769" i="39"/>
  <c r="A770" i="39"/>
  <c r="A771" i="39"/>
  <c r="A772" i="39"/>
  <c r="A773" i="39"/>
  <c r="A774" i="39"/>
  <c r="A775" i="39"/>
  <c r="A776" i="39"/>
  <c r="A777" i="39"/>
  <c r="A778" i="39"/>
  <c r="A779" i="39"/>
  <c r="A780" i="39"/>
  <c r="A781" i="39"/>
  <c r="A782" i="39"/>
  <c r="A783" i="39"/>
  <c r="A784" i="39"/>
  <c r="A785" i="39"/>
  <c r="A786" i="39"/>
  <c r="A787" i="39"/>
  <c r="A788" i="39"/>
  <c r="A789" i="39"/>
  <c r="A790" i="39"/>
  <c r="A791" i="39"/>
  <c r="A792" i="39"/>
  <c r="A793" i="39"/>
  <c r="A794" i="39"/>
  <c r="A795" i="39"/>
  <c r="A796" i="39"/>
  <c r="A797" i="39"/>
  <c r="A798" i="39"/>
  <c r="A799" i="39"/>
  <c r="A800" i="39"/>
  <c r="A801" i="39"/>
  <c r="A802" i="39"/>
  <c r="A803" i="39"/>
  <c r="A804" i="39"/>
  <c r="A805" i="39"/>
  <c r="A806" i="39"/>
  <c r="A807" i="39"/>
  <c r="A808" i="39"/>
  <c r="A809" i="39"/>
  <c r="A810" i="39"/>
  <c r="A811" i="39"/>
  <c r="A812" i="39"/>
  <c r="A813" i="39"/>
  <c r="A814" i="39"/>
  <c r="A815" i="39"/>
  <c r="A816" i="39"/>
  <c r="A817" i="39"/>
  <c r="A818" i="39"/>
  <c r="A819" i="39"/>
  <c r="A820" i="39"/>
  <c r="A821" i="39"/>
  <c r="A822" i="39"/>
  <c r="A823" i="39"/>
  <c r="A824" i="39"/>
  <c r="A825" i="39"/>
  <c r="A826" i="39"/>
  <c r="A827" i="39"/>
  <c r="A828" i="39"/>
  <c r="A829" i="39"/>
  <c r="A830" i="39"/>
  <c r="A831" i="39"/>
  <c r="A832" i="39"/>
  <c r="A833" i="39"/>
  <c r="A834" i="39"/>
  <c r="A835" i="39"/>
  <c r="A836" i="39"/>
  <c r="A837" i="39"/>
  <c r="A838" i="39"/>
  <c r="A839" i="39"/>
  <c r="A840" i="39"/>
  <c r="A841" i="39"/>
  <c r="A842" i="39"/>
  <c r="A843" i="39"/>
  <c r="A844" i="39"/>
  <c r="A845" i="39"/>
  <c r="A846" i="39"/>
  <c r="A847" i="39"/>
  <c r="A848" i="39"/>
  <c r="A849" i="39"/>
  <c r="A850" i="39"/>
  <c r="A851" i="39"/>
  <c r="A852" i="39"/>
  <c r="A853" i="39"/>
  <c r="A854" i="39"/>
  <c r="A855" i="39"/>
  <c r="A856" i="39"/>
  <c r="A857" i="39"/>
  <c r="A858" i="39"/>
  <c r="A859" i="39"/>
  <c r="A860" i="39"/>
  <c r="A861" i="39"/>
  <c r="A862" i="39"/>
  <c r="A863" i="39"/>
  <c r="A864" i="39"/>
  <c r="A865" i="39"/>
  <c r="A866" i="39"/>
  <c r="A867" i="39"/>
  <c r="A868" i="39"/>
  <c r="A869" i="39"/>
  <c r="A870" i="39"/>
  <c r="A871" i="39"/>
  <c r="A872" i="39"/>
  <c r="A873" i="39"/>
  <c r="A874" i="39"/>
  <c r="A875" i="39"/>
  <c r="A876" i="39"/>
  <c r="A877" i="39"/>
  <c r="A878" i="39"/>
  <c r="A879" i="39"/>
  <c r="A880" i="39"/>
  <c r="A881" i="39"/>
  <c r="A882" i="39"/>
  <c r="A883" i="39"/>
  <c r="A884" i="39"/>
  <c r="A885" i="39"/>
  <c r="A886" i="39"/>
  <c r="A887" i="39"/>
  <c r="A888" i="39"/>
  <c r="A889" i="39"/>
  <c r="A890" i="39"/>
  <c r="A891" i="39"/>
  <c r="A892" i="39"/>
  <c r="A893" i="39"/>
  <c r="A894" i="39"/>
  <c r="A895" i="39"/>
  <c r="A896" i="39"/>
  <c r="A897" i="39"/>
  <c r="A898" i="39"/>
  <c r="A899" i="39"/>
  <c r="A900" i="39"/>
  <c r="A901" i="39"/>
  <c r="A902" i="39"/>
  <c r="A903" i="39"/>
  <c r="A904" i="39"/>
  <c r="A905" i="39"/>
  <c r="A906" i="39"/>
  <c r="A907" i="39"/>
  <c r="A908" i="39"/>
  <c r="A909" i="39"/>
  <c r="A910" i="39"/>
  <c r="A911" i="39"/>
  <c r="A912" i="39"/>
  <c r="A913" i="39"/>
  <c r="A914" i="39"/>
  <c r="A915" i="39"/>
  <c r="A916" i="39"/>
  <c r="A917" i="39"/>
  <c r="A918" i="39"/>
  <c r="A919" i="39"/>
  <c r="A920" i="39"/>
  <c r="A921" i="39"/>
  <c r="A922" i="39"/>
  <c r="A923" i="39"/>
  <c r="A924" i="39"/>
  <c r="A925" i="39"/>
  <c r="A926" i="39"/>
  <c r="A927" i="39"/>
  <c r="A928" i="39"/>
  <c r="A929" i="39"/>
  <c r="A930" i="39"/>
  <c r="A931" i="39"/>
  <c r="A932" i="39"/>
  <c r="A933" i="39"/>
  <c r="A934" i="39"/>
  <c r="A935" i="39"/>
  <c r="A936" i="39"/>
  <c r="A937" i="39"/>
  <c r="A938" i="39"/>
  <c r="A939" i="39"/>
  <c r="A940" i="39"/>
  <c r="A941" i="39"/>
  <c r="A942" i="39"/>
  <c r="A943" i="39"/>
  <c r="A944" i="39"/>
  <c r="A945" i="39"/>
  <c r="A946" i="39"/>
  <c r="A947" i="39"/>
  <c r="A948" i="39"/>
  <c r="A949" i="39"/>
  <c r="A950" i="39"/>
  <c r="A951" i="39"/>
  <c r="A952" i="39"/>
  <c r="A953" i="39"/>
  <c r="A954" i="39"/>
  <c r="A955" i="39"/>
  <c r="A956" i="39"/>
  <c r="A957" i="39"/>
  <c r="A958" i="39"/>
  <c r="A959" i="39"/>
  <c r="A960" i="39"/>
  <c r="A961" i="39"/>
  <c r="A962" i="39"/>
  <c r="A963" i="39"/>
  <c r="A964" i="39"/>
  <c r="A965" i="39"/>
  <c r="A966" i="39"/>
  <c r="A967" i="39"/>
  <c r="A968" i="39"/>
  <c r="A969" i="39"/>
  <c r="A970" i="39"/>
  <c r="A971" i="39"/>
  <c r="A972" i="39"/>
  <c r="A973" i="39"/>
  <c r="A974" i="39"/>
  <c r="A975" i="39"/>
  <c r="A976" i="39"/>
  <c r="A977" i="39"/>
  <c r="A978" i="39"/>
  <c r="A979" i="39"/>
  <c r="A980" i="39"/>
  <c r="A981" i="39"/>
  <c r="A982" i="39"/>
  <c r="A983" i="39"/>
  <c r="A984" i="39"/>
  <c r="A985" i="39"/>
  <c r="A986" i="39"/>
  <c r="A987" i="39"/>
  <c r="A988" i="39"/>
  <c r="A989" i="39"/>
  <c r="A990" i="39"/>
  <c r="A991" i="39"/>
  <c r="A992" i="39"/>
  <c r="A993" i="39"/>
  <c r="A994" i="39"/>
  <c r="A995" i="39"/>
  <c r="A996" i="39"/>
  <c r="A997" i="39"/>
  <c r="A998" i="39"/>
  <c r="A999" i="39"/>
  <c r="A1000" i="39"/>
  <c r="A1001" i="39"/>
  <c r="A1002" i="39"/>
  <c r="A1003" i="39"/>
  <c r="A1004" i="39"/>
  <c r="A1005" i="39"/>
  <c r="A1006" i="39"/>
  <c r="A1007" i="39"/>
  <c r="A1008" i="39"/>
  <c r="A1009" i="39"/>
  <c r="A1010" i="39"/>
  <c r="A1011" i="39"/>
  <c r="A1012" i="39"/>
  <c r="A1013" i="39"/>
  <c r="A1014" i="39"/>
  <c r="A1015" i="39"/>
  <c r="A1016" i="39"/>
  <c r="A1017" i="39"/>
  <c r="A1018" i="39"/>
  <c r="A1019" i="39"/>
  <c r="A1020" i="39"/>
  <c r="A1021" i="39"/>
  <c r="A1022" i="39"/>
  <c r="A1023" i="39"/>
  <c r="A1024" i="39"/>
  <c r="A1025" i="39"/>
  <c r="A1026" i="39"/>
  <c r="A1027" i="39"/>
  <c r="A1028" i="39"/>
  <c r="A1029" i="39"/>
  <c r="A1030" i="39"/>
  <c r="A1031" i="39"/>
  <c r="A1032" i="39"/>
  <c r="A1033" i="39"/>
  <c r="A1034" i="39"/>
  <c r="A1035" i="39"/>
  <c r="A1036" i="39"/>
  <c r="A1037" i="39"/>
  <c r="A1038" i="39"/>
  <c r="A1039" i="39"/>
  <c r="A1040" i="39"/>
  <c r="A1041" i="39"/>
  <c r="A1042" i="39"/>
  <c r="A1043" i="39"/>
  <c r="A1044" i="39"/>
  <c r="A1045" i="39"/>
  <c r="A1046" i="39"/>
  <c r="A1047" i="39"/>
  <c r="A1048" i="39"/>
  <c r="A1049" i="39"/>
  <c r="A1050" i="39"/>
  <c r="A1051" i="39"/>
  <c r="A1052" i="39"/>
  <c r="A1053" i="39"/>
  <c r="A1054" i="39"/>
  <c r="A1055" i="39"/>
  <c r="A1056" i="39"/>
  <c r="A1057" i="39"/>
  <c r="A1058" i="39"/>
  <c r="A1059" i="39"/>
  <c r="A1060" i="39"/>
  <c r="A1061" i="39"/>
  <c r="A1062" i="39"/>
  <c r="A1063" i="39"/>
  <c r="A1064" i="39"/>
  <c r="A1065" i="39"/>
  <c r="A1066" i="39"/>
  <c r="A1067" i="39"/>
  <c r="A1068" i="39"/>
  <c r="A1069" i="39"/>
  <c r="A1070" i="39"/>
  <c r="A1071" i="39"/>
  <c r="A1072" i="39"/>
  <c r="A1073" i="39"/>
  <c r="A1074" i="39"/>
  <c r="A1075" i="39"/>
  <c r="A1076" i="39"/>
  <c r="A1077" i="39"/>
  <c r="A1078" i="39"/>
  <c r="A1079" i="39"/>
  <c r="A1080" i="39"/>
  <c r="A1081" i="39"/>
  <c r="A1082" i="39"/>
  <c r="A1083" i="39"/>
  <c r="A1084" i="39"/>
  <c r="A1085" i="39"/>
  <c r="A1086" i="39"/>
  <c r="A1087" i="39"/>
  <c r="A1088" i="39"/>
  <c r="A1089" i="39"/>
  <c r="A1090" i="39"/>
  <c r="A1091" i="39"/>
  <c r="A1092" i="39"/>
  <c r="A1093" i="39"/>
  <c r="A1094" i="39"/>
  <c r="A1095" i="39"/>
  <c r="A1096" i="39"/>
  <c r="A1097" i="39"/>
  <c r="A1098" i="39"/>
  <c r="A1099" i="39"/>
  <c r="A1100" i="39"/>
  <c r="A1101" i="39"/>
  <c r="A1102" i="39"/>
  <c r="A1103" i="39"/>
  <c r="A1104" i="39"/>
  <c r="A1105" i="39"/>
  <c r="A1106" i="39"/>
  <c r="A1107" i="39"/>
  <c r="A1108" i="39"/>
  <c r="A1109" i="39"/>
  <c r="A1110" i="39"/>
  <c r="A1111" i="39"/>
  <c r="A1112" i="39"/>
  <c r="A1113" i="39"/>
  <c r="A1114" i="39"/>
  <c r="A1115" i="39"/>
  <c r="A1116" i="39"/>
  <c r="A1117" i="39"/>
  <c r="A1118" i="39"/>
  <c r="A1119" i="39"/>
  <c r="A1120" i="39"/>
  <c r="A1121" i="39"/>
  <c r="A1122" i="39"/>
  <c r="A1123" i="39"/>
  <c r="A1124" i="39"/>
  <c r="A1125" i="39"/>
  <c r="A1126" i="39"/>
  <c r="A1127" i="39"/>
  <c r="A1128" i="39"/>
  <c r="A1129" i="39"/>
  <c r="A1130" i="39"/>
  <c r="A1131" i="39"/>
  <c r="A1132" i="39"/>
  <c r="A1133" i="39"/>
  <c r="A1134" i="39"/>
  <c r="A1135" i="39"/>
  <c r="A1136" i="39"/>
  <c r="A1137" i="39"/>
  <c r="A1138" i="39"/>
  <c r="A1139" i="39"/>
  <c r="A1140" i="39"/>
  <c r="A1141" i="39"/>
  <c r="A1142" i="39"/>
  <c r="A1143" i="39"/>
  <c r="A1144" i="39"/>
  <c r="A1145" i="39"/>
  <c r="A1146" i="39"/>
  <c r="A1147" i="39"/>
  <c r="A1148" i="39"/>
  <c r="A1149" i="39"/>
  <c r="A1150" i="39"/>
  <c r="A1151" i="39"/>
  <c r="A1152" i="39"/>
  <c r="A1153" i="39"/>
  <c r="A1154" i="39"/>
  <c r="A1155" i="39"/>
  <c r="A1156" i="39"/>
  <c r="A1157" i="39"/>
  <c r="A1158" i="39"/>
  <c r="A1159" i="39"/>
  <c r="A1160" i="39"/>
  <c r="A1161" i="39"/>
  <c r="A1162" i="39"/>
  <c r="A1163" i="39"/>
  <c r="A1164" i="39"/>
  <c r="A1165" i="39"/>
  <c r="A1166" i="39"/>
  <c r="A1167" i="39"/>
  <c r="A1168" i="39"/>
  <c r="A1169" i="39"/>
  <c r="A1170" i="39"/>
  <c r="A1171" i="39"/>
  <c r="A1172" i="39"/>
  <c r="A1173" i="39"/>
  <c r="A1174" i="39"/>
  <c r="A1175" i="39"/>
  <c r="A1176" i="39"/>
  <c r="A1177" i="39"/>
  <c r="A1178" i="39"/>
  <c r="A1179" i="39"/>
  <c r="A1180" i="39"/>
  <c r="A1181" i="39"/>
  <c r="A1182" i="39"/>
  <c r="A1183" i="39"/>
  <c r="A1184" i="39"/>
  <c r="A1185" i="39"/>
  <c r="A1186" i="39"/>
  <c r="A1187" i="39"/>
  <c r="A1188" i="39"/>
  <c r="A1189" i="39"/>
  <c r="A1190" i="39"/>
  <c r="A1191" i="39"/>
  <c r="A1192" i="39"/>
  <c r="A1193" i="39"/>
  <c r="A1194" i="39"/>
  <c r="A1195" i="39"/>
  <c r="A1196" i="39"/>
  <c r="A1197" i="39"/>
  <c r="A1198" i="39"/>
  <c r="A1199" i="39"/>
  <c r="A1200" i="39"/>
  <c r="A1201" i="39"/>
  <c r="A1202" i="39"/>
  <c r="A1203" i="39"/>
  <c r="A1204" i="39"/>
  <c r="A1205" i="39"/>
  <c r="A1206" i="39"/>
  <c r="A1207" i="39"/>
  <c r="A1208" i="39"/>
  <c r="A1209" i="39"/>
  <c r="A1210" i="39"/>
  <c r="A1211" i="39"/>
  <c r="A1212" i="39"/>
  <c r="A1213" i="39"/>
  <c r="A1214" i="39"/>
  <c r="B10" i="39"/>
  <c r="B1214" i="39"/>
  <c r="B11" i="39"/>
  <c r="C1214" i="39"/>
  <c r="D1214" i="39"/>
  <c r="E1214" i="39"/>
  <c r="F1214" i="39"/>
  <c r="I1214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96" i="39"/>
  <c r="G97" i="39"/>
  <c r="G98" i="39"/>
  <c r="G99" i="39"/>
  <c r="G100" i="39"/>
  <c r="G101" i="39"/>
  <c r="G102" i="39"/>
  <c r="G103" i="39"/>
  <c r="G104" i="39"/>
  <c r="G105" i="39"/>
  <c r="G106" i="39"/>
  <c r="G107" i="39"/>
  <c r="G108" i="39"/>
  <c r="G109" i="39"/>
  <c r="G110" i="39"/>
  <c r="G111" i="39"/>
  <c r="G112" i="39"/>
  <c r="G113" i="39"/>
  <c r="G114" i="39"/>
  <c r="G115" i="39"/>
  <c r="G116" i="39"/>
  <c r="G117" i="39"/>
  <c r="G118" i="39"/>
  <c r="G119" i="39"/>
  <c r="G120" i="39"/>
  <c r="G121" i="39"/>
  <c r="G122" i="39"/>
  <c r="G123" i="39"/>
  <c r="G124" i="39"/>
  <c r="G125" i="39"/>
  <c r="G126" i="39"/>
  <c r="G127" i="39"/>
  <c r="G128" i="39"/>
  <c r="G129" i="39"/>
  <c r="G130" i="39"/>
  <c r="G131" i="39"/>
  <c r="G132" i="39"/>
  <c r="G133" i="39"/>
  <c r="G134" i="39"/>
  <c r="G135" i="39"/>
  <c r="G136" i="39"/>
  <c r="G137" i="39"/>
  <c r="G138" i="39"/>
  <c r="G139" i="39"/>
  <c r="G140" i="39"/>
  <c r="G141" i="39"/>
  <c r="G142" i="39"/>
  <c r="G143" i="39"/>
  <c r="G144" i="39"/>
  <c r="G145" i="39"/>
  <c r="G146" i="39"/>
  <c r="G147" i="39"/>
  <c r="G148" i="39"/>
  <c r="G149" i="39"/>
  <c r="G150" i="39"/>
  <c r="G151" i="39"/>
  <c r="G152" i="39"/>
  <c r="G153" i="39"/>
  <c r="G154" i="39"/>
  <c r="G155" i="39"/>
  <c r="G156" i="39"/>
  <c r="G157" i="39"/>
  <c r="G158" i="39"/>
  <c r="G159" i="39"/>
  <c r="G160" i="39"/>
  <c r="G161" i="39"/>
  <c r="G162" i="39"/>
  <c r="G163" i="39"/>
  <c r="G164" i="39"/>
  <c r="G165" i="39"/>
  <c r="G166" i="39"/>
  <c r="G167" i="39"/>
  <c r="G168" i="39"/>
  <c r="G169" i="39"/>
  <c r="G170" i="39"/>
  <c r="G171" i="39"/>
  <c r="G172" i="39"/>
  <c r="G173" i="39"/>
  <c r="G174" i="39"/>
  <c r="G175" i="39"/>
  <c r="G176" i="39"/>
  <c r="G177" i="39"/>
  <c r="G178" i="39"/>
  <c r="G179" i="39"/>
  <c r="G180" i="39"/>
  <c r="G181" i="39"/>
  <c r="G182" i="39"/>
  <c r="G183" i="39"/>
  <c r="G184" i="39"/>
  <c r="G185" i="39"/>
  <c r="G186" i="39"/>
  <c r="G187" i="39"/>
  <c r="G188" i="39"/>
  <c r="G189" i="39"/>
  <c r="G190" i="39"/>
  <c r="G191" i="39"/>
  <c r="G192" i="39"/>
  <c r="G193" i="39"/>
  <c r="G194" i="39"/>
  <c r="G195" i="39"/>
  <c r="G196" i="39"/>
  <c r="G197" i="39"/>
  <c r="G198" i="39"/>
  <c r="G199" i="39"/>
  <c r="G200" i="39"/>
  <c r="G201" i="39"/>
  <c r="G202" i="39"/>
  <c r="G203" i="39"/>
  <c r="G204" i="39"/>
  <c r="G205" i="39"/>
  <c r="G206" i="39"/>
  <c r="G207" i="39"/>
  <c r="G208" i="39"/>
  <c r="G209" i="39"/>
  <c r="G210" i="39"/>
  <c r="G211" i="39"/>
  <c r="G212" i="39"/>
  <c r="G213" i="39"/>
  <c r="G214" i="39"/>
  <c r="G215" i="39"/>
  <c r="G216" i="39"/>
  <c r="G217" i="39"/>
  <c r="G218" i="39"/>
  <c r="G219" i="39"/>
  <c r="G220" i="39"/>
  <c r="G221" i="39"/>
  <c r="G222" i="39"/>
  <c r="G223" i="39"/>
  <c r="G224" i="39"/>
  <c r="G225" i="39"/>
  <c r="G226" i="39"/>
  <c r="G227" i="39"/>
  <c r="G228" i="39"/>
  <c r="G229" i="39"/>
  <c r="G230" i="39"/>
  <c r="G231" i="39"/>
  <c r="G232" i="39"/>
  <c r="G233" i="39"/>
  <c r="G234" i="39"/>
  <c r="G235" i="39"/>
  <c r="G236" i="39"/>
  <c r="G237" i="39"/>
  <c r="G238" i="39"/>
  <c r="G239" i="39"/>
  <c r="G240" i="39"/>
  <c r="G241" i="39"/>
  <c r="G242" i="39"/>
  <c r="G243" i="39"/>
  <c r="G244" i="39"/>
  <c r="G245" i="39"/>
  <c r="G246" i="39"/>
  <c r="G247" i="39"/>
  <c r="G248" i="39"/>
  <c r="G249" i="39"/>
  <c r="G250" i="39"/>
  <c r="G251" i="39"/>
  <c r="G252" i="39"/>
  <c r="G253" i="39"/>
  <c r="G254" i="39"/>
  <c r="G255" i="39"/>
  <c r="G256" i="39"/>
  <c r="G257" i="39"/>
  <c r="G258" i="39"/>
  <c r="G259" i="39"/>
  <c r="G260" i="39"/>
  <c r="G261" i="39"/>
  <c r="G262" i="39"/>
  <c r="G263" i="39"/>
  <c r="G264" i="39"/>
  <c r="G265" i="39"/>
  <c r="G266" i="39"/>
  <c r="G267" i="39"/>
  <c r="G268" i="39"/>
  <c r="G269" i="39"/>
  <c r="G270" i="39"/>
  <c r="G271" i="39"/>
  <c r="G272" i="39"/>
  <c r="G273" i="39"/>
  <c r="G274" i="39"/>
  <c r="G275" i="39"/>
  <c r="G276" i="39"/>
  <c r="G277" i="39"/>
  <c r="G278" i="39"/>
  <c r="G279" i="39"/>
  <c r="G280" i="39"/>
  <c r="G281" i="39"/>
  <c r="G282" i="39"/>
  <c r="G283" i="39"/>
  <c r="G284" i="39"/>
  <c r="G285" i="39"/>
  <c r="G286" i="39"/>
  <c r="G287" i="39"/>
  <c r="G288" i="39"/>
  <c r="G289" i="39"/>
  <c r="G290" i="39"/>
  <c r="G291" i="39"/>
  <c r="G292" i="39"/>
  <c r="G293" i="39"/>
  <c r="G294" i="39"/>
  <c r="G295" i="39"/>
  <c r="G296" i="39"/>
  <c r="G297" i="39"/>
  <c r="G298" i="39"/>
  <c r="G299" i="39"/>
  <c r="G300" i="39"/>
  <c r="G301" i="39"/>
  <c r="G302" i="39"/>
  <c r="G303" i="39"/>
  <c r="G304" i="39"/>
  <c r="G305" i="39"/>
  <c r="G306" i="39"/>
  <c r="G307" i="39"/>
  <c r="G308" i="39"/>
  <c r="G309" i="39"/>
  <c r="G310" i="39"/>
  <c r="G311" i="39"/>
  <c r="G312" i="39"/>
  <c r="G313" i="39"/>
  <c r="G314" i="39"/>
  <c r="G315" i="39"/>
  <c r="G316" i="39"/>
  <c r="G317" i="39"/>
  <c r="G318" i="39"/>
  <c r="G319" i="39"/>
  <c r="G320" i="39"/>
  <c r="G321" i="39"/>
  <c r="G322" i="39"/>
  <c r="G323" i="39"/>
  <c r="G324" i="39"/>
  <c r="G325" i="39"/>
  <c r="G326" i="39"/>
  <c r="G327" i="39"/>
  <c r="G328" i="39"/>
  <c r="G329" i="39"/>
  <c r="G330" i="39"/>
  <c r="G331" i="39"/>
  <c r="G332" i="39"/>
  <c r="G333" i="39"/>
  <c r="G334" i="39"/>
  <c r="G335" i="39"/>
  <c r="G336" i="39"/>
  <c r="G337" i="39"/>
  <c r="G338" i="39"/>
  <c r="G339" i="39"/>
  <c r="G340" i="39"/>
  <c r="G341" i="39"/>
  <c r="G342" i="39"/>
  <c r="G343" i="39"/>
  <c r="G344" i="39"/>
  <c r="G345" i="39"/>
  <c r="G346" i="39"/>
  <c r="G347" i="39"/>
  <c r="G348" i="39"/>
  <c r="G349" i="39"/>
  <c r="G350" i="39"/>
  <c r="G351" i="39"/>
  <c r="G352" i="39"/>
  <c r="G353" i="39"/>
  <c r="G354" i="39"/>
  <c r="G355" i="39"/>
  <c r="G356" i="39"/>
  <c r="G357" i="39"/>
  <c r="G358" i="39"/>
  <c r="G359" i="39"/>
  <c r="G360" i="39"/>
  <c r="G361" i="39"/>
  <c r="G362" i="39"/>
  <c r="G363" i="39"/>
  <c r="G364" i="39"/>
  <c r="G365" i="39"/>
  <c r="G366" i="39"/>
  <c r="G367" i="39"/>
  <c r="G368" i="39"/>
  <c r="G369" i="39"/>
  <c r="G370" i="39"/>
  <c r="G371" i="39"/>
  <c r="G372" i="39"/>
  <c r="G373" i="39"/>
  <c r="G374" i="39"/>
  <c r="G375" i="39"/>
  <c r="G376" i="39"/>
  <c r="G377" i="39"/>
  <c r="G378" i="39"/>
  <c r="G379" i="39"/>
  <c r="G380" i="39"/>
  <c r="G381" i="39"/>
  <c r="G382" i="39"/>
  <c r="G383" i="39"/>
  <c r="G384" i="39"/>
  <c r="G385" i="39"/>
  <c r="G386" i="39"/>
  <c r="G387" i="39"/>
  <c r="G388" i="39"/>
  <c r="G389" i="39"/>
  <c r="G390" i="39"/>
  <c r="G391" i="39"/>
  <c r="G392" i="39"/>
  <c r="G393" i="39"/>
  <c r="G394" i="39"/>
  <c r="G395" i="39"/>
  <c r="G396" i="39"/>
  <c r="G397" i="39"/>
  <c r="G398" i="39"/>
  <c r="G399" i="39"/>
  <c r="G400" i="39"/>
  <c r="G401" i="39"/>
  <c r="G402" i="39"/>
  <c r="G403" i="39"/>
  <c r="G404" i="39"/>
  <c r="G405" i="39"/>
  <c r="G406" i="39"/>
  <c r="G407" i="39"/>
  <c r="G408" i="39"/>
  <c r="G409" i="39"/>
  <c r="G410" i="39"/>
  <c r="G411" i="39"/>
  <c r="G412" i="39"/>
  <c r="G413" i="39"/>
  <c r="G414" i="39"/>
  <c r="G415" i="39"/>
  <c r="G416" i="39"/>
  <c r="G417" i="39"/>
  <c r="G418" i="39"/>
  <c r="G419" i="39"/>
  <c r="G420" i="39"/>
  <c r="G421" i="39"/>
  <c r="G422" i="39"/>
  <c r="G423" i="39"/>
  <c r="G424" i="39"/>
  <c r="G425" i="39"/>
  <c r="G426" i="39"/>
  <c r="G427" i="39"/>
  <c r="G428" i="39"/>
  <c r="G429" i="39"/>
  <c r="G430" i="39"/>
  <c r="G431" i="39"/>
  <c r="G432" i="39"/>
  <c r="G433" i="39"/>
  <c r="G434" i="39"/>
  <c r="G435" i="39"/>
  <c r="G436" i="39"/>
  <c r="G437" i="39"/>
  <c r="G438" i="39"/>
  <c r="G439" i="39"/>
  <c r="G440" i="39"/>
  <c r="G441" i="39"/>
  <c r="G442" i="39"/>
  <c r="G443" i="39"/>
  <c r="G444" i="39"/>
  <c r="G445" i="39"/>
  <c r="G446" i="39"/>
  <c r="G447" i="39"/>
  <c r="G448" i="39"/>
  <c r="G449" i="39"/>
  <c r="G450" i="39"/>
  <c r="G451" i="39"/>
  <c r="G452" i="39"/>
  <c r="G453" i="39"/>
  <c r="G454" i="39"/>
  <c r="G455" i="39"/>
  <c r="G456" i="39"/>
  <c r="G457" i="39"/>
  <c r="G458" i="39"/>
  <c r="G459" i="39"/>
  <c r="G460" i="39"/>
  <c r="G461" i="39"/>
  <c r="G462" i="39"/>
  <c r="G463" i="39"/>
  <c r="G464" i="39"/>
  <c r="G465" i="39"/>
  <c r="G466" i="39"/>
  <c r="G467" i="39"/>
  <c r="G468" i="39"/>
  <c r="G469" i="39"/>
  <c r="G470" i="39"/>
  <c r="G471" i="39"/>
  <c r="G472" i="39"/>
  <c r="G473" i="39"/>
  <c r="G474" i="39"/>
  <c r="G475" i="39"/>
  <c r="G476" i="39"/>
  <c r="G477" i="39"/>
  <c r="G478" i="39"/>
  <c r="G479" i="39"/>
  <c r="G480" i="39"/>
  <c r="G481" i="39"/>
  <c r="G482" i="39"/>
  <c r="G483" i="39"/>
  <c r="G484" i="39"/>
  <c r="G485" i="39"/>
  <c r="G486" i="39"/>
  <c r="G487" i="39"/>
  <c r="G488" i="39"/>
  <c r="G489" i="39"/>
  <c r="G490" i="39"/>
  <c r="G491" i="39"/>
  <c r="G492" i="39"/>
  <c r="G493" i="39"/>
  <c r="G494" i="39"/>
  <c r="G495" i="39"/>
  <c r="G496" i="39"/>
  <c r="G497" i="39"/>
  <c r="G498" i="39"/>
  <c r="G499" i="39"/>
  <c r="G500" i="39"/>
  <c r="G501" i="39"/>
  <c r="G502" i="39"/>
  <c r="G503" i="39"/>
  <c r="G504" i="39"/>
  <c r="G505" i="39"/>
  <c r="G506" i="39"/>
  <c r="G507" i="39"/>
  <c r="G508" i="39"/>
  <c r="G509" i="39"/>
  <c r="G510" i="39"/>
  <c r="G511" i="39"/>
  <c r="G512" i="39"/>
  <c r="G513" i="39"/>
  <c r="G514" i="39"/>
  <c r="G515" i="39"/>
  <c r="G516" i="39"/>
  <c r="G517" i="39"/>
  <c r="G518" i="39"/>
  <c r="G519" i="39"/>
  <c r="G520" i="39"/>
  <c r="G521" i="39"/>
  <c r="G522" i="39"/>
  <c r="G523" i="39"/>
  <c r="G524" i="39"/>
  <c r="G525" i="39"/>
  <c r="G526" i="39"/>
  <c r="G527" i="39"/>
  <c r="G528" i="39"/>
  <c r="G529" i="39"/>
  <c r="G530" i="39"/>
  <c r="G531" i="39"/>
  <c r="G532" i="39"/>
  <c r="G533" i="39"/>
  <c r="G534" i="39"/>
  <c r="G535" i="39"/>
  <c r="G536" i="39"/>
  <c r="G537" i="39"/>
  <c r="G538" i="39"/>
  <c r="G539" i="39"/>
  <c r="G540" i="39"/>
  <c r="G541" i="39"/>
  <c r="G542" i="39"/>
  <c r="G543" i="39"/>
  <c r="G544" i="39"/>
  <c r="G545" i="39"/>
  <c r="G546" i="39"/>
  <c r="G547" i="39"/>
  <c r="G548" i="39"/>
  <c r="G549" i="39"/>
  <c r="G550" i="39"/>
  <c r="G551" i="39"/>
  <c r="G552" i="39"/>
  <c r="G553" i="39"/>
  <c r="G554" i="39"/>
  <c r="G555" i="39"/>
  <c r="G556" i="39"/>
  <c r="G557" i="39"/>
  <c r="G558" i="39"/>
  <c r="G559" i="39"/>
  <c r="G560" i="39"/>
  <c r="G561" i="39"/>
  <c r="G562" i="39"/>
  <c r="G563" i="39"/>
  <c r="G564" i="39"/>
  <c r="G565" i="39"/>
  <c r="G566" i="39"/>
  <c r="G567" i="39"/>
  <c r="G568" i="39"/>
  <c r="G569" i="39"/>
  <c r="G570" i="39"/>
  <c r="G571" i="39"/>
  <c r="G572" i="39"/>
  <c r="G573" i="39"/>
  <c r="G574" i="39"/>
  <c r="G575" i="39"/>
  <c r="G576" i="39"/>
  <c r="G577" i="39"/>
  <c r="G578" i="39"/>
  <c r="G579" i="39"/>
  <c r="G580" i="39"/>
  <c r="G581" i="39"/>
  <c r="G582" i="39"/>
  <c r="G583" i="39"/>
  <c r="G584" i="39"/>
  <c r="G585" i="39"/>
  <c r="G586" i="39"/>
  <c r="G587" i="39"/>
  <c r="G588" i="39"/>
  <c r="G589" i="39"/>
  <c r="G590" i="39"/>
  <c r="G591" i="39"/>
  <c r="G592" i="39"/>
  <c r="G593" i="39"/>
  <c r="G594" i="39"/>
  <c r="G595" i="39"/>
  <c r="G596" i="39"/>
  <c r="G597" i="39"/>
  <c r="G598" i="39"/>
  <c r="G599" i="39"/>
  <c r="G600" i="39"/>
  <c r="G601" i="39"/>
  <c r="G602" i="39"/>
  <c r="G603" i="39"/>
  <c r="G604" i="39"/>
  <c r="G605" i="39"/>
  <c r="G606" i="39"/>
  <c r="G607" i="39"/>
  <c r="G608" i="39"/>
  <c r="G609" i="39"/>
  <c r="G610" i="39"/>
  <c r="G611" i="39"/>
  <c r="G612" i="39"/>
  <c r="G613" i="39"/>
  <c r="G614" i="39"/>
  <c r="G615" i="39"/>
  <c r="G616" i="39"/>
  <c r="G617" i="39"/>
  <c r="G618" i="39"/>
  <c r="G619" i="39"/>
  <c r="G620" i="39"/>
  <c r="G621" i="39"/>
  <c r="G622" i="39"/>
  <c r="G623" i="39"/>
  <c r="G624" i="39"/>
  <c r="G625" i="39"/>
  <c r="G626" i="39"/>
  <c r="G627" i="39"/>
  <c r="G628" i="39"/>
  <c r="G629" i="39"/>
  <c r="G630" i="39"/>
  <c r="G631" i="39"/>
  <c r="G632" i="39"/>
  <c r="G633" i="39"/>
  <c r="G634" i="39"/>
  <c r="G635" i="39"/>
  <c r="G636" i="39"/>
  <c r="G637" i="39"/>
  <c r="G638" i="39"/>
  <c r="G639" i="39"/>
  <c r="G640" i="39"/>
  <c r="G641" i="39"/>
  <c r="G642" i="39"/>
  <c r="G643" i="39"/>
  <c r="G644" i="39"/>
  <c r="G645" i="39"/>
  <c r="G646" i="39"/>
  <c r="G647" i="39"/>
  <c r="G648" i="39"/>
  <c r="G649" i="39"/>
  <c r="G650" i="39"/>
  <c r="G651" i="39"/>
  <c r="G652" i="39"/>
  <c r="G653" i="39"/>
  <c r="G654" i="39"/>
  <c r="G655" i="39"/>
  <c r="G656" i="39"/>
  <c r="G657" i="39"/>
  <c r="G658" i="39"/>
  <c r="G659" i="39"/>
  <c r="G660" i="39"/>
  <c r="G661" i="39"/>
  <c r="G662" i="39"/>
  <c r="G663" i="39"/>
  <c r="G664" i="39"/>
  <c r="G665" i="39"/>
  <c r="G666" i="39"/>
  <c r="G667" i="39"/>
  <c r="G668" i="39"/>
  <c r="G669" i="39"/>
  <c r="G670" i="39"/>
  <c r="G671" i="39"/>
  <c r="G672" i="39"/>
  <c r="G673" i="39"/>
  <c r="G674" i="39"/>
  <c r="G675" i="39"/>
  <c r="G676" i="39"/>
  <c r="G677" i="39"/>
  <c r="G678" i="39"/>
  <c r="G679" i="39"/>
  <c r="G680" i="39"/>
  <c r="G681" i="39"/>
  <c r="G682" i="39"/>
  <c r="G683" i="39"/>
  <c r="G684" i="39"/>
  <c r="G685" i="39"/>
  <c r="G686" i="39"/>
  <c r="G687" i="39"/>
  <c r="G688" i="39"/>
  <c r="G689" i="39"/>
  <c r="G690" i="39"/>
  <c r="G691" i="39"/>
  <c r="G692" i="39"/>
  <c r="G693" i="39"/>
  <c r="G694" i="39"/>
  <c r="G695" i="39"/>
  <c r="G696" i="39"/>
  <c r="G697" i="39"/>
  <c r="G698" i="39"/>
  <c r="G699" i="39"/>
  <c r="G700" i="39"/>
  <c r="G701" i="39"/>
  <c r="G702" i="39"/>
  <c r="G703" i="39"/>
  <c r="G704" i="39"/>
  <c r="G705" i="39"/>
  <c r="G706" i="39"/>
  <c r="G707" i="39"/>
  <c r="G708" i="39"/>
  <c r="G709" i="39"/>
  <c r="G710" i="39"/>
  <c r="G711" i="39"/>
  <c r="G712" i="39"/>
  <c r="G713" i="39"/>
  <c r="G714" i="39"/>
  <c r="G715" i="39"/>
  <c r="G716" i="39"/>
  <c r="G717" i="39"/>
  <c r="G718" i="39"/>
  <c r="G719" i="39"/>
  <c r="G720" i="39"/>
  <c r="G721" i="39"/>
  <c r="G722" i="39"/>
  <c r="G723" i="39"/>
  <c r="G724" i="39"/>
  <c r="G725" i="39"/>
  <c r="G726" i="39"/>
  <c r="G727" i="39"/>
  <c r="G728" i="39"/>
  <c r="G729" i="39"/>
  <c r="G730" i="39"/>
  <c r="G731" i="39"/>
  <c r="G732" i="39"/>
  <c r="G733" i="39"/>
  <c r="G734" i="39"/>
  <c r="G735" i="39"/>
  <c r="G736" i="39"/>
  <c r="G737" i="39"/>
  <c r="G738" i="39"/>
  <c r="G739" i="39"/>
  <c r="G740" i="39"/>
  <c r="G741" i="39"/>
  <c r="G742" i="39"/>
  <c r="G743" i="39"/>
  <c r="G744" i="39"/>
  <c r="G745" i="39"/>
  <c r="G746" i="39"/>
  <c r="G747" i="39"/>
  <c r="G748" i="39"/>
  <c r="G749" i="39"/>
  <c r="G750" i="39"/>
  <c r="G751" i="39"/>
  <c r="G752" i="39"/>
  <c r="G753" i="39"/>
  <c r="G754" i="39"/>
  <c r="G755" i="39"/>
  <c r="G756" i="39"/>
  <c r="G757" i="39"/>
  <c r="G758" i="39"/>
  <c r="G759" i="39"/>
  <c r="G760" i="39"/>
  <c r="G761" i="39"/>
  <c r="G762" i="39"/>
  <c r="G763" i="39"/>
  <c r="G764" i="39"/>
  <c r="G765" i="39"/>
  <c r="G766" i="39"/>
  <c r="G767" i="39"/>
  <c r="G768" i="39"/>
  <c r="G769" i="39"/>
  <c r="G770" i="39"/>
  <c r="G771" i="39"/>
  <c r="G772" i="39"/>
  <c r="G773" i="39"/>
  <c r="G774" i="39"/>
  <c r="G775" i="39"/>
  <c r="G776" i="39"/>
  <c r="G777" i="39"/>
  <c r="G778" i="39"/>
  <c r="G779" i="39"/>
  <c r="G780" i="39"/>
  <c r="G781" i="39"/>
  <c r="G782" i="39"/>
  <c r="G783" i="39"/>
  <c r="G784" i="39"/>
  <c r="G785" i="39"/>
  <c r="G786" i="39"/>
  <c r="G787" i="39"/>
  <c r="G788" i="39"/>
  <c r="G789" i="39"/>
  <c r="G790" i="39"/>
  <c r="G791" i="39"/>
  <c r="G792" i="39"/>
  <c r="G793" i="39"/>
  <c r="G794" i="39"/>
  <c r="G795" i="39"/>
  <c r="G796" i="39"/>
  <c r="G797" i="39"/>
  <c r="G798" i="39"/>
  <c r="G799" i="39"/>
  <c r="G800" i="39"/>
  <c r="G801" i="39"/>
  <c r="G802" i="39"/>
  <c r="G803" i="39"/>
  <c r="G804" i="39"/>
  <c r="G805" i="39"/>
  <c r="G806" i="39"/>
  <c r="G807" i="39"/>
  <c r="G808" i="39"/>
  <c r="G809" i="39"/>
  <c r="G810" i="39"/>
  <c r="G811" i="39"/>
  <c r="G812" i="39"/>
  <c r="G813" i="39"/>
  <c r="G814" i="39"/>
  <c r="G815" i="39"/>
  <c r="G816" i="39"/>
  <c r="G817" i="39"/>
  <c r="G818" i="39"/>
  <c r="G819" i="39"/>
  <c r="G820" i="39"/>
  <c r="G821" i="39"/>
  <c r="G822" i="39"/>
  <c r="G823" i="39"/>
  <c r="G824" i="39"/>
  <c r="G825" i="39"/>
  <c r="G826" i="39"/>
  <c r="G827" i="39"/>
  <c r="G828" i="39"/>
  <c r="G829" i="39"/>
  <c r="G830" i="39"/>
  <c r="G831" i="39"/>
  <c r="G832" i="39"/>
  <c r="G833" i="39"/>
  <c r="G834" i="39"/>
  <c r="G835" i="39"/>
  <c r="G836" i="39"/>
  <c r="G837" i="39"/>
  <c r="G838" i="39"/>
  <c r="G839" i="39"/>
  <c r="G840" i="39"/>
  <c r="G841" i="39"/>
  <c r="G842" i="39"/>
  <c r="G843" i="39"/>
  <c r="G844" i="39"/>
  <c r="G845" i="39"/>
  <c r="G846" i="39"/>
  <c r="G847" i="39"/>
  <c r="G848" i="39"/>
  <c r="G849" i="39"/>
  <c r="G850" i="39"/>
  <c r="G851" i="39"/>
  <c r="G852" i="39"/>
  <c r="G853" i="39"/>
  <c r="G854" i="39"/>
  <c r="G855" i="39"/>
  <c r="G856" i="39"/>
  <c r="G857" i="39"/>
  <c r="G858" i="39"/>
  <c r="G859" i="39"/>
  <c r="G860" i="39"/>
  <c r="G861" i="39"/>
  <c r="G862" i="39"/>
  <c r="G863" i="39"/>
  <c r="G864" i="39"/>
  <c r="G865" i="39"/>
  <c r="G866" i="39"/>
  <c r="G867" i="39"/>
  <c r="G868" i="39"/>
  <c r="G869" i="39"/>
  <c r="G870" i="39"/>
  <c r="G871" i="39"/>
  <c r="G872" i="39"/>
  <c r="G873" i="39"/>
  <c r="G874" i="39"/>
  <c r="G875" i="39"/>
  <c r="G876" i="39"/>
  <c r="G877" i="39"/>
  <c r="G878" i="39"/>
  <c r="G879" i="39"/>
  <c r="G880" i="39"/>
  <c r="G881" i="39"/>
  <c r="G882" i="39"/>
  <c r="G883" i="39"/>
  <c r="G884" i="39"/>
  <c r="G885" i="39"/>
  <c r="G886" i="39"/>
  <c r="G887" i="39"/>
  <c r="G888" i="39"/>
  <c r="G889" i="39"/>
  <c r="G890" i="39"/>
  <c r="G891" i="39"/>
  <c r="G892" i="39"/>
  <c r="G893" i="39"/>
  <c r="G894" i="39"/>
  <c r="G895" i="39"/>
  <c r="G896" i="39"/>
  <c r="G897" i="39"/>
  <c r="G898" i="39"/>
  <c r="G899" i="39"/>
  <c r="G900" i="39"/>
  <c r="G901" i="39"/>
  <c r="G902" i="39"/>
  <c r="G903" i="39"/>
  <c r="G904" i="39"/>
  <c r="G905" i="39"/>
  <c r="G906" i="39"/>
  <c r="G907" i="39"/>
  <c r="G908" i="39"/>
  <c r="G909" i="39"/>
  <c r="G910" i="39"/>
  <c r="G911" i="39"/>
  <c r="G912" i="39"/>
  <c r="G913" i="39"/>
  <c r="G914" i="39"/>
  <c r="G915" i="39"/>
  <c r="G916" i="39"/>
  <c r="G917" i="39"/>
  <c r="G918" i="39"/>
  <c r="G919" i="39"/>
  <c r="G920" i="39"/>
  <c r="G921" i="39"/>
  <c r="G922" i="39"/>
  <c r="G923" i="39"/>
  <c r="G924" i="39"/>
  <c r="G925" i="39"/>
  <c r="G926" i="39"/>
  <c r="G927" i="39"/>
  <c r="G928" i="39"/>
  <c r="G929" i="39"/>
  <c r="G930" i="39"/>
  <c r="G931" i="39"/>
  <c r="G932" i="39"/>
  <c r="G933" i="39"/>
  <c r="G934" i="39"/>
  <c r="G935" i="39"/>
  <c r="G936" i="39"/>
  <c r="G937" i="39"/>
  <c r="G938" i="39"/>
  <c r="G939" i="39"/>
  <c r="G940" i="39"/>
  <c r="G941" i="39"/>
  <c r="G942" i="39"/>
  <c r="G943" i="39"/>
  <c r="G944" i="39"/>
  <c r="G945" i="39"/>
  <c r="G946" i="39"/>
  <c r="G947" i="39"/>
  <c r="G948" i="39"/>
  <c r="G949" i="39"/>
  <c r="G950" i="39"/>
  <c r="G951" i="39"/>
  <c r="G952" i="39"/>
  <c r="G953" i="39"/>
  <c r="G954" i="39"/>
  <c r="G955" i="39"/>
  <c r="G956" i="39"/>
  <c r="G957" i="39"/>
  <c r="G958" i="39"/>
  <c r="G959" i="39"/>
  <c r="G960" i="39"/>
  <c r="G961" i="39"/>
  <c r="G962" i="39"/>
  <c r="G963" i="39"/>
  <c r="G964" i="39"/>
  <c r="G965" i="39"/>
  <c r="G966" i="39"/>
  <c r="G967" i="39"/>
  <c r="G968" i="39"/>
  <c r="G969" i="39"/>
  <c r="G970" i="39"/>
  <c r="G971" i="39"/>
  <c r="G972" i="39"/>
  <c r="G973" i="39"/>
  <c r="G974" i="39"/>
  <c r="G975" i="39"/>
  <c r="G976" i="39"/>
  <c r="G977" i="39"/>
  <c r="G978" i="39"/>
  <c r="G979" i="39"/>
  <c r="G980" i="39"/>
  <c r="G981" i="39"/>
  <c r="G982" i="39"/>
  <c r="G983" i="39"/>
  <c r="G984" i="39"/>
  <c r="G985" i="39"/>
  <c r="G986" i="39"/>
  <c r="G987" i="39"/>
  <c r="G988" i="39"/>
  <c r="G989" i="39"/>
  <c r="G990" i="39"/>
  <c r="G991" i="39"/>
  <c r="G992" i="39"/>
  <c r="G993" i="39"/>
  <c r="G994" i="39"/>
  <c r="G995" i="39"/>
  <c r="G996" i="39"/>
  <c r="G997" i="39"/>
  <c r="G998" i="39"/>
  <c r="G999" i="39"/>
  <c r="G1000" i="39"/>
  <c r="G1001" i="39"/>
  <c r="G1002" i="39"/>
  <c r="G1003" i="39"/>
  <c r="G1004" i="39"/>
  <c r="G1005" i="39"/>
  <c r="G1006" i="39"/>
  <c r="G1007" i="39"/>
  <c r="G1008" i="39"/>
  <c r="G1009" i="39"/>
  <c r="G1010" i="39"/>
  <c r="G1011" i="39"/>
  <c r="G1012" i="39"/>
  <c r="G1013" i="39"/>
  <c r="G1014" i="39"/>
  <c r="G1015" i="39"/>
  <c r="G1016" i="39"/>
  <c r="G1017" i="39"/>
  <c r="G1018" i="39"/>
  <c r="G1019" i="39"/>
  <c r="G1020" i="39"/>
  <c r="G1021" i="39"/>
  <c r="G1022" i="39"/>
  <c r="G1023" i="39"/>
  <c r="G1024" i="39"/>
  <c r="G1025" i="39"/>
  <c r="G1026" i="39"/>
  <c r="G1027" i="39"/>
  <c r="G1028" i="39"/>
  <c r="G1029" i="39"/>
  <c r="G1030" i="39"/>
  <c r="G1031" i="39"/>
  <c r="G1032" i="39"/>
  <c r="G1033" i="39"/>
  <c r="G1034" i="39"/>
  <c r="G1035" i="39"/>
  <c r="G1036" i="39"/>
  <c r="G1037" i="39"/>
  <c r="G1038" i="39"/>
  <c r="G1039" i="39"/>
  <c r="G1040" i="39"/>
  <c r="G1041" i="39"/>
  <c r="G1042" i="39"/>
  <c r="G1043" i="39"/>
  <c r="G1044" i="39"/>
  <c r="G1045" i="39"/>
  <c r="G1046" i="39"/>
  <c r="G1047" i="39"/>
  <c r="G1048" i="39"/>
  <c r="G1049" i="39"/>
  <c r="G1050" i="39"/>
  <c r="G1051" i="39"/>
  <c r="G1052" i="39"/>
  <c r="G1053" i="39"/>
  <c r="G1054" i="39"/>
  <c r="G1055" i="39"/>
  <c r="G1056" i="39"/>
  <c r="G1057" i="39"/>
  <c r="G1058" i="39"/>
  <c r="G1059" i="39"/>
  <c r="G1060" i="39"/>
  <c r="G1061" i="39"/>
  <c r="G1062" i="39"/>
  <c r="G1063" i="39"/>
  <c r="G1064" i="39"/>
  <c r="G1065" i="39"/>
  <c r="G1066" i="39"/>
  <c r="G1067" i="39"/>
  <c r="G1068" i="39"/>
  <c r="G1069" i="39"/>
  <c r="G1070" i="39"/>
  <c r="G1071" i="39"/>
  <c r="G1072" i="39"/>
  <c r="G1073" i="39"/>
  <c r="G1074" i="39"/>
  <c r="G1075" i="39"/>
  <c r="G1076" i="39"/>
  <c r="G1077" i="39"/>
  <c r="G1078" i="39"/>
  <c r="G1079" i="39"/>
  <c r="G1080" i="39"/>
  <c r="G1081" i="39"/>
  <c r="G1082" i="39"/>
  <c r="G1083" i="39"/>
  <c r="G1084" i="39"/>
  <c r="G1085" i="39"/>
  <c r="G1086" i="39"/>
  <c r="G1087" i="39"/>
  <c r="G1088" i="39"/>
  <c r="G1089" i="39"/>
  <c r="G1090" i="39"/>
  <c r="G1091" i="39"/>
  <c r="G1092" i="39"/>
  <c r="G1093" i="39"/>
  <c r="G1094" i="39"/>
  <c r="G1095" i="39"/>
  <c r="G1096" i="39"/>
  <c r="G1097" i="39"/>
  <c r="G1098" i="39"/>
  <c r="G1099" i="39"/>
  <c r="G1100" i="39"/>
  <c r="G1101" i="39"/>
  <c r="G1102" i="39"/>
  <c r="G1103" i="39"/>
  <c r="G1104" i="39"/>
  <c r="G1105" i="39"/>
  <c r="G1106" i="39"/>
  <c r="G1107" i="39"/>
  <c r="G1108" i="39"/>
  <c r="G1109" i="39"/>
  <c r="G1110" i="39"/>
  <c r="G1111" i="39"/>
  <c r="G1112" i="39"/>
  <c r="G1113" i="39"/>
  <c r="G1114" i="39"/>
  <c r="G1115" i="39"/>
  <c r="G1116" i="39"/>
  <c r="G1117" i="39"/>
  <c r="G1118" i="39"/>
  <c r="G1119" i="39"/>
  <c r="G1120" i="39"/>
  <c r="G1121" i="39"/>
  <c r="G1122" i="39"/>
  <c r="G1123" i="39"/>
  <c r="G1124" i="39"/>
  <c r="G1125" i="39"/>
  <c r="G1126" i="39"/>
  <c r="G1127" i="39"/>
  <c r="G1128" i="39"/>
  <c r="G1129" i="39"/>
  <c r="G1130" i="39"/>
  <c r="G1131" i="39"/>
  <c r="G1132" i="39"/>
  <c r="G1133" i="39"/>
  <c r="G1134" i="39"/>
  <c r="G1135" i="39"/>
  <c r="G1136" i="39"/>
  <c r="G1137" i="39"/>
  <c r="G1138" i="39"/>
  <c r="G1139" i="39"/>
  <c r="G1140" i="39"/>
  <c r="G1141" i="39"/>
  <c r="G1142" i="39"/>
  <c r="G1143" i="39"/>
  <c r="G1144" i="39"/>
  <c r="G1145" i="39"/>
  <c r="G1146" i="39"/>
  <c r="G1147" i="39"/>
  <c r="G1148" i="39"/>
  <c r="G1149" i="39"/>
  <c r="G1150" i="39"/>
  <c r="G1151" i="39"/>
  <c r="G1152" i="39"/>
  <c r="G1153" i="39"/>
  <c r="G1154" i="39"/>
  <c r="G1155" i="39"/>
  <c r="G1156" i="39"/>
  <c r="G1157" i="39"/>
  <c r="G1158" i="39"/>
  <c r="G1159" i="39"/>
  <c r="G1160" i="39"/>
  <c r="G1161" i="39"/>
  <c r="G1162" i="39"/>
  <c r="G1163" i="39"/>
  <c r="G1164" i="39"/>
  <c r="G1165" i="39"/>
  <c r="G1166" i="39"/>
  <c r="G1167" i="39"/>
  <c r="G1168" i="39"/>
  <c r="G1169" i="39"/>
  <c r="G1170" i="39"/>
  <c r="G1171" i="39"/>
  <c r="G1172" i="39"/>
  <c r="G1173" i="39"/>
  <c r="G1174" i="39"/>
  <c r="G1175" i="39"/>
  <c r="G1176" i="39"/>
  <c r="G1177" i="39"/>
  <c r="G1178" i="39"/>
  <c r="G1179" i="39"/>
  <c r="G1180" i="39"/>
  <c r="G1181" i="39"/>
  <c r="G1182" i="39"/>
  <c r="G1183" i="39"/>
  <c r="G1184" i="39"/>
  <c r="G1185" i="39"/>
  <c r="G1186" i="39"/>
  <c r="G1187" i="39"/>
  <c r="G1188" i="39"/>
  <c r="G1189" i="39"/>
  <c r="G1190" i="39"/>
  <c r="G1191" i="39"/>
  <c r="G1192" i="39"/>
  <c r="G1193" i="39"/>
  <c r="G1194" i="39"/>
  <c r="G1195" i="39"/>
  <c r="G1196" i="39"/>
  <c r="G1197" i="39"/>
  <c r="G1198" i="39"/>
  <c r="G1199" i="39"/>
  <c r="G1200" i="39"/>
  <c r="G1201" i="39"/>
  <c r="G1202" i="39"/>
  <c r="G1203" i="39"/>
  <c r="G1204" i="39"/>
  <c r="G1205" i="39"/>
  <c r="G1206" i="39"/>
  <c r="G1207" i="39"/>
  <c r="G1208" i="39"/>
  <c r="G1209" i="39"/>
  <c r="G1210" i="39"/>
  <c r="G1211" i="39"/>
  <c r="G1212" i="39"/>
  <c r="G1213" i="39"/>
  <c r="H313" i="39"/>
  <c r="C16" i="39"/>
  <c r="D16" i="39"/>
  <c r="E16" i="39"/>
  <c r="C15" i="39"/>
  <c r="D15" i="39"/>
  <c r="E15" i="39"/>
  <c r="B14" i="39"/>
  <c r="C14" i="39"/>
  <c r="D14" i="39"/>
  <c r="E14" i="39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14" i="40"/>
  <c r="B9" i="40"/>
  <c r="B8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14" i="40"/>
  <c r="C14" i="40"/>
  <c r="E14" i="40"/>
  <c r="G14" i="40"/>
  <c r="C15" i="40"/>
  <c r="E15" i="40"/>
  <c r="G15" i="40"/>
  <c r="C16" i="40"/>
  <c r="E16" i="40"/>
  <c r="G16" i="40"/>
  <c r="C17" i="40"/>
  <c r="E17" i="40"/>
  <c r="G17" i="40"/>
  <c r="C18" i="40"/>
  <c r="E18" i="40"/>
  <c r="G18" i="40"/>
  <c r="C19" i="40"/>
  <c r="E19" i="40"/>
  <c r="G19" i="40"/>
  <c r="C20" i="40"/>
  <c r="E20" i="40"/>
  <c r="G20" i="40"/>
  <c r="C21" i="40"/>
  <c r="E21" i="40"/>
  <c r="G21" i="40"/>
  <c r="C22" i="40"/>
  <c r="E22" i="40"/>
  <c r="G22" i="40"/>
  <c r="C23" i="40"/>
  <c r="E23" i="40"/>
  <c r="G23" i="40"/>
  <c r="C24" i="40"/>
  <c r="E24" i="40"/>
  <c r="G24" i="40"/>
  <c r="C25" i="40"/>
  <c r="E25" i="40"/>
  <c r="G25" i="40"/>
  <c r="C26" i="40"/>
  <c r="E26" i="40"/>
  <c r="G26" i="40"/>
  <c r="C27" i="40"/>
  <c r="E27" i="40"/>
  <c r="G27" i="40"/>
  <c r="C28" i="40"/>
  <c r="E28" i="40"/>
  <c r="G28" i="40"/>
  <c r="C29" i="40"/>
  <c r="E29" i="40"/>
  <c r="G29" i="40"/>
  <c r="C30" i="40"/>
  <c r="E30" i="40"/>
  <c r="G30" i="40"/>
  <c r="C31" i="40"/>
  <c r="E31" i="40"/>
  <c r="G31" i="40"/>
  <c r="C32" i="40"/>
  <c r="E32" i="40"/>
  <c r="G32" i="40"/>
  <c r="C33" i="40"/>
  <c r="E33" i="40"/>
  <c r="G33" i="40"/>
  <c r="C34" i="40"/>
  <c r="E34" i="40"/>
  <c r="G34" i="40"/>
  <c r="C35" i="40"/>
  <c r="E35" i="40"/>
  <c r="G35" i="40"/>
  <c r="C36" i="40"/>
  <c r="E36" i="40"/>
  <c r="G36" i="40"/>
  <c r="C37" i="40"/>
  <c r="E37" i="40"/>
  <c r="G37" i="40"/>
  <c r="C38" i="40"/>
  <c r="E38" i="40"/>
  <c r="G38" i="40"/>
  <c r="C39" i="40"/>
  <c r="E39" i="40"/>
  <c r="G39" i="40"/>
  <c r="C40" i="40"/>
  <c r="E40" i="40"/>
  <c r="G40" i="40"/>
  <c r="C41" i="40"/>
  <c r="E41" i="40"/>
  <c r="G41" i="40"/>
  <c r="C42" i="40"/>
  <c r="E42" i="40"/>
  <c r="G42" i="40"/>
  <c r="C43" i="40"/>
  <c r="E43" i="40"/>
  <c r="G43" i="40"/>
  <c r="C44" i="40"/>
  <c r="E44" i="40"/>
  <c r="G44" i="40"/>
  <c r="C45" i="40"/>
  <c r="D45" i="40"/>
  <c r="E45" i="40"/>
  <c r="G45" i="40"/>
  <c r="C46" i="40"/>
  <c r="D46" i="40"/>
  <c r="E46" i="40"/>
  <c r="G46" i="40"/>
  <c r="C47" i="40"/>
  <c r="D47" i="40"/>
  <c r="E47" i="40"/>
  <c r="G47" i="40"/>
  <c r="C48" i="40"/>
  <c r="D48" i="40"/>
  <c r="E48" i="40"/>
  <c r="G48" i="40"/>
  <c r="G49" i="40"/>
  <c r="H7" i="41"/>
  <c r="H8" i="41"/>
  <c r="H9" i="41"/>
  <c r="H10" i="41"/>
  <c r="H11" i="41"/>
  <c r="H12" i="41"/>
  <c r="H13" i="41"/>
  <c r="H6" i="41"/>
  <c r="I6" i="41"/>
  <c r="C6" i="41"/>
  <c r="D7" i="41"/>
  <c r="F7" i="41"/>
  <c r="G7" i="41"/>
  <c r="A7" i="41"/>
  <c r="I7" i="41"/>
  <c r="C7" i="41"/>
  <c r="D8" i="41"/>
  <c r="F8" i="41"/>
  <c r="G8" i="41"/>
  <c r="A8" i="41"/>
  <c r="I8" i="41"/>
  <c r="C8" i="41"/>
  <c r="D9" i="41"/>
  <c r="F9" i="41"/>
  <c r="G9" i="41"/>
  <c r="A9" i="41"/>
  <c r="I9" i="41"/>
  <c r="C9" i="41"/>
  <c r="D10" i="41"/>
  <c r="F10" i="41"/>
  <c r="G10" i="41"/>
  <c r="A10" i="41"/>
  <c r="I10" i="41"/>
  <c r="C10" i="41"/>
  <c r="D11" i="41"/>
  <c r="F11" i="41"/>
  <c r="G11" i="41"/>
  <c r="A11" i="41"/>
  <c r="I11" i="41"/>
  <c r="C11" i="41"/>
  <c r="D12" i="41"/>
  <c r="F12" i="41"/>
  <c r="G12" i="41"/>
  <c r="A12" i="41"/>
  <c r="I12" i="41"/>
  <c r="C12" i="41"/>
  <c r="D13" i="41"/>
  <c r="F13" i="41"/>
  <c r="G13" i="41"/>
  <c r="A13" i="41"/>
  <c r="I13" i="41"/>
  <c r="I14" i="41"/>
  <c r="C13" i="41"/>
  <c r="B10" i="42"/>
  <c r="B11" i="42"/>
  <c r="B8" i="42"/>
  <c r="B9" i="42"/>
  <c r="H16" i="42"/>
  <c r="I16" i="42"/>
  <c r="H17" i="42"/>
  <c r="I17" i="42"/>
  <c r="J17" i="42"/>
  <c r="K17" i="42"/>
  <c r="L17" i="42"/>
  <c r="H18" i="42"/>
  <c r="I18" i="42"/>
  <c r="J18" i="42"/>
  <c r="K18" i="42"/>
  <c r="L18" i="42"/>
  <c r="H19" i="42"/>
  <c r="I19" i="42"/>
  <c r="J19" i="42"/>
  <c r="K19" i="42"/>
  <c r="L19" i="42"/>
  <c r="H20" i="42"/>
  <c r="I20" i="42"/>
  <c r="J20" i="42"/>
  <c r="K20" i="42"/>
  <c r="L20" i="42"/>
  <c r="H21" i="42"/>
  <c r="I21" i="42"/>
  <c r="J21" i="42"/>
  <c r="K21" i="42"/>
  <c r="L21" i="42"/>
  <c r="H22" i="42"/>
  <c r="I22" i="42"/>
  <c r="J22" i="42"/>
  <c r="K22" i="42"/>
  <c r="L22" i="42"/>
  <c r="H23" i="42"/>
  <c r="I23" i="42"/>
  <c r="J23" i="42"/>
  <c r="K23" i="42"/>
  <c r="L23" i="42"/>
  <c r="H24" i="42"/>
  <c r="I24" i="42"/>
  <c r="J24" i="42"/>
  <c r="K24" i="42"/>
  <c r="L24" i="42"/>
  <c r="H25" i="42"/>
  <c r="I25" i="42"/>
  <c r="J25" i="42"/>
  <c r="K25" i="42"/>
  <c r="L25" i="42"/>
  <c r="H26" i="42"/>
  <c r="I26" i="42"/>
  <c r="J26" i="42"/>
  <c r="K26" i="42"/>
  <c r="L26" i="42"/>
  <c r="L27" i="42"/>
  <c r="B16" i="42"/>
  <c r="C16" i="42"/>
  <c r="D16" i="42"/>
  <c r="E16" i="42"/>
  <c r="A17" i="42"/>
  <c r="B17" i="42"/>
  <c r="C17" i="42"/>
  <c r="D17" i="42"/>
  <c r="E17" i="42"/>
  <c r="A18" i="42"/>
  <c r="B18" i="42"/>
  <c r="C18" i="42"/>
  <c r="D18" i="42"/>
  <c r="E18" i="42"/>
  <c r="A19" i="42"/>
  <c r="B19" i="42"/>
  <c r="C19" i="42"/>
  <c r="D19" i="42"/>
  <c r="E19" i="42"/>
  <c r="A20" i="42"/>
  <c r="B20" i="42"/>
  <c r="C20" i="42"/>
  <c r="D20" i="42"/>
  <c r="E20" i="42"/>
  <c r="A21" i="42"/>
  <c r="B21" i="42"/>
  <c r="C21" i="42"/>
  <c r="D21" i="42"/>
  <c r="E21" i="42"/>
  <c r="A22" i="42"/>
  <c r="B22" i="42"/>
  <c r="C22" i="42"/>
  <c r="D22" i="42"/>
  <c r="E22" i="42"/>
  <c r="A23" i="42"/>
  <c r="B23" i="42"/>
  <c r="C23" i="42"/>
  <c r="D23" i="42"/>
  <c r="E23" i="42"/>
  <c r="A24" i="42"/>
  <c r="B24" i="42"/>
  <c r="C24" i="42"/>
  <c r="D24" i="42"/>
  <c r="E24" i="42"/>
  <c r="A25" i="42"/>
  <c r="B25" i="42"/>
  <c r="C25" i="42"/>
  <c r="D25" i="42"/>
  <c r="E25" i="42"/>
  <c r="A26" i="42"/>
  <c r="B26" i="42"/>
  <c r="C26" i="42"/>
  <c r="D26" i="42"/>
  <c r="E26" i="42"/>
  <c r="A27" i="42"/>
  <c r="B27" i="42"/>
  <c r="C27" i="42"/>
  <c r="D27" i="42"/>
  <c r="E27" i="42"/>
  <c r="A28" i="42"/>
  <c r="B28" i="42"/>
  <c r="C28" i="42"/>
  <c r="D28" i="42"/>
  <c r="E28" i="42"/>
  <c r="A29" i="42"/>
  <c r="B29" i="42"/>
  <c r="C29" i="42"/>
  <c r="D29" i="42"/>
  <c r="E29" i="42"/>
  <c r="A30" i="42"/>
  <c r="B30" i="42"/>
  <c r="C30" i="42"/>
  <c r="D30" i="42"/>
  <c r="E30" i="42"/>
  <c r="A31" i="42"/>
  <c r="B31" i="42"/>
  <c r="C31" i="42"/>
  <c r="D31" i="42"/>
  <c r="E31" i="42"/>
  <c r="A32" i="42"/>
  <c r="B32" i="42"/>
  <c r="C32" i="42"/>
  <c r="D32" i="42"/>
  <c r="E32" i="42"/>
  <c r="A33" i="42"/>
  <c r="B33" i="42"/>
  <c r="C33" i="42"/>
  <c r="D33" i="42"/>
  <c r="E33" i="42"/>
  <c r="A34" i="42"/>
  <c r="B34" i="42"/>
  <c r="C34" i="42"/>
  <c r="D34" i="42"/>
  <c r="E34" i="42"/>
  <c r="A35" i="42"/>
  <c r="B35" i="42"/>
  <c r="C35" i="42"/>
  <c r="D35" i="42"/>
  <c r="E35" i="42"/>
  <c r="A36" i="42"/>
  <c r="B36" i="42"/>
  <c r="C36" i="42"/>
  <c r="D36" i="42"/>
  <c r="E36" i="42"/>
  <c r="A37" i="42"/>
  <c r="B37" i="42"/>
  <c r="C37" i="42"/>
  <c r="D37" i="42"/>
  <c r="E37" i="42"/>
  <c r="A38" i="42"/>
  <c r="B38" i="42"/>
  <c r="C38" i="42"/>
  <c r="D38" i="42"/>
  <c r="E38" i="42"/>
  <c r="A39" i="42"/>
  <c r="B39" i="42"/>
  <c r="C39" i="42"/>
  <c r="D39" i="42"/>
  <c r="E39" i="42"/>
  <c r="A40" i="42"/>
  <c r="B40" i="42"/>
  <c r="C40" i="42"/>
  <c r="D40" i="42"/>
  <c r="E40" i="42"/>
  <c r="A41" i="42"/>
  <c r="B41" i="42"/>
  <c r="C41" i="42"/>
  <c r="D41" i="42"/>
  <c r="E41" i="42"/>
  <c r="A42" i="42"/>
  <c r="B42" i="42"/>
  <c r="C42" i="42"/>
  <c r="D42" i="42"/>
  <c r="E42" i="42"/>
  <c r="A43" i="42"/>
  <c r="B43" i="42"/>
  <c r="C43" i="42"/>
  <c r="D43" i="42"/>
  <c r="E43" i="42"/>
  <c r="A44" i="42"/>
  <c r="B44" i="42"/>
  <c r="C44" i="42"/>
  <c r="D44" i="42"/>
  <c r="E44" i="42"/>
  <c r="A45" i="42"/>
  <c r="B45" i="42"/>
  <c r="C45" i="42"/>
  <c r="D45" i="42"/>
  <c r="E45" i="42"/>
  <c r="A46" i="42"/>
  <c r="B46" i="42"/>
  <c r="C46" i="42"/>
  <c r="D46" i="42"/>
  <c r="E46" i="42"/>
  <c r="A47" i="42"/>
  <c r="B47" i="42"/>
  <c r="C47" i="42"/>
  <c r="D47" i="42"/>
  <c r="E47" i="42"/>
  <c r="A48" i="42"/>
  <c r="B48" i="42"/>
  <c r="C48" i="42"/>
  <c r="D48" i="42"/>
  <c r="E48" i="42"/>
  <c r="A49" i="42"/>
  <c r="B49" i="42"/>
  <c r="C49" i="42"/>
  <c r="D49" i="42"/>
  <c r="E49" i="42"/>
  <c r="A50" i="42"/>
  <c r="B50" i="42"/>
  <c r="C50" i="42"/>
  <c r="D50" i="42"/>
  <c r="E50" i="42"/>
  <c r="A51" i="42"/>
  <c r="B51" i="42"/>
  <c r="C51" i="42"/>
  <c r="D51" i="42"/>
  <c r="E51" i="42"/>
  <c r="A52" i="42"/>
  <c r="B52" i="42"/>
  <c r="C52" i="42"/>
  <c r="D52" i="42"/>
  <c r="E52" i="42"/>
  <c r="A53" i="42"/>
  <c r="B53" i="42"/>
  <c r="C53" i="42"/>
  <c r="D53" i="42"/>
  <c r="E53" i="42"/>
  <c r="A54" i="42"/>
  <c r="B54" i="42"/>
  <c r="C54" i="42"/>
  <c r="D54" i="42"/>
  <c r="E54" i="42"/>
  <c r="A55" i="42"/>
  <c r="B55" i="42"/>
  <c r="C55" i="42"/>
  <c r="D55" i="42"/>
  <c r="E55" i="42"/>
  <c r="A56" i="42"/>
  <c r="B56" i="42"/>
  <c r="C56" i="42"/>
  <c r="D56" i="42"/>
  <c r="E56" i="42"/>
  <c r="A57" i="42"/>
  <c r="B57" i="42"/>
  <c r="C57" i="42"/>
  <c r="D57" i="42"/>
  <c r="E57" i="42"/>
  <c r="A58" i="42"/>
  <c r="B58" i="42"/>
  <c r="C58" i="42"/>
  <c r="D58" i="42"/>
  <c r="E58" i="42"/>
  <c r="A59" i="42"/>
  <c r="B59" i="42"/>
  <c r="C59" i="42"/>
  <c r="D59" i="42"/>
  <c r="E59" i="42"/>
  <c r="A60" i="42"/>
  <c r="B60" i="42"/>
  <c r="C60" i="42"/>
  <c r="D60" i="42"/>
  <c r="E60" i="42"/>
  <c r="A61" i="42"/>
  <c r="B61" i="42"/>
  <c r="C61" i="42"/>
  <c r="D61" i="42"/>
  <c r="E61" i="42"/>
  <c r="A62" i="42"/>
  <c r="B62" i="42"/>
  <c r="C62" i="42"/>
  <c r="D62" i="42"/>
  <c r="E62" i="42"/>
  <c r="A63" i="42"/>
  <c r="B63" i="42"/>
  <c r="C63" i="42"/>
  <c r="D63" i="42"/>
  <c r="E63" i="42"/>
  <c r="A64" i="42"/>
  <c r="B64" i="42"/>
  <c r="C64" i="42"/>
  <c r="D64" i="42"/>
  <c r="E64" i="42"/>
  <c r="A65" i="42"/>
  <c r="B65" i="42"/>
  <c r="C65" i="42"/>
  <c r="D65" i="42"/>
  <c r="E65" i="42"/>
  <c r="A66" i="42"/>
  <c r="B66" i="42"/>
  <c r="C66" i="42"/>
  <c r="D66" i="42"/>
  <c r="E66" i="42"/>
  <c r="A67" i="42"/>
  <c r="B67" i="42"/>
  <c r="C67" i="42"/>
  <c r="D67" i="42"/>
  <c r="E67" i="42"/>
  <c r="A68" i="42"/>
  <c r="B68" i="42"/>
  <c r="C68" i="42"/>
  <c r="D68" i="42"/>
  <c r="E68" i="42"/>
  <c r="A69" i="42"/>
  <c r="B69" i="42"/>
  <c r="C69" i="42"/>
  <c r="D69" i="42"/>
  <c r="E69" i="42"/>
  <c r="A70" i="42"/>
  <c r="B70" i="42"/>
  <c r="C70" i="42"/>
  <c r="D70" i="42"/>
  <c r="E70" i="42"/>
  <c r="A71" i="42"/>
  <c r="B71" i="42"/>
  <c r="C71" i="42"/>
  <c r="D71" i="42"/>
  <c r="E71" i="42"/>
  <c r="A72" i="42"/>
  <c r="B72" i="42"/>
  <c r="C72" i="42"/>
  <c r="D72" i="42"/>
  <c r="E72" i="42"/>
  <c r="A73" i="42"/>
  <c r="B73" i="42"/>
  <c r="C73" i="42"/>
  <c r="D73" i="42"/>
  <c r="E73" i="42"/>
  <c r="A74" i="42"/>
  <c r="B74" i="42"/>
  <c r="C74" i="42"/>
  <c r="D74" i="42"/>
  <c r="E74" i="42"/>
  <c r="A75" i="42"/>
  <c r="B75" i="42"/>
  <c r="C75" i="42"/>
  <c r="D75" i="42"/>
  <c r="E75" i="42"/>
  <c r="A76" i="42"/>
  <c r="B76" i="42"/>
  <c r="C76" i="42"/>
  <c r="D76" i="42"/>
  <c r="E76" i="42"/>
  <c r="A77" i="42"/>
  <c r="B77" i="42"/>
  <c r="C77" i="42"/>
  <c r="D77" i="42"/>
  <c r="E77" i="42"/>
  <c r="A78" i="42"/>
  <c r="B78" i="42"/>
  <c r="C78" i="42"/>
  <c r="D78" i="42"/>
  <c r="E78" i="42"/>
  <c r="A79" i="42"/>
  <c r="B79" i="42"/>
  <c r="C79" i="42"/>
  <c r="D79" i="42"/>
  <c r="E79" i="42"/>
  <c r="A80" i="42"/>
  <c r="B80" i="42"/>
  <c r="C80" i="42"/>
  <c r="D80" i="42"/>
  <c r="E80" i="42"/>
  <c r="A81" i="42"/>
  <c r="B81" i="42"/>
  <c r="C81" i="42"/>
  <c r="D81" i="42"/>
  <c r="E81" i="42"/>
  <c r="A82" i="42"/>
  <c r="B82" i="42"/>
  <c r="C82" i="42"/>
  <c r="D82" i="42"/>
  <c r="E82" i="42"/>
  <c r="A83" i="42"/>
  <c r="B83" i="42"/>
  <c r="C83" i="42"/>
  <c r="D83" i="42"/>
  <c r="E83" i="42"/>
  <c r="A84" i="42"/>
  <c r="B84" i="42"/>
  <c r="C84" i="42"/>
  <c r="D84" i="42"/>
  <c r="E84" i="42"/>
  <c r="A85" i="42"/>
  <c r="B85" i="42"/>
  <c r="C85" i="42"/>
  <c r="D85" i="42"/>
  <c r="E85" i="42"/>
  <c r="A86" i="42"/>
  <c r="B86" i="42"/>
  <c r="C86" i="42"/>
  <c r="D86" i="42"/>
  <c r="E86" i="42"/>
  <c r="A87" i="42"/>
  <c r="B87" i="42"/>
  <c r="C87" i="42"/>
  <c r="D87" i="42"/>
  <c r="E87" i="42"/>
  <c r="A88" i="42"/>
  <c r="B88" i="42"/>
  <c r="C88" i="42"/>
  <c r="D88" i="42"/>
  <c r="E88" i="42"/>
  <c r="A89" i="42"/>
  <c r="B89" i="42"/>
  <c r="C89" i="42"/>
  <c r="D89" i="42"/>
  <c r="E89" i="42"/>
  <c r="A90" i="42"/>
  <c r="B90" i="42"/>
  <c r="C90" i="42"/>
  <c r="D90" i="42"/>
  <c r="E90" i="42"/>
  <c r="A91" i="42"/>
  <c r="B91" i="42"/>
  <c r="C91" i="42"/>
  <c r="D91" i="42"/>
  <c r="E91" i="42"/>
  <c r="A92" i="42"/>
  <c r="B92" i="42"/>
  <c r="C92" i="42"/>
  <c r="D92" i="42"/>
  <c r="E92" i="42"/>
  <c r="A93" i="42"/>
  <c r="B93" i="42"/>
  <c r="C93" i="42"/>
  <c r="D93" i="42"/>
  <c r="E93" i="42"/>
  <c r="A94" i="42"/>
  <c r="B94" i="42"/>
  <c r="C94" i="42"/>
  <c r="D94" i="42"/>
  <c r="E94" i="42"/>
  <c r="A95" i="42"/>
  <c r="B95" i="42"/>
  <c r="C95" i="42"/>
  <c r="D95" i="42"/>
  <c r="E95" i="42"/>
  <c r="A96" i="42"/>
  <c r="B96" i="42"/>
  <c r="C96" i="42"/>
  <c r="D96" i="42"/>
  <c r="E96" i="42"/>
  <c r="A97" i="42"/>
  <c r="B97" i="42"/>
  <c r="C97" i="42"/>
  <c r="D97" i="42"/>
  <c r="E97" i="42"/>
  <c r="A98" i="42"/>
  <c r="B98" i="42"/>
  <c r="C98" i="42"/>
  <c r="D98" i="42"/>
  <c r="E98" i="42"/>
  <c r="A99" i="42"/>
  <c r="B99" i="42"/>
  <c r="C99" i="42"/>
  <c r="D99" i="42"/>
  <c r="E99" i="42"/>
  <c r="A100" i="42"/>
  <c r="B100" i="42"/>
  <c r="C100" i="42"/>
  <c r="D100" i="42"/>
  <c r="E100" i="42"/>
  <c r="A101" i="42"/>
  <c r="B101" i="42"/>
  <c r="C101" i="42"/>
  <c r="D101" i="42"/>
  <c r="E101" i="42"/>
  <c r="A102" i="42"/>
  <c r="B102" i="42"/>
  <c r="C102" i="42"/>
  <c r="D102" i="42"/>
  <c r="E102" i="42"/>
  <c r="A103" i="42"/>
  <c r="B103" i="42"/>
  <c r="C103" i="42"/>
  <c r="D103" i="42"/>
  <c r="E103" i="42"/>
  <c r="A104" i="42"/>
  <c r="B104" i="42"/>
  <c r="C104" i="42"/>
  <c r="D104" i="42"/>
  <c r="E104" i="42"/>
  <c r="A105" i="42"/>
  <c r="B105" i="42"/>
  <c r="C105" i="42"/>
  <c r="D105" i="42"/>
  <c r="E105" i="42"/>
  <c r="A106" i="42"/>
  <c r="B106" i="42"/>
  <c r="C106" i="42"/>
  <c r="D106" i="42"/>
  <c r="E106" i="42"/>
  <c r="A107" i="42"/>
  <c r="B107" i="42"/>
  <c r="C107" i="42"/>
  <c r="D107" i="42"/>
  <c r="E107" i="42"/>
  <c r="A108" i="42"/>
  <c r="B108" i="42"/>
  <c r="C108" i="42"/>
  <c r="D108" i="42"/>
  <c r="E108" i="42"/>
  <c r="A109" i="42"/>
  <c r="B109" i="42"/>
  <c r="C109" i="42"/>
  <c r="D109" i="42"/>
  <c r="E109" i="42"/>
  <c r="A110" i="42"/>
  <c r="B110" i="42"/>
  <c r="C110" i="42"/>
  <c r="D110" i="42"/>
  <c r="E110" i="42"/>
  <c r="A111" i="42"/>
  <c r="B111" i="42"/>
  <c r="C111" i="42"/>
  <c r="D111" i="42"/>
  <c r="E111" i="42"/>
  <c r="A112" i="42"/>
  <c r="B112" i="42"/>
  <c r="C112" i="42"/>
  <c r="D112" i="42"/>
  <c r="E112" i="42"/>
  <c r="A113" i="42"/>
  <c r="B113" i="42"/>
  <c r="C113" i="42"/>
  <c r="D113" i="42"/>
  <c r="E113" i="42"/>
  <c r="A114" i="42"/>
  <c r="B114" i="42"/>
  <c r="C114" i="42"/>
  <c r="D114" i="42"/>
  <c r="E114" i="42"/>
  <c r="A115" i="42"/>
  <c r="B115" i="42"/>
  <c r="C115" i="42"/>
  <c r="D115" i="42"/>
  <c r="E115" i="42"/>
  <c r="A116" i="42"/>
  <c r="B116" i="42"/>
  <c r="C116" i="42"/>
  <c r="D116" i="42"/>
  <c r="E116" i="42"/>
  <c r="A117" i="42"/>
  <c r="B117" i="42"/>
  <c r="C117" i="42"/>
  <c r="D117" i="42"/>
  <c r="E117" i="42"/>
  <c r="A118" i="42"/>
  <c r="B118" i="42"/>
  <c r="C118" i="42"/>
  <c r="D118" i="42"/>
  <c r="E118" i="42"/>
  <c r="A119" i="42"/>
  <c r="B119" i="42"/>
  <c r="C119" i="42"/>
  <c r="D119" i="42"/>
  <c r="E119" i="42"/>
  <c r="A120" i="42"/>
  <c r="B120" i="42"/>
  <c r="C120" i="42"/>
  <c r="D120" i="42"/>
  <c r="E120" i="42"/>
  <c r="A121" i="42"/>
  <c r="B121" i="42"/>
  <c r="C121" i="42"/>
  <c r="D121" i="42"/>
  <c r="E121" i="42"/>
  <c r="A122" i="42"/>
  <c r="B122" i="42"/>
  <c r="C122" i="42"/>
  <c r="D122" i="42"/>
  <c r="E122" i="42"/>
  <c r="A123" i="42"/>
  <c r="B123" i="42"/>
  <c r="C123" i="42"/>
  <c r="D123" i="42"/>
  <c r="E123" i="42"/>
  <c r="A124" i="42"/>
  <c r="B124" i="42"/>
  <c r="C124" i="42"/>
  <c r="D124" i="42"/>
  <c r="E124" i="42"/>
  <c r="A125" i="42"/>
  <c r="B125" i="42"/>
  <c r="C125" i="42"/>
  <c r="D125" i="42"/>
  <c r="E125" i="42"/>
  <c r="A126" i="42"/>
  <c r="B126" i="42"/>
  <c r="C126" i="42"/>
  <c r="D126" i="42"/>
  <c r="E126" i="42"/>
  <c r="A127" i="42"/>
  <c r="B127" i="42"/>
  <c r="C127" i="42"/>
  <c r="D127" i="42"/>
  <c r="E127" i="42"/>
  <c r="A128" i="42"/>
  <c r="B128" i="42"/>
  <c r="C128" i="42"/>
  <c r="D128" i="42"/>
  <c r="E128" i="42"/>
  <c r="A129" i="42"/>
  <c r="B129" i="42"/>
  <c r="C129" i="42"/>
  <c r="D129" i="42"/>
  <c r="E129" i="42"/>
  <c r="A130" i="42"/>
  <c r="B130" i="42"/>
  <c r="C130" i="42"/>
  <c r="D130" i="42"/>
  <c r="E130" i="42"/>
  <c r="A131" i="42"/>
  <c r="B131" i="42"/>
  <c r="C131" i="42"/>
  <c r="D131" i="42"/>
  <c r="E131" i="42"/>
  <c r="A132" i="42"/>
  <c r="B132" i="42"/>
  <c r="C132" i="42"/>
  <c r="D132" i="42"/>
  <c r="E132" i="42"/>
  <c r="A133" i="42"/>
  <c r="B133" i="42"/>
  <c r="C133" i="42"/>
  <c r="D133" i="42"/>
  <c r="E133" i="42"/>
  <c r="A134" i="42"/>
  <c r="B134" i="42"/>
  <c r="C134" i="42"/>
  <c r="D134" i="42"/>
  <c r="E134" i="42"/>
  <c r="A135" i="42"/>
  <c r="B135" i="42"/>
  <c r="C135" i="42"/>
  <c r="D135" i="42"/>
  <c r="E135" i="42"/>
  <c r="E136" i="42"/>
  <c r="L29" i="42"/>
  <c r="P13" i="37"/>
  <c r="P14" i="37"/>
  <c r="P15" i="37"/>
  <c r="P16" i="37"/>
  <c r="P17" i="37"/>
  <c r="P18" i="37"/>
  <c r="P19" i="37"/>
  <c r="P20" i="37"/>
  <c r="P21" i="37"/>
  <c r="P22" i="37"/>
  <c r="P23" i="37"/>
  <c r="P24" i="37"/>
  <c r="P25" i="37"/>
  <c r="P26" i="37"/>
  <c r="P27" i="37"/>
  <c r="P28" i="37"/>
  <c r="P29" i="37"/>
  <c r="P30" i="37"/>
  <c r="P31" i="37"/>
  <c r="P32" i="37"/>
  <c r="P33" i="37"/>
  <c r="P34" i="37"/>
  <c r="P35" i="37"/>
  <c r="P36" i="37"/>
  <c r="P37" i="37"/>
  <c r="P38" i="37"/>
  <c r="P39" i="37"/>
  <c r="P40" i="37"/>
  <c r="P41" i="37"/>
  <c r="P42" i="37"/>
  <c r="P43" i="37"/>
  <c r="P44" i="37"/>
  <c r="P45" i="37"/>
  <c r="P46" i="37"/>
  <c r="P47" i="37"/>
  <c r="P48" i="37"/>
  <c r="P49" i="37"/>
  <c r="P50" i="37"/>
  <c r="P51" i="37"/>
  <c r="P52" i="37"/>
  <c r="P53" i="37"/>
  <c r="P54" i="37"/>
  <c r="P55" i="37"/>
  <c r="P56" i="37"/>
  <c r="P57" i="37"/>
  <c r="P58" i="37"/>
  <c r="P59" i="37"/>
  <c r="P60" i="37"/>
  <c r="P61" i="37"/>
  <c r="P62" i="37"/>
  <c r="P63" i="37"/>
  <c r="P64" i="37"/>
  <c r="P65" i="37"/>
  <c r="P66" i="37"/>
  <c r="P67" i="37"/>
  <c r="P68" i="37"/>
  <c r="P69" i="37"/>
  <c r="P70" i="37"/>
  <c r="P71" i="37"/>
  <c r="P72" i="37"/>
  <c r="P73" i="37"/>
  <c r="P74" i="37"/>
  <c r="P75" i="37"/>
  <c r="P76" i="37"/>
  <c r="P77" i="37"/>
  <c r="P78" i="37"/>
  <c r="P79" i="37"/>
  <c r="P80" i="37"/>
  <c r="P81" i="37"/>
  <c r="P82" i="37"/>
  <c r="P83" i="37"/>
  <c r="P84" i="37"/>
  <c r="P85" i="37"/>
  <c r="P86" i="37"/>
  <c r="P87" i="37"/>
  <c r="P88" i="37"/>
  <c r="P89" i="37"/>
  <c r="P90" i="37"/>
  <c r="P91" i="37"/>
  <c r="P92" i="37"/>
  <c r="P93" i="37"/>
  <c r="P94" i="37"/>
  <c r="P95" i="37"/>
  <c r="P96" i="37"/>
  <c r="P97" i="37"/>
  <c r="P98" i="37"/>
  <c r="P99" i="37"/>
  <c r="P100" i="37"/>
  <c r="P101" i="37"/>
  <c r="P102" i="37"/>
  <c r="P103" i="37"/>
  <c r="P104" i="37"/>
  <c r="P105" i="37"/>
  <c r="P106" i="37"/>
  <c r="P107" i="37"/>
  <c r="P108" i="37"/>
  <c r="P109" i="37"/>
  <c r="P110" i="37"/>
  <c r="P111" i="37"/>
  <c r="P112" i="37"/>
  <c r="P113" i="37"/>
  <c r="P114" i="37"/>
  <c r="P115" i="37"/>
  <c r="P116" i="37"/>
  <c r="P117" i="37"/>
  <c r="P118" i="37"/>
  <c r="P119" i="37"/>
  <c r="P120" i="37"/>
  <c r="P121" i="37"/>
  <c r="P122" i="37"/>
  <c r="P123" i="37"/>
  <c r="P124" i="37"/>
  <c r="P125" i="37"/>
  <c r="P126" i="37"/>
  <c r="P127" i="37"/>
  <c r="P128" i="37"/>
  <c r="P129" i="37"/>
  <c r="P130" i="37"/>
  <c r="P131" i="37"/>
  <c r="P132" i="37"/>
  <c r="P133" i="37"/>
  <c r="P134" i="37"/>
  <c r="P135" i="37"/>
  <c r="P136" i="37"/>
  <c r="P137" i="37"/>
  <c r="P138" i="37"/>
  <c r="P139" i="37"/>
  <c r="P140" i="37"/>
  <c r="P141" i="37"/>
  <c r="P142" i="37"/>
  <c r="P143" i="37"/>
  <c r="P144" i="37"/>
  <c r="P145" i="37"/>
  <c r="P146" i="37"/>
  <c r="P147" i="37"/>
  <c r="P148" i="37"/>
  <c r="P149" i="37"/>
  <c r="P150" i="37"/>
  <c r="P151" i="37"/>
  <c r="P152" i="37"/>
  <c r="P153" i="37"/>
  <c r="P154" i="37"/>
  <c r="P155" i="37"/>
  <c r="P156" i="37"/>
  <c r="P157" i="37"/>
  <c r="P158" i="37"/>
  <c r="P159" i="37"/>
  <c r="P160" i="37"/>
  <c r="P161" i="37"/>
  <c r="P162" i="37"/>
  <c r="P163" i="37"/>
  <c r="P164" i="37"/>
  <c r="P165" i="37"/>
  <c r="P166" i="37"/>
  <c r="P167" i="37"/>
  <c r="P168" i="37"/>
  <c r="P169" i="37"/>
  <c r="P170" i="37"/>
  <c r="P171" i="37"/>
  <c r="P172" i="37"/>
  <c r="P173" i="37"/>
  <c r="P174" i="37"/>
  <c r="P175" i="37"/>
  <c r="P176" i="37"/>
  <c r="P177" i="37"/>
  <c r="P178" i="37"/>
  <c r="P179" i="37"/>
  <c r="P180" i="37"/>
  <c r="P181" i="37"/>
  <c r="P182" i="37"/>
  <c r="P183" i="37"/>
  <c r="P184" i="37"/>
  <c r="P185" i="37"/>
  <c r="P186" i="37"/>
  <c r="P187" i="37"/>
  <c r="P188" i="37"/>
  <c r="P189" i="37"/>
  <c r="P190" i="37"/>
  <c r="P191" i="37"/>
  <c r="P192" i="37"/>
  <c r="P193" i="37"/>
  <c r="P194" i="37"/>
  <c r="P195" i="37"/>
  <c r="P196" i="37"/>
  <c r="P197" i="37"/>
  <c r="P198" i="37"/>
  <c r="P199" i="37"/>
  <c r="P200" i="37"/>
  <c r="P201" i="37"/>
  <c r="P202" i="37"/>
  <c r="P203" i="37"/>
  <c r="P204" i="37"/>
  <c r="P205" i="37"/>
  <c r="P206" i="37"/>
  <c r="P207" i="37"/>
  <c r="P208" i="37"/>
  <c r="P209" i="37"/>
  <c r="P210" i="37"/>
  <c r="P211" i="37"/>
  <c r="P212" i="37"/>
  <c r="P213" i="37"/>
  <c r="P214" i="37"/>
  <c r="P215" i="37"/>
  <c r="P216" i="37"/>
  <c r="P217" i="37"/>
  <c r="P218" i="37"/>
  <c r="P219" i="37"/>
  <c r="P220" i="37"/>
  <c r="P221" i="37"/>
  <c r="P222" i="37"/>
  <c r="P223" i="37"/>
  <c r="P224" i="37"/>
  <c r="P225" i="37"/>
  <c r="P226" i="37"/>
  <c r="P227" i="37"/>
  <c r="P228" i="37"/>
  <c r="P229" i="37"/>
  <c r="P230" i="37"/>
  <c r="P231" i="37"/>
  <c r="P232" i="37"/>
  <c r="P233" i="37"/>
  <c r="P234" i="37"/>
  <c r="P235" i="37"/>
  <c r="P236" i="37"/>
  <c r="P237" i="37"/>
  <c r="P238" i="37"/>
  <c r="P239" i="37"/>
  <c r="P240" i="37"/>
  <c r="P241" i="37"/>
  <c r="P242" i="37"/>
  <c r="P243" i="37"/>
  <c r="P244" i="37"/>
  <c r="P245" i="37"/>
  <c r="P246" i="37"/>
  <c r="P247" i="37"/>
  <c r="P248" i="37"/>
  <c r="P249" i="37"/>
  <c r="P250" i="37"/>
  <c r="P251" i="37"/>
  <c r="P252" i="37"/>
  <c r="P253" i="37"/>
  <c r="P254" i="37"/>
  <c r="P255" i="37"/>
  <c r="P256" i="37"/>
  <c r="P257" i="37"/>
  <c r="P258" i="37"/>
  <c r="P259" i="37"/>
  <c r="P260" i="37"/>
  <c r="P261" i="37"/>
  <c r="P262" i="37"/>
  <c r="P263" i="37"/>
  <c r="P264" i="37"/>
  <c r="P265" i="37"/>
  <c r="P266" i="37"/>
  <c r="P267" i="37"/>
  <c r="P268" i="37"/>
  <c r="P269" i="37"/>
  <c r="P270" i="37"/>
  <c r="P271" i="37"/>
  <c r="P272" i="37"/>
  <c r="P273" i="37"/>
  <c r="P274" i="37"/>
  <c r="P275" i="37"/>
  <c r="P276" i="37"/>
  <c r="P277" i="37"/>
  <c r="P278" i="37"/>
  <c r="P279" i="37"/>
  <c r="P280" i="37"/>
  <c r="P281" i="37"/>
  <c r="P282" i="37"/>
  <c r="P283" i="37"/>
  <c r="P284" i="37"/>
  <c r="P285" i="37"/>
  <c r="P286" i="37"/>
  <c r="P287" i="37"/>
  <c r="P288" i="37"/>
  <c r="P289" i="37"/>
  <c r="P290" i="37"/>
  <c r="P291" i="37"/>
  <c r="P292" i="37"/>
  <c r="P293" i="37"/>
  <c r="P294" i="37"/>
  <c r="P295" i="37"/>
  <c r="P296" i="37"/>
  <c r="P297" i="37"/>
  <c r="P298" i="37"/>
  <c r="P299" i="37"/>
  <c r="P300" i="37"/>
  <c r="P301" i="37"/>
  <c r="P302" i="37"/>
  <c r="P303" i="37"/>
  <c r="P304" i="37"/>
  <c r="P305" i="37"/>
  <c r="P306" i="37"/>
  <c r="P307" i="37"/>
  <c r="P308" i="37"/>
  <c r="P309" i="37"/>
  <c r="P310" i="37"/>
  <c r="P311" i="37"/>
  <c r="P312" i="37"/>
  <c r="P313" i="37"/>
  <c r="P314" i="37"/>
  <c r="P315" i="37"/>
  <c r="P316" i="37"/>
  <c r="P317" i="37"/>
  <c r="P318" i="37"/>
  <c r="P319" i="37"/>
  <c r="P320" i="37"/>
  <c r="P321" i="37"/>
  <c r="P322" i="37"/>
  <c r="P323" i="37"/>
  <c r="P324" i="37"/>
  <c r="P325" i="37"/>
  <c r="P326" i="37"/>
  <c r="P327" i="37"/>
  <c r="P328" i="37"/>
  <c r="P329" i="37"/>
  <c r="P330" i="37"/>
  <c r="P331" i="37"/>
  <c r="P332" i="37"/>
  <c r="P333" i="37"/>
  <c r="P334" i="37"/>
  <c r="P335" i="37"/>
  <c r="P336" i="37"/>
  <c r="P337" i="37"/>
  <c r="P338" i="37"/>
  <c r="P339" i="37"/>
  <c r="P340" i="37"/>
  <c r="P341" i="37"/>
  <c r="P342" i="37"/>
  <c r="P343" i="37"/>
  <c r="P344" i="37"/>
  <c r="P345" i="37"/>
  <c r="P346" i="37"/>
  <c r="P347" i="37"/>
  <c r="P348" i="37"/>
  <c r="P349" i="37"/>
  <c r="P350" i="37"/>
  <c r="P351" i="37"/>
  <c r="P352" i="37"/>
  <c r="P353" i="37"/>
  <c r="P354" i="37"/>
  <c r="P355" i="37"/>
  <c r="P356" i="37"/>
  <c r="P357" i="37"/>
  <c r="P358" i="37"/>
  <c r="P359" i="37"/>
  <c r="P360" i="37"/>
  <c r="P361" i="37"/>
  <c r="P362" i="37"/>
  <c r="P363" i="37"/>
  <c r="P364" i="37"/>
  <c r="P365" i="37"/>
  <c r="P366" i="37"/>
  <c r="P367" i="37"/>
  <c r="P368" i="37"/>
  <c r="P369" i="37"/>
  <c r="P370" i="37"/>
  <c r="P371" i="37"/>
  <c r="P372" i="37"/>
  <c r="P373" i="37"/>
  <c r="P374" i="37"/>
  <c r="P375" i="37"/>
  <c r="P376" i="37"/>
  <c r="P377" i="37"/>
  <c r="P378" i="37"/>
  <c r="P379" i="37"/>
  <c r="P380" i="37"/>
  <c r="P381" i="37"/>
  <c r="P382" i="37"/>
  <c r="P383" i="37"/>
  <c r="P384" i="37"/>
  <c r="P385" i="37"/>
  <c r="P386" i="37"/>
  <c r="P387" i="37"/>
  <c r="P388" i="37"/>
  <c r="P389" i="37"/>
  <c r="P390" i="37"/>
  <c r="P391" i="37"/>
  <c r="P392" i="37"/>
  <c r="P393" i="37"/>
  <c r="P394" i="37"/>
  <c r="P395" i="37"/>
  <c r="P396" i="37"/>
  <c r="P397" i="37"/>
  <c r="P398" i="37"/>
  <c r="P399" i="37"/>
  <c r="P400" i="37"/>
  <c r="P401" i="37"/>
  <c r="P402" i="37"/>
  <c r="P403" i="37"/>
  <c r="P404" i="37"/>
  <c r="P405" i="37"/>
  <c r="P406" i="37"/>
  <c r="P407" i="37"/>
  <c r="P408" i="37"/>
  <c r="P409" i="37"/>
  <c r="P410" i="37"/>
  <c r="P411" i="37"/>
  <c r="P412" i="37"/>
  <c r="P413" i="37"/>
  <c r="P414" i="37"/>
  <c r="P415" i="37"/>
  <c r="P416" i="37"/>
  <c r="P417" i="37"/>
  <c r="P418" i="37"/>
  <c r="P419" i="37"/>
  <c r="P420" i="37"/>
  <c r="P421" i="37"/>
  <c r="P422" i="37"/>
  <c r="P423" i="37"/>
  <c r="P424" i="37"/>
  <c r="P425" i="37"/>
  <c r="P426" i="37"/>
  <c r="P427" i="37"/>
  <c r="P428" i="37"/>
  <c r="P429" i="37"/>
  <c r="P430" i="37"/>
  <c r="P431" i="37"/>
  <c r="P432" i="37"/>
  <c r="P433" i="37"/>
  <c r="P434" i="37"/>
  <c r="P435" i="37"/>
  <c r="P436" i="37"/>
  <c r="P437" i="37"/>
  <c r="P438" i="37"/>
  <c r="P439" i="37"/>
  <c r="P440" i="37"/>
  <c r="P441" i="37"/>
  <c r="P442" i="37"/>
  <c r="P443" i="37"/>
  <c r="P444" i="37"/>
  <c r="P445" i="37"/>
  <c r="P446" i="37"/>
  <c r="P447" i="37"/>
  <c r="P448" i="37"/>
  <c r="P449" i="37"/>
  <c r="P450" i="37"/>
  <c r="P451" i="37"/>
  <c r="P452" i="37"/>
  <c r="P453" i="37"/>
  <c r="P454" i="37"/>
  <c r="P455" i="37"/>
  <c r="P456" i="37"/>
  <c r="P457" i="37"/>
  <c r="P458" i="37"/>
  <c r="P459" i="37"/>
  <c r="P460" i="37"/>
  <c r="P461" i="37"/>
  <c r="P462" i="37"/>
  <c r="P463" i="37"/>
  <c r="P464" i="37"/>
  <c r="P465" i="37"/>
  <c r="P466" i="37"/>
  <c r="P467" i="37"/>
  <c r="P468" i="37"/>
  <c r="P469" i="37"/>
  <c r="P470" i="37"/>
  <c r="P471" i="37"/>
  <c r="P472" i="37"/>
  <c r="P473" i="37"/>
  <c r="P474" i="37"/>
  <c r="P475" i="37"/>
  <c r="P476" i="37"/>
  <c r="P477" i="37"/>
  <c r="P478" i="37"/>
  <c r="P479" i="37"/>
  <c r="P480" i="37"/>
  <c r="P481" i="37"/>
  <c r="P482" i="37"/>
  <c r="P483" i="37"/>
  <c r="P484" i="37"/>
  <c r="P485" i="37"/>
  <c r="P486" i="37"/>
  <c r="P487" i="37"/>
  <c r="P488" i="37"/>
  <c r="P489" i="37"/>
  <c r="P490" i="37"/>
  <c r="P491" i="37"/>
  <c r="P492" i="37"/>
  <c r="P493" i="37"/>
  <c r="P494" i="37"/>
  <c r="P495" i="37"/>
  <c r="P496" i="37"/>
  <c r="P497" i="37"/>
  <c r="P498" i="37"/>
  <c r="P499" i="37"/>
  <c r="P500" i="37"/>
  <c r="P501" i="37"/>
  <c r="P502" i="37"/>
  <c r="P503" i="37"/>
  <c r="P504" i="37"/>
  <c r="P505" i="37"/>
  <c r="P506" i="37"/>
  <c r="P507" i="37"/>
  <c r="P508" i="37"/>
  <c r="P509" i="37"/>
  <c r="P510" i="37"/>
  <c r="P511" i="37"/>
  <c r="P512" i="37"/>
  <c r="P513" i="37"/>
  <c r="P514" i="37"/>
  <c r="P515" i="37"/>
  <c r="P516" i="37"/>
  <c r="P517" i="37"/>
  <c r="P518" i="37"/>
  <c r="P519" i="37"/>
  <c r="P520" i="37"/>
  <c r="P521" i="37"/>
  <c r="P522" i="37"/>
  <c r="P523" i="37"/>
  <c r="P524" i="37"/>
  <c r="P525" i="37"/>
  <c r="P526" i="37"/>
  <c r="P527" i="37"/>
  <c r="P528" i="37"/>
  <c r="P529" i="37"/>
  <c r="P530" i="37"/>
  <c r="P531" i="37"/>
  <c r="P532" i="37"/>
  <c r="P533" i="37"/>
  <c r="P534" i="37"/>
  <c r="P535" i="37"/>
  <c r="P536" i="37"/>
  <c r="P537" i="37"/>
  <c r="P538" i="37"/>
  <c r="P539" i="37"/>
  <c r="P540" i="37"/>
  <c r="P541" i="37"/>
  <c r="P542" i="37"/>
  <c r="P543" i="37"/>
  <c r="P544" i="37"/>
  <c r="P545" i="37"/>
  <c r="P546" i="37"/>
  <c r="P547" i="37"/>
  <c r="P548" i="37"/>
  <c r="P549" i="37"/>
  <c r="P550" i="37"/>
  <c r="P551" i="37"/>
  <c r="P552" i="37"/>
  <c r="P553" i="37"/>
  <c r="P554" i="37"/>
  <c r="P555" i="37"/>
  <c r="P556" i="37"/>
  <c r="P557" i="37"/>
  <c r="P558" i="37"/>
  <c r="P559" i="37"/>
  <c r="P560" i="37"/>
  <c r="P561" i="37"/>
  <c r="P562" i="37"/>
  <c r="P563" i="37"/>
  <c r="P564" i="37"/>
  <c r="P565" i="37"/>
  <c r="P566" i="37"/>
  <c r="P567" i="37"/>
  <c r="P568" i="37"/>
  <c r="P569" i="37"/>
  <c r="P570" i="37"/>
  <c r="P571" i="37"/>
  <c r="P572" i="37"/>
  <c r="P573" i="37"/>
  <c r="P574" i="37"/>
  <c r="P575" i="37"/>
  <c r="P576" i="37"/>
  <c r="P577" i="37"/>
  <c r="P578" i="37"/>
  <c r="P579" i="37"/>
  <c r="P580" i="37"/>
  <c r="P581" i="37"/>
  <c r="P582" i="37"/>
  <c r="P583" i="37"/>
  <c r="P584" i="37"/>
  <c r="P585" i="37"/>
  <c r="P586" i="37"/>
  <c r="P587" i="37"/>
  <c r="P588" i="37"/>
  <c r="P589" i="37"/>
  <c r="P590" i="37"/>
  <c r="P591" i="37"/>
  <c r="P592" i="37"/>
  <c r="P593" i="37"/>
  <c r="P594" i="37"/>
  <c r="P595" i="37"/>
  <c r="P596" i="37"/>
  <c r="P597" i="37"/>
  <c r="P598" i="37"/>
  <c r="P599" i="37"/>
  <c r="P600" i="37"/>
  <c r="P601" i="37"/>
  <c r="P602" i="37"/>
  <c r="P603" i="37"/>
  <c r="P604" i="37"/>
  <c r="P605" i="37"/>
  <c r="P606" i="37"/>
  <c r="P607" i="37"/>
  <c r="P608" i="37"/>
  <c r="P609" i="37"/>
  <c r="P610" i="37"/>
  <c r="P611" i="37"/>
  <c r="P612" i="37"/>
  <c r="P613" i="37"/>
  <c r="P614" i="37"/>
  <c r="P615" i="37"/>
  <c r="P616" i="37"/>
  <c r="P617" i="37"/>
  <c r="P618" i="37"/>
  <c r="P619" i="37"/>
  <c r="P620" i="37"/>
  <c r="P621" i="37"/>
  <c r="P622" i="37"/>
  <c r="P623" i="37"/>
  <c r="P624" i="37"/>
  <c r="P625" i="37"/>
  <c r="P626" i="37"/>
  <c r="P627" i="37"/>
  <c r="P628" i="37"/>
  <c r="P629" i="37"/>
  <c r="P630" i="37"/>
  <c r="P631" i="37"/>
  <c r="P632" i="37"/>
  <c r="P633" i="37"/>
  <c r="P634" i="37"/>
  <c r="P635" i="37"/>
  <c r="P636" i="37"/>
  <c r="P637" i="37"/>
  <c r="P638" i="37"/>
  <c r="P639" i="37"/>
  <c r="P640" i="37"/>
  <c r="P641" i="37"/>
  <c r="P642" i="37"/>
  <c r="P643" i="37"/>
  <c r="P644" i="37"/>
  <c r="P645" i="37"/>
  <c r="P646" i="37"/>
  <c r="P647" i="37"/>
  <c r="P648" i="37"/>
  <c r="P649" i="37"/>
  <c r="P650" i="37"/>
  <c r="P651" i="37"/>
  <c r="P652" i="37"/>
  <c r="P653" i="37"/>
  <c r="P654" i="37"/>
  <c r="P655" i="37"/>
  <c r="P656" i="37"/>
  <c r="P657" i="37"/>
  <c r="P658" i="37"/>
  <c r="P659" i="37"/>
  <c r="P660" i="37"/>
  <c r="P661" i="37"/>
  <c r="P662" i="37"/>
  <c r="P663" i="37"/>
  <c r="P664" i="37"/>
  <c r="P665" i="37"/>
  <c r="P666" i="37"/>
  <c r="P667" i="37"/>
  <c r="P668" i="37"/>
  <c r="P669" i="37"/>
  <c r="P670" i="37"/>
  <c r="P671" i="37"/>
  <c r="P672" i="37"/>
  <c r="P673" i="37"/>
  <c r="P674" i="37"/>
  <c r="P675" i="37"/>
  <c r="P676" i="37"/>
  <c r="P677" i="37"/>
  <c r="P678" i="37"/>
  <c r="P679" i="37"/>
  <c r="P680" i="37"/>
  <c r="P681" i="37"/>
  <c r="P682" i="37"/>
  <c r="P683" i="37"/>
  <c r="P684" i="37"/>
  <c r="P685" i="37"/>
  <c r="P686" i="37"/>
  <c r="P687" i="37"/>
  <c r="P688" i="37"/>
  <c r="P689" i="37"/>
  <c r="P690" i="37"/>
  <c r="P691" i="37"/>
  <c r="P692" i="37"/>
  <c r="P693" i="37"/>
  <c r="P694" i="37"/>
  <c r="P695" i="37"/>
  <c r="P696" i="37"/>
  <c r="P697" i="37"/>
  <c r="P698" i="37"/>
  <c r="P699" i="37"/>
  <c r="P700" i="37"/>
  <c r="P701" i="37"/>
  <c r="P702" i="37"/>
  <c r="P703" i="37"/>
  <c r="P704" i="37"/>
  <c r="P705" i="37"/>
  <c r="P706" i="37"/>
  <c r="P707" i="37"/>
  <c r="P708" i="37"/>
  <c r="P709" i="37"/>
  <c r="P710" i="37"/>
  <c r="P711" i="37"/>
  <c r="P712" i="37"/>
  <c r="P713" i="37"/>
  <c r="P714" i="37"/>
  <c r="P715" i="37"/>
  <c r="P716" i="37"/>
  <c r="P717" i="37"/>
  <c r="P718" i="37"/>
  <c r="P719" i="37"/>
  <c r="P720" i="37"/>
  <c r="P721" i="37"/>
  <c r="P722" i="37"/>
  <c r="P723" i="37"/>
  <c r="P724" i="37"/>
  <c r="P725" i="37"/>
  <c r="P726" i="37"/>
  <c r="P727" i="37"/>
  <c r="P728" i="37"/>
  <c r="P729" i="37"/>
  <c r="P730" i="37"/>
  <c r="P731" i="37"/>
  <c r="P732" i="37"/>
  <c r="P733" i="37"/>
  <c r="P734" i="37"/>
  <c r="P735" i="37"/>
  <c r="P736" i="37"/>
  <c r="P737" i="37"/>
  <c r="P738" i="37"/>
  <c r="P739" i="37"/>
  <c r="P740" i="37"/>
  <c r="P741" i="37"/>
  <c r="P742" i="37"/>
  <c r="P743" i="37"/>
  <c r="P744" i="37"/>
  <c r="P745" i="37"/>
  <c r="P746" i="37"/>
  <c r="P747" i="37"/>
  <c r="P748" i="37"/>
  <c r="P749" i="37"/>
  <c r="P750" i="37"/>
  <c r="P751" i="37"/>
  <c r="P752" i="37"/>
  <c r="P753" i="37"/>
  <c r="P754" i="37"/>
  <c r="P755" i="37"/>
  <c r="P756" i="37"/>
  <c r="P757" i="37"/>
  <c r="P758" i="37"/>
  <c r="P759" i="37"/>
  <c r="P760" i="37"/>
  <c r="P761" i="37"/>
  <c r="P762" i="37"/>
  <c r="P763" i="37"/>
  <c r="P764" i="37"/>
  <c r="P765" i="37"/>
  <c r="P766" i="37"/>
  <c r="P767" i="37"/>
  <c r="P768" i="37"/>
  <c r="P769" i="37"/>
  <c r="P770" i="37"/>
  <c r="P771" i="37"/>
  <c r="P772" i="37"/>
  <c r="P773" i="37"/>
  <c r="P774" i="37"/>
  <c r="P775" i="37"/>
  <c r="P776" i="37"/>
  <c r="P777" i="37"/>
  <c r="P778" i="37"/>
  <c r="P779" i="37"/>
  <c r="P780" i="37"/>
  <c r="P781" i="37"/>
  <c r="P782" i="37"/>
  <c r="P783" i="37"/>
  <c r="P784" i="37"/>
  <c r="P785" i="37"/>
  <c r="P786" i="37"/>
  <c r="P787" i="37"/>
  <c r="P788" i="37"/>
  <c r="P789" i="37"/>
  <c r="P790" i="37"/>
  <c r="P791" i="37"/>
  <c r="P792" i="37"/>
  <c r="P793" i="37"/>
  <c r="P794" i="37"/>
  <c r="P795" i="37"/>
  <c r="P796" i="37"/>
  <c r="P797" i="37"/>
  <c r="P798" i="37"/>
  <c r="P799" i="37"/>
  <c r="P800" i="37"/>
  <c r="P801" i="37"/>
  <c r="P802" i="37"/>
  <c r="P803" i="37"/>
  <c r="P804" i="37"/>
  <c r="P805" i="37"/>
  <c r="P806" i="37"/>
  <c r="P807" i="37"/>
  <c r="P808" i="37"/>
  <c r="P809" i="37"/>
  <c r="P810" i="37"/>
  <c r="P811" i="37"/>
  <c r="P812" i="37"/>
  <c r="P813" i="37"/>
  <c r="P814" i="37"/>
  <c r="P815" i="37"/>
  <c r="P816" i="37"/>
  <c r="P817" i="37"/>
  <c r="P818" i="37"/>
  <c r="P819" i="37"/>
  <c r="P820" i="37"/>
  <c r="P821" i="37"/>
  <c r="P822" i="37"/>
  <c r="P823" i="37"/>
  <c r="P824" i="37"/>
  <c r="P825" i="37"/>
  <c r="P826" i="37"/>
  <c r="P827" i="37"/>
  <c r="P828" i="37"/>
  <c r="P829" i="37"/>
  <c r="P830" i="37"/>
  <c r="P831" i="37"/>
  <c r="P832" i="37"/>
  <c r="P833" i="37"/>
  <c r="P834" i="37"/>
  <c r="P835" i="37"/>
  <c r="P836" i="37"/>
  <c r="P837" i="37"/>
  <c r="P838" i="37"/>
  <c r="P839" i="37"/>
  <c r="P840" i="37"/>
  <c r="P841" i="37"/>
  <c r="P842" i="37"/>
  <c r="P843" i="37"/>
  <c r="P844" i="37"/>
  <c r="P845" i="37"/>
  <c r="P846" i="37"/>
  <c r="P847" i="37"/>
  <c r="P848" i="37"/>
  <c r="P849" i="37"/>
  <c r="P850" i="37"/>
  <c r="P851" i="37"/>
  <c r="P852" i="37"/>
  <c r="P853" i="37"/>
  <c r="P854" i="37"/>
  <c r="P855" i="37"/>
  <c r="P856" i="37"/>
  <c r="P857" i="37"/>
  <c r="P858" i="37"/>
  <c r="P859" i="37"/>
  <c r="P860" i="37"/>
  <c r="P861" i="37"/>
  <c r="P862" i="37"/>
  <c r="P863" i="37"/>
  <c r="P864" i="37"/>
  <c r="P865" i="37"/>
  <c r="P866" i="37"/>
  <c r="P867" i="37"/>
  <c r="P868" i="37"/>
  <c r="P869" i="37"/>
  <c r="P870" i="37"/>
  <c r="P871" i="37"/>
  <c r="P872" i="37"/>
  <c r="P873" i="37"/>
  <c r="P874" i="37"/>
  <c r="P875" i="37"/>
  <c r="P876" i="37"/>
  <c r="P877" i="37"/>
  <c r="P878" i="37"/>
  <c r="P879" i="37"/>
  <c r="P880" i="37"/>
  <c r="P881" i="37"/>
  <c r="P882" i="37"/>
  <c r="P883" i="37"/>
  <c r="P884" i="37"/>
  <c r="P885" i="37"/>
  <c r="P886" i="37"/>
  <c r="P887" i="37"/>
  <c r="P888" i="37"/>
  <c r="P889" i="37"/>
  <c r="P890" i="37"/>
  <c r="P891" i="37"/>
  <c r="P892" i="37"/>
  <c r="P893" i="37"/>
  <c r="P894" i="37"/>
  <c r="P895" i="37"/>
  <c r="P896" i="37"/>
  <c r="P897" i="37"/>
  <c r="P898" i="37"/>
  <c r="P899" i="37"/>
  <c r="P900" i="37"/>
  <c r="P901" i="37"/>
  <c r="P902" i="37"/>
  <c r="P903" i="37"/>
  <c r="P904" i="37"/>
  <c r="P905" i="37"/>
  <c r="P906" i="37"/>
  <c r="P907" i="37"/>
  <c r="P908" i="37"/>
  <c r="P909" i="37"/>
  <c r="P910" i="37"/>
  <c r="P911" i="37"/>
  <c r="P912" i="37"/>
  <c r="P913" i="37"/>
  <c r="P914" i="37"/>
  <c r="P915" i="37"/>
  <c r="P916" i="37"/>
  <c r="P917" i="37"/>
  <c r="P918" i="37"/>
  <c r="P919" i="37"/>
  <c r="P920" i="37"/>
  <c r="P921" i="37"/>
  <c r="P922" i="37"/>
  <c r="P923" i="37"/>
  <c r="P924" i="37"/>
  <c r="P925" i="37"/>
  <c r="P926" i="37"/>
  <c r="P927" i="37"/>
  <c r="P928" i="37"/>
  <c r="P929" i="37"/>
  <c r="P930" i="37"/>
  <c r="P931" i="37"/>
  <c r="P932" i="37"/>
  <c r="P933" i="37"/>
  <c r="P934" i="37"/>
  <c r="P935" i="37"/>
  <c r="P936" i="37"/>
  <c r="P937" i="37"/>
  <c r="P938" i="37"/>
  <c r="P939" i="37"/>
  <c r="P940" i="37"/>
  <c r="P941" i="37"/>
  <c r="P942" i="37"/>
  <c r="P943" i="37"/>
  <c r="P944" i="37"/>
  <c r="P945" i="37"/>
  <c r="P946" i="37"/>
  <c r="P947" i="37"/>
  <c r="P948" i="37"/>
  <c r="P949" i="37"/>
  <c r="P950" i="37"/>
  <c r="P951" i="37"/>
  <c r="P952" i="37"/>
  <c r="P953" i="37"/>
  <c r="P954" i="37"/>
  <c r="P955" i="37"/>
  <c r="P956" i="37"/>
  <c r="P957" i="37"/>
  <c r="P958" i="37"/>
  <c r="P959" i="37"/>
  <c r="P960" i="37"/>
  <c r="P961" i="37"/>
  <c r="P962" i="37"/>
  <c r="P963" i="37"/>
  <c r="P964" i="37"/>
  <c r="P965" i="37"/>
  <c r="P966" i="37"/>
  <c r="P967" i="37"/>
  <c r="P968" i="37"/>
  <c r="P969" i="37"/>
  <c r="P970" i="37"/>
  <c r="P971" i="37"/>
  <c r="P972" i="37"/>
  <c r="P973" i="37"/>
  <c r="P974" i="37"/>
  <c r="P975" i="37"/>
  <c r="P976" i="37"/>
  <c r="P977" i="37"/>
  <c r="P978" i="37"/>
  <c r="P979" i="37"/>
  <c r="P980" i="37"/>
  <c r="P981" i="37"/>
  <c r="P982" i="37"/>
  <c r="P983" i="37"/>
  <c r="P984" i="37"/>
  <c r="P985" i="37"/>
  <c r="P986" i="37"/>
  <c r="P987" i="37"/>
  <c r="P988" i="37"/>
  <c r="P989" i="37"/>
  <c r="P990" i="37"/>
  <c r="P991" i="37"/>
  <c r="P992" i="37"/>
  <c r="P993" i="37"/>
  <c r="P994" i="37"/>
  <c r="P995" i="37"/>
  <c r="P996" i="37"/>
  <c r="P997" i="37"/>
  <c r="P998" i="37"/>
  <c r="P999" i="37"/>
  <c r="P1000" i="37"/>
  <c r="P1001" i="37"/>
  <c r="P1002" i="37"/>
  <c r="P1003" i="37"/>
  <c r="P1004" i="37"/>
  <c r="P1005" i="37"/>
  <c r="P1006" i="37"/>
  <c r="P1007" i="37"/>
  <c r="P1008" i="37"/>
  <c r="P1009" i="37"/>
  <c r="P1010" i="37"/>
  <c r="P1011" i="37"/>
  <c r="P1012" i="37"/>
  <c r="P1013" i="37"/>
  <c r="P1014" i="37"/>
  <c r="P1015" i="37"/>
  <c r="P1016" i="37"/>
  <c r="P1017" i="37"/>
  <c r="P1018" i="37"/>
  <c r="P1019" i="37"/>
  <c r="P1020" i="37"/>
  <c r="P1021" i="37"/>
  <c r="P1022" i="37"/>
  <c r="P1023" i="37"/>
  <c r="P1024" i="37"/>
  <c r="P1025" i="37"/>
  <c r="P1026" i="37"/>
  <c r="P1027" i="37"/>
  <c r="P1028" i="37"/>
  <c r="P1029" i="37"/>
  <c r="P1030" i="37"/>
  <c r="P1031" i="37"/>
  <c r="P1032" i="37"/>
  <c r="P1033" i="37"/>
  <c r="P1034" i="37"/>
  <c r="P1035" i="37"/>
  <c r="P1036" i="37"/>
  <c r="P1037" i="37"/>
  <c r="P1038" i="37"/>
  <c r="P1039" i="37"/>
  <c r="P1040" i="37"/>
  <c r="P1041" i="37"/>
  <c r="P1042" i="37"/>
  <c r="P1043" i="37"/>
  <c r="P1044" i="37"/>
  <c r="P1045" i="37"/>
  <c r="P1046" i="37"/>
  <c r="P1047" i="37"/>
  <c r="P1048" i="37"/>
  <c r="P1049" i="37"/>
  <c r="P1050" i="37"/>
  <c r="P1051" i="37"/>
  <c r="P1052" i="37"/>
  <c r="P1053" i="37"/>
  <c r="P1054" i="37"/>
  <c r="P1055" i="37"/>
  <c r="P1056" i="37"/>
  <c r="P1057" i="37"/>
  <c r="P1058" i="37"/>
  <c r="P1059" i="37"/>
  <c r="P1060" i="37"/>
  <c r="P1061" i="37"/>
  <c r="P1062" i="37"/>
  <c r="P1063" i="37"/>
  <c r="P1064" i="37"/>
  <c r="P1065" i="37"/>
  <c r="P1066" i="37"/>
  <c r="P1067" i="37"/>
  <c r="P1068" i="37"/>
  <c r="P1069" i="37"/>
  <c r="P1070" i="37"/>
  <c r="P1071" i="37"/>
  <c r="P1072" i="37"/>
  <c r="P1073" i="37"/>
  <c r="P1074" i="37"/>
  <c r="P1075" i="37"/>
  <c r="P1076" i="37"/>
  <c r="P1077" i="37"/>
  <c r="P1078" i="37"/>
  <c r="P1079" i="37"/>
  <c r="P1080" i="37"/>
  <c r="P1081" i="37"/>
  <c r="P1082" i="37"/>
  <c r="P1083" i="37"/>
  <c r="P1084" i="37"/>
  <c r="P1085" i="37"/>
  <c r="P1086" i="37"/>
  <c r="P1087" i="37"/>
  <c r="P1088" i="37"/>
  <c r="P1089" i="37"/>
  <c r="P1090" i="37"/>
  <c r="P1091" i="37"/>
  <c r="P1092" i="37"/>
  <c r="P1093" i="37"/>
  <c r="P1094" i="37"/>
  <c r="P1095" i="37"/>
  <c r="P1096" i="37"/>
  <c r="P1097" i="37"/>
  <c r="P1098" i="37"/>
  <c r="P1099" i="37"/>
  <c r="P1100" i="37"/>
  <c r="P1101" i="37"/>
  <c r="P1102" i="37"/>
  <c r="P1103" i="37"/>
  <c r="P1104" i="37"/>
  <c r="P1105" i="37"/>
  <c r="P1106" i="37"/>
  <c r="P1107" i="37"/>
  <c r="P1108" i="37"/>
  <c r="P1109" i="37"/>
  <c r="P1110" i="37"/>
  <c r="P1111" i="37"/>
  <c r="P1112" i="37"/>
  <c r="P1113" i="37"/>
  <c r="P1114" i="37"/>
  <c r="P1115" i="37"/>
  <c r="P1116" i="37"/>
  <c r="P1117" i="37"/>
  <c r="P1118" i="37"/>
  <c r="P1119" i="37"/>
  <c r="P1120" i="37"/>
  <c r="P1121" i="37"/>
  <c r="P1122" i="37"/>
  <c r="P1123" i="37"/>
  <c r="P1124" i="37"/>
  <c r="P1125" i="37"/>
  <c r="P1126" i="37"/>
  <c r="P1127" i="37"/>
  <c r="P1128" i="37"/>
  <c r="P1129" i="37"/>
  <c r="P1130" i="37"/>
  <c r="P1131" i="37"/>
  <c r="P1132" i="37"/>
  <c r="P1133" i="37"/>
  <c r="P1134" i="37"/>
  <c r="P1135" i="37"/>
  <c r="P1136" i="37"/>
  <c r="P1137" i="37"/>
  <c r="P1138" i="37"/>
  <c r="P1139" i="37"/>
  <c r="P1140" i="37"/>
  <c r="P1141" i="37"/>
  <c r="P1142" i="37"/>
  <c r="P1143" i="37"/>
  <c r="P1144" i="37"/>
  <c r="P1145" i="37"/>
  <c r="P1146" i="37"/>
  <c r="P1147" i="37"/>
  <c r="P1148" i="37"/>
  <c r="P1149" i="37"/>
  <c r="P1150" i="37"/>
  <c r="P1151" i="37"/>
  <c r="P1152" i="37"/>
  <c r="P1153" i="37"/>
  <c r="P1154" i="37"/>
  <c r="P1155" i="37"/>
  <c r="P1156" i="37"/>
  <c r="P1157" i="37"/>
  <c r="P1158" i="37"/>
  <c r="P1159" i="37"/>
  <c r="P1160" i="37"/>
  <c r="P1161" i="37"/>
  <c r="P1162" i="37"/>
  <c r="P1163" i="37"/>
  <c r="P1164" i="37"/>
  <c r="P1165" i="37"/>
  <c r="P1166" i="37"/>
  <c r="P1167" i="37"/>
  <c r="P1168" i="37"/>
  <c r="P1169" i="37"/>
  <c r="P1170" i="37"/>
  <c r="P1171" i="37"/>
  <c r="P1172" i="37"/>
  <c r="P1173" i="37"/>
  <c r="P1174" i="37"/>
  <c r="P1175" i="37"/>
  <c r="P1176" i="37"/>
  <c r="P1177" i="37"/>
  <c r="P1178" i="37"/>
  <c r="P1179" i="37"/>
  <c r="P1180" i="37"/>
  <c r="P1181" i="37"/>
  <c r="P1182" i="37"/>
  <c r="P1183" i="37"/>
  <c r="P1184" i="37"/>
  <c r="P1185" i="37"/>
  <c r="P1186" i="37"/>
  <c r="P1187" i="37"/>
  <c r="P1188" i="37"/>
  <c r="P1189" i="37"/>
  <c r="P1190" i="37"/>
  <c r="P1191" i="37"/>
  <c r="P1192" i="37"/>
  <c r="P1193" i="37"/>
  <c r="P1194" i="37"/>
  <c r="P1195" i="37"/>
  <c r="P1196" i="37"/>
  <c r="P1197" i="37"/>
  <c r="P1198" i="37"/>
  <c r="P1199" i="37"/>
  <c r="P1200" i="37"/>
  <c r="P1201" i="37"/>
  <c r="P1202" i="37"/>
  <c r="P1203" i="37"/>
  <c r="P1204" i="37"/>
  <c r="P1205" i="37"/>
  <c r="P1206" i="37"/>
  <c r="P1207" i="37"/>
  <c r="P1208" i="37"/>
  <c r="P1209" i="37"/>
  <c r="P1210" i="37"/>
  <c r="P1211" i="37"/>
  <c r="P1212" i="37"/>
  <c r="P1213" i="37"/>
  <c r="P1214" i="37"/>
  <c r="P1215" i="37"/>
  <c r="P1216" i="37"/>
  <c r="P1217" i="37"/>
  <c r="P1218" i="37"/>
  <c r="P1219" i="37"/>
  <c r="P1220" i="37"/>
  <c r="P1221" i="37"/>
  <c r="P1222" i="37"/>
  <c r="P1223" i="37"/>
  <c r="P1224" i="37"/>
  <c r="P1225" i="37"/>
  <c r="P1226" i="37"/>
  <c r="P1227" i="37"/>
  <c r="P1228" i="37"/>
  <c r="P1229" i="37"/>
  <c r="P1230" i="37"/>
  <c r="P1231" i="37"/>
  <c r="P1232" i="37"/>
  <c r="P1233" i="37"/>
  <c r="P1234" i="37"/>
  <c r="P1235" i="37"/>
  <c r="P1236" i="37"/>
  <c r="P1237" i="37"/>
  <c r="P1238" i="37"/>
  <c r="P1239" i="37"/>
  <c r="P1240" i="37"/>
  <c r="P1241" i="37"/>
  <c r="P1242" i="37"/>
  <c r="P1243" i="37"/>
  <c r="P1244" i="37"/>
  <c r="P1245" i="37"/>
  <c r="P1246" i="37"/>
  <c r="P1247" i="37"/>
  <c r="P1248" i="37"/>
  <c r="P1249" i="37"/>
  <c r="P1250" i="37"/>
  <c r="P1251" i="37"/>
  <c r="P1252" i="37"/>
  <c r="P1253" i="37"/>
  <c r="P1254" i="37"/>
  <c r="P1255" i="37"/>
  <c r="P1256" i="37"/>
  <c r="P1257" i="37"/>
  <c r="P1258" i="37"/>
  <c r="P1259" i="37"/>
  <c r="P1260" i="37"/>
  <c r="P1261" i="37"/>
  <c r="P1262" i="37"/>
  <c r="P1263" i="37"/>
  <c r="P1264" i="37"/>
  <c r="P1265" i="37"/>
  <c r="P1266" i="37"/>
  <c r="P1267" i="37"/>
  <c r="P1268" i="37"/>
  <c r="P1269" i="37"/>
  <c r="P1270" i="37"/>
  <c r="P1271" i="37"/>
  <c r="P1272" i="37"/>
  <c r="P1273" i="37"/>
  <c r="P1274" i="37"/>
  <c r="P1275" i="37"/>
  <c r="P1276" i="37"/>
  <c r="P1277" i="37"/>
  <c r="P1278" i="37"/>
  <c r="P1279" i="37"/>
  <c r="P1280" i="37"/>
  <c r="P1281" i="37"/>
  <c r="P1282" i="37"/>
  <c r="P1283" i="37"/>
  <c r="P1284" i="37"/>
  <c r="P1285" i="37"/>
  <c r="P1286" i="37"/>
  <c r="P1287" i="37"/>
  <c r="P1288" i="37"/>
  <c r="P1289" i="37"/>
  <c r="P1290" i="37"/>
  <c r="P1291" i="37"/>
  <c r="P1292" i="37"/>
  <c r="P1293" i="37"/>
  <c r="P1294" i="37"/>
  <c r="P1295" i="37"/>
  <c r="P1296" i="37"/>
  <c r="P1297" i="37"/>
  <c r="P1298" i="37"/>
  <c r="P1299" i="37"/>
  <c r="P1300" i="37"/>
  <c r="P1301" i="37"/>
  <c r="P1302" i="37"/>
  <c r="P1303" i="37"/>
  <c r="P1304" i="37"/>
  <c r="P1305" i="37"/>
  <c r="P1306" i="37"/>
  <c r="P1307" i="37"/>
  <c r="P1308" i="37"/>
  <c r="P1309" i="37"/>
  <c r="P1310" i="37"/>
  <c r="P1311" i="37"/>
  <c r="P1312" i="37"/>
  <c r="P1313" i="37"/>
  <c r="P1314" i="37"/>
  <c r="P1315" i="37"/>
  <c r="P1316" i="37"/>
  <c r="P1317" i="37"/>
  <c r="P1318" i="37"/>
  <c r="P1319" i="37"/>
  <c r="P1320" i="37"/>
  <c r="P1321" i="37"/>
  <c r="P1322" i="37"/>
  <c r="P1323" i="37"/>
  <c r="P1324" i="37"/>
  <c r="P1325" i="37"/>
  <c r="P1326" i="37"/>
  <c r="P1327" i="37"/>
  <c r="P1328" i="37"/>
  <c r="P1329" i="37"/>
  <c r="P1330" i="37"/>
  <c r="P1331" i="37"/>
  <c r="P1332" i="37"/>
  <c r="P1333" i="37"/>
  <c r="P1334" i="37"/>
  <c r="P1335" i="37"/>
  <c r="P1336" i="37"/>
  <c r="P1337" i="37"/>
  <c r="P1338" i="37"/>
  <c r="P1339" i="37"/>
  <c r="P1340" i="37"/>
  <c r="P1341" i="37"/>
  <c r="P1342" i="37"/>
  <c r="P1343" i="37"/>
  <c r="P1344" i="37"/>
  <c r="P1345" i="37"/>
  <c r="P1346" i="37"/>
  <c r="P1347" i="37"/>
  <c r="P1348" i="37"/>
  <c r="P1349" i="37"/>
  <c r="P1350" i="37"/>
  <c r="P1351" i="37"/>
  <c r="P1352" i="37"/>
  <c r="P1353" i="37"/>
  <c r="P1354" i="37"/>
  <c r="P1355" i="37"/>
  <c r="P1356" i="37"/>
  <c r="P1357" i="37"/>
  <c r="P1358" i="37"/>
  <c r="P1359" i="37"/>
  <c r="P1360" i="37"/>
  <c r="P1361" i="37"/>
  <c r="P1362" i="37"/>
  <c r="P1363" i="37"/>
  <c r="P1364" i="37"/>
  <c r="P1365" i="37"/>
  <c r="P1366" i="37"/>
  <c r="P1367" i="37"/>
  <c r="P1368" i="37"/>
  <c r="P1369" i="37"/>
  <c r="P1370" i="37"/>
  <c r="P1371" i="37"/>
  <c r="P1372" i="37"/>
  <c r="P1373" i="37"/>
  <c r="P1374" i="37"/>
  <c r="P1375" i="37"/>
  <c r="P1376" i="37"/>
  <c r="P1377" i="37"/>
  <c r="P1378" i="37"/>
  <c r="P1379" i="37"/>
  <c r="P1380" i="37"/>
  <c r="P1381" i="37"/>
  <c r="P1382" i="37"/>
  <c r="P1383" i="37"/>
  <c r="P1384" i="37"/>
  <c r="P1385" i="37"/>
  <c r="P1386" i="37"/>
  <c r="P1387" i="37"/>
  <c r="P1388" i="37"/>
  <c r="P1389" i="37"/>
  <c r="P1390" i="37"/>
  <c r="P1391" i="37"/>
  <c r="P1392" i="37"/>
  <c r="P1393" i="37"/>
  <c r="P1394" i="37"/>
  <c r="P1395" i="37"/>
  <c r="P1396" i="37"/>
  <c r="P1397" i="37"/>
  <c r="P1398" i="37"/>
  <c r="P1399" i="37"/>
  <c r="P1400" i="37"/>
  <c r="P1401" i="37"/>
  <c r="P1402" i="37"/>
  <c r="P1403" i="37"/>
  <c r="P1404" i="37"/>
  <c r="P1405" i="37"/>
  <c r="P1406" i="37"/>
  <c r="P1407" i="37"/>
  <c r="P1408" i="37"/>
  <c r="P1409" i="37"/>
  <c r="P1410" i="37"/>
  <c r="P1411" i="37"/>
  <c r="P1412" i="37"/>
  <c r="P1413" i="37"/>
  <c r="P1414" i="37"/>
  <c r="P1415" i="37"/>
  <c r="P1416" i="37"/>
  <c r="P1417" i="37"/>
  <c r="P1418" i="37"/>
  <c r="P1419" i="37"/>
  <c r="P1420" i="37"/>
  <c r="P1421" i="37"/>
  <c r="P1422" i="37"/>
  <c r="P1423" i="37"/>
  <c r="P1424" i="37"/>
  <c r="P1425" i="37"/>
  <c r="P1426" i="37"/>
  <c r="P1427" i="37"/>
  <c r="P1428" i="37"/>
  <c r="P1429" i="37"/>
  <c r="P1430" i="37"/>
  <c r="P1431" i="37"/>
  <c r="P1432" i="37"/>
  <c r="P1433" i="37"/>
  <c r="P1434" i="37"/>
  <c r="P1435" i="37"/>
  <c r="P1436" i="37"/>
  <c r="P1437" i="37"/>
  <c r="P1438" i="37"/>
  <c r="P1439" i="37"/>
  <c r="P1440" i="37"/>
  <c r="P1441" i="37"/>
  <c r="P1442" i="37"/>
  <c r="P1443" i="37"/>
  <c r="P1444" i="37"/>
  <c r="P1445" i="37"/>
  <c r="P1446" i="37"/>
  <c r="P1447" i="37"/>
  <c r="P1448" i="37"/>
  <c r="P1449" i="37"/>
  <c r="P1450" i="37"/>
  <c r="P1451" i="37"/>
  <c r="P1452" i="37"/>
  <c r="P1453" i="37"/>
  <c r="P1454" i="37"/>
  <c r="P1455" i="37"/>
  <c r="P1456" i="37"/>
  <c r="P1457" i="37"/>
  <c r="P1458" i="37"/>
  <c r="P1459" i="37"/>
  <c r="P1460" i="37"/>
  <c r="P1461" i="37"/>
  <c r="P1462" i="37"/>
  <c r="P1463" i="37"/>
  <c r="P1464" i="37"/>
  <c r="P1465" i="37"/>
  <c r="P1466" i="37"/>
  <c r="P1467" i="37"/>
  <c r="P1468" i="37"/>
  <c r="P1469" i="37"/>
  <c r="P1470" i="37"/>
  <c r="P1471" i="37"/>
  <c r="P1472" i="37"/>
  <c r="P1473" i="37"/>
  <c r="P1474" i="37"/>
  <c r="P1475" i="37"/>
  <c r="P1476" i="37"/>
  <c r="P1477" i="37"/>
  <c r="P1478" i="37"/>
  <c r="P1479" i="37"/>
  <c r="P1480" i="37"/>
  <c r="P1481" i="37"/>
  <c r="P1482" i="37"/>
  <c r="P1483" i="37"/>
  <c r="P1484" i="37"/>
  <c r="P1485" i="37"/>
  <c r="P1486" i="37"/>
  <c r="P1487" i="37"/>
  <c r="P1488" i="37"/>
  <c r="P1489" i="37"/>
  <c r="P1490" i="37"/>
  <c r="P1491" i="37"/>
  <c r="P1492" i="37"/>
  <c r="P1493" i="37"/>
  <c r="P1494" i="37"/>
  <c r="P1495" i="37"/>
  <c r="P1496" i="37"/>
  <c r="P1497" i="37"/>
  <c r="P1498" i="37"/>
  <c r="P1499" i="37"/>
  <c r="P1500" i="37"/>
  <c r="P1501" i="37"/>
  <c r="P1502" i="37"/>
  <c r="P1503" i="37"/>
  <c r="P1504" i="37"/>
  <c r="P1505" i="37"/>
  <c r="P1506" i="37"/>
  <c r="P1507" i="37"/>
  <c r="P1508" i="37"/>
  <c r="P1509" i="37"/>
  <c r="P1510" i="37"/>
  <c r="P1511" i="37"/>
  <c r="P1512" i="37"/>
  <c r="P1513" i="37"/>
  <c r="P1514" i="37"/>
  <c r="P1515" i="37"/>
  <c r="P1516" i="37"/>
  <c r="P1517" i="37"/>
  <c r="P1518" i="37"/>
  <c r="P1519" i="37"/>
  <c r="P1520" i="37"/>
  <c r="P1521" i="37"/>
  <c r="P1522" i="37"/>
  <c r="P1523" i="37"/>
  <c r="P1524" i="37"/>
  <c r="P1525" i="37"/>
  <c r="P1526" i="37"/>
  <c r="P1527" i="37"/>
  <c r="P1528" i="37"/>
  <c r="P1529" i="37"/>
  <c r="P1530" i="37"/>
  <c r="P1531" i="37"/>
  <c r="P1532" i="37"/>
  <c r="P1533" i="37"/>
  <c r="P1534" i="37"/>
  <c r="P1535" i="37"/>
  <c r="P1536" i="37"/>
  <c r="P1537" i="37"/>
  <c r="P1538" i="37"/>
  <c r="P1539" i="37"/>
  <c r="P1540" i="37"/>
  <c r="P1541" i="37"/>
  <c r="P1542" i="37"/>
  <c r="P1543" i="37"/>
  <c r="P1544" i="37"/>
  <c r="P1545" i="37"/>
  <c r="P1546" i="37"/>
  <c r="P1547" i="37"/>
  <c r="P1548" i="37"/>
  <c r="P1549" i="37"/>
  <c r="P1550" i="37"/>
  <c r="P1551" i="37"/>
  <c r="P1552" i="37"/>
  <c r="P1553" i="37"/>
  <c r="P1554" i="37"/>
  <c r="P1555" i="37"/>
  <c r="P1556" i="37"/>
  <c r="P1557" i="37"/>
  <c r="P1558" i="37"/>
  <c r="P1559" i="37"/>
  <c r="P1560" i="37"/>
  <c r="P1561" i="37"/>
  <c r="P1562" i="37"/>
  <c r="P1563" i="37"/>
  <c r="P1564" i="37"/>
  <c r="P1565" i="37"/>
  <c r="P1566" i="37"/>
  <c r="P1567" i="37"/>
  <c r="P1568" i="37"/>
  <c r="P1569" i="37"/>
  <c r="P1570" i="37"/>
  <c r="P1571" i="37"/>
  <c r="P1572" i="37"/>
  <c r="P1573" i="37"/>
  <c r="P1574" i="37"/>
  <c r="P1575" i="37"/>
  <c r="P1576" i="37"/>
  <c r="P1577" i="37"/>
  <c r="P1578" i="37"/>
  <c r="P1579" i="37"/>
  <c r="P1580" i="37"/>
  <c r="P1581" i="37"/>
  <c r="P1582" i="37"/>
  <c r="P1583" i="37"/>
  <c r="P1584" i="37"/>
  <c r="P1585" i="37"/>
  <c r="P1586" i="37"/>
  <c r="P1587" i="37"/>
  <c r="P1588" i="37"/>
  <c r="P1589" i="37"/>
  <c r="P1590" i="37"/>
  <c r="P1591" i="37"/>
  <c r="P1592" i="37"/>
  <c r="P1593" i="37"/>
  <c r="P1594" i="37"/>
  <c r="P1595" i="37"/>
  <c r="P1596" i="37"/>
  <c r="P1597" i="37"/>
  <c r="P1598" i="37"/>
  <c r="P1599" i="37"/>
  <c r="P1600" i="37"/>
  <c r="P1601" i="37"/>
  <c r="P1602" i="37"/>
  <c r="P1603" i="37"/>
  <c r="P1604" i="37"/>
  <c r="P1605" i="37"/>
  <c r="P1606" i="37"/>
  <c r="P1607" i="37"/>
  <c r="P1608" i="37"/>
  <c r="P1609" i="37"/>
  <c r="P1610" i="37"/>
  <c r="P1611" i="37"/>
  <c r="P1612" i="37"/>
  <c r="P1613" i="37"/>
  <c r="P1614" i="37"/>
  <c r="P1615" i="37"/>
  <c r="P1616" i="37"/>
  <c r="P1617" i="37"/>
  <c r="P1618" i="37"/>
  <c r="P1619" i="37"/>
  <c r="P1620" i="37"/>
  <c r="P1621" i="37"/>
  <c r="P1622" i="37"/>
  <c r="P1623" i="37"/>
  <c r="P1624" i="37"/>
  <c r="P1625" i="37"/>
  <c r="P1626" i="37"/>
  <c r="P1627" i="37"/>
  <c r="P1628" i="37"/>
  <c r="P1629" i="37"/>
  <c r="P1630" i="37"/>
  <c r="P1631" i="37"/>
  <c r="P1632" i="37"/>
  <c r="P1633" i="37"/>
  <c r="P1634" i="37"/>
  <c r="P1635" i="37"/>
  <c r="P1636" i="37"/>
  <c r="P1637" i="37"/>
  <c r="P1638" i="37"/>
  <c r="P1639" i="37"/>
  <c r="P1640" i="37"/>
  <c r="P1641" i="37"/>
  <c r="P1642" i="37"/>
  <c r="P1643" i="37"/>
  <c r="P1644" i="37"/>
  <c r="P1645" i="37"/>
  <c r="P1646" i="37"/>
  <c r="P1647" i="37"/>
  <c r="P1648" i="37"/>
  <c r="P1649" i="37"/>
  <c r="P1650" i="37"/>
  <c r="P1651" i="37"/>
  <c r="P1652" i="37"/>
  <c r="P1653" i="37"/>
  <c r="P1654" i="37"/>
  <c r="P1655" i="37"/>
  <c r="P1656" i="37"/>
  <c r="P1657" i="37"/>
  <c r="P1658" i="37"/>
  <c r="P1659" i="37"/>
  <c r="P1660" i="37"/>
  <c r="P1661" i="37"/>
  <c r="P1662" i="37"/>
  <c r="P1663" i="37"/>
  <c r="P1664" i="37"/>
  <c r="P1665" i="37"/>
  <c r="P1666" i="37"/>
  <c r="P1667" i="37"/>
  <c r="P1668" i="37"/>
  <c r="P1669" i="37"/>
  <c r="P1670" i="37"/>
  <c r="P1671" i="37"/>
  <c r="P1672" i="37"/>
  <c r="P1673" i="37"/>
  <c r="P1674" i="37"/>
  <c r="P1675" i="37"/>
  <c r="P1676" i="37"/>
  <c r="P1677" i="37"/>
  <c r="P1678" i="37"/>
  <c r="P1679" i="37"/>
  <c r="P1680" i="37"/>
  <c r="P1681" i="37"/>
  <c r="P1682" i="37"/>
  <c r="P1683" i="37"/>
  <c r="P1684" i="37"/>
  <c r="P1685" i="37"/>
  <c r="P1686" i="37"/>
  <c r="P1687" i="37"/>
  <c r="P1688" i="37"/>
  <c r="P1689" i="37"/>
  <c r="P1690" i="37"/>
  <c r="P1691" i="37"/>
  <c r="P1692" i="37"/>
  <c r="P1693" i="37"/>
  <c r="P1694" i="37"/>
  <c r="P1695" i="37"/>
  <c r="P1696" i="37"/>
  <c r="P1697" i="37"/>
  <c r="P1698" i="37"/>
  <c r="P1699" i="37"/>
  <c r="P1700" i="37"/>
  <c r="P1701" i="37"/>
  <c r="P1702" i="37"/>
  <c r="P1703" i="37"/>
  <c r="P1704" i="37"/>
  <c r="P1705" i="37"/>
  <c r="P1706" i="37"/>
  <c r="P1707" i="37"/>
  <c r="P1708" i="37"/>
  <c r="P1709" i="37"/>
  <c r="P1710" i="37"/>
  <c r="P1711" i="37"/>
  <c r="P1712" i="37"/>
  <c r="P1713" i="37"/>
  <c r="P1714" i="37"/>
  <c r="P1715" i="37"/>
  <c r="P1716" i="37"/>
  <c r="P1717" i="37"/>
  <c r="P1718" i="37"/>
  <c r="P1719" i="37"/>
  <c r="P1720" i="37"/>
  <c r="P1721" i="37"/>
  <c r="P1722" i="37"/>
  <c r="P1723" i="37"/>
  <c r="P1724" i="37"/>
  <c r="P1725" i="37"/>
  <c r="P1726" i="37"/>
  <c r="P1727" i="37"/>
  <c r="P1728" i="37"/>
  <c r="P1729" i="37"/>
  <c r="P1730" i="37"/>
  <c r="P1731" i="37"/>
  <c r="P1732" i="37"/>
  <c r="P1733" i="37"/>
  <c r="P1734" i="37"/>
  <c r="P1735" i="37"/>
  <c r="P1736" i="37"/>
  <c r="P1737" i="37"/>
  <c r="P1738" i="37"/>
  <c r="P1739" i="37"/>
  <c r="P1740" i="37"/>
  <c r="P1741" i="37"/>
  <c r="P1742" i="37"/>
  <c r="P1743" i="37"/>
  <c r="P1744" i="37"/>
  <c r="P1745" i="37"/>
  <c r="P1746" i="37"/>
  <c r="P1747" i="37"/>
  <c r="P1748" i="37"/>
  <c r="P1749" i="37"/>
  <c r="P1750" i="37"/>
  <c r="P1751" i="37"/>
  <c r="P1752" i="37"/>
  <c r="P1753" i="37"/>
  <c r="P1754" i="37"/>
  <c r="P1755" i="37"/>
  <c r="P1756" i="37"/>
  <c r="P1757" i="37"/>
  <c r="P1758" i="37"/>
  <c r="P1759" i="37"/>
  <c r="P1760" i="37"/>
  <c r="P1761" i="37"/>
  <c r="P1762" i="37"/>
  <c r="P1763" i="37"/>
  <c r="P1764" i="37"/>
  <c r="P1765" i="37"/>
  <c r="P1766" i="37"/>
  <c r="P1767" i="37"/>
  <c r="P1768" i="37"/>
  <c r="P1769" i="37"/>
  <c r="P1770" i="37"/>
  <c r="P1771" i="37"/>
  <c r="P1772" i="37"/>
  <c r="P1773" i="37"/>
  <c r="P1774" i="37"/>
  <c r="P1775" i="37"/>
  <c r="P1776" i="37"/>
  <c r="P1777" i="37"/>
  <c r="P1778" i="37"/>
  <c r="P1779" i="37"/>
  <c r="P1780" i="37"/>
  <c r="P1781" i="37"/>
  <c r="P1782" i="37"/>
  <c r="P1783" i="37"/>
  <c r="P1784" i="37"/>
  <c r="P1785" i="37"/>
  <c r="P1786" i="37"/>
  <c r="P1787" i="37"/>
  <c r="P1788" i="37"/>
  <c r="P1789" i="37"/>
  <c r="P1790" i="37"/>
  <c r="P1791" i="37"/>
  <c r="P1792" i="37"/>
  <c r="P1793" i="37"/>
  <c r="P1794" i="37"/>
  <c r="P1795" i="37"/>
  <c r="P1796" i="37"/>
  <c r="P1797" i="37"/>
  <c r="P1798" i="37"/>
  <c r="P1799" i="37"/>
  <c r="P1800" i="37"/>
  <c r="P1801" i="37"/>
  <c r="P1802" i="37"/>
  <c r="P1803" i="37"/>
  <c r="P1804" i="37"/>
  <c r="P1805" i="37"/>
  <c r="P1806" i="37"/>
  <c r="P1807" i="37"/>
  <c r="P1808" i="37"/>
  <c r="P1809" i="37"/>
  <c r="P1810" i="37"/>
  <c r="P1811" i="37"/>
  <c r="P1812" i="37"/>
  <c r="P1813" i="37"/>
  <c r="P1814" i="37"/>
  <c r="P1815" i="37"/>
  <c r="P1816" i="37"/>
  <c r="P1817" i="37"/>
  <c r="P1818" i="37"/>
  <c r="P1819" i="37"/>
  <c r="P1820" i="37"/>
  <c r="P1821" i="37"/>
  <c r="P1822" i="37"/>
  <c r="P1823" i="37"/>
  <c r="P1824" i="37"/>
  <c r="P1825" i="37"/>
  <c r="P1826" i="37"/>
  <c r="P1827" i="37"/>
  <c r="P1828" i="37"/>
  <c r="P1829" i="37"/>
  <c r="P1830" i="37"/>
  <c r="P1831" i="37"/>
  <c r="P1832" i="37"/>
  <c r="P1833" i="37"/>
  <c r="P1834" i="37"/>
  <c r="P1835" i="37"/>
  <c r="P1836" i="37"/>
  <c r="P1837" i="37"/>
  <c r="P1838" i="37"/>
  <c r="P1839" i="37"/>
  <c r="P1840" i="37"/>
  <c r="P1841" i="37"/>
  <c r="P1842" i="37"/>
  <c r="P1843" i="37"/>
  <c r="P1844" i="37"/>
  <c r="P1845" i="37"/>
  <c r="P1846" i="37"/>
  <c r="P1847" i="37"/>
  <c r="P1848" i="37"/>
  <c r="P1849" i="37"/>
  <c r="P1850" i="37"/>
  <c r="P1851" i="37"/>
  <c r="P1852" i="37"/>
  <c r="P1853" i="37"/>
  <c r="P1854" i="37"/>
  <c r="P1855" i="37"/>
  <c r="P1856" i="37"/>
  <c r="P1857" i="37"/>
  <c r="P1858" i="37"/>
  <c r="P1859" i="37"/>
  <c r="P1860" i="37"/>
  <c r="P1861" i="37"/>
  <c r="P1862" i="37"/>
  <c r="P1863" i="37"/>
  <c r="P1864" i="37"/>
  <c r="P1865" i="37"/>
  <c r="P1866" i="37"/>
  <c r="P1867" i="37"/>
  <c r="P1868" i="37"/>
  <c r="P1869" i="37"/>
  <c r="P1870" i="37"/>
  <c r="P1871" i="37"/>
  <c r="P1872" i="37"/>
  <c r="P1873" i="37"/>
  <c r="P1874" i="37"/>
  <c r="P1875" i="37"/>
  <c r="P1876" i="37"/>
  <c r="P1877" i="37"/>
  <c r="P1878" i="37"/>
  <c r="P1879" i="37"/>
  <c r="P1880" i="37"/>
  <c r="P1881" i="37"/>
  <c r="P1882" i="37"/>
  <c r="P1883" i="37"/>
  <c r="P1884" i="37"/>
  <c r="P1885" i="37"/>
  <c r="P1886" i="37"/>
  <c r="P1887" i="37"/>
  <c r="P1888" i="37"/>
  <c r="P1889" i="37"/>
  <c r="P1890" i="37"/>
  <c r="P1891" i="37"/>
  <c r="P1892" i="37"/>
  <c r="P1893" i="37"/>
  <c r="P1894" i="37"/>
  <c r="P1895" i="37"/>
  <c r="P1896" i="37"/>
  <c r="P1897" i="37"/>
  <c r="P1898" i="37"/>
  <c r="P1899" i="37"/>
  <c r="P1900" i="37"/>
  <c r="P1901" i="37"/>
  <c r="P1902" i="37"/>
  <c r="P1903" i="37"/>
  <c r="P1904" i="37"/>
  <c r="P1905" i="37"/>
  <c r="P1906" i="37"/>
  <c r="P1907" i="37"/>
  <c r="P1908" i="37"/>
  <c r="P1909" i="37"/>
  <c r="P1910" i="37"/>
  <c r="P1911" i="37"/>
  <c r="P1912" i="37"/>
  <c r="P1913" i="37"/>
  <c r="P1914" i="37"/>
  <c r="P1915" i="37"/>
  <c r="P1916" i="37"/>
  <c r="P1917" i="37"/>
  <c r="P1918" i="37"/>
  <c r="P1919" i="37"/>
  <c r="P1920" i="37"/>
  <c r="P1921" i="37"/>
  <c r="P1922" i="37"/>
  <c r="P1923" i="37"/>
  <c r="P1924" i="37"/>
  <c r="P1925" i="37"/>
  <c r="P1926" i="37"/>
  <c r="P1927" i="37"/>
  <c r="P1928" i="37"/>
  <c r="P1929" i="37"/>
  <c r="P1930" i="37"/>
  <c r="P1931" i="37"/>
  <c r="P1932" i="37"/>
  <c r="P1933" i="37"/>
  <c r="P1934" i="37"/>
  <c r="P1935" i="37"/>
  <c r="P1936" i="37"/>
  <c r="P1937" i="37"/>
  <c r="P1938" i="37"/>
  <c r="P1939" i="37"/>
  <c r="P1940" i="37"/>
  <c r="P1941" i="37"/>
  <c r="P1942" i="37"/>
  <c r="P1943" i="37"/>
  <c r="P1944" i="37"/>
  <c r="P1945" i="37"/>
  <c r="P1946" i="37"/>
  <c r="P1947" i="37"/>
  <c r="P1948" i="37"/>
  <c r="P1949" i="37"/>
  <c r="P1950" i="37"/>
  <c r="P1951" i="37"/>
  <c r="P1952" i="37"/>
  <c r="P1953" i="37"/>
  <c r="P1954" i="37"/>
  <c r="P1955" i="37"/>
  <c r="P1956" i="37"/>
  <c r="P1957" i="37"/>
  <c r="P1958" i="37"/>
  <c r="P1959" i="37"/>
  <c r="P1960" i="37"/>
  <c r="P1961" i="37"/>
  <c r="P1962" i="37"/>
  <c r="P1963" i="37"/>
  <c r="P1964" i="37"/>
  <c r="P1965" i="37"/>
  <c r="P1966" i="37"/>
  <c r="P1967" i="37"/>
  <c r="P1968" i="37"/>
  <c r="P1969" i="37"/>
  <c r="P1970" i="37"/>
  <c r="P1971" i="37"/>
  <c r="P1972" i="37"/>
  <c r="P1973" i="37"/>
  <c r="P1974" i="37"/>
  <c r="P1975" i="37"/>
  <c r="P1976" i="37"/>
  <c r="P1977" i="37"/>
  <c r="P1978" i="37"/>
  <c r="P1979" i="37"/>
  <c r="P1980" i="37"/>
  <c r="P1981" i="37"/>
  <c r="P1982" i="37"/>
  <c r="P1983" i="37"/>
  <c r="P1984" i="37"/>
  <c r="P1985" i="37"/>
  <c r="P1986" i="37"/>
  <c r="P1987" i="37"/>
  <c r="P1988" i="37"/>
  <c r="P1989" i="37"/>
  <c r="P1990" i="37"/>
  <c r="P1991" i="37"/>
  <c r="P1992" i="37"/>
  <c r="P1993" i="37"/>
  <c r="P1994" i="37"/>
  <c r="P1995" i="37"/>
  <c r="P1996" i="37"/>
  <c r="P1997" i="37"/>
  <c r="P1998" i="37"/>
  <c r="P1999" i="37"/>
  <c r="P2000" i="37"/>
  <c r="P2001" i="37"/>
  <c r="P2002" i="37"/>
  <c r="P2003" i="37"/>
  <c r="P2004" i="37"/>
  <c r="P2005" i="37"/>
  <c r="P2006" i="37"/>
  <c r="P2007" i="37"/>
  <c r="P2008" i="37"/>
  <c r="P2009" i="37"/>
  <c r="P2010" i="37"/>
  <c r="P2011" i="37"/>
  <c r="P2012" i="37"/>
  <c r="P2013" i="37"/>
  <c r="P2014" i="37"/>
  <c r="P2015" i="37"/>
  <c r="P2016" i="37"/>
  <c r="P2017" i="37"/>
  <c r="P2018" i="37"/>
  <c r="P2019" i="37"/>
  <c r="P2020" i="37"/>
  <c r="P2021" i="37"/>
  <c r="P2022" i="37"/>
  <c r="P2023" i="37"/>
  <c r="P2024" i="37"/>
  <c r="P2025" i="37"/>
  <c r="P2026" i="37"/>
  <c r="P2027" i="37"/>
  <c r="P2028" i="37"/>
  <c r="P2029" i="37"/>
  <c r="P2030" i="37"/>
  <c r="P2031" i="37"/>
  <c r="P2032" i="37"/>
  <c r="P2033" i="37"/>
  <c r="P2034" i="37"/>
  <c r="P2035" i="37"/>
  <c r="P2036" i="37"/>
  <c r="P2037" i="37"/>
  <c r="P2038" i="37"/>
  <c r="P2039" i="37"/>
  <c r="P2040" i="37"/>
  <c r="P2041" i="37"/>
  <c r="P2042" i="37"/>
  <c r="P2043" i="37"/>
  <c r="P2044" i="37"/>
  <c r="P2045" i="37"/>
  <c r="P2046" i="37"/>
  <c r="P2047" i="37"/>
  <c r="P2048" i="37"/>
  <c r="P2049" i="37"/>
  <c r="P2050" i="37"/>
  <c r="P2051" i="37"/>
  <c r="P2052" i="37"/>
  <c r="P2053" i="37"/>
  <c r="P2054" i="37"/>
  <c r="P2055" i="37"/>
  <c r="P2056" i="37"/>
  <c r="P2057" i="37"/>
  <c r="P2058" i="37"/>
  <c r="P2059" i="37"/>
  <c r="P2060" i="37"/>
  <c r="P2061" i="37"/>
  <c r="P2062" i="37"/>
  <c r="P2063" i="37"/>
  <c r="P2064" i="37"/>
  <c r="P2065" i="37"/>
  <c r="P2066" i="37"/>
  <c r="P2067" i="37"/>
  <c r="P2068" i="37"/>
  <c r="P2069" i="37"/>
  <c r="P2070" i="37"/>
  <c r="P2071" i="37"/>
  <c r="P2072" i="37"/>
  <c r="P2073" i="37"/>
  <c r="P2074" i="37"/>
  <c r="P2075" i="37"/>
  <c r="P2076" i="37"/>
  <c r="P2077" i="37"/>
  <c r="P2078" i="37"/>
  <c r="P2079" i="37"/>
  <c r="P2080" i="37"/>
  <c r="P2081" i="37"/>
  <c r="P2082" i="37"/>
  <c r="P2083" i="37"/>
  <c r="P2084" i="37"/>
  <c r="P2085" i="37"/>
  <c r="P2086" i="37"/>
  <c r="P2087" i="37"/>
  <c r="P2088" i="37"/>
  <c r="P2089" i="37"/>
  <c r="P2090" i="37"/>
  <c r="P2091" i="37"/>
  <c r="P2092" i="37"/>
  <c r="P2093" i="37"/>
  <c r="P2094" i="37"/>
  <c r="P2095" i="37"/>
  <c r="P2096" i="37"/>
  <c r="P2097" i="37"/>
  <c r="P2098" i="37"/>
  <c r="P2099" i="37"/>
  <c r="P2100" i="37"/>
  <c r="P2101" i="37"/>
  <c r="P2102" i="37"/>
  <c r="P2103" i="37"/>
  <c r="P2104" i="37"/>
  <c r="P2105" i="37"/>
  <c r="P2106" i="37"/>
  <c r="P2107" i="37"/>
  <c r="P2108" i="37"/>
  <c r="P2109" i="37"/>
  <c r="P2110" i="37"/>
  <c r="P2111" i="37"/>
  <c r="P2112" i="37"/>
  <c r="P2113" i="37"/>
  <c r="P2114" i="37"/>
  <c r="P2115" i="37"/>
  <c r="P2116" i="37"/>
  <c r="P2117" i="37"/>
  <c r="P2118" i="37"/>
  <c r="P2119" i="37"/>
  <c r="P2120" i="37"/>
  <c r="P2121" i="37"/>
  <c r="P2122" i="37"/>
  <c r="P2123" i="37"/>
  <c r="P2124" i="37"/>
  <c r="P2125" i="37"/>
  <c r="P2126" i="37"/>
  <c r="P2127" i="37"/>
  <c r="P2128" i="37"/>
  <c r="P2129" i="37"/>
  <c r="P2130" i="37"/>
  <c r="P2131" i="37"/>
  <c r="P2132" i="37"/>
  <c r="P2133" i="37"/>
  <c r="P2134" i="37"/>
  <c r="P2135" i="37"/>
  <c r="P2136" i="37"/>
  <c r="P2137" i="37"/>
  <c r="P2138" i="37"/>
  <c r="P2139" i="37"/>
  <c r="P2140" i="37"/>
  <c r="P2141" i="37"/>
  <c r="P2142" i="37"/>
  <c r="P2143" i="37"/>
  <c r="P2144" i="37"/>
  <c r="P2145" i="37"/>
  <c r="P2146" i="37"/>
  <c r="P2147" i="37"/>
  <c r="P2148" i="37"/>
  <c r="P2149" i="37"/>
  <c r="P2150" i="37"/>
  <c r="P2151" i="37"/>
  <c r="P2152" i="37"/>
  <c r="P2153" i="37"/>
  <c r="P2154" i="37"/>
  <c r="P2155" i="37"/>
  <c r="P2156" i="37"/>
  <c r="P2157" i="37"/>
  <c r="P2158" i="37"/>
  <c r="P2159" i="37"/>
  <c r="P2160" i="37"/>
  <c r="P2161" i="37"/>
  <c r="P2162" i="37"/>
  <c r="P2163" i="37"/>
  <c r="P2164" i="37"/>
  <c r="P2165" i="37"/>
  <c r="P2166" i="37"/>
  <c r="P2167" i="37"/>
  <c r="P2168" i="37"/>
  <c r="P2169" i="37"/>
  <c r="P2170" i="37"/>
  <c r="P2171" i="37"/>
  <c r="P2172" i="37"/>
  <c r="P2173" i="37"/>
  <c r="P2174" i="37"/>
  <c r="P2175" i="37"/>
  <c r="P2176" i="37"/>
  <c r="P2177" i="37"/>
  <c r="P2178" i="37"/>
  <c r="P2179" i="37"/>
  <c r="P2180" i="37"/>
  <c r="P2181" i="37"/>
  <c r="P2182" i="37"/>
  <c r="P2183" i="37"/>
  <c r="P2184" i="37"/>
  <c r="P2185" i="37"/>
  <c r="P2186" i="37"/>
  <c r="P2187" i="37"/>
  <c r="P2188" i="37"/>
  <c r="P2189" i="37"/>
  <c r="P2190" i="37"/>
  <c r="P2191" i="37"/>
  <c r="P2192" i="37"/>
  <c r="P2193" i="37"/>
  <c r="P2194" i="37"/>
  <c r="P2195" i="37"/>
  <c r="P2196" i="37"/>
  <c r="P2197" i="37"/>
  <c r="P2198" i="37"/>
  <c r="P2199" i="37"/>
  <c r="P2200" i="37"/>
  <c r="P2201" i="37"/>
  <c r="P2202" i="37"/>
  <c r="P2203" i="37"/>
  <c r="P2204" i="37"/>
  <c r="P2205" i="37"/>
  <c r="P2206" i="37"/>
  <c r="P2207" i="37"/>
  <c r="P2208" i="37"/>
  <c r="P2209" i="37"/>
  <c r="P2210" i="37"/>
  <c r="P2211" i="37"/>
  <c r="P2212" i="37"/>
  <c r="P12" i="37"/>
  <c r="N13" i="37"/>
  <c r="N14" i="37"/>
  <c r="N15" i="37"/>
  <c r="N16" i="37"/>
  <c r="N17" i="37"/>
  <c r="N18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N60" i="37"/>
  <c r="N61" i="37"/>
  <c r="N62" i="37"/>
  <c r="N63" i="37"/>
  <c r="N64" i="37"/>
  <c r="N65" i="37"/>
  <c r="N66" i="37"/>
  <c r="N67" i="37"/>
  <c r="N68" i="37"/>
  <c r="N69" i="37"/>
  <c r="N70" i="37"/>
  <c r="N71" i="37"/>
  <c r="N72" i="37"/>
  <c r="N73" i="37"/>
  <c r="N74" i="37"/>
  <c r="N75" i="37"/>
  <c r="N76" i="37"/>
  <c r="N77" i="37"/>
  <c r="N78" i="37"/>
  <c r="N79" i="37"/>
  <c r="N80" i="37"/>
  <c r="N81" i="37"/>
  <c r="N82" i="37"/>
  <c r="N83" i="37"/>
  <c r="N84" i="37"/>
  <c r="N85" i="37"/>
  <c r="N86" i="37"/>
  <c r="N87" i="37"/>
  <c r="N88" i="37"/>
  <c r="N89" i="37"/>
  <c r="N90" i="37"/>
  <c r="N91" i="37"/>
  <c r="N92" i="37"/>
  <c r="N93" i="37"/>
  <c r="N94" i="37"/>
  <c r="N95" i="37"/>
  <c r="N96" i="37"/>
  <c r="N97" i="37"/>
  <c r="N98" i="37"/>
  <c r="N99" i="37"/>
  <c r="N100" i="37"/>
  <c r="N101" i="37"/>
  <c r="N102" i="37"/>
  <c r="N103" i="37"/>
  <c r="N104" i="37"/>
  <c r="N105" i="37"/>
  <c r="N106" i="37"/>
  <c r="N107" i="37"/>
  <c r="N108" i="37"/>
  <c r="N109" i="37"/>
  <c r="N110" i="37"/>
  <c r="N111" i="37"/>
  <c r="N112" i="37"/>
  <c r="N113" i="37"/>
  <c r="N114" i="37"/>
  <c r="N115" i="37"/>
  <c r="N116" i="37"/>
  <c r="N117" i="37"/>
  <c r="N118" i="37"/>
  <c r="N119" i="37"/>
  <c r="N120" i="37"/>
  <c r="N121" i="37"/>
  <c r="N122" i="37"/>
  <c r="N123" i="37"/>
  <c r="N124" i="37"/>
  <c r="N125" i="37"/>
  <c r="N126" i="37"/>
  <c r="N127" i="37"/>
  <c r="N128" i="37"/>
  <c r="N129" i="37"/>
  <c r="N130" i="37"/>
  <c r="N131" i="37"/>
  <c r="N132" i="37"/>
  <c r="N133" i="37"/>
  <c r="N134" i="37"/>
  <c r="N135" i="37"/>
  <c r="N136" i="37"/>
  <c r="N137" i="37"/>
  <c r="N138" i="37"/>
  <c r="N139" i="37"/>
  <c r="N140" i="37"/>
  <c r="N141" i="37"/>
  <c r="N142" i="37"/>
  <c r="N143" i="37"/>
  <c r="N144" i="37"/>
  <c r="N145" i="37"/>
  <c r="N146" i="37"/>
  <c r="N147" i="37"/>
  <c r="N148" i="37"/>
  <c r="N149" i="37"/>
  <c r="N150" i="37"/>
  <c r="N151" i="37"/>
  <c r="N152" i="37"/>
  <c r="N153" i="37"/>
  <c r="N154" i="37"/>
  <c r="N155" i="37"/>
  <c r="N156" i="37"/>
  <c r="N157" i="37"/>
  <c r="N158" i="37"/>
  <c r="N159" i="37"/>
  <c r="N160" i="37"/>
  <c r="N161" i="37"/>
  <c r="N162" i="37"/>
  <c r="N163" i="37"/>
  <c r="N164" i="37"/>
  <c r="N165" i="37"/>
  <c r="N166" i="37"/>
  <c r="N167" i="37"/>
  <c r="N168" i="37"/>
  <c r="N169" i="37"/>
  <c r="N170" i="37"/>
  <c r="N171" i="37"/>
  <c r="N172" i="37"/>
  <c r="N173" i="37"/>
  <c r="N174" i="37"/>
  <c r="N175" i="37"/>
  <c r="N176" i="37"/>
  <c r="N177" i="37"/>
  <c r="N178" i="37"/>
  <c r="N179" i="37"/>
  <c r="N180" i="37"/>
  <c r="N181" i="37"/>
  <c r="N182" i="37"/>
  <c r="N183" i="37"/>
  <c r="N184" i="37"/>
  <c r="N185" i="37"/>
  <c r="N186" i="37"/>
  <c r="N187" i="37"/>
  <c r="N188" i="37"/>
  <c r="N189" i="37"/>
  <c r="N190" i="37"/>
  <c r="N191" i="37"/>
  <c r="N192" i="37"/>
  <c r="N193" i="37"/>
  <c r="N194" i="37"/>
  <c r="N195" i="37"/>
  <c r="N196" i="37"/>
  <c r="N197" i="37"/>
  <c r="N198" i="37"/>
  <c r="N199" i="37"/>
  <c r="N200" i="37"/>
  <c r="N201" i="37"/>
  <c r="N202" i="37"/>
  <c r="N203" i="37"/>
  <c r="N204" i="37"/>
  <c r="N205" i="37"/>
  <c r="N206" i="37"/>
  <c r="N207" i="37"/>
  <c r="N208" i="37"/>
  <c r="N209" i="37"/>
  <c r="N210" i="37"/>
  <c r="N211" i="37"/>
  <c r="N212" i="37"/>
  <c r="N213" i="37"/>
  <c r="N214" i="37"/>
  <c r="N215" i="37"/>
  <c r="N216" i="37"/>
  <c r="N217" i="37"/>
  <c r="N218" i="37"/>
  <c r="N219" i="37"/>
  <c r="N220" i="37"/>
  <c r="N221" i="37"/>
  <c r="N222" i="37"/>
  <c r="N223" i="37"/>
  <c r="N224" i="37"/>
  <c r="N225" i="37"/>
  <c r="N226" i="37"/>
  <c r="N227" i="37"/>
  <c r="N228" i="37"/>
  <c r="N229" i="37"/>
  <c r="N230" i="37"/>
  <c r="N231" i="37"/>
  <c r="N232" i="37"/>
  <c r="N233" i="37"/>
  <c r="N234" i="37"/>
  <c r="N235" i="37"/>
  <c r="N236" i="37"/>
  <c r="N237" i="37"/>
  <c r="N238" i="37"/>
  <c r="N239" i="37"/>
  <c r="N240" i="37"/>
  <c r="N241" i="37"/>
  <c r="N242" i="37"/>
  <c r="N243" i="37"/>
  <c r="N244" i="37"/>
  <c r="N245" i="37"/>
  <c r="N246" i="37"/>
  <c r="N247" i="37"/>
  <c r="N248" i="37"/>
  <c r="N249" i="37"/>
  <c r="N250" i="37"/>
  <c r="N251" i="37"/>
  <c r="N252" i="37"/>
  <c r="N253" i="37"/>
  <c r="N254" i="37"/>
  <c r="N255" i="37"/>
  <c r="N256" i="37"/>
  <c r="N257" i="37"/>
  <c r="N258" i="37"/>
  <c r="N259" i="37"/>
  <c r="N260" i="37"/>
  <c r="N261" i="37"/>
  <c r="N262" i="37"/>
  <c r="N263" i="37"/>
  <c r="N264" i="37"/>
  <c r="N265" i="37"/>
  <c r="N266" i="37"/>
  <c r="N267" i="37"/>
  <c r="N268" i="37"/>
  <c r="N269" i="37"/>
  <c r="N270" i="37"/>
  <c r="N271" i="37"/>
  <c r="N272" i="37"/>
  <c r="N273" i="37"/>
  <c r="N274" i="37"/>
  <c r="N275" i="37"/>
  <c r="N276" i="37"/>
  <c r="N277" i="37"/>
  <c r="N278" i="37"/>
  <c r="N279" i="37"/>
  <c r="N280" i="37"/>
  <c r="N281" i="37"/>
  <c r="N282" i="37"/>
  <c r="N283" i="37"/>
  <c r="N284" i="37"/>
  <c r="N285" i="37"/>
  <c r="N286" i="37"/>
  <c r="N287" i="37"/>
  <c r="N288" i="37"/>
  <c r="N289" i="37"/>
  <c r="N290" i="37"/>
  <c r="N291" i="37"/>
  <c r="N292" i="37"/>
  <c r="N293" i="37"/>
  <c r="N294" i="37"/>
  <c r="N295" i="37"/>
  <c r="N296" i="37"/>
  <c r="N297" i="37"/>
  <c r="N298" i="37"/>
  <c r="N299" i="37"/>
  <c r="N300" i="37"/>
  <c r="N301" i="37"/>
  <c r="N302" i="37"/>
  <c r="N303" i="37"/>
  <c r="N304" i="37"/>
  <c r="N305" i="37"/>
  <c r="N306" i="37"/>
  <c r="N307" i="37"/>
  <c r="N308" i="37"/>
  <c r="N309" i="37"/>
  <c r="N310" i="37"/>
  <c r="N311" i="37"/>
  <c r="N312" i="37"/>
  <c r="N313" i="37"/>
  <c r="N314" i="37"/>
  <c r="N315" i="37"/>
  <c r="N316" i="37"/>
  <c r="N317" i="37"/>
  <c r="N318" i="37"/>
  <c r="N319" i="37"/>
  <c r="N320" i="37"/>
  <c r="N321" i="37"/>
  <c r="N322" i="37"/>
  <c r="N323" i="37"/>
  <c r="N324" i="37"/>
  <c r="N325" i="37"/>
  <c r="N326" i="37"/>
  <c r="N327" i="37"/>
  <c r="N328" i="37"/>
  <c r="N329" i="37"/>
  <c r="N330" i="37"/>
  <c r="N331" i="37"/>
  <c r="N332" i="37"/>
  <c r="N333" i="37"/>
  <c r="N334" i="37"/>
  <c r="N335" i="37"/>
  <c r="N336" i="37"/>
  <c r="N337" i="37"/>
  <c r="N338" i="37"/>
  <c r="N339" i="37"/>
  <c r="N340" i="37"/>
  <c r="N341" i="37"/>
  <c r="N342" i="37"/>
  <c r="N343" i="37"/>
  <c r="N344" i="37"/>
  <c r="N345" i="37"/>
  <c r="N346" i="37"/>
  <c r="N347" i="37"/>
  <c r="N348" i="37"/>
  <c r="N349" i="37"/>
  <c r="N350" i="37"/>
  <c r="N351" i="37"/>
  <c r="N352" i="37"/>
  <c r="N353" i="37"/>
  <c r="N354" i="37"/>
  <c r="N355" i="37"/>
  <c r="N356" i="37"/>
  <c r="N357" i="37"/>
  <c r="N358" i="37"/>
  <c r="N359" i="37"/>
  <c r="N360" i="37"/>
  <c r="N361" i="37"/>
  <c r="N362" i="37"/>
  <c r="N363" i="37"/>
  <c r="N364" i="37"/>
  <c r="N365" i="37"/>
  <c r="N366" i="37"/>
  <c r="N367" i="37"/>
  <c r="N368" i="37"/>
  <c r="N369" i="37"/>
  <c r="N370" i="37"/>
  <c r="N371" i="37"/>
  <c r="N372" i="37"/>
  <c r="N373" i="37"/>
  <c r="N374" i="37"/>
  <c r="N375" i="37"/>
  <c r="N376" i="37"/>
  <c r="N377" i="37"/>
  <c r="N378" i="37"/>
  <c r="N379" i="37"/>
  <c r="N380" i="37"/>
  <c r="N381" i="37"/>
  <c r="N382" i="37"/>
  <c r="N383" i="37"/>
  <c r="N384" i="37"/>
  <c r="N385" i="37"/>
  <c r="N386" i="37"/>
  <c r="N387" i="37"/>
  <c r="N388" i="37"/>
  <c r="N389" i="37"/>
  <c r="N390" i="37"/>
  <c r="N391" i="37"/>
  <c r="N392" i="37"/>
  <c r="N393" i="37"/>
  <c r="N394" i="37"/>
  <c r="N395" i="37"/>
  <c r="N396" i="37"/>
  <c r="N397" i="37"/>
  <c r="N398" i="37"/>
  <c r="N399" i="37"/>
  <c r="N400" i="37"/>
  <c r="N401" i="37"/>
  <c r="N402" i="37"/>
  <c r="N403" i="37"/>
  <c r="N404" i="37"/>
  <c r="N405" i="37"/>
  <c r="N406" i="37"/>
  <c r="N407" i="37"/>
  <c r="N408" i="37"/>
  <c r="N409" i="37"/>
  <c r="N410" i="37"/>
  <c r="N411" i="37"/>
  <c r="N412" i="37"/>
  <c r="N413" i="37"/>
  <c r="N414" i="37"/>
  <c r="N415" i="37"/>
  <c r="N416" i="37"/>
  <c r="N417" i="37"/>
  <c r="N418" i="37"/>
  <c r="N419" i="37"/>
  <c r="N420" i="37"/>
  <c r="N421" i="37"/>
  <c r="N422" i="37"/>
  <c r="N423" i="37"/>
  <c r="N424" i="37"/>
  <c r="N425" i="37"/>
  <c r="N426" i="37"/>
  <c r="N427" i="37"/>
  <c r="N428" i="37"/>
  <c r="N429" i="37"/>
  <c r="N430" i="37"/>
  <c r="N431" i="37"/>
  <c r="N432" i="37"/>
  <c r="N433" i="37"/>
  <c r="N434" i="37"/>
  <c r="N435" i="37"/>
  <c r="N436" i="37"/>
  <c r="N437" i="37"/>
  <c r="N438" i="37"/>
  <c r="N439" i="37"/>
  <c r="N440" i="37"/>
  <c r="N441" i="37"/>
  <c r="N442" i="37"/>
  <c r="N443" i="37"/>
  <c r="N444" i="37"/>
  <c r="N445" i="37"/>
  <c r="N446" i="37"/>
  <c r="N447" i="37"/>
  <c r="N448" i="37"/>
  <c r="N449" i="37"/>
  <c r="N450" i="37"/>
  <c r="N451" i="37"/>
  <c r="N452" i="37"/>
  <c r="N453" i="37"/>
  <c r="N454" i="37"/>
  <c r="N455" i="37"/>
  <c r="N456" i="37"/>
  <c r="N457" i="37"/>
  <c r="N458" i="37"/>
  <c r="N459" i="37"/>
  <c r="N460" i="37"/>
  <c r="N461" i="37"/>
  <c r="N462" i="37"/>
  <c r="N463" i="37"/>
  <c r="N464" i="37"/>
  <c r="N465" i="37"/>
  <c r="N466" i="37"/>
  <c r="N467" i="37"/>
  <c r="N468" i="37"/>
  <c r="N469" i="37"/>
  <c r="N470" i="37"/>
  <c r="N471" i="37"/>
  <c r="N472" i="37"/>
  <c r="N473" i="37"/>
  <c r="N474" i="37"/>
  <c r="N475" i="37"/>
  <c r="N476" i="37"/>
  <c r="N477" i="37"/>
  <c r="N478" i="37"/>
  <c r="N479" i="37"/>
  <c r="N480" i="37"/>
  <c r="N481" i="37"/>
  <c r="N482" i="37"/>
  <c r="N483" i="37"/>
  <c r="N484" i="37"/>
  <c r="N485" i="37"/>
  <c r="N486" i="37"/>
  <c r="N487" i="37"/>
  <c r="N488" i="37"/>
  <c r="N489" i="37"/>
  <c r="N490" i="37"/>
  <c r="N491" i="37"/>
  <c r="N492" i="37"/>
  <c r="N493" i="37"/>
  <c r="N494" i="37"/>
  <c r="N495" i="37"/>
  <c r="N496" i="37"/>
  <c r="N497" i="37"/>
  <c r="N498" i="37"/>
  <c r="N499" i="37"/>
  <c r="N500" i="37"/>
  <c r="N501" i="37"/>
  <c r="N502" i="37"/>
  <c r="N503" i="37"/>
  <c r="N504" i="37"/>
  <c r="N505" i="37"/>
  <c r="N506" i="37"/>
  <c r="N507" i="37"/>
  <c r="N508" i="37"/>
  <c r="N509" i="37"/>
  <c r="N510" i="37"/>
  <c r="N511" i="37"/>
  <c r="N512" i="37"/>
  <c r="N513" i="37"/>
  <c r="N514" i="37"/>
  <c r="N515" i="37"/>
  <c r="N516" i="37"/>
  <c r="N517" i="37"/>
  <c r="N518" i="37"/>
  <c r="N519" i="37"/>
  <c r="N520" i="37"/>
  <c r="N521" i="37"/>
  <c r="N522" i="37"/>
  <c r="N523" i="37"/>
  <c r="N524" i="37"/>
  <c r="N525" i="37"/>
  <c r="N526" i="37"/>
  <c r="N527" i="37"/>
  <c r="N528" i="37"/>
  <c r="N529" i="37"/>
  <c r="N530" i="37"/>
  <c r="N531" i="37"/>
  <c r="N532" i="37"/>
  <c r="N533" i="37"/>
  <c r="N534" i="37"/>
  <c r="N535" i="37"/>
  <c r="N536" i="37"/>
  <c r="N537" i="37"/>
  <c r="N538" i="37"/>
  <c r="N539" i="37"/>
  <c r="N540" i="37"/>
  <c r="N541" i="37"/>
  <c r="N542" i="37"/>
  <c r="N543" i="37"/>
  <c r="N544" i="37"/>
  <c r="N545" i="37"/>
  <c r="N546" i="37"/>
  <c r="N547" i="37"/>
  <c r="N548" i="37"/>
  <c r="N549" i="37"/>
  <c r="N550" i="37"/>
  <c r="N551" i="37"/>
  <c r="N552" i="37"/>
  <c r="N553" i="37"/>
  <c r="N554" i="37"/>
  <c r="N555" i="37"/>
  <c r="N556" i="37"/>
  <c r="N557" i="37"/>
  <c r="N558" i="37"/>
  <c r="N559" i="37"/>
  <c r="N560" i="37"/>
  <c r="N561" i="37"/>
  <c r="N562" i="37"/>
  <c r="N563" i="37"/>
  <c r="N564" i="37"/>
  <c r="N565" i="37"/>
  <c r="N566" i="37"/>
  <c r="N567" i="37"/>
  <c r="N568" i="37"/>
  <c r="N569" i="37"/>
  <c r="N570" i="37"/>
  <c r="N571" i="37"/>
  <c r="N572" i="37"/>
  <c r="N573" i="37"/>
  <c r="N574" i="37"/>
  <c r="N575" i="37"/>
  <c r="N576" i="37"/>
  <c r="N577" i="37"/>
  <c r="N578" i="37"/>
  <c r="N579" i="37"/>
  <c r="N580" i="37"/>
  <c r="N581" i="37"/>
  <c r="N582" i="37"/>
  <c r="N583" i="37"/>
  <c r="N584" i="37"/>
  <c r="N585" i="37"/>
  <c r="N586" i="37"/>
  <c r="N587" i="37"/>
  <c r="N588" i="37"/>
  <c r="N589" i="37"/>
  <c r="N590" i="37"/>
  <c r="N591" i="37"/>
  <c r="N592" i="37"/>
  <c r="N593" i="37"/>
  <c r="N594" i="37"/>
  <c r="N595" i="37"/>
  <c r="N596" i="37"/>
  <c r="N597" i="37"/>
  <c r="N598" i="37"/>
  <c r="N599" i="37"/>
  <c r="N600" i="37"/>
  <c r="N601" i="37"/>
  <c r="N602" i="37"/>
  <c r="N603" i="37"/>
  <c r="N604" i="37"/>
  <c r="N605" i="37"/>
  <c r="N606" i="37"/>
  <c r="N607" i="37"/>
  <c r="N608" i="37"/>
  <c r="N609" i="37"/>
  <c r="N610" i="37"/>
  <c r="N611" i="37"/>
  <c r="N612" i="37"/>
  <c r="N613" i="37"/>
  <c r="N614" i="37"/>
  <c r="N615" i="37"/>
  <c r="N616" i="37"/>
  <c r="N617" i="37"/>
  <c r="N618" i="37"/>
  <c r="N619" i="37"/>
  <c r="N620" i="37"/>
  <c r="N621" i="37"/>
  <c r="N622" i="37"/>
  <c r="N623" i="37"/>
  <c r="N624" i="37"/>
  <c r="N625" i="37"/>
  <c r="N626" i="37"/>
  <c r="N627" i="37"/>
  <c r="N628" i="37"/>
  <c r="N629" i="37"/>
  <c r="N630" i="37"/>
  <c r="N631" i="37"/>
  <c r="N632" i="37"/>
  <c r="N633" i="37"/>
  <c r="N634" i="37"/>
  <c r="N635" i="37"/>
  <c r="N636" i="37"/>
  <c r="N637" i="37"/>
  <c r="N638" i="37"/>
  <c r="N639" i="37"/>
  <c r="N640" i="37"/>
  <c r="N641" i="37"/>
  <c r="N642" i="37"/>
  <c r="N643" i="37"/>
  <c r="N644" i="37"/>
  <c r="N645" i="37"/>
  <c r="N646" i="37"/>
  <c r="N647" i="37"/>
  <c r="N648" i="37"/>
  <c r="N649" i="37"/>
  <c r="N650" i="37"/>
  <c r="N651" i="37"/>
  <c r="N652" i="37"/>
  <c r="N653" i="37"/>
  <c r="N654" i="37"/>
  <c r="N655" i="37"/>
  <c r="N656" i="37"/>
  <c r="N657" i="37"/>
  <c r="N658" i="37"/>
  <c r="N659" i="37"/>
  <c r="N660" i="37"/>
  <c r="N661" i="37"/>
  <c r="N662" i="37"/>
  <c r="N663" i="37"/>
  <c r="N664" i="37"/>
  <c r="N665" i="37"/>
  <c r="N666" i="37"/>
  <c r="N667" i="37"/>
  <c r="N668" i="37"/>
  <c r="N669" i="37"/>
  <c r="N670" i="37"/>
  <c r="N671" i="37"/>
  <c r="N672" i="37"/>
  <c r="N673" i="37"/>
  <c r="N674" i="37"/>
  <c r="N675" i="37"/>
  <c r="N676" i="37"/>
  <c r="N677" i="37"/>
  <c r="N678" i="37"/>
  <c r="N679" i="37"/>
  <c r="N680" i="37"/>
  <c r="N681" i="37"/>
  <c r="N682" i="37"/>
  <c r="N683" i="37"/>
  <c r="N684" i="37"/>
  <c r="N685" i="37"/>
  <c r="N686" i="37"/>
  <c r="N687" i="37"/>
  <c r="N688" i="37"/>
  <c r="N689" i="37"/>
  <c r="N690" i="37"/>
  <c r="N691" i="37"/>
  <c r="N692" i="37"/>
  <c r="N693" i="37"/>
  <c r="N694" i="37"/>
  <c r="N695" i="37"/>
  <c r="N696" i="37"/>
  <c r="N697" i="37"/>
  <c r="N698" i="37"/>
  <c r="N699" i="37"/>
  <c r="N700" i="37"/>
  <c r="N701" i="37"/>
  <c r="N702" i="37"/>
  <c r="N703" i="37"/>
  <c r="N704" i="37"/>
  <c r="N705" i="37"/>
  <c r="N706" i="37"/>
  <c r="N707" i="37"/>
  <c r="N708" i="37"/>
  <c r="N709" i="37"/>
  <c r="N710" i="37"/>
  <c r="N711" i="37"/>
  <c r="N712" i="37"/>
  <c r="N713" i="37"/>
  <c r="N714" i="37"/>
  <c r="N715" i="37"/>
  <c r="N716" i="37"/>
  <c r="N717" i="37"/>
  <c r="N718" i="37"/>
  <c r="N719" i="37"/>
  <c r="N720" i="37"/>
  <c r="N721" i="37"/>
  <c r="N722" i="37"/>
  <c r="N723" i="37"/>
  <c r="N724" i="37"/>
  <c r="N725" i="37"/>
  <c r="N726" i="37"/>
  <c r="N727" i="37"/>
  <c r="N728" i="37"/>
  <c r="N729" i="37"/>
  <c r="N730" i="37"/>
  <c r="N731" i="37"/>
  <c r="N732" i="37"/>
  <c r="N733" i="37"/>
  <c r="N734" i="37"/>
  <c r="N735" i="37"/>
  <c r="N736" i="37"/>
  <c r="N737" i="37"/>
  <c r="N738" i="37"/>
  <c r="N739" i="37"/>
  <c r="N740" i="37"/>
  <c r="N741" i="37"/>
  <c r="N742" i="37"/>
  <c r="N743" i="37"/>
  <c r="N744" i="37"/>
  <c r="N745" i="37"/>
  <c r="N746" i="37"/>
  <c r="N747" i="37"/>
  <c r="N748" i="37"/>
  <c r="N749" i="37"/>
  <c r="N750" i="37"/>
  <c r="N751" i="37"/>
  <c r="N752" i="37"/>
  <c r="N753" i="37"/>
  <c r="N754" i="37"/>
  <c r="N755" i="37"/>
  <c r="N756" i="37"/>
  <c r="N757" i="37"/>
  <c r="N758" i="37"/>
  <c r="N759" i="37"/>
  <c r="N760" i="37"/>
  <c r="N761" i="37"/>
  <c r="N762" i="37"/>
  <c r="N763" i="37"/>
  <c r="N764" i="37"/>
  <c r="N765" i="37"/>
  <c r="N766" i="37"/>
  <c r="N767" i="37"/>
  <c r="N768" i="37"/>
  <c r="N769" i="37"/>
  <c r="N770" i="37"/>
  <c r="N771" i="37"/>
  <c r="N772" i="37"/>
  <c r="N773" i="37"/>
  <c r="N774" i="37"/>
  <c r="N775" i="37"/>
  <c r="N776" i="37"/>
  <c r="N777" i="37"/>
  <c r="N778" i="37"/>
  <c r="N779" i="37"/>
  <c r="N780" i="37"/>
  <c r="N781" i="37"/>
  <c r="N782" i="37"/>
  <c r="N783" i="37"/>
  <c r="N784" i="37"/>
  <c r="N785" i="37"/>
  <c r="N786" i="37"/>
  <c r="N787" i="37"/>
  <c r="N788" i="37"/>
  <c r="N789" i="37"/>
  <c r="N790" i="37"/>
  <c r="N791" i="37"/>
  <c r="N792" i="37"/>
  <c r="N793" i="37"/>
  <c r="N794" i="37"/>
  <c r="N795" i="37"/>
  <c r="N796" i="37"/>
  <c r="N797" i="37"/>
  <c r="N798" i="37"/>
  <c r="N799" i="37"/>
  <c r="N800" i="37"/>
  <c r="N801" i="37"/>
  <c r="N802" i="37"/>
  <c r="N803" i="37"/>
  <c r="N804" i="37"/>
  <c r="N805" i="37"/>
  <c r="N806" i="37"/>
  <c r="N807" i="37"/>
  <c r="N808" i="37"/>
  <c r="N809" i="37"/>
  <c r="N810" i="37"/>
  <c r="N811" i="37"/>
  <c r="N812" i="37"/>
  <c r="N813" i="37"/>
  <c r="N814" i="37"/>
  <c r="N815" i="37"/>
  <c r="N816" i="37"/>
  <c r="N817" i="37"/>
  <c r="N818" i="37"/>
  <c r="N819" i="37"/>
  <c r="N820" i="37"/>
  <c r="N821" i="37"/>
  <c r="N822" i="37"/>
  <c r="N823" i="37"/>
  <c r="N824" i="37"/>
  <c r="N825" i="37"/>
  <c r="N826" i="37"/>
  <c r="N827" i="37"/>
  <c r="N828" i="37"/>
  <c r="N829" i="37"/>
  <c r="N830" i="37"/>
  <c r="N831" i="37"/>
  <c r="N832" i="37"/>
  <c r="N833" i="37"/>
  <c r="N834" i="37"/>
  <c r="N835" i="37"/>
  <c r="N836" i="37"/>
  <c r="N837" i="37"/>
  <c r="N838" i="37"/>
  <c r="N839" i="37"/>
  <c r="N840" i="37"/>
  <c r="N841" i="37"/>
  <c r="N842" i="37"/>
  <c r="N843" i="37"/>
  <c r="N844" i="37"/>
  <c r="N845" i="37"/>
  <c r="N846" i="37"/>
  <c r="N847" i="37"/>
  <c r="N848" i="37"/>
  <c r="N849" i="37"/>
  <c r="N850" i="37"/>
  <c r="N851" i="37"/>
  <c r="N852" i="37"/>
  <c r="N853" i="37"/>
  <c r="N854" i="37"/>
  <c r="N855" i="37"/>
  <c r="N856" i="37"/>
  <c r="N857" i="37"/>
  <c r="N858" i="37"/>
  <c r="N859" i="37"/>
  <c r="N860" i="37"/>
  <c r="N861" i="37"/>
  <c r="N862" i="37"/>
  <c r="N863" i="37"/>
  <c r="N864" i="37"/>
  <c r="N865" i="37"/>
  <c r="N866" i="37"/>
  <c r="N867" i="37"/>
  <c r="N868" i="37"/>
  <c r="N869" i="37"/>
  <c r="N870" i="37"/>
  <c r="N871" i="37"/>
  <c r="N872" i="37"/>
  <c r="N873" i="37"/>
  <c r="N874" i="37"/>
  <c r="N875" i="37"/>
  <c r="N876" i="37"/>
  <c r="N877" i="37"/>
  <c r="N878" i="37"/>
  <c r="N879" i="37"/>
  <c r="N880" i="37"/>
  <c r="N881" i="37"/>
  <c r="N882" i="37"/>
  <c r="N883" i="37"/>
  <c r="N884" i="37"/>
  <c r="N885" i="37"/>
  <c r="N886" i="37"/>
  <c r="N887" i="37"/>
  <c r="N888" i="37"/>
  <c r="N889" i="37"/>
  <c r="N890" i="37"/>
  <c r="N891" i="37"/>
  <c r="N892" i="37"/>
  <c r="N893" i="37"/>
  <c r="N894" i="37"/>
  <c r="N895" i="37"/>
  <c r="N896" i="37"/>
  <c r="N897" i="37"/>
  <c r="N898" i="37"/>
  <c r="N899" i="37"/>
  <c r="N900" i="37"/>
  <c r="N901" i="37"/>
  <c r="N902" i="37"/>
  <c r="N903" i="37"/>
  <c r="N904" i="37"/>
  <c r="N905" i="37"/>
  <c r="N906" i="37"/>
  <c r="N907" i="37"/>
  <c r="N908" i="37"/>
  <c r="N909" i="37"/>
  <c r="N910" i="37"/>
  <c r="N911" i="37"/>
  <c r="N912" i="37"/>
  <c r="N913" i="37"/>
  <c r="N914" i="37"/>
  <c r="N915" i="37"/>
  <c r="N916" i="37"/>
  <c r="N917" i="37"/>
  <c r="N918" i="37"/>
  <c r="N919" i="37"/>
  <c r="N920" i="37"/>
  <c r="N921" i="37"/>
  <c r="N922" i="37"/>
  <c r="N923" i="37"/>
  <c r="N924" i="37"/>
  <c r="N925" i="37"/>
  <c r="N926" i="37"/>
  <c r="N927" i="37"/>
  <c r="N928" i="37"/>
  <c r="N929" i="37"/>
  <c r="N930" i="37"/>
  <c r="N931" i="37"/>
  <c r="N932" i="37"/>
  <c r="N933" i="37"/>
  <c r="N934" i="37"/>
  <c r="N935" i="37"/>
  <c r="N936" i="37"/>
  <c r="N937" i="37"/>
  <c r="N938" i="37"/>
  <c r="N939" i="37"/>
  <c r="N940" i="37"/>
  <c r="N941" i="37"/>
  <c r="N942" i="37"/>
  <c r="N943" i="37"/>
  <c r="N944" i="37"/>
  <c r="N945" i="37"/>
  <c r="N946" i="37"/>
  <c r="N947" i="37"/>
  <c r="N948" i="37"/>
  <c r="N949" i="37"/>
  <c r="N950" i="37"/>
  <c r="N951" i="37"/>
  <c r="N952" i="37"/>
  <c r="N953" i="37"/>
  <c r="N954" i="37"/>
  <c r="N955" i="37"/>
  <c r="N956" i="37"/>
  <c r="N957" i="37"/>
  <c r="N958" i="37"/>
  <c r="N959" i="37"/>
  <c r="N960" i="37"/>
  <c r="N961" i="37"/>
  <c r="N962" i="37"/>
  <c r="N963" i="37"/>
  <c r="N964" i="37"/>
  <c r="N965" i="37"/>
  <c r="N966" i="37"/>
  <c r="N967" i="37"/>
  <c r="N968" i="37"/>
  <c r="N969" i="37"/>
  <c r="N970" i="37"/>
  <c r="N971" i="37"/>
  <c r="N972" i="37"/>
  <c r="N973" i="37"/>
  <c r="N974" i="37"/>
  <c r="N975" i="37"/>
  <c r="N976" i="37"/>
  <c r="N977" i="37"/>
  <c r="N978" i="37"/>
  <c r="N979" i="37"/>
  <c r="N980" i="37"/>
  <c r="N981" i="37"/>
  <c r="N982" i="37"/>
  <c r="N983" i="37"/>
  <c r="N984" i="37"/>
  <c r="N985" i="37"/>
  <c r="N986" i="37"/>
  <c r="N987" i="37"/>
  <c r="N988" i="37"/>
  <c r="N989" i="37"/>
  <c r="N990" i="37"/>
  <c r="N991" i="37"/>
  <c r="N992" i="37"/>
  <c r="N993" i="37"/>
  <c r="N994" i="37"/>
  <c r="N995" i="37"/>
  <c r="N996" i="37"/>
  <c r="N997" i="37"/>
  <c r="N998" i="37"/>
  <c r="N999" i="37"/>
  <c r="N1000" i="37"/>
  <c r="N1001" i="37"/>
  <c r="N1002" i="37"/>
  <c r="N1003" i="37"/>
  <c r="N1004" i="37"/>
  <c r="N1005" i="37"/>
  <c r="N1006" i="37"/>
  <c r="N1007" i="37"/>
  <c r="N1008" i="37"/>
  <c r="N1009" i="37"/>
  <c r="N1010" i="37"/>
  <c r="N1011" i="37"/>
  <c r="N1012" i="37"/>
  <c r="N1013" i="37"/>
  <c r="N1014" i="37"/>
  <c r="N1015" i="37"/>
  <c r="N1016" i="37"/>
  <c r="N1017" i="37"/>
  <c r="N1018" i="37"/>
  <c r="N1019" i="37"/>
  <c r="N1020" i="37"/>
  <c r="N1021" i="37"/>
  <c r="N1022" i="37"/>
  <c r="N1023" i="37"/>
  <c r="N1024" i="37"/>
  <c r="N1025" i="37"/>
  <c r="N1026" i="37"/>
  <c r="N1027" i="37"/>
  <c r="N1028" i="37"/>
  <c r="N1029" i="37"/>
  <c r="N1030" i="37"/>
  <c r="N1031" i="37"/>
  <c r="N1032" i="37"/>
  <c r="N1033" i="37"/>
  <c r="N1034" i="37"/>
  <c r="N1035" i="37"/>
  <c r="N1036" i="37"/>
  <c r="N1037" i="37"/>
  <c r="N1038" i="37"/>
  <c r="N1039" i="37"/>
  <c r="N1040" i="37"/>
  <c r="N1041" i="37"/>
  <c r="N1042" i="37"/>
  <c r="N1043" i="37"/>
  <c r="N1044" i="37"/>
  <c r="N1045" i="37"/>
  <c r="N1046" i="37"/>
  <c r="N1047" i="37"/>
  <c r="N1048" i="37"/>
  <c r="N1049" i="37"/>
  <c r="N1050" i="37"/>
  <c r="N1051" i="37"/>
  <c r="N1052" i="37"/>
  <c r="N1053" i="37"/>
  <c r="N1054" i="37"/>
  <c r="N1055" i="37"/>
  <c r="N1056" i="37"/>
  <c r="N1057" i="37"/>
  <c r="N1058" i="37"/>
  <c r="N1059" i="37"/>
  <c r="N1060" i="37"/>
  <c r="N1061" i="37"/>
  <c r="N1062" i="37"/>
  <c r="N1063" i="37"/>
  <c r="N1064" i="37"/>
  <c r="N1065" i="37"/>
  <c r="N1066" i="37"/>
  <c r="N1067" i="37"/>
  <c r="N1068" i="37"/>
  <c r="N1069" i="37"/>
  <c r="N1070" i="37"/>
  <c r="N1071" i="37"/>
  <c r="N1072" i="37"/>
  <c r="N1073" i="37"/>
  <c r="N1074" i="37"/>
  <c r="N1075" i="37"/>
  <c r="N1076" i="37"/>
  <c r="N1077" i="37"/>
  <c r="N1078" i="37"/>
  <c r="N1079" i="37"/>
  <c r="N1080" i="37"/>
  <c r="N1081" i="37"/>
  <c r="N1082" i="37"/>
  <c r="N1083" i="37"/>
  <c r="N1084" i="37"/>
  <c r="N1085" i="37"/>
  <c r="N1086" i="37"/>
  <c r="N1087" i="37"/>
  <c r="N1088" i="37"/>
  <c r="N1089" i="37"/>
  <c r="N1090" i="37"/>
  <c r="N1091" i="37"/>
  <c r="N1092" i="37"/>
  <c r="N1093" i="37"/>
  <c r="N1094" i="37"/>
  <c r="N1095" i="37"/>
  <c r="N1096" i="37"/>
  <c r="N1097" i="37"/>
  <c r="N1098" i="37"/>
  <c r="N1099" i="37"/>
  <c r="N1100" i="37"/>
  <c r="N1101" i="37"/>
  <c r="N1102" i="37"/>
  <c r="N1103" i="37"/>
  <c r="N1104" i="37"/>
  <c r="N1105" i="37"/>
  <c r="N1106" i="37"/>
  <c r="N1107" i="37"/>
  <c r="N1108" i="37"/>
  <c r="N1109" i="37"/>
  <c r="N1110" i="37"/>
  <c r="N1111" i="37"/>
  <c r="N1112" i="37"/>
  <c r="N1113" i="37"/>
  <c r="N1114" i="37"/>
  <c r="N1115" i="37"/>
  <c r="N1116" i="37"/>
  <c r="N1117" i="37"/>
  <c r="N1118" i="37"/>
  <c r="N1119" i="37"/>
  <c r="N1120" i="37"/>
  <c r="N1121" i="37"/>
  <c r="N1122" i="37"/>
  <c r="N1123" i="37"/>
  <c r="N1124" i="37"/>
  <c r="N1125" i="37"/>
  <c r="N1126" i="37"/>
  <c r="N1127" i="37"/>
  <c r="N1128" i="37"/>
  <c r="N1129" i="37"/>
  <c r="N1130" i="37"/>
  <c r="N1131" i="37"/>
  <c r="N1132" i="37"/>
  <c r="N1133" i="37"/>
  <c r="N1134" i="37"/>
  <c r="N1135" i="37"/>
  <c r="N1136" i="37"/>
  <c r="N1137" i="37"/>
  <c r="N1138" i="37"/>
  <c r="N1139" i="37"/>
  <c r="N1140" i="37"/>
  <c r="N1141" i="37"/>
  <c r="N1142" i="37"/>
  <c r="N1143" i="37"/>
  <c r="N1144" i="37"/>
  <c r="N1145" i="37"/>
  <c r="N1146" i="37"/>
  <c r="N1147" i="37"/>
  <c r="N1148" i="37"/>
  <c r="N1149" i="37"/>
  <c r="N1150" i="37"/>
  <c r="N1151" i="37"/>
  <c r="N1152" i="37"/>
  <c r="N1153" i="37"/>
  <c r="N1154" i="37"/>
  <c r="N1155" i="37"/>
  <c r="N1156" i="37"/>
  <c r="N1157" i="37"/>
  <c r="N1158" i="37"/>
  <c r="N1159" i="37"/>
  <c r="N1160" i="37"/>
  <c r="N1161" i="37"/>
  <c r="N1162" i="37"/>
  <c r="N1163" i="37"/>
  <c r="N1164" i="37"/>
  <c r="N1165" i="37"/>
  <c r="N1166" i="37"/>
  <c r="N1167" i="37"/>
  <c r="N1168" i="37"/>
  <c r="N1169" i="37"/>
  <c r="N1170" i="37"/>
  <c r="N1171" i="37"/>
  <c r="N1172" i="37"/>
  <c r="N1173" i="37"/>
  <c r="N1174" i="37"/>
  <c r="N1175" i="37"/>
  <c r="N1176" i="37"/>
  <c r="N1177" i="37"/>
  <c r="N1178" i="37"/>
  <c r="N1179" i="37"/>
  <c r="N1180" i="37"/>
  <c r="N1181" i="37"/>
  <c r="N1182" i="37"/>
  <c r="N1183" i="37"/>
  <c r="N1184" i="37"/>
  <c r="N1185" i="37"/>
  <c r="N1186" i="37"/>
  <c r="N1187" i="37"/>
  <c r="N1188" i="37"/>
  <c r="N1189" i="37"/>
  <c r="N1190" i="37"/>
  <c r="N1191" i="37"/>
  <c r="N1192" i="37"/>
  <c r="N1193" i="37"/>
  <c r="N1194" i="37"/>
  <c r="N1195" i="37"/>
  <c r="N1196" i="37"/>
  <c r="N1197" i="37"/>
  <c r="N1198" i="37"/>
  <c r="N1199" i="37"/>
  <c r="N1200" i="37"/>
  <c r="N1201" i="37"/>
  <c r="N1202" i="37"/>
  <c r="N1203" i="37"/>
  <c r="N1204" i="37"/>
  <c r="N1205" i="37"/>
  <c r="N1206" i="37"/>
  <c r="N1207" i="37"/>
  <c r="N1208" i="37"/>
  <c r="N1209" i="37"/>
  <c r="N1210" i="37"/>
  <c r="N1211" i="37"/>
  <c r="N1212" i="37"/>
  <c r="N1213" i="37"/>
  <c r="N1214" i="37"/>
  <c r="N1215" i="37"/>
  <c r="N1216" i="37"/>
  <c r="N1217" i="37"/>
  <c r="N1218" i="37"/>
  <c r="N1219" i="37"/>
  <c r="N1220" i="37"/>
  <c r="N1221" i="37"/>
  <c r="N1222" i="37"/>
  <c r="N1223" i="37"/>
  <c r="N1224" i="37"/>
  <c r="N1225" i="37"/>
  <c r="N1226" i="37"/>
  <c r="N1227" i="37"/>
  <c r="N1228" i="37"/>
  <c r="N1229" i="37"/>
  <c r="N1230" i="37"/>
  <c r="N1231" i="37"/>
  <c r="N1232" i="37"/>
  <c r="N1233" i="37"/>
  <c r="N1234" i="37"/>
  <c r="N1235" i="37"/>
  <c r="N1236" i="37"/>
  <c r="N1237" i="37"/>
  <c r="N1238" i="37"/>
  <c r="N1239" i="37"/>
  <c r="N1240" i="37"/>
  <c r="N1241" i="37"/>
  <c r="N1242" i="37"/>
  <c r="N1243" i="37"/>
  <c r="N1244" i="37"/>
  <c r="N1245" i="37"/>
  <c r="N1246" i="37"/>
  <c r="N1247" i="37"/>
  <c r="N1248" i="37"/>
  <c r="N1249" i="37"/>
  <c r="N1250" i="37"/>
  <c r="N1251" i="37"/>
  <c r="N1252" i="37"/>
  <c r="N1253" i="37"/>
  <c r="N1254" i="37"/>
  <c r="N1255" i="37"/>
  <c r="N1256" i="37"/>
  <c r="N1257" i="37"/>
  <c r="N1258" i="37"/>
  <c r="N1259" i="37"/>
  <c r="N1260" i="37"/>
  <c r="N1261" i="37"/>
  <c r="N1262" i="37"/>
  <c r="N1263" i="37"/>
  <c r="N1264" i="37"/>
  <c r="N1265" i="37"/>
  <c r="N1266" i="37"/>
  <c r="N1267" i="37"/>
  <c r="N1268" i="37"/>
  <c r="N1269" i="37"/>
  <c r="N1270" i="37"/>
  <c r="N1271" i="37"/>
  <c r="N1272" i="37"/>
  <c r="N1273" i="37"/>
  <c r="N1274" i="37"/>
  <c r="N1275" i="37"/>
  <c r="N1276" i="37"/>
  <c r="N1277" i="37"/>
  <c r="N1278" i="37"/>
  <c r="N1279" i="37"/>
  <c r="N1280" i="37"/>
  <c r="N1281" i="37"/>
  <c r="N1282" i="37"/>
  <c r="N1283" i="37"/>
  <c r="N1284" i="37"/>
  <c r="N1285" i="37"/>
  <c r="N1286" i="37"/>
  <c r="N1287" i="37"/>
  <c r="N1288" i="37"/>
  <c r="N1289" i="37"/>
  <c r="N1290" i="37"/>
  <c r="N1291" i="37"/>
  <c r="N1292" i="37"/>
  <c r="N1293" i="37"/>
  <c r="N1294" i="37"/>
  <c r="N1295" i="37"/>
  <c r="N1296" i="37"/>
  <c r="N1297" i="37"/>
  <c r="N1298" i="37"/>
  <c r="N1299" i="37"/>
  <c r="N1300" i="37"/>
  <c r="N1301" i="37"/>
  <c r="N1302" i="37"/>
  <c r="N1303" i="37"/>
  <c r="N1304" i="37"/>
  <c r="N1305" i="37"/>
  <c r="N1306" i="37"/>
  <c r="N1307" i="37"/>
  <c r="N1308" i="37"/>
  <c r="N1309" i="37"/>
  <c r="N1310" i="37"/>
  <c r="N1311" i="37"/>
  <c r="N1312" i="37"/>
  <c r="N1313" i="37"/>
  <c r="N1314" i="37"/>
  <c r="N1315" i="37"/>
  <c r="N1316" i="37"/>
  <c r="N1317" i="37"/>
  <c r="N1318" i="37"/>
  <c r="N1319" i="37"/>
  <c r="N1320" i="37"/>
  <c r="N1321" i="37"/>
  <c r="N1322" i="37"/>
  <c r="N1323" i="37"/>
  <c r="N1324" i="37"/>
  <c r="N1325" i="37"/>
  <c r="N1326" i="37"/>
  <c r="N1327" i="37"/>
  <c r="N1328" i="37"/>
  <c r="N1329" i="37"/>
  <c r="N1330" i="37"/>
  <c r="N1331" i="37"/>
  <c r="N1332" i="37"/>
  <c r="N1333" i="37"/>
  <c r="N1334" i="37"/>
  <c r="N1335" i="37"/>
  <c r="N1336" i="37"/>
  <c r="N1337" i="37"/>
  <c r="N1338" i="37"/>
  <c r="N1339" i="37"/>
  <c r="N1340" i="37"/>
  <c r="N1341" i="37"/>
  <c r="N1342" i="37"/>
  <c r="N1343" i="37"/>
  <c r="N1344" i="37"/>
  <c r="N1345" i="37"/>
  <c r="N1346" i="37"/>
  <c r="N1347" i="37"/>
  <c r="N1348" i="37"/>
  <c r="N1349" i="37"/>
  <c r="N1350" i="37"/>
  <c r="N1351" i="37"/>
  <c r="N1352" i="37"/>
  <c r="N1353" i="37"/>
  <c r="N1354" i="37"/>
  <c r="N1355" i="37"/>
  <c r="N1356" i="37"/>
  <c r="N1357" i="37"/>
  <c r="N1358" i="37"/>
  <c r="N1359" i="37"/>
  <c r="N1360" i="37"/>
  <c r="N1361" i="37"/>
  <c r="N1362" i="37"/>
  <c r="N1363" i="37"/>
  <c r="N1364" i="37"/>
  <c r="N1365" i="37"/>
  <c r="N1366" i="37"/>
  <c r="N1367" i="37"/>
  <c r="N1368" i="37"/>
  <c r="N1369" i="37"/>
  <c r="N1370" i="37"/>
  <c r="N1371" i="37"/>
  <c r="N1372" i="37"/>
  <c r="N1373" i="37"/>
  <c r="N1374" i="37"/>
  <c r="N1375" i="37"/>
  <c r="N1376" i="37"/>
  <c r="N1377" i="37"/>
  <c r="N1378" i="37"/>
  <c r="N1379" i="37"/>
  <c r="N1380" i="37"/>
  <c r="N1381" i="37"/>
  <c r="N1382" i="37"/>
  <c r="N1383" i="37"/>
  <c r="N1384" i="37"/>
  <c r="N1385" i="37"/>
  <c r="N1386" i="37"/>
  <c r="N1387" i="37"/>
  <c r="N1388" i="37"/>
  <c r="N1389" i="37"/>
  <c r="N1390" i="37"/>
  <c r="N1391" i="37"/>
  <c r="N1392" i="37"/>
  <c r="N1393" i="37"/>
  <c r="N1394" i="37"/>
  <c r="N1395" i="37"/>
  <c r="N1396" i="37"/>
  <c r="N1397" i="37"/>
  <c r="N1398" i="37"/>
  <c r="N1399" i="37"/>
  <c r="N1400" i="37"/>
  <c r="N1401" i="37"/>
  <c r="N1402" i="37"/>
  <c r="N1403" i="37"/>
  <c r="N1404" i="37"/>
  <c r="N1405" i="37"/>
  <c r="N1406" i="37"/>
  <c r="N1407" i="37"/>
  <c r="N1408" i="37"/>
  <c r="N1409" i="37"/>
  <c r="N1410" i="37"/>
  <c r="N1411" i="37"/>
  <c r="N1412" i="37"/>
  <c r="N1413" i="37"/>
  <c r="N1414" i="37"/>
  <c r="N1415" i="37"/>
  <c r="N1416" i="37"/>
  <c r="N1417" i="37"/>
  <c r="N1418" i="37"/>
  <c r="N1419" i="37"/>
  <c r="N1420" i="37"/>
  <c r="N1421" i="37"/>
  <c r="N1422" i="37"/>
  <c r="N1423" i="37"/>
  <c r="N1424" i="37"/>
  <c r="N1425" i="37"/>
  <c r="N1426" i="37"/>
  <c r="N1427" i="37"/>
  <c r="N1428" i="37"/>
  <c r="N1429" i="37"/>
  <c r="N1430" i="37"/>
  <c r="N1431" i="37"/>
  <c r="N1432" i="37"/>
  <c r="N1433" i="37"/>
  <c r="N1434" i="37"/>
  <c r="N1435" i="37"/>
  <c r="N1436" i="37"/>
  <c r="N1437" i="37"/>
  <c r="N1438" i="37"/>
  <c r="N1439" i="37"/>
  <c r="N1440" i="37"/>
  <c r="N1441" i="37"/>
  <c r="N1442" i="37"/>
  <c r="N1443" i="37"/>
  <c r="N1444" i="37"/>
  <c r="N1445" i="37"/>
  <c r="N1446" i="37"/>
  <c r="N1447" i="37"/>
  <c r="N1448" i="37"/>
  <c r="N1449" i="37"/>
  <c r="N1450" i="37"/>
  <c r="N1451" i="37"/>
  <c r="N1452" i="37"/>
  <c r="N1453" i="37"/>
  <c r="N1454" i="37"/>
  <c r="N1455" i="37"/>
  <c r="N1456" i="37"/>
  <c r="N1457" i="37"/>
  <c r="N1458" i="37"/>
  <c r="N1459" i="37"/>
  <c r="N1460" i="37"/>
  <c r="N1461" i="37"/>
  <c r="N1462" i="37"/>
  <c r="N1463" i="37"/>
  <c r="N1464" i="37"/>
  <c r="N1465" i="37"/>
  <c r="N1466" i="37"/>
  <c r="N1467" i="37"/>
  <c r="N1468" i="37"/>
  <c r="N1469" i="37"/>
  <c r="N1470" i="37"/>
  <c r="N1471" i="37"/>
  <c r="N1472" i="37"/>
  <c r="N1473" i="37"/>
  <c r="N1474" i="37"/>
  <c r="N1475" i="37"/>
  <c r="N1476" i="37"/>
  <c r="N1477" i="37"/>
  <c r="N1478" i="37"/>
  <c r="N1479" i="37"/>
  <c r="N1480" i="37"/>
  <c r="N1481" i="37"/>
  <c r="N1482" i="37"/>
  <c r="N1483" i="37"/>
  <c r="N1484" i="37"/>
  <c r="N1485" i="37"/>
  <c r="N1486" i="37"/>
  <c r="N1487" i="37"/>
  <c r="N1488" i="37"/>
  <c r="N1489" i="37"/>
  <c r="N1490" i="37"/>
  <c r="N1491" i="37"/>
  <c r="N1492" i="37"/>
  <c r="N1493" i="37"/>
  <c r="N1494" i="37"/>
  <c r="N1495" i="37"/>
  <c r="N1496" i="37"/>
  <c r="N1497" i="37"/>
  <c r="N1498" i="37"/>
  <c r="N1499" i="37"/>
  <c r="N1500" i="37"/>
  <c r="N1501" i="37"/>
  <c r="N1502" i="37"/>
  <c r="N1503" i="37"/>
  <c r="N1504" i="37"/>
  <c r="N1505" i="37"/>
  <c r="N1506" i="37"/>
  <c r="N1507" i="37"/>
  <c r="N1508" i="37"/>
  <c r="N1509" i="37"/>
  <c r="N1510" i="37"/>
  <c r="N1511" i="37"/>
  <c r="N1512" i="37"/>
  <c r="N1513" i="37"/>
  <c r="N1514" i="37"/>
  <c r="N1515" i="37"/>
  <c r="N1516" i="37"/>
  <c r="N1517" i="37"/>
  <c r="N1518" i="37"/>
  <c r="N1519" i="37"/>
  <c r="N1520" i="37"/>
  <c r="N1521" i="37"/>
  <c r="N1522" i="37"/>
  <c r="N1523" i="37"/>
  <c r="N1524" i="37"/>
  <c r="N1525" i="37"/>
  <c r="N1526" i="37"/>
  <c r="N1527" i="37"/>
  <c r="N1528" i="37"/>
  <c r="N1529" i="37"/>
  <c r="N1530" i="37"/>
  <c r="N1531" i="37"/>
  <c r="N1532" i="37"/>
  <c r="N1533" i="37"/>
  <c r="N1534" i="37"/>
  <c r="N1535" i="37"/>
  <c r="N1536" i="37"/>
  <c r="N1537" i="37"/>
  <c r="N1538" i="37"/>
  <c r="N1539" i="37"/>
  <c r="N1540" i="37"/>
  <c r="N1541" i="37"/>
  <c r="N1542" i="37"/>
  <c r="N1543" i="37"/>
  <c r="N1544" i="37"/>
  <c r="N1545" i="37"/>
  <c r="N1546" i="37"/>
  <c r="N1547" i="37"/>
  <c r="N1548" i="37"/>
  <c r="N1549" i="37"/>
  <c r="N1550" i="37"/>
  <c r="N1551" i="37"/>
  <c r="N1552" i="37"/>
  <c r="N1553" i="37"/>
  <c r="N1554" i="37"/>
  <c r="N1555" i="37"/>
  <c r="N1556" i="37"/>
  <c r="N1557" i="37"/>
  <c r="N1558" i="37"/>
  <c r="N1559" i="37"/>
  <c r="N1560" i="37"/>
  <c r="N1561" i="37"/>
  <c r="N1562" i="37"/>
  <c r="N1563" i="37"/>
  <c r="N1564" i="37"/>
  <c r="N1565" i="37"/>
  <c r="N1566" i="37"/>
  <c r="N1567" i="37"/>
  <c r="N1568" i="37"/>
  <c r="N1569" i="37"/>
  <c r="N1570" i="37"/>
  <c r="N1571" i="37"/>
  <c r="N1572" i="37"/>
  <c r="N1573" i="37"/>
  <c r="N1574" i="37"/>
  <c r="N1575" i="37"/>
  <c r="N1576" i="37"/>
  <c r="N1577" i="37"/>
  <c r="N1578" i="37"/>
  <c r="N1579" i="37"/>
  <c r="N1580" i="37"/>
  <c r="N1581" i="37"/>
  <c r="N1582" i="37"/>
  <c r="N1583" i="37"/>
  <c r="N1584" i="37"/>
  <c r="N1585" i="37"/>
  <c r="N1586" i="37"/>
  <c r="N1587" i="37"/>
  <c r="N1588" i="37"/>
  <c r="N1589" i="37"/>
  <c r="N1590" i="37"/>
  <c r="N1591" i="37"/>
  <c r="N1592" i="37"/>
  <c r="N1593" i="37"/>
  <c r="N1594" i="37"/>
  <c r="N1595" i="37"/>
  <c r="N1596" i="37"/>
  <c r="N1597" i="37"/>
  <c r="N1598" i="37"/>
  <c r="N1599" i="37"/>
  <c r="N1600" i="37"/>
  <c r="N1601" i="37"/>
  <c r="N1602" i="37"/>
  <c r="N1603" i="37"/>
  <c r="N1604" i="37"/>
  <c r="N1605" i="37"/>
  <c r="N1606" i="37"/>
  <c r="N1607" i="37"/>
  <c r="N1608" i="37"/>
  <c r="N1609" i="37"/>
  <c r="N1610" i="37"/>
  <c r="N1611" i="37"/>
  <c r="N1612" i="37"/>
  <c r="N1613" i="37"/>
  <c r="N1614" i="37"/>
  <c r="N1615" i="37"/>
  <c r="N1616" i="37"/>
  <c r="N1617" i="37"/>
  <c r="N1618" i="37"/>
  <c r="N1619" i="37"/>
  <c r="N1620" i="37"/>
  <c r="N1621" i="37"/>
  <c r="N1622" i="37"/>
  <c r="N1623" i="37"/>
  <c r="N1624" i="37"/>
  <c r="N1625" i="37"/>
  <c r="N1626" i="37"/>
  <c r="N1627" i="37"/>
  <c r="N1628" i="37"/>
  <c r="N1629" i="37"/>
  <c r="N1630" i="37"/>
  <c r="N1631" i="37"/>
  <c r="N1632" i="37"/>
  <c r="N1633" i="37"/>
  <c r="N1634" i="37"/>
  <c r="N1635" i="37"/>
  <c r="N1636" i="37"/>
  <c r="N1637" i="37"/>
  <c r="N1638" i="37"/>
  <c r="N1639" i="37"/>
  <c r="N1640" i="37"/>
  <c r="N1641" i="37"/>
  <c r="N1642" i="37"/>
  <c r="N1643" i="37"/>
  <c r="N1644" i="37"/>
  <c r="N1645" i="37"/>
  <c r="N1646" i="37"/>
  <c r="N1647" i="37"/>
  <c r="N1648" i="37"/>
  <c r="N1649" i="37"/>
  <c r="N1650" i="37"/>
  <c r="N1651" i="37"/>
  <c r="N1652" i="37"/>
  <c r="N1653" i="37"/>
  <c r="N1654" i="37"/>
  <c r="N1655" i="37"/>
  <c r="N1656" i="37"/>
  <c r="N1657" i="37"/>
  <c r="N1658" i="37"/>
  <c r="N1659" i="37"/>
  <c r="N1660" i="37"/>
  <c r="N1661" i="37"/>
  <c r="N1662" i="37"/>
  <c r="N1663" i="37"/>
  <c r="N1664" i="37"/>
  <c r="N1665" i="37"/>
  <c r="N1666" i="37"/>
  <c r="N1667" i="37"/>
  <c r="N1668" i="37"/>
  <c r="N1669" i="37"/>
  <c r="N1670" i="37"/>
  <c r="N1671" i="37"/>
  <c r="N1672" i="37"/>
  <c r="N1673" i="37"/>
  <c r="N1674" i="37"/>
  <c r="N1675" i="37"/>
  <c r="N1676" i="37"/>
  <c r="N1677" i="37"/>
  <c r="N1678" i="37"/>
  <c r="N1679" i="37"/>
  <c r="N1680" i="37"/>
  <c r="N1681" i="37"/>
  <c r="N1682" i="37"/>
  <c r="N1683" i="37"/>
  <c r="N1684" i="37"/>
  <c r="N1685" i="37"/>
  <c r="N1686" i="37"/>
  <c r="N1687" i="37"/>
  <c r="N1688" i="37"/>
  <c r="N1689" i="37"/>
  <c r="N1690" i="37"/>
  <c r="N1691" i="37"/>
  <c r="N1692" i="37"/>
  <c r="N1693" i="37"/>
  <c r="N1694" i="37"/>
  <c r="N1695" i="37"/>
  <c r="N1696" i="37"/>
  <c r="N1697" i="37"/>
  <c r="N1698" i="37"/>
  <c r="N1699" i="37"/>
  <c r="N1700" i="37"/>
  <c r="N1701" i="37"/>
  <c r="N1702" i="37"/>
  <c r="N1703" i="37"/>
  <c r="N1704" i="37"/>
  <c r="N1705" i="37"/>
  <c r="N1706" i="37"/>
  <c r="N1707" i="37"/>
  <c r="N1708" i="37"/>
  <c r="N1709" i="37"/>
  <c r="N1710" i="37"/>
  <c r="N1711" i="37"/>
  <c r="N1712" i="37"/>
  <c r="N1713" i="37"/>
  <c r="N1714" i="37"/>
  <c r="N1715" i="37"/>
  <c r="N1716" i="37"/>
  <c r="N1717" i="37"/>
  <c r="N1718" i="37"/>
  <c r="N1719" i="37"/>
  <c r="N1720" i="37"/>
  <c r="N1721" i="37"/>
  <c r="N1722" i="37"/>
  <c r="N1723" i="37"/>
  <c r="N1724" i="37"/>
  <c r="N1725" i="37"/>
  <c r="N1726" i="37"/>
  <c r="N1727" i="37"/>
  <c r="N1728" i="37"/>
  <c r="N1729" i="37"/>
  <c r="N1730" i="37"/>
  <c r="N1731" i="37"/>
  <c r="N1732" i="37"/>
  <c r="N1733" i="37"/>
  <c r="N1734" i="37"/>
  <c r="N1735" i="37"/>
  <c r="N1736" i="37"/>
  <c r="N1737" i="37"/>
  <c r="N1738" i="37"/>
  <c r="N1739" i="37"/>
  <c r="N1740" i="37"/>
  <c r="N1741" i="37"/>
  <c r="N1742" i="37"/>
  <c r="N1743" i="37"/>
  <c r="N1744" i="37"/>
  <c r="N1745" i="37"/>
  <c r="N1746" i="37"/>
  <c r="N1747" i="37"/>
  <c r="N1748" i="37"/>
  <c r="N1749" i="37"/>
  <c r="N1750" i="37"/>
  <c r="N1751" i="37"/>
  <c r="N1752" i="37"/>
  <c r="N1753" i="37"/>
  <c r="N1754" i="37"/>
  <c r="N1755" i="37"/>
  <c r="N1756" i="37"/>
  <c r="N1757" i="37"/>
  <c r="N1758" i="37"/>
  <c r="N1759" i="37"/>
  <c r="N1760" i="37"/>
  <c r="N1761" i="37"/>
  <c r="N1762" i="37"/>
  <c r="N1763" i="37"/>
  <c r="N1764" i="37"/>
  <c r="N1765" i="37"/>
  <c r="N1766" i="37"/>
  <c r="N1767" i="37"/>
  <c r="N1768" i="37"/>
  <c r="N1769" i="37"/>
  <c r="N1770" i="37"/>
  <c r="N1771" i="37"/>
  <c r="N1772" i="37"/>
  <c r="N1773" i="37"/>
  <c r="N1774" i="37"/>
  <c r="N1775" i="37"/>
  <c r="N1776" i="37"/>
  <c r="N1777" i="37"/>
  <c r="N1778" i="37"/>
  <c r="N1779" i="37"/>
  <c r="N1780" i="37"/>
  <c r="N1781" i="37"/>
  <c r="N1782" i="37"/>
  <c r="N1783" i="37"/>
  <c r="N1784" i="37"/>
  <c r="N1785" i="37"/>
  <c r="N1786" i="37"/>
  <c r="N1787" i="37"/>
  <c r="N1788" i="37"/>
  <c r="N1789" i="37"/>
  <c r="N1790" i="37"/>
  <c r="N1791" i="37"/>
  <c r="N1792" i="37"/>
  <c r="N1793" i="37"/>
  <c r="N1794" i="37"/>
  <c r="N1795" i="37"/>
  <c r="N1796" i="37"/>
  <c r="N1797" i="37"/>
  <c r="N1798" i="37"/>
  <c r="N1799" i="37"/>
  <c r="N1800" i="37"/>
  <c r="N1801" i="37"/>
  <c r="N1802" i="37"/>
  <c r="N1803" i="37"/>
  <c r="N1804" i="37"/>
  <c r="N1805" i="37"/>
  <c r="N1806" i="37"/>
  <c r="N1807" i="37"/>
  <c r="N1808" i="37"/>
  <c r="N1809" i="37"/>
  <c r="N1810" i="37"/>
  <c r="N1811" i="37"/>
  <c r="N1812" i="37"/>
  <c r="N1813" i="37"/>
  <c r="N1814" i="37"/>
  <c r="N1815" i="37"/>
  <c r="N1816" i="37"/>
  <c r="N1817" i="37"/>
  <c r="N1818" i="37"/>
  <c r="N1819" i="37"/>
  <c r="N1820" i="37"/>
  <c r="N1821" i="37"/>
  <c r="N1822" i="37"/>
  <c r="N1823" i="37"/>
  <c r="N1824" i="37"/>
  <c r="N1825" i="37"/>
  <c r="N1826" i="37"/>
  <c r="N1827" i="37"/>
  <c r="N1828" i="37"/>
  <c r="N1829" i="37"/>
  <c r="N1830" i="37"/>
  <c r="N1831" i="37"/>
  <c r="N1832" i="37"/>
  <c r="N1833" i="37"/>
  <c r="N1834" i="37"/>
  <c r="N1835" i="37"/>
  <c r="N1836" i="37"/>
  <c r="N1837" i="37"/>
  <c r="N1838" i="37"/>
  <c r="N1839" i="37"/>
  <c r="N1840" i="37"/>
  <c r="N1841" i="37"/>
  <c r="N1842" i="37"/>
  <c r="N1843" i="37"/>
  <c r="N1844" i="37"/>
  <c r="N1845" i="37"/>
  <c r="N1846" i="37"/>
  <c r="N1847" i="37"/>
  <c r="N1848" i="37"/>
  <c r="N1849" i="37"/>
  <c r="N1850" i="37"/>
  <c r="N1851" i="37"/>
  <c r="N1852" i="37"/>
  <c r="N1853" i="37"/>
  <c r="N1854" i="37"/>
  <c r="N1855" i="37"/>
  <c r="N1856" i="37"/>
  <c r="N1857" i="37"/>
  <c r="N1858" i="37"/>
  <c r="N1859" i="37"/>
  <c r="N1860" i="37"/>
  <c r="N1861" i="37"/>
  <c r="N1862" i="37"/>
  <c r="N1863" i="37"/>
  <c r="N1864" i="37"/>
  <c r="N1865" i="37"/>
  <c r="N1866" i="37"/>
  <c r="N1867" i="37"/>
  <c r="N1868" i="37"/>
  <c r="N1869" i="37"/>
  <c r="N1870" i="37"/>
  <c r="N1871" i="37"/>
  <c r="N1872" i="37"/>
  <c r="N1873" i="37"/>
  <c r="N1874" i="37"/>
  <c r="N1875" i="37"/>
  <c r="N1876" i="37"/>
  <c r="N1877" i="37"/>
  <c r="N1878" i="37"/>
  <c r="N1879" i="37"/>
  <c r="N1880" i="37"/>
  <c r="N1881" i="37"/>
  <c r="N1882" i="37"/>
  <c r="N1883" i="37"/>
  <c r="N1884" i="37"/>
  <c r="N1885" i="37"/>
  <c r="N1886" i="37"/>
  <c r="N1887" i="37"/>
  <c r="N1888" i="37"/>
  <c r="N1889" i="37"/>
  <c r="N1890" i="37"/>
  <c r="N1891" i="37"/>
  <c r="N1892" i="37"/>
  <c r="N1893" i="37"/>
  <c r="N1894" i="37"/>
  <c r="N1895" i="37"/>
  <c r="N1896" i="37"/>
  <c r="N1897" i="37"/>
  <c r="N1898" i="37"/>
  <c r="N1899" i="37"/>
  <c r="N1900" i="37"/>
  <c r="N1901" i="37"/>
  <c r="N1902" i="37"/>
  <c r="N1903" i="37"/>
  <c r="N1904" i="37"/>
  <c r="N1905" i="37"/>
  <c r="N1906" i="37"/>
  <c r="N1907" i="37"/>
  <c r="N1908" i="37"/>
  <c r="N1909" i="37"/>
  <c r="N1910" i="37"/>
  <c r="N1911" i="37"/>
  <c r="N1912" i="37"/>
  <c r="N1913" i="37"/>
  <c r="N1914" i="37"/>
  <c r="N1915" i="37"/>
  <c r="N1916" i="37"/>
  <c r="N1917" i="37"/>
  <c r="N1918" i="37"/>
  <c r="N1919" i="37"/>
  <c r="N1920" i="37"/>
  <c r="N1921" i="37"/>
  <c r="N1922" i="37"/>
  <c r="N1923" i="37"/>
  <c r="N1924" i="37"/>
  <c r="N1925" i="37"/>
  <c r="N1926" i="37"/>
  <c r="N1927" i="37"/>
  <c r="N1928" i="37"/>
  <c r="N1929" i="37"/>
  <c r="N1930" i="37"/>
  <c r="N1931" i="37"/>
  <c r="N1932" i="37"/>
  <c r="N1933" i="37"/>
  <c r="N1934" i="37"/>
  <c r="N1935" i="37"/>
  <c r="N1936" i="37"/>
  <c r="N1937" i="37"/>
  <c r="N1938" i="37"/>
  <c r="N1939" i="37"/>
  <c r="N1940" i="37"/>
  <c r="N1941" i="37"/>
  <c r="N1942" i="37"/>
  <c r="N1943" i="37"/>
  <c r="N1944" i="37"/>
  <c r="N1945" i="37"/>
  <c r="N1946" i="37"/>
  <c r="N1947" i="37"/>
  <c r="N1948" i="37"/>
  <c r="N1949" i="37"/>
  <c r="N1950" i="37"/>
  <c r="N1951" i="37"/>
  <c r="N1952" i="37"/>
  <c r="N1953" i="37"/>
  <c r="N1954" i="37"/>
  <c r="N1955" i="37"/>
  <c r="N1956" i="37"/>
  <c r="N1957" i="37"/>
  <c r="N1958" i="37"/>
  <c r="N1959" i="37"/>
  <c r="N1960" i="37"/>
  <c r="N1961" i="37"/>
  <c r="N1962" i="37"/>
  <c r="N1963" i="37"/>
  <c r="N1964" i="37"/>
  <c r="N1965" i="37"/>
  <c r="N1966" i="37"/>
  <c r="N1967" i="37"/>
  <c r="N1968" i="37"/>
  <c r="N1969" i="37"/>
  <c r="N1970" i="37"/>
  <c r="N1971" i="37"/>
  <c r="N1972" i="37"/>
  <c r="N1973" i="37"/>
  <c r="N1974" i="37"/>
  <c r="N1975" i="37"/>
  <c r="N1976" i="37"/>
  <c r="N1977" i="37"/>
  <c r="N1978" i="37"/>
  <c r="N1979" i="37"/>
  <c r="N1980" i="37"/>
  <c r="N1981" i="37"/>
  <c r="N1982" i="37"/>
  <c r="N1983" i="37"/>
  <c r="N1984" i="37"/>
  <c r="N1985" i="37"/>
  <c r="N1986" i="37"/>
  <c r="N1987" i="37"/>
  <c r="N1988" i="37"/>
  <c r="N1989" i="37"/>
  <c r="N1990" i="37"/>
  <c r="N1991" i="37"/>
  <c r="N1992" i="37"/>
  <c r="N1993" i="37"/>
  <c r="N1994" i="37"/>
  <c r="N1995" i="37"/>
  <c r="N1996" i="37"/>
  <c r="N1997" i="37"/>
  <c r="N1998" i="37"/>
  <c r="N1999" i="37"/>
  <c r="N2000" i="37"/>
  <c r="N2001" i="37"/>
  <c r="N2002" i="37"/>
  <c r="N2003" i="37"/>
  <c r="N2004" i="37"/>
  <c r="N2005" i="37"/>
  <c r="N2006" i="37"/>
  <c r="N2007" i="37"/>
  <c r="N2008" i="37"/>
  <c r="N2009" i="37"/>
  <c r="N2010" i="37"/>
  <c r="N2011" i="37"/>
  <c r="N2012" i="37"/>
  <c r="N2013" i="37"/>
  <c r="N2014" i="37"/>
  <c r="N2015" i="37"/>
  <c r="N2016" i="37"/>
  <c r="N2017" i="37"/>
  <c r="N2018" i="37"/>
  <c r="N2019" i="37"/>
  <c r="N2020" i="37"/>
  <c r="N2021" i="37"/>
  <c r="N2022" i="37"/>
  <c r="N2023" i="37"/>
  <c r="N2024" i="37"/>
  <c r="N2025" i="37"/>
  <c r="N2026" i="37"/>
  <c r="N2027" i="37"/>
  <c r="N2028" i="37"/>
  <c r="N2029" i="37"/>
  <c r="N2030" i="37"/>
  <c r="N2031" i="37"/>
  <c r="N2032" i="37"/>
  <c r="N2033" i="37"/>
  <c r="N2034" i="37"/>
  <c r="N2035" i="37"/>
  <c r="N2036" i="37"/>
  <c r="N2037" i="37"/>
  <c r="N2038" i="37"/>
  <c r="N2039" i="37"/>
  <c r="N2040" i="37"/>
  <c r="N2041" i="37"/>
  <c r="N2042" i="37"/>
  <c r="N2043" i="37"/>
  <c r="N2044" i="37"/>
  <c r="N2045" i="37"/>
  <c r="N2046" i="37"/>
  <c r="N2047" i="37"/>
  <c r="N2048" i="37"/>
  <c r="N2049" i="37"/>
  <c r="N2050" i="37"/>
  <c r="N2051" i="37"/>
  <c r="N2052" i="37"/>
  <c r="N2053" i="37"/>
  <c r="N2054" i="37"/>
  <c r="N2055" i="37"/>
  <c r="N2056" i="37"/>
  <c r="N2057" i="37"/>
  <c r="N2058" i="37"/>
  <c r="N2059" i="37"/>
  <c r="N2060" i="37"/>
  <c r="N2061" i="37"/>
  <c r="N2062" i="37"/>
  <c r="N2063" i="37"/>
  <c r="N2064" i="37"/>
  <c r="N2065" i="37"/>
  <c r="N2066" i="37"/>
  <c r="N2067" i="37"/>
  <c r="N2068" i="37"/>
  <c r="N2069" i="37"/>
  <c r="N2070" i="37"/>
  <c r="N2071" i="37"/>
  <c r="N2072" i="37"/>
  <c r="N2073" i="37"/>
  <c r="N2074" i="37"/>
  <c r="N2075" i="37"/>
  <c r="N2076" i="37"/>
  <c r="N2077" i="37"/>
  <c r="N2078" i="37"/>
  <c r="N2079" i="37"/>
  <c r="N2080" i="37"/>
  <c r="N2081" i="37"/>
  <c r="N2082" i="37"/>
  <c r="N2083" i="37"/>
  <c r="N2084" i="37"/>
  <c r="N2085" i="37"/>
  <c r="N2086" i="37"/>
  <c r="N2087" i="37"/>
  <c r="N2088" i="37"/>
  <c r="N2089" i="37"/>
  <c r="N2090" i="37"/>
  <c r="N2091" i="37"/>
  <c r="N2092" i="37"/>
  <c r="N2093" i="37"/>
  <c r="N2094" i="37"/>
  <c r="N2095" i="37"/>
  <c r="N2096" i="37"/>
  <c r="N2097" i="37"/>
  <c r="N2098" i="37"/>
  <c r="N2099" i="37"/>
  <c r="N2100" i="37"/>
  <c r="N2101" i="37"/>
  <c r="N2102" i="37"/>
  <c r="N2103" i="37"/>
  <c r="N2104" i="37"/>
  <c r="N2105" i="37"/>
  <c r="N2106" i="37"/>
  <c r="N2107" i="37"/>
  <c r="N2108" i="37"/>
  <c r="N2109" i="37"/>
  <c r="N2110" i="37"/>
  <c r="N2111" i="37"/>
  <c r="N2112" i="37"/>
  <c r="N2113" i="37"/>
  <c r="N2114" i="37"/>
  <c r="N2115" i="37"/>
  <c r="N2116" i="37"/>
  <c r="N2117" i="37"/>
  <c r="N2118" i="37"/>
  <c r="N2119" i="37"/>
  <c r="N2120" i="37"/>
  <c r="N2121" i="37"/>
  <c r="N2122" i="37"/>
  <c r="N2123" i="37"/>
  <c r="N2124" i="37"/>
  <c r="N2125" i="37"/>
  <c r="N2126" i="37"/>
  <c r="N2127" i="37"/>
  <c r="N2128" i="37"/>
  <c r="N2129" i="37"/>
  <c r="N2130" i="37"/>
  <c r="N2131" i="37"/>
  <c r="N2132" i="37"/>
  <c r="N2133" i="37"/>
  <c r="N2134" i="37"/>
  <c r="N2135" i="37"/>
  <c r="N2136" i="37"/>
  <c r="N2137" i="37"/>
  <c r="N2138" i="37"/>
  <c r="N2139" i="37"/>
  <c r="N2140" i="37"/>
  <c r="N2141" i="37"/>
  <c r="N2142" i="37"/>
  <c r="N2143" i="37"/>
  <c r="N2144" i="37"/>
  <c r="N2145" i="37"/>
  <c r="N2146" i="37"/>
  <c r="N2147" i="37"/>
  <c r="N2148" i="37"/>
  <c r="N2149" i="37"/>
  <c r="N2150" i="37"/>
  <c r="N2151" i="37"/>
  <c r="N2152" i="37"/>
  <c r="N2153" i="37"/>
  <c r="N2154" i="37"/>
  <c r="N2155" i="37"/>
  <c r="N2156" i="37"/>
  <c r="N2157" i="37"/>
  <c r="N2158" i="37"/>
  <c r="N2159" i="37"/>
  <c r="N2160" i="37"/>
  <c r="N2161" i="37"/>
  <c r="N2162" i="37"/>
  <c r="N2163" i="37"/>
  <c r="N2164" i="37"/>
  <c r="N2165" i="37"/>
  <c r="N2166" i="37"/>
  <c r="N2167" i="37"/>
  <c r="N2168" i="37"/>
  <c r="N2169" i="37"/>
  <c r="N2170" i="37"/>
  <c r="N2171" i="37"/>
  <c r="N2172" i="37"/>
  <c r="N2173" i="37"/>
  <c r="N2174" i="37"/>
  <c r="N2175" i="37"/>
  <c r="N2176" i="37"/>
  <c r="N2177" i="37"/>
  <c r="N2178" i="37"/>
  <c r="N2179" i="37"/>
  <c r="N2180" i="37"/>
  <c r="N2181" i="37"/>
  <c r="N2182" i="37"/>
  <c r="N2183" i="37"/>
  <c r="N2184" i="37"/>
  <c r="N2185" i="37"/>
  <c r="N2186" i="37"/>
  <c r="N2187" i="37"/>
  <c r="N2188" i="37"/>
  <c r="N2189" i="37"/>
  <c r="N2190" i="37"/>
  <c r="N2191" i="37"/>
  <c r="N2192" i="37"/>
  <c r="N2193" i="37"/>
  <c r="N2194" i="37"/>
  <c r="N2195" i="37"/>
  <c r="N2196" i="37"/>
  <c r="N2197" i="37"/>
  <c r="N2198" i="37"/>
  <c r="N2199" i="37"/>
  <c r="N2200" i="37"/>
  <c r="N2201" i="37"/>
  <c r="N2202" i="37"/>
  <c r="N2203" i="37"/>
  <c r="N2204" i="37"/>
  <c r="N2205" i="37"/>
  <c r="N2206" i="37"/>
  <c r="N2207" i="37"/>
  <c r="N2208" i="37"/>
  <c r="N2209" i="37"/>
  <c r="N2210" i="37"/>
  <c r="N2211" i="37"/>
  <c r="N2212" i="37"/>
  <c r="N12" i="37"/>
  <c r="B13" i="37"/>
  <c r="C13" i="37"/>
  <c r="D13" i="37"/>
  <c r="E13" i="37"/>
  <c r="B14" i="37"/>
  <c r="C14" i="37"/>
  <c r="D14" i="37"/>
  <c r="E14" i="37"/>
  <c r="B15" i="37"/>
  <c r="C15" i="37"/>
  <c r="D15" i="37"/>
  <c r="E15" i="37"/>
  <c r="B16" i="37"/>
  <c r="C16" i="37"/>
  <c r="D16" i="37"/>
  <c r="E16" i="37"/>
  <c r="B17" i="37"/>
  <c r="C17" i="37"/>
  <c r="D17" i="37"/>
  <c r="E17" i="37"/>
  <c r="B18" i="37"/>
  <c r="C18" i="37"/>
  <c r="D18" i="37"/>
  <c r="E18" i="37"/>
  <c r="B19" i="37"/>
  <c r="C19" i="37"/>
  <c r="D19" i="37"/>
  <c r="E19" i="37"/>
  <c r="B20" i="37"/>
  <c r="C20" i="37"/>
  <c r="D20" i="37"/>
  <c r="E20" i="37"/>
  <c r="B21" i="37"/>
  <c r="C21" i="37"/>
  <c r="D21" i="37"/>
  <c r="E21" i="37"/>
  <c r="B22" i="37"/>
  <c r="C22" i="37"/>
  <c r="D22" i="37"/>
  <c r="E22" i="37"/>
  <c r="B23" i="37"/>
  <c r="C23" i="37"/>
  <c r="D23" i="37"/>
  <c r="E23" i="37"/>
  <c r="B24" i="37"/>
  <c r="C24" i="37"/>
  <c r="D24" i="37"/>
  <c r="E24" i="37"/>
  <c r="B25" i="37"/>
  <c r="C25" i="37"/>
  <c r="D25" i="37"/>
  <c r="E25" i="37"/>
  <c r="B26" i="37"/>
  <c r="C26" i="37"/>
  <c r="D26" i="37"/>
  <c r="E26" i="37"/>
  <c r="B27" i="37"/>
  <c r="C27" i="37"/>
  <c r="D27" i="37"/>
  <c r="E27" i="37"/>
  <c r="B28" i="37"/>
  <c r="C28" i="37"/>
  <c r="D28" i="37"/>
  <c r="E28" i="37"/>
  <c r="B29" i="37"/>
  <c r="C29" i="37"/>
  <c r="D29" i="37"/>
  <c r="E29" i="37"/>
  <c r="B30" i="37"/>
  <c r="C30" i="37"/>
  <c r="D30" i="37"/>
  <c r="E30" i="37"/>
  <c r="B31" i="37"/>
  <c r="C31" i="37"/>
  <c r="D31" i="37"/>
  <c r="E31" i="37"/>
  <c r="B32" i="37"/>
  <c r="C32" i="37"/>
  <c r="D32" i="37"/>
  <c r="E32" i="37"/>
  <c r="B33" i="37"/>
  <c r="C33" i="37"/>
  <c r="D33" i="37"/>
  <c r="E33" i="37"/>
  <c r="B34" i="37"/>
  <c r="C34" i="37"/>
  <c r="D34" i="37"/>
  <c r="E34" i="37"/>
  <c r="B35" i="37"/>
  <c r="C35" i="37"/>
  <c r="D35" i="37"/>
  <c r="E35" i="37"/>
  <c r="B36" i="37"/>
  <c r="C36" i="37"/>
  <c r="D36" i="37"/>
  <c r="E36" i="37"/>
  <c r="B37" i="37"/>
  <c r="C37" i="37"/>
  <c r="D37" i="37"/>
  <c r="E37" i="37"/>
  <c r="B38" i="37"/>
  <c r="C38" i="37"/>
  <c r="D38" i="37"/>
  <c r="E38" i="37"/>
  <c r="B39" i="37"/>
  <c r="C39" i="37"/>
  <c r="D39" i="37"/>
  <c r="E39" i="37"/>
  <c r="B40" i="37"/>
  <c r="C40" i="37"/>
  <c r="D40" i="37"/>
  <c r="E40" i="37"/>
  <c r="B41" i="37"/>
  <c r="C41" i="37"/>
  <c r="D41" i="37"/>
  <c r="E41" i="37"/>
  <c r="B42" i="37"/>
  <c r="C42" i="37"/>
  <c r="D42" i="37"/>
  <c r="E42" i="37"/>
  <c r="B43" i="37"/>
  <c r="C43" i="37"/>
  <c r="D43" i="37"/>
  <c r="E43" i="37"/>
  <c r="B44" i="37"/>
  <c r="C44" i="37"/>
  <c r="D44" i="37"/>
  <c r="E44" i="37"/>
  <c r="B45" i="37"/>
  <c r="C45" i="37"/>
  <c r="D45" i="37"/>
  <c r="E45" i="37"/>
  <c r="B46" i="37"/>
  <c r="C46" i="37"/>
  <c r="D46" i="37"/>
  <c r="E46" i="37"/>
  <c r="B47" i="37"/>
  <c r="C47" i="37"/>
  <c r="D47" i="37"/>
  <c r="E47" i="37"/>
  <c r="B48" i="37"/>
  <c r="C48" i="37"/>
  <c r="D48" i="37"/>
  <c r="E48" i="37"/>
  <c r="B49" i="37"/>
  <c r="C49" i="37"/>
  <c r="D49" i="37"/>
  <c r="E49" i="37"/>
  <c r="B50" i="37"/>
  <c r="C50" i="37"/>
  <c r="D50" i="37"/>
  <c r="E50" i="37"/>
  <c r="B51" i="37"/>
  <c r="C51" i="37"/>
  <c r="D51" i="37"/>
  <c r="E51" i="37"/>
  <c r="B52" i="37"/>
  <c r="C52" i="37"/>
  <c r="D52" i="37"/>
  <c r="E52" i="37"/>
  <c r="B53" i="37"/>
  <c r="C53" i="37"/>
  <c r="D53" i="37"/>
  <c r="E53" i="37"/>
  <c r="B54" i="37"/>
  <c r="C54" i="37"/>
  <c r="D54" i="37"/>
  <c r="E54" i="37"/>
  <c r="B55" i="37"/>
  <c r="C55" i="37"/>
  <c r="D55" i="37"/>
  <c r="E55" i="37"/>
  <c r="B56" i="37"/>
  <c r="C56" i="37"/>
  <c r="D56" i="37"/>
  <c r="E56" i="37"/>
  <c r="B57" i="37"/>
  <c r="C57" i="37"/>
  <c r="D57" i="37"/>
  <c r="E57" i="37"/>
  <c r="B58" i="37"/>
  <c r="C58" i="37"/>
  <c r="D58" i="37"/>
  <c r="E58" i="37"/>
  <c r="B59" i="37"/>
  <c r="C59" i="37"/>
  <c r="D59" i="37"/>
  <c r="E59" i="37"/>
  <c r="B60" i="37"/>
  <c r="C60" i="37"/>
  <c r="D60" i="37"/>
  <c r="E60" i="37"/>
  <c r="B61" i="37"/>
  <c r="C61" i="37"/>
  <c r="D61" i="37"/>
  <c r="E61" i="37"/>
  <c r="B62" i="37"/>
  <c r="C62" i="37"/>
  <c r="D62" i="37"/>
  <c r="E62" i="37"/>
  <c r="B63" i="37"/>
  <c r="C63" i="37"/>
  <c r="D63" i="37"/>
  <c r="E63" i="37"/>
  <c r="B64" i="37"/>
  <c r="C64" i="37"/>
  <c r="D64" i="37"/>
  <c r="E64" i="37"/>
  <c r="B65" i="37"/>
  <c r="C65" i="37"/>
  <c r="D65" i="37"/>
  <c r="E65" i="37"/>
  <c r="B66" i="37"/>
  <c r="C66" i="37"/>
  <c r="D66" i="37"/>
  <c r="E66" i="37"/>
  <c r="B67" i="37"/>
  <c r="C67" i="37"/>
  <c r="D67" i="37"/>
  <c r="E67" i="37"/>
  <c r="B68" i="37"/>
  <c r="C68" i="37"/>
  <c r="D68" i="37"/>
  <c r="E68" i="37"/>
  <c r="B69" i="37"/>
  <c r="C69" i="37"/>
  <c r="D69" i="37"/>
  <c r="E69" i="37"/>
  <c r="B70" i="37"/>
  <c r="C70" i="37"/>
  <c r="D70" i="37"/>
  <c r="E70" i="37"/>
  <c r="B71" i="37"/>
  <c r="C71" i="37"/>
  <c r="D71" i="37"/>
  <c r="E71" i="37"/>
  <c r="B72" i="37"/>
  <c r="C72" i="37"/>
  <c r="D72" i="37"/>
  <c r="E72" i="37"/>
  <c r="B73" i="37"/>
  <c r="C73" i="37"/>
  <c r="D73" i="37"/>
  <c r="E73" i="37"/>
  <c r="B74" i="37"/>
  <c r="C74" i="37"/>
  <c r="D74" i="37"/>
  <c r="E74" i="37"/>
  <c r="B75" i="37"/>
  <c r="C75" i="37"/>
  <c r="D75" i="37"/>
  <c r="E75" i="37"/>
  <c r="B76" i="37"/>
  <c r="C76" i="37"/>
  <c r="D76" i="37"/>
  <c r="E76" i="37"/>
  <c r="B77" i="37"/>
  <c r="C77" i="37"/>
  <c r="D77" i="37"/>
  <c r="E77" i="37"/>
  <c r="B78" i="37"/>
  <c r="C78" i="37"/>
  <c r="D78" i="37"/>
  <c r="E78" i="37"/>
  <c r="B79" i="37"/>
  <c r="C79" i="37"/>
  <c r="D79" i="37"/>
  <c r="E79" i="37"/>
  <c r="B80" i="37"/>
  <c r="C80" i="37"/>
  <c r="D80" i="37"/>
  <c r="E80" i="37"/>
  <c r="B81" i="37"/>
  <c r="C81" i="37"/>
  <c r="D81" i="37"/>
  <c r="E81" i="37"/>
  <c r="B82" i="37"/>
  <c r="C82" i="37"/>
  <c r="D82" i="37"/>
  <c r="E82" i="37"/>
  <c r="B83" i="37"/>
  <c r="C83" i="37"/>
  <c r="D83" i="37"/>
  <c r="E83" i="37"/>
  <c r="B84" i="37"/>
  <c r="C84" i="37"/>
  <c r="D84" i="37"/>
  <c r="E84" i="37"/>
  <c r="B85" i="37"/>
  <c r="C85" i="37"/>
  <c r="D85" i="37"/>
  <c r="E85" i="37"/>
  <c r="B86" i="37"/>
  <c r="C86" i="37"/>
  <c r="D86" i="37"/>
  <c r="E86" i="37"/>
  <c r="B87" i="37"/>
  <c r="C87" i="37"/>
  <c r="D87" i="37"/>
  <c r="E87" i="37"/>
  <c r="B88" i="37"/>
  <c r="C88" i="37"/>
  <c r="D88" i="37"/>
  <c r="E88" i="37"/>
  <c r="B89" i="37"/>
  <c r="C89" i="37"/>
  <c r="D89" i="37"/>
  <c r="E89" i="37"/>
  <c r="B90" i="37"/>
  <c r="C90" i="37"/>
  <c r="D90" i="37"/>
  <c r="E90" i="37"/>
  <c r="B91" i="37"/>
  <c r="C91" i="37"/>
  <c r="D91" i="37"/>
  <c r="E91" i="37"/>
  <c r="B92" i="37"/>
  <c r="C92" i="37"/>
  <c r="D92" i="37"/>
  <c r="E92" i="37"/>
  <c r="B93" i="37"/>
  <c r="C93" i="37"/>
  <c r="D93" i="37"/>
  <c r="E93" i="37"/>
  <c r="B94" i="37"/>
  <c r="C94" i="37"/>
  <c r="D94" i="37"/>
  <c r="E94" i="37"/>
  <c r="B95" i="37"/>
  <c r="C95" i="37"/>
  <c r="D95" i="37"/>
  <c r="E95" i="37"/>
  <c r="B96" i="37"/>
  <c r="C96" i="37"/>
  <c r="D96" i="37"/>
  <c r="E96" i="37"/>
  <c r="B97" i="37"/>
  <c r="C97" i="37"/>
  <c r="D97" i="37"/>
  <c r="E97" i="37"/>
  <c r="B98" i="37"/>
  <c r="C98" i="37"/>
  <c r="D98" i="37"/>
  <c r="E98" i="37"/>
  <c r="B99" i="37"/>
  <c r="C99" i="37"/>
  <c r="D99" i="37"/>
  <c r="E99" i="37"/>
  <c r="B100" i="37"/>
  <c r="C100" i="37"/>
  <c r="D100" i="37"/>
  <c r="E100" i="37"/>
  <c r="B101" i="37"/>
  <c r="C101" i="37"/>
  <c r="D101" i="37"/>
  <c r="E101" i="37"/>
  <c r="B102" i="37"/>
  <c r="C102" i="37"/>
  <c r="D102" i="37"/>
  <c r="E102" i="37"/>
  <c r="B103" i="37"/>
  <c r="C103" i="37"/>
  <c r="D103" i="37"/>
  <c r="E103" i="37"/>
  <c r="B104" i="37"/>
  <c r="C104" i="37"/>
  <c r="D104" i="37"/>
  <c r="E104" i="37"/>
  <c r="B105" i="37"/>
  <c r="C105" i="37"/>
  <c r="D105" i="37"/>
  <c r="E105" i="37"/>
  <c r="B106" i="37"/>
  <c r="C106" i="37"/>
  <c r="D106" i="37"/>
  <c r="E106" i="37"/>
  <c r="B107" i="37"/>
  <c r="C107" i="37"/>
  <c r="D107" i="37"/>
  <c r="E107" i="37"/>
  <c r="B108" i="37"/>
  <c r="C108" i="37"/>
  <c r="D108" i="37"/>
  <c r="E108" i="37"/>
  <c r="B109" i="37"/>
  <c r="C109" i="37"/>
  <c r="D109" i="37"/>
  <c r="E109" i="37"/>
  <c r="B110" i="37"/>
  <c r="C110" i="37"/>
  <c r="D110" i="37"/>
  <c r="E110" i="37"/>
  <c r="B111" i="37"/>
  <c r="C111" i="37"/>
  <c r="D111" i="37"/>
  <c r="E111" i="37"/>
  <c r="B112" i="37"/>
  <c r="C112" i="37"/>
  <c r="D112" i="37"/>
  <c r="E112" i="37"/>
  <c r="B113" i="37"/>
  <c r="C113" i="37"/>
  <c r="D113" i="37"/>
  <c r="E113" i="37"/>
  <c r="B114" i="37"/>
  <c r="C114" i="37"/>
  <c r="D114" i="37"/>
  <c r="E114" i="37"/>
  <c r="B115" i="37"/>
  <c r="C115" i="37"/>
  <c r="D115" i="37"/>
  <c r="E115" i="37"/>
  <c r="B116" i="37"/>
  <c r="C116" i="37"/>
  <c r="D116" i="37"/>
  <c r="E116" i="37"/>
  <c r="B117" i="37"/>
  <c r="C117" i="37"/>
  <c r="D117" i="37"/>
  <c r="E117" i="37"/>
  <c r="B118" i="37"/>
  <c r="C118" i="37"/>
  <c r="D118" i="37"/>
  <c r="E118" i="37"/>
  <c r="B119" i="37"/>
  <c r="C119" i="37"/>
  <c r="D119" i="37"/>
  <c r="E119" i="37"/>
  <c r="B120" i="37"/>
  <c r="C120" i="37"/>
  <c r="D120" i="37"/>
  <c r="E120" i="37"/>
  <c r="B121" i="37"/>
  <c r="C121" i="37"/>
  <c r="D121" i="37"/>
  <c r="E121" i="37"/>
  <c r="B122" i="37"/>
  <c r="C122" i="37"/>
  <c r="D122" i="37"/>
  <c r="E122" i="37"/>
  <c r="D12" i="37"/>
  <c r="B7" i="37"/>
  <c r="B8" i="37"/>
  <c r="L12" i="37"/>
  <c r="M12" i="37"/>
  <c r="O12" i="37"/>
  <c r="V12" i="37"/>
  <c r="L13" i="37"/>
  <c r="M13" i="37"/>
  <c r="O13" i="37"/>
  <c r="V13" i="37"/>
  <c r="L14" i="37"/>
  <c r="M14" i="37"/>
  <c r="O14" i="37"/>
  <c r="Q14" i="37"/>
  <c r="V14" i="37"/>
  <c r="L15" i="37"/>
  <c r="M15" i="37"/>
  <c r="O15" i="37"/>
  <c r="Q15" i="37"/>
  <c r="V15" i="37"/>
  <c r="L16" i="37"/>
  <c r="M16" i="37"/>
  <c r="O16" i="37"/>
  <c r="Q16" i="37"/>
  <c r="V16" i="37"/>
  <c r="L17" i="37"/>
  <c r="M17" i="37"/>
  <c r="O17" i="37"/>
  <c r="Q17" i="37"/>
  <c r="V17" i="37"/>
  <c r="L18" i="37"/>
  <c r="M18" i="37"/>
  <c r="O18" i="37"/>
  <c r="Q18" i="37"/>
  <c r="V18" i="37"/>
  <c r="L19" i="37"/>
  <c r="M19" i="37"/>
  <c r="O19" i="37"/>
  <c r="Q19" i="37"/>
  <c r="V19" i="37"/>
  <c r="L20" i="37"/>
  <c r="M20" i="37"/>
  <c r="O20" i="37"/>
  <c r="Q20" i="37"/>
  <c r="V20" i="37"/>
  <c r="L21" i="37"/>
  <c r="M21" i="37"/>
  <c r="O21" i="37"/>
  <c r="Q21" i="37"/>
  <c r="V21" i="37"/>
  <c r="L22" i="37"/>
  <c r="M22" i="37"/>
  <c r="O22" i="37"/>
  <c r="Q22" i="37"/>
  <c r="V22" i="37"/>
  <c r="L23" i="37"/>
  <c r="M23" i="37"/>
  <c r="O23" i="37"/>
  <c r="Q23" i="37"/>
  <c r="V23" i="37"/>
  <c r="L24" i="37"/>
  <c r="M24" i="37"/>
  <c r="O24" i="37"/>
  <c r="Q24" i="37"/>
  <c r="V24" i="37"/>
  <c r="L25" i="37"/>
  <c r="M25" i="37"/>
  <c r="O25" i="37"/>
  <c r="Q25" i="37"/>
  <c r="V25" i="37"/>
  <c r="L26" i="37"/>
  <c r="M26" i="37"/>
  <c r="O26" i="37"/>
  <c r="Q26" i="37"/>
  <c r="V26" i="37"/>
  <c r="L27" i="37"/>
  <c r="M27" i="37"/>
  <c r="O27" i="37"/>
  <c r="Q27" i="37"/>
  <c r="V27" i="37"/>
  <c r="L28" i="37"/>
  <c r="M28" i="37"/>
  <c r="O28" i="37"/>
  <c r="Q28" i="37"/>
  <c r="V28" i="37"/>
  <c r="L29" i="37"/>
  <c r="M29" i="37"/>
  <c r="O29" i="37"/>
  <c r="Q29" i="37"/>
  <c r="V29" i="37"/>
  <c r="L30" i="37"/>
  <c r="M30" i="37"/>
  <c r="O30" i="37"/>
  <c r="Q30" i="37"/>
  <c r="V30" i="37"/>
  <c r="L31" i="37"/>
  <c r="M31" i="37"/>
  <c r="O31" i="37"/>
  <c r="Q31" i="37"/>
  <c r="V31" i="37"/>
  <c r="L32" i="37"/>
  <c r="M32" i="37"/>
  <c r="O32" i="37"/>
  <c r="Q32" i="37"/>
  <c r="V32" i="37"/>
  <c r="L33" i="37"/>
  <c r="M33" i="37"/>
  <c r="O33" i="37"/>
  <c r="Q33" i="37"/>
  <c r="V33" i="37"/>
  <c r="L34" i="37"/>
  <c r="M34" i="37"/>
  <c r="O34" i="37"/>
  <c r="Q34" i="37"/>
  <c r="V34" i="37"/>
  <c r="L35" i="37"/>
  <c r="M35" i="37"/>
  <c r="O35" i="37"/>
  <c r="Q35" i="37"/>
  <c r="V35" i="37"/>
  <c r="L36" i="37"/>
  <c r="M36" i="37"/>
  <c r="O36" i="37"/>
  <c r="Q36" i="37"/>
  <c r="V36" i="37"/>
  <c r="L37" i="37"/>
  <c r="M37" i="37"/>
  <c r="O37" i="37"/>
  <c r="Q37" i="37"/>
  <c r="V37" i="37"/>
  <c r="L38" i="37"/>
  <c r="M38" i="37"/>
  <c r="O38" i="37"/>
  <c r="Q38" i="37"/>
  <c r="V38" i="37"/>
  <c r="L39" i="37"/>
  <c r="M39" i="37"/>
  <c r="O39" i="37"/>
  <c r="Q39" i="37"/>
  <c r="V39" i="37"/>
  <c r="L40" i="37"/>
  <c r="M40" i="37"/>
  <c r="O40" i="37"/>
  <c r="Q40" i="37"/>
  <c r="V40" i="37"/>
  <c r="L41" i="37"/>
  <c r="M41" i="37"/>
  <c r="O41" i="37"/>
  <c r="Q41" i="37"/>
  <c r="V41" i="37"/>
  <c r="L42" i="37"/>
  <c r="M42" i="37"/>
  <c r="O42" i="37"/>
  <c r="Q42" i="37"/>
  <c r="V42" i="37"/>
  <c r="L43" i="37"/>
  <c r="M43" i="37"/>
  <c r="O43" i="37"/>
  <c r="Q43" i="37"/>
  <c r="V43" i="37"/>
  <c r="L44" i="37"/>
  <c r="M44" i="37"/>
  <c r="O44" i="37"/>
  <c r="Q44" i="37"/>
  <c r="V44" i="37"/>
  <c r="L45" i="37"/>
  <c r="M45" i="37"/>
  <c r="O45" i="37"/>
  <c r="Q45" i="37"/>
  <c r="V45" i="37"/>
  <c r="L46" i="37"/>
  <c r="M46" i="37"/>
  <c r="O46" i="37"/>
  <c r="Q46" i="37"/>
  <c r="V46" i="37"/>
  <c r="L47" i="37"/>
  <c r="M47" i="37"/>
  <c r="O47" i="37"/>
  <c r="Q47" i="37"/>
  <c r="V47" i="37"/>
  <c r="L48" i="37"/>
  <c r="M48" i="37"/>
  <c r="O48" i="37"/>
  <c r="Q48" i="37"/>
  <c r="V48" i="37"/>
  <c r="L49" i="37"/>
  <c r="M49" i="37"/>
  <c r="O49" i="37"/>
  <c r="Q49" i="37"/>
  <c r="V49" i="37"/>
  <c r="L50" i="37"/>
  <c r="M50" i="37"/>
  <c r="O50" i="37"/>
  <c r="Q50" i="37"/>
  <c r="V50" i="37"/>
  <c r="L51" i="37"/>
  <c r="M51" i="37"/>
  <c r="O51" i="37"/>
  <c r="Q51" i="37"/>
  <c r="V51" i="37"/>
  <c r="L52" i="37"/>
  <c r="M52" i="37"/>
  <c r="O52" i="37"/>
  <c r="Q52" i="37"/>
  <c r="V52" i="37"/>
  <c r="L53" i="37"/>
  <c r="M53" i="37"/>
  <c r="O53" i="37"/>
  <c r="Q53" i="37"/>
  <c r="V53" i="37"/>
  <c r="L54" i="37"/>
  <c r="M54" i="37"/>
  <c r="O54" i="37"/>
  <c r="Q54" i="37"/>
  <c r="V54" i="37"/>
  <c r="L55" i="37"/>
  <c r="M55" i="37"/>
  <c r="O55" i="37"/>
  <c r="Q55" i="37"/>
  <c r="V55" i="37"/>
  <c r="L56" i="37"/>
  <c r="M56" i="37"/>
  <c r="O56" i="37"/>
  <c r="Q56" i="37"/>
  <c r="V56" i="37"/>
  <c r="L57" i="37"/>
  <c r="M57" i="37"/>
  <c r="O57" i="37"/>
  <c r="Q57" i="37"/>
  <c r="V57" i="37"/>
  <c r="L58" i="37"/>
  <c r="M58" i="37"/>
  <c r="O58" i="37"/>
  <c r="Q58" i="37"/>
  <c r="V58" i="37"/>
  <c r="L59" i="37"/>
  <c r="M59" i="37"/>
  <c r="O59" i="37"/>
  <c r="Q59" i="37"/>
  <c r="V59" i="37"/>
  <c r="L60" i="37"/>
  <c r="M60" i="37"/>
  <c r="O60" i="37"/>
  <c r="Q60" i="37"/>
  <c r="V60" i="37"/>
  <c r="L61" i="37"/>
  <c r="M61" i="37"/>
  <c r="O61" i="37"/>
  <c r="Q61" i="37"/>
  <c r="V61" i="37"/>
  <c r="L62" i="37"/>
  <c r="M62" i="37"/>
  <c r="O62" i="37"/>
  <c r="Q62" i="37"/>
  <c r="V62" i="37"/>
  <c r="L63" i="37"/>
  <c r="M63" i="37"/>
  <c r="O63" i="37"/>
  <c r="Q63" i="37"/>
  <c r="V63" i="37"/>
  <c r="L64" i="37"/>
  <c r="M64" i="37"/>
  <c r="O64" i="37"/>
  <c r="Q64" i="37"/>
  <c r="V64" i="37"/>
  <c r="L65" i="37"/>
  <c r="M65" i="37"/>
  <c r="O65" i="37"/>
  <c r="Q65" i="37"/>
  <c r="V65" i="37"/>
  <c r="L66" i="37"/>
  <c r="M66" i="37"/>
  <c r="O66" i="37"/>
  <c r="Q66" i="37"/>
  <c r="V66" i="37"/>
  <c r="L67" i="37"/>
  <c r="M67" i="37"/>
  <c r="O67" i="37"/>
  <c r="Q67" i="37"/>
  <c r="V67" i="37"/>
  <c r="L68" i="37"/>
  <c r="M68" i="37"/>
  <c r="O68" i="37"/>
  <c r="Q68" i="37"/>
  <c r="V68" i="37"/>
  <c r="L69" i="37"/>
  <c r="M69" i="37"/>
  <c r="O69" i="37"/>
  <c r="Q69" i="37"/>
  <c r="V69" i="37"/>
  <c r="L70" i="37"/>
  <c r="M70" i="37"/>
  <c r="O70" i="37"/>
  <c r="Q70" i="37"/>
  <c r="V70" i="37"/>
  <c r="L71" i="37"/>
  <c r="M71" i="37"/>
  <c r="O71" i="37"/>
  <c r="Q71" i="37"/>
  <c r="V71" i="37"/>
  <c r="L72" i="37"/>
  <c r="M72" i="37"/>
  <c r="O72" i="37"/>
  <c r="Q72" i="37"/>
  <c r="V72" i="37"/>
  <c r="L73" i="37"/>
  <c r="M73" i="37"/>
  <c r="O73" i="37"/>
  <c r="Q73" i="37"/>
  <c r="V73" i="37"/>
  <c r="L74" i="37"/>
  <c r="M74" i="37"/>
  <c r="O74" i="37"/>
  <c r="Q74" i="37"/>
  <c r="V74" i="37"/>
  <c r="L75" i="37"/>
  <c r="M75" i="37"/>
  <c r="O75" i="37"/>
  <c r="Q75" i="37"/>
  <c r="V75" i="37"/>
  <c r="L76" i="37"/>
  <c r="M76" i="37"/>
  <c r="O76" i="37"/>
  <c r="Q76" i="37"/>
  <c r="V76" i="37"/>
  <c r="L77" i="37"/>
  <c r="M77" i="37"/>
  <c r="O77" i="37"/>
  <c r="Q77" i="37"/>
  <c r="V77" i="37"/>
  <c r="L78" i="37"/>
  <c r="M78" i="37"/>
  <c r="O78" i="37"/>
  <c r="Q78" i="37"/>
  <c r="V78" i="37"/>
  <c r="L79" i="37"/>
  <c r="M79" i="37"/>
  <c r="O79" i="37"/>
  <c r="Q79" i="37"/>
  <c r="V79" i="37"/>
  <c r="L80" i="37"/>
  <c r="M80" i="37"/>
  <c r="O80" i="37"/>
  <c r="Q80" i="37"/>
  <c r="V80" i="37"/>
  <c r="L81" i="37"/>
  <c r="M81" i="37"/>
  <c r="O81" i="37"/>
  <c r="Q81" i="37"/>
  <c r="V81" i="37"/>
  <c r="L82" i="37"/>
  <c r="M82" i="37"/>
  <c r="O82" i="37"/>
  <c r="Q82" i="37"/>
  <c r="V82" i="37"/>
  <c r="L83" i="37"/>
  <c r="M83" i="37"/>
  <c r="O83" i="37"/>
  <c r="Q83" i="37"/>
  <c r="V83" i="37"/>
  <c r="L84" i="37"/>
  <c r="M84" i="37"/>
  <c r="O84" i="37"/>
  <c r="Q84" i="37"/>
  <c r="V84" i="37"/>
  <c r="L85" i="37"/>
  <c r="M85" i="37"/>
  <c r="O85" i="37"/>
  <c r="Q85" i="37"/>
  <c r="V85" i="37"/>
  <c r="L86" i="37"/>
  <c r="M86" i="37"/>
  <c r="O86" i="37"/>
  <c r="Q86" i="37"/>
  <c r="V86" i="37"/>
  <c r="L87" i="37"/>
  <c r="M87" i="37"/>
  <c r="O87" i="37"/>
  <c r="Q87" i="37"/>
  <c r="V87" i="37"/>
  <c r="L88" i="37"/>
  <c r="M88" i="37"/>
  <c r="O88" i="37"/>
  <c r="Q88" i="37"/>
  <c r="V88" i="37"/>
  <c r="L89" i="37"/>
  <c r="M89" i="37"/>
  <c r="O89" i="37"/>
  <c r="Q89" i="37"/>
  <c r="V89" i="37"/>
  <c r="L90" i="37"/>
  <c r="M90" i="37"/>
  <c r="O90" i="37"/>
  <c r="Q90" i="37"/>
  <c r="V90" i="37"/>
  <c r="L91" i="37"/>
  <c r="M91" i="37"/>
  <c r="O91" i="37"/>
  <c r="Q91" i="37"/>
  <c r="V91" i="37"/>
  <c r="L92" i="37"/>
  <c r="M92" i="37"/>
  <c r="O92" i="37"/>
  <c r="Q92" i="37"/>
  <c r="V92" i="37"/>
  <c r="L93" i="37"/>
  <c r="M93" i="37"/>
  <c r="O93" i="37"/>
  <c r="Q93" i="37"/>
  <c r="V93" i="37"/>
  <c r="L94" i="37"/>
  <c r="M94" i="37"/>
  <c r="O94" i="37"/>
  <c r="Q94" i="37"/>
  <c r="V94" i="37"/>
  <c r="L95" i="37"/>
  <c r="M95" i="37"/>
  <c r="O95" i="37"/>
  <c r="Q95" i="37"/>
  <c r="V95" i="37"/>
  <c r="L96" i="37"/>
  <c r="M96" i="37"/>
  <c r="O96" i="37"/>
  <c r="Q96" i="37"/>
  <c r="V96" i="37"/>
  <c r="L97" i="37"/>
  <c r="M97" i="37"/>
  <c r="O97" i="37"/>
  <c r="Q97" i="37"/>
  <c r="V97" i="37"/>
  <c r="L98" i="37"/>
  <c r="M98" i="37"/>
  <c r="O98" i="37"/>
  <c r="Q98" i="37"/>
  <c r="V98" i="37"/>
  <c r="L99" i="37"/>
  <c r="M99" i="37"/>
  <c r="O99" i="37"/>
  <c r="Q99" i="37"/>
  <c r="V99" i="37"/>
  <c r="L100" i="37"/>
  <c r="M100" i="37"/>
  <c r="O100" i="37"/>
  <c r="Q100" i="37"/>
  <c r="V100" i="37"/>
  <c r="L101" i="37"/>
  <c r="M101" i="37"/>
  <c r="O101" i="37"/>
  <c r="Q101" i="37"/>
  <c r="V101" i="37"/>
  <c r="L102" i="37"/>
  <c r="M102" i="37"/>
  <c r="O102" i="37"/>
  <c r="Q102" i="37"/>
  <c r="V102" i="37"/>
  <c r="L103" i="37"/>
  <c r="M103" i="37"/>
  <c r="O103" i="37"/>
  <c r="Q103" i="37"/>
  <c r="V103" i="37"/>
  <c r="L104" i="37"/>
  <c r="M104" i="37"/>
  <c r="O104" i="37"/>
  <c r="Q104" i="37"/>
  <c r="V104" i="37"/>
  <c r="L105" i="37"/>
  <c r="M105" i="37"/>
  <c r="O105" i="37"/>
  <c r="Q105" i="37"/>
  <c r="V105" i="37"/>
  <c r="L106" i="37"/>
  <c r="M106" i="37"/>
  <c r="O106" i="37"/>
  <c r="Q106" i="37"/>
  <c r="V106" i="37"/>
  <c r="L107" i="37"/>
  <c r="M107" i="37"/>
  <c r="O107" i="37"/>
  <c r="Q107" i="37"/>
  <c r="V107" i="37"/>
  <c r="L108" i="37"/>
  <c r="M108" i="37"/>
  <c r="O108" i="37"/>
  <c r="Q108" i="37"/>
  <c r="V108" i="37"/>
  <c r="L109" i="37"/>
  <c r="M109" i="37"/>
  <c r="O109" i="37"/>
  <c r="Q109" i="37"/>
  <c r="V109" i="37"/>
  <c r="L110" i="37"/>
  <c r="M110" i="37"/>
  <c r="O110" i="37"/>
  <c r="Q110" i="37"/>
  <c r="V110" i="37"/>
  <c r="L111" i="37"/>
  <c r="M111" i="37"/>
  <c r="O111" i="37"/>
  <c r="Q111" i="37"/>
  <c r="V111" i="37"/>
  <c r="L112" i="37"/>
  <c r="M112" i="37"/>
  <c r="O112" i="37"/>
  <c r="Q112" i="37"/>
  <c r="V112" i="37"/>
  <c r="L113" i="37"/>
  <c r="M113" i="37"/>
  <c r="O113" i="37"/>
  <c r="Q113" i="37"/>
  <c r="V113" i="37"/>
  <c r="L114" i="37"/>
  <c r="M114" i="37"/>
  <c r="O114" i="37"/>
  <c r="Q114" i="37"/>
  <c r="V114" i="37"/>
  <c r="L115" i="37"/>
  <c r="M115" i="37"/>
  <c r="O115" i="37"/>
  <c r="Q115" i="37"/>
  <c r="V115" i="37"/>
  <c r="L116" i="37"/>
  <c r="M116" i="37"/>
  <c r="O116" i="37"/>
  <c r="Q116" i="37"/>
  <c r="V116" i="37"/>
  <c r="L117" i="37"/>
  <c r="M117" i="37"/>
  <c r="O117" i="37"/>
  <c r="Q117" i="37"/>
  <c r="V117" i="37"/>
  <c r="L118" i="37"/>
  <c r="M118" i="37"/>
  <c r="O118" i="37"/>
  <c r="Q118" i="37"/>
  <c r="V118" i="37"/>
  <c r="L119" i="37"/>
  <c r="M119" i="37"/>
  <c r="O119" i="37"/>
  <c r="Q119" i="37"/>
  <c r="V119" i="37"/>
  <c r="L120" i="37"/>
  <c r="M120" i="37"/>
  <c r="O120" i="37"/>
  <c r="Q120" i="37"/>
  <c r="V120" i="37"/>
  <c r="L121" i="37"/>
  <c r="M121" i="37"/>
  <c r="O121" i="37"/>
  <c r="Q121" i="37"/>
  <c r="V121" i="37"/>
  <c r="L122" i="37"/>
  <c r="M122" i="37"/>
  <c r="O122" i="37"/>
  <c r="Q122" i="37"/>
  <c r="V122" i="37"/>
  <c r="L123" i="37"/>
  <c r="M123" i="37"/>
  <c r="O123" i="37"/>
  <c r="Q123" i="37"/>
  <c r="V123" i="37"/>
  <c r="L124" i="37"/>
  <c r="M124" i="37"/>
  <c r="O124" i="37"/>
  <c r="Q124" i="37"/>
  <c r="V124" i="37"/>
  <c r="L125" i="37"/>
  <c r="M125" i="37"/>
  <c r="O125" i="37"/>
  <c r="Q125" i="37"/>
  <c r="V125" i="37"/>
  <c r="L126" i="37"/>
  <c r="M126" i="37"/>
  <c r="O126" i="37"/>
  <c r="Q126" i="37"/>
  <c r="V126" i="37"/>
  <c r="L127" i="37"/>
  <c r="M127" i="37"/>
  <c r="O127" i="37"/>
  <c r="Q127" i="37"/>
  <c r="V127" i="37"/>
  <c r="L128" i="37"/>
  <c r="M128" i="37"/>
  <c r="O128" i="37"/>
  <c r="Q128" i="37"/>
  <c r="V128" i="37"/>
  <c r="L129" i="37"/>
  <c r="M129" i="37"/>
  <c r="O129" i="37"/>
  <c r="Q129" i="37"/>
  <c r="V129" i="37"/>
  <c r="L130" i="37"/>
  <c r="M130" i="37"/>
  <c r="O130" i="37"/>
  <c r="Q130" i="37"/>
  <c r="V130" i="37"/>
  <c r="L131" i="37"/>
  <c r="M131" i="37"/>
  <c r="O131" i="37"/>
  <c r="Q131" i="37"/>
  <c r="V131" i="37"/>
  <c r="L132" i="37"/>
  <c r="M132" i="37"/>
  <c r="O132" i="37"/>
  <c r="Q132" i="37"/>
  <c r="V132" i="37"/>
  <c r="L133" i="37"/>
  <c r="M133" i="37"/>
  <c r="O133" i="37"/>
  <c r="Q133" i="37"/>
  <c r="V133" i="37"/>
  <c r="L134" i="37"/>
  <c r="M134" i="37"/>
  <c r="O134" i="37"/>
  <c r="Q134" i="37"/>
  <c r="V134" i="37"/>
  <c r="L135" i="37"/>
  <c r="M135" i="37"/>
  <c r="O135" i="37"/>
  <c r="Q135" i="37"/>
  <c r="V135" i="37"/>
  <c r="L136" i="37"/>
  <c r="M136" i="37"/>
  <c r="O136" i="37"/>
  <c r="Q136" i="37"/>
  <c r="V136" i="37"/>
  <c r="L137" i="37"/>
  <c r="M137" i="37"/>
  <c r="O137" i="37"/>
  <c r="Q137" i="37"/>
  <c r="V137" i="37"/>
  <c r="L138" i="37"/>
  <c r="M138" i="37"/>
  <c r="O138" i="37"/>
  <c r="Q138" i="37"/>
  <c r="V138" i="37"/>
  <c r="L139" i="37"/>
  <c r="M139" i="37"/>
  <c r="O139" i="37"/>
  <c r="Q139" i="37"/>
  <c r="V139" i="37"/>
  <c r="L140" i="37"/>
  <c r="M140" i="37"/>
  <c r="O140" i="37"/>
  <c r="Q140" i="37"/>
  <c r="V140" i="37"/>
  <c r="L141" i="37"/>
  <c r="M141" i="37"/>
  <c r="O141" i="37"/>
  <c r="Q141" i="37"/>
  <c r="V141" i="37"/>
  <c r="L142" i="37"/>
  <c r="M142" i="37"/>
  <c r="O142" i="37"/>
  <c r="Q142" i="37"/>
  <c r="V142" i="37"/>
  <c r="L143" i="37"/>
  <c r="M143" i="37"/>
  <c r="O143" i="37"/>
  <c r="Q143" i="37"/>
  <c r="V143" i="37"/>
  <c r="L144" i="37"/>
  <c r="M144" i="37"/>
  <c r="O144" i="37"/>
  <c r="Q144" i="37"/>
  <c r="V144" i="37"/>
  <c r="L145" i="37"/>
  <c r="M145" i="37"/>
  <c r="O145" i="37"/>
  <c r="Q145" i="37"/>
  <c r="V145" i="37"/>
  <c r="L146" i="37"/>
  <c r="M146" i="37"/>
  <c r="O146" i="37"/>
  <c r="Q146" i="37"/>
  <c r="V146" i="37"/>
  <c r="L147" i="37"/>
  <c r="M147" i="37"/>
  <c r="O147" i="37"/>
  <c r="Q147" i="37"/>
  <c r="V147" i="37"/>
  <c r="L148" i="37"/>
  <c r="M148" i="37"/>
  <c r="O148" i="37"/>
  <c r="Q148" i="37"/>
  <c r="V148" i="37"/>
  <c r="L149" i="37"/>
  <c r="M149" i="37"/>
  <c r="O149" i="37"/>
  <c r="Q149" i="37"/>
  <c r="V149" i="37"/>
  <c r="L150" i="37"/>
  <c r="M150" i="37"/>
  <c r="O150" i="37"/>
  <c r="Q150" i="37"/>
  <c r="V150" i="37"/>
  <c r="L151" i="37"/>
  <c r="M151" i="37"/>
  <c r="O151" i="37"/>
  <c r="Q151" i="37"/>
  <c r="V151" i="37"/>
  <c r="L152" i="37"/>
  <c r="M152" i="37"/>
  <c r="O152" i="37"/>
  <c r="Q152" i="37"/>
  <c r="V152" i="37"/>
  <c r="L153" i="37"/>
  <c r="M153" i="37"/>
  <c r="O153" i="37"/>
  <c r="Q153" i="37"/>
  <c r="V153" i="37"/>
  <c r="L154" i="37"/>
  <c r="M154" i="37"/>
  <c r="O154" i="37"/>
  <c r="Q154" i="37"/>
  <c r="V154" i="37"/>
  <c r="L155" i="37"/>
  <c r="M155" i="37"/>
  <c r="O155" i="37"/>
  <c r="Q155" i="37"/>
  <c r="V155" i="37"/>
  <c r="L156" i="37"/>
  <c r="M156" i="37"/>
  <c r="O156" i="37"/>
  <c r="Q156" i="37"/>
  <c r="V156" i="37"/>
  <c r="L157" i="37"/>
  <c r="M157" i="37"/>
  <c r="O157" i="37"/>
  <c r="Q157" i="37"/>
  <c r="V157" i="37"/>
  <c r="L158" i="37"/>
  <c r="M158" i="37"/>
  <c r="O158" i="37"/>
  <c r="Q158" i="37"/>
  <c r="V158" i="37"/>
  <c r="L159" i="37"/>
  <c r="M159" i="37"/>
  <c r="O159" i="37"/>
  <c r="Q159" i="37"/>
  <c r="V159" i="37"/>
  <c r="L160" i="37"/>
  <c r="M160" i="37"/>
  <c r="O160" i="37"/>
  <c r="Q160" i="37"/>
  <c r="V160" i="37"/>
  <c r="L161" i="37"/>
  <c r="M161" i="37"/>
  <c r="O161" i="37"/>
  <c r="Q161" i="37"/>
  <c r="V161" i="37"/>
  <c r="L162" i="37"/>
  <c r="M162" i="37"/>
  <c r="O162" i="37"/>
  <c r="Q162" i="37"/>
  <c r="V162" i="37"/>
  <c r="L163" i="37"/>
  <c r="M163" i="37"/>
  <c r="O163" i="37"/>
  <c r="Q163" i="37"/>
  <c r="V163" i="37"/>
  <c r="L164" i="37"/>
  <c r="M164" i="37"/>
  <c r="O164" i="37"/>
  <c r="Q164" i="37"/>
  <c r="V164" i="37"/>
  <c r="L165" i="37"/>
  <c r="M165" i="37"/>
  <c r="O165" i="37"/>
  <c r="Q165" i="37"/>
  <c r="V165" i="37"/>
  <c r="L166" i="37"/>
  <c r="M166" i="37"/>
  <c r="O166" i="37"/>
  <c r="Q166" i="37"/>
  <c r="V166" i="37"/>
  <c r="L167" i="37"/>
  <c r="M167" i="37"/>
  <c r="O167" i="37"/>
  <c r="Q167" i="37"/>
  <c r="V167" i="37"/>
  <c r="L168" i="37"/>
  <c r="M168" i="37"/>
  <c r="O168" i="37"/>
  <c r="Q168" i="37"/>
  <c r="V168" i="37"/>
  <c r="L169" i="37"/>
  <c r="M169" i="37"/>
  <c r="O169" i="37"/>
  <c r="Q169" i="37"/>
  <c r="V169" i="37"/>
  <c r="L170" i="37"/>
  <c r="M170" i="37"/>
  <c r="O170" i="37"/>
  <c r="Q170" i="37"/>
  <c r="V170" i="37"/>
  <c r="L171" i="37"/>
  <c r="M171" i="37"/>
  <c r="O171" i="37"/>
  <c r="Q171" i="37"/>
  <c r="V171" i="37"/>
  <c r="L172" i="37"/>
  <c r="M172" i="37"/>
  <c r="O172" i="37"/>
  <c r="Q172" i="37"/>
  <c r="V172" i="37"/>
  <c r="L173" i="37"/>
  <c r="M173" i="37"/>
  <c r="O173" i="37"/>
  <c r="Q173" i="37"/>
  <c r="V173" i="37"/>
  <c r="L174" i="37"/>
  <c r="M174" i="37"/>
  <c r="O174" i="37"/>
  <c r="Q174" i="37"/>
  <c r="V174" i="37"/>
  <c r="L175" i="37"/>
  <c r="M175" i="37"/>
  <c r="O175" i="37"/>
  <c r="Q175" i="37"/>
  <c r="V175" i="37"/>
  <c r="L176" i="37"/>
  <c r="M176" i="37"/>
  <c r="O176" i="37"/>
  <c r="Q176" i="37"/>
  <c r="V176" i="37"/>
  <c r="L177" i="37"/>
  <c r="M177" i="37"/>
  <c r="O177" i="37"/>
  <c r="Q177" i="37"/>
  <c r="V177" i="37"/>
  <c r="L178" i="37"/>
  <c r="M178" i="37"/>
  <c r="O178" i="37"/>
  <c r="Q178" i="37"/>
  <c r="V178" i="37"/>
  <c r="L179" i="37"/>
  <c r="M179" i="37"/>
  <c r="O179" i="37"/>
  <c r="Q179" i="37"/>
  <c r="V179" i="37"/>
  <c r="L180" i="37"/>
  <c r="M180" i="37"/>
  <c r="O180" i="37"/>
  <c r="Q180" i="37"/>
  <c r="V180" i="37"/>
  <c r="L181" i="37"/>
  <c r="M181" i="37"/>
  <c r="O181" i="37"/>
  <c r="Q181" i="37"/>
  <c r="V181" i="37"/>
  <c r="L182" i="37"/>
  <c r="M182" i="37"/>
  <c r="O182" i="37"/>
  <c r="Q182" i="37"/>
  <c r="V182" i="37"/>
  <c r="L183" i="37"/>
  <c r="M183" i="37"/>
  <c r="O183" i="37"/>
  <c r="Q183" i="37"/>
  <c r="V183" i="37"/>
  <c r="L184" i="37"/>
  <c r="M184" i="37"/>
  <c r="O184" i="37"/>
  <c r="Q184" i="37"/>
  <c r="V184" i="37"/>
  <c r="L185" i="37"/>
  <c r="M185" i="37"/>
  <c r="O185" i="37"/>
  <c r="Q185" i="37"/>
  <c r="V185" i="37"/>
  <c r="L186" i="37"/>
  <c r="M186" i="37"/>
  <c r="O186" i="37"/>
  <c r="Q186" i="37"/>
  <c r="V186" i="37"/>
  <c r="L187" i="37"/>
  <c r="M187" i="37"/>
  <c r="O187" i="37"/>
  <c r="Q187" i="37"/>
  <c r="V187" i="37"/>
  <c r="L188" i="37"/>
  <c r="M188" i="37"/>
  <c r="O188" i="37"/>
  <c r="Q188" i="37"/>
  <c r="V188" i="37"/>
  <c r="L189" i="37"/>
  <c r="M189" i="37"/>
  <c r="O189" i="37"/>
  <c r="Q189" i="37"/>
  <c r="V189" i="37"/>
  <c r="L190" i="37"/>
  <c r="M190" i="37"/>
  <c r="O190" i="37"/>
  <c r="Q190" i="37"/>
  <c r="V190" i="37"/>
  <c r="L191" i="37"/>
  <c r="M191" i="37"/>
  <c r="O191" i="37"/>
  <c r="Q191" i="37"/>
  <c r="V191" i="37"/>
  <c r="L192" i="37"/>
  <c r="M192" i="37"/>
  <c r="O192" i="37"/>
  <c r="Q192" i="37"/>
  <c r="V192" i="37"/>
  <c r="L193" i="37"/>
  <c r="M193" i="37"/>
  <c r="O193" i="37"/>
  <c r="Q193" i="37"/>
  <c r="V193" i="37"/>
  <c r="L194" i="37"/>
  <c r="M194" i="37"/>
  <c r="O194" i="37"/>
  <c r="Q194" i="37"/>
  <c r="V194" i="37"/>
  <c r="L195" i="37"/>
  <c r="M195" i="37"/>
  <c r="O195" i="37"/>
  <c r="Q195" i="37"/>
  <c r="V195" i="37"/>
  <c r="L196" i="37"/>
  <c r="M196" i="37"/>
  <c r="O196" i="37"/>
  <c r="Q196" i="37"/>
  <c r="V196" i="37"/>
  <c r="L197" i="37"/>
  <c r="M197" i="37"/>
  <c r="O197" i="37"/>
  <c r="Q197" i="37"/>
  <c r="V197" i="37"/>
  <c r="L198" i="37"/>
  <c r="M198" i="37"/>
  <c r="O198" i="37"/>
  <c r="Q198" i="37"/>
  <c r="V198" i="37"/>
  <c r="L199" i="37"/>
  <c r="M199" i="37"/>
  <c r="O199" i="37"/>
  <c r="Q199" i="37"/>
  <c r="V199" i="37"/>
  <c r="L200" i="37"/>
  <c r="M200" i="37"/>
  <c r="O200" i="37"/>
  <c r="Q200" i="37"/>
  <c r="V200" i="37"/>
  <c r="L201" i="37"/>
  <c r="M201" i="37"/>
  <c r="O201" i="37"/>
  <c r="Q201" i="37"/>
  <c r="V201" i="37"/>
  <c r="L202" i="37"/>
  <c r="M202" i="37"/>
  <c r="O202" i="37"/>
  <c r="Q202" i="37"/>
  <c r="V202" i="37"/>
  <c r="L203" i="37"/>
  <c r="M203" i="37"/>
  <c r="O203" i="37"/>
  <c r="Q203" i="37"/>
  <c r="V203" i="37"/>
  <c r="L204" i="37"/>
  <c r="M204" i="37"/>
  <c r="O204" i="37"/>
  <c r="Q204" i="37"/>
  <c r="V204" i="37"/>
  <c r="L205" i="37"/>
  <c r="M205" i="37"/>
  <c r="O205" i="37"/>
  <c r="Q205" i="37"/>
  <c r="V205" i="37"/>
  <c r="L206" i="37"/>
  <c r="M206" i="37"/>
  <c r="O206" i="37"/>
  <c r="Q206" i="37"/>
  <c r="V206" i="37"/>
  <c r="L207" i="37"/>
  <c r="M207" i="37"/>
  <c r="O207" i="37"/>
  <c r="Q207" i="37"/>
  <c r="V207" i="37"/>
  <c r="L208" i="37"/>
  <c r="M208" i="37"/>
  <c r="O208" i="37"/>
  <c r="Q208" i="37"/>
  <c r="V208" i="37"/>
  <c r="L209" i="37"/>
  <c r="M209" i="37"/>
  <c r="O209" i="37"/>
  <c r="Q209" i="37"/>
  <c r="V209" i="37"/>
  <c r="L210" i="37"/>
  <c r="M210" i="37"/>
  <c r="O210" i="37"/>
  <c r="Q210" i="37"/>
  <c r="V210" i="37"/>
  <c r="L211" i="37"/>
  <c r="M211" i="37"/>
  <c r="O211" i="37"/>
  <c r="Q211" i="37"/>
  <c r="V211" i="37"/>
  <c r="L212" i="37"/>
  <c r="M212" i="37"/>
  <c r="O212" i="37"/>
  <c r="Q212" i="37"/>
  <c r="V212" i="37"/>
  <c r="L213" i="37"/>
  <c r="M213" i="37"/>
  <c r="O213" i="37"/>
  <c r="Q213" i="37"/>
  <c r="V213" i="37"/>
  <c r="L214" i="37"/>
  <c r="M214" i="37"/>
  <c r="O214" i="37"/>
  <c r="Q214" i="37"/>
  <c r="V214" i="37"/>
  <c r="L215" i="37"/>
  <c r="M215" i="37"/>
  <c r="O215" i="37"/>
  <c r="Q215" i="37"/>
  <c r="V215" i="37"/>
  <c r="L216" i="37"/>
  <c r="M216" i="37"/>
  <c r="O216" i="37"/>
  <c r="Q216" i="37"/>
  <c r="V216" i="37"/>
  <c r="L217" i="37"/>
  <c r="M217" i="37"/>
  <c r="O217" i="37"/>
  <c r="Q217" i="37"/>
  <c r="V217" i="37"/>
  <c r="L218" i="37"/>
  <c r="M218" i="37"/>
  <c r="O218" i="37"/>
  <c r="Q218" i="37"/>
  <c r="V218" i="37"/>
  <c r="L219" i="37"/>
  <c r="M219" i="37"/>
  <c r="O219" i="37"/>
  <c r="Q219" i="37"/>
  <c r="V219" i="37"/>
  <c r="L220" i="37"/>
  <c r="M220" i="37"/>
  <c r="O220" i="37"/>
  <c r="Q220" i="37"/>
  <c r="V220" i="37"/>
  <c r="L221" i="37"/>
  <c r="M221" i="37"/>
  <c r="O221" i="37"/>
  <c r="Q221" i="37"/>
  <c r="V221" i="37"/>
  <c r="L222" i="37"/>
  <c r="M222" i="37"/>
  <c r="O222" i="37"/>
  <c r="Q222" i="37"/>
  <c r="V222" i="37"/>
  <c r="L223" i="37"/>
  <c r="M223" i="37"/>
  <c r="O223" i="37"/>
  <c r="Q223" i="37"/>
  <c r="V223" i="37"/>
  <c r="L224" i="37"/>
  <c r="M224" i="37"/>
  <c r="O224" i="37"/>
  <c r="Q224" i="37"/>
  <c r="V224" i="37"/>
  <c r="L225" i="37"/>
  <c r="M225" i="37"/>
  <c r="O225" i="37"/>
  <c r="Q225" i="37"/>
  <c r="V225" i="37"/>
  <c r="L226" i="37"/>
  <c r="M226" i="37"/>
  <c r="O226" i="37"/>
  <c r="Q226" i="37"/>
  <c r="V226" i="37"/>
  <c r="L227" i="37"/>
  <c r="M227" i="37"/>
  <c r="O227" i="37"/>
  <c r="Q227" i="37"/>
  <c r="V227" i="37"/>
  <c r="L228" i="37"/>
  <c r="M228" i="37"/>
  <c r="O228" i="37"/>
  <c r="Q228" i="37"/>
  <c r="V228" i="37"/>
  <c r="L229" i="37"/>
  <c r="M229" i="37"/>
  <c r="O229" i="37"/>
  <c r="Q229" i="37"/>
  <c r="V229" i="37"/>
  <c r="L230" i="37"/>
  <c r="M230" i="37"/>
  <c r="O230" i="37"/>
  <c r="Q230" i="37"/>
  <c r="V230" i="37"/>
  <c r="L231" i="37"/>
  <c r="M231" i="37"/>
  <c r="O231" i="37"/>
  <c r="Q231" i="37"/>
  <c r="V231" i="37"/>
  <c r="L232" i="37"/>
  <c r="M232" i="37"/>
  <c r="O232" i="37"/>
  <c r="Q232" i="37"/>
  <c r="V232" i="37"/>
  <c r="L233" i="37"/>
  <c r="M233" i="37"/>
  <c r="O233" i="37"/>
  <c r="Q233" i="37"/>
  <c r="V233" i="37"/>
  <c r="L234" i="37"/>
  <c r="M234" i="37"/>
  <c r="O234" i="37"/>
  <c r="Q234" i="37"/>
  <c r="V234" i="37"/>
  <c r="L235" i="37"/>
  <c r="M235" i="37"/>
  <c r="O235" i="37"/>
  <c r="Q235" i="37"/>
  <c r="V235" i="37"/>
  <c r="L236" i="37"/>
  <c r="M236" i="37"/>
  <c r="O236" i="37"/>
  <c r="Q236" i="37"/>
  <c r="V236" i="37"/>
  <c r="L237" i="37"/>
  <c r="M237" i="37"/>
  <c r="O237" i="37"/>
  <c r="Q237" i="37"/>
  <c r="V237" i="37"/>
  <c r="L238" i="37"/>
  <c r="M238" i="37"/>
  <c r="O238" i="37"/>
  <c r="Q238" i="37"/>
  <c r="V238" i="37"/>
  <c r="L239" i="37"/>
  <c r="M239" i="37"/>
  <c r="O239" i="37"/>
  <c r="Q239" i="37"/>
  <c r="V239" i="37"/>
  <c r="L240" i="37"/>
  <c r="M240" i="37"/>
  <c r="O240" i="37"/>
  <c r="Q240" i="37"/>
  <c r="V240" i="37"/>
  <c r="L241" i="37"/>
  <c r="M241" i="37"/>
  <c r="O241" i="37"/>
  <c r="Q241" i="37"/>
  <c r="V241" i="37"/>
  <c r="L242" i="37"/>
  <c r="M242" i="37"/>
  <c r="O242" i="37"/>
  <c r="Q242" i="37"/>
  <c r="V242" i="37"/>
  <c r="L243" i="37"/>
  <c r="M243" i="37"/>
  <c r="O243" i="37"/>
  <c r="Q243" i="37"/>
  <c r="V243" i="37"/>
  <c r="L244" i="37"/>
  <c r="M244" i="37"/>
  <c r="O244" i="37"/>
  <c r="Q244" i="37"/>
  <c r="V244" i="37"/>
  <c r="L245" i="37"/>
  <c r="M245" i="37"/>
  <c r="O245" i="37"/>
  <c r="Q245" i="37"/>
  <c r="V245" i="37"/>
  <c r="L246" i="37"/>
  <c r="M246" i="37"/>
  <c r="O246" i="37"/>
  <c r="Q246" i="37"/>
  <c r="V246" i="37"/>
  <c r="L247" i="37"/>
  <c r="M247" i="37"/>
  <c r="O247" i="37"/>
  <c r="Q247" i="37"/>
  <c r="V247" i="37"/>
  <c r="L248" i="37"/>
  <c r="M248" i="37"/>
  <c r="O248" i="37"/>
  <c r="Q248" i="37"/>
  <c r="V248" i="37"/>
  <c r="L249" i="37"/>
  <c r="M249" i="37"/>
  <c r="O249" i="37"/>
  <c r="Q249" i="37"/>
  <c r="V249" i="37"/>
  <c r="L250" i="37"/>
  <c r="M250" i="37"/>
  <c r="O250" i="37"/>
  <c r="Q250" i="37"/>
  <c r="V250" i="37"/>
  <c r="L251" i="37"/>
  <c r="M251" i="37"/>
  <c r="O251" i="37"/>
  <c r="Q251" i="37"/>
  <c r="V251" i="37"/>
  <c r="L252" i="37"/>
  <c r="M252" i="37"/>
  <c r="O252" i="37"/>
  <c r="Q252" i="37"/>
  <c r="V252" i="37"/>
  <c r="L253" i="37"/>
  <c r="M253" i="37"/>
  <c r="O253" i="37"/>
  <c r="Q253" i="37"/>
  <c r="V253" i="37"/>
  <c r="L254" i="37"/>
  <c r="M254" i="37"/>
  <c r="O254" i="37"/>
  <c r="Q254" i="37"/>
  <c r="V254" i="37"/>
  <c r="L255" i="37"/>
  <c r="M255" i="37"/>
  <c r="O255" i="37"/>
  <c r="Q255" i="37"/>
  <c r="V255" i="37"/>
  <c r="L256" i="37"/>
  <c r="M256" i="37"/>
  <c r="O256" i="37"/>
  <c r="Q256" i="37"/>
  <c r="V256" i="37"/>
  <c r="L257" i="37"/>
  <c r="M257" i="37"/>
  <c r="O257" i="37"/>
  <c r="Q257" i="37"/>
  <c r="V257" i="37"/>
  <c r="L258" i="37"/>
  <c r="M258" i="37"/>
  <c r="O258" i="37"/>
  <c r="Q258" i="37"/>
  <c r="V258" i="37"/>
  <c r="L259" i="37"/>
  <c r="M259" i="37"/>
  <c r="O259" i="37"/>
  <c r="Q259" i="37"/>
  <c r="V259" i="37"/>
  <c r="L260" i="37"/>
  <c r="M260" i="37"/>
  <c r="O260" i="37"/>
  <c r="Q260" i="37"/>
  <c r="V260" i="37"/>
  <c r="L261" i="37"/>
  <c r="M261" i="37"/>
  <c r="O261" i="37"/>
  <c r="Q261" i="37"/>
  <c r="V261" i="37"/>
  <c r="L262" i="37"/>
  <c r="M262" i="37"/>
  <c r="O262" i="37"/>
  <c r="Q262" i="37"/>
  <c r="V262" i="37"/>
  <c r="L263" i="37"/>
  <c r="M263" i="37"/>
  <c r="O263" i="37"/>
  <c r="Q263" i="37"/>
  <c r="V263" i="37"/>
  <c r="L264" i="37"/>
  <c r="M264" i="37"/>
  <c r="O264" i="37"/>
  <c r="Q264" i="37"/>
  <c r="V264" i="37"/>
  <c r="L265" i="37"/>
  <c r="M265" i="37"/>
  <c r="O265" i="37"/>
  <c r="Q265" i="37"/>
  <c r="V265" i="37"/>
  <c r="L266" i="37"/>
  <c r="M266" i="37"/>
  <c r="O266" i="37"/>
  <c r="Q266" i="37"/>
  <c r="V266" i="37"/>
  <c r="L267" i="37"/>
  <c r="M267" i="37"/>
  <c r="O267" i="37"/>
  <c r="Q267" i="37"/>
  <c r="V267" i="37"/>
  <c r="L268" i="37"/>
  <c r="M268" i="37"/>
  <c r="O268" i="37"/>
  <c r="Q268" i="37"/>
  <c r="V268" i="37"/>
  <c r="L269" i="37"/>
  <c r="M269" i="37"/>
  <c r="O269" i="37"/>
  <c r="Q269" i="37"/>
  <c r="V269" i="37"/>
  <c r="L270" i="37"/>
  <c r="M270" i="37"/>
  <c r="O270" i="37"/>
  <c r="Q270" i="37"/>
  <c r="V270" i="37"/>
  <c r="L271" i="37"/>
  <c r="M271" i="37"/>
  <c r="O271" i="37"/>
  <c r="Q271" i="37"/>
  <c r="V271" i="37"/>
  <c r="L272" i="37"/>
  <c r="M272" i="37"/>
  <c r="O272" i="37"/>
  <c r="Q272" i="37"/>
  <c r="V272" i="37"/>
  <c r="L273" i="37"/>
  <c r="M273" i="37"/>
  <c r="O273" i="37"/>
  <c r="Q273" i="37"/>
  <c r="V273" i="37"/>
  <c r="L274" i="37"/>
  <c r="M274" i="37"/>
  <c r="O274" i="37"/>
  <c r="Q274" i="37"/>
  <c r="V274" i="37"/>
  <c r="L275" i="37"/>
  <c r="M275" i="37"/>
  <c r="O275" i="37"/>
  <c r="Q275" i="37"/>
  <c r="V275" i="37"/>
  <c r="L276" i="37"/>
  <c r="M276" i="37"/>
  <c r="O276" i="37"/>
  <c r="Q276" i="37"/>
  <c r="V276" i="37"/>
  <c r="L277" i="37"/>
  <c r="M277" i="37"/>
  <c r="O277" i="37"/>
  <c r="Q277" i="37"/>
  <c r="V277" i="37"/>
  <c r="L278" i="37"/>
  <c r="M278" i="37"/>
  <c r="O278" i="37"/>
  <c r="Q278" i="37"/>
  <c r="V278" i="37"/>
  <c r="L279" i="37"/>
  <c r="M279" i="37"/>
  <c r="O279" i="37"/>
  <c r="Q279" i="37"/>
  <c r="V279" i="37"/>
  <c r="L280" i="37"/>
  <c r="M280" i="37"/>
  <c r="O280" i="37"/>
  <c r="Q280" i="37"/>
  <c r="V280" i="37"/>
  <c r="L281" i="37"/>
  <c r="M281" i="37"/>
  <c r="O281" i="37"/>
  <c r="Q281" i="37"/>
  <c r="V281" i="37"/>
  <c r="L282" i="37"/>
  <c r="M282" i="37"/>
  <c r="O282" i="37"/>
  <c r="Q282" i="37"/>
  <c r="V282" i="37"/>
  <c r="L283" i="37"/>
  <c r="M283" i="37"/>
  <c r="O283" i="37"/>
  <c r="Q283" i="37"/>
  <c r="V283" i="37"/>
  <c r="L284" i="37"/>
  <c r="M284" i="37"/>
  <c r="O284" i="37"/>
  <c r="Q284" i="37"/>
  <c r="V284" i="37"/>
  <c r="L285" i="37"/>
  <c r="M285" i="37"/>
  <c r="O285" i="37"/>
  <c r="Q285" i="37"/>
  <c r="V285" i="37"/>
  <c r="L286" i="37"/>
  <c r="M286" i="37"/>
  <c r="O286" i="37"/>
  <c r="Q286" i="37"/>
  <c r="V286" i="37"/>
  <c r="L287" i="37"/>
  <c r="M287" i="37"/>
  <c r="O287" i="37"/>
  <c r="Q287" i="37"/>
  <c r="V287" i="37"/>
  <c r="L288" i="37"/>
  <c r="M288" i="37"/>
  <c r="O288" i="37"/>
  <c r="Q288" i="37"/>
  <c r="V288" i="37"/>
  <c r="L289" i="37"/>
  <c r="M289" i="37"/>
  <c r="O289" i="37"/>
  <c r="Q289" i="37"/>
  <c r="V289" i="37"/>
  <c r="L290" i="37"/>
  <c r="M290" i="37"/>
  <c r="O290" i="37"/>
  <c r="Q290" i="37"/>
  <c r="V290" i="37"/>
  <c r="L291" i="37"/>
  <c r="M291" i="37"/>
  <c r="O291" i="37"/>
  <c r="Q291" i="37"/>
  <c r="V291" i="37"/>
  <c r="L292" i="37"/>
  <c r="M292" i="37"/>
  <c r="O292" i="37"/>
  <c r="Q292" i="37"/>
  <c r="V292" i="37"/>
  <c r="L293" i="37"/>
  <c r="M293" i="37"/>
  <c r="O293" i="37"/>
  <c r="Q293" i="37"/>
  <c r="V293" i="37"/>
  <c r="L294" i="37"/>
  <c r="M294" i="37"/>
  <c r="O294" i="37"/>
  <c r="Q294" i="37"/>
  <c r="V294" i="37"/>
  <c r="L295" i="37"/>
  <c r="M295" i="37"/>
  <c r="O295" i="37"/>
  <c r="Q295" i="37"/>
  <c r="V295" i="37"/>
  <c r="L296" i="37"/>
  <c r="M296" i="37"/>
  <c r="O296" i="37"/>
  <c r="Q296" i="37"/>
  <c r="V296" i="37"/>
  <c r="L297" i="37"/>
  <c r="M297" i="37"/>
  <c r="O297" i="37"/>
  <c r="Q297" i="37"/>
  <c r="V297" i="37"/>
  <c r="L298" i="37"/>
  <c r="M298" i="37"/>
  <c r="O298" i="37"/>
  <c r="Q298" i="37"/>
  <c r="V298" i="37"/>
  <c r="L299" i="37"/>
  <c r="M299" i="37"/>
  <c r="O299" i="37"/>
  <c r="Q299" i="37"/>
  <c r="V299" i="37"/>
  <c r="L300" i="37"/>
  <c r="M300" i="37"/>
  <c r="O300" i="37"/>
  <c r="Q300" i="37"/>
  <c r="V300" i="37"/>
  <c r="L301" i="37"/>
  <c r="M301" i="37"/>
  <c r="O301" i="37"/>
  <c r="Q301" i="37"/>
  <c r="V301" i="37"/>
  <c r="L302" i="37"/>
  <c r="M302" i="37"/>
  <c r="O302" i="37"/>
  <c r="Q302" i="37"/>
  <c r="V302" i="37"/>
  <c r="L303" i="37"/>
  <c r="M303" i="37"/>
  <c r="O303" i="37"/>
  <c r="Q303" i="37"/>
  <c r="V303" i="37"/>
  <c r="L304" i="37"/>
  <c r="M304" i="37"/>
  <c r="O304" i="37"/>
  <c r="Q304" i="37"/>
  <c r="V304" i="37"/>
  <c r="L305" i="37"/>
  <c r="M305" i="37"/>
  <c r="O305" i="37"/>
  <c r="Q305" i="37"/>
  <c r="V305" i="37"/>
  <c r="L306" i="37"/>
  <c r="M306" i="37"/>
  <c r="O306" i="37"/>
  <c r="Q306" i="37"/>
  <c r="V306" i="37"/>
  <c r="L307" i="37"/>
  <c r="M307" i="37"/>
  <c r="O307" i="37"/>
  <c r="Q307" i="37"/>
  <c r="V307" i="37"/>
  <c r="L308" i="37"/>
  <c r="M308" i="37"/>
  <c r="O308" i="37"/>
  <c r="Q308" i="37"/>
  <c r="V308" i="37"/>
  <c r="L309" i="37"/>
  <c r="M309" i="37"/>
  <c r="O309" i="37"/>
  <c r="Q309" i="37"/>
  <c r="V309" i="37"/>
  <c r="L310" i="37"/>
  <c r="M310" i="37"/>
  <c r="O310" i="37"/>
  <c r="Q310" i="37"/>
  <c r="V310" i="37"/>
  <c r="L311" i="37"/>
  <c r="M311" i="37"/>
  <c r="O311" i="37"/>
  <c r="Q311" i="37"/>
  <c r="V311" i="37"/>
  <c r="L312" i="37"/>
  <c r="M312" i="37"/>
  <c r="O312" i="37"/>
  <c r="Q312" i="37"/>
  <c r="V312" i="37"/>
  <c r="L313" i="37"/>
  <c r="M313" i="37"/>
  <c r="O313" i="37"/>
  <c r="Q313" i="37"/>
  <c r="V313" i="37"/>
  <c r="L314" i="37"/>
  <c r="M314" i="37"/>
  <c r="O314" i="37"/>
  <c r="Q314" i="37"/>
  <c r="V314" i="37"/>
  <c r="L315" i="37"/>
  <c r="M315" i="37"/>
  <c r="O315" i="37"/>
  <c r="Q315" i="37"/>
  <c r="V315" i="37"/>
  <c r="L316" i="37"/>
  <c r="M316" i="37"/>
  <c r="O316" i="37"/>
  <c r="Q316" i="37"/>
  <c r="V316" i="37"/>
  <c r="L317" i="37"/>
  <c r="M317" i="37"/>
  <c r="O317" i="37"/>
  <c r="Q317" i="37"/>
  <c r="V317" i="37"/>
  <c r="L318" i="37"/>
  <c r="M318" i="37"/>
  <c r="O318" i="37"/>
  <c r="Q318" i="37"/>
  <c r="V318" i="37"/>
  <c r="L319" i="37"/>
  <c r="M319" i="37"/>
  <c r="O319" i="37"/>
  <c r="Q319" i="37"/>
  <c r="V319" i="37"/>
  <c r="L320" i="37"/>
  <c r="M320" i="37"/>
  <c r="O320" i="37"/>
  <c r="Q320" i="37"/>
  <c r="V320" i="37"/>
  <c r="L321" i="37"/>
  <c r="M321" i="37"/>
  <c r="O321" i="37"/>
  <c r="Q321" i="37"/>
  <c r="V321" i="37"/>
  <c r="L322" i="37"/>
  <c r="M322" i="37"/>
  <c r="O322" i="37"/>
  <c r="Q322" i="37"/>
  <c r="V322" i="37"/>
  <c r="L323" i="37"/>
  <c r="M323" i="37"/>
  <c r="O323" i="37"/>
  <c r="Q323" i="37"/>
  <c r="V323" i="37"/>
  <c r="L324" i="37"/>
  <c r="M324" i="37"/>
  <c r="O324" i="37"/>
  <c r="Q324" i="37"/>
  <c r="V324" i="37"/>
  <c r="L325" i="37"/>
  <c r="M325" i="37"/>
  <c r="O325" i="37"/>
  <c r="Q325" i="37"/>
  <c r="V325" i="37"/>
  <c r="L326" i="37"/>
  <c r="M326" i="37"/>
  <c r="O326" i="37"/>
  <c r="Q326" i="37"/>
  <c r="V326" i="37"/>
  <c r="L327" i="37"/>
  <c r="M327" i="37"/>
  <c r="O327" i="37"/>
  <c r="Q327" i="37"/>
  <c r="V327" i="37"/>
  <c r="L328" i="37"/>
  <c r="M328" i="37"/>
  <c r="O328" i="37"/>
  <c r="Q328" i="37"/>
  <c r="V328" i="37"/>
  <c r="L329" i="37"/>
  <c r="M329" i="37"/>
  <c r="O329" i="37"/>
  <c r="Q329" i="37"/>
  <c r="V329" i="37"/>
  <c r="L330" i="37"/>
  <c r="M330" i="37"/>
  <c r="O330" i="37"/>
  <c r="Q330" i="37"/>
  <c r="V330" i="37"/>
  <c r="L331" i="37"/>
  <c r="M331" i="37"/>
  <c r="O331" i="37"/>
  <c r="Q331" i="37"/>
  <c r="V331" i="37"/>
  <c r="L332" i="37"/>
  <c r="M332" i="37"/>
  <c r="O332" i="37"/>
  <c r="Q332" i="37"/>
  <c r="V332" i="37"/>
  <c r="L333" i="37"/>
  <c r="M333" i="37"/>
  <c r="O333" i="37"/>
  <c r="Q333" i="37"/>
  <c r="V333" i="37"/>
  <c r="L334" i="37"/>
  <c r="M334" i="37"/>
  <c r="O334" i="37"/>
  <c r="Q334" i="37"/>
  <c r="V334" i="37"/>
  <c r="L335" i="37"/>
  <c r="M335" i="37"/>
  <c r="O335" i="37"/>
  <c r="Q335" i="37"/>
  <c r="V335" i="37"/>
  <c r="L336" i="37"/>
  <c r="M336" i="37"/>
  <c r="O336" i="37"/>
  <c r="Q336" i="37"/>
  <c r="V336" i="37"/>
  <c r="L337" i="37"/>
  <c r="M337" i="37"/>
  <c r="O337" i="37"/>
  <c r="Q337" i="37"/>
  <c r="V337" i="37"/>
  <c r="L338" i="37"/>
  <c r="M338" i="37"/>
  <c r="O338" i="37"/>
  <c r="Q338" i="37"/>
  <c r="V338" i="37"/>
  <c r="L339" i="37"/>
  <c r="M339" i="37"/>
  <c r="O339" i="37"/>
  <c r="Q339" i="37"/>
  <c r="V339" i="37"/>
  <c r="L340" i="37"/>
  <c r="M340" i="37"/>
  <c r="O340" i="37"/>
  <c r="Q340" i="37"/>
  <c r="V340" i="37"/>
  <c r="L341" i="37"/>
  <c r="M341" i="37"/>
  <c r="O341" i="37"/>
  <c r="Q341" i="37"/>
  <c r="V341" i="37"/>
  <c r="L342" i="37"/>
  <c r="M342" i="37"/>
  <c r="O342" i="37"/>
  <c r="Q342" i="37"/>
  <c r="V342" i="37"/>
  <c r="L343" i="37"/>
  <c r="M343" i="37"/>
  <c r="O343" i="37"/>
  <c r="Q343" i="37"/>
  <c r="V343" i="37"/>
  <c r="L344" i="37"/>
  <c r="M344" i="37"/>
  <c r="O344" i="37"/>
  <c r="Q344" i="37"/>
  <c r="V344" i="37"/>
  <c r="L345" i="37"/>
  <c r="M345" i="37"/>
  <c r="O345" i="37"/>
  <c r="Q345" i="37"/>
  <c r="V345" i="37"/>
  <c r="L346" i="37"/>
  <c r="M346" i="37"/>
  <c r="O346" i="37"/>
  <c r="Q346" i="37"/>
  <c r="V346" i="37"/>
  <c r="L347" i="37"/>
  <c r="M347" i="37"/>
  <c r="O347" i="37"/>
  <c r="Q347" i="37"/>
  <c r="V347" i="37"/>
  <c r="L348" i="37"/>
  <c r="M348" i="37"/>
  <c r="O348" i="37"/>
  <c r="Q348" i="37"/>
  <c r="V348" i="37"/>
  <c r="L349" i="37"/>
  <c r="M349" i="37"/>
  <c r="O349" i="37"/>
  <c r="Q349" i="37"/>
  <c r="V349" i="37"/>
  <c r="L350" i="37"/>
  <c r="M350" i="37"/>
  <c r="O350" i="37"/>
  <c r="Q350" i="37"/>
  <c r="V350" i="37"/>
  <c r="L351" i="37"/>
  <c r="M351" i="37"/>
  <c r="O351" i="37"/>
  <c r="Q351" i="37"/>
  <c r="V351" i="37"/>
  <c r="L352" i="37"/>
  <c r="M352" i="37"/>
  <c r="O352" i="37"/>
  <c r="Q352" i="37"/>
  <c r="V352" i="37"/>
  <c r="L353" i="37"/>
  <c r="M353" i="37"/>
  <c r="O353" i="37"/>
  <c r="Q353" i="37"/>
  <c r="V353" i="37"/>
  <c r="L354" i="37"/>
  <c r="M354" i="37"/>
  <c r="O354" i="37"/>
  <c r="Q354" i="37"/>
  <c r="V354" i="37"/>
  <c r="L355" i="37"/>
  <c r="M355" i="37"/>
  <c r="O355" i="37"/>
  <c r="Q355" i="37"/>
  <c r="V355" i="37"/>
  <c r="L356" i="37"/>
  <c r="M356" i="37"/>
  <c r="O356" i="37"/>
  <c r="Q356" i="37"/>
  <c r="V356" i="37"/>
  <c r="L357" i="37"/>
  <c r="M357" i="37"/>
  <c r="O357" i="37"/>
  <c r="Q357" i="37"/>
  <c r="V357" i="37"/>
  <c r="L358" i="37"/>
  <c r="M358" i="37"/>
  <c r="O358" i="37"/>
  <c r="Q358" i="37"/>
  <c r="V358" i="37"/>
  <c r="L359" i="37"/>
  <c r="M359" i="37"/>
  <c r="O359" i="37"/>
  <c r="Q359" i="37"/>
  <c r="V359" i="37"/>
  <c r="L360" i="37"/>
  <c r="M360" i="37"/>
  <c r="O360" i="37"/>
  <c r="Q360" i="37"/>
  <c r="V360" i="37"/>
  <c r="L361" i="37"/>
  <c r="M361" i="37"/>
  <c r="O361" i="37"/>
  <c r="Q361" i="37"/>
  <c r="V361" i="37"/>
  <c r="L362" i="37"/>
  <c r="M362" i="37"/>
  <c r="O362" i="37"/>
  <c r="Q362" i="37"/>
  <c r="V362" i="37"/>
  <c r="L363" i="37"/>
  <c r="M363" i="37"/>
  <c r="O363" i="37"/>
  <c r="Q363" i="37"/>
  <c r="V363" i="37"/>
  <c r="L364" i="37"/>
  <c r="M364" i="37"/>
  <c r="O364" i="37"/>
  <c r="Q364" i="37"/>
  <c r="V364" i="37"/>
  <c r="L365" i="37"/>
  <c r="M365" i="37"/>
  <c r="O365" i="37"/>
  <c r="Q365" i="37"/>
  <c r="V365" i="37"/>
  <c r="L366" i="37"/>
  <c r="M366" i="37"/>
  <c r="O366" i="37"/>
  <c r="Q366" i="37"/>
  <c r="V366" i="37"/>
  <c r="L367" i="37"/>
  <c r="M367" i="37"/>
  <c r="O367" i="37"/>
  <c r="Q367" i="37"/>
  <c r="V367" i="37"/>
  <c r="L368" i="37"/>
  <c r="M368" i="37"/>
  <c r="O368" i="37"/>
  <c r="Q368" i="37"/>
  <c r="V368" i="37"/>
  <c r="L369" i="37"/>
  <c r="M369" i="37"/>
  <c r="O369" i="37"/>
  <c r="Q369" i="37"/>
  <c r="V369" i="37"/>
  <c r="L370" i="37"/>
  <c r="M370" i="37"/>
  <c r="O370" i="37"/>
  <c r="Q370" i="37"/>
  <c r="V370" i="37"/>
  <c r="L371" i="37"/>
  <c r="M371" i="37"/>
  <c r="O371" i="37"/>
  <c r="Q371" i="37"/>
  <c r="V371" i="37"/>
  <c r="L372" i="37"/>
  <c r="M372" i="37"/>
  <c r="O372" i="37"/>
  <c r="Q372" i="37"/>
  <c r="V372" i="37"/>
  <c r="L373" i="37"/>
  <c r="M373" i="37"/>
  <c r="O373" i="37"/>
  <c r="Q373" i="37"/>
  <c r="V373" i="37"/>
  <c r="L374" i="37"/>
  <c r="M374" i="37"/>
  <c r="O374" i="37"/>
  <c r="Q374" i="37"/>
  <c r="V374" i="37"/>
  <c r="L375" i="37"/>
  <c r="M375" i="37"/>
  <c r="O375" i="37"/>
  <c r="Q375" i="37"/>
  <c r="V375" i="37"/>
  <c r="L376" i="37"/>
  <c r="M376" i="37"/>
  <c r="O376" i="37"/>
  <c r="Q376" i="37"/>
  <c r="V376" i="37"/>
  <c r="L377" i="37"/>
  <c r="M377" i="37"/>
  <c r="O377" i="37"/>
  <c r="Q377" i="37"/>
  <c r="V377" i="37"/>
  <c r="L378" i="37"/>
  <c r="M378" i="37"/>
  <c r="O378" i="37"/>
  <c r="Q378" i="37"/>
  <c r="V378" i="37"/>
  <c r="L379" i="37"/>
  <c r="M379" i="37"/>
  <c r="O379" i="37"/>
  <c r="Q379" i="37"/>
  <c r="V379" i="37"/>
  <c r="L380" i="37"/>
  <c r="M380" i="37"/>
  <c r="O380" i="37"/>
  <c r="Q380" i="37"/>
  <c r="V380" i="37"/>
  <c r="L381" i="37"/>
  <c r="M381" i="37"/>
  <c r="O381" i="37"/>
  <c r="Q381" i="37"/>
  <c r="V381" i="37"/>
  <c r="L382" i="37"/>
  <c r="M382" i="37"/>
  <c r="O382" i="37"/>
  <c r="Q382" i="37"/>
  <c r="V382" i="37"/>
  <c r="L383" i="37"/>
  <c r="M383" i="37"/>
  <c r="O383" i="37"/>
  <c r="Q383" i="37"/>
  <c r="V383" i="37"/>
  <c r="L384" i="37"/>
  <c r="M384" i="37"/>
  <c r="O384" i="37"/>
  <c r="Q384" i="37"/>
  <c r="V384" i="37"/>
  <c r="L385" i="37"/>
  <c r="M385" i="37"/>
  <c r="O385" i="37"/>
  <c r="Q385" i="37"/>
  <c r="V385" i="37"/>
  <c r="L386" i="37"/>
  <c r="M386" i="37"/>
  <c r="O386" i="37"/>
  <c r="Q386" i="37"/>
  <c r="V386" i="37"/>
  <c r="L387" i="37"/>
  <c r="M387" i="37"/>
  <c r="O387" i="37"/>
  <c r="Q387" i="37"/>
  <c r="V387" i="37"/>
  <c r="L388" i="37"/>
  <c r="M388" i="37"/>
  <c r="O388" i="37"/>
  <c r="Q388" i="37"/>
  <c r="V388" i="37"/>
  <c r="L389" i="37"/>
  <c r="M389" i="37"/>
  <c r="O389" i="37"/>
  <c r="Q389" i="37"/>
  <c r="V389" i="37"/>
  <c r="L390" i="37"/>
  <c r="M390" i="37"/>
  <c r="O390" i="37"/>
  <c r="Q390" i="37"/>
  <c r="V390" i="37"/>
  <c r="L391" i="37"/>
  <c r="M391" i="37"/>
  <c r="O391" i="37"/>
  <c r="Q391" i="37"/>
  <c r="V391" i="37"/>
  <c r="L392" i="37"/>
  <c r="M392" i="37"/>
  <c r="O392" i="37"/>
  <c r="Q392" i="37"/>
  <c r="V392" i="37"/>
  <c r="L393" i="37"/>
  <c r="M393" i="37"/>
  <c r="O393" i="37"/>
  <c r="Q393" i="37"/>
  <c r="V393" i="37"/>
  <c r="L394" i="37"/>
  <c r="M394" i="37"/>
  <c r="O394" i="37"/>
  <c r="Q394" i="37"/>
  <c r="V394" i="37"/>
  <c r="L395" i="37"/>
  <c r="M395" i="37"/>
  <c r="O395" i="37"/>
  <c r="Q395" i="37"/>
  <c r="V395" i="37"/>
  <c r="L396" i="37"/>
  <c r="M396" i="37"/>
  <c r="O396" i="37"/>
  <c r="Q396" i="37"/>
  <c r="V396" i="37"/>
  <c r="L397" i="37"/>
  <c r="M397" i="37"/>
  <c r="O397" i="37"/>
  <c r="Q397" i="37"/>
  <c r="V397" i="37"/>
  <c r="L398" i="37"/>
  <c r="M398" i="37"/>
  <c r="O398" i="37"/>
  <c r="Q398" i="37"/>
  <c r="V398" i="37"/>
  <c r="L399" i="37"/>
  <c r="M399" i="37"/>
  <c r="O399" i="37"/>
  <c r="Q399" i="37"/>
  <c r="V399" i="37"/>
  <c r="L400" i="37"/>
  <c r="M400" i="37"/>
  <c r="O400" i="37"/>
  <c r="Q400" i="37"/>
  <c r="V400" i="37"/>
  <c r="L401" i="37"/>
  <c r="M401" i="37"/>
  <c r="O401" i="37"/>
  <c r="Q401" i="37"/>
  <c r="V401" i="37"/>
  <c r="L402" i="37"/>
  <c r="M402" i="37"/>
  <c r="O402" i="37"/>
  <c r="Q402" i="37"/>
  <c r="V402" i="37"/>
  <c r="L403" i="37"/>
  <c r="M403" i="37"/>
  <c r="O403" i="37"/>
  <c r="Q403" i="37"/>
  <c r="V403" i="37"/>
  <c r="L404" i="37"/>
  <c r="M404" i="37"/>
  <c r="O404" i="37"/>
  <c r="Q404" i="37"/>
  <c r="V404" i="37"/>
  <c r="L405" i="37"/>
  <c r="M405" i="37"/>
  <c r="O405" i="37"/>
  <c r="Q405" i="37"/>
  <c r="V405" i="37"/>
  <c r="L406" i="37"/>
  <c r="M406" i="37"/>
  <c r="O406" i="37"/>
  <c r="Q406" i="37"/>
  <c r="V406" i="37"/>
  <c r="L407" i="37"/>
  <c r="M407" i="37"/>
  <c r="O407" i="37"/>
  <c r="Q407" i="37"/>
  <c r="V407" i="37"/>
  <c r="L408" i="37"/>
  <c r="M408" i="37"/>
  <c r="O408" i="37"/>
  <c r="Q408" i="37"/>
  <c r="V408" i="37"/>
  <c r="L409" i="37"/>
  <c r="M409" i="37"/>
  <c r="O409" i="37"/>
  <c r="Q409" i="37"/>
  <c r="V409" i="37"/>
  <c r="L410" i="37"/>
  <c r="M410" i="37"/>
  <c r="O410" i="37"/>
  <c r="Q410" i="37"/>
  <c r="V410" i="37"/>
  <c r="L411" i="37"/>
  <c r="M411" i="37"/>
  <c r="O411" i="37"/>
  <c r="Q411" i="37"/>
  <c r="V411" i="37"/>
  <c r="L412" i="37"/>
  <c r="M412" i="37"/>
  <c r="O412" i="37"/>
  <c r="Q412" i="37"/>
  <c r="V412" i="37"/>
  <c r="L413" i="37"/>
  <c r="M413" i="37"/>
  <c r="O413" i="37"/>
  <c r="Q413" i="37"/>
  <c r="V413" i="37"/>
  <c r="L414" i="37"/>
  <c r="M414" i="37"/>
  <c r="O414" i="37"/>
  <c r="Q414" i="37"/>
  <c r="V414" i="37"/>
  <c r="L415" i="37"/>
  <c r="M415" i="37"/>
  <c r="O415" i="37"/>
  <c r="Q415" i="37"/>
  <c r="V415" i="37"/>
  <c r="L416" i="37"/>
  <c r="M416" i="37"/>
  <c r="O416" i="37"/>
  <c r="Q416" i="37"/>
  <c r="V416" i="37"/>
  <c r="L417" i="37"/>
  <c r="M417" i="37"/>
  <c r="O417" i="37"/>
  <c r="Q417" i="37"/>
  <c r="V417" i="37"/>
  <c r="L418" i="37"/>
  <c r="M418" i="37"/>
  <c r="O418" i="37"/>
  <c r="Q418" i="37"/>
  <c r="V418" i="37"/>
  <c r="L419" i="37"/>
  <c r="M419" i="37"/>
  <c r="O419" i="37"/>
  <c r="Q419" i="37"/>
  <c r="V419" i="37"/>
  <c r="L420" i="37"/>
  <c r="M420" i="37"/>
  <c r="O420" i="37"/>
  <c r="Q420" i="37"/>
  <c r="V420" i="37"/>
  <c r="L421" i="37"/>
  <c r="M421" i="37"/>
  <c r="O421" i="37"/>
  <c r="Q421" i="37"/>
  <c r="V421" i="37"/>
  <c r="L422" i="37"/>
  <c r="M422" i="37"/>
  <c r="O422" i="37"/>
  <c r="Q422" i="37"/>
  <c r="V422" i="37"/>
  <c r="L423" i="37"/>
  <c r="M423" i="37"/>
  <c r="O423" i="37"/>
  <c r="Q423" i="37"/>
  <c r="V423" i="37"/>
  <c r="L424" i="37"/>
  <c r="M424" i="37"/>
  <c r="O424" i="37"/>
  <c r="Q424" i="37"/>
  <c r="V424" i="37"/>
  <c r="L425" i="37"/>
  <c r="M425" i="37"/>
  <c r="O425" i="37"/>
  <c r="Q425" i="37"/>
  <c r="V425" i="37"/>
  <c r="L426" i="37"/>
  <c r="M426" i="37"/>
  <c r="O426" i="37"/>
  <c r="Q426" i="37"/>
  <c r="V426" i="37"/>
  <c r="L427" i="37"/>
  <c r="M427" i="37"/>
  <c r="O427" i="37"/>
  <c r="Q427" i="37"/>
  <c r="V427" i="37"/>
  <c r="L428" i="37"/>
  <c r="M428" i="37"/>
  <c r="O428" i="37"/>
  <c r="Q428" i="37"/>
  <c r="V428" i="37"/>
  <c r="L429" i="37"/>
  <c r="M429" i="37"/>
  <c r="O429" i="37"/>
  <c r="Q429" i="37"/>
  <c r="V429" i="37"/>
  <c r="L430" i="37"/>
  <c r="M430" i="37"/>
  <c r="O430" i="37"/>
  <c r="Q430" i="37"/>
  <c r="V430" i="37"/>
  <c r="L431" i="37"/>
  <c r="M431" i="37"/>
  <c r="O431" i="37"/>
  <c r="Q431" i="37"/>
  <c r="V431" i="37"/>
  <c r="L432" i="37"/>
  <c r="M432" i="37"/>
  <c r="O432" i="37"/>
  <c r="Q432" i="37"/>
  <c r="V432" i="37"/>
  <c r="L433" i="37"/>
  <c r="M433" i="37"/>
  <c r="O433" i="37"/>
  <c r="Q433" i="37"/>
  <c r="V433" i="37"/>
  <c r="L434" i="37"/>
  <c r="M434" i="37"/>
  <c r="O434" i="37"/>
  <c r="Q434" i="37"/>
  <c r="V434" i="37"/>
  <c r="L435" i="37"/>
  <c r="M435" i="37"/>
  <c r="O435" i="37"/>
  <c r="Q435" i="37"/>
  <c r="V435" i="37"/>
  <c r="L436" i="37"/>
  <c r="M436" i="37"/>
  <c r="O436" i="37"/>
  <c r="Q436" i="37"/>
  <c r="V436" i="37"/>
  <c r="L437" i="37"/>
  <c r="M437" i="37"/>
  <c r="O437" i="37"/>
  <c r="Q437" i="37"/>
  <c r="V437" i="37"/>
  <c r="L438" i="37"/>
  <c r="M438" i="37"/>
  <c r="O438" i="37"/>
  <c r="Q438" i="37"/>
  <c r="V438" i="37"/>
  <c r="L439" i="37"/>
  <c r="M439" i="37"/>
  <c r="O439" i="37"/>
  <c r="Q439" i="37"/>
  <c r="V439" i="37"/>
  <c r="L440" i="37"/>
  <c r="M440" i="37"/>
  <c r="O440" i="37"/>
  <c r="Q440" i="37"/>
  <c r="V440" i="37"/>
  <c r="L441" i="37"/>
  <c r="M441" i="37"/>
  <c r="O441" i="37"/>
  <c r="Q441" i="37"/>
  <c r="V441" i="37"/>
  <c r="L442" i="37"/>
  <c r="M442" i="37"/>
  <c r="O442" i="37"/>
  <c r="Q442" i="37"/>
  <c r="V442" i="37"/>
  <c r="L443" i="37"/>
  <c r="M443" i="37"/>
  <c r="O443" i="37"/>
  <c r="Q443" i="37"/>
  <c r="V443" i="37"/>
  <c r="L444" i="37"/>
  <c r="M444" i="37"/>
  <c r="O444" i="37"/>
  <c r="Q444" i="37"/>
  <c r="V444" i="37"/>
  <c r="L445" i="37"/>
  <c r="M445" i="37"/>
  <c r="O445" i="37"/>
  <c r="Q445" i="37"/>
  <c r="V445" i="37"/>
  <c r="L446" i="37"/>
  <c r="M446" i="37"/>
  <c r="O446" i="37"/>
  <c r="Q446" i="37"/>
  <c r="V446" i="37"/>
  <c r="L447" i="37"/>
  <c r="M447" i="37"/>
  <c r="O447" i="37"/>
  <c r="Q447" i="37"/>
  <c r="V447" i="37"/>
  <c r="L448" i="37"/>
  <c r="M448" i="37"/>
  <c r="O448" i="37"/>
  <c r="Q448" i="37"/>
  <c r="V448" i="37"/>
  <c r="L449" i="37"/>
  <c r="M449" i="37"/>
  <c r="O449" i="37"/>
  <c r="Q449" i="37"/>
  <c r="V449" i="37"/>
  <c r="L450" i="37"/>
  <c r="M450" i="37"/>
  <c r="O450" i="37"/>
  <c r="Q450" i="37"/>
  <c r="V450" i="37"/>
  <c r="L451" i="37"/>
  <c r="M451" i="37"/>
  <c r="O451" i="37"/>
  <c r="Q451" i="37"/>
  <c r="V451" i="37"/>
  <c r="L452" i="37"/>
  <c r="M452" i="37"/>
  <c r="O452" i="37"/>
  <c r="Q452" i="37"/>
  <c r="V452" i="37"/>
  <c r="L453" i="37"/>
  <c r="M453" i="37"/>
  <c r="O453" i="37"/>
  <c r="Q453" i="37"/>
  <c r="V453" i="37"/>
  <c r="L454" i="37"/>
  <c r="M454" i="37"/>
  <c r="O454" i="37"/>
  <c r="Q454" i="37"/>
  <c r="V454" i="37"/>
  <c r="L455" i="37"/>
  <c r="M455" i="37"/>
  <c r="O455" i="37"/>
  <c r="Q455" i="37"/>
  <c r="V455" i="37"/>
  <c r="L456" i="37"/>
  <c r="M456" i="37"/>
  <c r="O456" i="37"/>
  <c r="Q456" i="37"/>
  <c r="V456" i="37"/>
  <c r="L457" i="37"/>
  <c r="M457" i="37"/>
  <c r="O457" i="37"/>
  <c r="Q457" i="37"/>
  <c r="V457" i="37"/>
  <c r="L458" i="37"/>
  <c r="M458" i="37"/>
  <c r="O458" i="37"/>
  <c r="Q458" i="37"/>
  <c r="V458" i="37"/>
  <c r="L459" i="37"/>
  <c r="M459" i="37"/>
  <c r="O459" i="37"/>
  <c r="Q459" i="37"/>
  <c r="V459" i="37"/>
  <c r="L460" i="37"/>
  <c r="M460" i="37"/>
  <c r="O460" i="37"/>
  <c r="Q460" i="37"/>
  <c r="V460" i="37"/>
  <c r="L461" i="37"/>
  <c r="M461" i="37"/>
  <c r="O461" i="37"/>
  <c r="Q461" i="37"/>
  <c r="V461" i="37"/>
  <c r="L462" i="37"/>
  <c r="M462" i="37"/>
  <c r="O462" i="37"/>
  <c r="Q462" i="37"/>
  <c r="V462" i="37"/>
  <c r="L463" i="37"/>
  <c r="M463" i="37"/>
  <c r="O463" i="37"/>
  <c r="Q463" i="37"/>
  <c r="V463" i="37"/>
  <c r="L464" i="37"/>
  <c r="M464" i="37"/>
  <c r="O464" i="37"/>
  <c r="Q464" i="37"/>
  <c r="V464" i="37"/>
  <c r="L465" i="37"/>
  <c r="M465" i="37"/>
  <c r="O465" i="37"/>
  <c r="Q465" i="37"/>
  <c r="V465" i="37"/>
  <c r="L466" i="37"/>
  <c r="M466" i="37"/>
  <c r="O466" i="37"/>
  <c r="Q466" i="37"/>
  <c r="V466" i="37"/>
  <c r="L467" i="37"/>
  <c r="M467" i="37"/>
  <c r="O467" i="37"/>
  <c r="Q467" i="37"/>
  <c r="V467" i="37"/>
  <c r="L468" i="37"/>
  <c r="M468" i="37"/>
  <c r="O468" i="37"/>
  <c r="Q468" i="37"/>
  <c r="V468" i="37"/>
  <c r="L469" i="37"/>
  <c r="M469" i="37"/>
  <c r="O469" i="37"/>
  <c r="Q469" i="37"/>
  <c r="V469" i="37"/>
  <c r="L470" i="37"/>
  <c r="M470" i="37"/>
  <c r="O470" i="37"/>
  <c r="Q470" i="37"/>
  <c r="V470" i="37"/>
  <c r="L471" i="37"/>
  <c r="M471" i="37"/>
  <c r="O471" i="37"/>
  <c r="Q471" i="37"/>
  <c r="V471" i="37"/>
  <c r="L472" i="37"/>
  <c r="M472" i="37"/>
  <c r="O472" i="37"/>
  <c r="Q472" i="37"/>
  <c r="V472" i="37"/>
  <c r="L473" i="37"/>
  <c r="M473" i="37"/>
  <c r="O473" i="37"/>
  <c r="Q473" i="37"/>
  <c r="V473" i="37"/>
  <c r="L474" i="37"/>
  <c r="M474" i="37"/>
  <c r="O474" i="37"/>
  <c r="Q474" i="37"/>
  <c r="V474" i="37"/>
  <c r="L475" i="37"/>
  <c r="M475" i="37"/>
  <c r="O475" i="37"/>
  <c r="Q475" i="37"/>
  <c r="V475" i="37"/>
  <c r="L476" i="37"/>
  <c r="M476" i="37"/>
  <c r="O476" i="37"/>
  <c r="Q476" i="37"/>
  <c r="V476" i="37"/>
  <c r="L477" i="37"/>
  <c r="M477" i="37"/>
  <c r="O477" i="37"/>
  <c r="Q477" i="37"/>
  <c r="V477" i="37"/>
  <c r="L478" i="37"/>
  <c r="M478" i="37"/>
  <c r="O478" i="37"/>
  <c r="Q478" i="37"/>
  <c r="V478" i="37"/>
  <c r="L479" i="37"/>
  <c r="M479" i="37"/>
  <c r="O479" i="37"/>
  <c r="Q479" i="37"/>
  <c r="V479" i="37"/>
  <c r="L480" i="37"/>
  <c r="M480" i="37"/>
  <c r="O480" i="37"/>
  <c r="Q480" i="37"/>
  <c r="V480" i="37"/>
  <c r="L481" i="37"/>
  <c r="M481" i="37"/>
  <c r="O481" i="37"/>
  <c r="Q481" i="37"/>
  <c r="V481" i="37"/>
  <c r="L482" i="37"/>
  <c r="M482" i="37"/>
  <c r="O482" i="37"/>
  <c r="Q482" i="37"/>
  <c r="V482" i="37"/>
  <c r="L483" i="37"/>
  <c r="M483" i="37"/>
  <c r="O483" i="37"/>
  <c r="Q483" i="37"/>
  <c r="V483" i="37"/>
  <c r="L484" i="37"/>
  <c r="M484" i="37"/>
  <c r="O484" i="37"/>
  <c r="Q484" i="37"/>
  <c r="V484" i="37"/>
  <c r="L485" i="37"/>
  <c r="M485" i="37"/>
  <c r="O485" i="37"/>
  <c r="Q485" i="37"/>
  <c r="V485" i="37"/>
  <c r="L486" i="37"/>
  <c r="M486" i="37"/>
  <c r="O486" i="37"/>
  <c r="Q486" i="37"/>
  <c r="V486" i="37"/>
  <c r="L487" i="37"/>
  <c r="M487" i="37"/>
  <c r="O487" i="37"/>
  <c r="Q487" i="37"/>
  <c r="V487" i="37"/>
  <c r="L488" i="37"/>
  <c r="M488" i="37"/>
  <c r="O488" i="37"/>
  <c r="Q488" i="37"/>
  <c r="V488" i="37"/>
  <c r="L489" i="37"/>
  <c r="M489" i="37"/>
  <c r="O489" i="37"/>
  <c r="Q489" i="37"/>
  <c r="V489" i="37"/>
  <c r="L490" i="37"/>
  <c r="M490" i="37"/>
  <c r="O490" i="37"/>
  <c r="Q490" i="37"/>
  <c r="V490" i="37"/>
  <c r="L491" i="37"/>
  <c r="M491" i="37"/>
  <c r="O491" i="37"/>
  <c r="Q491" i="37"/>
  <c r="V491" i="37"/>
  <c r="L492" i="37"/>
  <c r="M492" i="37"/>
  <c r="O492" i="37"/>
  <c r="Q492" i="37"/>
  <c r="V492" i="37"/>
  <c r="L493" i="37"/>
  <c r="M493" i="37"/>
  <c r="O493" i="37"/>
  <c r="Q493" i="37"/>
  <c r="V493" i="37"/>
  <c r="L494" i="37"/>
  <c r="M494" i="37"/>
  <c r="O494" i="37"/>
  <c r="Q494" i="37"/>
  <c r="V494" i="37"/>
  <c r="L495" i="37"/>
  <c r="M495" i="37"/>
  <c r="O495" i="37"/>
  <c r="Q495" i="37"/>
  <c r="V495" i="37"/>
  <c r="L496" i="37"/>
  <c r="M496" i="37"/>
  <c r="O496" i="37"/>
  <c r="Q496" i="37"/>
  <c r="V496" i="37"/>
  <c r="L497" i="37"/>
  <c r="M497" i="37"/>
  <c r="O497" i="37"/>
  <c r="Q497" i="37"/>
  <c r="V497" i="37"/>
  <c r="L498" i="37"/>
  <c r="M498" i="37"/>
  <c r="O498" i="37"/>
  <c r="Q498" i="37"/>
  <c r="V498" i="37"/>
  <c r="L499" i="37"/>
  <c r="M499" i="37"/>
  <c r="O499" i="37"/>
  <c r="Q499" i="37"/>
  <c r="V499" i="37"/>
  <c r="L500" i="37"/>
  <c r="M500" i="37"/>
  <c r="O500" i="37"/>
  <c r="Q500" i="37"/>
  <c r="V500" i="37"/>
  <c r="L501" i="37"/>
  <c r="M501" i="37"/>
  <c r="O501" i="37"/>
  <c r="Q501" i="37"/>
  <c r="V501" i="37"/>
  <c r="L502" i="37"/>
  <c r="M502" i="37"/>
  <c r="O502" i="37"/>
  <c r="Q502" i="37"/>
  <c r="V502" i="37"/>
  <c r="L503" i="37"/>
  <c r="M503" i="37"/>
  <c r="O503" i="37"/>
  <c r="Q503" i="37"/>
  <c r="V503" i="37"/>
  <c r="L504" i="37"/>
  <c r="M504" i="37"/>
  <c r="O504" i="37"/>
  <c r="Q504" i="37"/>
  <c r="V504" i="37"/>
  <c r="L505" i="37"/>
  <c r="M505" i="37"/>
  <c r="O505" i="37"/>
  <c r="Q505" i="37"/>
  <c r="V505" i="37"/>
  <c r="L506" i="37"/>
  <c r="M506" i="37"/>
  <c r="O506" i="37"/>
  <c r="Q506" i="37"/>
  <c r="V506" i="37"/>
  <c r="L507" i="37"/>
  <c r="M507" i="37"/>
  <c r="O507" i="37"/>
  <c r="Q507" i="37"/>
  <c r="V507" i="37"/>
  <c r="L508" i="37"/>
  <c r="M508" i="37"/>
  <c r="O508" i="37"/>
  <c r="Q508" i="37"/>
  <c r="V508" i="37"/>
  <c r="L509" i="37"/>
  <c r="M509" i="37"/>
  <c r="O509" i="37"/>
  <c r="Q509" i="37"/>
  <c r="V509" i="37"/>
  <c r="L510" i="37"/>
  <c r="M510" i="37"/>
  <c r="O510" i="37"/>
  <c r="Q510" i="37"/>
  <c r="V510" i="37"/>
  <c r="L511" i="37"/>
  <c r="M511" i="37"/>
  <c r="O511" i="37"/>
  <c r="Q511" i="37"/>
  <c r="V511" i="37"/>
  <c r="L512" i="37"/>
  <c r="M512" i="37"/>
  <c r="O512" i="37"/>
  <c r="Q512" i="37"/>
  <c r="V512" i="37"/>
  <c r="L513" i="37"/>
  <c r="M513" i="37"/>
  <c r="O513" i="37"/>
  <c r="Q513" i="37"/>
  <c r="V513" i="37"/>
  <c r="L514" i="37"/>
  <c r="M514" i="37"/>
  <c r="O514" i="37"/>
  <c r="Q514" i="37"/>
  <c r="V514" i="37"/>
  <c r="L515" i="37"/>
  <c r="M515" i="37"/>
  <c r="O515" i="37"/>
  <c r="Q515" i="37"/>
  <c r="V515" i="37"/>
  <c r="L516" i="37"/>
  <c r="M516" i="37"/>
  <c r="O516" i="37"/>
  <c r="Q516" i="37"/>
  <c r="V516" i="37"/>
  <c r="L517" i="37"/>
  <c r="M517" i="37"/>
  <c r="O517" i="37"/>
  <c r="Q517" i="37"/>
  <c r="V517" i="37"/>
  <c r="L518" i="37"/>
  <c r="M518" i="37"/>
  <c r="O518" i="37"/>
  <c r="Q518" i="37"/>
  <c r="V518" i="37"/>
  <c r="L519" i="37"/>
  <c r="M519" i="37"/>
  <c r="O519" i="37"/>
  <c r="Q519" i="37"/>
  <c r="V519" i="37"/>
  <c r="L520" i="37"/>
  <c r="M520" i="37"/>
  <c r="O520" i="37"/>
  <c r="Q520" i="37"/>
  <c r="V520" i="37"/>
  <c r="L521" i="37"/>
  <c r="M521" i="37"/>
  <c r="O521" i="37"/>
  <c r="Q521" i="37"/>
  <c r="V521" i="37"/>
  <c r="L522" i="37"/>
  <c r="M522" i="37"/>
  <c r="O522" i="37"/>
  <c r="Q522" i="37"/>
  <c r="V522" i="37"/>
  <c r="L523" i="37"/>
  <c r="M523" i="37"/>
  <c r="O523" i="37"/>
  <c r="Q523" i="37"/>
  <c r="V523" i="37"/>
  <c r="L524" i="37"/>
  <c r="M524" i="37"/>
  <c r="O524" i="37"/>
  <c r="Q524" i="37"/>
  <c r="V524" i="37"/>
  <c r="L525" i="37"/>
  <c r="M525" i="37"/>
  <c r="O525" i="37"/>
  <c r="Q525" i="37"/>
  <c r="V525" i="37"/>
  <c r="L526" i="37"/>
  <c r="M526" i="37"/>
  <c r="O526" i="37"/>
  <c r="Q526" i="37"/>
  <c r="V526" i="37"/>
  <c r="L527" i="37"/>
  <c r="M527" i="37"/>
  <c r="O527" i="37"/>
  <c r="Q527" i="37"/>
  <c r="V527" i="37"/>
  <c r="L528" i="37"/>
  <c r="M528" i="37"/>
  <c r="O528" i="37"/>
  <c r="Q528" i="37"/>
  <c r="V528" i="37"/>
  <c r="L529" i="37"/>
  <c r="M529" i="37"/>
  <c r="O529" i="37"/>
  <c r="Q529" i="37"/>
  <c r="V529" i="37"/>
  <c r="L530" i="37"/>
  <c r="M530" i="37"/>
  <c r="O530" i="37"/>
  <c r="Q530" i="37"/>
  <c r="V530" i="37"/>
  <c r="L531" i="37"/>
  <c r="M531" i="37"/>
  <c r="O531" i="37"/>
  <c r="Q531" i="37"/>
  <c r="V531" i="37"/>
  <c r="L532" i="37"/>
  <c r="M532" i="37"/>
  <c r="O532" i="37"/>
  <c r="Q532" i="37"/>
  <c r="V532" i="37"/>
  <c r="L533" i="37"/>
  <c r="M533" i="37"/>
  <c r="O533" i="37"/>
  <c r="Q533" i="37"/>
  <c r="V533" i="37"/>
  <c r="L534" i="37"/>
  <c r="M534" i="37"/>
  <c r="O534" i="37"/>
  <c r="Q534" i="37"/>
  <c r="V534" i="37"/>
  <c r="L535" i="37"/>
  <c r="M535" i="37"/>
  <c r="O535" i="37"/>
  <c r="Q535" i="37"/>
  <c r="V535" i="37"/>
  <c r="L536" i="37"/>
  <c r="M536" i="37"/>
  <c r="O536" i="37"/>
  <c r="Q536" i="37"/>
  <c r="V536" i="37"/>
  <c r="L537" i="37"/>
  <c r="M537" i="37"/>
  <c r="O537" i="37"/>
  <c r="Q537" i="37"/>
  <c r="V537" i="37"/>
  <c r="L538" i="37"/>
  <c r="M538" i="37"/>
  <c r="O538" i="37"/>
  <c r="Q538" i="37"/>
  <c r="V538" i="37"/>
  <c r="L539" i="37"/>
  <c r="M539" i="37"/>
  <c r="O539" i="37"/>
  <c r="Q539" i="37"/>
  <c r="V539" i="37"/>
  <c r="L540" i="37"/>
  <c r="M540" i="37"/>
  <c r="O540" i="37"/>
  <c r="Q540" i="37"/>
  <c r="V540" i="37"/>
  <c r="L541" i="37"/>
  <c r="M541" i="37"/>
  <c r="O541" i="37"/>
  <c r="Q541" i="37"/>
  <c r="V541" i="37"/>
  <c r="L542" i="37"/>
  <c r="M542" i="37"/>
  <c r="O542" i="37"/>
  <c r="Q542" i="37"/>
  <c r="V542" i="37"/>
  <c r="L543" i="37"/>
  <c r="M543" i="37"/>
  <c r="O543" i="37"/>
  <c r="Q543" i="37"/>
  <c r="V543" i="37"/>
  <c r="L544" i="37"/>
  <c r="M544" i="37"/>
  <c r="O544" i="37"/>
  <c r="Q544" i="37"/>
  <c r="V544" i="37"/>
  <c r="L545" i="37"/>
  <c r="M545" i="37"/>
  <c r="O545" i="37"/>
  <c r="Q545" i="37"/>
  <c r="V545" i="37"/>
  <c r="L546" i="37"/>
  <c r="M546" i="37"/>
  <c r="O546" i="37"/>
  <c r="Q546" i="37"/>
  <c r="V546" i="37"/>
  <c r="L547" i="37"/>
  <c r="M547" i="37"/>
  <c r="O547" i="37"/>
  <c r="Q547" i="37"/>
  <c r="V547" i="37"/>
  <c r="L548" i="37"/>
  <c r="M548" i="37"/>
  <c r="O548" i="37"/>
  <c r="Q548" i="37"/>
  <c r="V548" i="37"/>
  <c r="L549" i="37"/>
  <c r="M549" i="37"/>
  <c r="O549" i="37"/>
  <c r="Q549" i="37"/>
  <c r="V549" i="37"/>
  <c r="L550" i="37"/>
  <c r="M550" i="37"/>
  <c r="O550" i="37"/>
  <c r="Q550" i="37"/>
  <c r="V550" i="37"/>
  <c r="L551" i="37"/>
  <c r="M551" i="37"/>
  <c r="O551" i="37"/>
  <c r="Q551" i="37"/>
  <c r="V551" i="37"/>
  <c r="L552" i="37"/>
  <c r="M552" i="37"/>
  <c r="O552" i="37"/>
  <c r="Q552" i="37"/>
  <c r="V552" i="37"/>
  <c r="L553" i="37"/>
  <c r="M553" i="37"/>
  <c r="O553" i="37"/>
  <c r="Q553" i="37"/>
  <c r="V553" i="37"/>
  <c r="L554" i="37"/>
  <c r="M554" i="37"/>
  <c r="O554" i="37"/>
  <c r="Q554" i="37"/>
  <c r="V554" i="37"/>
  <c r="L555" i="37"/>
  <c r="M555" i="37"/>
  <c r="O555" i="37"/>
  <c r="Q555" i="37"/>
  <c r="V555" i="37"/>
  <c r="L556" i="37"/>
  <c r="M556" i="37"/>
  <c r="O556" i="37"/>
  <c r="Q556" i="37"/>
  <c r="V556" i="37"/>
  <c r="L557" i="37"/>
  <c r="M557" i="37"/>
  <c r="O557" i="37"/>
  <c r="Q557" i="37"/>
  <c r="V557" i="37"/>
  <c r="L558" i="37"/>
  <c r="M558" i="37"/>
  <c r="O558" i="37"/>
  <c r="Q558" i="37"/>
  <c r="V558" i="37"/>
  <c r="L559" i="37"/>
  <c r="M559" i="37"/>
  <c r="O559" i="37"/>
  <c r="Q559" i="37"/>
  <c r="V559" i="37"/>
  <c r="L560" i="37"/>
  <c r="M560" i="37"/>
  <c r="O560" i="37"/>
  <c r="Q560" i="37"/>
  <c r="V560" i="37"/>
  <c r="L561" i="37"/>
  <c r="M561" i="37"/>
  <c r="O561" i="37"/>
  <c r="Q561" i="37"/>
  <c r="V561" i="37"/>
  <c r="L562" i="37"/>
  <c r="M562" i="37"/>
  <c r="O562" i="37"/>
  <c r="Q562" i="37"/>
  <c r="V562" i="37"/>
  <c r="L563" i="37"/>
  <c r="M563" i="37"/>
  <c r="O563" i="37"/>
  <c r="Q563" i="37"/>
  <c r="V563" i="37"/>
  <c r="L564" i="37"/>
  <c r="M564" i="37"/>
  <c r="O564" i="37"/>
  <c r="Q564" i="37"/>
  <c r="V564" i="37"/>
  <c r="L565" i="37"/>
  <c r="M565" i="37"/>
  <c r="O565" i="37"/>
  <c r="Q565" i="37"/>
  <c r="V565" i="37"/>
  <c r="L566" i="37"/>
  <c r="M566" i="37"/>
  <c r="O566" i="37"/>
  <c r="Q566" i="37"/>
  <c r="V566" i="37"/>
  <c r="L567" i="37"/>
  <c r="M567" i="37"/>
  <c r="O567" i="37"/>
  <c r="Q567" i="37"/>
  <c r="V567" i="37"/>
  <c r="L568" i="37"/>
  <c r="M568" i="37"/>
  <c r="O568" i="37"/>
  <c r="Q568" i="37"/>
  <c r="V568" i="37"/>
  <c r="L569" i="37"/>
  <c r="M569" i="37"/>
  <c r="O569" i="37"/>
  <c r="Q569" i="37"/>
  <c r="V569" i="37"/>
  <c r="L570" i="37"/>
  <c r="M570" i="37"/>
  <c r="O570" i="37"/>
  <c r="Q570" i="37"/>
  <c r="V570" i="37"/>
  <c r="L571" i="37"/>
  <c r="M571" i="37"/>
  <c r="O571" i="37"/>
  <c r="Q571" i="37"/>
  <c r="V571" i="37"/>
  <c r="L572" i="37"/>
  <c r="M572" i="37"/>
  <c r="O572" i="37"/>
  <c r="Q572" i="37"/>
  <c r="V572" i="37"/>
  <c r="L573" i="37"/>
  <c r="M573" i="37"/>
  <c r="O573" i="37"/>
  <c r="Q573" i="37"/>
  <c r="V573" i="37"/>
  <c r="L574" i="37"/>
  <c r="M574" i="37"/>
  <c r="O574" i="37"/>
  <c r="Q574" i="37"/>
  <c r="V574" i="37"/>
  <c r="L575" i="37"/>
  <c r="M575" i="37"/>
  <c r="O575" i="37"/>
  <c r="Q575" i="37"/>
  <c r="V575" i="37"/>
  <c r="L576" i="37"/>
  <c r="M576" i="37"/>
  <c r="O576" i="37"/>
  <c r="Q576" i="37"/>
  <c r="V576" i="37"/>
  <c r="L577" i="37"/>
  <c r="M577" i="37"/>
  <c r="O577" i="37"/>
  <c r="Q577" i="37"/>
  <c r="V577" i="37"/>
  <c r="L578" i="37"/>
  <c r="M578" i="37"/>
  <c r="O578" i="37"/>
  <c r="Q578" i="37"/>
  <c r="V578" i="37"/>
  <c r="L579" i="37"/>
  <c r="M579" i="37"/>
  <c r="O579" i="37"/>
  <c r="Q579" i="37"/>
  <c r="V579" i="37"/>
  <c r="L580" i="37"/>
  <c r="M580" i="37"/>
  <c r="O580" i="37"/>
  <c r="Q580" i="37"/>
  <c r="V580" i="37"/>
  <c r="L581" i="37"/>
  <c r="M581" i="37"/>
  <c r="O581" i="37"/>
  <c r="Q581" i="37"/>
  <c r="V581" i="37"/>
  <c r="L582" i="37"/>
  <c r="M582" i="37"/>
  <c r="O582" i="37"/>
  <c r="Q582" i="37"/>
  <c r="V582" i="37"/>
  <c r="L583" i="37"/>
  <c r="M583" i="37"/>
  <c r="O583" i="37"/>
  <c r="Q583" i="37"/>
  <c r="V583" i="37"/>
  <c r="L584" i="37"/>
  <c r="M584" i="37"/>
  <c r="O584" i="37"/>
  <c r="Q584" i="37"/>
  <c r="V584" i="37"/>
  <c r="L585" i="37"/>
  <c r="M585" i="37"/>
  <c r="O585" i="37"/>
  <c r="Q585" i="37"/>
  <c r="V585" i="37"/>
  <c r="L586" i="37"/>
  <c r="M586" i="37"/>
  <c r="O586" i="37"/>
  <c r="Q586" i="37"/>
  <c r="V586" i="37"/>
  <c r="L587" i="37"/>
  <c r="M587" i="37"/>
  <c r="O587" i="37"/>
  <c r="Q587" i="37"/>
  <c r="V587" i="37"/>
  <c r="L588" i="37"/>
  <c r="M588" i="37"/>
  <c r="O588" i="37"/>
  <c r="Q588" i="37"/>
  <c r="V588" i="37"/>
  <c r="L589" i="37"/>
  <c r="M589" i="37"/>
  <c r="O589" i="37"/>
  <c r="Q589" i="37"/>
  <c r="V589" i="37"/>
  <c r="L590" i="37"/>
  <c r="M590" i="37"/>
  <c r="O590" i="37"/>
  <c r="Q590" i="37"/>
  <c r="V590" i="37"/>
  <c r="L591" i="37"/>
  <c r="M591" i="37"/>
  <c r="O591" i="37"/>
  <c r="Q591" i="37"/>
  <c r="V591" i="37"/>
  <c r="L592" i="37"/>
  <c r="M592" i="37"/>
  <c r="O592" i="37"/>
  <c r="Q592" i="37"/>
  <c r="V592" i="37"/>
  <c r="L593" i="37"/>
  <c r="M593" i="37"/>
  <c r="O593" i="37"/>
  <c r="Q593" i="37"/>
  <c r="V593" i="37"/>
  <c r="L594" i="37"/>
  <c r="M594" i="37"/>
  <c r="O594" i="37"/>
  <c r="Q594" i="37"/>
  <c r="V594" i="37"/>
  <c r="L595" i="37"/>
  <c r="M595" i="37"/>
  <c r="O595" i="37"/>
  <c r="Q595" i="37"/>
  <c r="V595" i="37"/>
  <c r="L596" i="37"/>
  <c r="M596" i="37"/>
  <c r="O596" i="37"/>
  <c r="Q596" i="37"/>
  <c r="V596" i="37"/>
  <c r="L597" i="37"/>
  <c r="M597" i="37"/>
  <c r="O597" i="37"/>
  <c r="Q597" i="37"/>
  <c r="V597" i="37"/>
  <c r="L598" i="37"/>
  <c r="M598" i="37"/>
  <c r="O598" i="37"/>
  <c r="Q598" i="37"/>
  <c r="V598" i="37"/>
  <c r="L599" i="37"/>
  <c r="M599" i="37"/>
  <c r="O599" i="37"/>
  <c r="Q599" i="37"/>
  <c r="V599" i="37"/>
  <c r="L600" i="37"/>
  <c r="M600" i="37"/>
  <c r="O600" i="37"/>
  <c r="Q600" i="37"/>
  <c r="V600" i="37"/>
  <c r="L601" i="37"/>
  <c r="M601" i="37"/>
  <c r="O601" i="37"/>
  <c r="Q601" i="37"/>
  <c r="V601" i="37"/>
  <c r="L602" i="37"/>
  <c r="M602" i="37"/>
  <c r="O602" i="37"/>
  <c r="Q602" i="37"/>
  <c r="V602" i="37"/>
  <c r="L603" i="37"/>
  <c r="M603" i="37"/>
  <c r="O603" i="37"/>
  <c r="Q603" i="37"/>
  <c r="V603" i="37"/>
  <c r="L604" i="37"/>
  <c r="M604" i="37"/>
  <c r="O604" i="37"/>
  <c r="Q604" i="37"/>
  <c r="V604" i="37"/>
  <c r="L605" i="37"/>
  <c r="M605" i="37"/>
  <c r="O605" i="37"/>
  <c r="Q605" i="37"/>
  <c r="V605" i="37"/>
  <c r="L606" i="37"/>
  <c r="M606" i="37"/>
  <c r="O606" i="37"/>
  <c r="Q606" i="37"/>
  <c r="V606" i="37"/>
  <c r="L607" i="37"/>
  <c r="M607" i="37"/>
  <c r="O607" i="37"/>
  <c r="Q607" i="37"/>
  <c r="V607" i="37"/>
  <c r="L608" i="37"/>
  <c r="M608" i="37"/>
  <c r="O608" i="37"/>
  <c r="Q608" i="37"/>
  <c r="V608" i="37"/>
  <c r="L609" i="37"/>
  <c r="M609" i="37"/>
  <c r="O609" i="37"/>
  <c r="Q609" i="37"/>
  <c r="V609" i="37"/>
  <c r="L610" i="37"/>
  <c r="M610" i="37"/>
  <c r="O610" i="37"/>
  <c r="Q610" i="37"/>
  <c r="V610" i="37"/>
  <c r="L611" i="37"/>
  <c r="M611" i="37"/>
  <c r="O611" i="37"/>
  <c r="Q611" i="37"/>
  <c r="V611" i="37"/>
  <c r="L612" i="37"/>
  <c r="M612" i="37"/>
  <c r="O612" i="37"/>
  <c r="Q612" i="37"/>
  <c r="V612" i="37"/>
  <c r="L613" i="37"/>
  <c r="M613" i="37"/>
  <c r="O613" i="37"/>
  <c r="Q613" i="37"/>
  <c r="V613" i="37"/>
  <c r="L614" i="37"/>
  <c r="M614" i="37"/>
  <c r="O614" i="37"/>
  <c r="Q614" i="37"/>
  <c r="V614" i="37"/>
  <c r="L615" i="37"/>
  <c r="M615" i="37"/>
  <c r="O615" i="37"/>
  <c r="Q615" i="37"/>
  <c r="V615" i="37"/>
  <c r="L616" i="37"/>
  <c r="M616" i="37"/>
  <c r="O616" i="37"/>
  <c r="Q616" i="37"/>
  <c r="V616" i="37"/>
  <c r="L617" i="37"/>
  <c r="M617" i="37"/>
  <c r="O617" i="37"/>
  <c r="Q617" i="37"/>
  <c r="V617" i="37"/>
  <c r="L618" i="37"/>
  <c r="M618" i="37"/>
  <c r="O618" i="37"/>
  <c r="Q618" i="37"/>
  <c r="V618" i="37"/>
  <c r="L619" i="37"/>
  <c r="M619" i="37"/>
  <c r="O619" i="37"/>
  <c r="Q619" i="37"/>
  <c r="V619" i="37"/>
  <c r="L620" i="37"/>
  <c r="M620" i="37"/>
  <c r="O620" i="37"/>
  <c r="Q620" i="37"/>
  <c r="V620" i="37"/>
  <c r="L621" i="37"/>
  <c r="M621" i="37"/>
  <c r="O621" i="37"/>
  <c r="Q621" i="37"/>
  <c r="V621" i="37"/>
  <c r="L622" i="37"/>
  <c r="M622" i="37"/>
  <c r="O622" i="37"/>
  <c r="Q622" i="37"/>
  <c r="V622" i="37"/>
  <c r="L623" i="37"/>
  <c r="M623" i="37"/>
  <c r="O623" i="37"/>
  <c r="Q623" i="37"/>
  <c r="V623" i="37"/>
  <c r="L624" i="37"/>
  <c r="M624" i="37"/>
  <c r="O624" i="37"/>
  <c r="Q624" i="37"/>
  <c r="V624" i="37"/>
  <c r="L625" i="37"/>
  <c r="M625" i="37"/>
  <c r="O625" i="37"/>
  <c r="Q625" i="37"/>
  <c r="V625" i="37"/>
  <c r="L626" i="37"/>
  <c r="M626" i="37"/>
  <c r="O626" i="37"/>
  <c r="Q626" i="37"/>
  <c r="V626" i="37"/>
  <c r="L627" i="37"/>
  <c r="M627" i="37"/>
  <c r="O627" i="37"/>
  <c r="Q627" i="37"/>
  <c r="V627" i="37"/>
  <c r="L628" i="37"/>
  <c r="M628" i="37"/>
  <c r="O628" i="37"/>
  <c r="Q628" i="37"/>
  <c r="V628" i="37"/>
  <c r="L629" i="37"/>
  <c r="M629" i="37"/>
  <c r="O629" i="37"/>
  <c r="Q629" i="37"/>
  <c r="V629" i="37"/>
  <c r="L630" i="37"/>
  <c r="M630" i="37"/>
  <c r="O630" i="37"/>
  <c r="Q630" i="37"/>
  <c r="V630" i="37"/>
  <c r="L631" i="37"/>
  <c r="M631" i="37"/>
  <c r="O631" i="37"/>
  <c r="Q631" i="37"/>
  <c r="V631" i="37"/>
  <c r="L632" i="37"/>
  <c r="M632" i="37"/>
  <c r="O632" i="37"/>
  <c r="Q632" i="37"/>
  <c r="V632" i="37"/>
  <c r="L633" i="37"/>
  <c r="M633" i="37"/>
  <c r="O633" i="37"/>
  <c r="Q633" i="37"/>
  <c r="V633" i="37"/>
  <c r="L634" i="37"/>
  <c r="M634" i="37"/>
  <c r="O634" i="37"/>
  <c r="Q634" i="37"/>
  <c r="V634" i="37"/>
  <c r="L635" i="37"/>
  <c r="M635" i="37"/>
  <c r="O635" i="37"/>
  <c r="Q635" i="37"/>
  <c r="V635" i="37"/>
  <c r="L636" i="37"/>
  <c r="M636" i="37"/>
  <c r="O636" i="37"/>
  <c r="Q636" i="37"/>
  <c r="V636" i="37"/>
  <c r="L637" i="37"/>
  <c r="M637" i="37"/>
  <c r="O637" i="37"/>
  <c r="Q637" i="37"/>
  <c r="V637" i="37"/>
  <c r="L638" i="37"/>
  <c r="M638" i="37"/>
  <c r="O638" i="37"/>
  <c r="Q638" i="37"/>
  <c r="V638" i="37"/>
  <c r="L639" i="37"/>
  <c r="M639" i="37"/>
  <c r="O639" i="37"/>
  <c r="Q639" i="37"/>
  <c r="V639" i="37"/>
  <c r="L640" i="37"/>
  <c r="M640" i="37"/>
  <c r="O640" i="37"/>
  <c r="Q640" i="37"/>
  <c r="V640" i="37"/>
  <c r="L641" i="37"/>
  <c r="M641" i="37"/>
  <c r="O641" i="37"/>
  <c r="Q641" i="37"/>
  <c r="V641" i="37"/>
  <c r="L642" i="37"/>
  <c r="M642" i="37"/>
  <c r="O642" i="37"/>
  <c r="Q642" i="37"/>
  <c r="V642" i="37"/>
  <c r="L643" i="37"/>
  <c r="M643" i="37"/>
  <c r="O643" i="37"/>
  <c r="Q643" i="37"/>
  <c r="V643" i="37"/>
  <c r="L644" i="37"/>
  <c r="M644" i="37"/>
  <c r="O644" i="37"/>
  <c r="Q644" i="37"/>
  <c r="V644" i="37"/>
  <c r="L645" i="37"/>
  <c r="M645" i="37"/>
  <c r="O645" i="37"/>
  <c r="Q645" i="37"/>
  <c r="V645" i="37"/>
  <c r="L646" i="37"/>
  <c r="M646" i="37"/>
  <c r="O646" i="37"/>
  <c r="Q646" i="37"/>
  <c r="V646" i="37"/>
  <c r="L647" i="37"/>
  <c r="M647" i="37"/>
  <c r="O647" i="37"/>
  <c r="Q647" i="37"/>
  <c r="V647" i="37"/>
  <c r="L648" i="37"/>
  <c r="M648" i="37"/>
  <c r="O648" i="37"/>
  <c r="Q648" i="37"/>
  <c r="V648" i="37"/>
  <c r="L649" i="37"/>
  <c r="M649" i="37"/>
  <c r="O649" i="37"/>
  <c r="Q649" i="37"/>
  <c r="V649" i="37"/>
  <c r="L650" i="37"/>
  <c r="M650" i="37"/>
  <c r="O650" i="37"/>
  <c r="Q650" i="37"/>
  <c r="V650" i="37"/>
  <c r="L651" i="37"/>
  <c r="M651" i="37"/>
  <c r="O651" i="37"/>
  <c r="Q651" i="37"/>
  <c r="V651" i="37"/>
  <c r="L652" i="37"/>
  <c r="M652" i="37"/>
  <c r="O652" i="37"/>
  <c r="Q652" i="37"/>
  <c r="V652" i="37"/>
  <c r="L653" i="37"/>
  <c r="M653" i="37"/>
  <c r="O653" i="37"/>
  <c r="Q653" i="37"/>
  <c r="V653" i="37"/>
  <c r="L654" i="37"/>
  <c r="M654" i="37"/>
  <c r="O654" i="37"/>
  <c r="Q654" i="37"/>
  <c r="V654" i="37"/>
  <c r="L655" i="37"/>
  <c r="M655" i="37"/>
  <c r="O655" i="37"/>
  <c r="Q655" i="37"/>
  <c r="V655" i="37"/>
  <c r="L656" i="37"/>
  <c r="M656" i="37"/>
  <c r="O656" i="37"/>
  <c r="Q656" i="37"/>
  <c r="V656" i="37"/>
  <c r="L657" i="37"/>
  <c r="M657" i="37"/>
  <c r="O657" i="37"/>
  <c r="Q657" i="37"/>
  <c r="V657" i="37"/>
  <c r="L658" i="37"/>
  <c r="M658" i="37"/>
  <c r="O658" i="37"/>
  <c r="Q658" i="37"/>
  <c r="V658" i="37"/>
  <c r="L659" i="37"/>
  <c r="M659" i="37"/>
  <c r="O659" i="37"/>
  <c r="Q659" i="37"/>
  <c r="V659" i="37"/>
  <c r="L660" i="37"/>
  <c r="M660" i="37"/>
  <c r="O660" i="37"/>
  <c r="Q660" i="37"/>
  <c r="V660" i="37"/>
  <c r="L661" i="37"/>
  <c r="M661" i="37"/>
  <c r="O661" i="37"/>
  <c r="Q661" i="37"/>
  <c r="V661" i="37"/>
  <c r="L662" i="37"/>
  <c r="M662" i="37"/>
  <c r="O662" i="37"/>
  <c r="Q662" i="37"/>
  <c r="V662" i="37"/>
  <c r="L663" i="37"/>
  <c r="M663" i="37"/>
  <c r="O663" i="37"/>
  <c r="Q663" i="37"/>
  <c r="V663" i="37"/>
  <c r="L664" i="37"/>
  <c r="M664" i="37"/>
  <c r="O664" i="37"/>
  <c r="Q664" i="37"/>
  <c r="V664" i="37"/>
  <c r="L665" i="37"/>
  <c r="M665" i="37"/>
  <c r="O665" i="37"/>
  <c r="Q665" i="37"/>
  <c r="V665" i="37"/>
  <c r="L666" i="37"/>
  <c r="M666" i="37"/>
  <c r="O666" i="37"/>
  <c r="Q666" i="37"/>
  <c r="V666" i="37"/>
  <c r="L667" i="37"/>
  <c r="M667" i="37"/>
  <c r="O667" i="37"/>
  <c r="Q667" i="37"/>
  <c r="V667" i="37"/>
  <c r="L668" i="37"/>
  <c r="M668" i="37"/>
  <c r="O668" i="37"/>
  <c r="Q668" i="37"/>
  <c r="V668" i="37"/>
  <c r="L669" i="37"/>
  <c r="M669" i="37"/>
  <c r="O669" i="37"/>
  <c r="Q669" i="37"/>
  <c r="V669" i="37"/>
  <c r="L670" i="37"/>
  <c r="M670" i="37"/>
  <c r="O670" i="37"/>
  <c r="Q670" i="37"/>
  <c r="V670" i="37"/>
  <c r="L671" i="37"/>
  <c r="M671" i="37"/>
  <c r="O671" i="37"/>
  <c r="Q671" i="37"/>
  <c r="V671" i="37"/>
  <c r="L672" i="37"/>
  <c r="M672" i="37"/>
  <c r="O672" i="37"/>
  <c r="Q672" i="37"/>
  <c r="V672" i="37"/>
  <c r="L673" i="37"/>
  <c r="M673" i="37"/>
  <c r="O673" i="37"/>
  <c r="Q673" i="37"/>
  <c r="V673" i="37"/>
  <c r="L674" i="37"/>
  <c r="M674" i="37"/>
  <c r="O674" i="37"/>
  <c r="Q674" i="37"/>
  <c r="V674" i="37"/>
  <c r="L675" i="37"/>
  <c r="M675" i="37"/>
  <c r="O675" i="37"/>
  <c r="Q675" i="37"/>
  <c r="V675" i="37"/>
  <c r="L676" i="37"/>
  <c r="M676" i="37"/>
  <c r="O676" i="37"/>
  <c r="Q676" i="37"/>
  <c r="V676" i="37"/>
  <c r="L677" i="37"/>
  <c r="M677" i="37"/>
  <c r="O677" i="37"/>
  <c r="Q677" i="37"/>
  <c r="V677" i="37"/>
  <c r="L678" i="37"/>
  <c r="M678" i="37"/>
  <c r="O678" i="37"/>
  <c r="Q678" i="37"/>
  <c r="V678" i="37"/>
  <c r="L679" i="37"/>
  <c r="M679" i="37"/>
  <c r="O679" i="37"/>
  <c r="Q679" i="37"/>
  <c r="V679" i="37"/>
  <c r="L680" i="37"/>
  <c r="M680" i="37"/>
  <c r="O680" i="37"/>
  <c r="Q680" i="37"/>
  <c r="V680" i="37"/>
  <c r="L681" i="37"/>
  <c r="M681" i="37"/>
  <c r="O681" i="37"/>
  <c r="Q681" i="37"/>
  <c r="V681" i="37"/>
  <c r="L682" i="37"/>
  <c r="M682" i="37"/>
  <c r="O682" i="37"/>
  <c r="Q682" i="37"/>
  <c r="V682" i="37"/>
  <c r="L683" i="37"/>
  <c r="M683" i="37"/>
  <c r="O683" i="37"/>
  <c r="Q683" i="37"/>
  <c r="V683" i="37"/>
  <c r="L684" i="37"/>
  <c r="M684" i="37"/>
  <c r="O684" i="37"/>
  <c r="Q684" i="37"/>
  <c r="V684" i="37"/>
  <c r="L685" i="37"/>
  <c r="M685" i="37"/>
  <c r="O685" i="37"/>
  <c r="Q685" i="37"/>
  <c r="V685" i="37"/>
  <c r="L686" i="37"/>
  <c r="M686" i="37"/>
  <c r="O686" i="37"/>
  <c r="Q686" i="37"/>
  <c r="V686" i="37"/>
  <c r="L687" i="37"/>
  <c r="M687" i="37"/>
  <c r="O687" i="37"/>
  <c r="Q687" i="37"/>
  <c r="V687" i="37"/>
  <c r="L688" i="37"/>
  <c r="M688" i="37"/>
  <c r="O688" i="37"/>
  <c r="Q688" i="37"/>
  <c r="V688" i="37"/>
  <c r="L689" i="37"/>
  <c r="M689" i="37"/>
  <c r="O689" i="37"/>
  <c r="Q689" i="37"/>
  <c r="V689" i="37"/>
  <c r="L690" i="37"/>
  <c r="M690" i="37"/>
  <c r="O690" i="37"/>
  <c r="Q690" i="37"/>
  <c r="V690" i="37"/>
  <c r="L691" i="37"/>
  <c r="M691" i="37"/>
  <c r="O691" i="37"/>
  <c r="Q691" i="37"/>
  <c r="V691" i="37"/>
  <c r="L692" i="37"/>
  <c r="M692" i="37"/>
  <c r="O692" i="37"/>
  <c r="Q692" i="37"/>
  <c r="V692" i="37"/>
  <c r="L693" i="37"/>
  <c r="M693" i="37"/>
  <c r="O693" i="37"/>
  <c r="Q693" i="37"/>
  <c r="V693" i="37"/>
  <c r="L694" i="37"/>
  <c r="M694" i="37"/>
  <c r="O694" i="37"/>
  <c r="Q694" i="37"/>
  <c r="V694" i="37"/>
  <c r="L695" i="37"/>
  <c r="M695" i="37"/>
  <c r="O695" i="37"/>
  <c r="Q695" i="37"/>
  <c r="V695" i="37"/>
  <c r="L696" i="37"/>
  <c r="M696" i="37"/>
  <c r="O696" i="37"/>
  <c r="Q696" i="37"/>
  <c r="V696" i="37"/>
  <c r="L697" i="37"/>
  <c r="M697" i="37"/>
  <c r="O697" i="37"/>
  <c r="Q697" i="37"/>
  <c r="V697" i="37"/>
  <c r="L698" i="37"/>
  <c r="M698" i="37"/>
  <c r="O698" i="37"/>
  <c r="Q698" i="37"/>
  <c r="V698" i="37"/>
  <c r="L699" i="37"/>
  <c r="M699" i="37"/>
  <c r="O699" i="37"/>
  <c r="Q699" i="37"/>
  <c r="V699" i="37"/>
  <c r="L700" i="37"/>
  <c r="M700" i="37"/>
  <c r="O700" i="37"/>
  <c r="Q700" i="37"/>
  <c r="V700" i="37"/>
  <c r="L701" i="37"/>
  <c r="M701" i="37"/>
  <c r="O701" i="37"/>
  <c r="Q701" i="37"/>
  <c r="V701" i="37"/>
  <c r="L702" i="37"/>
  <c r="M702" i="37"/>
  <c r="O702" i="37"/>
  <c r="Q702" i="37"/>
  <c r="V702" i="37"/>
  <c r="L703" i="37"/>
  <c r="M703" i="37"/>
  <c r="O703" i="37"/>
  <c r="Q703" i="37"/>
  <c r="V703" i="37"/>
  <c r="L704" i="37"/>
  <c r="M704" i="37"/>
  <c r="O704" i="37"/>
  <c r="Q704" i="37"/>
  <c r="V704" i="37"/>
  <c r="L705" i="37"/>
  <c r="M705" i="37"/>
  <c r="O705" i="37"/>
  <c r="Q705" i="37"/>
  <c r="V705" i="37"/>
  <c r="L706" i="37"/>
  <c r="M706" i="37"/>
  <c r="O706" i="37"/>
  <c r="Q706" i="37"/>
  <c r="V706" i="37"/>
  <c r="L707" i="37"/>
  <c r="M707" i="37"/>
  <c r="O707" i="37"/>
  <c r="Q707" i="37"/>
  <c r="V707" i="37"/>
  <c r="L708" i="37"/>
  <c r="M708" i="37"/>
  <c r="O708" i="37"/>
  <c r="Q708" i="37"/>
  <c r="V708" i="37"/>
  <c r="L709" i="37"/>
  <c r="M709" i="37"/>
  <c r="O709" i="37"/>
  <c r="Q709" i="37"/>
  <c r="V709" i="37"/>
  <c r="L710" i="37"/>
  <c r="M710" i="37"/>
  <c r="O710" i="37"/>
  <c r="Q710" i="37"/>
  <c r="V710" i="37"/>
  <c r="L711" i="37"/>
  <c r="M711" i="37"/>
  <c r="O711" i="37"/>
  <c r="Q711" i="37"/>
  <c r="V711" i="37"/>
  <c r="L712" i="37"/>
  <c r="M712" i="37"/>
  <c r="O712" i="37"/>
  <c r="Q712" i="37"/>
  <c r="V712" i="37"/>
  <c r="L713" i="37"/>
  <c r="M713" i="37"/>
  <c r="O713" i="37"/>
  <c r="Q713" i="37"/>
  <c r="V713" i="37"/>
  <c r="L714" i="37"/>
  <c r="M714" i="37"/>
  <c r="O714" i="37"/>
  <c r="Q714" i="37"/>
  <c r="V714" i="37"/>
  <c r="L715" i="37"/>
  <c r="M715" i="37"/>
  <c r="O715" i="37"/>
  <c r="Q715" i="37"/>
  <c r="V715" i="37"/>
  <c r="L716" i="37"/>
  <c r="M716" i="37"/>
  <c r="O716" i="37"/>
  <c r="Q716" i="37"/>
  <c r="V716" i="37"/>
  <c r="L717" i="37"/>
  <c r="M717" i="37"/>
  <c r="O717" i="37"/>
  <c r="Q717" i="37"/>
  <c r="V717" i="37"/>
  <c r="L718" i="37"/>
  <c r="M718" i="37"/>
  <c r="O718" i="37"/>
  <c r="Q718" i="37"/>
  <c r="V718" i="37"/>
  <c r="L719" i="37"/>
  <c r="M719" i="37"/>
  <c r="O719" i="37"/>
  <c r="Q719" i="37"/>
  <c r="V719" i="37"/>
  <c r="L720" i="37"/>
  <c r="M720" i="37"/>
  <c r="O720" i="37"/>
  <c r="Q720" i="37"/>
  <c r="V720" i="37"/>
  <c r="L721" i="37"/>
  <c r="M721" i="37"/>
  <c r="O721" i="37"/>
  <c r="Q721" i="37"/>
  <c r="V721" i="37"/>
  <c r="L722" i="37"/>
  <c r="M722" i="37"/>
  <c r="O722" i="37"/>
  <c r="Q722" i="37"/>
  <c r="V722" i="37"/>
  <c r="L723" i="37"/>
  <c r="M723" i="37"/>
  <c r="O723" i="37"/>
  <c r="Q723" i="37"/>
  <c r="V723" i="37"/>
  <c r="L724" i="37"/>
  <c r="M724" i="37"/>
  <c r="O724" i="37"/>
  <c r="Q724" i="37"/>
  <c r="V724" i="37"/>
  <c r="L725" i="37"/>
  <c r="M725" i="37"/>
  <c r="O725" i="37"/>
  <c r="Q725" i="37"/>
  <c r="V725" i="37"/>
  <c r="L726" i="37"/>
  <c r="M726" i="37"/>
  <c r="O726" i="37"/>
  <c r="Q726" i="37"/>
  <c r="V726" i="37"/>
  <c r="L727" i="37"/>
  <c r="M727" i="37"/>
  <c r="O727" i="37"/>
  <c r="Q727" i="37"/>
  <c r="V727" i="37"/>
  <c r="L728" i="37"/>
  <c r="M728" i="37"/>
  <c r="O728" i="37"/>
  <c r="Q728" i="37"/>
  <c r="V728" i="37"/>
  <c r="L729" i="37"/>
  <c r="M729" i="37"/>
  <c r="O729" i="37"/>
  <c r="Q729" i="37"/>
  <c r="V729" i="37"/>
  <c r="L730" i="37"/>
  <c r="M730" i="37"/>
  <c r="O730" i="37"/>
  <c r="Q730" i="37"/>
  <c r="V730" i="37"/>
  <c r="L731" i="37"/>
  <c r="M731" i="37"/>
  <c r="O731" i="37"/>
  <c r="Q731" i="37"/>
  <c r="V731" i="37"/>
  <c r="L732" i="37"/>
  <c r="M732" i="37"/>
  <c r="O732" i="37"/>
  <c r="Q732" i="37"/>
  <c r="V732" i="37"/>
  <c r="L733" i="37"/>
  <c r="M733" i="37"/>
  <c r="O733" i="37"/>
  <c r="Q733" i="37"/>
  <c r="V733" i="37"/>
  <c r="L734" i="37"/>
  <c r="M734" i="37"/>
  <c r="O734" i="37"/>
  <c r="Q734" i="37"/>
  <c r="V734" i="37"/>
  <c r="L735" i="37"/>
  <c r="M735" i="37"/>
  <c r="O735" i="37"/>
  <c r="Q735" i="37"/>
  <c r="V735" i="37"/>
  <c r="L736" i="37"/>
  <c r="M736" i="37"/>
  <c r="O736" i="37"/>
  <c r="Q736" i="37"/>
  <c r="V736" i="37"/>
  <c r="L737" i="37"/>
  <c r="M737" i="37"/>
  <c r="O737" i="37"/>
  <c r="Q737" i="37"/>
  <c r="V737" i="37"/>
  <c r="L738" i="37"/>
  <c r="M738" i="37"/>
  <c r="O738" i="37"/>
  <c r="Q738" i="37"/>
  <c r="V738" i="37"/>
  <c r="L739" i="37"/>
  <c r="M739" i="37"/>
  <c r="O739" i="37"/>
  <c r="Q739" i="37"/>
  <c r="V739" i="37"/>
  <c r="L740" i="37"/>
  <c r="M740" i="37"/>
  <c r="O740" i="37"/>
  <c r="Q740" i="37"/>
  <c r="V740" i="37"/>
  <c r="L741" i="37"/>
  <c r="M741" i="37"/>
  <c r="O741" i="37"/>
  <c r="Q741" i="37"/>
  <c r="V741" i="37"/>
  <c r="L742" i="37"/>
  <c r="M742" i="37"/>
  <c r="O742" i="37"/>
  <c r="Q742" i="37"/>
  <c r="V742" i="37"/>
  <c r="L743" i="37"/>
  <c r="M743" i="37"/>
  <c r="O743" i="37"/>
  <c r="Q743" i="37"/>
  <c r="V743" i="37"/>
  <c r="L744" i="37"/>
  <c r="M744" i="37"/>
  <c r="O744" i="37"/>
  <c r="Q744" i="37"/>
  <c r="V744" i="37"/>
  <c r="L745" i="37"/>
  <c r="M745" i="37"/>
  <c r="O745" i="37"/>
  <c r="Q745" i="37"/>
  <c r="V745" i="37"/>
  <c r="L746" i="37"/>
  <c r="M746" i="37"/>
  <c r="O746" i="37"/>
  <c r="Q746" i="37"/>
  <c r="V746" i="37"/>
  <c r="L747" i="37"/>
  <c r="M747" i="37"/>
  <c r="O747" i="37"/>
  <c r="Q747" i="37"/>
  <c r="V747" i="37"/>
  <c r="L748" i="37"/>
  <c r="M748" i="37"/>
  <c r="O748" i="37"/>
  <c r="Q748" i="37"/>
  <c r="V748" i="37"/>
  <c r="L749" i="37"/>
  <c r="M749" i="37"/>
  <c r="O749" i="37"/>
  <c r="Q749" i="37"/>
  <c r="V749" i="37"/>
  <c r="L750" i="37"/>
  <c r="M750" i="37"/>
  <c r="O750" i="37"/>
  <c r="Q750" i="37"/>
  <c r="V750" i="37"/>
  <c r="L751" i="37"/>
  <c r="M751" i="37"/>
  <c r="O751" i="37"/>
  <c r="Q751" i="37"/>
  <c r="V751" i="37"/>
  <c r="L752" i="37"/>
  <c r="M752" i="37"/>
  <c r="O752" i="37"/>
  <c r="Q752" i="37"/>
  <c r="V752" i="37"/>
  <c r="L753" i="37"/>
  <c r="M753" i="37"/>
  <c r="O753" i="37"/>
  <c r="Q753" i="37"/>
  <c r="V753" i="37"/>
  <c r="L754" i="37"/>
  <c r="M754" i="37"/>
  <c r="O754" i="37"/>
  <c r="Q754" i="37"/>
  <c r="V754" i="37"/>
  <c r="L755" i="37"/>
  <c r="M755" i="37"/>
  <c r="O755" i="37"/>
  <c r="Q755" i="37"/>
  <c r="V755" i="37"/>
  <c r="L756" i="37"/>
  <c r="M756" i="37"/>
  <c r="O756" i="37"/>
  <c r="Q756" i="37"/>
  <c r="V756" i="37"/>
  <c r="L757" i="37"/>
  <c r="M757" i="37"/>
  <c r="O757" i="37"/>
  <c r="Q757" i="37"/>
  <c r="V757" i="37"/>
  <c r="L758" i="37"/>
  <c r="M758" i="37"/>
  <c r="O758" i="37"/>
  <c r="Q758" i="37"/>
  <c r="V758" i="37"/>
  <c r="L759" i="37"/>
  <c r="M759" i="37"/>
  <c r="O759" i="37"/>
  <c r="Q759" i="37"/>
  <c r="V759" i="37"/>
  <c r="L760" i="37"/>
  <c r="M760" i="37"/>
  <c r="O760" i="37"/>
  <c r="Q760" i="37"/>
  <c r="V760" i="37"/>
  <c r="L761" i="37"/>
  <c r="M761" i="37"/>
  <c r="O761" i="37"/>
  <c r="Q761" i="37"/>
  <c r="V761" i="37"/>
  <c r="L762" i="37"/>
  <c r="M762" i="37"/>
  <c r="O762" i="37"/>
  <c r="Q762" i="37"/>
  <c r="V762" i="37"/>
  <c r="L763" i="37"/>
  <c r="M763" i="37"/>
  <c r="O763" i="37"/>
  <c r="Q763" i="37"/>
  <c r="V763" i="37"/>
  <c r="L764" i="37"/>
  <c r="M764" i="37"/>
  <c r="O764" i="37"/>
  <c r="Q764" i="37"/>
  <c r="V764" i="37"/>
  <c r="L765" i="37"/>
  <c r="M765" i="37"/>
  <c r="O765" i="37"/>
  <c r="Q765" i="37"/>
  <c r="V765" i="37"/>
  <c r="L766" i="37"/>
  <c r="M766" i="37"/>
  <c r="O766" i="37"/>
  <c r="Q766" i="37"/>
  <c r="V766" i="37"/>
  <c r="L767" i="37"/>
  <c r="M767" i="37"/>
  <c r="O767" i="37"/>
  <c r="Q767" i="37"/>
  <c r="V767" i="37"/>
  <c r="L768" i="37"/>
  <c r="M768" i="37"/>
  <c r="O768" i="37"/>
  <c r="Q768" i="37"/>
  <c r="V768" i="37"/>
  <c r="L769" i="37"/>
  <c r="M769" i="37"/>
  <c r="O769" i="37"/>
  <c r="Q769" i="37"/>
  <c r="V769" i="37"/>
  <c r="L770" i="37"/>
  <c r="M770" i="37"/>
  <c r="O770" i="37"/>
  <c r="Q770" i="37"/>
  <c r="V770" i="37"/>
  <c r="L771" i="37"/>
  <c r="M771" i="37"/>
  <c r="O771" i="37"/>
  <c r="Q771" i="37"/>
  <c r="V771" i="37"/>
  <c r="L772" i="37"/>
  <c r="M772" i="37"/>
  <c r="O772" i="37"/>
  <c r="Q772" i="37"/>
  <c r="V772" i="37"/>
  <c r="L773" i="37"/>
  <c r="M773" i="37"/>
  <c r="O773" i="37"/>
  <c r="Q773" i="37"/>
  <c r="V773" i="37"/>
  <c r="L774" i="37"/>
  <c r="M774" i="37"/>
  <c r="O774" i="37"/>
  <c r="Q774" i="37"/>
  <c r="V774" i="37"/>
  <c r="L775" i="37"/>
  <c r="M775" i="37"/>
  <c r="O775" i="37"/>
  <c r="Q775" i="37"/>
  <c r="V775" i="37"/>
  <c r="L776" i="37"/>
  <c r="M776" i="37"/>
  <c r="O776" i="37"/>
  <c r="Q776" i="37"/>
  <c r="V776" i="37"/>
  <c r="L777" i="37"/>
  <c r="M777" i="37"/>
  <c r="O777" i="37"/>
  <c r="Q777" i="37"/>
  <c r="V777" i="37"/>
  <c r="L778" i="37"/>
  <c r="M778" i="37"/>
  <c r="O778" i="37"/>
  <c r="Q778" i="37"/>
  <c r="V778" i="37"/>
  <c r="L779" i="37"/>
  <c r="M779" i="37"/>
  <c r="O779" i="37"/>
  <c r="Q779" i="37"/>
  <c r="V779" i="37"/>
  <c r="L780" i="37"/>
  <c r="M780" i="37"/>
  <c r="O780" i="37"/>
  <c r="Q780" i="37"/>
  <c r="V780" i="37"/>
  <c r="L781" i="37"/>
  <c r="M781" i="37"/>
  <c r="O781" i="37"/>
  <c r="Q781" i="37"/>
  <c r="V781" i="37"/>
  <c r="L782" i="37"/>
  <c r="M782" i="37"/>
  <c r="O782" i="37"/>
  <c r="Q782" i="37"/>
  <c r="V782" i="37"/>
  <c r="L783" i="37"/>
  <c r="M783" i="37"/>
  <c r="O783" i="37"/>
  <c r="Q783" i="37"/>
  <c r="V783" i="37"/>
  <c r="L784" i="37"/>
  <c r="M784" i="37"/>
  <c r="O784" i="37"/>
  <c r="Q784" i="37"/>
  <c r="V784" i="37"/>
  <c r="L785" i="37"/>
  <c r="M785" i="37"/>
  <c r="O785" i="37"/>
  <c r="Q785" i="37"/>
  <c r="V785" i="37"/>
  <c r="L786" i="37"/>
  <c r="M786" i="37"/>
  <c r="O786" i="37"/>
  <c r="Q786" i="37"/>
  <c r="V786" i="37"/>
  <c r="L787" i="37"/>
  <c r="M787" i="37"/>
  <c r="O787" i="37"/>
  <c r="Q787" i="37"/>
  <c r="V787" i="37"/>
  <c r="L788" i="37"/>
  <c r="M788" i="37"/>
  <c r="O788" i="37"/>
  <c r="Q788" i="37"/>
  <c r="V788" i="37"/>
  <c r="L789" i="37"/>
  <c r="M789" i="37"/>
  <c r="O789" i="37"/>
  <c r="Q789" i="37"/>
  <c r="V789" i="37"/>
  <c r="L790" i="37"/>
  <c r="M790" i="37"/>
  <c r="O790" i="37"/>
  <c r="Q790" i="37"/>
  <c r="V790" i="37"/>
  <c r="L791" i="37"/>
  <c r="M791" i="37"/>
  <c r="O791" i="37"/>
  <c r="Q791" i="37"/>
  <c r="V791" i="37"/>
  <c r="L792" i="37"/>
  <c r="M792" i="37"/>
  <c r="O792" i="37"/>
  <c r="Q792" i="37"/>
  <c r="V792" i="37"/>
  <c r="L793" i="37"/>
  <c r="M793" i="37"/>
  <c r="O793" i="37"/>
  <c r="Q793" i="37"/>
  <c r="V793" i="37"/>
  <c r="L794" i="37"/>
  <c r="M794" i="37"/>
  <c r="O794" i="37"/>
  <c r="Q794" i="37"/>
  <c r="V794" i="37"/>
  <c r="L795" i="37"/>
  <c r="M795" i="37"/>
  <c r="O795" i="37"/>
  <c r="Q795" i="37"/>
  <c r="V795" i="37"/>
  <c r="L796" i="37"/>
  <c r="M796" i="37"/>
  <c r="O796" i="37"/>
  <c r="Q796" i="37"/>
  <c r="V796" i="37"/>
  <c r="L797" i="37"/>
  <c r="M797" i="37"/>
  <c r="O797" i="37"/>
  <c r="Q797" i="37"/>
  <c r="V797" i="37"/>
  <c r="L798" i="37"/>
  <c r="M798" i="37"/>
  <c r="O798" i="37"/>
  <c r="Q798" i="37"/>
  <c r="V798" i="37"/>
  <c r="L799" i="37"/>
  <c r="M799" i="37"/>
  <c r="O799" i="37"/>
  <c r="Q799" i="37"/>
  <c r="V799" i="37"/>
  <c r="L800" i="37"/>
  <c r="M800" i="37"/>
  <c r="O800" i="37"/>
  <c r="Q800" i="37"/>
  <c r="V800" i="37"/>
  <c r="L801" i="37"/>
  <c r="M801" i="37"/>
  <c r="O801" i="37"/>
  <c r="Q801" i="37"/>
  <c r="V801" i="37"/>
  <c r="L802" i="37"/>
  <c r="M802" i="37"/>
  <c r="O802" i="37"/>
  <c r="Q802" i="37"/>
  <c r="V802" i="37"/>
  <c r="L803" i="37"/>
  <c r="M803" i="37"/>
  <c r="O803" i="37"/>
  <c r="Q803" i="37"/>
  <c r="V803" i="37"/>
  <c r="L804" i="37"/>
  <c r="M804" i="37"/>
  <c r="O804" i="37"/>
  <c r="Q804" i="37"/>
  <c r="V804" i="37"/>
  <c r="L805" i="37"/>
  <c r="M805" i="37"/>
  <c r="O805" i="37"/>
  <c r="Q805" i="37"/>
  <c r="V805" i="37"/>
  <c r="L806" i="37"/>
  <c r="M806" i="37"/>
  <c r="O806" i="37"/>
  <c r="Q806" i="37"/>
  <c r="V806" i="37"/>
  <c r="L807" i="37"/>
  <c r="M807" i="37"/>
  <c r="O807" i="37"/>
  <c r="Q807" i="37"/>
  <c r="V807" i="37"/>
  <c r="L808" i="37"/>
  <c r="M808" i="37"/>
  <c r="O808" i="37"/>
  <c r="Q808" i="37"/>
  <c r="V808" i="37"/>
  <c r="L809" i="37"/>
  <c r="M809" i="37"/>
  <c r="O809" i="37"/>
  <c r="Q809" i="37"/>
  <c r="V809" i="37"/>
  <c r="L810" i="37"/>
  <c r="M810" i="37"/>
  <c r="O810" i="37"/>
  <c r="Q810" i="37"/>
  <c r="V810" i="37"/>
  <c r="L811" i="37"/>
  <c r="M811" i="37"/>
  <c r="O811" i="37"/>
  <c r="Q811" i="37"/>
  <c r="V811" i="37"/>
  <c r="L812" i="37"/>
  <c r="M812" i="37"/>
  <c r="O812" i="37"/>
  <c r="Q812" i="37"/>
  <c r="V812" i="37"/>
  <c r="L813" i="37"/>
  <c r="M813" i="37"/>
  <c r="O813" i="37"/>
  <c r="Q813" i="37"/>
  <c r="V813" i="37"/>
  <c r="L814" i="37"/>
  <c r="M814" i="37"/>
  <c r="O814" i="37"/>
  <c r="Q814" i="37"/>
  <c r="V814" i="37"/>
  <c r="L815" i="37"/>
  <c r="M815" i="37"/>
  <c r="O815" i="37"/>
  <c r="Q815" i="37"/>
  <c r="V815" i="37"/>
  <c r="L816" i="37"/>
  <c r="M816" i="37"/>
  <c r="O816" i="37"/>
  <c r="Q816" i="37"/>
  <c r="V816" i="37"/>
  <c r="L817" i="37"/>
  <c r="M817" i="37"/>
  <c r="O817" i="37"/>
  <c r="Q817" i="37"/>
  <c r="V817" i="37"/>
  <c r="L818" i="37"/>
  <c r="M818" i="37"/>
  <c r="O818" i="37"/>
  <c r="Q818" i="37"/>
  <c r="V818" i="37"/>
  <c r="L819" i="37"/>
  <c r="M819" i="37"/>
  <c r="O819" i="37"/>
  <c r="Q819" i="37"/>
  <c r="V819" i="37"/>
  <c r="L820" i="37"/>
  <c r="M820" i="37"/>
  <c r="O820" i="37"/>
  <c r="Q820" i="37"/>
  <c r="V820" i="37"/>
  <c r="L821" i="37"/>
  <c r="M821" i="37"/>
  <c r="O821" i="37"/>
  <c r="Q821" i="37"/>
  <c r="V821" i="37"/>
  <c r="L822" i="37"/>
  <c r="M822" i="37"/>
  <c r="O822" i="37"/>
  <c r="Q822" i="37"/>
  <c r="V822" i="37"/>
  <c r="L823" i="37"/>
  <c r="M823" i="37"/>
  <c r="O823" i="37"/>
  <c r="Q823" i="37"/>
  <c r="V823" i="37"/>
  <c r="L824" i="37"/>
  <c r="M824" i="37"/>
  <c r="O824" i="37"/>
  <c r="Q824" i="37"/>
  <c r="V824" i="37"/>
  <c r="L825" i="37"/>
  <c r="M825" i="37"/>
  <c r="O825" i="37"/>
  <c r="Q825" i="37"/>
  <c r="V825" i="37"/>
  <c r="L826" i="37"/>
  <c r="M826" i="37"/>
  <c r="O826" i="37"/>
  <c r="Q826" i="37"/>
  <c r="V826" i="37"/>
  <c r="L827" i="37"/>
  <c r="M827" i="37"/>
  <c r="O827" i="37"/>
  <c r="Q827" i="37"/>
  <c r="V827" i="37"/>
  <c r="L828" i="37"/>
  <c r="M828" i="37"/>
  <c r="O828" i="37"/>
  <c r="Q828" i="37"/>
  <c r="V828" i="37"/>
  <c r="L829" i="37"/>
  <c r="M829" i="37"/>
  <c r="O829" i="37"/>
  <c r="Q829" i="37"/>
  <c r="V829" i="37"/>
  <c r="L830" i="37"/>
  <c r="M830" i="37"/>
  <c r="O830" i="37"/>
  <c r="Q830" i="37"/>
  <c r="V830" i="37"/>
  <c r="L831" i="37"/>
  <c r="M831" i="37"/>
  <c r="O831" i="37"/>
  <c r="Q831" i="37"/>
  <c r="V831" i="37"/>
  <c r="L832" i="37"/>
  <c r="M832" i="37"/>
  <c r="O832" i="37"/>
  <c r="Q832" i="37"/>
  <c r="V832" i="37"/>
  <c r="L833" i="37"/>
  <c r="M833" i="37"/>
  <c r="O833" i="37"/>
  <c r="Q833" i="37"/>
  <c r="V833" i="37"/>
  <c r="L834" i="37"/>
  <c r="M834" i="37"/>
  <c r="O834" i="37"/>
  <c r="Q834" i="37"/>
  <c r="V834" i="37"/>
  <c r="L835" i="37"/>
  <c r="M835" i="37"/>
  <c r="O835" i="37"/>
  <c r="Q835" i="37"/>
  <c r="V835" i="37"/>
  <c r="L836" i="37"/>
  <c r="M836" i="37"/>
  <c r="O836" i="37"/>
  <c r="Q836" i="37"/>
  <c r="V836" i="37"/>
  <c r="L837" i="37"/>
  <c r="M837" i="37"/>
  <c r="O837" i="37"/>
  <c r="Q837" i="37"/>
  <c r="V837" i="37"/>
  <c r="L838" i="37"/>
  <c r="M838" i="37"/>
  <c r="O838" i="37"/>
  <c r="Q838" i="37"/>
  <c r="V838" i="37"/>
  <c r="L839" i="37"/>
  <c r="M839" i="37"/>
  <c r="O839" i="37"/>
  <c r="Q839" i="37"/>
  <c r="V839" i="37"/>
  <c r="L840" i="37"/>
  <c r="M840" i="37"/>
  <c r="O840" i="37"/>
  <c r="Q840" i="37"/>
  <c r="V840" i="37"/>
  <c r="L841" i="37"/>
  <c r="M841" i="37"/>
  <c r="O841" i="37"/>
  <c r="Q841" i="37"/>
  <c r="V841" i="37"/>
  <c r="L842" i="37"/>
  <c r="M842" i="37"/>
  <c r="O842" i="37"/>
  <c r="Q842" i="37"/>
  <c r="V842" i="37"/>
  <c r="L843" i="37"/>
  <c r="M843" i="37"/>
  <c r="O843" i="37"/>
  <c r="Q843" i="37"/>
  <c r="V843" i="37"/>
  <c r="L844" i="37"/>
  <c r="M844" i="37"/>
  <c r="O844" i="37"/>
  <c r="Q844" i="37"/>
  <c r="V844" i="37"/>
  <c r="L845" i="37"/>
  <c r="M845" i="37"/>
  <c r="O845" i="37"/>
  <c r="Q845" i="37"/>
  <c r="V845" i="37"/>
  <c r="L846" i="37"/>
  <c r="M846" i="37"/>
  <c r="O846" i="37"/>
  <c r="Q846" i="37"/>
  <c r="V846" i="37"/>
  <c r="L847" i="37"/>
  <c r="M847" i="37"/>
  <c r="O847" i="37"/>
  <c r="Q847" i="37"/>
  <c r="V847" i="37"/>
  <c r="L848" i="37"/>
  <c r="M848" i="37"/>
  <c r="O848" i="37"/>
  <c r="Q848" i="37"/>
  <c r="V848" i="37"/>
  <c r="L849" i="37"/>
  <c r="M849" i="37"/>
  <c r="O849" i="37"/>
  <c r="Q849" i="37"/>
  <c r="V849" i="37"/>
  <c r="L850" i="37"/>
  <c r="M850" i="37"/>
  <c r="O850" i="37"/>
  <c r="Q850" i="37"/>
  <c r="V850" i="37"/>
  <c r="L851" i="37"/>
  <c r="M851" i="37"/>
  <c r="O851" i="37"/>
  <c r="Q851" i="37"/>
  <c r="V851" i="37"/>
  <c r="L852" i="37"/>
  <c r="M852" i="37"/>
  <c r="O852" i="37"/>
  <c r="Q852" i="37"/>
  <c r="V852" i="37"/>
  <c r="L853" i="37"/>
  <c r="M853" i="37"/>
  <c r="O853" i="37"/>
  <c r="Q853" i="37"/>
  <c r="V853" i="37"/>
  <c r="L854" i="37"/>
  <c r="M854" i="37"/>
  <c r="O854" i="37"/>
  <c r="Q854" i="37"/>
  <c r="V854" i="37"/>
  <c r="L855" i="37"/>
  <c r="M855" i="37"/>
  <c r="O855" i="37"/>
  <c r="Q855" i="37"/>
  <c r="V855" i="37"/>
  <c r="L856" i="37"/>
  <c r="M856" i="37"/>
  <c r="O856" i="37"/>
  <c r="Q856" i="37"/>
  <c r="V856" i="37"/>
  <c r="L857" i="37"/>
  <c r="M857" i="37"/>
  <c r="O857" i="37"/>
  <c r="Q857" i="37"/>
  <c r="V857" i="37"/>
  <c r="L858" i="37"/>
  <c r="M858" i="37"/>
  <c r="O858" i="37"/>
  <c r="Q858" i="37"/>
  <c r="V858" i="37"/>
  <c r="L859" i="37"/>
  <c r="M859" i="37"/>
  <c r="O859" i="37"/>
  <c r="Q859" i="37"/>
  <c r="V859" i="37"/>
  <c r="L860" i="37"/>
  <c r="M860" i="37"/>
  <c r="O860" i="37"/>
  <c r="Q860" i="37"/>
  <c r="V860" i="37"/>
  <c r="L861" i="37"/>
  <c r="M861" i="37"/>
  <c r="O861" i="37"/>
  <c r="Q861" i="37"/>
  <c r="V861" i="37"/>
  <c r="L862" i="37"/>
  <c r="M862" i="37"/>
  <c r="O862" i="37"/>
  <c r="Q862" i="37"/>
  <c r="V862" i="37"/>
  <c r="L863" i="37"/>
  <c r="M863" i="37"/>
  <c r="O863" i="37"/>
  <c r="Q863" i="37"/>
  <c r="V863" i="37"/>
  <c r="L864" i="37"/>
  <c r="M864" i="37"/>
  <c r="O864" i="37"/>
  <c r="Q864" i="37"/>
  <c r="V864" i="37"/>
  <c r="L865" i="37"/>
  <c r="M865" i="37"/>
  <c r="O865" i="37"/>
  <c r="Q865" i="37"/>
  <c r="V865" i="37"/>
  <c r="L866" i="37"/>
  <c r="M866" i="37"/>
  <c r="O866" i="37"/>
  <c r="Q866" i="37"/>
  <c r="V866" i="37"/>
  <c r="L867" i="37"/>
  <c r="M867" i="37"/>
  <c r="O867" i="37"/>
  <c r="Q867" i="37"/>
  <c r="V867" i="37"/>
  <c r="L868" i="37"/>
  <c r="M868" i="37"/>
  <c r="O868" i="37"/>
  <c r="Q868" i="37"/>
  <c r="V868" i="37"/>
  <c r="L869" i="37"/>
  <c r="M869" i="37"/>
  <c r="O869" i="37"/>
  <c r="Q869" i="37"/>
  <c r="V869" i="37"/>
  <c r="L870" i="37"/>
  <c r="M870" i="37"/>
  <c r="O870" i="37"/>
  <c r="Q870" i="37"/>
  <c r="V870" i="37"/>
  <c r="L871" i="37"/>
  <c r="M871" i="37"/>
  <c r="O871" i="37"/>
  <c r="Q871" i="37"/>
  <c r="V871" i="37"/>
  <c r="L872" i="37"/>
  <c r="M872" i="37"/>
  <c r="O872" i="37"/>
  <c r="Q872" i="37"/>
  <c r="V872" i="37"/>
  <c r="L873" i="37"/>
  <c r="M873" i="37"/>
  <c r="O873" i="37"/>
  <c r="Q873" i="37"/>
  <c r="V873" i="37"/>
  <c r="L874" i="37"/>
  <c r="M874" i="37"/>
  <c r="O874" i="37"/>
  <c r="Q874" i="37"/>
  <c r="V874" i="37"/>
  <c r="L875" i="37"/>
  <c r="M875" i="37"/>
  <c r="O875" i="37"/>
  <c r="Q875" i="37"/>
  <c r="V875" i="37"/>
  <c r="L876" i="37"/>
  <c r="M876" i="37"/>
  <c r="O876" i="37"/>
  <c r="Q876" i="37"/>
  <c r="V876" i="37"/>
  <c r="L877" i="37"/>
  <c r="M877" i="37"/>
  <c r="O877" i="37"/>
  <c r="Q877" i="37"/>
  <c r="V877" i="37"/>
  <c r="L878" i="37"/>
  <c r="M878" i="37"/>
  <c r="O878" i="37"/>
  <c r="Q878" i="37"/>
  <c r="V878" i="37"/>
  <c r="L879" i="37"/>
  <c r="M879" i="37"/>
  <c r="O879" i="37"/>
  <c r="Q879" i="37"/>
  <c r="V879" i="37"/>
  <c r="L880" i="37"/>
  <c r="M880" i="37"/>
  <c r="O880" i="37"/>
  <c r="Q880" i="37"/>
  <c r="V880" i="37"/>
  <c r="L881" i="37"/>
  <c r="M881" i="37"/>
  <c r="O881" i="37"/>
  <c r="Q881" i="37"/>
  <c r="V881" i="37"/>
  <c r="L882" i="37"/>
  <c r="M882" i="37"/>
  <c r="O882" i="37"/>
  <c r="Q882" i="37"/>
  <c r="V882" i="37"/>
  <c r="L883" i="37"/>
  <c r="M883" i="37"/>
  <c r="O883" i="37"/>
  <c r="Q883" i="37"/>
  <c r="V883" i="37"/>
  <c r="L884" i="37"/>
  <c r="M884" i="37"/>
  <c r="O884" i="37"/>
  <c r="Q884" i="37"/>
  <c r="V884" i="37"/>
  <c r="L885" i="37"/>
  <c r="M885" i="37"/>
  <c r="O885" i="37"/>
  <c r="Q885" i="37"/>
  <c r="V885" i="37"/>
  <c r="L886" i="37"/>
  <c r="M886" i="37"/>
  <c r="O886" i="37"/>
  <c r="Q886" i="37"/>
  <c r="V886" i="37"/>
  <c r="L887" i="37"/>
  <c r="M887" i="37"/>
  <c r="O887" i="37"/>
  <c r="Q887" i="37"/>
  <c r="V887" i="37"/>
  <c r="L888" i="37"/>
  <c r="M888" i="37"/>
  <c r="O888" i="37"/>
  <c r="Q888" i="37"/>
  <c r="V888" i="37"/>
  <c r="L889" i="37"/>
  <c r="M889" i="37"/>
  <c r="O889" i="37"/>
  <c r="Q889" i="37"/>
  <c r="V889" i="37"/>
  <c r="L890" i="37"/>
  <c r="M890" i="37"/>
  <c r="O890" i="37"/>
  <c r="Q890" i="37"/>
  <c r="V890" i="37"/>
  <c r="L891" i="37"/>
  <c r="M891" i="37"/>
  <c r="O891" i="37"/>
  <c r="Q891" i="37"/>
  <c r="V891" i="37"/>
  <c r="L892" i="37"/>
  <c r="M892" i="37"/>
  <c r="O892" i="37"/>
  <c r="Q892" i="37"/>
  <c r="V892" i="37"/>
  <c r="L893" i="37"/>
  <c r="M893" i="37"/>
  <c r="O893" i="37"/>
  <c r="Q893" i="37"/>
  <c r="V893" i="37"/>
  <c r="L894" i="37"/>
  <c r="M894" i="37"/>
  <c r="O894" i="37"/>
  <c r="Q894" i="37"/>
  <c r="V894" i="37"/>
  <c r="L895" i="37"/>
  <c r="M895" i="37"/>
  <c r="O895" i="37"/>
  <c r="Q895" i="37"/>
  <c r="V895" i="37"/>
  <c r="L896" i="37"/>
  <c r="M896" i="37"/>
  <c r="O896" i="37"/>
  <c r="Q896" i="37"/>
  <c r="V896" i="37"/>
  <c r="L897" i="37"/>
  <c r="M897" i="37"/>
  <c r="O897" i="37"/>
  <c r="Q897" i="37"/>
  <c r="V897" i="37"/>
  <c r="L898" i="37"/>
  <c r="M898" i="37"/>
  <c r="O898" i="37"/>
  <c r="Q898" i="37"/>
  <c r="V898" i="37"/>
  <c r="L899" i="37"/>
  <c r="M899" i="37"/>
  <c r="O899" i="37"/>
  <c r="Q899" i="37"/>
  <c r="V899" i="37"/>
  <c r="L900" i="37"/>
  <c r="M900" i="37"/>
  <c r="O900" i="37"/>
  <c r="Q900" i="37"/>
  <c r="V900" i="37"/>
  <c r="L901" i="37"/>
  <c r="M901" i="37"/>
  <c r="O901" i="37"/>
  <c r="Q901" i="37"/>
  <c r="V901" i="37"/>
  <c r="L902" i="37"/>
  <c r="M902" i="37"/>
  <c r="O902" i="37"/>
  <c r="Q902" i="37"/>
  <c r="V902" i="37"/>
  <c r="L903" i="37"/>
  <c r="M903" i="37"/>
  <c r="O903" i="37"/>
  <c r="Q903" i="37"/>
  <c r="V903" i="37"/>
  <c r="L904" i="37"/>
  <c r="M904" i="37"/>
  <c r="O904" i="37"/>
  <c r="Q904" i="37"/>
  <c r="V904" i="37"/>
  <c r="L905" i="37"/>
  <c r="M905" i="37"/>
  <c r="O905" i="37"/>
  <c r="Q905" i="37"/>
  <c r="V905" i="37"/>
  <c r="L906" i="37"/>
  <c r="M906" i="37"/>
  <c r="O906" i="37"/>
  <c r="Q906" i="37"/>
  <c r="V906" i="37"/>
  <c r="L907" i="37"/>
  <c r="M907" i="37"/>
  <c r="O907" i="37"/>
  <c r="Q907" i="37"/>
  <c r="V907" i="37"/>
  <c r="L908" i="37"/>
  <c r="M908" i="37"/>
  <c r="O908" i="37"/>
  <c r="Q908" i="37"/>
  <c r="V908" i="37"/>
  <c r="L909" i="37"/>
  <c r="M909" i="37"/>
  <c r="O909" i="37"/>
  <c r="Q909" i="37"/>
  <c r="V909" i="37"/>
  <c r="L910" i="37"/>
  <c r="M910" i="37"/>
  <c r="O910" i="37"/>
  <c r="Q910" i="37"/>
  <c r="V910" i="37"/>
  <c r="L911" i="37"/>
  <c r="M911" i="37"/>
  <c r="O911" i="37"/>
  <c r="Q911" i="37"/>
  <c r="V911" i="37"/>
  <c r="L912" i="37"/>
  <c r="M912" i="37"/>
  <c r="O912" i="37"/>
  <c r="Q912" i="37"/>
  <c r="V912" i="37"/>
  <c r="L913" i="37"/>
  <c r="M913" i="37"/>
  <c r="O913" i="37"/>
  <c r="Q913" i="37"/>
  <c r="V913" i="37"/>
  <c r="L914" i="37"/>
  <c r="M914" i="37"/>
  <c r="O914" i="37"/>
  <c r="Q914" i="37"/>
  <c r="V914" i="37"/>
  <c r="L915" i="37"/>
  <c r="M915" i="37"/>
  <c r="O915" i="37"/>
  <c r="Q915" i="37"/>
  <c r="V915" i="37"/>
  <c r="L916" i="37"/>
  <c r="M916" i="37"/>
  <c r="O916" i="37"/>
  <c r="Q916" i="37"/>
  <c r="V916" i="37"/>
  <c r="L917" i="37"/>
  <c r="M917" i="37"/>
  <c r="O917" i="37"/>
  <c r="Q917" i="37"/>
  <c r="V917" i="37"/>
  <c r="L918" i="37"/>
  <c r="M918" i="37"/>
  <c r="O918" i="37"/>
  <c r="Q918" i="37"/>
  <c r="V918" i="37"/>
  <c r="L919" i="37"/>
  <c r="M919" i="37"/>
  <c r="O919" i="37"/>
  <c r="Q919" i="37"/>
  <c r="V919" i="37"/>
  <c r="L920" i="37"/>
  <c r="M920" i="37"/>
  <c r="O920" i="37"/>
  <c r="Q920" i="37"/>
  <c r="V920" i="37"/>
  <c r="L921" i="37"/>
  <c r="M921" i="37"/>
  <c r="O921" i="37"/>
  <c r="Q921" i="37"/>
  <c r="V921" i="37"/>
  <c r="L922" i="37"/>
  <c r="M922" i="37"/>
  <c r="O922" i="37"/>
  <c r="Q922" i="37"/>
  <c r="V922" i="37"/>
  <c r="L923" i="37"/>
  <c r="M923" i="37"/>
  <c r="O923" i="37"/>
  <c r="Q923" i="37"/>
  <c r="V923" i="37"/>
  <c r="L924" i="37"/>
  <c r="M924" i="37"/>
  <c r="O924" i="37"/>
  <c r="Q924" i="37"/>
  <c r="V924" i="37"/>
  <c r="L925" i="37"/>
  <c r="M925" i="37"/>
  <c r="O925" i="37"/>
  <c r="Q925" i="37"/>
  <c r="V925" i="37"/>
  <c r="L926" i="37"/>
  <c r="M926" i="37"/>
  <c r="O926" i="37"/>
  <c r="Q926" i="37"/>
  <c r="V926" i="37"/>
  <c r="L927" i="37"/>
  <c r="M927" i="37"/>
  <c r="O927" i="37"/>
  <c r="Q927" i="37"/>
  <c r="V927" i="37"/>
  <c r="L928" i="37"/>
  <c r="M928" i="37"/>
  <c r="O928" i="37"/>
  <c r="Q928" i="37"/>
  <c r="V928" i="37"/>
  <c r="L929" i="37"/>
  <c r="M929" i="37"/>
  <c r="O929" i="37"/>
  <c r="Q929" i="37"/>
  <c r="V929" i="37"/>
  <c r="L930" i="37"/>
  <c r="M930" i="37"/>
  <c r="O930" i="37"/>
  <c r="Q930" i="37"/>
  <c r="V930" i="37"/>
  <c r="L931" i="37"/>
  <c r="M931" i="37"/>
  <c r="O931" i="37"/>
  <c r="Q931" i="37"/>
  <c r="V931" i="37"/>
  <c r="L932" i="37"/>
  <c r="M932" i="37"/>
  <c r="O932" i="37"/>
  <c r="Q932" i="37"/>
  <c r="V932" i="37"/>
  <c r="L933" i="37"/>
  <c r="M933" i="37"/>
  <c r="O933" i="37"/>
  <c r="Q933" i="37"/>
  <c r="V933" i="37"/>
  <c r="L934" i="37"/>
  <c r="M934" i="37"/>
  <c r="O934" i="37"/>
  <c r="Q934" i="37"/>
  <c r="V934" i="37"/>
  <c r="L935" i="37"/>
  <c r="M935" i="37"/>
  <c r="O935" i="37"/>
  <c r="Q935" i="37"/>
  <c r="V935" i="37"/>
  <c r="L936" i="37"/>
  <c r="M936" i="37"/>
  <c r="O936" i="37"/>
  <c r="Q936" i="37"/>
  <c r="V936" i="37"/>
  <c r="L937" i="37"/>
  <c r="M937" i="37"/>
  <c r="O937" i="37"/>
  <c r="Q937" i="37"/>
  <c r="V937" i="37"/>
  <c r="L938" i="37"/>
  <c r="M938" i="37"/>
  <c r="O938" i="37"/>
  <c r="Q938" i="37"/>
  <c r="V938" i="37"/>
  <c r="L939" i="37"/>
  <c r="M939" i="37"/>
  <c r="O939" i="37"/>
  <c r="Q939" i="37"/>
  <c r="V939" i="37"/>
  <c r="L940" i="37"/>
  <c r="M940" i="37"/>
  <c r="O940" i="37"/>
  <c r="Q940" i="37"/>
  <c r="V940" i="37"/>
  <c r="L941" i="37"/>
  <c r="M941" i="37"/>
  <c r="O941" i="37"/>
  <c r="Q941" i="37"/>
  <c r="V941" i="37"/>
  <c r="L942" i="37"/>
  <c r="M942" i="37"/>
  <c r="O942" i="37"/>
  <c r="Q942" i="37"/>
  <c r="V942" i="37"/>
  <c r="L943" i="37"/>
  <c r="M943" i="37"/>
  <c r="O943" i="37"/>
  <c r="Q943" i="37"/>
  <c r="V943" i="37"/>
  <c r="L944" i="37"/>
  <c r="M944" i="37"/>
  <c r="O944" i="37"/>
  <c r="Q944" i="37"/>
  <c r="V944" i="37"/>
  <c r="L945" i="37"/>
  <c r="M945" i="37"/>
  <c r="O945" i="37"/>
  <c r="Q945" i="37"/>
  <c r="V945" i="37"/>
  <c r="L946" i="37"/>
  <c r="M946" i="37"/>
  <c r="O946" i="37"/>
  <c r="Q946" i="37"/>
  <c r="V946" i="37"/>
  <c r="L947" i="37"/>
  <c r="M947" i="37"/>
  <c r="O947" i="37"/>
  <c r="Q947" i="37"/>
  <c r="V947" i="37"/>
  <c r="L948" i="37"/>
  <c r="M948" i="37"/>
  <c r="O948" i="37"/>
  <c r="Q948" i="37"/>
  <c r="V948" i="37"/>
  <c r="L949" i="37"/>
  <c r="M949" i="37"/>
  <c r="O949" i="37"/>
  <c r="Q949" i="37"/>
  <c r="V949" i="37"/>
  <c r="L950" i="37"/>
  <c r="M950" i="37"/>
  <c r="O950" i="37"/>
  <c r="Q950" i="37"/>
  <c r="V950" i="37"/>
  <c r="L951" i="37"/>
  <c r="M951" i="37"/>
  <c r="O951" i="37"/>
  <c r="Q951" i="37"/>
  <c r="V951" i="37"/>
  <c r="L952" i="37"/>
  <c r="M952" i="37"/>
  <c r="O952" i="37"/>
  <c r="Q952" i="37"/>
  <c r="V952" i="37"/>
  <c r="L953" i="37"/>
  <c r="M953" i="37"/>
  <c r="O953" i="37"/>
  <c r="Q953" i="37"/>
  <c r="V953" i="37"/>
  <c r="L954" i="37"/>
  <c r="M954" i="37"/>
  <c r="O954" i="37"/>
  <c r="Q954" i="37"/>
  <c r="V954" i="37"/>
  <c r="L955" i="37"/>
  <c r="M955" i="37"/>
  <c r="O955" i="37"/>
  <c r="Q955" i="37"/>
  <c r="V955" i="37"/>
  <c r="L956" i="37"/>
  <c r="M956" i="37"/>
  <c r="O956" i="37"/>
  <c r="Q956" i="37"/>
  <c r="V956" i="37"/>
  <c r="L957" i="37"/>
  <c r="M957" i="37"/>
  <c r="O957" i="37"/>
  <c r="Q957" i="37"/>
  <c r="V957" i="37"/>
  <c r="L958" i="37"/>
  <c r="M958" i="37"/>
  <c r="O958" i="37"/>
  <c r="Q958" i="37"/>
  <c r="V958" i="37"/>
  <c r="L959" i="37"/>
  <c r="M959" i="37"/>
  <c r="O959" i="37"/>
  <c r="Q959" i="37"/>
  <c r="V959" i="37"/>
  <c r="L960" i="37"/>
  <c r="M960" i="37"/>
  <c r="O960" i="37"/>
  <c r="Q960" i="37"/>
  <c r="V960" i="37"/>
  <c r="L961" i="37"/>
  <c r="M961" i="37"/>
  <c r="O961" i="37"/>
  <c r="Q961" i="37"/>
  <c r="V961" i="37"/>
  <c r="L962" i="37"/>
  <c r="M962" i="37"/>
  <c r="O962" i="37"/>
  <c r="Q962" i="37"/>
  <c r="V962" i="37"/>
  <c r="L963" i="37"/>
  <c r="M963" i="37"/>
  <c r="O963" i="37"/>
  <c r="Q963" i="37"/>
  <c r="V963" i="37"/>
  <c r="L964" i="37"/>
  <c r="M964" i="37"/>
  <c r="O964" i="37"/>
  <c r="Q964" i="37"/>
  <c r="V964" i="37"/>
  <c r="L965" i="37"/>
  <c r="M965" i="37"/>
  <c r="O965" i="37"/>
  <c r="Q965" i="37"/>
  <c r="V965" i="37"/>
  <c r="L966" i="37"/>
  <c r="M966" i="37"/>
  <c r="O966" i="37"/>
  <c r="Q966" i="37"/>
  <c r="V966" i="37"/>
  <c r="L967" i="37"/>
  <c r="M967" i="37"/>
  <c r="O967" i="37"/>
  <c r="Q967" i="37"/>
  <c r="V967" i="37"/>
  <c r="L968" i="37"/>
  <c r="M968" i="37"/>
  <c r="O968" i="37"/>
  <c r="Q968" i="37"/>
  <c r="V968" i="37"/>
  <c r="L969" i="37"/>
  <c r="M969" i="37"/>
  <c r="O969" i="37"/>
  <c r="Q969" i="37"/>
  <c r="V969" i="37"/>
  <c r="L970" i="37"/>
  <c r="M970" i="37"/>
  <c r="O970" i="37"/>
  <c r="Q970" i="37"/>
  <c r="V970" i="37"/>
  <c r="L971" i="37"/>
  <c r="M971" i="37"/>
  <c r="O971" i="37"/>
  <c r="Q971" i="37"/>
  <c r="V971" i="37"/>
  <c r="L972" i="37"/>
  <c r="M972" i="37"/>
  <c r="O972" i="37"/>
  <c r="Q972" i="37"/>
  <c r="V972" i="37"/>
  <c r="L973" i="37"/>
  <c r="M973" i="37"/>
  <c r="O973" i="37"/>
  <c r="Q973" i="37"/>
  <c r="V973" i="37"/>
  <c r="L974" i="37"/>
  <c r="M974" i="37"/>
  <c r="O974" i="37"/>
  <c r="Q974" i="37"/>
  <c r="V974" i="37"/>
  <c r="L975" i="37"/>
  <c r="M975" i="37"/>
  <c r="O975" i="37"/>
  <c r="Q975" i="37"/>
  <c r="V975" i="37"/>
  <c r="L976" i="37"/>
  <c r="M976" i="37"/>
  <c r="O976" i="37"/>
  <c r="Q976" i="37"/>
  <c r="V976" i="37"/>
  <c r="L977" i="37"/>
  <c r="M977" i="37"/>
  <c r="O977" i="37"/>
  <c r="Q977" i="37"/>
  <c r="V977" i="37"/>
  <c r="L978" i="37"/>
  <c r="M978" i="37"/>
  <c r="O978" i="37"/>
  <c r="Q978" i="37"/>
  <c r="V978" i="37"/>
  <c r="L979" i="37"/>
  <c r="M979" i="37"/>
  <c r="O979" i="37"/>
  <c r="Q979" i="37"/>
  <c r="V979" i="37"/>
  <c r="L980" i="37"/>
  <c r="M980" i="37"/>
  <c r="O980" i="37"/>
  <c r="Q980" i="37"/>
  <c r="V980" i="37"/>
  <c r="L981" i="37"/>
  <c r="M981" i="37"/>
  <c r="O981" i="37"/>
  <c r="Q981" i="37"/>
  <c r="V981" i="37"/>
  <c r="L982" i="37"/>
  <c r="M982" i="37"/>
  <c r="O982" i="37"/>
  <c r="Q982" i="37"/>
  <c r="V982" i="37"/>
  <c r="L983" i="37"/>
  <c r="M983" i="37"/>
  <c r="O983" i="37"/>
  <c r="Q983" i="37"/>
  <c r="V983" i="37"/>
  <c r="L984" i="37"/>
  <c r="M984" i="37"/>
  <c r="O984" i="37"/>
  <c r="Q984" i="37"/>
  <c r="V984" i="37"/>
  <c r="L985" i="37"/>
  <c r="M985" i="37"/>
  <c r="O985" i="37"/>
  <c r="Q985" i="37"/>
  <c r="V985" i="37"/>
  <c r="L986" i="37"/>
  <c r="M986" i="37"/>
  <c r="O986" i="37"/>
  <c r="Q986" i="37"/>
  <c r="V986" i="37"/>
  <c r="L987" i="37"/>
  <c r="M987" i="37"/>
  <c r="O987" i="37"/>
  <c r="Q987" i="37"/>
  <c r="V987" i="37"/>
  <c r="L988" i="37"/>
  <c r="M988" i="37"/>
  <c r="O988" i="37"/>
  <c r="Q988" i="37"/>
  <c r="V988" i="37"/>
  <c r="L989" i="37"/>
  <c r="M989" i="37"/>
  <c r="O989" i="37"/>
  <c r="Q989" i="37"/>
  <c r="V989" i="37"/>
  <c r="L990" i="37"/>
  <c r="M990" i="37"/>
  <c r="O990" i="37"/>
  <c r="Q990" i="37"/>
  <c r="V990" i="37"/>
  <c r="L991" i="37"/>
  <c r="M991" i="37"/>
  <c r="O991" i="37"/>
  <c r="Q991" i="37"/>
  <c r="V991" i="37"/>
  <c r="L992" i="37"/>
  <c r="M992" i="37"/>
  <c r="O992" i="37"/>
  <c r="Q992" i="37"/>
  <c r="V992" i="37"/>
  <c r="L993" i="37"/>
  <c r="M993" i="37"/>
  <c r="O993" i="37"/>
  <c r="Q993" i="37"/>
  <c r="V993" i="37"/>
  <c r="L994" i="37"/>
  <c r="M994" i="37"/>
  <c r="O994" i="37"/>
  <c r="Q994" i="37"/>
  <c r="V994" i="37"/>
  <c r="L995" i="37"/>
  <c r="M995" i="37"/>
  <c r="O995" i="37"/>
  <c r="Q995" i="37"/>
  <c r="V995" i="37"/>
  <c r="L996" i="37"/>
  <c r="M996" i="37"/>
  <c r="O996" i="37"/>
  <c r="Q996" i="37"/>
  <c r="V996" i="37"/>
  <c r="L997" i="37"/>
  <c r="M997" i="37"/>
  <c r="O997" i="37"/>
  <c r="Q997" i="37"/>
  <c r="V997" i="37"/>
  <c r="L998" i="37"/>
  <c r="M998" i="37"/>
  <c r="O998" i="37"/>
  <c r="Q998" i="37"/>
  <c r="V998" i="37"/>
  <c r="L999" i="37"/>
  <c r="M999" i="37"/>
  <c r="O999" i="37"/>
  <c r="Q999" i="37"/>
  <c r="V999" i="37"/>
  <c r="L1000" i="37"/>
  <c r="M1000" i="37"/>
  <c r="O1000" i="37"/>
  <c r="Q1000" i="37"/>
  <c r="V1000" i="37"/>
  <c r="L1001" i="37"/>
  <c r="M1001" i="37"/>
  <c r="O1001" i="37"/>
  <c r="Q1001" i="37"/>
  <c r="V1001" i="37"/>
  <c r="L1002" i="37"/>
  <c r="M1002" i="37"/>
  <c r="O1002" i="37"/>
  <c r="Q1002" i="37"/>
  <c r="V1002" i="37"/>
  <c r="L1003" i="37"/>
  <c r="M1003" i="37"/>
  <c r="O1003" i="37"/>
  <c r="Q1003" i="37"/>
  <c r="V1003" i="37"/>
  <c r="L1004" i="37"/>
  <c r="M1004" i="37"/>
  <c r="O1004" i="37"/>
  <c r="Q1004" i="37"/>
  <c r="V1004" i="37"/>
  <c r="L1005" i="37"/>
  <c r="M1005" i="37"/>
  <c r="O1005" i="37"/>
  <c r="Q1005" i="37"/>
  <c r="V1005" i="37"/>
  <c r="L1006" i="37"/>
  <c r="M1006" i="37"/>
  <c r="O1006" i="37"/>
  <c r="Q1006" i="37"/>
  <c r="V1006" i="37"/>
  <c r="L1007" i="37"/>
  <c r="M1007" i="37"/>
  <c r="O1007" i="37"/>
  <c r="Q1007" i="37"/>
  <c r="V1007" i="37"/>
  <c r="L1008" i="37"/>
  <c r="M1008" i="37"/>
  <c r="O1008" i="37"/>
  <c r="Q1008" i="37"/>
  <c r="V1008" i="37"/>
  <c r="L1009" i="37"/>
  <c r="M1009" i="37"/>
  <c r="O1009" i="37"/>
  <c r="Q1009" i="37"/>
  <c r="V1009" i="37"/>
  <c r="L1010" i="37"/>
  <c r="M1010" i="37"/>
  <c r="O1010" i="37"/>
  <c r="Q1010" i="37"/>
  <c r="V1010" i="37"/>
  <c r="L1011" i="37"/>
  <c r="M1011" i="37"/>
  <c r="O1011" i="37"/>
  <c r="Q1011" i="37"/>
  <c r="V1011" i="37"/>
  <c r="L1012" i="37"/>
  <c r="M1012" i="37"/>
  <c r="O1012" i="37"/>
  <c r="Q1012" i="37"/>
  <c r="V1012" i="37"/>
  <c r="L1013" i="37"/>
  <c r="M1013" i="37"/>
  <c r="O1013" i="37"/>
  <c r="Q1013" i="37"/>
  <c r="V1013" i="37"/>
  <c r="L1014" i="37"/>
  <c r="M1014" i="37"/>
  <c r="O1014" i="37"/>
  <c r="Q1014" i="37"/>
  <c r="V1014" i="37"/>
  <c r="L1015" i="37"/>
  <c r="M1015" i="37"/>
  <c r="O1015" i="37"/>
  <c r="Q1015" i="37"/>
  <c r="V1015" i="37"/>
  <c r="L1016" i="37"/>
  <c r="M1016" i="37"/>
  <c r="O1016" i="37"/>
  <c r="Q1016" i="37"/>
  <c r="V1016" i="37"/>
  <c r="L1017" i="37"/>
  <c r="M1017" i="37"/>
  <c r="O1017" i="37"/>
  <c r="Q1017" i="37"/>
  <c r="V1017" i="37"/>
  <c r="L1018" i="37"/>
  <c r="M1018" i="37"/>
  <c r="O1018" i="37"/>
  <c r="Q1018" i="37"/>
  <c r="V1018" i="37"/>
  <c r="L1019" i="37"/>
  <c r="M1019" i="37"/>
  <c r="O1019" i="37"/>
  <c r="Q1019" i="37"/>
  <c r="V1019" i="37"/>
  <c r="L1020" i="37"/>
  <c r="M1020" i="37"/>
  <c r="O1020" i="37"/>
  <c r="Q1020" i="37"/>
  <c r="V1020" i="37"/>
  <c r="L1021" i="37"/>
  <c r="M1021" i="37"/>
  <c r="O1021" i="37"/>
  <c r="Q1021" i="37"/>
  <c r="V1021" i="37"/>
  <c r="L1022" i="37"/>
  <c r="M1022" i="37"/>
  <c r="O1022" i="37"/>
  <c r="Q1022" i="37"/>
  <c r="V1022" i="37"/>
  <c r="L1023" i="37"/>
  <c r="M1023" i="37"/>
  <c r="O1023" i="37"/>
  <c r="Q1023" i="37"/>
  <c r="V1023" i="37"/>
  <c r="L1024" i="37"/>
  <c r="M1024" i="37"/>
  <c r="O1024" i="37"/>
  <c r="Q1024" i="37"/>
  <c r="V1024" i="37"/>
  <c r="L1025" i="37"/>
  <c r="M1025" i="37"/>
  <c r="O1025" i="37"/>
  <c r="Q1025" i="37"/>
  <c r="V1025" i="37"/>
  <c r="L1026" i="37"/>
  <c r="M1026" i="37"/>
  <c r="O1026" i="37"/>
  <c r="Q1026" i="37"/>
  <c r="V1026" i="37"/>
  <c r="L1027" i="37"/>
  <c r="M1027" i="37"/>
  <c r="O1027" i="37"/>
  <c r="Q1027" i="37"/>
  <c r="V1027" i="37"/>
  <c r="L1028" i="37"/>
  <c r="M1028" i="37"/>
  <c r="O1028" i="37"/>
  <c r="Q1028" i="37"/>
  <c r="V1028" i="37"/>
  <c r="L1029" i="37"/>
  <c r="M1029" i="37"/>
  <c r="O1029" i="37"/>
  <c r="Q1029" i="37"/>
  <c r="V1029" i="37"/>
  <c r="L1030" i="37"/>
  <c r="M1030" i="37"/>
  <c r="O1030" i="37"/>
  <c r="Q1030" i="37"/>
  <c r="V1030" i="37"/>
  <c r="L1031" i="37"/>
  <c r="M1031" i="37"/>
  <c r="O1031" i="37"/>
  <c r="Q1031" i="37"/>
  <c r="V1031" i="37"/>
  <c r="L1032" i="37"/>
  <c r="M1032" i="37"/>
  <c r="O1032" i="37"/>
  <c r="Q1032" i="37"/>
  <c r="V1032" i="37"/>
  <c r="L1033" i="37"/>
  <c r="M1033" i="37"/>
  <c r="O1033" i="37"/>
  <c r="Q1033" i="37"/>
  <c r="V1033" i="37"/>
  <c r="L1034" i="37"/>
  <c r="M1034" i="37"/>
  <c r="O1034" i="37"/>
  <c r="Q1034" i="37"/>
  <c r="V1034" i="37"/>
  <c r="L1035" i="37"/>
  <c r="M1035" i="37"/>
  <c r="O1035" i="37"/>
  <c r="Q1035" i="37"/>
  <c r="V1035" i="37"/>
  <c r="L1036" i="37"/>
  <c r="M1036" i="37"/>
  <c r="O1036" i="37"/>
  <c r="Q1036" i="37"/>
  <c r="V1036" i="37"/>
  <c r="L1037" i="37"/>
  <c r="M1037" i="37"/>
  <c r="O1037" i="37"/>
  <c r="Q1037" i="37"/>
  <c r="V1037" i="37"/>
  <c r="L1038" i="37"/>
  <c r="M1038" i="37"/>
  <c r="O1038" i="37"/>
  <c r="Q1038" i="37"/>
  <c r="V1038" i="37"/>
  <c r="L1039" i="37"/>
  <c r="M1039" i="37"/>
  <c r="O1039" i="37"/>
  <c r="Q1039" i="37"/>
  <c r="V1039" i="37"/>
  <c r="L1040" i="37"/>
  <c r="M1040" i="37"/>
  <c r="O1040" i="37"/>
  <c r="Q1040" i="37"/>
  <c r="V1040" i="37"/>
  <c r="L1041" i="37"/>
  <c r="M1041" i="37"/>
  <c r="O1041" i="37"/>
  <c r="Q1041" i="37"/>
  <c r="V1041" i="37"/>
  <c r="L1042" i="37"/>
  <c r="M1042" i="37"/>
  <c r="O1042" i="37"/>
  <c r="Q1042" i="37"/>
  <c r="V1042" i="37"/>
  <c r="L1043" i="37"/>
  <c r="M1043" i="37"/>
  <c r="O1043" i="37"/>
  <c r="Q1043" i="37"/>
  <c r="V1043" i="37"/>
  <c r="L1044" i="37"/>
  <c r="M1044" i="37"/>
  <c r="O1044" i="37"/>
  <c r="Q1044" i="37"/>
  <c r="V1044" i="37"/>
  <c r="L1045" i="37"/>
  <c r="M1045" i="37"/>
  <c r="O1045" i="37"/>
  <c r="Q1045" i="37"/>
  <c r="V1045" i="37"/>
  <c r="L1046" i="37"/>
  <c r="M1046" i="37"/>
  <c r="O1046" i="37"/>
  <c r="Q1046" i="37"/>
  <c r="V1046" i="37"/>
  <c r="L1047" i="37"/>
  <c r="M1047" i="37"/>
  <c r="O1047" i="37"/>
  <c r="Q1047" i="37"/>
  <c r="V1047" i="37"/>
  <c r="L1048" i="37"/>
  <c r="M1048" i="37"/>
  <c r="O1048" i="37"/>
  <c r="Q1048" i="37"/>
  <c r="V1048" i="37"/>
  <c r="L1049" i="37"/>
  <c r="M1049" i="37"/>
  <c r="O1049" i="37"/>
  <c r="Q1049" i="37"/>
  <c r="V1049" i="37"/>
  <c r="L1050" i="37"/>
  <c r="M1050" i="37"/>
  <c r="O1050" i="37"/>
  <c r="Q1050" i="37"/>
  <c r="V1050" i="37"/>
  <c r="L1051" i="37"/>
  <c r="M1051" i="37"/>
  <c r="O1051" i="37"/>
  <c r="Q1051" i="37"/>
  <c r="V1051" i="37"/>
  <c r="L1052" i="37"/>
  <c r="M1052" i="37"/>
  <c r="O1052" i="37"/>
  <c r="Q1052" i="37"/>
  <c r="V1052" i="37"/>
  <c r="L1053" i="37"/>
  <c r="M1053" i="37"/>
  <c r="O1053" i="37"/>
  <c r="Q1053" i="37"/>
  <c r="V1053" i="37"/>
  <c r="L1054" i="37"/>
  <c r="M1054" i="37"/>
  <c r="O1054" i="37"/>
  <c r="Q1054" i="37"/>
  <c r="V1054" i="37"/>
  <c r="L1055" i="37"/>
  <c r="M1055" i="37"/>
  <c r="O1055" i="37"/>
  <c r="Q1055" i="37"/>
  <c r="V1055" i="37"/>
  <c r="L1056" i="37"/>
  <c r="M1056" i="37"/>
  <c r="O1056" i="37"/>
  <c r="Q1056" i="37"/>
  <c r="V1056" i="37"/>
  <c r="L1057" i="37"/>
  <c r="M1057" i="37"/>
  <c r="O1057" i="37"/>
  <c r="Q1057" i="37"/>
  <c r="V1057" i="37"/>
  <c r="L1058" i="37"/>
  <c r="M1058" i="37"/>
  <c r="O1058" i="37"/>
  <c r="Q1058" i="37"/>
  <c r="V1058" i="37"/>
  <c r="L1059" i="37"/>
  <c r="M1059" i="37"/>
  <c r="O1059" i="37"/>
  <c r="Q1059" i="37"/>
  <c r="V1059" i="37"/>
  <c r="L1060" i="37"/>
  <c r="M1060" i="37"/>
  <c r="O1060" i="37"/>
  <c r="Q1060" i="37"/>
  <c r="V1060" i="37"/>
  <c r="L1061" i="37"/>
  <c r="M1061" i="37"/>
  <c r="O1061" i="37"/>
  <c r="Q1061" i="37"/>
  <c r="V1061" i="37"/>
  <c r="L1062" i="37"/>
  <c r="M1062" i="37"/>
  <c r="O1062" i="37"/>
  <c r="Q1062" i="37"/>
  <c r="V1062" i="37"/>
  <c r="L1063" i="37"/>
  <c r="M1063" i="37"/>
  <c r="O1063" i="37"/>
  <c r="Q1063" i="37"/>
  <c r="V1063" i="37"/>
  <c r="L1064" i="37"/>
  <c r="M1064" i="37"/>
  <c r="O1064" i="37"/>
  <c r="Q1064" i="37"/>
  <c r="V1064" i="37"/>
  <c r="L1065" i="37"/>
  <c r="M1065" i="37"/>
  <c r="O1065" i="37"/>
  <c r="Q1065" i="37"/>
  <c r="V1065" i="37"/>
  <c r="L1066" i="37"/>
  <c r="M1066" i="37"/>
  <c r="O1066" i="37"/>
  <c r="Q1066" i="37"/>
  <c r="V1066" i="37"/>
  <c r="L1067" i="37"/>
  <c r="M1067" i="37"/>
  <c r="O1067" i="37"/>
  <c r="Q1067" i="37"/>
  <c r="V1067" i="37"/>
  <c r="L1068" i="37"/>
  <c r="M1068" i="37"/>
  <c r="O1068" i="37"/>
  <c r="Q1068" i="37"/>
  <c r="V1068" i="37"/>
  <c r="L1069" i="37"/>
  <c r="M1069" i="37"/>
  <c r="O1069" i="37"/>
  <c r="Q1069" i="37"/>
  <c r="V1069" i="37"/>
  <c r="L1070" i="37"/>
  <c r="M1070" i="37"/>
  <c r="O1070" i="37"/>
  <c r="Q1070" i="37"/>
  <c r="V1070" i="37"/>
  <c r="L1071" i="37"/>
  <c r="M1071" i="37"/>
  <c r="O1071" i="37"/>
  <c r="Q1071" i="37"/>
  <c r="V1071" i="37"/>
  <c r="L1072" i="37"/>
  <c r="M1072" i="37"/>
  <c r="O1072" i="37"/>
  <c r="Q1072" i="37"/>
  <c r="V1072" i="37"/>
  <c r="L1073" i="37"/>
  <c r="M1073" i="37"/>
  <c r="O1073" i="37"/>
  <c r="Q1073" i="37"/>
  <c r="V1073" i="37"/>
  <c r="L1074" i="37"/>
  <c r="M1074" i="37"/>
  <c r="O1074" i="37"/>
  <c r="Q1074" i="37"/>
  <c r="V1074" i="37"/>
  <c r="L1075" i="37"/>
  <c r="M1075" i="37"/>
  <c r="O1075" i="37"/>
  <c r="Q1075" i="37"/>
  <c r="V1075" i="37"/>
  <c r="L1076" i="37"/>
  <c r="M1076" i="37"/>
  <c r="O1076" i="37"/>
  <c r="Q1076" i="37"/>
  <c r="V1076" i="37"/>
  <c r="L1077" i="37"/>
  <c r="M1077" i="37"/>
  <c r="O1077" i="37"/>
  <c r="Q1077" i="37"/>
  <c r="V1077" i="37"/>
  <c r="L1078" i="37"/>
  <c r="M1078" i="37"/>
  <c r="O1078" i="37"/>
  <c r="Q1078" i="37"/>
  <c r="V1078" i="37"/>
  <c r="L1079" i="37"/>
  <c r="M1079" i="37"/>
  <c r="O1079" i="37"/>
  <c r="Q1079" i="37"/>
  <c r="V1079" i="37"/>
  <c r="L1080" i="37"/>
  <c r="M1080" i="37"/>
  <c r="O1080" i="37"/>
  <c r="Q1080" i="37"/>
  <c r="V1080" i="37"/>
  <c r="L1081" i="37"/>
  <c r="M1081" i="37"/>
  <c r="O1081" i="37"/>
  <c r="Q1081" i="37"/>
  <c r="V1081" i="37"/>
  <c r="L1082" i="37"/>
  <c r="M1082" i="37"/>
  <c r="O1082" i="37"/>
  <c r="Q1082" i="37"/>
  <c r="V1082" i="37"/>
  <c r="L1083" i="37"/>
  <c r="M1083" i="37"/>
  <c r="O1083" i="37"/>
  <c r="Q1083" i="37"/>
  <c r="V1083" i="37"/>
  <c r="L1084" i="37"/>
  <c r="M1084" i="37"/>
  <c r="O1084" i="37"/>
  <c r="Q1084" i="37"/>
  <c r="V1084" i="37"/>
  <c r="L1085" i="37"/>
  <c r="M1085" i="37"/>
  <c r="O1085" i="37"/>
  <c r="Q1085" i="37"/>
  <c r="V1085" i="37"/>
  <c r="L1086" i="37"/>
  <c r="M1086" i="37"/>
  <c r="O1086" i="37"/>
  <c r="Q1086" i="37"/>
  <c r="V1086" i="37"/>
  <c r="L1087" i="37"/>
  <c r="M1087" i="37"/>
  <c r="O1087" i="37"/>
  <c r="Q1087" i="37"/>
  <c r="V1087" i="37"/>
  <c r="L1088" i="37"/>
  <c r="M1088" i="37"/>
  <c r="O1088" i="37"/>
  <c r="Q1088" i="37"/>
  <c r="V1088" i="37"/>
  <c r="L1089" i="37"/>
  <c r="M1089" i="37"/>
  <c r="O1089" i="37"/>
  <c r="Q1089" i="37"/>
  <c r="V1089" i="37"/>
  <c r="L1090" i="37"/>
  <c r="M1090" i="37"/>
  <c r="O1090" i="37"/>
  <c r="Q1090" i="37"/>
  <c r="V1090" i="37"/>
  <c r="L1091" i="37"/>
  <c r="M1091" i="37"/>
  <c r="O1091" i="37"/>
  <c r="Q1091" i="37"/>
  <c r="V1091" i="37"/>
  <c r="L1092" i="37"/>
  <c r="M1092" i="37"/>
  <c r="O1092" i="37"/>
  <c r="Q1092" i="37"/>
  <c r="V1092" i="37"/>
  <c r="L1093" i="37"/>
  <c r="M1093" i="37"/>
  <c r="O1093" i="37"/>
  <c r="Q1093" i="37"/>
  <c r="V1093" i="37"/>
  <c r="L1094" i="37"/>
  <c r="M1094" i="37"/>
  <c r="O1094" i="37"/>
  <c r="Q1094" i="37"/>
  <c r="V1094" i="37"/>
  <c r="L1095" i="37"/>
  <c r="M1095" i="37"/>
  <c r="O1095" i="37"/>
  <c r="Q1095" i="37"/>
  <c r="V1095" i="37"/>
  <c r="L1096" i="37"/>
  <c r="M1096" i="37"/>
  <c r="O1096" i="37"/>
  <c r="Q1096" i="37"/>
  <c r="V1096" i="37"/>
  <c r="L1097" i="37"/>
  <c r="M1097" i="37"/>
  <c r="O1097" i="37"/>
  <c r="Q1097" i="37"/>
  <c r="V1097" i="37"/>
  <c r="L1098" i="37"/>
  <c r="M1098" i="37"/>
  <c r="O1098" i="37"/>
  <c r="Q1098" i="37"/>
  <c r="V1098" i="37"/>
  <c r="L1099" i="37"/>
  <c r="M1099" i="37"/>
  <c r="O1099" i="37"/>
  <c r="Q1099" i="37"/>
  <c r="V1099" i="37"/>
  <c r="L1100" i="37"/>
  <c r="M1100" i="37"/>
  <c r="O1100" i="37"/>
  <c r="Q1100" i="37"/>
  <c r="V1100" i="37"/>
  <c r="L1101" i="37"/>
  <c r="M1101" i="37"/>
  <c r="O1101" i="37"/>
  <c r="Q1101" i="37"/>
  <c r="V1101" i="37"/>
  <c r="L1102" i="37"/>
  <c r="M1102" i="37"/>
  <c r="O1102" i="37"/>
  <c r="Q1102" i="37"/>
  <c r="V1102" i="37"/>
  <c r="L1103" i="37"/>
  <c r="M1103" i="37"/>
  <c r="O1103" i="37"/>
  <c r="Q1103" i="37"/>
  <c r="V1103" i="37"/>
  <c r="L1104" i="37"/>
  <c r="M1104" i="37"/>
  <c r="O1104" i="37"/>
  <c r="Q1104" i="37"/>
  <c r="V1104" i="37"/>
  <c r="L1105" i="37"/>
  <c r="M1105" i="37"/>
  <c r="O1105" i="37"/>
  <c r="Q1105" i="37"/>
  <c r="V1105" i="37"/>
  <c r="L1106" i="37"/>
  <c r="M1106" i="37"/>
  <c r="O1106" i="37"/>
  <c r="Q1106" i="37"/>
  <c r="V1106" i="37"/>
  <c r="L1107" i="37"/>
  <c r="M1107" i="37"/>
  <c r="O1107" i="37"/>
  <c r="Q1107" i="37"/>
  <c r="V1107" i="37"/>
  <c r="L1108" i="37"/>
  <c r="M1108" i="37"/>
  <c r="O1108" i="37"/>
  <c r="Q1108" i="37"/>
  <c r="V1108" i="37"/>
  <c r="L1109" i="37"/>
  <c r="M1109" i="37"/>
  <c r="O1109" i="37"/>
  <c r="Q1109" i="37"/>
  <c r="V1109" i="37"/>
  <c r="L1110" i="37"/>
  <c r="M1110" i="37"/>
  <c r="O1110" i="37"/>
  <c r="Q1110" i="37"/>
  <c r="V1110" i="37"/>
  <c r="L1111" i="37"/>
  <c r="M1111" i="37"/>
  <c r="O1111" i="37"/>
  <c r="Q1111" i="37"/>
  <c r="V1111" i="37"/>
  <c r="L1112" i="37"/>
  <c r="M1112" i="37"/>
  <c r="O1112" i="37"/>
  <c r="Q1112" i="37"/>
  <c r="V1112" i="37"/>
  <c r="L1113" i="37"/>
  <c r="M1113" i="37"/>
  <c r="O1113" i="37"/>
  <c r="Q1113" i="37"/>
  <c r="V1113" i="37"/>
  <c r="L1114" i="37"/>
  <c r="M1114" i="37"/>
  <c r="O1114" i="37"/>
  <c r="Q1114" i="37"/>
  <c r="V1114" i="37"/>
  <c r="L1115" i="37"/>
  <c r="M1115" i="37"/>
  <c r="O1115" i="37"/>
  <c r="Q1115" i="37"/>
  <c r="V1115" i="37"/>
  <c r="L1116" i="37"/>
  <c r="M1116" i="37"/>
  <c r="O1116" i="37"/>
  <c r="Q1116" i="37"/>
  <c r="V1116" i="37"/>
  <c r="L1117" i="37"/>
  <c r="M1117" i="37"/>
  <c r="O1117" i="37"/>
  <c r="Q1117" i="37"/>
  <c r="V1117" i="37"/>
  <c r="L1118" i="37"/>
  <c r="M1118" i="37"/>
  <c r="O1118" i="37"/>
  <c r="Q1118" i="37"/>
  <c r="V1118" i="37"/>
  <c r="L1119" i="37"/>
  <c r="M1119" i="37"/>
  <c r="O1119" i="37"/>
  <c r="Q1119" i="37"/>
  <c r="V1119" i="37"/>
  <c r="L1120" i="37"/>
  <c r="M1120" i="37"/>
  <c r="O1120" i="37"/>
  <c r="Q1120" i="37"/>
  <c r="V1120" i="37"/>
  <c r="L1121" i="37"/>
  <c r="M1121" i="37"/>
  <c r="O1121" i="37"/>
  <c r="Q1121" i="37"/>
  <c r="V1121" i="37"/>
  <c r="L1122" i="37"/>
  <c r="M1122" i="37"/>
  <c r="O1122" i="37"/>
  <c r="Q1122" i="37"/>
  <c r="V1122" i="37"/>
  <c r="L1123" i="37"/>
  <c r="M1123" i="37"/>
  <c r="O1123" i="37"/>
  <c r="Q1123" i="37"/>
  <c r="V1123" i="37"/>
  <c r="L1124" i="37"/>
  <c r="M1124" i="37"/>
  <c r="O1124" i="37"/>
  <c r="Q1124" i="37"/>
  <c r="V1124" i="37"/>
  <c r="L1125" i="37"/>
  <c r="M1125" i="37"/>
  <c r="O1125" i="37"/>
  <c r="Q1125" i="37"/>
  <c r="V1125" i="37"/>
  <c r="L1126" i="37"/>
  <c r="M1126" i="37"/>
  <c r="O1126" i="37"/>
  <c r="Q1126" i="37"/>
  <c r="V1126" i="37"/>
  <c r="L1127" i="37"/>
  <c r="M1127" i="37"/>
  <c r="O1127" i="37"/>
  <c r="Q1127" i="37"/>
  <c r="V1127" i="37"/>
  <c r="L1128" i="37"/>
  <c r="M1128" i="37"/>
  <c r="O1128" i="37"/>
  <c r="Q1128" i="37"/>
  <c r="V1128" i="37"/>
  <c r="L1129" i="37"/>
  <c r="M1129" i="37"/>
  <c r="O1129" i="37"/>
  <c r="Q1129" i="37"/>
  <c r="V1129" i="37"/>
  <c r="L1130" i="37"/>
  <c r="M1130" i="37"/>
  <c r="O1130" i="37"/>
  <c r="Q1130" i="37"/>
  <c r="V1130" i="37"/>
  <c r="L1131" i="37"/>
  <c r="M1131" i="37"/>
  <c r="O1131" i="37"/>
  <c r="Q1131" i="37"/>
  <c r="V1131" i="37"/>
  <c r="L1132" i="37"/>
  <c r="M1132" i="37"/>
  <c r="O1132" i="37"/>
  <c r="Q1132" i="37"/>
  <c r="V1132" i="37"/>
  <c r="L1133" i="37"/>
  <c r="M1133" i="37"/>
  <c r="O1133" i="37"/>
  <c r="Q1133" i="37"/>
  <c r="V1133" i="37"/>
  <c r="L1134" i="37"/>
  <c r="M1134" i="37"/>
  <c r="O1134" i="37"/>
  <c r="Q1134" i="37"/>
  <c r="V1134" i="37"/>
  <c r="L1135" i="37"/>
  <c r="M1135" i="37"/>
  <c r="O1135" i="37"/>
  <c r="Q1135" i="37"/>
  <c r="V1135" i="37"/>
  <c r="L1136" i="37"/>
  <c r="M1136" i="37"/>
  <c r="O1136" i="37"/>
  <c r="Q1136" i="37"/>
  <c r="V1136" i="37"/>
  <c r="L1137" i="37"/>
  <c r="M1137" i="37"/>
  <c r="O1137" i="37"/>
  <c r="Q1137" i="37"/>
  <c r="V1137" i="37"/>
  <c r="L1138" i="37"/>
  <c r="M1138" i="37"/>
  <c r="O1138" i="37"/>
  <c r="Q1138" i="37"/>
  <c r="V1138" i="37"/>
  <c r="L1139" i="37"/>
  <c r="M1139" i="37"/>
  <c r="O1139" i="37"/>
  <c r="Q1139" i="37"/>
  <c r="V1139" i="37"/>
  <c r="L1140" i="37"/>
  <c r="M1140" i="37"/>
  <c r="O1140" i="37"/>
  <c r="Q1140" i="37"/>
  <c r="V1140" i="37"/>
  <c r="L1141" i="37"/>
  <c r="M1141" i="37"/>
  <c r="O1141" i="37"/>
  <c r="Q1141" i="37"/>
  <c r="V1141" i="37"/>
  <c r="L1142" i="37"/>
  <c r="M1142" i="37"/>
  <c r="O1142" i="37"/>
  <c r="Q1142" i="37"/>
  <c r="V1142" i="37"/>
  <c r="L1143" i="37"/>
  <c r="M1143" i="37"/>
  <c r="O1143" i="37"/>
  <c r="Q1143" i="37"/>
  <c r="V1143" i="37"/>
  <c r="L1144" i="37"/>
  <c r="M1144" i="37"/>
  <c r="O1144" i="37"/>
  <c r="Q1144" i="37"/>
  <c r="V1144" i="37"/>
  <c r="L1145" i="37"/>
  <c r="M1145" i="37"/>
  <c r="O1145" i="37"/>
  <c r="Q1145" i="37"/>
  <c r="V1145" i="37"/>
  <c r="L1146" i="37"/>
  <c r="M1146" i="37"/>
  <c r="O1146" i="37"/>
  <c r="Q1146" i="37"/>
  <c r="V1146" i="37"/>
  <c r="L1147" i="37"/>
  <c r="M1147" i="37"/>
  <c r="O1147" i="37"/>
  <c r="Q1147" i="37"/>
  <c r="V1147" i="37"/>
  <c r="L1148" i="37"/>
  <c r="M1148" i="37"/>
  <c r="O1148" i="37"/>
  <c r="Q1148" i="37"/>
  <c r="V1148" i="37"/>
  <c r="L1149" i="37"/>
  <c r="M1149" i="37"/>
  <c r="O1149" i="37"/>
  <c r="Q1149" i="37"/>
  <c r="V1149" i="37"/>
  <c r="L1150" i="37"/>
  <c r="M1150" i="37"/>
  <c r="O1150" i="37"/>
  <c r="Q1150" i="37"/>
  <c r="V1150" i="37"/>
  <c r="L1151" i="37"/>
  <c r="M1151" i="37"/>
  <c r="O1151" i="37"/>
  <c r="Q1151" i="37"/>
  <c r="V1151" i="37"/>
  <c r="L1152" i="37"/>
  <c r="M1152" i="37"/>
  <c r="O1152" i="37"/>
  <c r="Q1152" i="37"/>
  <c r="V1152" i="37"/>
  <c r="L1153" i="37"/>
  <c r="M1153" i="37"/>
  <c r="O1153" i="37"/>
  <c r="Q1153" i="37"/>
  <c r="V1153" i="37"/>
  <c r="L1154" i="37"/>
  <c r="M1154" i="37"/>
  <c r="O1154" i="37"/>
  <c r="Q1154" i="37"/>
  <c r="V1154" i="37"/>
  <c r="L1155" i="37"/>
  <c r="M1155" i="37"/>
  <c r="O1155" i="37"/>
  <c r="Q1155" i="37"/>
  <c r="V1155" i="37"/>
  <c r="L1156" i="37"/>
  <c r="M1156" i="37"/>
  <c r="O1156" i="37"/>
  <c r="Q1156" i="37"/>
  <c r="V1156" i="37"/>
  <c r="L1157" i="37"/>
  <c r="M1157" i="37"/>
  <c r="O1157" i="37"/>
  <c r="Q1157" i="37"/>
  <c r="V1157" i="37"/>
  <c r="L1158" i="37"/>
  <c r="M1158" i="37"/>
  <c r="O1158" i="37"/>
  <c r="Q1158" i="37"/>
  <c r="V1158" i="37"/>
  <c r="L1159" i="37"/>
  <c r="M1159" i="37"/>
  <c r="O1159" i="37"/>
  <c r="Q1159" i="37"/>
  <c r="V1159" i="37"/>
  <c r="L1160" i="37"/>
  <c r="M1160" i="37"/>
  <c r="O1160" i="37"/>
  <c r="Q1160" i="37"/>
  <c r="V1160" i="37"/>
  <c r="L1161" i="37"/>
  <c r="M1161" i="37"/>
  <c r="O1161" i="37"/>
  <c r="Q1161" i="37"/>
  <c r="V1161" i="37"/>
  <c r="L1162" i="37"/>
  <c r="M1162" i="37"/>
  <c r="O1162" i="37"/>
  <c r="Q1162" i="37"/>
  <c r="V1162" i="37"/>
  <c r="L1163" i="37"/>
  <c r="M1163" i="37"/>
  <c r="O1163" i="37"/>
  <c r="Q1163" i="37"/>
  <c r="V1163" i="37"/>
  <c r="L1164" i="37"/>
  <c r="M1164" i="37"/>
  <c r="O1164" i="37"/>
  <c r="Q1164" i="37"/>
  <c r="V1164" i="37"/>
  <c r="L1165" i="37"/>
  <c r="M1165" i="37"/>
  <c r="O1165" i="37"/>
  <c r="Q1165" i="37"/>
  <c r="V1165" i="37"/>
  <c r="L1166" i="37"/>
  <c r="M1166" i="37"/>
  <c r="O1166" i="37"/>
  <c r="Q1166" i="37"/>
  <c r="V1166" i="37"/>
  <c r="L1167" i="37"/>
  <c r="M1167" i="37"/>
  <c r="O1167" i="37"/>
  <c r="Q1167" i="37"/>
  <c r="V1167" i="37"/>
  <c r="L1168" i="37"/>
  <c r="M1168" i="37"/>
  <c r="O1168" i="37"/>
  <c r="Q1168" i="37"/>
  <c r="V1168" i="37"/>
  <c r="L1169" i="37"/>
  <c r="M1169" i="37"/>
  <c r="O1169" i="37"/>
  <c r="Q1169" i="37"/>
  <c r="V1169" i="37"/>
  <c r="L1170" i="37"/>
  <c r="M1170" i="37"/>
  <c r="O1170" i="37"/>
  <c r="Q1170" i="37"/>
  <c r="V1170" i="37"/>
  <c r="L1171" i="37"/>
  <c r="M1171" i="37"/>
  <c r="O1171" i="37"/>
  <c r="Q1171" i="37"/>
  <c r="V1171" i="37"/>
  <c r="L1172" i="37"/>
  <c r="M1172" i="37"/>
  <c r="O1172" i="37"/>
  <c r="Q1172" i="37"/>
  <c r="V1172" i="37"/>
  <c r="L1173" i="37"/>
  <c r="M1173" i="37"/>
  <c r="O1173" i="37"/>
  <c r="Q1173" i="37"/>
  <c r="V1173" i="37"/>
  <c r="L1174" i="37"/>
  <c r="M1174" i="37"/>
  <c r="O1174" i="37"/>
  <c r="Q1174" i="37"/>
  <c r="V1174" i="37"/>
  <c r="L1175" i="37"/>
  <c r="M1175" i="37"/>
  <c r="O1175" i="37"/>
  <c r="Q1175" i="37"/>
  <c r="V1175" i="37"/>
  <c r="L1176" i="37"/>
  <c r="M1176" i="37"/>
  <c r="O1176" i="37"/>
  <c r="Q1176" i="37"/>
  <c r="V1176" i="37"/>
  <c r="L1177" i="37"/>
  <c r="M1177" i="37"/>
  <c r="O1177" i="37"/>
  <c r="Q1177" i="37"/>
  <c r="V1177" i="37"/>
  <c r="L1178" i="37"/>
  <c r="M1178" i="37"/>
  <c r="O1178" i="37"/>
  <c r="Q1178" i="37"/>
  <c r="V1178" i="37"/>
  <c r="L1179" i="37"/>
  <c r="M1179" i="37"/>
  <c r="O1179" i="37"/>
  <c r="Q1179" i="37"/>
  <c r="V1179" i="37"/>
  <c r="L1180" i="37"/>
  <c r="M1180" i="37"/>
  <c r="O1180" i="37"/>
  <c r="Q1180" i="37"/>
  <c r="V1180" i="37"/>
  <c r="L1181" i="37"/>
  <c r="M1181" i="37"/>
  <c r="O1181" i="37"/>
  <c r="Q1181" i="37"/>
  <c r="V1181" i="37"/>
  <c r="L1182" i="37"/>
  <c r="M1182" i="37"/>
  <c r="O1182" i="37"/>
  <c r="Q1182" i="37"/>
  <c r="V1182" i="37"/>
  <c r="L1183" i="37"/>
  <c r="M1183" i="37"/>
  <c r="O1183" i="37"/>
  <c r="Q1183" i="37"/>
  <c r="V1183" i="37"/>
  <c r="L1184" i="37"/>
  <c r="M1184" i="37"/>
  <c r="O1184" i="37"/>
  <c r="Q1184" i="37"/>
  <c r="V1184" i="37"/>
  <c r="L1185" i="37"/>
  <c r="M1185" i="37"/>
  <c r="O1185" i="37"/>
  <c r="Q1185" i="37"/>
  <c r="V1185" i="37"/>
  <c r="L1186" i="37"/>
  <c r="M1186" i="37"/>
  <c r="O1186" i="37"/>
  <c r="Q1186" i="37"/>
  <c r="V1186" i="37"/>
  <c r="L1187" i="37"/>
  <c r="M1187" i="37"/>
  <c r="O1187" i="37"/>
  <c r="Q1187" i="37"/>
  <c r="V1187" i="37"/>
  <c r="L1188" i="37"/>
  <c r="M1188" i="37"/>
  <c r="O1188" i="37"/>
  <c r="Q1188" i="37"/>
  <c r="V1188" i="37"/>
  <c r="L1189" i="37"/>
  <c r="M1189" i="37"/>
  <c r="O1189" i="37"/>
  <c r="Q1189" i="37"/>
  <c r="V1189" i="37"/>
  <c r="L1190" i="37"/>
  <c r="M1190" i="37"/>
  <c r="O1190" i="37"/>
  <c r="Q1190" i="37"/>
  <c r="V1190" i="37"/>
  <c r="L1191" i="37"/>
  <c r="M1191" i="37"/>
  <c r="O1191" i="37"/>
  <c r="Q1191" i="37"/>
  <c r="V1191" i="37"/>
  <c r="L1192" i="37"/>
  <c r="M1192" i="37"/>
  <c r="O1192" i="37"/>
  <c r="Q1192" i="37"/>
  <c r="V1192" i="37"/>
  <c r="L1193" i="37"/>
  <c r="M1193" i="37"/>
  <c r="O1193" i="37"/>
  <c r="Q1193" i="37"/>
  <c r="V1193" i="37"/>
  <c r="L1194" i="37"/>
  <c r="M1194" i="37"/>
  <c r="O1194" i="37"/>
  <c r="Q1194" i="37"/>
  <c r="V1194" i="37"/>
  <c r="L1195" i="37"/>
  <c r="M1195" i="37"/>
  <c r="O1195" i="37"/>
  <c r="Q1195" i="37"/>
  <c r="V1195" i="37"/>
  <c r="L1196" i="37"/>
  <c r="M1196" i="37"/>
  <c r="O1196" i="37"/>
  <c r="Q1196" i="37"/>
  <c r="V1196" i="37"/>
  <c r="L1197" i="37"/>
  <c r="M1197" i="37"/>
  <c r="O1197" i="37"/>
  <c r="Q1197" i="37"/>
  <c r="V1197" i="37"/>
  <c r="L1198" i="37"/>
  <c r="M1198" i="37"/>
  <c r="O1198" i="37"/>
  <c r="Q1198" i="37"/>
  <c r="V1198" i="37"/>
  <c r="L1199" i="37"/>
  <c r="M1199" i="37"/>
  <c r="O1199" i="37"/>
  <c r="Q1199" i="37"/>
  <c r="V1199" i="37"/>
  <c r="L1200" i="37"/>
  <c r="M1200" i="37"/>
  <c r="O1200" i="37"/>
  <c r="Q1200" i="37"/>
  <c r="V1200" i="37"/>
  <c r="L1201" i="37"/>
  <c r="M1201" i="37"/>
  <c r="O1201" i="37"/>
  <c r="Q1201" i="37"/>
  <c r="V1201" i="37"/>
  <c r="L1202" i="37"/>
  <c r="M1202" i="37"/>
  <c r="O1202" i="37"/>
  <c r="Q1202" i="37"/>
  <c r="V1202" i="37"/>
  <c r="L1203" i="37"/>
  <c r="M1203" i="37"/>
  <c r="O1203" i="37"/>
  <c r="Q1203" i="37"/>
  <c r="V1203" i="37"/>
  <c r="L1204" i="37"/>
  <c r="M1204" i="37"/>
  <c r="O1204" i="37"/>
  <c r="Q1204" i="37"/>
  <c r="V1204" i="37"/>
  <c r="L1205" i="37"/>
  <c r="M1205" i="37"/>
  <c r="O1205" i="37"/>
  <c r="Q1205" i="37"/>
  <c r="V1205" i="37"/>
  <c r="L1206" i="37"/>
  <c r="M1206" i="37"/>
  <c r="O1206" i="37"/>
  <c r="Q1206" i="37"/>
  <c r="V1206" i="37"/>
  <c r="L1207" i="37"/>
  <c r="M1207" i="37"/>
  <c r="O1207" i="37"/>
  <c r="Q1207" i="37"/>
  <c r="V1207" i="37"/>
  <c r="L1208" i="37"/>
  <c r="M1208" i="37"/>
  <c r="O1208" i="37"/>
  <c r="Q1208" i="37"/>
  <c r="V1208" i="37"/>
  <c r="L1209" i="37"/>
  <c r="M1209" i="37"/>
  <c r="O1209" i="37"/>
  <c r="Q1209" i="37"/>
  <c r="V1209" i="37"/>
  <c r="L1210" i="37"/>
  <c r="M1210" i="37"/>
  <c r="O1210" i="37"/>
  <c r="Q1210" i="37"/>
  <c r="V1210" i="37"/>
  <c r="L1211" i="37"/>
  <c r="M1211" i="37"/>
  <c r="O1211" i="37"/>
  <c r="Q1211" i="37"/>
  <c r="V1211" i="37"/>
  <c r="L1212" i="37"/>
  <c r="M1212" i="37"/>
  <c r="O1212" i="37"/>
  <c r="Q1212" i="37"/>
  <c r="V1212" i="37"/>
  <c r="L1213" i="37"/>
  <c r="M1213" i="37"/>
  <c r="O1213" i="37"/>
  <c r="Q1213" i="37"/>
  <c r="V1213" i="37"/>
  <c r="L1214" i="37"/>
  <c r="M1214" i="37"/>
  <c r="O1214" i="37"/>
  <c r="Q1214" i="37"/>
  <c r="V1214" i="37"/>
  <c r="L1215" i="37"/>
  <c r="M1215" i="37"/>
  <c r="O1215" i="37"/>
  <c r="Q1215" i="37"/>
  <c r="V1215" i="37"/>
  <c r="L1216" i="37"/>
  <c r="M1216" i="37"/>
  <c r="O1216" i="37"/>
  <c r="Q1216" i="37"/>
  <c r="V1216" i="37"/>
  <c r="L1217" i="37"/>
  <c r="M1217" i="37"/>
  <c r="O1217" i="37"/>
  <c r="Q1217" i="37"/>
  <c r="V1217" i="37"/>
  <c r="L1218" i="37"/>
  <c r="M1218" i="37"/>
  <c r="O1218" i="37"/>
  <c r="Q1218" i="37"/>
  <c r="V1218" i="37"/>
  <c r="L1219" i="37"/>
  <c r="M1219" i="37"/>
  <c r="O1219" i="37"/>
  <c r="Q1219" i="37"/>
  <c r="V1219" i="37"/>
  <c r="L1220" i="37"/>
  <c r="M1220" i="37"/>
  <c r="O1220" i="37"/>
  <c r="Q1220" i="37"/>
  <c r="V1220" i="37"/>
  <c r="L1221" i="37"/>
  <c r="M1221" i="37"/>
  <c r="O1221" i="37"/>
  <c r="Q1221" i="37"/>
  <c r="V1221" i="37"/>
  <c r="L1222" i="37"/>
  <c r="M1222" i="37"/>
  <c r="O1222" i="37"/>
  <c r="Q1222" i="37"/>
  <c r="V1222" i="37"/>
  <c r="L1223" i="37"/>
  <c r="M1223" i="37"/>
  <c r="O1223" i="37"/>
  <c r="Q1223" i="37"/>
  <c r="V1223" i="37"/>
  <c r="L1224" i="37"/>
  <c r="M1224" i="37"/>
  <c r="O1224" i="37"/>
  <c r="Q1224" i="37"/>
  <c r="V1224" i="37"/>
  <c r="L1225" i="37"/>
  <c r="M1225" i="37"/>
  <c r="O1225" i="37"/>
  <c r="Q1225" i="37"/>
  <c r="V1225" i="37"/>
  <c r="L1226" i="37"/>
  <c r="M1226" i="37"/>
  <c r="O1226" i="37"/>
  <c r="Q1226" i="37"/>
  <c r="V1226" i="37"/>
  <c r="L1227" i="37"/>
  <c r="M1227" i="37"/>
  <c r="O1227" i="37"/>
  <c r="Q1227" i="37"/>
  <c r="V1227" i="37"/>
  <c r="L1228" i="37"/>
  <c r="M1228" i="37"/>
  <c r="O1228" i="37"/>
  <c r="Q1228" i="37"/>
  <c r="V1228" i="37"/>
  <c r="L1229" i="37"/>
  <c r="M1229" i="37"/>
  <c r="O1229" i="37"/>
  <c r="Q1229" i="37"/>
  <c r="V1229" i="37"/>
  <c r="L1230" i="37"/>
  <c r="M1230" i="37"/>
  <c r="O1230" i="37"/>
  <c r="Q1230" i="37"/>
  <c r="V1230" i="37"/>
  <c r="L1231" i="37"/>
  <c r="M1231" i="37"/>
  <c r="O1231" i="37"/>
  <c r="Q1231" i="37"/>
  <c r="V1231" i="37"/>
  <c r="L1232" i="37"/>
  <c r="M1232" i="37"/>
  <c r="O1232" i="37"/>
  <c r="Q1232" i="37"/>
  <c r="V1232" i="37"/>
  <c r="L1233" i="37"/>
  <c r="M1233" i="37"/>
  <c r="O1233" i="37"/>
  <c r="Q1233" i="37"/>
  <c r="V1233" i="37"/>
  <c r="L1234" i="37"/>
  <c r="M1234" i="37"/>
  <c r="O1234" i="37"/>
  <c r="Q1234" i="37"/>
  <c r="V1234" i="37"/>
  <c r="L1235" i="37"/>
  <c r="M1235" i="37"/>
  <c r="O1235" i="37"/>
  <c r="Q1235" i="37"/>
  <c r="V1235" i="37"/>
  <c r="L1236" i="37"/>
  <c r="M1236" i="37"/>
  <c r="O1236" i="37"/>
  <c r="Q1236" i="37"/>
  <c r="V1236" i="37"/>
  <c r="L1237" i="37"/>
  <c r="M1237" i="37"/>
  <c r="O1237" i="37"/>
  <c r="Q1237" i="37"/>
  <c r="V1237" i="37"/>
  <c r="L1238" i="37"/>
  <c r="M1238" i="37"/>
  <c r="O1238" i="37"/>
  <c r="Q1238" i="37"/>
  <c r="V1238" i="37"/>
  <c r="L1239" i="37"/>
  <c r="M1239" i="37"/>
  <c r="O1239" i="37"/>
  <c r="Q1239" i="37"/>
  <c r="V1239" i="37"/>
  <c r="L1240" i="37"/>
  <c r="M1240" i="37"/>
  <c r="O1240" i="37"/>
  <c r="Q1240" i="37"/>
  <c r="V1240" i="37"/>
  <c r="L1241" i="37"/>
  <c r="M1241" i="37"/>
  <c r="O1241" i="37"/>
  <c r="Q1241" i="37"/>
  <c r="V1241" i="37"/>
  <c r="L1242" i="37"/>
  <c r="M1242" i="37"/>
  <c r="O1242" i="37"/>
  <c r="Q1242" i="37"/>
  <c r="V1242" i="37"/>
  <c r="L1243" i="37"/>
  <c r="M1243" i="37"/>
  <c r="O1243" i="37"/>
  <c r="Q1243" i="37"/>
  <c r="V1243" i="37"/>
  <c r="L1244" i="37"/>
  <c r="M1244" i="37"/>
  <c r="O1244" i="37"/>
  <c r="Q1244" i="37"/>
  <c r="V1244" i="37"/>
  <c r="L1245" i="37"/>
  <c r="M1245" i="37"/>
  <c r="O1245" i="37"/>
  <c r="Q1245" i="37"/>
  <c r="V1245" i="37"/>
  <c r="L1246" i="37"/>
  <c r="M1246" i="37"/>
  <c r="O1246" i="37"/>
  <c r="Q1246" i="37"/>
  <c r="V1246" i="37"/>
  <c r="L1247" i="37"/>
  <c r="M1247" i="37"/>
  <c r="O1247" i="37"/>
  <c r="Q1247" i="37"/>
  <c r="V1247" i="37"/>
  <c r="L1248" i="37"/>
  <c r="M1248" i="37"/>
  <c r="O1248" i="37"/>
  <c r="Q1248" i="37"/>
  <c r="V1248" i="37"/>
  <c r="L1249" i="37"/>
  <c r="M1249" i="37"/>
  <c r="O1249" i="37"/>
  <c r="Q1249" i="37"/>
  <c r="V1249" i="37"/>
  <c r="L1250" i="37"/>
  <c r="M1250" i="37"/>
  <c r="O1250" i="37"/>
  <c r="Q1250" i="37"/>
  <c r="V1250" i="37"/>
  <c r="L1251" i="37"/>
  <c r="M1251" i="37"/>
  <c r="O1251" i="37"/>
  <c r="Q1251" i="37"/>
  <c r="V1251" i="37"/>
  <c r="L1252" i="37"/>
  <c r="M1252" i="37"/>
  <c r="O1252" i="37"/>
  <c r="Q1252" i="37"/>
  <c r="V1252" i="37"/>
  <c r="L1253" i="37"/>
  <c r="M1253" i="37"/>
  <c r="O1253" i="37"/>
  <c r="Q1253" i="37"/>
  <c r="V1253" i="37"/>
  <c r="L1254" i="37"/>
  <c r="M1254" i="37"/>
  <c r="O1254" i="37"/>
  <c r="Q1254" i="37"/>
  <c r="V1254" i="37"/>
  <c r="L1255" i="37"/>
  <c r="M1255" i="37"/>
  <c r="O1255" i="37"/>
  <c r="Q1255" i="37"/>
  <c r="V1255" i="37"/>
  <c r="L1256" i="37"/>
  <c r="M1256" i="37"/>
  <c r="O1256" i="37"/>
  <c r="Q1256" i="37"/>
  <c r="V1256" i="37"/>
  <c r="L1257" i="37"/>
  <c r="M1257" i="37"/>
  <c r="O1257" i="37"/>
  <c r="Q1257" i="37"/>
  <c r="V1257" i="37"/>
  <c r="L1258" i="37"/>
  <c r="M1258" i="37"/>
  <c r="O1258" i="37"/>
  <c r="Q1258" i="37"/>
  <c r="V1258" i="37"/>
  <c r="L1259" i="37"/>
  <c r="M1259" i="37"/>
  <c r="O1259" i="37"/>
  <c r="Q1259" i="37"/>
  <c r="V1259" i="37"/>
  <c r="L1260" i="37"/>
  <c r="M1260" i="37"/>
  <c r="O1260" i="37"/>
  <c r="Q1260" i="37"/>
  <c r="V1260" i="37"/>
  <c r="L1261" i="37"/>
  <c r="M1261" i="37"/>
  <c r="O1261" i="37"/>
  <c r="Q1261" i="37"/>
  <c r="V1261" i="37"/>
  <c r="L1262" i="37"/>
  <c r="M1262" i="37"/>
  <c r="O1262" i="37"/>
  <c r="Q1262" i="37"/>
  <c r="V1262" i="37"/>
  <c r="L1263" i="37"/>
  <c r="M1263" i="37"/>
  <c r="O1263" i="37"/>
  <c r="Q1263" i="37"/>
  <c r="V1263" i="37"/>
  <c r="L1264" i="37"/>
  <c r="M1264" i="37"/>
  <c r="O1264" i="37"/>
  <c r="Q1264" i="37"/>
  <c r="V1264" i="37"/>
  <c r="L1265" i="37"/>
  <c r="M1265" i="37"/>
  <c r="O1265" i="37"/>
  <c r="Q1265" i="37"/>
  <c r="V1265" i="37"/>
  <c r="L1266" i="37"/>
  <c r="M1266" i="37"/>
  <c r="O1266" i="37"/>
  <c r="Q1266" i="37"/>
  <c r="V1266" i="37"/>
  <c r="L1267" i="37"/>
  <c r="M1267" i="37"/>
  <c r="O1267" i="37"/>
  <c r="Q1267" i="37"/>
  <c r="V1267" i="37"/>
  <c r="L1268" i="37"/>
  <c r="M1268" i="37"/>
  <c r="O1268" i="37"/>
  <c r="Q1268" i="37"/>
  <c r="V1268" i="37"/>
  <c r="L1269" i="37"/>
  <c r="M1269" i="37"/>
  <c r="O1269" i="37"/>
  <c r="Q1269" i="37"/>
  <c r="V1269" i="37"/>
  <c r="L1270" i="37"/>
  <c r="M1270" i="37"/>
  <c r="O1270" i="37"/>
  <c r="Q1270" i="37"/>
  <c r="V1270" i="37"/>
  <c r="L1271" i="37"/>
  <c r="M1271" i="37"/>
  <c r="O1271" i="37"/>
  <c r="Q1271" i="37"/>
  <c r="V1271" i="37"/>
  <c r="L1272" i="37"/>
  <c r="M1272" i="37"/>
  <c r="O1272" i="37"/>
  <c r="Q1272" i="37"/>
  <c r="V1272" i="37"/>
  <c r="L1273" i="37"/>
  <c r="M1273" i="37"/>
  <c r="O1273" i="37"/>
  <c r="Q1273" i="37"/>
  <c r="V1273" i="37"/>
  <c r="L1274" i="37"/>
  <c r="M1274" i="37"/>
  <c r="O1274" i="37"/>
  <c r="Q1274" i="37"/>
  <c r="V1274" i="37"/>
  <c r="L1275" i="37"/>
  <c r="M1275" i="37"/>
  <c r="O1275" i="37"/>
  <c r="Q1275" i="37"/>
  <c r="V1275" i="37"/>
  <c r="L1276" i="37"/>
  <c r="M1276" i="37"/>
  <c r="O1276" i="37"/>
  <c r="Q1276" i="37"/>
  <c r="V1276" i="37"/>
  <c r="L1277" i="37"/>
  <c r="M1277" i="37"/>
  <c r="O1277" i="37"/>
  <c r="Q1277" i="37"/>
  <c r="V1277" i="37"/>
  <c r="L1278" i="37"/>
  <c r="M1278" i="37"/>
  <c r="O1278" i="37"/>
  <c r="Q1278" i="37"/>
  <c r="V1278" i="37"/>
  <c r="L1279" i="37"/>
  <c r="M1279" i="37"/>
  <c r="O1279" i="37"/>
  <c r="Q1279" i="37"/>
  <c r="V1279" i="37"/>
  <c r="L1280" i="37"/>
  <c r="M1280" i="37"/>
  <c r="O1280" i="37"/>
  <c r="Q1280" i="37"/>
  <c r="V1280" i="37"/>
  <c r="L1281" i="37"/>
  <c r="M1281" i="37"/>
  <c r="O1281" i="37"/>
  <c r="Q1281" i="37"/>
  <c r="V1281" i="37"/>
  <c r="L1282" i="37"/>
  <c r="M1282" i="37"/>
  <c r="O1282" i="37"/>
  <c r="Q1282" i="37"/>
  <c r="V1282" i="37"/>
  <c r="L1283" i="37"/>
  <c r="M1283" i="37"/>
  <c r="O1283" i="37"/>
  <c r="Q1283" i="37"/>
  <c r="V1283" i="37"/>
  <c r="L1284" i="37"/>
  <c r="M1284" i="37"/>
  <c r="O1284" i="37"/>
  <c r="Q1284" i="37"/>
  <c r="V1284" i="37"/>
  <c r="L1285" i="37"/>
  <c r="M1285" i="37"/>
  <c r="O1285" i="37"/>
  <c r="Q1285" i="37"/>
  <c r="V1285" i="37"/>
  <c r="L1286" i="37"/>
  <c r="M1286" i="37"/>
  <c r="O1286" i="37"/>
  <c r="Q1286" i="37"/>
  <c r="V1286" i="37"/>
  <c r="L1287" i="37"/>
  <c r="M1287" i="37"/>
  <c r="O1287" i="37"/>
  <c r="Q1287" i="37"/>
  <c r="V1287" i="37"/>
  <c r="L1288" i="37"/>
  <c r="M1288" i="37"/>
  <c r="O1288" i="37"/>
  <c r="Q1288" i="37"/>
  <c r="V1288" i="37"/>
  <c r="L1289" i="37"/>
  <c r="M1289" i="37"/>
  <c r="O1289" i="37"/>
  <c r="Q1289" i="37"/>
  <c r="V1289" i="37"/>
  <c r="L1290" i="37"/>
  <c r="M1290" i="37"/>
  <c r="O1290" i="37"/>
  <c r="Q1290" i="37"/>
  <c r="V1290" i="37"/>
  <c r="L1291" i="37"/>
  <c r="M1291" i="37"/>
  <c r="O1291" i="37"/>
  <c r="Q1291" i="37"/>
  <c r="V1291" i="37"/>
  <c r="L1292" i="37"/>
  <c r="M1292" i="37"/>
  <c r="O1292" i="37"/>
  <c r="Q1292" i="37"/>
  <c r="V1292" i="37"/>
  <c r="L1293" i="37"/>
  <c r="M1293" i="37"/>
  <c r="O1293" i="37"/>
  <c r="Q1293" i="37"/>
  <c r="V1293" i="37"/>
  <c r="L1294" i="37"/>
  <c r="M1294" i="37"/>
  <c r="O1294" i="37"/>
  <c r="Q1294" i="37"/>
  <c r="V1294" i="37"/>
  <c r="L1295" i="37"/>
  <c r="M1295" i="37"/>
  <c r="O1295" i="37"/>
  <c r="Q1295" i="37"/>
  <c r="V1295" i="37"/>
  <c r="L1296" i="37"/>
  <c r="M1296" i="37"/>
  <c r="O1296" i="37"/>
  <c r="Q1296" i="37"/>
  <c r="V1296" i="37"/>
  <c r="L1297" i="37"/>
  <c r="M1297" i="37"/>
  <c r="O1297" i="37"/>
  <c r="Q1297" i="37"/>
  <c r="V1297" i="37"/>
  <c r="L1298" i="37"/>
  <c r="M1298" i="37"/>
  <c r="O1298" i="37"/>
  <c r="Q1298" i="37"/>
  <c r="V1298" i="37"/>
  <c r="L1299" i="37"/>
  <c r="M1299" i="37"/>
  <c r="O1299" i="37"/>
  <c r="Q1299" i="37"/>
  <c r="V1299" i="37"/>
  <c r="L1300" i="37"/>
  <c r="M1300" i="37"/>
  <c r="O1300" i="37"/>
  <c r="Q1300" i="37"/>
  <c r="V1300" i="37"/>
  <c r="L1301" i="37"/>
  <c r="M1301" i="37"/>
  <c r="O1301" i="37"/>
  <c r="Q1301" i="37"/>
  <c r="V1301" i="37"/>
  <c r="L1302" i="37"/>
  <c r="M1302" i="37"/>
  <c r="O1302" i="37"/>
  <c r="Q1302" i="37"/>
  <c r="V1302" i="37"/>
  <c r="L1303" i="37"/>
  <c r="M1303" i="37"/>
  <c r="O1303" i="37"/>
  <c r="Q1303" i="37"/>
  <c r="V1303" i="37"/>
  <c r="L1304" i="37"/>
  <c r="M1304" i="37"/>
  <c r="O1304" i="37"/>
  <c r="Q1304" i="37"/>
  <c r="V1304" i="37"/>
  <c r="L1305" i="37"/>
  <c r="M1305" i="37"/>
  <c r="O1305" i="37"/>
  <c r="Q1305" i="37"/>
  <c r="V1305" i="37"/>
  <c r="L1306" i="37"/>
  <c r="M1306" i="37"/>
  <c r="O1306" i="37"/>
  <c r="Q1306" i="37"/>
  <c r="V1306" i="37"/>
  <c r="L1307" i="37"/>
  <c r="M1307" i="37"/>
  <c r="O1307" i="37"/>
  <c r="Q1307" i="37"/>
  <c r="V1307" i="37"/>
  <c r="L1308" i="37"/>
  <c r="M1308" i="37"/>
  <c r="O1308" i="37"/>
  <c r="Q1308" i="37"/>
  <c r="V1308" i="37"/>
  <c r="L1309" i="37"/>
  <c r="M1309" i="37"/>
  <c r="O1309" i="37"/>
  <c r="Q1309" i="37"/>
  <c r="V1309" i="37"/>
  <c r="L1310" i="37"/>
  <c r="M1310" i="37"/>
  <c r="O1310" i="37"/>
  <c r="Q1310" i="37"/>
  <c r="V1310" i="37"/>
  <c r="L1311" i="37"/>
  <c r="M1311" i="37"/>
  <c r="O1311" i="37"/>
  <c r="Q1311" i="37"/>
  <c r="V1311" i="37"/>
  <c r="L1312" i="37"/>
  <c r="M1312" i="37"/>
  <c r="O1312" i="37"/>
  <c r="Q1312" i="37"/>
  <c r="V1312" i="37"/>
  <c r="L1313" i="37"/>
  <c r="M1313" i="37"/>
  <c r="O1313" i="37"/>
  <c r="Q1313" i="37"/>
  <c r="V1313" i="37"/>
  <c r="L1314" i="37"/>
  <c r="M1314" i="37"/>
  <c r="O1314" i="37"/>
  <c r="Q1314" i="37"/>
  <c r="V1314" i="37"/>
  <c r="L1315" i="37"/>
  <c r="M1315" i="37"/>
  <c r="O1315" i="37"/>
  <c r="Q1315" i="37"/>
  <c r="V1315" i="37"/>
  <c r="L1316" i="37"/>
  <c r="M1316" i="37"/>
  <c r="O1316" i="37"/>
  <c r="Q1316" i="37"/>
  <c r="V1316" i="37"/>
  <c r="L1317" i="37"/>
  <c r="M1317" i="37"/>
  <c r="O1317" i="37"/>
  <c r="Q1317" i="37"/>
  <c r="V1317" i="37"/>
  <c r="L1318" i="37"/>
  <c r="M1318" i="37"/>
  <c r="O1318" i="37"/>
  <c r="Q1318" i="37"/>
  <c r="V1318" i="37"/>
  <c r="L1319" i="37"/>
  <c r="M1319" i="37"/>
  <c r="O1319" i="37"/>
  <c r="Q1319" i="37"/>
  <c r="V1319" i="37"/>
  <c r="L1320" i="37"/>
  <c r="M1320" i="37"/>
  <c r="O1320" i="37"/>
  <c r="Q1320" i="37"/>
  <c r="V1320" i="37"/>
  <c r="L1321" i="37"/>
  <c r="M1321" i="37"/>
  <c r="O1321" i="37"/>
  <c r="Q1321" i="37"/>
  <c r="V1321" i="37"/>
  <c r="L1322" i="37"/>
  <c r="M1322" i="37"/>
  <c r="O1322" i="37"/>
  <c r="Q1322" i="37"/>
  <c r="V1322" i="37"/>
  <c r="L1323" i="37"/>
  <c r="M1323" i="37"/>
  <c r="O1323" i="37"/>
  <c r="Q1323" i="37"/>
  <c r="V1323" i="37"/>
  <c r="L1324" i="37"/>
  <c r="M1324" i="37"/>
  <c r="O1324" i="37"/>
  <c r="Q1324" i="37"/>
  <c r="V1324" i="37"/>
  <c r="L1325" i="37"/>
  <c r="M1325" i="37"/>
  <c r="O1325" i="37"/>
  <c r="Q1325" i="37"/>
  <c r="V1325" i="37"/>
  <c r="L1326" i="37"/>
  <c r="M1326" i="37"/>
  <c r="O1326" i="37"/>
  <c r="Q1326" i="37"/>
  <c r="V1326" i="37"/>
  <c r="L1327" i="37"/>
  <c r="M1327" i="37"/>
  <c r="O1327" i="37"/>
  <c r="Q1327" i="37"/>
  <c r="V1327" i="37"/>
  <c r="L1328" i="37"/>
  <c r="M1328" i="37"/>
  <c r="O1328" i="37"/>
  <c r="Q1328" i="37"/>
  <c r="V1328" i="37"/>
  <c r="L1329" i="37"/>
  <c r="M1329" i="37"/>
  <c r="O1329" i="37"/>
  <c r="Q1329" i="37"/>
  <c r="V1329" i="37"/>
  <c r="L1330" i="37"/>
  <c r="M1330" i="37"/>
  <c r="O1330" i="37"/>
  <c r="Q1330" i="37"/>
  <c r="V1330" i="37"/>
  <c r="L1331" i="37"/>
  <c r="M1331" i="37"/>
  <c r="O1331" i="37"/>
  <c r="Q1331" i="37"/>
  <c r="V1331" i="37"/>
  <c r="L1332" i="37"/>
  <c r="M1332" i="37"/>
  <c r="O1332" i="37"/>
  <c r="Q1332" i="37"/>
  <c r="V1332" i="37"/>
  <c r="L1333" i="37"/>
  <c r="M1333" i="37"/>
  <c r="O1333" i="37"/>
  <c r="Q1333" i="37"/>
  <c r="V1333" i="37"/>
  <c r="L1334" i="37"/>
  <c r="M1334" i="37"/>
  <c r="O1334" i="37"/>
  <c r="Q1334" i="37"/>
  <c r="V1334" i="37"/>
  <c r="L1335" i="37"/>
  <c r="M1335" i="37"/>
  <c r="O1335" i="37"/>
  <c r="Q1335" i="37"/>
  <c r="V1335" i="37"/>
  <c r="L1336" i="37"/>
  <c r="M1336" i="37"/>
  <c r="O1336" i="37"/>
  <c r="Q1336" i="37"/>
  <c r="V1336" i="37"/>
  <c r="L1337" i="37"/>
  <c r="M1337" i="37"/>
  <c r="O1337" i="37"/>
  <c r="Q1337" i="37"/>
  <c r="V1337" i="37"/>
  <c r="L1338" i="37"/>
  <c r="M1338" i="37"/>
  <c r="O1338" i="37"/>
  <c r="Q1338" i="37"/>
  <c r="V1338" i="37"/>
  <c r="L1339" i="37"/>
  <c r="M1339" i="37"/>
  <c r="O1339" i="37"/>
  <c r="Q1339" i="37"/>
  <c r="V1339" i="37"/>
  <c r="L1340" i="37"/>
  <c r="M1340" i="37"/>
  <c r="O1340" i="37"/>
  <c r="Q1340" i="37"/>
  <c r="V1340" i="37"/>
  <c r="L1341" i="37"/>
  <c r="M1341" i="37"/>
  <c r="O1341" i="37"/>
  <c r="Q1341" i="37"/>
  <c r="V1341" i="37"/>
  <c r="L1342" i="37"/>
  <c r="M1342" i="37"/>
  <c r="O1342" i="37"/>
  <c r="Q1342" i="37"/>
  <c r="V1342" i="37"/>
  <c r="L1343" i="37"/>
  <c r="M1343" i="37"/>
  <c r="O1343" i="37"/>
  <c r="Q1343" i="37"/>
  <c r="V1343" i="37"/>
  <c r="L1344" i="37"/>
  <c r="M1344" i="37"/>
  <c r="O1344" i="37"/>
  <c r="Q1344" i="37"/>
  <c r="V1344" i="37"/>
  <c r="L1345" i="37"/>
  <c r="M1345" i="37"/>
  <c r="O1345" i="37"/>
  <c r="Q1345" i="37"/>
  <c r="V1345" i="37"/>
  <c r="L1346" i="37"/>
  <c r="M1346" i="37"/>
  <c r="O1346" i="37"/>
  <c r="Q1346" i="37"/>
  <c r="V1346" i="37"/>
  <c r="L1347" i="37"/>
  <c r="M1347" i="37"/>
  <c r="O1347" i="37"/>
  <c r="Q1347" i="37"/>
  <c r="V1347" i="37"/>
  <c r="L1348" i="37"/>
  <c r="M1348" i="37"/>
  <c r="O1348" i="37"/>
  <c r="Q1348" i="37"/>
  <c r="V1348" i="37"/>
  <c r="L1349" i="37"/>
  <c r="M1349" i="37"/>
  <c r="O1349" i="37"/>
  <c r="Q1349" i="37"/>
  <c r="V1349" i="37"/>
  <c r="L1350" i="37"/>
  <c r="M1350" i="37"/>
  <c r="O1350" i="37"/>
  <c r="Q1350" i="37"/>
  <c r="V1350" i="37"/>
  <c r="L1351" i="37"/>
  <c r="M1351" i="37"/>
  <c r="O1351" i="37"/>
  <c r="Q1351" i="37"/>
  <c r="V1351" i="37"/>
  <c r="L1352" i="37"/>
  <c r="M1352" i="37"/>
  <c r="O1352" i="37"/>
  <c r="Q1352" i="37"/>
  <c r="V1352" i="37"/>
  <c r="L1353" i="37"/>
  <c r="M1353" i="37"/>
  <c r="O1353" i="37"/>
  <c r="Q1353" i="37"/>
  <c r="V1353" i="37"/>
  <c r="L1354" i="37"/>
  <c r="M1354" i="37"/>
  <c r="O1354" i="37"/>
  <c r="Q1354" i="37"/>
  <c r="V1354" i="37"/>
  <c r="L1355" i="37"/>
  <c r="M1355" i="37"/>
  <c r="O1355" i="37"/>
  <c r="Q1355" i="37"/>
  <c r="V1355" i="37"/>
  <c r="L1356" i="37"/>
  <c r="M1356" i="37"/>
  <c r="O1356" i="37"/>
  <c r="Q1356" i="37"/>
  <c r="V1356" i="37"/>
  <c r="L1357" i="37"/>
  <c r="M1357" i="37"/>
  <c r="O1357" i="37"/>
  <c r="Q1357" i="37"/>
  <c r="V1357" i="37"/>
  <c r="L1358" i="37"/>
  <c r="M1358" i="37"/>
  <c r="O1358" i="37"/>
  <c r="Q1358" i="37"/>
  <c r="V1358" i="37"/>
  <c r="L1359" i="37"/>
  <c r="M1359" i="37"/>
  <c r="O1359" i="37"/>
  <c r="Q1359" i="37"/>
  <c r="V1359" i="37"/>
  <c r="L1360" i="37"/>
  <c r="M1360" i="37"/>
  <c r="O1360" i="37"/>
  <c r="Q1360" i="37"/>
  <c r="V1360" i="37"/>
  <c r="L1361" i="37"/>
  <c r="M1361" i="37"/>
  <c r="O1361" i="37"/>
  <c r="Q1361" i="37"/>
  <c r="V1361" i="37"/>
  <c r="L1362" i="37"/>
  <c r="M1362" i="37"/>
  <c r="O1362" i="37"/>
  <c r="Q1362" i="37"/>
  <c r="V1362" i="37"/>
  <c r="L1363" i="37"/>
  <c r="M1363" i="37"/>
  <c r="O1363" i="37"/>
  <c r="Q1363" i="37"/>
  <c r="V1363" i="37"/>
  <c r="L1364" i="37"/>
  <c r="M1364" i="37"/>
  <c r="O1364" i="37"/>
  <c r="Q1364" i="37"/>
  <c r="V1364" i="37"/>
  <c r="L1365" i="37"/>
  <c r="M1365" i="37"/>
  <c r="O1365" i="37"/>
  <c r="Q1365" i="37"/>
  <c r="V1365" i="37"/>
  <c r="L1366" i="37"/>
  <c r="M1366" i="37"/>
  <c r="O1366" i="37"/>
  <c r="Q1366" i="37"/>
  <c r="V1366" i="37"/>
  <c r="L1367" i="37"/>
  <c r="M1367" i="37"/>
  <c r="O1367" i="37"/>
  <c r="Q1367" i="37"/>
  <c r="V1367" i="37"/>
  <c r="L1368" i="37"/>
  <c r="M1368" i="37"/>
  <c r="O1368" i="37"/>
  <c r="Q1368" i="37"/>
  <c r="V1368" i="37"/>
  <c r="L1369" i="37"/>
  <c r="M1369" i="37"/>
  <c r="O1369" i="37"/>
  <c r="Q1369" i="37"/>
  <c r="V1369" i="37"/>
  <c r="L1370" i="37"/>
  <c r="M1370" i="37"/>
  <c r="O1370" i="37"/>
  <c r="Q1370" i="37"/>
  <c r="V1370" i="37"/>
  <c r="L1371" i="37"/>
  <c r="M1371" i="37"/>
  <c r="O1371" i="37"/>
  <c r="Q1371" i="37"/>
  <c r="V1371" i="37"/>
  <c r="L1372" i="37"/>
  <c r="M1372" i="37"/>
  <c r="O1372" i="37"/>
  <c r="Q1372" i="37"/>
  <c r="V1372" i="37"/>
  <c r="L1373" i="37"/>
  <c r="M1373" i="37"/>
  <c r="O1373" i="37"/>
  <c r="Q1373" i="37"/>
  <c r="V1373" i="37"/>
  <c r="L1374" i="37"/>
  <c r="M1374" i="37"/>
  <c r="O1374" i="37"/>
  <c r="Q1374" i="37"/>
  <c r="V1374" i="37"/>
  <c r="L1375" i="37"/>
  <c r="M1375" i="37"/>
  <c r="O1375" i="37"/>
  <c r="Q1375" i="37"/>
  <c r="V1375" i="37"/>
  <c r="L1376" i="37"/>
  <c r="M1376" i="37"/>
  <c r="O1376" i="37"/>
  <c r="Q1376" i="37"/>
  <c r="V1376" i="37"/>
  <c r="L1377" i="37"/>
  <c r="M1377" i="37"/>
  <c r="O1377" i="37"/>
  <c r="Q1377" i="37"/>
  <c r="V1377" i="37"/>
  <c r="L1378" i="37"/>
  <c r="M1378" i="37"/>
  <c r="O1378" i="37"/>
  <c r="Q1378" i="37"/>
  <c r="V1378" i="37"/>
  <c r="L1379" i="37"/>
  <c r="M1379" i="37"/>
  <c r="O1379" i="37"/>
  <c r="Q1379" i="37"/>
  <c r="V1379" i="37"/>
  <c r="L1380" i="37"/>
  <c r="M1380" i="37"/>
  <c r="O1380" i="37"/>
  <c r="Q1380" i="37"/>
  <c r="V1380" i="37"/>
  <c r="L1381" i="37"/>
  <c r="M1381" i="37"/>
  <c r="O1381" i="37"/>
  <c r="Q1381" i="37"/>
  <c r="V1381" i="37"/>
  <c r="L1382" i="37"/>
  <c r="M1382" i="37"/>
  <c r="O1382" i="37"/>
  <c r="Q1382" i="37"/>
  <c r="V1382" i="37"/>
  <c r="L1383" i="37"/>
  <c r="M1383" i="37"/>
  <c r="O1383" i="37"/>
  <c r="Q1383" i="37"/>
  <c r="V1383" i="37"/>
  <c r="L1384" i="37"/>
  <c r="M1384" i="37"/>
  <c r="O1384" i="37"/>
  <c r="Q1384" i="37"/>
  <c r="V1384" i="37"/>
  <c r="L1385" i="37"/>
  <c r="M1385" i="37"/>
  <c r="O1385" i="37"/>
  <c r="Q1385" i="37"/>
  <c r="V1385" i="37"/>
  <c r="L1386" i="37"/>
  <c r="M1386" i="37"/>
  <c r="O1386" i="37"/>
  <c r="Q1386" i="37"/>
  <c r="V1386" i="37"/>
  <c r="L1387" i="37"/>
  <c r="M1387" i="37"/>
  <c r="O1387" i="37"/>
  <c r="Q1387" i="37"/>
  <c r="V1387" i="37"/>
  <c r="L1388" i="37"/>
  <c r="M1388" i="37"/>
  <c r="O1388" i="37"/>
  <c r="Q1388" i="37"/>
  <c r="V1388" i="37"/>
  <c r="L1389" i="37"/>
  <c r="M1389" i="37"/>
  <c r="O1389" i="37"/>
  <c r="Q1389" i="37"/>
  <c r="V1389" i="37"/>
  <c r="L1390" i="37"/>
  <c r="M1390" i="37"/>
  <c r="O1390" i="37"/>
  <c r="Q1390" i="37"/>
  <c r="V1390" i="37"/>
  <c r="L1391" i="37"/>
  <c r="M1391" i="37"/>
  <c r="O1391" i="37"/>
  <c r="Q1391" i="37"/>
  <c r="V1391" i="37"/>
  <c r="L1392" i="37"/>
  <c r="M1392" i="37"/>
  <c r="O1392" i="37"/>
  <c r="Q1392" i="37"/>
  <c r="V1392" i="37"/>
  <c r="L1393" i="37"/>
  <c r="M1393" i="37"/>
  <c r="O1393" i="37"/>
  <c r="Q1393" i="37"/>
  <c r="V1393" i="37"/>
  <c r="L1394" i="37"/>
  <c r="M1394" i="37"/>
  <c r="O1394" i="37"/>
  <c r="Q1394" i="37"/>
  <c r="V1394" i="37"/>
  <c r="L1395" i="37"/>
  <c r="M1395" i="37"/>
  <c r="O1395" i="37"/>
  <c r="Q1395" i="37"/>
  <c r="V1395" i="37"/>
  <c r="L1396" i="37"/>
  <c r="M1396" i="37"/>
  <c r="O1396" i="37"/>
  <c r="Q1396" i="37"/>
  <c r="V1396" i="37"/>
  <c r="L1397" i="37"/>
  <c r="M1397" i="37"/>
  <c r="O1397" i="37"/>
  <c r="Q1397" i="37"/>
  <c r="V1397" i="37"/>
  <c r="L1398" i="37"/>
  <c r="M1398" i="37"/>
  <c r="O1398" i="37"/>
  <c r="Q1398" i="37"/>
  <c r="V1398" i="37"/>
  <c r="L1399" i="37"/>
  <c r="M1399" i="37"/>
  <c r="O1399" i="37"/>
  <c r="Q1399" i="37"/>
  <c r="V1399" i="37"/>
  <c r="L1400" i="37"/>
  <c r="M1400" i="37"/>
  <c r="O1400" i="37"/>
  <c r="Q1400" i="37"/>
  <c r="V1400" i="37"/>
  <c r="L1401" i="37"/>
  <c r="M1401" i="37"/>
  <c r="O1401" i="37"/>
  <c r="Q1401" i="37"/>
  <c r="V1401" i="37"/>
  <c r="L1402" i="37"/>
  <c r="M1402" i="37"/>
  <c r="O1402" i="37"/>
  <c r="Q1402" i="37"/>
  <c r="V1402" i="37"/>
  <c r="L1403" i="37"/>
  <c r="M1403" i="37"/>
  <c r="O1403" i="37"/>
  <c r="Q1403" i="37"/>
  <c r="V1403" i="37"/>
  <c r="L1404" i="37"/>
  <c r="M1404" i="37"/>
  <c r="O1404" i="37"/>
  <c r="Q1404" i="37"/>
  <c r="V1404" i="37"/>
  <c r="L1405" i="37"/>
  <c r="M1405" i="37"/>
  <c r="O1405" i="37"/>
  <c r="Q1405" i="37"/>
  <c r="V1405" i="37"/>
  <c r="L1406" i="37"/>
  <c r="M1406" i="37"/>
  <c r="O1406" i="37"/>
  <c r="Q1406" i="37"/>
  <c r="V1406" i="37"/>
  <c r="L1407" i="37"/>
  <c r="M1407" i="37"/>
  <c r="O1407" i="37"/>
  <c r="Q1407" i="37"/>
  <c r="V1407" i="37"/>
  <c r="L1408" i="37"/>
  <c r="M1408" i="37"/>
  <c r="O1408" i="37"/>
  <c r="Q1408" i="37"/>
  <c r="V1408" i="37"/>
  <c r="L1409" i="37"/>
  <c r="M1409" i="37"/>
  <c r="O1409" i="37"/>
  <c r="Q1409" i="37"/>
  <c r="V1409" i="37"/>
  <c r="L1410" i="37"/>
  <c r="M1410" i="37"/>
  <c r="O1410" i="37"/>
  <c r="Q1410" i="37"/>
  <c r="V1410" i="37"/>
  <c r="L1411" i="37"/>
  <c r="M1411" i="37"/>
  <c r="O1411" i="37"/>
  <c r="Q1411" i="37"/>
  <c r="V1411" i="37"/>
  <c r="L1412" i="37"/>
  <c r="M1412" i="37"/>
  <c r="O1412" i="37"/>
  <c r="Q1412" i="37"/>
  <c r="V1412" i="37"/>
  <c r="L1413" i="37"/>
  <c r="M1413" i="37"/>
  <c r="O1413" i="37"/>
  <c r="Q1413" i="37"/>
  <c r="V1413" i="37"/>
  <c r="L1414" i="37"/>
  <c r="M1414" i="37"/>
  <c r="O1414" i="37"/>
  <c r="Q1414" i="37"/>
  <c r="V1414" i="37"/>
  <c r="L1415" i="37"/>
  <c r="M1415" i="37"/>
  <c r="O1415" i="37"/>
  <c r="Q1415" i="37"/>
  <c r="V1415" i="37"/>
  <c r="L1416" i="37"/>
  <c r="M1416" i="37"/>
  <c r="O1416" i="37"/>
  <c r="Q1416" i="37"/>
  <c r="V1416" i="37"/>
  <c r="L1417" i="37"/>
  <c r="M1417" i="37"/>
  <c r="O1417" i="37"/>
  <c r="Q1417" i="37"/>
  <c r="V1417" i="37"/>
  <c r="L1418" i="37"/>
  <c r="M1418" i="37"/>
  <c r="O1418" i="37"/>
  <c r="Q1418" i="37"/>
  <c r="V1418" i="37"/>
  <c r="L1419" i="37"/>
  <c r="M1419" i="37"/>
  <c r="O1419" i="37"/>
  <c r="Q1419" i="37"/>
  <c r="V1419" i="37"/>
  <c r="L1420" i="37"/>
  <c r="M1420" i="37"/>
  <c r="O1420" i="37"/>
  <c r="Q1420" i="37"/>
  <c r="V1420" i="37"/>
  <c r="L1421" i="37"/>
  <c r="M1421" i="37"/>
  <c r="O1421" i="37"/>
  <c r="Q1421" i="37"/>
  <c r="V1421" i="37"/>
  <c r="L1422" i="37"/>
  <c r="M1422" i="37"/>
  <c r="O1422" i="37"/>
  <c r="Q1422" i="37"/>
  <c r="V1422" i="37"/>
  <c r="L1423" i="37"/>
  <c r="M1423" i="37"/>
  <c r="O1423" i="37"/>
  <c r="Q1423" i="37"/>
  <c r="V1423" i="37"/>
  <c r="L1424" i="37"/>
  <c r="M1424" i="37"/>
  <c r="O1424" i="37"/>
  <c r="Q1424" i="37"/>
  <c r="V1424" i="37"/>
  <c r="L1425" i="37"/>
  <c r="M1425" i="37"/>
  <c r="O1425" i="37"/>
  <c r="Q1425" i="37"/>
  <c r="V1425" i="37"/>
  <c r="L1426" i="37"/>
  <c r="M1426" i="37"/>
  <c r="O1426" i="37"/>
  <c r="Q1426" i="37"/>
  <c r="V1426" i="37"/>
  <c r="L1427" i="37"/>
  <c r="M1427" i="37"/>
  <c r="O1427" i="37"/>
  <c r="Q1427" i="37"/>
  <c r="V1427" i="37"/>
  <c r="L1428" i="37"/>
  <c r="M1428" i="37"/>
  <c r="O1428" i="37"/>
  <c r="Q1428" i="37"/>
  <c r="V1428" i="37"/>
  <c r="L1429" i="37"/>
  <c r="M1429" i="37"/>
  <c r="O1429" i="37"/>
  <c r="Q1429" i="37"/>
  <c r="V1429" i="37"/>
  <c r="L1430" i="37"/>
  <c r="M1430" i="37"/>
  <c r="O1430" i="37"/>
  <c r="Q1430" i="37"/>
  <c r="V1430" i="37"/>
  <c r="L1431" i="37"/>
  <c r="M1431" i="37"/>
  <c r="O1431" i="37"/>
  <c r="Q1431" i="37"/>
  <c r="V1431" i="37"/>
  <c r="L1432" i="37"/>
  <c r="M1432" i="37"/>
  <c r="O1432" i="37"/>
  <c r="Q1432" i="37"/>
  <c r="V1432" i="37"/>
  <c r="L1433" i="37"/>
  <c r="M1433" i="37"/>
  <c r="O1433" i="37"/>
  <c r="Q1433" i="37"/>
  <c r="V1433" i="37"/>
  <c r="L1434" i="37"/>
  <c r="M1434" i="37"/>
  <c r="O1434" i="37"/>
  <c r="Q1434" i="37"/>
  <c r="V1434" i="37"/>
  <c r="L1435" i="37"/>
  <c r="M1435" i="37"/>
  <c r="O1435" i="37"/>
  <c r="Q1435" i="37"/>
  <c r="V1435" i="37"/>
  <c r="L1436" i="37"/>
  <c r="M1436" i="37"/>
  <c r="O1436" i="37"/>
  <c r="Q1436" i="37"/>
  <c r="V1436" i="37"/>
  <c r="L1437" i="37"/>
  <c r="M1437" i="37"/>
  <c r="O1437" i="37"/>
  <c r="Q1437" i="37"/>
  <c r="V1437" i="37"/>
  <c r="L1438" i="37"/>
  <c r="M1438" i="37"/>
  <c r="O1438" i="37"/>
  <c r="Q1438" i="37"/>
  <c r="V1438" i="37"/>
  <c r="L1439" i="37"/>
  <c r="M1439" i="37"/>
  <c r="O1439" i="37"/>
  <c r="Q1439" i="37"/>
  <c r="V1439" i="37"/>
  <c r="L1440" i="37"/>
  <c r="M1440" i="37"/>
  <c r="O1440" i="37"/>
  <c r="Q1440" i="37"/>
  <c r="V1440" i="37"/>
  <c r="L1441" i="37"/>
  <c r="M1441" i="37"/>
  <c r="O1441" i="37"/>
  <c r="Q1441" i="37"/>
  <c r="V1441" i="37"/>
  <c r="L1442" i="37"/>
  <c r="M1442" i="37"/>
  <c r="O1442" i="37"/>
  <c r="Q1442" i="37"/>
  <c r="V1442" i="37"/>
  <c r="L1443" i="37"/>
  <c r="M1443" i="37"/>
  <c r="O1443" i="37"/>
  <c r="Q1443" i="37"/>
  <c r="V1443" i="37"/>
  <c r="L1444" i="37"/>
  <c r="M1444" i="37"/>
  <c r="O1444" i="37"/>
  <c r="Q1444" i="37"/>
  <c r="V1444" i="37"/>
  <c r="L1445" i="37"/>
  <c r="M1445" i="37"/>
  <c r="O1445" i="37"/>
  <c r="Q1445" i="37"/>
  <c r="V1445" i="37"/>
  <c r="L1446" i="37"/>
  <c r="M1446" i="37"/>
  <c r="O1446" i="37"/>
  <c r="Q1446" i="37"/>
  <c r="V1446" i="37"/>
  <c r="L1447" i="37"/>
  <c r="M1447" i="37"/>
  <c r="O1447" i="37"/>
  <c r="Q1447" i="37"/>
  <c r="V1447" i="37"/>
  <c r="L1448" i="37"/>
  <c r="M1448" i="37"/>
  <c r="O1448" i="37"/>
  <c r="Q1448" i="37"/>
  <c r="V1448" i="37"/>
  <c r="L1449" i="37"/>
  <c r="M1449" i="37"/>
  <c r="O1449" i="37"/>
  <c r="Q1449" i="37"/>
  <c r="V1449" i="37"/>
  <c r="L1450" i="37"/>
  <c r="M1450" i="37"/>
  <c r="O1450" i="37"/>
  <c r="Q1450" i="37"/>
  <c r="V1450" i="37"/>
  <c r="L1451" i="37"/>
  <c r="M1451" i="37"/>
  <c r="O1451" i="37"/>
  <c r="Q1451" i="37"/>
  <c r="V1451" i="37"/>
  <c r="L1452" i="37"/>
  <c r="M1452" i="37"/>
  <c r="O1452" i="37"/>
  <c r="Q1452" i="37"/>
  <c r="V1452" i="37"/>
  <c r="L1453" i="37"/>
  <c r="M1453" i="37"/>
  <c r="O1453" i="37"/>
  <c r="Q1453" i="37"/>
  <c r="V1453" i="37"/>
  <c r="L1454" i="37"/>
  <c r="M1454" i="37"/>
  <c r="O1454" i="37"/>
  <c r="Q1454" i="37"/>
  <c r="V1454" i="37"/>
  <c r="L1455" i="37"/>
  <c r="M1455" i="37"/>
  <c r="O1455" i="37"/>
  <c r="Q1455" i="37"/>
  <c r="V1455" i="37"/>
  <c r="L1456" i="37"/>
  <c r="M1456" i="37"/>
  <c r="O1456" i="37"/>
  <c r="Q1456" i="37"/>
  <c r="V1456" i="37"/>
  <c r="L1457" i="37"/>
  <c r="M1457" i="37"/>
  <c r="O1457" i="37"/>
  <c r="Q1457" i="37"/>
  <c r="V1457" i="37"/>
  <c r="L1458" i="37"/>
  <c r="M1458" i="37"/>
  <c r="O1458" i="37"/>
  <c r="Q1458" i="37"/>
  <c r="V1458" i="37"/>
  <c r="L1459" i="37"/>
  <c r="M1459" i="37"/>
  <c r="O1459" i="37"/>
  <c r="Q1459" i="37"/>
  <c r="V1459" i="37"/>
  <c r="L1460" i="37"/>
  <c r="M1460" i="37"/>
  <c r="O1460" i="37"/>
  <c r="Q1460" i="37"/>
  <c r="V1460" i="37"/>
  <c r="L1461" i="37"/>
  <c r="M1461" i="37"/>
  <c r="O1461" i="37"/>
  <c r="Q1461" i="37"/>
  <c r="V1461" i="37"/>
  <c r="L1462" i="37"/>
  <c r="M1462" i="37"/>
  <c r="O1462" i="37"/>
  <c r="Q1462" i="37"/>
  <c r="V1462" i="37"/>
  <c r="L1463" i="37"/>
  <c r="M1463" i="37"/>
  <c r="O1463" i="37"/>
  <c r="Q1463" i="37"/>
  <c r="V1463" i="37"/>
  <c r="L1464" i="37"/>
  <c r="M1464" i="37"/>
  <c r="O1464" i="37"/>
  <c r="Q1464" i="37"/>
  <c r="V1464" i="37"/>
  <c r="L1465" i="37"/>
  <c r="M1465" i="37"/>
  <c r="O1465" i="37"/>
  <c r="Q1465" i="37"/>
  <c r="V1465" i="37"/>
  <c r="L1466" i="37"/>
  <c r="M1466" i="37"/>
  <c r="O1466" i="37"/>
  <c r="Q1466" i="37"/>
  <c r="V1466" i="37"/>
  <c r="L1467" i="37"/>
  <c r="M1467" i="37"/>
  <c r="O1467" i="37"/>
  <c r="Q1467" i="37"/>
  <c r="V1467" i="37"/>
  <c r="L1468" i="37"/>
  <c r="M1468" i="37"/>
  <c r="O1468" i="37"/>
  <c r="Q1468" i="37"/>
  <c r="V1468" i="37"/>
  <c r="L1469" i="37"/>
  <c r="M1469" i="37"/>
  <c r="O1469" i="37"/>
  <c r="Q1469" i="37"/>
  <c r="V1469" i="37"/>
  <c r="L1470" i="37"/>
  <c r="M1470" i="37"/>
  <c r="O1470" i="37"/>
  <c r="Q1470" i="37"/>
  <c r="V1470" i="37"/>
  <c r="L1471" i="37"/>
  <c r="M1471" i="37"/>
  <c r="O1471" i="37"/>
  <c r="Q1471" i="37"/>
  <c r="V1471" i="37"/>
  <c r="L1472" i="37"/>
  <c r="M1472" i="37"/>
  <c r="O1472" i="37"/>
  <c r="Q1472" i="37"/>
  <c r="V1472" i="37"/>
  <c r="L1473" i="37"/>
  <c r="M1473" i="37"/>
  <c r="O1473" i="37"/>
  <c r="Q1473" i="37"/>
  <c r="V1473" i="37"/>
  <c r="L1474" i="37"/>
  <c r="M1474" i="37"/>
  <c r="O1474" i="37"/>
  <c r="Q1474" i="37"/>
  <c r="V1474" i="37"/>
  <c r="L1475" i="37"/>
  <c r="M1475" i="37"/>
  <c r="O1475" i="37"/>
  <c r="Q1475" i="37"/>
  <c r="V1475" i="37"/>
  <c r="L1476" i="37"/>
  <c r="M1476" i="37"/>
  <c r="O1476" i="37"/>
  <c r="Q1476" i="37"/>
  <c r="V1476" i="37"/>
  <c r="L1477" i="37"/>
  <c r="M1477" i="37"/>
  <c r="O1477" i="37"/>
  <c r="Q1477" i="37"/>
  <c r="V1477" i="37"/>
  <c r="L1478" i="37"/>
  <c r="M1478" i="37"/>
  <c r="O1478" i="37"/>
  <c r="Q1478" i="37"/>
  <c r="V1478" i="37"/>
  <c r="L1479" i="37"/>
  <c r="M1479" i="37"/>
  <c r="O1479" i="37"/>
  <c r="Q1479" i="37"/>
  <c r="V1479" i="37"/>
  <c r="L1480" i="37"/>
  <c r="M1480" i="37"/>
  <c r="O1480" i="37"/>
  <c r="Q1480" i="37"/>
  <c r="V1480" i="37"/>
  <c r="L1481" i="37"/>
  <c r="M1481" i="37"/>
  <c r="O1481" i="37"/>
  <c r="Q1481" i="37"/>
  <c r="V1481" i="37"/>
  <c r="L1482" i="37"/>
  <c r="M1482" i="37"/>
  <c r="O1482" i="37"/>
  <c r="Q1482" i="37"/>
  <c r="V1482" i="37"/>
  <c r="L1483" i="37"/>
  <c r="M1483" i="37"/>
  <c r="O1483" i="37"/>
  <c r="Q1483" i="37"/>
  <c r="V1483" i="37"/>
  <c r="L1484" i="37"/>
  <c r="M1484" i="37"/>
  <c r="O1484" i="37"/>
  <c r="Q1484" i="37"/>
  <c r="V1484" i="37"/>
  <c r="L1485" i="37"/>
  <c r="M1485" i="37"/>
  <c r="O1485" i="37"/>
  <c r="Q1485" i="37"/>
  <c r="V1485" i="37"/>
  <c r="L1486" i="37"/>
  <c r="M1486" i="37"/>
  <c r="O1486" i="37"/>
  <c r="Q1486" i="37"/>
  <c r="V1486" i="37"/>
  <c r="L1487" i="37"/>
  <c r="M1487" i="37"/>
  <c r="O1487" i="37"/>
  <c r="Q1487" i="37"/>
  <c r="V1487" i="37"/>
  <c r="L1488" i="37"/>
  <c r="M1488" i="37"/>
  <c r="O1488" i="37"/>
  <c r="Q1488" i="37"/>
  <c r="V1488" i="37"/>
  <c r="L1489" i="37"/>
  <c r="M1489" i="37"/>
  <c r="O1489" i="37"/>
  <c r="Q1489" i="37"/>
  <c r="V1489" i="37"/>
  <c r="L1490" i="37"/>
  <c r="M1490" i="37"/>
  <c r="O1490" i="37"/>
  <c r="Q1490" i="37"/>
  <c r="V1490" i="37"/>
  <c r="L1491" i="37"/>
  <c r="M1491" i="37"/>
  <c r="O1491" i="37"/>
  <c r="Q1491" i="37"/>
  <c r="V1491" i="37"/>
  <c r="L1492" i="37"/>
  <c r="M1492" i="37"/>
  <c r="O1492" i="37"/>
  <c r="Q1492" i="37"/>
  <c r="V1492" i="37"/>
  <c r="L1493" i="37"/>
  <c r="M1493" i="37"/>
  <c r="O1493" i="37"/>
  <c r="Q1493" i="37"/>
  <c r="V1493" i="37"/>
  <c r="L1494" i="37"/>
  <c r="M1494" i="37"/>
  <c r="O1494" i="37"/>
  <c r="Q1494" i="37"/>
  <c r="V1494" i="37"/>
  <c r="L1495" i="37"/>
  <c r="M1495" i="37"/>
  <c r="O1495" i="37"/>
  <c r="Q1495" i="37"/>
  <c r="V1495" i="37"/>
  <c r="L1496" i="37"/>
  <c r="M1496" i="37"/>
  <c r="O1496" i="37"/>
  <c r="Q1496" i="37"/>
  <c r="V1496" i="37"/>
  <c r="L1497" i="37"/>
  <c r="M1497" i="37"/>
  <c r="O1497" i="37"/>
  <c r="Q1497" i="37"/>
  <c r="V1497" i="37"/>
  <c r="L1498" i="37"/>
  <c r="M1498" i="37"/>
  <c r="O1498" i="37"/>
  <c r="Q1498" i="37"/>
  <c r="V1498" i="37"/>
  <c r="L1499" i="37"/>
  <c r="M1499" i="37"/>
  <c r="O1499" i="37"/>
  <c r="Q1499" i="37"/>
  <c r="V1499" i="37"/>
  <c r="L1500" i="37"/>
  <c r="M1500" i="37"/>
  <c r="O1500" i="37"/>
  <c r="Q1500" i="37"/>
  <c r="V1500" i="37"/>
  <c r="L1501" i="37"/>
  <c r="M1501" i="37"/>
  <c r="O1501" i="37"/>
  <c r="Q1501" i="37"/>
  <c r="V1501" i="37"/>
  <c r="L1502" i="37"/>
  <c r="M1502" i="37"/>
  <c r="O1502" i="37"/>
  <c r="Q1502" i="37"/>
  <c r="V1502" i="37"/>
  <c r="L1503" i="37"/>
  <c r="M1503" i="37"/>
  <c r="O1503" i="37"/>
  <c r="Q1503" i="37"/>
  <c r="V1503" i="37"/>
  <c r="L1504" i="37"/>
  <c r="M1504" i="37"/>
  <c r="O1504" i="37"/>
  <c r="Q1504" i="37"/>
  <c r="V1504" i="37"/>
  <c r="L1505" i="37"/>
  <c r="M1505" i="37"/>
  <c r="O1505" i="37"/>
  <c r="Q1505" i="37"/>
  <c r="V1505" i="37"/>
  <c r="L1506" i="37"/>
  <c r="M1506" i="37"/>
  <c r="O1506" i="37"/>
  <c r="Q1506" i="37"/>
  <c r="V1506" i="37"/>
  <c r="L1507" i="37"/>
  <c r="M1507" i="37"/>
  <c r="O1507" i="37"/>
  <c r="Q1507" i="37"/>
  <c r="V1507" i="37"/>
  <c r="L1508" i="37"/>
  <c r="M1508" i="37"/>
  <c r="O1508" i="37"/>
  <c r="Q1508" i="37"/>
  <c r="V1508" i="37"/>
  <c r="L1509" i="37"/>
  <c r="M1509" i="37"/>
  <c r="O1509" i="37"/>
  <c r="Q1509" i="37"/>
  <c r="V1509" i="37"/>
  <c r="L1510" i="37"/>
  <c r="M1510" i="37"/>
  <c r="O1510" i="37"/>
  <c r="Q1510" i="37"/>
  <c r="V1510" i="37"/>
  <c r="L1511" i="37"/>
  <c r="M1511" i="37"/>
  <c r="O1511" i="37"/>
  <c r="Q1511" i="37"/>
  <c r="V1511" i="37"/>
  <c r="L1512" i="37"/>
  <c r="M1512" i="37"/>
  <c r="O1512" i="37"/>
  <c r="Q1512" i="37"/>
  <c r="V1512" i="37"/>
  <c r="L1513" i="37"/>
  <c r="M1513" i="37"/>
  <c r="O1513" i="37"/>
  <c r="Q1513" i="37"/>
  <c r="V1513" i="37"/>
  <c r="L1514" i="37"/>
  <c r="M1514" i="37"/>
  <c r="O1514" i="37"/>
  <c r="Q1514" i="37"/>
  <c r="V1514" i="37"/>
  <c r="L1515" i="37"/>
  <c r="M1515" i="37"/>
  <c r="O1515" i="37"/>
  <c r="Q1515" i="37"/>
  <c r="V1515" i="37"/>
  <c r="L1516" i="37"/>
  <c r="M1516" i="37"/>
  <c r="O1516" i="37"/>
  <c r="Q1516" i="37"/>
  <c r="V1516" i="37"/>
  <c r="L1517" i="37"/>
  <c r="M1517" i="37"/>
  <c r="O1517" i="37"/>
  <c r="Q1517" i="37"/>
  <c r="V1517" i="37"/>
  <c r="L1518" i="37"/>
  <c r="M1518" i="37"/>
  <c r="O1518" i="37"/>
  <c r="Q1518" i="37"/>
  <c r="V1518" i="37"/>
  <c r="L1519" i="37"/>
  <c r="M1519" i="37"/>
  <c r="O1519" i="37"/>
  <c r="Q1519" i="37"/>
  <c r="V1519" i="37"/>
  <c r="L1520" i="37"/>
  <c r="M1520" i="37"/>
  <c r="O1520" i="37"/>
  <c r="Q1520" i="37"/>
  <c r="V1520" i="37"/>
  <c r="L1521" i="37"/>
  <c r="M1521" i="37"/>
  <c r="O1521" i="37"/>
  <c r="Q1521" i="37"/>
  <c r="V1521" i="37"/>
  <c r="L1522" i="37"/>
  <c r="M1522" i="37"/>
  <c r="O1522" i="37"/>
  <c r="Q1522" i="37"/>
  <c r="V1522" i="37"/>
  <c r="L1523" i="37"/>
  <c r="M1523" i="37"/>
  <c r="O1523" i="37"/>
  <c r="Q1523" i="37"/>
  <c r="V1523" i="37"/>
  <c r="L1524" i="37"/>
  <c r="M1524" i="37"/>
  <c r="O1524" i="37"/>
  <c r="Q1524" i="37"/>
  <c r="V1524" i="37"/>
  <c r="L1525" i="37"/>
  <c r="M1525" i="37"/>
  <c r="O1525" i="37"/>
  <c r="Q1525" i="37"/>
  <c r="V1525" i="37"/>
  <c r="L1526" i="37"/>
  <c r="M1526" i="37"/>
  <c r="O1526" i="37"/>
  <c r="Q1526" i="37"/>
  <c r="V1526" i="37"/>
  <c r="L1527" i="37"/>
  <c r="M1527" i="37"/>
  <c r="O1527" i="37"/>
  <c r="Q1527" i="37"/>
  <c r="V1527" i="37"/>
  <c r="L1528" i="37"/>
  <c r="M1528" i="37"/>
  <c r="O1528" i="37"/>
  <c r="Q1528" i="37"/>
  <c r="V1528" i="37"/>
  <c r="L1529" i="37"/>
  <c r="M1529" i="37"/>
  <c r="O1529" i="37"/>
  <c r="Q1529" i="37"/>
  <c r="V1529" i="37"/>
  <c r="L1530" i="37"/>
  <c r="M1530" i="37"/>
  <c r="O1530" i="37"/>
  <c r="Q1530" i="37"/>
  <c r="V1530" i="37"/>
  <c r="L1531" i="37"/>
  <c r="M1531" i="37"/>
  <c r="O1531" i="37"/>
  <c r="Q1531" i="37"/>
  <c r="V1531" i="37"/>
  <c r="L1532" i="37"/>
  <c r="M1532" i="37"/>
  <c r="O1532" i="37"/>
  <c r="Q1532" i="37"/>
  <c r="V1532" i="37"/>
  <c r="L1533" i="37"/>
  <c r="M1533" i="37"/>
  <c r="O1533" i="37"/>
  <c r="Q1533" i="37"/>
  <c r="V1533" i="37"/>
  <c r="L1534" i="37"/>
  <c r="M1534" i="37"/>
  <c r="O1534" i="37"/>
  <c r="Q1534" i="37"/>
  <c r="V1534" i="37"/>
  <c r="L1535" i="37"/>
  <c r="M1535" i="37"/>
  <c r="O1535" i="37"/>
  <c r="Q1535" i="37"/>
  <c r="V1535" i="37"/>
  <c r="L1536" i="37"/>
  <c r="M1536" i="37"/>
  <c r="O1536" i="37"/>
  <c r="Q1536" i="37"/>
  <c r="V1536" i="37"/>
  <c r="L1537" i="37"/>
  <c r="M1537" i="37"/>
  <c r="O1537" i="37"/>
  <c r="Q1537" i="37"/>
  <c r="V1537" i="37"/>
  <c r="L1538" i="37"/>
  <c r="M1538" i="37"/>
  <c r="O1538" i="37"/>
  <c r="Q1538" i="37"/>
  <c r="V1538" i="37"/>
  <c r="L1539" i="37"/>
  <c r="M1539" i="37"/>
  <c r="O1539" i="37"/>
  <c r="Q1539" i="37"/>
  <c r="V1539" i="37"/>
  <c r="L1540" i="37"/>
  <c r="M1540" i="37"/>
  <c r="O1540" i="37"/>
  <c r="Q1540" i="37"/>
  <c r="V1540" i="37"/>
  <c r="L1541" i="37"/>
  <c r="M1541" i="37"/>
  <c r="O1541" i="37"/>
  <c r="Q1541" i="37"/>
  <c r="V1541" i="37"/>
  <c r="L1542" i="37"/>
  <c r="M1542" i="37"/>
  <c r="O1542" i="37"/>
  <c r="Q1542" i="37"/>
  <c r="V1542" i="37"/>
  <c r="L1543" i="37"/>
  <c r="M1543" i="37"/>
  <c r="O1543" i="37"/>
  <c r="Q1543" i="37"/>
  <c r="V1543" i="37"/>
  <c r="L1544" i="37"/>
  <c r="M1544" i="37"/>
  <c r="O1544" i="37"/>
  <c r="Q1544" i="37"/>
  <c r="V1544" i="37"/>
  <c r="L1545" i="37"/>
  <c r="M1545" i="37"/>
  <c r="O1545" i="37"/>
  <c r="Q1545" i="37"/>
  <c r="V1545" i="37"/>
  <c r="L1546" i="37"/>
  <c r="M1546" i="37"/>
  <c r="O1546" i="37"/>
  <c r="Q1546" i="37"/>
  <c r="V1546" i="37"/>
  <c r="L1547" i="37"/>
  <c r="M1547" i="37"/>
  <c r="O1547" i="37"/>
  <c r="Q1547" i="37"/>
  <c r="V1547" i="37"/>
  <c r="L1548" i="37"/>
  <c r="M1548" i="37"/>
  <c r="O1548" i="37"/>
  <c r="Q1548" i="37"/>
  <c r="V1548" i="37"/>
  <c r="L1549" i="37"/>
  <c r="M1549" i="37"/>
  <c r="O1549" i="37"/>
  <c r="Q1549" i="37"/>
  <c r="V1549" i="37"/>
  <c r="L1550" i="37"/>
  <c r="M1550" i="37"/>
  <c r="O1550" i="37"/>
  <c r="Q1550" i="37"/>
  <c r="V1550" i="37"/>
  <c r="L1551" i="37"/>
  <c r="M1551" i="37"/>
  <c r="O1551" i="37"/>
  <c r="Q1551" i="37"/>
  <c r="V1551" i="37"/>
  <c r="L1552" i="37"/>
  <c r="M1552" i="37"/>
  <c r="O1552" i="37"/>
  <c r="Q1552" i="37"/>
  <c r="V1552" i="37"/>
  <c r="L1553" i="37"/>
  <c r="M1553" i="37"/>
  <c r="O1553" i="37"/>
  <c r="Q1553" i="37"/>
  <c r="V1553" i="37"/>
  <c r="L1554" i="37"/>
  <c r="M1554" i="37"/>
  <c r="O1554" i="37"/>
  <c r="Q1554" i="37"/>
  <c r="V1554" i="37"/>
  <c r="L1555" i="37"/>
  <c r="M1555" i="37"/>
  <c r="O1555" i="37"/>
  <c r="Q1555" i="37"/>
  <c r="V1555" i="37"/>
  <c r="L1556" i="37"/>
  <c r="M1556" i="37"/>
  <c r="O1556" i="37"/>
  <c r="Q1556" i="37"/>
  <c r="V1556" i="37"/>
  <c r="L1557" i="37"/>
  <c r="M1557" i="37"/>
  <c r="O1557" i="37"/>
  <c r="Q1557" i="37"/>
  <c r="V1557" i="37"/>
  <c r="L1558" i="37"/>
  <c r="M1558" i="37"/>
  <c r="O1558" i="37"/>
  <c r="Q1558" i="37"/>
  <c r="V1558" i="37"/>
  <c r="L1559" i="37"/>
  <c r="M1559" i="37"/>
  <c r="O1559" i="37"/>
  <c r="Q1559" i="37"/>
  <c r="V1559" i="37"/>
  <c r="L1560" i="37"/>
  <c r="M1560" i="37"/>
  <c r="O1560" i="37"/>
  <c r="Q1560" i="37"/>
  <c r="V1560" i="37"/>
  <c r="L1561" i="37"/>
  <c r="M1561" i="37"/>
  <c r="O1561" i="37"/>
  <c r="Q1561" i="37"/>
  <c r="V1561" i="37"/>
  <c r="L1562" i="37"/>
  <c r="M1562" i="37"/>
  <c r="O1562" i="37"/>
  <c r="Q1562" i="37"/>
  <c r="V1562" i="37"/>
  <c r="L1563" i="37"/>
  <c r="M1563" i="37"/>
  <c r="O1563" i="37"/>
  <c r="Q1563" i="37"/>
  <c r="V1563" i="37"/>
  <c r="L1564" i="37"/>
  <c r="M1564" i="37"/>
  <c r="O1564" i="37"/>
  <c r="Q1564" i="37"/>
  <c r="V1564" i="37"/>
  <c r="L1565" i="37"/>
  <c r="M1565" i="37"/>
  <c r="O1565" i="37"/>
  <c r="Q1565" i="37"/>
  <c r="V1565" i="37"/>
  <c r="L1566" i="37"/>
  <c r="M1566" i="37"/>
  <c r="O1566" i="37"/>
  <c r="Q1566" i="37"/>
  <c r="V1566" i="37"/>
  <c r="L1567" i="37"/>
  <c r="M1567" i="37"/>
  <c r="O1567" i="37"/>
  <c r="Q1567" i="37"/>
  <c r="V1567" i="37"/>
  <c r="L1568" i="37"/>
  <c r="M1568" i="37"/>
  <c r="O1568" i="37"/>
  <c r="Q1568" i="37"/>
  <c r="V1568" i="37"/>
  <c r="L1569" i="37"/>
  <c r="M1569" i="37"/>
  <c r="O1569" i="37"/>
  <c r="Q1569" i="37"/>
  <c r="V1569" i="37"/>
  <c r="L1570" i="37"/>
  <c r="M1570" i="37"/>
  <c r="O1570" i="37"/>
  <c r="Q1570" i="37"/>
  <c r="V1570" i="37"/>
  <c r="L1571" i="37"/>
  <c r="M1571" i="37"/>
  <c r="O1571" i="37"/>
  <c r="Q1571" i="37"/>
  <c r="V1571" i="37"/>
  <c r="L1572" i="37"/>
  <c r="M1572" i="37"/>
  <c r="O1572" i="37"/>
  <c r="Q1572" i="37"/>
  <c r="V1572" i="37"/>
  <c r="L1573" i="37"/>
  <c r="M1573" i="37"/>
  <c r="O1573" i="37"/>
  <c r="Q1573" i="37"/>
  <c r="V1573" i="37"/>
  <c r="L1574" i="37"/>
  <c r="M1574" i="37"/>
  <c r="O1574" i="37"/>
  <c r="Q1574" i="37"/>
  <c r="V1574" i="37"/>
  <c r="L1575" i="37"/>
  <c r="M1575" i="37"/>
  <c r="O1575" i="37"/>
  <c r="Q1575" i="37"/>
  <c r="V1575" i="37"/>
  <c r="L1576" i="37"/>
  <c r="M1576" i="37"/>
  <c r="O1576" i="37"/>
  <c r="Q1576" i="37"/>
  <c r="V1576" i="37"/>
  <c r="L1577" i="37"/>
  <c r="M1577" i="37"/>
  <c r="O1577" i="37"/>
  <c r="Q1577" i="37"/>
  <c r="V1577" i="37"/>
  <c r="L1578" i="37"/>
  <c r="M1578" i="37"/>
  <c r="O1578" i="37"/>
  <c r="Q1578" i="37"/>
  <c r="V1578" i="37"/>
  <c r="L1579" i="37"/>
  <c r="M1579" i="37"/>
  <c r="O1579" i="37"/>
  <c r="Q1579" i="37"/>
  <c r="V1579" i="37"/>
  <c r="L1580" i="37"/>
  <c r="M1580" i="37"/>
  <c r="O1580" i="37"/>
  <c r="Q1580" i="37"/>
  <c r="V1580" i="37"/>
  <c r="L1581" i="37"/>
  <c r="M1581" i="37"/>
  <c r="O1581" i="37"/>
  <c r="Q1581" i="37"/>
  <c r="V1581" i="37"/>
  <c r="L1582" i="37"/>
  <c r="M1582" i="37"/>
  <c r="O1582" i="37"/>
  <c r="Q1582" i="37"/>
  <c r="V1582" i="37"/>
  <c r="L1583" i="37"/>
  <c r="M1583" i="37"/>
  <c r="O1583" i="37"/>
  <c r="Q1583" i="37"/>
  <c r="V1583" i="37"/>
  <c r="L1584" i="37"/>
  <c r="M1584" i="37"/>
  <c r="O1584" i="37"/>
  <c r="Q1584" i="37"/>
  <c r="V1584" i="37"/>
  <c r="L1585" i="37"/>
  <c r="M1585" i="37"/>
  <c r="O1585" i="37"/>
  <c r="Q1585" i="37"/>
  <c r="V1585" i="37"/>
  <c r="L1586" i="37"/>
  <c r="M1586" i="37"/>
  <c r="O1586" i="37"/>
  <c r="Q1586" i="37"/>
  <c r="V1586" i="37"/>
  <c r="L1587" i="37"/>
  <c r="M1587" i="37"/>
  <c r="O1587" i="37"/>
  <c r="Q1587" i="37"/>
  <c r="V1587" i="37"/>
  <c r="L1588" i="37"/>
  <c r="M1588" i="37"/>
  <c r="O1588" i="37"/>
  <c r="Q1588" i="37"/>
  <c r="V1588" i="37"/>
  <c r="L1589" i="37"/>
  <c r="M1589" i="37"/>
  <c r="O1589" i="37"/>
  <c r="Q1589" i="37"/>
  <c r="V1589" i="37"/>
  <c r="L1590" i="37"/>
  <c r="M1590" i="37"/>
  <c r="O1590" i="37"/>
  <c r="Q1590" i="37"/>
  <c r="V1590" i="37"/>
  <c r="L1591" i="37"/>
  <c r="M1591" i="37"/>
  <c r="O1591" i="37"/>
  <c r="Q1591" i="37"/>
  <c r="V1591" i="37"/>
  <c r="L1592" i="37"/>
  <c r="M1592" i="37"/>
  <c r="O1592" i="37"/>
  <c r="Q1592" i="37"/>
  <c r="V1592" i="37"/>
  <c r="L1593" i="37"/>
  <c r="M1593" i="37"/>
  <c r="O1593" i="37"/>
  <c r="Q1593" i="37"/>
  <c r="V1593" i="37"/>
  <c r="L1594" i="37"/>
  <c r="M1594" i="37"/>
  <c r="O1594" i="37"/>
  <c r="Q1594" i="37"/>
  <c r="V1594" i="37"/>
  <c r="L1595" i="37"/>
  <c r="M1595" i="37"/>
  <c r="O1595" i="37"/>
  <c r="Q1595" i="37"/>
  <c r="V1595" i="37"/>
  <c r="L1596" i="37"/>
  <c r="M1596" i="37"/>
  <c r="O1596" i="37"/>
  <c r="Q1596" i="37"/>
  <c r="V1596" i="37"/>
  <c r="L1597" i="37"/>
  <c r="M1597" i="37"/>
  <c r="O1597" i="37"/>
  <c r="Q1597" i="37"/>
  <c r="V1597" i="37"/>
  <c r="L1598" i="37"/>
  <c r="M1598" i="37"/>
  <c r="O1598" i="37"/>
  <c r="Q1598" i="37"/>
  <c r="V1598" i="37"/>
  <c r="L1599" i="37"/>
  <c r="M1599" i="37"/>
  <c r="O1599" i="37"/>
  <c r="Q1599" i="37"/>
  <c r="V1599" i="37"/>
  <c r="L1600" i="37"/>
  <c r="M1600" i="37"/>
  <c r="O1600" i="37"/>
  <c r="Q1600" i="37"/>
  <c r="V1600" i="37"/>
  <c r="L1601" i="37"/>
  <c r="M1601" i="37"/>
  <c r="O1601" i="37"/>
  <c r="Q1601" i="37"/>
  <c r="V1601" i="37"/>
  <c r="L1602" i="37"/>
  <c r="M1602" i="37"/>
  <c r="O1602" i="37"/>
  <c r="Q1602" i="37"/>
  <c r="V1602" i="37"/>
  <c r="L1603" i="37"/>
  <c r="M1603" i="37"/>
  <c r="O1603" i="37"/>
  <c r="Q1603" i="37"/>
  <c r="V1603" i="37"/>
  <c r="L1604" i="37"/>
  <c r="M1604" i="37"/>
  <c r="O1604" i="37"/>
  <c r="Q1604" i="37"/>
  <c r="V1604" i="37"/>
  <c r="L1605" i="37"/>
  <c r="M1605" i="37"/>
  <c r="O1605" i="37"/>
  <c r="Q1605" i="37"/>
  <c r="V1605" i="37"/>
  <c r="L1606" i="37"/>
  <c r="M1606" i="37"/>
  <c r="O1606" i="37"/>
  <c r="Q1606" i="37"/>
  <c r="V1606" i="37"/>
  <c r="L1607" i="37"/>
  <c r="M1607" i="37"/>
  <c r="O1607" i="37"/>
  <c r="Q1607" i="37"/>
  <c r="V1607" i="37"/>
  <c r="L1608" i="37"/>
  <c r="M1608" i="37"/>
  <c r="O1608" i="37"/>
  <c r="Q1608" i="37"/>
  <c r="V1608" i="37"/>
  <c r="L1609" i="37"/>
  <c r="M1609" i="37"/>
  <c r="O1609" i="37"/>
  <c r="Q1609" i="37"/>
  <c r="V1609" i="37"/>
  <c r="L1610" i="37"/>
  <c r="M1610" i="37"/>
  <c r="O1610" i="37"/>
  <c r="Q1610" i="37"/>
  <c r="V1610" i="37"/>
  <c r="L1611" i="37"/>
  <c r="M1611" i="37"/>
  <c r="O1611" i="37"/>
  <c r="Q1611" i="37"/>
  <c r="V1611" i="37"/>
  <c r="L1612" i="37"/>
  <c r="M1612" i="37"/>
  <c r="O1612" i="37"/>
  <c r="Q1612" i="37"/>
  <c r="V1612" i="37"/>
  <c r="L1613" i="37"/>
  <c r="M1613" i="37"/>
  <c r="O1613" i="37"/>
  <c r="Q1613" i="37"/>
  <c r="V1613" i="37"/>
  <c r="L1614" i="37"/>
  <c r="M1614" i="37"/>
  <c r="O1614" i="37"/>
  <c r="Q1614" i="37"/>
  <c r="V1614" i="37"/>
  <c r="L1615" i="37"/>
  <c r="M1615" i="37"/>
  <c r="O1615" i="37"/>
  <c r="Q1615" i="37"/>
  <c r="V1615" i="37"/>
  <c r="L1616" i="37"/>
  <c r="M1616" i="37"/>
  <c r="O1616" i="37"/>
  <c r="Q1616" i="37"/>
  <c r="V1616" i="37"/>
  <c r="L1617" i="37"/>
  <c r="M1617" i="37"/>
  <c r="O1617" i="37"/>
  <c r="Q1617" i="37"/>
  <c r="V1617" i="37"/>
  <c r="L1618" i="37"/>
  <c r="M1618" i="37"/>
  <c r="O1618" i="37"/>
  <c r="Q1618" i="37"/>
  <c r="V1618" i="37"/>
  <c r="L1619" i="37"/>
  <c r="M1619" i="37"/>
  <c r="O1619" i="37"/>
  <c r="Q1619" i="37"/>
  <c r="V1619" i="37"/>
  <c r="L1620" i="37"/>
  <c r="M1620" i="37"/>
  <c r="O1620" i="37"/>
  <c r="Q1620" i="37"/>
  <c r="V1620" i="37"/>
  <c r="L1621" i="37"/>
  <c r="M1621" i="37"/>
  <c r="O1621" i="37"/>
  <c r="Q1621" i="37"/>
  <c r="V1621" i="37"/>
  <c r="L1622" i="37"/>
  <c r="M1622" i="37"/>
  <c r="O1622" i="37"/>
  <c r="Q1622" i="37"/>
  <c r="V1622" i="37"/>
  <c r="L1623" i="37"/>
  <c r="M1623" i="37"/>
  <c r="O1623" i="37"/>
  <c r="Q1623" i="37"/>
  <c r="V1623" i="37"/>
  <c r="L1624" i="37"/>
  <c r="M1624" i="37"/>
  <c r="O1624" i="37"/>
  <c r="Q1624" i="37"/>
  <c r="V1624" i="37"/>
  <c r="L1625" i="37"/>
  <c r="M1625" i="37"/>
  <c r="O1625" i="37"/>
  <c r="Q1625" i="37"/>
  <c r="V1625" i="37"/>
  <c r="L1626" i="37"/>
  <c r="M1626" i="37"/>
  <c r="O1626" i="37"/>
  <c r="Q1626" i="37"/>
  <c r="V1626" i="37"/>
  <c r="L1627" i="37"/>
  <c r="M1627" i="37"/>
  <c r="O1627" i="37"/>
  <c r="Q1627" i="37"/>
  <c r="V1627" i="37"/>
  <c r="L1628" i="37"/>
  <c r="M1628" i="37"/>
  <c r="O1628" i="37"/>
  <c r="Q1628" i="37"/>
  <c r="V1628" i="37"/>
  <c r="L1629" i="37"/>
  <c r="M1629" i="37"/>
  <c r="O1629" i="37"/>
  <c r="Q1629" i="37"/>
  <c r="V1629" i="37"/>
  <c r="L1630" i="37"/>
  <c r="M1630" i="37"/>
  <c r="O1630" i="37"/>
  <c r="Q1630" i="37"/>
  <c r="V1630" i="37"/>
  <c r="L1631" i="37"/>
  <c r="M1631" i="37"/>
  <c r="O1631" i="37"/>
  <c r="Q1631" i="37"/>
  <c r="V1631" i="37"/>
  <c r="L1632" i="37"/>
  <c r="M1632" i="37"/>
  <c r="O1632" i="37"/>
  <c r="Q1632" i="37"/>
  <c r="V1632" i="37"/>
  <c r="L1633" i="37"/>
  <c r="M1633" i="37"/>
  <c r="O1633" i="37"/>
  <c r="Q1633" i="37"/>
  <c r="V1633" i="37"/>
  <c r="L1634" i="37"/>
  <c r="M1634" i="37"/>
  <c r="O1634" i="37"/>
  <c r="Q1634" i="37"/>
  <c r="V1634" i="37"/>
  <c r="L1635" i="37"/>
  <c r="M1635" i="37"/>
  <c r="O1635" i="37"/>
  <c r="Q1635" i="37"/>
  <c r="V1635" i="37"/>
  <c r="L1636" i="37"/>
  <c r="M1636" i="37"/>
  <c r="O1636" i="37"/>
  <c r="Q1636" i="37"/>
  <c r="V1636" i="37"/>
  <c r="L1637" i="37"/>
  <c r="M1637" i="37"/>
  <c r="O1637" i="37"/>
  <c r="Q1637" i="37"/>
  <c r="V1637" i="37"/>
  <c r="L1638" i="37"/>
  <c r="M1638" i="37"/>
  <c r="O1638" i="37"/>
  <c r="Q1638" i="37"/>
  <c r="V1638" i="37"/>
  <c r="L1639" i="37"/>
  <c r="M1639" i="37"/>
  <c r="O1639" i="37"/>
  <c r="Q1639" i="37"/>
  <c r="V1639" i="37"/>
  <c r="L1640" i="37"/>
  <c r="M1640" i="37"/>
  <c r="O1640" i="37"/>
  <c r="Q1640" i="37"/>
  <c r="V1640" i="37"/>
  <c r="L1641" i="37"/>
  <c r="M1641" i="37"/>
  <c r="O1641" i="37"/>
  <c r="Q1641" i="37"/>
  <c r="V1641" i="37"/>
  <c r="L1642" i="37"/>
  <c r="M1642" i="37"/>
  <c r="O1642" i="37"/>
  <c r="Q1642" i="37"/>
  <c r="V1642" i="37"/>
  <c r="L1643" i="37"/>
  <c r="M1643" i="37"/>
  <c r="O1643" i="37"/>
  <c r="Q1643" i="37"/>
  <c r="V1643" i="37"/>
  <c r="L1644" i="37"/>
  <c r="M1644" i="37"/>
  <c r="O1644" i="37"/>
  <c r="Q1644" i="37"/>
  <c r="V1644" i="37"/>
  <c r="L1645" i="37"/>
  <c r="M1645" i="37"/>
  <c r="O1645" i="37"/>
  <c r="Q1645" i="37"/>
  <c r="V1645" i="37"/>
  <c r="L1646" i="37"/>
  <c r="M1646" i="37"/>
  <c r="O1646" i="37"/>
  <c r="Q1646" i="37"/>
  <c r="V1646" i="37"/>
  <c r="L1647" i="37"/>
  <c r="M1647" i="37"/>
  <c r="O1647" i="37"/>
  <c r="Q1647" i="37"/>
  <c r="V1647" i="37"/>
  <c r="L1648" i="37"/>
  <c r="M1648" i="37"/>
  <c r="O1648" i="37"/>
  <c r="Q1648" i="37"/>
  <c r="V1648" i="37"/>
  <c r="L1649" i="37"/>
  <c r="M1649" i="37"/>
  <c r="O1649" i="37"/>
  <c r="Q1649" i="37"/>
  <c r="V1649" i="37"/>
  <c r="L1650" i="37"/>
  <c r="M1650" i="37"/>
  <c r="O1650" i="37"/>
  <c r="Q1650" i="37"/>
  <c r="V1650" i="37"/>
  <c r="L1651" i="37"/>
  <c r="M1651" i="37"/>
  <c r="O1651" i="37"/>
  <c r="Q1651" i="37"/>
  <c r="V1651" i="37"/>
  <c r="L1652" i="37"/>
  <c r="M1652" i="37"/>
  <c r="O1652" i="37"/>
  <c r="Q1652" i="37"/>
  <c r="V1652" i="37"/>
  <c r="L1653" i="37"/>
  <c r="M1653" i="37"/>
  <c r="O1653" i="37"/>
  <c r="Q1653" i="37"/>
  <c r="V1653" i="37"/>
  <c r="L1654" i="37"/>
  <c r="M1654" i="37"/>
  <c r="O1654" i="37"/>
  <c r="Q1654" i="37"/>
  <c r="V1654" i="37"/>
  <c r="L1655" i="37"/>
  <c r="M1655" i="37"/>
  <c r="O1655" i="37"/>
  <c r="Q1655" i="37"/>
  <c r="V1655" i="37"/>
  <c r="L1656" i="37"/>
  <c r="M1656" i="37"/>
  <c r="O1656" i="37"/>
  <c r="Q1656" i="37"/>
  <c r="V1656" i="37"/>
  <c r="L1657" i="37"/>
  <c r="M1657" i="37"/>
  <c r="O1657" i="37"/>
  <c r="Q1657" i="37"/>
  <c r="V1657" i="37"/>
  <c r="L1658" i="37"/>
  <c r="M1658" i="37"/>
  <c r="O1658" i="37"/>
  <c r="Q1658" i="37"/>
  <c r="V1658" i="37"/>
  <c r="L1659" i="37"/>
  <c r="M1659" i="37"/>
  <c r="O1659" i="37"/>
  <c r="Q1659" i="37"/>
  <c r="V1659" i="37"/>
  <c r="L1660" i="37"/>
  <c r="M1660" i="37"/>
  <c r="O1660" i="37"/>
  <c r="Q1660" i="37"/>
  <c r="V1660" i="37"/>
  <c r="L1661" i="37"/>
  <c r="M1661" i="37"/>
  <c r="O1661" i="37"/>
  <c r="Q1661" i="37"/>
  <c r="V1661" i="37"/>
  <c r="L1662" i="37"/>
  <c r="M1662" i="37"/>
  <c r="O1662" i="37"/>
  <c r="Q1662" i="37"/>
  <c r="V1662" i="37"/>
  <c r="L1663" i="37"/>
  <c r="M1663" i="37"/>
  <c r="O1663" i="37"/>
  <c r="Q1663" i="37"/>
  <c r="V1663" i="37"/>
  <c r="L1664" i="37"/>
  <c r="M1664" i="37"/>
  <c r="O1664" i="37"/>
  <c r="Q1664" i="37"/>
  <c r="V1664" i="37"/>
  <c r="L1665" i="37"/>
  <c r="M1665" i="37"/>
  <c r="O1665" i="37"/>
  <c r="Q1665" i="37"/>
  <c r="V1665" i="37"/>
  <c r="L1666" i="37"/>
  <c r="M1666" i="37"/>
  <c r="O1666" i="37"/>
  <c r="Q1666" i="37"/>
  <c r="V1666" i="37"/>
  <c r="L1667" i="37"/>
  <c r="M1667" i="37"/>
  <c r="O1667" i="37"/>
  <c r="Q1667" i="37"/>
  <c r="V1667" i="37"/>
  <c r="L1668" i="37"/>
  <c r="M1668" i="37"/>
  <c r="O1668" i="37"/>
  <c r="Q1668" i="37"/>
  <c r="V1668" i="37"/>
  <c r="L1669" i="37"/>
  <c r="M1669" i="37"/>
  <c r="O1669" i="37"/>
  <c r="Q1669" i="37"/>
  <c r="V1669" i="37"/>
  <c r="L1670" i="37"/>
  <c r="M1670" i="37"/>
  <c r="O1670" i="37"/>
  <c r="Q1670" i="37"/>
  <c r="V1670" i="37"/>
  <c r="L1671" i="37"/>
  <c r="M1671" i="37"/>
  <c r="O1671" i="37"/>
  <c r="Q1671" i="37"/>
  <c r="V1671" i="37"/>
  <c r="L1672" i="37"/>
  <c r="M1672" i="37"/>
  <c r="O1672" i="37"/>
  <c r="Q1672" i="37"/>
  <c r="V1672" i="37"/>
  <c r="L1673" i="37"/>
  <c r="M1673" i="37"/>
  <c r="O1673" i="37"/>
  <c r="Q1673" i="37"/>
  <c r="V1673" i="37"/>
  <c r="L1674" i="37"/>
  <c r="M1674" i="37"/>
  <c r="O1674" i="37"/>
  <c r="Q1674" i="37"/>
  <c r="V1674" i="37"/>
  <c r="L1675" i="37"/>
  <c r="M1675" i="37"/>
  <c r="O1675" i="37"/>
  <c r="Q1675" i="37"/>
  <c r="V1675" i="37"/>
  <c r="L1676" i="37"/>
  <c r="M1676" i="37"/>
  <c r="O1676" i="37"/>
  <c r="Q1676" i="37"/>
  <c r="V1676" i="37"/>
  <c r="L1677" i="37"/>
  <c r="M1677" i="37"/>
  <c r="O1677" i="37"/>
  <c r="Q1677" i="37"/>
  <c r="V1677" i="37"/>
  <c r="L1678" i="37"/>
  <c r="M1678" i="37"/>
  <c r="O1678" i="37"/>
  <c r="Q1678" i="37"/>
  <c r="V1678" i="37"/>
  <c r="L1679" i="37"/>
  <c r="M1679" i="37"/>
  <c r="O1679" i="37"/>
  <c r="Q1679" i="37"/>
  <c r="V1679" i="37"/>
  <c r="L1680" i="37"/>
  <c r="M1680" i="37"/>
  <c r="O1680" i="37"/>
  <c r="Q1680" i="37"/>
  <c r="V1680" i="37"/>
  <c r="L1681" i="37"/>
  <c r="M1681" i="37"/>
  <c r="O1681" i="37"/>
  <c r="Q1681" i="37"/>
  <c r="V1681" i="37"/>
  <c r="L1682" i="37"/>
  <c r="M1682" i="37"/>
  <c r="O1682" i="37"/>
  <c r="Q1682" i="37"/>
  <c r="V1682" i="37"/>
  <c r="L1683" i="37"/>
  <c r="M1683" i="37"/>
  <c r="O1683" i="37"/>
  <c r="Q1683" i="37"/>
  <c r="V1683" i="37"/>
  <c r="L1684" i="37"/>
  <c r="M1684" i="37"/>
  <c r="O1684" i="37"/>
  <c r="Q1684" i="37"/>
  <c r="V1684" i="37"/>
  <c r="L1685" i="37"/>
  <c r="M1685" i="37"/>
  <c r="O1685" i="37"/>
  <c r="Q1685" i="37"/>
  <c r="V1685" i="37"/>
  <c r="L1686" i="37"/>
  <c r="M1686" i="37"/>
  <c r="O1686" i="37"/>
  <c r="Q1686" i="37"/>
  <c r="V1686" i="37"/>
  <c r="L1687" i="37"/>
  <c r="M1687" i="37"/>
  <c r="O1687" i="37"/>
  <c r="Q1687" i="37"/>
  <c r="V1687" i="37"/>
  <c r="L1688" i="37"/>
  <c r="M1688" i="37"/>
  <c r="O1688" i="37"/>
  <c r="Q1688" i="37"/>
  <c r="V1688" i="37"/>
  <c r="L1689" i="37"/>
  <c r="M1689" i="37"/>
  <c r="O1689" i="37"/>
  <c r="Q1689" i="37"/>
  <c r="V1689" i="37"/>
  <c r="L1690" i="37"/>
  <c r="M1690" i="37"/>
  <c r="O1690" i="37"/>
  <c r="Q1690" i="37"/>
  <c r="V1690" i="37"/>
  <c r="L1691" i="37"/>
  <c r="M1691" i="37"/>
  <c r="O1691" i="37"/>
  <c r="Q1691" i="37"/>
  <c r="V1691" i="37"/>
  <c r="L1692" i="37"/>
  <c r="M1692" i="37"/>
  <c r="O1692" i="37"/>
  <c r="Q1692" i="37"/>
  <c r="V1692" i="37"/>
  <c r="L1693" i="37"/>
  <c r="M1693" i="37"/>
  <c r="O1693" i="37"/>
  <c r="Q1693" i="37"/>
  <c r="V1693" i="37"/>
  <c r="L1694" i="37"/>
  <c r="M1694" i="37"/>
  <c r="O1694" i="37"/>
  <c r="Q1694" i="37"/>
  <c r="V1694" i="37"/>
  <c r="L1695" i="37"/>
  <c r="M1695" i="37"/>
  <c r="O1695" i="37"/>
  <c r="Q1695" i="37"/>
  <c r="V1695" i="37"/>
  <c r="L1696" i="37"/>
  <c r="M1696" i="37"/>
  <c r="O1696" i="37"/>
  <c r="Q1696" i="37"/>
  <c r="V1696" i="37"/>
  <c r="L1697" i="37"/>
  <c r="M1697" i="37"/>
  <c r="O1697" i="37"/>
  <c r="Q1697" i="37"/>
  <c r="V1697" i="37"/>
  <c r="L1698" i="37"/>
  <c r="M1698" i="37"/>
  <c r="O1698" i="37"/>
  <c r="Q1698" i="37"/>
  <c r="V1698" i="37"/>
  <c r="L1699" i="37"/>
  <c r="M1699" i="37"/>
  <c r="O1699" i="37"/>
  <c r="Q1699" i="37"/>
  <c r="V1699" i="37"/>
  <c r="L1700" i="37"/>
  <c r="M1700" i="37"/>
  <c r="O1700" i="37"/>
  <c r="Q1700" i="37"/>
  <c r="V1700" i="37"/>
  <c r="L1701" i="37"/>
  <c r="M1701" i="37"/>
  <c r="O1701" i="37"/>
  <c r="Q1701" i="37"/>
  <c r="V1701" i="37"/>
  <c r="L1702" i="37"/>
  <c r="M1702" i="37"/>
  <c r="O1702" i="37"/>
  <c r="Q1702" i="37"/>
  <c r="V1702" i="37"/>
  <c r="L1703" i="37"/>
  <c r="M1703" i="37"/>
  <c r="O1703" i="37"/>
  <c r="Q1703" i="37"/>
  <c r="V1703" i="37"/>
  <c r="L1704" i="37"/>
  <c r="M1704" i="37"/>
  <c r="O1704" i="37"/>
  <c r="Q1704" i="37"/>
  <c r="V1704" i="37"/>
  <c r="L1705" i="37"/>
  <c r="M1705" i="37"/>
  <c r="O1705" i="37"/>
  <c r="Q1705" i="37"/>
  <c r="V1705" i="37"/>
  <c r="L1706" i="37"/>
  <c r="M1706" i="37"/>
  <c r="O1706" i="37"/>
  <c r="Q1706" i="37"/>
  <c r="V1706" i="37"/>
  <c r="L1707" i="37"/>
  <c r="M1707" i="37"/>
  <c r="O1707" i="37"/>
  <c r="Q1707" i="37"/>
  <c r="V1707" i="37"/>
  <c r="L1708" i="37"/>
  <c r="M1708" i="37"/>
  <c r="O1708" i="37"/>
  <c r="Q1708" i="37"/>
  <c r="V1708" i="37"/>
  <c r="L1709" i="37"/>
  <c r="M1709" i="37"/>
  <c r="O1709" i="37"/>
  <c r="Q1709" i="37"/>
  <c r="V1709" i="37"/>
  <c r="L1710" i="37"/>
  <c r="M1710" i="37"/>
  <c r="O1710" i="37"/>
  <c r="Q1710" i="37"/>
  <c r="V1710" i="37"/>
  <c r="L1711" i="37"/>
  <c r="M1711" i="37"/>
  <c r="O1711" i="37"/>
  <c r="Q1711" i="37"/>
  <c r="V1711" i="37"/>
  <c r="L1712" i="37"/>
  <c r="M1712" i="37"/>
  <c r="O1712" i="37"/>
  <c r="Q1712" i="37"/>
  <c r="V1712" i="37"/>
  <c r="L1713" i="37"/>
  <c r="M1713" i="37"/>
  <c r="O1713" i="37"/>
  <c r="Q1713" i="37"/>
  <c r="V1713" i="37"/>
  <c r="L1714" i="37"/>
  <c r="M1714" i="37"/>
  <c r="O1714" i="37"/>
  <c r="Q1714" i="37"/>
  <c r="V1714" i="37"/>
  <c r="L1715" i="37"/>
  <c r="M1715" i="37"/>
  <c r="O1715" i="37"/>
  <c r="Q1715" i="37"/>
  <c r="V1715" i="37"/>
  <c r="L1716" i="37"/>
  <c r="M1716" i="37"/>
  <c r="O1716" i="37"/>
  <c r="Q1716" i="37"/>
  <c r="V1716" i="37"/>
  <c r="L1717" i="37"/>
  <c r="M1717" i="37"/>
  <c r="O1717" i="37"/>
  <c r="Q1717" i="37"/>
  <c r="V1717" i="37"/>
  <c r="L1718" i="37"/>
  <c r="M1718" i="37"/>
  <c r="O1718" i="37"/>
  <c r="Q1718" i="37"/>
  <c r="V1718" i="37"/>
  <c r="L1719" i="37"/>
  <c r="M1719" i="37"/>
  <c r="O1719" i="37"/>
  <c r="Q1719" i="37"/>
  <c r="V1719" i="37"/>
  <c r="L1720" i="37"/>
  <c r="M1720" i="37"/>
  <c r="O1720" i="37"/>
  <c r="Q1720" i="37"/>
  <c r="V1720" i="37"/>
  <c r="L1721" i="37"/>
  <c r="M1721" i="37"/>
  <c r="O1721" i="37"/>
  <c r="Q1721" i="37"/>
  <c r="V1721" i="37"/>
  <c r="L1722" i="37"/>
  <c r="M1722" i="37"/>
  <c r="O1722" i="37"/>
  <c r="Q1722" i="37"/>
  <c r="V1722" i="37"/>
  <c r="L1723" i="37"/>
  <c r="M1723" i="37"/>
  <c r="O1723" i="37"/>
  <c r="Q1723" i="37"/>
  <c r="V1723" i="37"/>
  <c r="L1724" i="37"/>
  <c r="M1724" i="37"/>
  <c r="O1724" i="37"/>
  <c r="Q1724" i="37"/>
  <c r="V1724" i="37"/>
  <c r="L1725" i="37"/>
  <c r="M1725" i="37"/>
  <c r="O1725" i="37"/>
  <c r="Q1725" i="37"/>
  <c r="V1725" i="37"/>
  <c r="L1726" i="37"/>
  <c r="M1726" i="37"/>
  <c r="O1726" i="37"/>
  <c r="Q1726" i="37"/>
  <c r="V1726" i="37"/>
  <c r="L1727" i="37"/>
  <c r="M1727" i="37"/>
  <c r="O1727" i="37"/>
  <c r="Q1727" i="37"/>
  <c r="V1727" i="37"/>
  <c r="L1728" i="37"/>
  <c r="M1728" i="37"/>
  <c r="O1728" i="37"/>
  <c r="Q1728" i="37"/>
  <c r="V1728" i="37"/>
  <c r="L1729" i="37"/>
  <c r="M1729" i="37"/>
  <c r="O1729" i="37"/>
  <c r="Q1729" i="37"/>
  <c r="V1729" i="37"/>
  <c r="L1730" i="37"/>
  <c r="M1730" i="37"/>
  <c r="O1730" i="37"/>
  <c r="Q1730" i="37"/>
  <c r="V1730" i="37"/>
  <c r="L1731" i="37"/>
  <c r="M1731" i="37"/>
  <c r="O1731" i="37"/>
  <c r="Q1731" i="37"/>
  <c r="V1731" i="37"/>
  <c r="L1732" i="37"/>
  <c r="M1732" i="37"/>
  <c r="O1732" i="37"/>
  <c r="Q1732" i="37"/>
  <c r="V1732" i="37"/>
  <c r="L1733" i="37"/>
  <c r="M1733" i="37"/>
  <c r="O1733" i="37"/>
  <c r="Q1733" i="37"/>
  <c r="V1733" i="37"/>
  <c r="L1734" i="37"/>
  <c r="M1734" i="37"/>
  <c r="O1734" i="37"/>
  <c r="Q1734" i="37"/>
  <c r="V1734" i="37"/>
  <c r="L1735" i="37"/>
  <c r="M1735" i="37"/>
  <c r="O1735" i="37"/>
  <c r="Q1735" i="37"/>
  <c r="V1735" i="37"/>
  <c r="L1736" i="37"/>
  <c r="M1736" i="37"/>
  <c r="O1736" i="37"/>
  <c r="Q1736" i="37"/>
  <c r="V1736" i="37"/>
  <c r="L1737" i="37"/>
  <c r="M1737" i="37"/>
  <c r="O1737" i="37"/>
  <c r="Q1737" i="37"/>
  <c r="V1737" i="37"/>
  <c r="L1738" i="37"/>
  <c r="M1738" i="37"/>
  <c r="O1738" i="37"/>
  <c r="Q1738" i="37"/>
  <c r="V1738" i="37"/>
  <c r="L1739" i="37"/>
  <c r="M1739" i="37"/>
  <c r="O1739" i="37"/>
  <c r="Q1739" i="37"/>
  <c r="V1739" i="37"/>
  <c r="L1740" i="37"/>
  <c r="M1740" i="37"/>
  <c r="O1740" i="37"/>
  <c r="Q1740" i="37"/>
  <c r="V1740" i="37"/>
  <c r="L1741" i="37"/>
  <c r="M1741" i="37"/>
  <c r="O1741" i="37"/>
  <c r="Q1741" i="37"/>
  <c r="V1741" i="37"/>
  <c r="L1742" i="37"/>
  <c r="M1742" i="37"/>
  <c r="O1742" i="37"/>
  <c r="Q1742" i="37"/>
  <c r="V1742" i="37"/>
  <c r="L1743" i="37"/>
  <c r="M1743" i="37"/>
  <c r="O1743" i="37"/>
  <c r="Q1743" i="37"/>
  <c r="V1743" i="37"/>
  <c r="L1744" i="37"/>
  <c r="M1744" i="37"/>
  <c r="O1744" i="37"/>
  <c r="Q1744" i="37"/>
  <c r="V1744" i="37"/>
  <c r="L1745" i="37"/>
  <c r="M1745" i="37"/>
  <c r="O1745" i="37"/>
  <c r="Q1745" i="37"/>
  <c r="V1745" i="37"/>
  <c r="L1746" i="37"/>
  <c r="M1746" i="37"/>
  <c r="O1746" i="37"/>
  <c r="Q1746" i="37"/>
  <c r="V1746" i="37"/>
  <c r="L1747" i="37"/>
  <c r="M1747" i="37"/>
  <c r="O1747" i="37"/>
  <c r="Q1747" i="37"/>
  <c r="V1747" i="37"/>
  <c r="L1748" i="37"/>
  <c r="M1748" i="37"/>
  <c r="O1748" i="37"/>
  <c r="Q1748" i="37"/>
  <c r="V1748" i="37"/>
  <c r="L1749" i="37"/>
  <c r="M1749" i="37"/>
  <c r="O1749" i="37"/>
  <c r="Q1749" i="37"/>
  <c r="V1749" i="37"/>
  <c r="L1750" i="37"/>
  <c r="M1750" i="37"/>
  <c r="O1750" i="37"/>
  <c r="Q1750" i="37"/>
  <c r="V1750" i="37"/>
  <c r="L1751" i="37"/>
  <c r="M1751" i="37"/>
  <c r="O1751" i="37"/>
  <c r="Q1751" i="37"/>
  <c r="V1751" i="37"/>
  <c r="L1752" i="37"/>
  <c r="M1752" i="37"/>
  <c r="O1752" i="37"/>
  <c r="Q1752" i="37"/>
  <c r="V1752" i="37"/>
  <c r="L1753" i="37"/>
  <c r="M1753" i="37"/>
  <c r="O1753" i="37"/>
  <c r="Q1753" i="37"/>
  <c r="V1753" i="37"/>
  <c r="L1754" i="37"/>
  <c r="M1754" i="37"/>
  <c r="O1754" i="37"/>
  <c r="Q1754" i="37"/>
  <c r="V1754" i="37"/>
  <c r="L1755" i="37"/>
  <c r="M1755" i="37"/>
  <c r="O1755" i="37"/>
  <c r="Q1755" i="37"/>
  <c r="V1755" i="37"/>
  <c r="L1756" i="37"/>
  <c r="M1756" i="37"/>
  <c r="O1756" i="37"/>
  <c r="Q1756" i="37"/>
  <c r="V1756" i="37"/>
  <c r="L1757" i="37"/>
  <c r="M1757" i="37"/>
  <c r="O1757" i="37"/>
  <c r="Q1757" i="37"/>
  <c r="V1757" i="37"/>
  <c r="L1758" i="37"/>
  <c r="M1758" i="37"/>
  <c r="O1758" i="37"/>
  <c r="Q1758" i="37"/>
  <c r="V1758" i="37"/>
  <c r="L1759" i="37"/>
  <c r="M1759" i="37"/>
  <c r="O1759" i="37"/>
  <c r="Q1759" i="37"/>
  <c r="V1759" i="37"/>
  <c r="L1760" i="37"/>
  <c r="M1760" i="37"/>
  <c r="O1760" i="37"/>
  <c r="Q1760" i="37"/>
  <c r="V1760" i="37"/>
  <c r="L1761" i="37"/>
  <c r="M1761" i="37"/>
  <c r="O1761" i="37"/>
  <c r="Q1761" i="37"/>
  <c r="V1761" i="37"/>
  <c r="L1762" i="37"/>
  <c r="M1762" i="37"/>
  <c r="O1762" i="37"/>
  <c r="Q1762" i="37"/>
  <c r="V1762" i="37"/>
  <c r="L1763" i="37"/>
  <c r="M1763" i="37"/>
  <c r="O1763" i="37"/>
  <c r="Q1763" i="37"/>
  <c r="V1763" i="37"/>
  <c r="L1764" i="37"/>
  <c r="M1764" i="37"/>
  <c r="O1764" i="37"/>
  <c r="Q1764" i="37"/>
  <c r="V1764" i="37"/>
  <c r="L1765" i="37"/>
  <c r="M1765" i="37"/>
  <c r="O1765" i="37"/>
  <c r="Q1765" i="37"/>
  <c r="V1765" i="37"/>
  <c r="L1766" i="37"/>
  <c r="M1766" i="37"/>
  <c r="O1766" i="37"/>
  <c r="Q1766" i="37"/>
  <c r="V1766" i="37"/>
  <c r="L1767" i="37"/>
  <c r="M1767" i="37"/>
  <c r="O1767" i="37"/>
  <c r="Q1767" i="37"/>
  <c r="V1767" i="37"/>
  <c r="L1768" i="37"/>
  <c r="M1768" i="37"/>
  <c r="O1768" i="37"/>
  <c r="Q1768" i="37"/>
  <c r="V1768" i="37"/>
  <c r="L1769" i="37"/>
  <c r="M1769" i="37"/>
  <c r="O1769" i="37"/>
  <c r="Q1769" i="37"/>
  <c r="V1769" i="37"/>
  <c r="L1770" i="37"/>
  <c r="M1770" i="37"/>
  <c r="O1770" i="37"/>
  <c r="Q1770" i="37"/>
  <c r="V1770" i="37"/>
  <c r="L1771" i="37"/>
  <c r="M1771" i="37"/>
  <c r="O1771" i="37"/>
  <c r="Q1771" i="37"/>
  <c r="V1771" i="37"/>
  <c r="L1772" i="37"/>
  <c r="M1772" i="37"/>
  <c r="O1772" i="37"/>
  <c r="Q1772" i="37"/>
  <c r="V1772" i="37"/>
  <c r="L1773" i="37"/>
  <c r="M1773" i="37"/>
  <c r="O1773" i="37"/>
  <c r="Q1773" i="37"/>
  <c r="V1773" i="37"/>
  <c r="L1774" i="37"/>
  <c r="M1774" i="37"/>
  <c r="O1774" i="37"/>
  <c r="Q1774" i="37"/>
  <c r="V1774" i="37"/>
  <c r="L1775" i="37"/>
  <c r="M1775" i="37"/>
  <c r="O1775" i="37"/>
  <c r="Q1775" i="37"/>
  <c r="V1775" i="37"/>
  <c r="L1776" i="37"/>
  <c r="M1776" i="37"/>
  <c r="O1776" i="37"/>
  <c r="Q1776" i="37"/>
  <c r="V1776" i="37"/>
  <c r="L1777" i="37"/>
  <c r="M1777" i="37"/>
  <c r="O1777" i="37"/>
  <c r="Q1777" i="37"/>
  <c r="V1777" i="37"/>
  <c r="L1778" i="37"/>
  <c r="M1778" i="37"/>
  <c r="O1778" i="37"/>
  <c r="Q1778" i="37"/>
  <c r="V1778" i="37"/>
  <c r="L1779" i="37"/>
  <c r="M1779" i="37"/>
  <c r="O1779" i="37"/>
  <c r="Q1779" i="37"/>
  <c r="V1779" i="37"/>
  <c r="L1780" i="37"/>
  <c r="M1780" i="37"/>
  <c r="O1780" i="37"/>
  <c r="Q1780" i="37"/>
  <c r="V1780" i="37"/>
  <c r="L1781" i="37"/>
  <c r="M1781" i="37"/>
  <c r="O1781" i="37"/>
  <c r="Q1781" i="37"/>
  <c r="V1781" i="37"/>
  <c r="L1782" i="37"/>
  <c r="M1782" i="37"/>
  <c r="O1782" i="37"/>
  <c r="Q1782" i="37"/>
  <c r="V1782" i="37"/>
  <c r="L1783" i="37"/>
  <c r="M1783" i="37"/>
  <c r="O1783" i="37"/>
  <c r="Q1783" i="37"/>
  <c r="V1783" i="37"/>
  <c r="L1784" i="37"/>
  <c r="M1784" i="37"/>
  <c r="O1784" i="37"/>
  <c r="Q1784" i="37"/>
  <c r="V1784" i="37"/>
  <c r="L1785" i="37"/>
  <c r="M1785" i="37"/>
  <c r="O1785" i="37"/>
  <c r="Q1785" i="37"/>
  <c r="V1785" i="37"/>
  <c r="L1786" i="37"/>
  <c r="M1786" i="37"/>
  <c r="O1786" i="37"/>
  <c r="Q1786" i="37"/>
  <c r="V1786" i="37"/>
  <c r="L1787" i="37"/>
  <c r="M1787" i="37"/>
  <c r="O1787" i="37"/>
  <c r="Q1787" i="37"/>
  <c r="V1787" i="37"/>
  <c r="L1788" i="37"/>
  <c r="M1788" i="37"/>
  <c r="O1788" i="37"/>
  <c r="Q1788" i="37"/>
  <c r="V1788" i="37"/>
  <c r="L1789" i="37"/>
  <c r="M1789" i="37"/>
  <c r="O1789" i="37"/>
  <c r="Q1789" i="37"/>
  <c r="V1789" i="37"/>
  <c r="L1790" i="37"/>
  <c r="M1790" i="37"/>
  <c r="O1790" i="37"/>
  <c r="Q1790" i="37"/>
  <c r="V1790" i="37"/>
  <c r="L1791" i="37"/>
  <c r="M1791" i="37"/>
  <c r="O1791" i="37"/>
  <c r="Q1791" i="37"/>
  <c r="V1791" i="37"/>
  <c r="L1792" i="37"/>
  <c r="M1792" i="37"/>
  <c r="O1792" i="37"/>
  <c r="Q1792" i="37"/>
  <c r="V1792" i="37"/>
  <c r="L1793" i="37"/>
  <c r="M1793" i="37"/>
  <c r="O1793" i="37"/>
  <c r="Q1793" i="37"/>
  <c r="V1793" i="37"/>
  <c r="L1794" i="37"/>
  <c r="M1794" i="37"/>
  <c r="O1794" i="37"/>
  <c r="Q1794" i="37"/>
  <c r="V1794" i="37"/>
  <c r="L1795" i="37"/>
  <c r="M1795" i="37"/>
  <c r="O1795" i="37"/>
  <c r="Q1795" i="37"/>
  <c r="V1795" i="37"/>
  <c r="L1796" i="37"/>
  <c r="M1796" i="37"/>
  <c r="O1796" i="37"/>
  <c r="Q1796" i="37"/>
  <c r="V1796" i="37"/>
  <c r="L1797" i="37"/>
  <c r="M1797" i="37"/>
  <c r="O1797" i="37"/>
  <c r="Q1797" i="37"/>
  <c r="V1797" i="37"/>
  <c r="L1798" i="37"/>
  <c r="M1798" i="37"/>
  <c r="O1798" i="37"/>
  <c r="Q1798" i="37"/>
  <c r="V1798" i="37"/>
  <c r="L1799" i="37"/>
  <c r="M1799" i="37"/>
  <c r="O1799" i="37"/>
  <c r="Q1799" i="37"/>
  <c r="V1799" i="37"/>
  <c r="L1800" i="37"/>
  <c r="M1800" i="37"/>
  <c r="O1800" i="37"/>
  <c r="Q1800" i="37"/>
  <c r="V1800" i="37"/>
  <c r="L1801" i="37"/>
  <c r="M1801" i="37"/>
  <c r="O1801" i="37"/>
  <c r="Q1801" i="37"/>
  <c r="V1801" i="37"/>
  <c r="L1802" i="37"/>
  <c r="M1802" i="37"/>
  <c r="O1802" i="37"/>
  <c r="Q1802" i="37"/>
  <c r="V1802" i="37"/>
  <c r="L1803" i="37"/>
  <c r="M1803" i="37"/>
  <c r="O1803" i="37"/>
  <c r="Q1803" i="37"/>
  <c r="V1803" i="37"/>
  <c r="L1804" i="37"/>
  <c r="M1804" i="37"/>
  <c r="O1804" i="37"/>
  <c r="Q1804" i="37"/>
  <c r="V1804" i="37"/>
  <c r="L1805" i="37"/>
  <c r="M1805" i="37"/>
  <c r="O1805" i="37"/>
  <c r="Q1805" i="37"/>
  <c r="V1805" i="37"/>
  <c r="L1806" i="37"/>
  <c r="M1806" i="37"/>
  <c r="O1806" i="37"/>
  <c r="Q1806" i="37"/>
  <c r="V1806" i="37"/>
  <c r="L1807" i="37"/>
  <c r="M1807" i="37"/>
  <c r="O1807" i="37"/>
  <c r="Q1807" i="37"/>
  <c r="V1807" i="37"/>
  <c r="L1808" i="37"/>
  <c r="M1808" i="37"/>
  <c r="O1808" i="37"/>
  <c r="Q1808" i="37"/>
  <c r="V1808" i="37"/>
  <c r="L1809" i="37"/>
  <c r="M1809" i="37"/>
  <c r="O1809" i="37"/>
  <c r="Q1809" i="37"/>
  <c r="V1809" i="37"/>
  <c r="L1810" i="37"/>
  <c r="M1810" i="37"/>
  <c r="O1810" i="37"/>
  <c r="Q1810" i="37"/>
  <c r="V1810" i="37"/>
  <c r="L1811" i="37"/>
  <c r="M1811" i="37"/>
  <c r="O1811" i="37"/>
  <c r="Q1811" i="37"/>
  <c r="V1811" i="37"/>
  <c r="L1812" i="37"/>
  <c r="M1812" i="37"/>
  <c r="O1812" i="37"/>
  <c r="Q1812" i="37"/>
  <c r="V1812" i="37"/>
  <c r="L1813" i="37"/>
  <c r="M1813" i="37"/>
  <c r="O1813" i="37"/>
  <c r="Q1813" i="37"/>
  <c r="V1813" i="37"/>
  <c r="L1814" i="37"/>
  <c r="M1814" i="37"/>
  <c r="O1814" i="37"/>
  <c r="Q1814" i="37"/>
  <c r="V1814" i="37"/>
  <c r="L1815" i="37"/>
  <c r="M1815" i="37"/>
  <c r="O1815" i="37"/>
  <c r="Q1815" i="37"/>
  <c r="V1815" i="37"/>
  <c r="L1816" i="37"/>
  <c r="M1816" i="37"/>
  <c r="O1816" i="37"/>
  <c r="Q1816" i="37"/>
  <c r="V1816" i="37"/>
  <c r="L1817" i="37"/>
  <c r="M1817" i="37"/>
  <c r="O1817" i="37"/>
  <c r="Q1817" i="37"/>
  <c r="V1817" i="37"/>
  <c r="L1818" i="37"/>
  <c r="M1818" i="37"/>
  <c r="O1818" i="37"/>
  <c r="Q1818" i="37"/>
  <c r="V1818" i="37"/>
  <c r="L1819" i="37"/>
  <c r="M1819" i="37"/>
  <c r="O1819" i="37"/>
  <c r="Q1819" i="37"/>
  <c r="V1819" i="37"/>
  <c r="L1820" i="37"/>
  <c r="M1820" i="37"/>
  <c r="O1820" i="37"/>
  <c r="Q1820" i="37"/>
  <c r="V1820" i="37"/>
  <c r="L1821" i="37"/>
  <c r="M1821" i="37"/>
  <c r="O1821" i="37"/>
  <c r="Q1821" i="37"/>
  <c r="V1821" i="37"/>
  <c r="L1822" i="37"/>
  <c r="M1822" i="37"/>
  <c r="O1822" i="37"/>
  <c r="Q1822" i="37"/>
  <c r="V1822" i="37"/>
  <c r="L1823" i="37"/>
  <c r="M1823" i="37"/>
  <c r="O1823" i="37"/>
  <c r="Q1823" i="37"/>
  <c r="V1823" i="37"/>
  <c r="L1824" i="37"/>
  <c r="M1824" i="37"/>
  <c r="O1824" i="37"/>
  <c r="Q1824" i="37"/>
  <c r="V1824" i="37"/>
  <c r="L1825" i="37"/>
  <c r="M1825" i="37"/>
  <c r="O1825" i="37"/>
  <c r="Q1825" i="37"/>
  <c r="V1825" i="37"/>
  <c r="L1826" i="37"/>
  <c r="M1826" i="37"/>
  <c r="O1826" i="37"/>
  <c r="Q1826" i="37"/>
  <c r="V1826" i="37"/>
  <c r="L1827" i="37"/>
  <c r="M1827" i="37"/>
  <c r="O1827" i="37"/>
  <c r="Q1827" i="37"/>
  <c r="V1827" i="37"/>
  <c r="L1828" i="37"/>
  <c r="M1828" i="37"/>
  <c r="O1828" i="37"/>
  <c r="Q1828" i="37"/>
  <c r="V1828" i="37"/>
  <c r="L1829" i="37"/>
  <c r="M1829" i="37"/>
  <c r="O1829" i="37"/>
  <c r="Q1829" i="37"/>
  <c r="V1829" i="37"/>
  <c r="L1830" i="37"/>
  <c r="M1830" i="37"/>
  <c r="O1830" i="37"/>
  <c r="Q1830" i="37"/>
  <c r="V1830" i="37"/>
  <c r="L1831" i="37"/>
  <c r="M1831" i="37"/>
  <c r="O1831" i="37"/>
  <c r="Q1831" i="37"/>
  <c r="V1831" i="37"/>
  <c r="L1832" i="37"/>
  <c r="M1832" i="37"/>
  <c r="O1832" i="37"/>
  <c r="Q1832" i="37"/>
  <c r="V1832" i="37"/>
  <c r="L1833" i="37"/>
  <c r="M1833" i="37"/>
  <c r="O1833" i="37"/>
  <c r="Q1833" i="37"/>
  <c r="V1833" i="37"/>
  <c r="L1834" i="37"/>
  <c r="M1834" i="37"/>
  <c r="O1834" i="37"/>
  <c r="Q1834" i="37"/>
  <c r="V1834" i="37"/>
  <c r="L1835" i="37"/>
  <c r="M1835" i="37"/>
  <c r="O1835" i="37"/>
  <c r="Q1835" i="37"/>
  <c r="V1835" i="37"/>
  <c r="L1836" i="37"/>
  <c r="M1836" i="37"/>
  <c r="O1836" i="37"/>
  <c r="Q1836" i="37"/>
  <c r="V1836" i="37"/>
  <c r="L1837" i="37"/>
  <c r="M1837" i="37"/>
  <c r="O1837" i="37"/>
  <c r="Q1837" i="37"/>
  <c r="V1837" i="37"/>
  <c r="L1838" i="37"/>
  <c r="M1838" i="37"/>
  <c r="O1838" i="37"/>
  <c r="Q1838" i="37"/>
  <c r="V1838" i="37"/>
  <c r="L1839" i="37"/>
  <c r="M1839" i="37"/>
  <c r="O1839" i="37"/>
  <c r="Q1839" i="37"/>
  <c r="V1839" i="37"/>
  <c r="L1840" i="37"/>
  <c r="M1840" i="37"/>
  <c r="O1840" i="37"/>
  <c r="Q1840" i="37"/>
  <c r="V1840" i="37"/>
  <c r="L1841" i="37"/>
  <c r="M1841" i="37"/>
  <c r="O1841" i="37"/>
  <c r="Q1841" i="37"/>
  <c r="V1841" i="37"/>
  <c r="L1842" i="37"/>
  <c r="M1842" i="37"/>
  <c r="O1842" i="37"/>
  <c r="Q1842" i="37"/>
  <c r="V1842" i="37"/>
  <c r="L1843" i="37"/>
  <c r="M1843" i="37"/>
  <c r="O1843" i="37"/>
  <c r="Q1843" i="37"/>
  <c r="V1843" i="37"/>
  <c r="L1844" i="37"/>
  <c r="M1844" i="37"/>
  <c r="O1844" i="37"/>
  <c r="Q1844" i="37"/>
  <c r="V1844" i="37"/>
  <c r="L1845" i="37"/>
  <c r="M1845" i="37"/>
  <c r="O1845" i="37"/>
  <c r="Q1845" i="37"/>
  <c r="V1845" i="37"/>
  <c r="L1846" i="37"/>
  <c r="M1846" i="37"/>
  <c r="O1846" i="37"/>
  <c r="Q1846" i="37"/>
  <c r="V1846" i="37"/>
  <c r="L1847" i="37"/>
  <c r="M1847" i="37"/>
  <c r="O1847" i="37"/>
  <c r="Q1847" i="37"/>
  <c r="V1847" i="37"/>
  <c r="L1848" i="37"/>
  <c r="M1848" i="37"/>
  <c r="O1848" i="37"/>
  <c r="Q1848" i="37"/>
  <c r="V1848" i="37"/>
  <c r="L1849" i="37"/>
  <c r="M1849" i="37"/>
  <c r="O1849" i="37"/>
  <c r="Q1849" i="37"/>
  <c r="V1849" i="37"/>
  <c r="L1850" i="37"/>
  <c r="M1850" i="37"/>
  <c r="O1850" i="37"/>
  <c r="Q1850" i="37"/>
  <c r="V1850" i="37"/>
  <c r="L1851" i="37"/>
  <c r="M1851" i="37"/>
  <c r="O1851" i="37"/>
  <c r="Q1851" i="37"/>
  <c r="V1851" i="37"/>
  <c r="L1852" i="37"/>
  <c r="M1852" i="37"/>
  <c r="O1852" i="37"/>
  <c r="Q1852" i="37"/>
  <c r="V1852" i="37"/>
  <c r="L1853" i="37"/>
  <c r="M1853" i="37"/>
  <c r="O1853" i="37"/>
  <c r="Q1853" i="37"/>
  <c r="V1853" i="37"/>
  <c r="L1854" i="37"/>
  <c r="M1854" i="37"/>
  <c r="O1854" i="37"/>
  <c r="Q1854" i="37"/>
  <c r="V1854" i="37"/>
  <c r="L1855" i="37"/>
  <c r="M1855" i="37"/>
  <c r="O1855" i="37"/>
  <c r="Q1855" i="37"/>
  <c r="V1855" i="37"/>
  <c r="L1856" i="37"/>
  <c r="M1856" i="37"/>
  <c r="O1856" i="37"/>
  <c r="Q1856" i="37"/>
  <c r="V1856" i="37"/>
  <c r="L1857" i="37"/>
  <c r="M1857" i="37"/>
  <c r="O1857" i="37"/>
  <c r="Q1857" i="37"/>
  <c r="V1857" i="37"/>
  <c r="L1858" i="37"/>
  <c r="M1858" i="37"/>
  <c r="O1858" i="37"/>
  <c r="Q1858" i="37"/>
  <c r="V1858" i="37"/>
  <c r="L1859" i="37"/>
  <c r="M1859" i="37"/>
  <c r="O1859" i="37"/>
  <c r="Q1859" i="37"/>
  <c r="V1859" i="37"/>
  <c r="L1860" i="37"/>
  <c r="M1860" i="37"/>
  <c r="O1860" i="37"/>
  <c r="Q1860" i="37"/>
  <c r="V1860" i="37"/>
  <c r="L1861" i="37"/>
  <c r="M1861" i="37"/>
  <c r="O1861" i="37"/>
  <c r="Q1861" i="37"/>
  <c r="V1861" i="37"/>
  <c r="L1862" i="37"/>
  <c r="M1862" i="37"/>
  <c r="O1862" i="37"/>
  <c r="Q1862" i="37"/>
  <c r="V1862" i="37"/>
  <c r="L1863" i="37"/>
  <c r="M1863" i="37"/>
  <c r="O1863" i="37"/>
  <c r="Q1863" i="37"/>
  <c r="V1863" i="37"/>
  <c r="L1864" i="37"/>
  <c r="M1864" i="37"/>
  <c r="O1864" i="37"/>
  <c r="Q1864" i="37"/>
  <c r="V1864" i="37"/>
  <c r="L1865" i="37"/>
  <c r="M1865" i="37"/>
  <c r="O1865" i="37"/>
  <c r="Q1865" i="37"/>
  <c r="V1865" i="37"/>
  <c r="L1866" i="37"/>
  <c r="M1866" i="37"/>
  <c r="O1866" i="37"/>
  <c r="Q1866" i="37"/>
  <c r="V1866" i="37"/>
  <c r="L1867" i="37"/>
  <c r="M1867" i="37"/>
  <c r="O1867" i="37"/>
  <c r="Q1867" i="37"/>
  <c r="V1867" i="37"/>
  <c r="L1868" i="37"/>
  <c r="M1868" i="37"/>
  <c r="O1868" i="37"/>
  <c r="Q1868" i="37"/>
  <c r="V1868" i="37"/>
  <c r="L1869" i="37"/>
  <c r="M1869" i="37"/>
  <c r="O1869" i="37"/>
  <c r="Q1869" i="37"/>
  <c r="V1869" i="37"/>
  <c r="L1870" i="37"/>
  <c r="M1870" i="37"/>
  <c r="O1870" i="37"/>
  <c r="Q1870" i="37"/>
  <c r="V1870" i="37"/>
  <c r="L1871" i="37"/>
  <c r="M1871" i="37"/>
  <c r="O1871" i="37"/>
  <c r="Q1871" i="37"/>
  <c r="V1871" i="37"/>
  <c r="L1872" i="37"/>
  <c r="M1872" i="37"/>
  <c r="O1872" i="37"/>
  <c r="Q1872" i="37"/>
  <c r="V1872" i="37"/>
  <c r="L1873" i="37"/>
  <c r="M1873" i="37"/>
  <c r="O1873" i="37"/>
  <c r="Q1873" i="37"/>
  <c r="V1873" i="37"/>
  <c r="L1874" i="37"/>
  <c r="M1874" i="37"/>
  <c r="O1874" i="37"/>
  <c r="Q1874" i="37"/>
  <c r="V1874" i="37"/>
  <c r="L1875" i="37"/>
  <c r="M1875" i="37"/>
  <c r="O1875" i="37"/>
  <c r="Q1875" i="37"/>
  <c r="V1875" i="37"/>
  <c r="L1876" i="37"/>
  <c r="M1876" i="37"/>
  <c r="O1876" i="37"/>
  <c r="Q1876" i="37"/>
  <c r="V1876" i="37"/>
  <c r="L1877" i="37"/>
  <c r="M1877" i="37"/>
  <c r="O1877" i="37"/>
  <c r="Q1877" i="37"/>
  <c r="V1877" i="37"/>
  <c r="L1878" i="37"/>
  <c r="M1878" i="37"/>
  <c r="O1878" i="37"/>
  <c r="Q1878" i="37"/>
  <c r="V1878" i="37"/>
  <c r="L1879" i="37"/>
  <c r="M1879" i="37"/>
  <c r="O1879" i="37"/>
  <c r="Q1879" i="37"/>
  <c r="V1879" i="37"/>
  <c r="L1880" i="37"/>
  <c r="M1880" i="37"/>
  <c r="O1880" i="37"/>
  <c r="Q1880" i="37"/>
  <c r="V1880" i="37"/>
  <c r="L1881" i="37"/>
  <c r="M1881" i="37"/>
  <c r="O1881" i="37"/>
  <c r="Q1881" i="37"/>
  <c r="V1881" i="37"/>
  <c r="L1882" i="37"/>
  <c r="M1882" i="37"/>
  <c r="O1882" i="37"/>
  <c r="Q1882" i="37"/>
  <c r="V1882" i="37"/>
  <c r="L1883" i="37"/>
  <c r="M1883" i="37"/>
  <c r="O1883" i="37"/>
  <c r="Q1883" i="37"/>
  <c r="V1883" i="37"/>
  <c r="L1884" i="37"/>
  <c r="M1884" i="37"/>
  <c r="O1884" i="37"/>
  <c r="Q1884" i="37"/>
  <c r="V1884" i="37"/>
  <c r="L1885" i="37"/>
  <c r="M1885" i="37"/>
  <c r="O1885" i="37"/>
  <c r="Q1885" i="37"/>
  <c r="V1885" i="37"/>
  <c r="L1886" i="37"/>
  <c r="M1886" i="37"/>
  <c r="O1886" i="37"/>
  <c r="Q1886" i="37"/>
  <c r="V1886" i="37"/>
  <c r="L1887" i="37"/>
  <c r="M1887" i="37"/>
  <c r="O1887" i="37"/>
  <c r="Q1887" i="37"/>
  <c r="V1887" i="37"/>
  <c r="L1888" i="37"/>
  <c r="M1888" i="37"/>
  <c r="O1888" i="37"/>
  <c r="Q1888" i="37"/>
  <c r="V1888" i="37"/>
  <c r="L1889" i="37"/>
  <c r="M1889" i="37"/>
  <c r="O1889" i="37"/>
  <c r="Q1889" i="37"/>
  <c r="V1889" i="37"/>
  <c r="L1890" i="37"/>
  <c r="M1890" i="37"/>
  <c r="O1890" i="37"/>
  <c r="Q1890" i="37"/>
  <c r="V1890" i="37"/>
  <c r="L1891" i="37"/>
  <c r="M1891" i="37"/>
  <c r="O1891" i="37"/>
  <c r="Q1891" i="37"/>
  <c r="V1891" i="37"/>
  <c r="L1892" i="37"/>
  <c r="M1892" i="37"/>
  <c r="O1892" i="37"/>
  <c r="Q1892" i="37"/>
  <c r="V1892" i="37"/>
  <c r="L1893" i="37"/>
  <c r="M1893" i="37"/>
  <c r="O1893" i="37"/>
  <c r="Q1893" i="37"/>
  <c r="V1893" i="37"/>
  <c r="L1894" i="37"/>
  <c r="M1894" i="37"/>
  <c r="O1894" i="37"/>
  <c r="Q1894" i="37"/>
  <c r="V1894" i="37"/>
  <c r="L1895" i="37"/>
  <c r="M1895" i="37"/>
  <c r="O1895" i="37"/>
  <c r="Q1895" i="37"/>
  <c r="V1895" i="37"/>
  <c r="L1896" i="37"/>
  <c r="M1896" i="37"/>
  <c r="O1896" i="37"/>
  <c r="Q1896" i="37"/>
  <c r="V1896" i="37"/>
  <c r="L1897" i="37"/>
  <c r="M1897" i="37"/>
  <c r="O1897" i="37"/>
  <c r="Q1897" i="37"/>
  <c r="V1897" i="37"/>
  <c r="L1898" i="37"/>
  <c r="M1898" i="37"/>
  <c r="O1898" i="37"/>
  <c r="Q1898" i="37"/>
  <c r="V1898" i="37"/>
  <c r="L1899" i="37"/>
  <c r="M1899" i="37"/>
  <c r="O1899" i="37"/>
  <c r="Q1899" i="37"/>
  <c r="V1899" i="37"/>
  <c r="L1900" i="37"/>
  <c r="M1900" i="37"/>
  <c r="O1900" i="37"/>
  <c r="Q1900" i="37"/>
  <c r="V1900" i="37"/>
  <c r="L1901" i="37"/>
  <c r="M1901" i="37"/>
  <c r="O1901" i="37"/>
  <c r="Q1901" i="37"/>
  <c r="V1901" i="37"/>
  <c r="L1902" i="37"/>
  <c r="M1902" i="37"/>
  <c r="O1902" i="37"/>
  <c r="Q1902" i="37"/>
  <c r="V1902" i="37"/>
  <c r="L1903" i="37"/>
  <c r="M1903" i="37"/>
  <c r="O1903" i="37"/>
  <c r="Q1903" i="37"/>
  <c r="V1903" i="37"/>
  <c r="L1904" i="37"/>
  <c r="M1904" i="37"/>
  <c r="O1904" i="37"/>
  <c r="Q1904" i="37"/>
  <c r="V1904" i="37"/>
  <c r="L1905" i="37"/>
  <c r="M1905" i="37"/>
  <c r="O1905" i="37"/>
  <c r="Q1905" i="37"/>
  <c r="V1905" i="37"/>
  <c r="L1906" i="37"/>
  <c r="M1906" i="37"/>
  <c r="O1906" i="37"/>
  <c r="Q1906" i="37"/>
  <c r="V1906" i="37"/>
  <c r="L1907" i="37"/>
  <c r="M1907" i="37"/>
  <c r="O1907" i="37"/>
  <c r="Q1907" i="37"/>
  <c r="V1907" i="37"/>
  <c r="L1908" i="37"/>
  <c r="M1908" i="37"/>
  <c r="O1908" i="37"/>
  <c r="Q1908" i="37"/>
  <c r="V1908" i="37"/>
  <c r="L1909" i="37"/>
  <c r="M1909" i="37"/>
  <c r="O1909" i="37"/>
  <c r="Q1909" i="37"/>
  <c r="V1909" i="37"/>
  <c r="L1910" i="37"/>
  <c r="M1910" i="37"/>
  <c r="O1910" i="37"/>
  <c r="Q1910" i="37"/>
  <c r="V1910" i="37"/>
  <c r="L1911" i="37"/>
  <c r="M1911" i="37"/>
  <c r="O1911" i="37"/>
  <c r="Q1911" i="37"/>
  <c r="V1911" i="37"/>
  <c r="L1912" i="37"/>
  <c r="M1912" i="37"/>
  <c r="O1912" i="37"/>
  <c r="Q1912" i="37"/>
  <c r="V1912" i="37"/>
  <c r="L1913" i="37"/>
  <c r="M1913" i="37"/>
  <c r="O1913" i="37"/>
  <c r="Q1913" i="37"/>
  <c r="V1913" i="37"/>
  <c r="L1914" i="37"/>
  <c r="M1914" i="37"/>
  <c r="O1914" i="37"/>
  <c r="Q1914" i="37"/>
  <c r="V1914" i="37"/>
  <c r="L1915" i="37"/>
  <c r="M1915" i="37"/>
  <c r="O1915" i="37"/>
  <c r="Q1915" i="37"/>
  <c r="V1915" i="37"/>
  <c r="L1916" i="37"/>
  <c r="M1916" i="37"/>
  <c r="O1916" i="37"/>
  <c r="Q1916" i="37"/>
  <c r="V1916" i="37"/>
  <c r="L1917" i="37"/>
  <c r="M1917" i="37"/>
  <c r="O1917" i="37"/>
  <c r="Q1917" i="37"/>
  <c r="V1917" i="37"/>
  <c r="L1918" i="37"/>
  <c r="M1918" i="37"/>
  <c r="O1918" i="37"/>
  <c r="Q1918" i="37"/>
  <c r="V1918" i="37"/>
  <c r="L1919" i="37"/>
  <c r="M1919" i="37"/>
  <c r="O1919" i="37"/>
  <c r="Q1919" i="37"/>
  <c r="V1919" i="37"/>
  <c r="L1920" i="37"/>
  <c r="M1920" i="37"/>
  <c r="O1920" i="37"/>
  <c r="Q1920" i="37"/>
  <c r="V1920" i="37"/>
  <c r="L1921" i="37"/>
  <c r="M1921" i="37"/>
  <c r="O1921" i="37"/>
  <c r="Q1921" i="37"/>
  <c r="V1921" i="37"/>
  <c r="L1922" i="37"/>
  <c r="M1922" i="37"/>
  <c r="O1922" i="37"/>
  <c r="Q1922" i="37"/>
  <c r="V1922" i="37"/>
  <c r="L1923" i="37"/>
  <c r="M1923" i="37"/>
  <c r="O1923" i="37"/>
  <c r="Q1923" i="37"/>
  <c r="V1923" i="37"/>
  <c r="L1924" i="37"/>
  <c r="M1924" i="37"/>
  <c r="O1924" i="37"/>
  <c r="Q1924" i="37"/>
  <c r="V1924" i="37"/>
  <c r="L1925" i="37"/>
  <c r="M1925" i="37"/>
  <c r="O1925" i="37"/>
  <c r="Q1925" i="37"/>
  <c r="V1925" i="37"/>
  <c r="L1926" i="37"/>
  <c r="M1926" i="37"/>
  <c r="O1926" i="37"/>
  <c r="Q1926" i="37"/>
  <c r="V1926" i="37"/>
  <c r="L1927" i="37"/>
  <c r="M1927" i="37"/>
  <c r="O1927" i="37"/>
  <c r="Q1927" i="37"/>
  <c r="V1927" i="37"/>
  <c r="L1928" i="37"/>
  <c r="M1928" i="37"/>
  <c r="O1928" i="37"/>
  <c r="Q1928" i="37"/>
  <c r="V1928" i="37"/>
  <c r="L1929" i="37"/>
  <c r="M1929" i="37"/>
  <c r="O1929" i="37"/>
  <c r="Q1929" i="37"/>
  <c r="V1929" i="37"/>
  <c r="L1930" i="37"/>
  <c r="M1930" i="37"/>
  <c r="O1930" i="37"/>
  <c r="Q1930" i="37"/>
  <c r="V1930" i="37"/>
  <c r="L1931" i="37"/>
  <c r="M1931" i="37"/>
  <c r="O1931" i="37"/>
  <c r="Q1931" i="37"/>
  <c r="V1931" i="37"/>
  <c r="L1932" i="37"/>
  <c r="M1932" i="37"/>
  <c r="O1932" i="37"/>
  <c r="Q1932" i="37"/>
  <c r="V1932" i="37"/>
  <c r="L1933" i="37"/>
  <c r="M1933" i="37"/>
  <c r="O1933" i="37"/>
  <c r="Q1933" i="37"/>
  <c r="V1933" i="37"/>
  <c r="L1934" i="37"/>
  <c r="M1934" i="37"/>
  <c r="O1934" i="37"/>
  <c r="Q1934" i="37"/>
  <c r="V1934" i="37"/>
  <c r="L1935" i="37"/>
  <c r="M1935" i="37"/>
  <c r="O1935" i="37"/>
  <c r="Q1935" i="37"/>
  <c r="V1935" i="37"/>
  <c r="L1936" i="37"/>
  <c r="M1936" i="37"/>
  <c r="O1936" i="37"/>
  <c r="Q1936" i="37"/>
  <c r="V1936" i="37"/>
  <c r="L1937" i="37"/>
  <c r="M1937" i="37"/>
  <c r="O1937" i="37"/>
  <c r="Q1937" i="37"/>
  <c r="V1937" i="37"/>
  <c r="L1938" i="37"/>
  <c r="M1938" i="37"/>
  <c r="O1938" i="37"/>
  <c r="Q1938" i="37"/>
  <c r="V1938" i="37"/>
  <c r="L1939" i="37"/>
  <c r="M1939" i="37"/>
  <c r="O1939" i="37"/>
  <c r="Q1939" i="37"/>
  <c r="V1939" i="37"/>
  <c r="L1940" i="37"/>
  <c r="M1940" i="37"/>
  <c r="O1940" i="37"/>
  <c r="Q1940" i="37"/>
  <c r="V1940" i="37"/>
  <c r="L1941" i="37"/>
  <c r="M1941" i="37"/>
  <c r="O1941" i="37"/>
  <c r="Q1941" i="37"/>
  <c r="V1941" i="37"/>
  <c r="L1942" i="37"/>
  <c r="M1942" i="37"/>
  <c r="O1942" i="37"/>
  <c r="Q1942" i="37"/>
  <c r="V1942" i="37"/>
  <c r="L1943" i="37"/>
  <c r="M1943" i="37"/>
  <c r="O1943" i="37"/>
  <c r="Q1943" i="37"/>
  <c r="V1943" i="37"/>
  <c r="L1944" i="37"/>
  <c r="M1944" i="37"/>
  <c r="O1944" i="37"/>
  <c r="Q1944" i="37"/>
  <c r="V1944" i="37"/>
  <c r="L1945" i="37"/>
  <c r="M1945" i="37"/>
  <c r="O1945" i="37"/>
  <c r="Q1945" i="37"/>
  <c r="V1945" i="37"/>
  <c r="L1946" i="37"/>
  <c r="M1946" i="37"/>
  <c r="O1946" i="37"/>
  <c r="Q1946" i="37"/>
  <c r="V1946" i="37"/>
  <c r="L1947" i="37"/>
  <c r="M1947" i="37"/>
  <c r="O1947" i="37"/>
  <c r="Q1947" i="37"/>
  <c r="V1947" i="37"/>
  <c r="L1948" i="37"/>
  <c r="M1948" i="37"/>
  <c r="O1948" i="37"/>
  <c r="Q1948" i="37"/>
  <c r="V1948" i="37"/>
  <c r="L1949" i="37"/>
  <c r="M1949" i="37"/>
  <c r="O1949" i="37"/>
  <c r="Q1949" i="37"/>
  <c r="V1949" i="37"/>
  <c r="L1950" i="37"/>
  <c r="M1950" i="37"/>
  <c r="O1950" i="37"/>
  <c r="Q1950" i="37"/>
  <c r="V1950" i="37"/>
  <c r="L1951" i="37"/>
  <c r="M1951" i="37"/>
  <c r="O1951" i="37"/>
  <c r="Q1951" i="37"/>
  <c r="V1951" i="37"/>
  <c r="L1952" i="37"/>
  <c r="M1952" i="37"/>
  <c r="O1952" i="37"/>
  <c r="Q1952" i="37"/>
  <c r="V1952" i="37"/>
  <c r="L1953" i="37"/>
  <c r="M1953" i="37"/>
  <c r="O1953" i="37"/>
  <c r="Q1953" i="37"/>
  <c r="V1953" i="37"/>
  <c r="L1954" i="37"/>
  <c r="M1954" i="37"/>
  <c r="O1954" i="37"/>
  <c r="Q1954" i="37"/>
  <c r="V1954" i="37"/>
  <c r="L1955" i="37"/>
  <c r="M1955" i="37"/>
  <c r="O1955" i="37"/>
  <c r="Q1955" i="37"/>
  <c r="V1955" i="37"/>
  <c r="L1956" i="37"/>
  <c r="M1956" i="37"/>
  <c r="O1956" i="37"/>
  <c r="Q1956" i="37"/>
  <c r="V1956" i="37"/>
  <c r="L1957" i="37"/>
  <c r="M1957" i="37"/>
  <c r="O1957" i="37"/>
  <c r="Q1957" i="37"/>
  <c r="V1957" i="37"/>
  <c r="L1958" i="37"/>
  <c r="M1958" i="37"/>
  <c r="O1958" i="37"/>
  <c r="Q1958" i="37"/>
  <c r="V1958" i="37"/>
  <c r="L1959" i="37"/>
  <c r="M1959" i="37"/>
  <c r="O1959" i="37"/>
  <c r="Q1959" i="37"/>
  <c r="V1959" i="37"/>
  <c r="L1960" i="37"/>
  <c r="M1960" i="37"/>
  <c r="O1960" i="37"/>
  <c r="Q1960" i="37"/>
  <c r="V1960" i="37"/>
  <c r="L1961" i="37"/>
  <c r="M1961" i="37"/>
  <c r="O1961" i="37"/>
  <c r="Q1961" i="37"/>
  <c r="V1961" i="37"/>
  <c r="L1962" i="37"/>
  <c r="M1962" i="37"/>
  <c r="O1962" i="37"/>
  <c r="Q1962" i="37"/>
  <c r="V1962" i="37"/>
  <c r="L1963" i="37"/>
  <c r="M1963" i="37"/>
  <c r="O1963" i="37"/>
  <c r="Q1963" i="37"/>
  <c r="V1963" i="37"/>
  <c r="L1964" i="37"/>
  <c r="M1964" i="37"/>
  <c r="O1964" i="37"/>
  <c r="Q1964" i="37"/>
  <c r="V1964" i="37"/>
  <c r="L1965" i="37"/>
  <c r="M1965" i="37"/>
  <c r="O1965" i="37"/>
  <c r="Q1965" i="37"/>
  <c r="V1965" i="37"/>
  <c r="L1966" i="37"/>
  <c r="M1966" i="37"/>
  <c r="O1966" i="37"/>
  <c r="Q1966" i="37"/>
  <c r="V1966" i="37"/>
  <c r="L1967" i="37"/>
  <c r="M1967" i="37"/>
  <c r="O1967" i="37"/>
  <c r="Q1967" i="37"/>
  <c r="V1967" i="37"/>
  <c r="L1968" i="37"/>
  <c r="M1968" i="37"/>
  <c r="O1968" i="37"/>
  <c r="Q1968" i="37"/>
  <c r="V1968" i="37"/>
  <c r="L1969" i="37"/>
  <c r="M1969" i="37"/>
  <c r="O1969" i="37"/>
  <c r="Q1969" i="37"/>
  <c r="V1969" i="37"/>
  <c r="L1970" i="37"/>
  <c r="M1970" i="37"/>
  <c r="O1970" i="37"/>
  <c r="Q1970" i="37"/>
  <c r="V1970" i="37"/>
  <c r="L1971" i="37"/>
  <c r="M1971" i="37"/>
  <c r="O1971" i="37"/>
  <c r="Q1971" i="37"/>
  <c r="V1971" i="37"/>
  <c r="L1972" i="37"/>
  <c r="M1972" i="37"/>
  <c r="O1972" i="37"/>
  <c r="Q1972" i="37"/>
  <c r="V1972" i="37"/>
  <c r="L1973" i="37"/>
  <c r="M1973" i="37"/>
  <c r="O1973" i="37"/>
  <c r="Q1973" i="37"/>
  <c r="V1973" i="37"/>
  <c r="L1974" i="37"/>
  <c r="M1974" i="37"/>
  <c r="O1974" i="37"/>
  <c r="Q1974" i="37"/>
  <c r="V1974" i="37"/>
  <c r="L1975" i="37"/>
  <c r="M1975" i="37"/>
  <c r="O1975" i="37"/>
  <c r="Q1975" i="37"/>
  <c r="V1975" i="37"/>
  <c r="L1976" i="37"/>
  <c r="M1976" i="37"/>
  <c r="O1976" i="37"/>
  <c r="Q1976" i="37"/>
  <c r="V1976" i="37"/>
  <c r="L1977" i="37"/>
  <c r="M1977" i="37"/>
  <c r="O1977" i="37"/>
  <c r="Q1977" i="37"/>
  <c r="V1977" i="37"/>
  <c r="L1978" i="37"/>
  <c r="M1978" i="37"/>
  <c r="O1978" i="37"/>
  <c r="Q1978" i="37"/>
  <c r="V1978" i="37"/>
  <c r="L1979" i="37"/>
  <c r="M1979" i="37"/>
  <c r="O1979" i="37"/>
  <c r="Q1979" i="37"/>
  <c r="V1979" i="37"/>
  <c r="L1980" i="37"/>
  <c r="M1980" i="37"/>
  <c r="O1980" i="37"/>
  <c r="Q1980" i="37"/>
  <c r="V1980" i="37"/>
  <c r="L1981" i="37"/>
  <c r="M1981" i="37"/>
  <c r="O1981" i="37"/>
  <c r="Q1981" i="37"/>
  <c r="V1981" i="37"/>
  <c r="L1982" i="37"/>
  <c r="M1982" i="37"/>
  <c r="O1982" i="37"/>
  <c r="Q1982" i="37"/>
  <c r="V1982" i="37"/>
  <c r="L1983" i="37"/>
  <c r="M1983" i="37"/>
  <c r="O1983" i="37"/>
  <c r="Q1983" i="37"/>
  <c r="V1983" i="37"/>
  <c r="L1984" i="37"/>
  <c r="M1984" i="37"/>
  <c r="O1984" i="37"/>
  <c r="Q1984" i="37"/>
  <c r="V1984" i="37"/>
  <c r="L1985" i="37"/>
  <c r="M1985" i="37"/>
  <c r="O1985" i="37"/>
  <c r="Q1985" i="37"/>
  <c r="V1985" i="37"/>
  <c r="L1986" i="37"/>
  <c r="M1986" i="37"/>
  <c r="O1986" i="37"/>
  <c r="Q1986" i="37"/>
  <c r="V1986" i="37"/>
  <c r="L1987" i="37"/>
  <c r="M1987" i="37"/>
  <c r="O1987" i="37"/>
  <c r="Q1987" i="37"/>
  <c r="V1987" i="37"/>
  <c r="L1988" i="37"/>
  <c r="M1988" i="37"/>
  <c r="O1988" i="37"/>
  <c r="Q1988" i="37"/>
  <c r="V1988" i="37"/>
  <c r="L1989" i="37"/>
  <c r="M1989" i="37"/>
  <c r="O1989" i="37"/>
  <c r="Q1989" i="37"/>
  <c r="V1989" i="37"/>
  <c r="L1990" i="37"/>
  <c r="M1990" i="37"/>
  <c r="O1990" i="37"/>
  <c r="Q1990" i="37"/>
  <c r="V1990" i="37"/>
  <c r="L1991" i="37"/>
  <c r="M1991" i="37"/>
  <c r="O1991" i="37"/>
  <c r="Q1991" i="37"/>
  <c r="V1991" i="37"/>
  <c r="L1992" i="37"/>
  <c r="M1992" i="37"/>
  <c r="O1992" i="37"/>
  <c r="Q1992" i="37"/>
  <c r="V1992" i="37"/>
  <c r="L1993" i="37"/>
  <c r="M1993" i="37"/>
  <c r="O1993" i="37"/>
  <c r="Q1993" i="37"/>
  <c r="V1993" i="37"/>
  <c r="L1994" i="37"/>
  <c r="M1994" i="37"/>
  <c r="O1994" i="37"/>
  <c r="Q1994" i="37"/>
  <c r="V1994" i="37"/>
  <c r="L1995" i="37"/>
  <c r="M1995" i="37"/>
  <c r="O1995" i="37"/>
  <c r="Q1995" i="37"/>
  <c r="V1995" i="37"/>
  <c r="L1996" i="37"/>
  <c r="M1996" i="37"/>
  <c r="O1996" i="37"/>
  <c r="Q1996" i="37"/>
  <c r="V1996" i="37"/>
  <c r="L1997" i="37"/>
  <c r="M1997" i="37"/>
  <c r="O1997" i="37"/>
  <c r="Q1997" i="37"/>
  <c r="V1997" i="37"/>
  <c r="L1998" i="37"/>
  <c r="M1998" i="37"/>
  <c r="O1998" i="37"/>
  <c r="Q1998" i="37"/>
  <c r="V1998" i="37"/>
  <c r="L1999" i="37"/>
  <c r="M1999" i="37"/>
  <c r="O1999" i="37"/>
  <c r="Q1999" i="37"/>
  <c r="V1999" i="37"/>
  <c r="L2000" i="37"/>
  <c r="M2000" i="37"/>
  <c r="O2000" i="37"/>
  <c r="Q2000" i="37"/>
  <c r="V2000" i="37"/>
  <c r="L2001" i="37"/>
  <c r="M2001" i="37"/>
  <c r="O2001" i="37"/>
  <c r="Q2001" i="37"/>
  <c r="V2001" i="37"/>
  <c r="L2002" i="37"/>
  <c r="M2002" i="37"/>
  <c r="O2002" i="37"/>
  <c r="Q2002" i="37"/>
  <c r="V2002" i="37"/>
  <c r="L2003" i="37"/>
  <c r="M2003" i="37"/>
  <c r="O2003" i="37"/>
  <c r="Q2003" i="37"/>
  <c r="V2003" i="37"/>
  <c r="L2004" i="37"/>
  <c r="M2004" i="37"/>
  <c r="O2004" i="37"/>
  <c r="Q2004" i="37"/>
  <c r="V2004" i="37"/>
  <c r="L2005" i="37"/>
  <c r="M2005" i="37"/>
  <c r="O2005" i="37"/>
  <c r="Q2005" i="37"/>
  <c r="V2005" i="37"/>
  <c r="L2006" i="37"/>
  <c r="M2006" i="37"/>
  <c r="O2006" i="37"/>
  <c r="Q2006" i="37"/>
  <c r="V2006" i="37"/>
  <c r="L2007" i="37"/>
  <c r="M2007" i="37"/>
  <c r="O2007" i="37"/>
  <c r="Q2007" i="37"/>
  <c r="V2007" i="37"/>
  <c r="L2008" i="37"/>
  <c r="M2008" i="37"/>
  <c r="O2008" i="37"/>
  <c r="Q2008" i="37"/>
  <c r="V2008" i="37"/>
  <c r="L2009" i="37"/>
  <c r="M2009" i="37"/>
  <c r="O2009" i="37"/>
  <c r="Q2009" i="37"/>
  <c r="V2009" i="37"/>
  <c r="L2010" i="37"/>
  <c r="M2010" i="37"/>
  <c r="O2010" i="37"/>
  <c r="Q2010" i="37"/>
  <c r="V2010" i="37"/>
  <c r="L2011" i="37"/>
  <c r="M2011" i="37"/>
  <c r="O2011" i="37"/>
  <c r="Q2011" i="37"/>
  <c r="V2011" i="37"/>
  <c r="L2012" i="37"/>
  <c r="M2012" i="37"/>
  <c r="O2012" i="37"/>
  <c r="Q2012" i="37"/>
  <c r="V2012" i="37"/>
  <c r="L2013" i="37"/>
  <c r="M2013" i="37"/>
  <c r="O2013" i="37"/>
  <c r="Q2013" i="37"/>
  <c r="V2013" i="37"/>
  <c r="L2014" i="37"/>
  <c r="M2014" i="37"/>
  <c r="O2014" i="37"/>
  <c r="Q2014" i="37"/>
  <c r="V2014" i="37"/>
  <c r="L2015" i="37"/>
  <c r="M2015" i="37"/>
  <c r="O2015" i="37"/>
  <c r="Q2015" i="37"/>
  <c r="V2015" i="37"/>
  <c r="L2016" i="37"/>
  <c r="M2016" i="37"/>
  <c r="O2016" i="37"/>
  <c r="Q2016" i="37"/>
  <c r="V2016" i="37"/>
  <c r="L2017" i="37"/>
  <c r="M2017" i="37"/>
  <c r="O2017" i="37"/>
  <c r="Q2017" i="37"/>
  <c r="V2017" i="37"/>
  <c r="L2018" i="37"/>
  <c r="M2018" i="37"/>
  <c r="O2018" i="37"/>
  <c r="Q2018" i="37"/>
  <c r="V2018" i="37"/>
  <c r="L2019" i="37"/>
  <c r="M2019" i="37"/>
  <c r="O2019" i="37"/>
  <c r="Q2019" i="37"/>
  <c r="V2019" i="37"/>
  <c r="L2020" i="37"/>
  <c r="M2020" i="37"/>
  <c r="O2020" i="37"/>
  <c r="Q2020" i="37"/>
  <c r="V2020" i="37"/>
  <c r="L2021" i="37"/>
  <c r="M2021" i="37"/>
  <c r="O2021" i="37"/>
  <c r="Q2021" i="37"/>
  <c r="V2021" i="37"/>
  <c r="L2022" i="37"/>
  <c r="M2022" i="37"/>
  <c r="O2022" i="37"/>
  <c r="Q2022" i="37"/>
  <c r="V2022" i="37"/>
  <c r="L2023" i="37"/>
  <c r="M2023" i="37"/>
  <c r="O2023" i="37"/>
  <c r="Q2023" i="37"/>
  <c r="V2023" i="37"/>
  <c r="L2024" i="37"/>
  <c r="M2024" i="37"/>
  <c r="O2024" i="37"/>
  <c r="Q2024" i="37"/>
  <c r="V2024" i="37"/>
  <c r="L2025" i="37"/>
  <c r="M2025" i="37"/>
  <c r="O2025" i="37"/>
  <c r="Q2025" i="37"/>
  <c r="V2025" i="37"/>
  <c r="L2026" i="37"/>
  <c r="M2026" i="37"/>
  <c r="O2026" i="37"/>
  <c r="Q2026" i="37"/>
  <c r="V2026" i="37"/>
  <c r="L2027" i="37"/>
  <c r="M2027" i="37"/>
  <c r="O2027" i="37"/>
  <c r="Q2027" i="37"/>
  <c r="V2027" i="37"/>
  <c r="L2028" i="37"/>
  <c r="M2028" i="37"/>
  <c r="O2028" i="37"/>
  <c r="Q2028" i="37"/>
  <c r="V2028" i="37"/>
  <c r="L2029" i="37"/>
  <c r="M2029" i="37"/>
  <c r="O2029" i="37"/>
  <c r="Q2029" i="37"/>
  <c r="V2029" i="37"/>
  <c r="L2030" i="37"/>
  <c r="M2030" i="37"/>
  <c r="O2030" i="37"/>
  <c r="Q2030" i="37"/>
  <c r="V2030" i="37"/>
  <c r="L2031" i="37"/>
  <c r="M2031" i="37"/>
  <c r="O2031" i="37"/>
  <c r="Q2031" i="37"/>
  <c r="V2031" i="37"/>
  <c r="L2032" i="37"/>
  <c r="M2032" i="37"/>
  <c r="O2032" i="37"/>
  <c r="Q2032" i="37"/>
  <c r="V2032" i="37"/>
  <c r="L2033" i="37"/>
  <c r="M2033" i="37"/>
  <c r="O2033" i="37"/>
  <c r="Q2033" i="37"/>
  <c r="V2033" i="37"/>
  <c r="L2034" i="37"/>
  <c r="M2034" i="37"/>
  <c r="O2034" i="37"/>
  <c r="Q2034" i="37"/>
  <c r="V2034" i="37"/>
  <c r="L2035" i="37"/>
  <c r="M2035" i="37"/>
  <c r="O2035" i="37"/>
  <c r="Q2035" i="37"/>
  <c r="V2035" i="37"/>
  <c r="L2036" i="37"/>
  <c r="M2036" i="37"/>
  <c r="O2036" i="37"/>
  <c r="Q2036" i="37"/>
  <c r="V2036" i="37"/>
  <c r="L2037" i="37"/>
  <c r="M2037" i="37"/>
  <c r="O2037" i="37"/>
  <c r="Q2037" i="37"/>
  <c r="V2037" i="37"/>
  <c r="L2038" i="37"/>
  <c r="M2038" i="37"/>
  <c r="O2038" i="37"/>
  <c r="Q2038" i="37"/>
  <c r="V2038" i="37"/>
  <c r="L2039" i="37"/>
  <c r="M2039" i="37"/>
  <c r="O2039" i="37"/>
  <c r="Q2039" i="37"/>
  <c r="V2039" i="37"/>
  <c r="L2040" i="37"/>
  <c r="M2040" i="37"/>
  <c r="O2040" i="37"/>
  <c r="Q2040" i="37"/>
  <c r="V2040" i="37"/>
  <c r="L2041" i="37"/>
  <c r="M2041" i="37"/>
  <c r="O2041" i="37"/>
  <c r="Q2041" i="37"/>
  <c r="V2041" i="37"/>
  <c r="L2042" i="37"/>
  <c r="M2042" i="37"/>
  <c r="O2042" i="37"/>
  <c r="Q2042" i="37"/>
  <c r="V2042" i="37"/>
  <c r="L2043" i="37"/>
  <c r="M2043" i="37"/>
  <c r="O2043" i="37"/>
  <c r="Q2043" i="37"/>
  <c r="V2043" i="37"/>
  <c r="L2044" i="37"/>
  <c r="M2044" i="37"/>
  <c r="O2044" i="37"/>
  <c r="Q2044" i="37"/>
  <c r="V2044" i="37"/>
  <c r="L2045" i="37"/>
  <c r="M2045" i="37"/>
  <c r="O2045" i="37"/>
  <c r="Q2045" i="37"/>
  <c r="V2045" i="37"/>
  <c r="L2046" i="37"/>
  <c r="M2046" i="37"/>
  <c r="O2046" i="37"/>
  <c r="Q2046" i="37"/>
  <c r="V2046" i="37"/>
  <c r="L2047" i="37"/>
  <c r="M2047" i="37"/>
  <c r="O2047" i="37"/>
  <c r="Q2047" i="37"/>
  <c r="V2047" i="37"/>
  <c r="L2048" i="37"/>
  <c r="M2048" i="37"/>
  <c r="O2048" i="37"/>
  <c r="Q2048" i="37"/>
  <c r="V2048" i="37"/>
  <c r="L2049" i="37"/>
  <c r="M2049" i="37"/>
  <c r="O2049" i="37"/>
  <c r="Q2049" i="37"/>
  <c r="V2049" i="37"/>
  <c r="L2050" i="37"/>
  <c r="M2050" i="37"/>
  <c r="O2050" i="37"/>
  <c r="Q2050" i="37"/>
  <c r="V2050" i="37"/>
  <c r="L2051" i="37"/>
  <c r="M2051" i="37"/>
  <c r="O2051" i="37"/>
  <c r="Q2051" i="37"/>
  <c r="V2051" i="37"/>
  <c r="L2052" i="37"/>
  <c r="M2052" i="37"/>
  <c r="O2052" i="37"/>
  <c r="Q2052" i="37"/>
  <c r="V2052" i="37"/>
  <c r="L2053" i="37"/>
  <c r="M2053" i="37"/>
  <c r="O2053" i="37"/>
  <c r="Q2053" i="37"/>
  <c r="V2053" i="37"/>
  <c r="L2054" i="37"/>
  <c r="M2054" i="37"/>
  <c r="O2054" i="37"/>
  <c r="Q2054" i="37"/>
  <c r="V2054" i="37"/>
  <c r="L2055" i="37"/>
  <c r="M2055" i="37"/>
  <c r="O2055" i="37"/>
  <c r="Q2055" i="37"/>
  <c r="V2055" i="37"/>
  <c r="L2056" i="37"/>
  <c r="M2056" i="37"/>
  <c r="O2056" i="37"/>
  <c r="Q2056" i="37"/>
  <c r="V2056" i="37"/>
  <c r="L2057" i="37"/>
  <c r="M2057" i="37"/>
  <c r="O2057" i="37"/>
  <c r="Q2057" i="37"/>
  <c r="V2057" i="37"/>
  <c r="L2058" i="37"/>
  <c r="M2058" i="37"/>
  <c r="O2058" i="37"/>
  <c r="Q2058" i="37"/>
  <c r="V2058" i="37"/>
  <c r="L2059" i="37"/>
  <c r="M2059" i="37"/>
  <c r="O2059" i="37"/>
  <c r="Q2059" i="37"/>
  <c r="V2059" i="37"/>
  <c r="L2060" i="37"/>
  <c r="M2060" i="37"/>
  <c r="O2060" i="37"/>
  <c r="Q2060" i="37"/>
  <c r="V2060" i="37"/>
  <c r="L2061" i="37"/>
  <c r="M2061" i="37"/>
  <c r="O2061" i="37"/>
  <c r="Q2061" i="37"/>
  <c r="V2061" i="37"/>
  <c r="L2062" i="37"/>
  <c r="M2062" i="37"/>
  <c r="O2062" i="37"/>
  <c r="Q2062" i="37"/>
  <c r="V2062" i="37"/>
  <c r="L2063" i="37"/>
  <c r="M2063" i="37"/>
  <c r="O2063" i="37"/>
  <c r="Q2063" i="37"/>
  <c r="V2063" i="37"/>
  <c r="L2064" i="37"/>
  <c r="M2064" i="37"/>
  <c r="O2064" i="37"/>
  <c r="Q2064" i="37"/>
  <c r="V2064" i="37"/>
  <c r="L2065" i="37"/>
  <c r="M2065" i="37"/>
  <c r="O2065" i="37"/>
  <c r="Q2065" i="37"/>
  <c r="V2065" i="37"/>
  <c r="L2066" i="37"/>
  <c r="M2066" i="37"/>
  <c r="O2066" i="37"/>
  <c r="Q2066" i="37"/>
  <c r="V2066" i="37"/>
  <c r="L2067" i="37"/>
  <c r="M2067" i="37"/>
  <c r="O2067" i="37"/>
  <c r="Q2067" i="37"/>
  <c r="V2067" i="37"/>
  <c r="L2068" i="37"/>
  <c r="M2068" i="37"/>
  <c r="O2068" i="37"/>
  <c r="Q2068" i="37"/>
  <c r="V2068" i="37"/>
  <c r="L2069" i="37"/>
  <c r="M2069" i="37"/>
  <c r="O2069" i="37"/>
  <c r="Q2069" i="37"/>
  <c r="V2069" i="37"/>
  <c r="L2070" i="37"/>
  <c r="M2070" i="37"/>
  <c r="O2070" i="37"/>
  <c r="Q2070" i="37"/>
  <c r="V2070" i="37"/>
  <c r="L2071" i="37"/>
  <c r="M2071" i="37"/>
  <c r="O2071" i="37"/>
  <c r="Q2071" i="37"/>
  <c r="V2071" i="37"/>
  <c r="L2072" i="37"/>
  <c r="M2072" i="37"/>
  <c r="O2072" i="37"/>
  <c r="Q2072" i="37"/>
  <c r="V2072" i="37"/>
  <c r="L2073" i="37"/>
  <c r="M2073" i="37"/>
  <c r="O2073" i="37"/>
  <c r="Q2073" i="37"/>
  <c r="V2073" i="37"/>
  <c r="L2074" i="37"/>
  <c r="M2074" i="37"/>
  <c r="O2074" i="37"/>
  <c r="Q2074" i="37"/>
  <c r="V2074" i="37"/>
  <c r="L2075" i="37"/>
  <c r="M2075" i="37"/>
  <c r="O2075" i="37"/>
  <c r="Q2075" i="37"/>
  <c r="V2075" i="37"/>
  <c r="L2076" i="37"/>
  <c r="M2076" i="37"/>
  <c r="O2076" i="37"/>
  <c r="Q2076" i="37"/>
  <c r="V2076" i="37"/>
  <c r="L2077" i="37"/>
  <c r="M2077" i="37"/>
  <c r="O2077" i="37"/>
  <c r="Q2077" i="37"/>
  <c r="V2077" i="37"/>
  <c r="L2078" i="37"/>
  <c r="M2078" i="37"/>
  <c r="O2078" i="37"/>
  <c r="Q2078" i="37"/>
  <c r="V2078" i="37"/>
  <c r="L2079" i="37"/>
  <c r="M2079" i="37"/>
  <c r="O2079" i="37"/>
  <c r="Q2079" i="37"/>
  <c r="V2079" i="37"/>
  <c r="L2080" i="37"/>
  <c r="M2080" i="37"/>
  <c r="O2080" i="37"/>
  <c r="Q2080" i="37"/>
  <c r="V2080" i="37"/>
  <c r="L2081" i="37"/>
  <c r="M2081" i="37"/>
  <c r="O2081" i="37"/>
  <c r="Q2081" i="37"/>
  <c r="V2081" i="37"/>
  <c r="L2082" i="37"/>
  <c r="M2082" i="37"/>
  <c r="O2082" i="37"/>
  <c r="Q2082" i="37"/>
  <c r="V2082" i="37"/>
  <c r="L2083" i="37"/>
  <c r="M2083" i="37"/>
  <c r="O2083" i="37"/>
  <c r="Q2083" i="37"/>
  <c r="V2083" i="37"/>
  <c r="L2084" i="37"/>
  <c r="M2084" i="37"/>
  <c r="O2084" i="37"/>
  <c r="Q2084" i="37"/>
  <c r="V2084" i="37"/>
  <c r="L2085" i="37"/>
  <c r="M2085" i="37"/>
  <c r="O2085" i="37"/>
  <c r="Q2085" i="37"/>
  <c r="V2085" i="37"/>
  <c r="L2086" i="37"/>
  <c r="M2086" i="37"/>
  <c r="O2086" i="37"/>
  <c r="Q2086" i="37"/>
  <c r="V2086" i="37"/>
  <c r="L2087" i="37"/>
  <c r="M2087" i="37"/>
  <c r="O2087" i="37"/>
  <c r="Q2087" i="37"/>
  <c r="V2087" i="37"/>
  <c r="L2088" i="37"/>
  <c r="M2088" i="37"/>
  <c r="O2088" i="37"/>
  <c r="Q2088" i="37"/>
  <c r="V2088" i="37"/>
  <c r="L2089" i="37"/>
  <c r="M2089" i="37"/>
  <c r="O2089" i="37"/>
  <c r="Q2089" i="37"/>
  <c r="V2089" i="37"/>
  <c r="L2090" i="37"/>
  <c r="M2090" i="37"/>
  <c r="O2090" i="37"/>
  <c r="Q2090" i="37"/>
  <c r="V2090" i="37"/>
  <c r="L2091" i="37"/>
  <c r="M2091" i="37"/>
  <c r="O2091" i="37"/>
  <c r="Q2091" i="37"/>
  <c r="V2091" i="37"/>
  <c r="L2092" i="37"/>
  <c r="M2092" i="37"/>
  <c r="O2092" i="37"/>
  <c r="Q2092" i="37"/>
  <c r="V2092" i="37"/>
  <c r="L2093" i="37"/>
  <c r="M2093" i="37"/>
  <c r="O2093" i="37"/>
  <c r="Q2093" i="37"/>
  <c r="V2093" i="37"/>
  <c r="L2094" i="37"/>
  <c r="M2094" i="37"/>
  <c r="O2094" i="37"/>
  <c r="Q2094" i="37"/>
  <c r="V2094" i="37"/>
  <c r="L2095" i="37"/>
  <c r="M2095" i="37"/>
  <c r="O2095" i="37"/>
  <c r="Q2095" i="37"/>
  <c r="V2095" i="37"/>
  <c r="L2096" i="37"/>
  <c r="M2096" i="37"/>
  <c r="O2096" i="37"/>
  <c r="Q2096" i="37"/>
  <c r="V2096" i="37"/>
  <c r="L2097" i="37"/>
  <c r="M2097" i="37"/>
  <c r="O2097" i="37"/>
  <c r="Q2097" i="37"/>
  <c r="V2097" i="37"/>
  <c r="L2098" i="37"/>
  <c r="M2098" i="37"/>
  <c r="O2098" i="37"/>
  <c r="Q2098" i="37"/>
  <c r="V2098" i="37"/>
  <c r="L2099" i="37"/>
  <c r="M2099" i="37"/>
  <c r="O2099" i="37"/>
  <c r="Q2099" i="37"/>
  <c r="V2099" i="37"/>
  <c r="L2100" i="37"/>
  <c r="M2100" i="37"/>
  <c r="O2100" i="37"/>
  <c r="Q2100" i="37"/>
  <c r="V2100" i="37"/>
  <c r="L2101" i="37"/>
  <c r="M2101" i="37"/>
  <c r="O2101" i="37"/>
  <c r="Q2101" i="37"/>
  <c r="V2101" i="37"/>
  <c r="L2102" i="37"/>
  <c r="M2102" i="37"/>
  <c r="O2102" i="37"/>
  <c r="Q2102" i="37"/>
  <c r="V2102" i="37"/>
  <c r="L2103" i="37"/>
  <c r="M2103" i="37"/>
  <c r="O2103" i="37"/>
  <c r="Q2103" i="37"/>
  <c r="V2103" i="37"/>
  <c r="L2104" i="37"/>
  <c r="M2104" i="37"/>
  <c r="O2104" i="37"/>
  <c r="Q2104" i="37"/>
  <c r="V2104" i="37"/>
  <c r="L2105" i="37"/>
  <c r="M2105" i="37"/>
  <c r="O2105" i="37"/>
  <c r="Q2105" i="37"/>
  <c r="V2105" i="37"/>
  <c r="L2106" i="37"/>
  <c r="M2106" i="37"/>
  <c r="O2106" i="37"/>
  <c r="Q2106" i="37"/>
  <c r="V2106" i="37"/>
  <c r="L2107" i="37"/>
  <c r="M2107" i="37"/>
  <c r="O2107" i="37"/>
  <c r="Q2107" i="37"/>
  <c r="V2107" i="37"/>
  <c r="L2108" i="37"/>
  <c r="M2108" i="37"/>
  <c r="O2108" i="37"/>
  <c r="Q2108" i="37"/>
  <c r="V2108" i="37"/>
  <c r="L2109" i="37"/>
  <c r="M2109" i="37"/>
  <c r="O2109" i="37"/>
  <c r="Q2109" i="37"/>
  <c r="V2109" i="37"/>
  <c r="L2110" i="37"/>
  <c r="M2110" i="37"/>
  <c r="O2110" i="37"/>
  <c r="Q2110" i="37"/>
  <c r="V2110" i="37"/>
  <c r="L2111" i="37"/>
  <c r="M2111" i="37"/>
  <c r="O2111" i="37"/>
  <c r="Q2111" i="37"/>
  <c r="V2111" i="37"/>
  <c r="L2112" i="37"/>
  <c r="M2112" i="37"/>
  <c r="O2112" i="37"/>
  <c r="Q2112" i="37"/>
  <c r="V2112" i="37"/>
  <c r="L2113" i="37"/>
  <c r="M2113" i="37"/>
  <c r="O2113" i="37"/>
  <c r="Q2113" i="37"/>
  <c r="V2113" i="37"/>
  <c r="L2114" i="37"/>
  <c r="M2114" i="37"/>
  <c r="O2114" i="37"/>
  <c r="Q2114" i="37"/>
  <c r="V2114" i="37"/>
  <c r="L2115" i="37"/>
  <c r="M2115" i="37"/>
  <c r="O2115" i="37"/>
  <c r="Q2115" i="37"/>
  <c r="V2115" i="37"/>
  <c r="L2116" i="37"/>
  <c r="M2116" i="37"/>
  <c r="O2116" i="37"/>
  <c r="Q2116" i="37"/>
  <c r="V2116" i="37"/>
  <c r="L2117" i="37"/>
  <c r="M2117" i="37"/>
  <c r="O2117" i="37"/>
  <c r="Q2117" i="37"/>
  <c r="V2117" i="37"/>
  <c r="L2118" i="37"/>
  <c r="M2118" i="37"/>
  <c r="O2118" i="37"/>
  <c r="Q2118" i="37"/>
  <c r="V2118" i="37"/>
  <c r="L2119" i="37"/>
  <c r="M2119" i="37"/>
  <c r="O2119" i="37"/>
  <c r="Q2119" i="37"/>
  <c r="V2119" i="37"/>
  <c r="L2120" i="37"/>
  <c r="M2120" i="37"/>
  <c r="O2120" i="37"/>
  <c r="Q2120" i="37"/>
  <c r="V2120" i="37"/>
  <c r="L2121" i="37"/>
  <c r="M2121" i="37"/>
  <c r="O2121" i="37"/>
  <c r="Q2121" i="37"/>
  <c r="V2121" i="37"/>
  <c r="L2122" i="37"/>
  <c r="M2122" i="37"/>
  <c r="O2122" i="37"/>
  <c r="Q2122" i="37"/>
  <c r="V2122" i="37"/>
  <c r="L2123" i="37"/>
  <c r="M2123" i="37"/>
  <c r="O2123" i="37"/>
  <c r="Q2123" i="37"/>
  <c r="V2123" i="37"/>
  <c r="L2124" i="37"/>
  <c r="M2124" i="37"/>
  <c r="O2124" i="37"/>
  <c r="Q2124" i="37"/>
  <c r="V2124" i="37"/>
  <c r="L2125" i="37"/>
  <c r="M2125" i="37"/>
  <c r="O2125" i="37"/>
  <c r="Q2125" i="37"/>
  <c r="V2125" i="37"/>
  <c r="L2126" i="37"/>
  <c r="M2126" i="37"/>
  <c r="O2126" i="37"/>
  <c r="Q2126" i="37"/>
  <c r="V2126" i="37"/>
  <c r="L2127" i="37"/>
  <c r="M2127" i="37"/>
  <c r="O2127" i="37"/>
  <c r="Q2127" i="37"/>
  <c r="V2127" i="37"/>
  <c r="L2128" i="37"/>
  <c r="M2128" i="37"/>
  <c r="O2128" i="37"/>
  <c r="Q2128" i="37"/>
  <c r="V2128" i="37"/>
  <c r="L2129" i="37"/>
  <c r="M2129" i="37"/>
  <c r="O2129" i="37"/>
  <c r="Q2129" i="37"/>
  <c r="V2129" i="37"/>
  <c r="L2130" i="37"/>
  <c r="M2130" i="37"/>
  <c r="O2130" i="37"/>
  <c r="Q2130" i="37"/>
  <c r="V2130" i="37"/>
  <c r="L2131" i="37"/>
  <c r="M2131" i="37"/>
  <c r="O2131" i="37"/>
  <c r="Q2131" i="37"/>
  <c r="V2131" i="37"/>
  <c r="L2132" i="37"/>
  <c r="M2132" i="37"/>
  <c r="O2132" i="37"/>
  <c r="Q2132" i="37"/>
  <c r="V2132" i="37"/>
  <c r="L2133" i="37"/>
  <c r="M2133" i="37"/>
  <c r="O2133" i="37"/>
  <c r="Q2133" i="37"/>
  <c r="V2133" i="37"/>
  <c r="L2134" i="37"/>
  <c r="M2134" i="37"/>
  <c r="O2134" i="37"/>
  <c r="Q2134" i="37"/>
  <c r="V2134" i="37"/>
  <c r="L2135" i="37"/>
  <c r="M2135" i="37"/>
  <c r="O2135" i="37"/>
  <c r="Q2135" i="37"/>
  <c r="V2135" i="37"/>
  <c r="L2136" i="37"/>
  <c r="M2136" i="37"/>
  <c r="O2136" i="37"/>
  <c r="Q2136" i="37"/>
  <c r="V2136" i="37"/>
  <c r="L2137" i="37"/>
  <c r="M2137" i="37"/>
  <c r="O2137" i="37"/>
  <c r="Q2137" i="37"/>
  <c r="V2137" i="37"/>
  <c r="L2138" i="37"/>
  <c r="M2138" i="37"/>
  <c r="O2138" i="37"/>
  <c r="Q2138" i="37"/>
  <c r="V2138" i="37"/>
  <c r="L2139" i="37"/>
  <c r="M2139" i="37"/>
  <c r="O2139" i="37"/>
  <c r="Q2139" i="37"/>
  <c r="V2139" i="37"/>
  <c r="L2140" i="37"/>
  <c r="M2140" i="37"/>
  <c r="O2140" i="37"/>
  <c r="Q2140" i="37"/>
  <c r="V2140" i="37"/>
  <c r="L2141" i="37"/>
  <c r="M2141" i="37"/>
  <c r="O2141" i="37"/>
  <c r="Q2141" i="37"/>
  <c r="V2141" i="37"/>
  <c r="L2142" i="37"/>
  <c r="M2142" i="37"/>
  <c r="O2142" i="37"/>
  <c r="Q2142" i="37"/>
  <c r="V2142" i="37"/>
  <c r="L2143" i="37"/>
  <c r="M2143" i="37"/>
  <c r="O2143" i="37"/>
  <c r="Q2143" i="37"/>
  <c r="V2143" i="37"/>
  <c r="L2144" i="37"/>
  <c r="M2144" i="37"/>
  <c r="O2144" i="37"/>
  <c r="Q2144" i="37"/>
  <c r="V2144" i="37"/>
  <c r="L2145" i="37"/>
  <c r="M2145" i="37"/>
  <c r="O2145" i="37"/>
  <c r="Q2145" i="37"/>
  <c r="V2145" i="37"/>
  <c r="L2146" i="37"/>
  <c r="M2146" i="37"/>
  <c r="O2146" i="37"/>
  <c r="Q2146" i="37"/>
  <c r="V2146" i="37"/>
  <c r="L2147" i="37"/>
  <c r="M2147" i="37"/>
  <c r="O2147" i="37"/>
  <c r="Q2147" i="37"/>
  <c r="V2147" i="37"/>
  <c r="L2148" i="37"/>
  <c r="M2148" i="37"/>
  <c r="O2148" i="37"/>
  <c r="Q2148" i="37"/>
  <c r="V2148" i="37"/>
  <c r="L2149" i="37"/>
  <c r="M2149" i="37"/>
  <c r="O2149" i="37"/>
  <c r="Q2149" i="37"/>
  <c r="V2149" i="37"/>
  <c r="L2150" i="37"/>
  <c r="M2150" i="37"/>
  <c r="O2150" i="37"/>
  <c r="Q2150" i="37"/>
  <c r="V2150" i="37"/>
  <c r="L2151" i="37"/>
  <c r="M2151" i="37"/>
  <c r="O2151" i="37"/>
  <c r="Q2151" i="37"/>
  <c r="V2151" i="37"/>
  <c r="L2152" i="37"/>
  <c r="M2152" i="37"/>
  <c r="O2152" i="37"/>
  <c r="Q2152" i="37"/>
  <c r="V2152" i="37"/>
  <c r="L2153" i="37"/>
  <c r="M2153" i="37"/>
  <c r="O2153" i="37"/>
  <c r="Q2153" i="37"/>
  <c r="V2153" i="37"/>
  <c r="L2154" i="37"/>
  <c r="M2154" i="37"/>
  <c r="O2154" i="37"/>
  <c r="Q2154" i="37"/>
  <c r="V2154" i="37"/>
  <c r="L2155" i="37"/>
  <c r="M2155" i="37"/>
  <c r="O2155" i="37"/>
  <c r="Q2155" i="37"/>
  <c r="V2155" i="37"/>
  <c r="L2156" i="37"/>
  <c r="M2156" i="37"/>
  <c r="O2156" i="37"/>
  <c r="Q2156" i="37"/>
  <c r="V2156" i="37"/>
  <c r="L2157" i="37"/>
  <c r="M2157" i="37"/>
  <c r="O2157" i="37"/>
  <c r="Q2157" i="37"/>
  <c r="V2157" i="37"/>
  <c r="L2158" i="37"/>
  <c r="M2158" i="37"/>
  <c r="O2158" i="37"/>
  <c r="Q2158" i="37"/>
  <c r="V2158" i="37"/>
  <c r="L2159" i="37"/>
  <c r="M2159" i="37"/>
  <c r="O2159" i="37"/>
  <c r="Q2159" i="37"/>
  <c r="V2159" i="37"/>
  <c r="L2160" i="37"/>
  <c r="M2160" i="37"/>
  <c r="O2160" i="37"/>
  <c r="Q2160" i="37"/>
  <c r="V2160" i="37"/>
  <c r="L2161" i="37"/>
  <c r="M2161" i="37"/>
  <c r="O2161" i="37"/>
  <c r="Q2161" i="37"/>
  <c r="V2161" i="37"/>
  <c r="L2162" i="37"/>
  <c r="M2162" i="37"/>
  <c r="O2162" i="37"/>
  <c r="Q2162" i="37"/>
  <c r="V2162" i="37"/>
  <c r="L2163" i="37"/>
  <c r="M2163" i="37"/>
  <c r="O2163" i="37"/>
  <c r="Q2163" i="37"/>
  <c r="V2163" i="37"/>
  <c r="L2164" i="37"/>
  <c r="M2164" i="37"/>
  <c r="O2164" i="37"/>
  <c r="Q2164" i="37"/>
  <c r="V2164" i="37"/>
  <c r="L2165" i="37"/>
  <c r="M2165" i="37"/>
  <c r="O2165" i="37"/>
  <c r="Q2165" i="37"/>
  <c r="V2165" i="37"/>
  <c r="L2166" i="37"/>
  <c r="M2166" i="37"/>
  <c r="O2166" i="37"/>
  <c r="Q2166" i="37"/>
  <c r="V2166" i="37"/>
  <c r="L2167" i="37"/>
  <c r="M2167" i="37"/>
  <c r="O2167" i="37"/>
  <c r="Q2167" i="37"/>
  <c r="V2167" i="37"/>
  <c r="L2168" i="37"/>
  <c r="M2168" i="37"/>
  <c r="O2168" i="37"/>
  <c r="Q2168" i="37"/>
  <c r="V2168" i="37"/>
  <c r="L2169" i="37"/>
  <c r="M2169" i="37"/>
  <c r="O2169" i="37"/>
  <c r="Q2169" i="37"/>
  <c r="V2169" i="37"/>
  <c r="L2170" i="37"/>
  <c r="M2170" i="37"/>
  <c r="O2170" i="37"/>
  <c r="Q2170" i="37"/>
  <c r="V2170" i="37"/>
  <c r="L2171" i="37"/>
  <c r="M2171" i="37"/>
  <c r="O2171" i="37"/>
  <c r="Q2171" i="37"/>
  <c r="V2171" i="37"/>
  <c r="L2172" i="37"/>
  <c r="M2172" i="37"/>
  <c r="O2172" i="37"/>
  <c r="Q2172" i="37"/>
  <c r="V2172" i="37"/>
  <c r="L2173" i="37"/>
  <c r="M2173" i="37"/>
  <c r="O2173" i="37"/>
  <c r="Q2173" i="37"/>
  <c r="V2173" i="37"/>
  <c r="L2174" i="37"/>
  <c r="M2174" i="37"/>
  <c r="O2174" i="37"/>
  <c r="Q2174" i="37"/>
  <c r="V2174" i="37"/>
  <c r="L2175" i="37"/>
  <c r="M2175" i="37"/>
  <c r="O2175" i="37"/>
  <c r="Q2175" i="37"/>
  <c r="V2175" i="37"/>
  <c r="L2176" i="37"/>
  <c r="M2176" i="37"/>
  <c r="O2176" i="37"/>
  <c r="Q2176" i="37"/>
  <c r="V2176" i="37"/>
  <c r="L2177" i="37"/>
  <c r="M2177" i="37"/>
  <c r="O2177" i="37"/>
  <c r="Q2177" i="37"/>
  <c r="V2177" i="37"/>
  <c r="L2178" i="37"/>
  <c r="M2178" i="37"/>
  <c r="O2178" i="37"/>
  <c r="Q2178" i="37"/>
  <c r="V2178" i="37"/>
  <c r="L2179" i="37"/>
  <c r="M2179" i="37"/>
  <c r="O2179" i="37"/>
  <c r="Q2179" i="37"/>
  <c r="V2179" i="37"/>
  <c r="L2180" i="37"/>
  <c r="M2180" i="37"/>
  <c r="O2180" i="37"/>
  <c r="Q2180" i="37"/>
  <c r="V2180" i="37"/>
  <c r="L2181" i="37"/>
  <c r="M2181" i="37"/>
  <c r="O2181" i="37"/>
  <c r="Q2181" i="37"/>
  <c r="V2181" i="37"/>
  <c r="L2182" i="37"/>
  <c r="M2182" i="37"/>
  <c r="O2182" i="37"/>
  <c r="Q2182" i="37"/>
  <c r="V2182" i="37"/>
  <c r="L2183" i="37"/>
  <c r="M2183" i="37"/>
  <c r="O2183" i="37"/>
  <c r="Q2183" i="37"/>
  <c r="V2183" i="37"/>
  <c r="L2184" i="37"/>
  <c r="M2184" i="37"/>
  <c r="O2184" i="37"/>
  <c r="Q2184" i="37"/>
  <c r="V2184" i="37"/>
  <c r="L2185" i="37"/>
  <c r="M2185" i="37"/>
  <c r="O2185" i="37"/>
  <c r="Q2185" i="37"/>
  <c r="V2185" i="37"/>
  <c r="L2186" i="37"/>
  <c r="M2186" i="37"/>
  <c r="O2186" i="37"/>
  <c r="Q2186" i="37"/>
  <c r="V2186" i="37"/>
  <c r="L2187" i="37"/>
  <c r="M2187" i="37"/>
  <c r="O2187" i="37"/>
  <c r="Q2187" i="37"/>
  <c r="V2187" i="37"/>
  <c r="L2188" i="37"/>
  <c r="M2188" i="37"/>
  <c r="O2188" i="37"/>
  <c r="Q2188" i="37"/>
  <c r="V2188" i="37"/>
  <c r="L2189" i="37"/>
  <c r="M2189" i="37"/>
  <c r="O2189" i="37"/>
  <c r="Q2189" i="37"/>
  <c r="V2189" i="37"/>
  <c r="L2190" i="37"/>
  <c r="M2190" i="37"/>
  <c r="O2190" i="37"/>
  <c r="Q2190" i="37"/>
  <c r="V2190" i="37"/>
  <c r="L2191" i="37"/>
  <c r="M2191" i="37"/>
  <c r="O2191" i="37"/>
  <c r="Q2191" i="37"/>
  <c r="V2191" i="37"/>
  <c r="L2192" i="37"/>
  <c r="M2192" i="37"/>
  <c r="O2192" i="37"/>
  <c r="Q2192" i="37"/>
  <c r="V2192" i="37"/>
  <c r="L2193" i="37"/>
  <c r="M2193" i="37"/>
  <c r="O2193" i="37"/>
  <c r="Q2193" i="37"/>
  <c r="V2193" i="37"/>
  <c r="L2194" i="37"/>
  <c r="M2194" i="37"/>
  <c r="O2194" i="37"/>
  <c r="Q2194" i="37"/>
  <c r="V2194" i="37"/>
  <c r="L2195" i="37"/>
  <c r="M2195" i="37"/>
  <c r="O2195" i="37"/>
  <c r="Q2195" i="37"/>
  <c r="V2195" i="37"/>
  <c r="L2196" i="37"/>
  <c r="M2196" i="37"/>
  <c r="O2196" i="37"/>
  <c r="Q2196" i="37"/>
  <c r="V2196" i="37"/>
  <c r="L2197" i="37"/>
  <c r="M2197" i="37"/>
  <c r="O2197" i="37"/>
  <c r="Q2197" i="37"/>
  <c r="V2197" i="37"/>
  <c r="L2198" i="37"/>
  <c r="M2198" i="37"/>
  <c r="O2198" i="37"/>
  <c r="Q2198" i="37"/>
  <c r="V2198" i="37"/>
  <c r="L2199" i="37"/>
  <c r="M2199" i="37"/>
  <c r="O2199" i="37"/>
  <c r="Q2199" i="37"/>
  <c r="V2199" i="37"/>
  <c r="L2200" i="37"/>
  <c r="M2200" i="37"/>
  <c r="O2200" i="37"/>
  <c r="Q2200" i="37"/>
  <c r="V2200" i="37"/>
  <c r="L2201" i="37"/>
  <c r="M2201" i="37"/>
  <c r="O2201" i="37"/>
  <c r="Q2201" i="37"/>
  <c r="V2201" i="37"/>
  <c r="L2202" i="37"/>
  <c r="M2202" i="37"/>
  <c r="O2202" i="37"/>
  <c r="Q2202" i="37"/>
  <c r="V2202" i="37"/>
  <c r="L2203" i="37"/>
  <c r="M2203" i="37"/>
  <c r="O2203" i="37"/>
  <c r="Q2203" i="37"/>
  <c r="V2203" i="37"/>
  <c r="L2204" i="37"/>
  <c r="M2204" i="37"/>
  <c r="O2204" i="37"/>
  <c r="Q2204" i="37"/>
  <c r="V2204" i="37"/>
  <c r="L2205" i="37"/>
  <c r="M2205" i="37"/>
  <c r="O2205" i="37"/>
  <c r="Q2205" i="37"/>
  <c r="V2205" i="37"/>
  <c r="L2206" i="37"/>
  <c r="M2206" i="37"/>
  <c r="O2206" i="37"/>
  <c r="Q2206" i="37"/>
  <c r="V2206" i="37"/>
  <c r="L2207" i="37"/>
  <c r="M2207" i="37"/>
  <c r="O2207" i="37"/>
  <c r="Q2207" i="37"/>
  <c r="V2207" i="37"/>
  <c r="L2208" i="37"/>
  <c r="M2208" i="37"/>
  <c r="O2208" i="37"/>
  <c r="Q2208" i="37"/>
  <c r="V2208" i="37"/>
  <c r="L2209" i="37"/>
  <c r="M2209" i="37"/>
  <c r="O2209" i="37"/>
  <c r="Q2209" i="37"/>
  <c r="V2209" i="37"/>
  <c r="L2210" i="37"/>
  <c r="M2210" i="37"/>
  <c r="O2210" i="37"/>
  <c r="Q2210" i="37"/>
  <c r="V2210" i="37"/>
  <c r="L2211" i="37"/>
  <c r="M2211" i="37"/>
  <c r="O2211" i="37"/>
  <c r="Q2211" i="37"/>
  <c r="V2211" i="37"/>
  <c r="L2212" i="37"/>
  <c r="M2212" i="37"/>
  <c r="O2212" i="37"/>
  <c r="V2212" i="37"/>
  <c r="V2213" i="37"/>
  <c r="R12" i="37"/>
  <c r="R13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83" i="37"/>
  <c r="R84" i="37"/>
  <c r="R85" i="37"/>
  <c r="R86" i="37"/>
  <c r="R87" i="37"/>
  <c r="R88" i="37"/>
  <c r="R89" i="37"/>
  <c r="R90" i="37"/>
  <c r="R91" i="37"/>
  <c r="R92" i="37"/>
  <c r="R93" i="37"/>
  <c r="R94" i="37"/>
  <c r="R95" i="37"/>
  <c r="R96" i="37"/>
  <c r="R97" i="37"/>
  <c r="R98" i="37"/>
  <c r="R99" i="37"/>
  <c r="R100" i="37"/>
  <c r="R101" i="37"/>
  <c r="R102" i="37"/>
  <c r="R103" i="37"/>
  <c r="R104" i="37"/>
  <c r="R105" i="37"/>
  <c r="R106" i="37"/>
  <c r="R107" i="37"/>
  <c r="R108" i="37"/>
  <c r="R109" i="37"/>
  <c r="R110" i="37"/>
  <c r="R111" i="37"/>
  <c r="R112" i="37"/>
  <c r="R113" i="37"/>
  <c r="R114" i="37"/>
  <c r="R115" i="37"/>
  <c r="R116" i="37"/>
  <c r="R117" i="37"/>
  <c r="R118" i="37"/>
  <c r="R119" i="37"/>
  <c r="R120" i="37"/>
  <c r="R121" i="37"/>
  <c r="R122" i="37"/>
  <c r="R123" i="37"/>
  <c r="R124" i="37"/>
  <c r="R125" i="37"/>
  <c r="R126" i="37"/>
  <c r="R127" i="37"/>
  <c r="R128" i="37"/>
  <c r="R129" i="37"/>
  <c r="R130" i="37"/>
  <c r="R131" i="37"/>
  <c r="R132" i="37"/>
  <c r="R133" i="37"/>
  <c r="R134" i="37"/>
  <c r="R135" i="37"/>
  <c r="R136" i="37"/>
  <c r="R137" i="37"/>
  <c r="R138" i="37"/>
  <c r="R139" i="37"/>
  <c r="R140" i="37"/>
  <c r="R141" i="37"/>
  <c r="R142" i="37"/>
  <c r="R143" i="37"/>
  <c r="R144" i="37"/>
  <c r="R145" i="37"/>
  <c r="R146" i="37"/>
  <c r="R147" i="37"/>
  <c r="R148" i="37"/>
  <c r="R149" i="37"/>
  <c r="R150" i="37"/>
  <c r="R151" i="37"/>
  <c r="R152" i="37"/>
  <c r="R153" i="37"/>
  <c r="R154" i="37"/>
  <c r="R155" i="37"/>
  <c r="R156" i="37"/>
  <c r="R157" i="37"/>
  <c r="R158" i="37"/>
  <c r="R159" i="37"/>
  <c r="R160" i="37"/>
  <c r="R161" i="37"/>
  <c r="R162" i="37"/>
  <c r="R163" i="37"/>
  <c r="R164" i="37"/>
  <c r="R165" i="37"/>
  <c r="R166" i="37"/>
  <c r="R167" i="37"/>
  <c r="R168" i="37"/>
  <c r="R169" i="37"/>
  <c r="R170" i="37"/>
  <c r="R171" i="37"/>
  <c r="R172" i="37"/>
  <c r="R173" i="37"/>
  <c r="R174" i="37"/>
  <c r="R175" i="37"/>
  <c r="R176" i="37"/>
  <c r="R177" i="37"/>
  <c r="R178" i="37"/>
  <c r="R179" i="37"/>
  <c r="R180" i="37"/>
  <c r="R181" i="37"/>
  <c r="R182" i="37"/>
  <c r="R183" i="37"/>
  <c r="R184" i="37"/>
  <c r="R185" i="37"/>
  <c r="R186" i="37"/>
  <c r="R187" i="37"/>
  <c r="R188" i="37"/>
  <c r="R189" i="37"/>
  <c r="R190" i="37"/>
  <c r="R191" i="37"/>
  <c r="R192" i="37"/>
  <c r="R193" i="37"/>
  <c r="R194" i="37"/>
  <c r="R195" i="37"/>
  <c r="R196" i="37"/>
  <c r="R197" i="37"/>
  <c r="R198" i="37"/>
  <c r="R199" i="37"/>
  <c r="R200" i="37"/>
  <c r="R201" i="37"/>
  <c r="R202" i="37"/>
  <c r="R203" i="37"/>
  <c r="R204" i="37"/>
  <c r="R205" i="37"/>
  <c r="R206" i="37"/>
  <c r="R207" i="37"/>
  <c r="R208" i="37"/>
  <c r="R209" i="37"/>
  <c r="R210" i="37"/>
  <c r="R211" i="37"/>
  <c r="R212" i="37"/>
  <c r="R213" i="37"/>
  <c r="R214" i="37"/>
  <c r="R215" i="37"/>
  <c r="R216" i="37"/>
  <c r="R217" i="37"/>
  <c r="R218" i="37"/>
  <c r="R219" i="37"/>
  <c r="R220" i="37"/>
  <c r="R221" i="37"/>
  <c r="R222" i="37"/>
  <c r="R223" i="37"/>
  <c r="R224" i="37"/>
  <c r="R225" i="37"/>
  <c r="R226" i="37"/>
  <c r="R227" i="37"/>
  <c r="R228" i="37"/>
  <c r="R229" i="37"/>
  <c r="R230" i="37"/>
  <c r="R231" i="37"/>
  <c r="R232" i="37"/>
  <c r="R233" i="37"/>
  <c r="R234" i="37"/>
  <c r="R235" i="37"/>
  <c r="R236" i="37"/>
  <c r="R237" i="37"/>
  <c r="R238" i="37"/>
  <c r="R239" i="37"/>
  <c r="R240" i="37"/>
  <c r="R241" i="37"/>
  <c r="R242" i="37"/>
  <c r="R243" i="37"/>
  <c r="R244" i="37"/>
  <c r="R245" i="37"/>
  <c r="R246" i="37"/>
  <c r="R247" i="37"/>
  <c r="R248" i="37"/>
  <c r="R249" i="37"/>
  <c r="R250" i="37"/>
  <c r="R251" i="37"/>
  <c r="R252" i="37"/>
  <c r="R253" i="37"/>
  <c r="R254" i="37"/>
  <c r="R255" i="37"/>
  <c r="R256" i="37"/>
  <c r="R257" i="37"/>
  <c r="R258" i="37"/>
  <c r="R259" i="37"/>
  <c r="R260" i="37"/>
  <c r="R261" i="37"/>
  <c r="R262" i="37"/>
  <c r="R263" i="37"/>
  <c r="R264" i="37"/>
  <c r="R265" i="37"/>
  <c r="R266" i="37"/>
  <c r="R267" i="37"/>
  <c r="R268" i="37"/>
  <c r="R269" i="37"/>
  <c r="R270" i="37"/>
  <c r="R271" i="37"/>
  <c r="R272" i="37"/>
  <c r="R273" i="37"/>
  <c r="R274" i="37"/>
  <c r="R275" i="37"/>
  <c r="R276" i="37"/>
  <c r="R277" i="37"/>
  <c r="R278" i="37"/>
  <c r="R279" i="37"/>
  <c r="R280" i="37"/>
  <c r="R281" i="37"/>
  <c r="R282" i="37"/>
  <c r="R283" i="37"/>
  <c r="R284" i="37"/>
  <c r="R285" i="37"/>
  <c r="R286" i="37"/>
  <c r="R287" i="37"/>
  <c r="R288" i="37"/>
  <c r="R289" i="37"/>
  <c r="R290" i="37"/>
  <c r="R291" i="37"/>
  <c r="R292" i="37"/>
  <c r="R293" i="37"/>
  <c r="R294" i="37"/>
  <c r="R295" i="37"/>
  <c r="R296" i="37"/>
  <c r="R297" i="37"/>
  <c r="R298" i="37"/>
  <c r="R299" i="37"/>
  <c r="R300" i="37"/>
  <c r="R301" i="37"/>
  <c r="R302" i="37"/>
  <c r="R303" i="37"/>
  <c r="R304" i="37"/>
  <c r="R305" i="37"/>
  <c r="R306" i="37"/>
  <c r="R307" i="37"/>
  <c r="R308" i="37"/>
  <c r="R309" i="37"/>
  <c r="R310" i="37"/>
  <c r="R311" i="37"/>
  <c r="R312" i="37"/>
  <c r="R313" i="37"/>
  <c r="R314" i="37"/>
  <c r="R315" i="37"/>
  <c r="R316" i="37"/>
  <c r="R317" i="37"/>
  <c r="R318" i="37"/>
  <c r="R319" i="37"/>
  <c r="R320" i="37"/>
  <c r="R321" i="37"/>
  <c r="R322" i="37"/>
  <c r="R323" i="37"/>
  <c r="R324" i="37"/>
  <c r="R325" i="37"/>
  <c r="R326" i="37"/>
  <c r="R327" i="37"/>
  <c r="R328" i="37"/>
  <c r="R329" i="37"/>
  <c r="R330" i="37"/>
  <c r="R331" i="37"/>
  <c r="R332" i="37"/>
  <c r="R333" i="37"/>
  <c r="R334" i="37"/>
  <c r="R335" i="37"/>
  <c r="R336" i="37"/>
  <c r="R337" i="37"/>
  <c r="R338" i="37"/>
  <c r="R339" i="37"/>
  <c r="R340" i="37"/>
  <c r="R341" i="37"/>
  <c r="R342" i="37"/>
  <c r="R343" i="37"/>
  <c r="R344" i="37"/>
  <c r="R345" i="37"/>
  <c r="R346" i="37"/>
  <c r="R347" i="37"/>
  <c r="R348" i="37"/>
  <c r="R349" i="37"/>
  <c r="R350" i="37"/>
  <c r="R351" i="37"/>
  <c r="R352" i="37"/>
  <c r="R353" i="37"/>
  <c r="R354" i="37"/>
  <c r="R355" i="37"/>
  <c r="R356" i="37"/>
  <c r="R357" i="37"/>
  <c r="R358" i="37"/>
  <c r="R359" i="37"/>
  <c r="R360" i="37"/>
  <c r="R361" i="37"/>
  <c r="R362" i="37"/>
  <c r="R363" i="37"/>
  <c r="R364" i="37"/>
  <c r="R365" i="37"/>
  <c r="R366" i="37"/>
  <c r="R367" i="37"/>
  <c r="R368" i="37"/>
  <c r="R369" i="37"/>
  <c r="R370" i="37"/>
  <c r="R371" i="37"/>
  <c r="R372" i="37"/>
  <c r="R373" i="37"/>
  <c r="R374" i="37"/>
  <c r="R375" i="37"/>
  <c r="R376" i="37"/>
  <c r="R377" i="37"/>
  <c r="R378" i="37"/>
  <c r="R379" i="37"/>
  <c r="R380" i="37"/>
  <c r="R381" i="37"/>
  <c r="R382" i="37"/>
  <c r="R383" i="37"/>
  <c r="R384" i="37"/>
  <c r="R385" i="37"/>
  <c r="R386" i="37"/>
  <c r="R387" i="37"/>
  <c r="R388" i="37"/>
  <c r="R389" i="37"/>
  <c r="R390" i="37"/>
  <c r="R391" i="37"/>
  <c r="R392" i="37"/>
  <c r="R393" i="37"/>
  <c r="R394" i="37"/>
  <c r="R395" i="37"/>
  <c r="R396" i="37"/>
  <c r="R397" i="37"/>
  <c r="R398" i="37"/>
  <c r="R399" i="37"/>
  <c r="R400" i="37"/>
  <c r="R401" i="37"/>
  <c r="R402" i="37"/>
  <c r="R403" i="37"/>
  <c r="R404" i="37"/>
  <c r="R405" i="37"/>
  <c r="R406" i="37"/>
  <c r="R407" i="37"/>
  <c r="R408" i="37"/>
  <c r="R409" i="37"/>
  <c r="R410" i="37"/>
  <c r="R411" i="37"/>
  <c r="R412" i="37"/>
  <c r="R413" i="37"/>
  <c r="R414" i="37"/>
  <c r="R415" i="37"/>
  <c r="R416" i="37"/>
  <c r="R417" i="37"/>
  <c r="R418" i="37"/>
  <c r="R419" i="37"/>
  <c r="R420" i="37"/>
  <c r="R421" i="37"/>
  <c r="R422" i="37"/>
  <c r="R423" i="37"/>
  <c r="R424" i="37"/>
  <c r="R425" i="37"/>
  <c r="R426" i="37"/>
  <c r="R427" i="37"/>
  <c r="R428" i="37"/>
  <c r="R429" i="37"/>
  <c r="R430" i="37"/>
  <c r="R431" i="37"/>
  <c r="R432" i="37"/>
  <c r="R433" i="37"/>
  <c r="R434" i="37"/>
  <c r="R435" i="37"/>
  <c r="R436" i="37"/>
  <c r="R437" i="37"/>
  <c r="R438" i="37"/>
  <c r="R439" i="37"/>
  <c r="R440" i="37"/>
  <c r="R441" i="37"/>
  <c r="R442" i="37"/>
  <c r="R443" i="37"/>
  <c r="R444" i="37"/>
  <c r="R445" i="37"/>
  <c r="R446" i="37"/>
  <c r="R447" i="37"/>
  <c r="R448" i="37"/>
  <c r="R449" i="37"/>
  <c r="R450" i="37"/>
  <c r="R451" i="37"/>
  <c r="R452" i="37"/>
  <c r="R453" i="37"/>
  <c r="R454" i="37"/>
  <c r="R455" i="37"/>
  <c r="R456" i="37"/>
  <c r="R457" i="37"/>
  <c r="R458" i="37"/>
  <c r="R459" i="37"/>
  <c r="R460" i="37"/>
  <c r="R461" i="37"/>
  <c r="R462" i="37"/>
  <c r="R463" i="37"/>
  <c r="R464" i="37"/>
  <c r="R465" i="37"/>
  <c r="R466" i="37"/>
  <c r="R467" i="37"/>
  <c r="R468" i="37"/>
  <c r="R469" i="37"/>
  <c r="R470" i="37"/>
  <c r="R471" i="37"/>
  <c r="R472" i="37"/>
  <c r="R473" i="37"/>
  <c r="R474" i="37"/>
  <c r="R475" i="37"/>
  <c r="R476" i="37"/>
  <c r="R477" i="37"/>
  <c r="R478" i="37"/>
  <c r="R479" i="37"/>
  <c r="R480" i="37"/>
  <c r="R481" i="37"/>
  <c r="R482" i="37"/>
  <c r="R483" i="37"/>
  <c r="R484" i="37"/>
  <c r="R485" i="37"/>
  <c r="R486" i="37"/>
  <c r="R487" i="37"/>
  <c r="R488" i="37"/>
  <c r="R489" i="37"/>
  <c r="R490" i="37"/>
  <c r="R491" i="37"/>
  <c r="R492" i="37"/>
  <c r="R493" i="37"/>
  <c r="R494" i="37"/>
  <c r="R495" i="37"/>
  <c r="R496" i="37"/>
  <c r="R497" i="37"/>
  <c r="R498" i="37"/>
  <c r="R499" i="37"/>
  <c r="R500" i="37"/>
  <c r="R501" i="37"/>
  <c r="R502" i="37"/>
  <c r="R503" i="37"/>
  <c r="R504" i="37"/>
  <c r="R505" i="37"/>
  <c r="R506" i="37"/>
  <c r="R507" i="37"/>
  <c r="R508" i="37"/>
  <c r="R509" i="37"/>
  <c r="R510" i="37"/>
  <c r="R511" i="37"/>
  <c r="R512" i="37"/>
  <c r="R513" i="37"/>
  <c r="R514" i="37"/>
  <c r="R515" i="37"/>
  <c r="R516" i="37"/>
  <c r="R517" i="37"/>
  <c r="R518" i="37"/>
  <c r="R519" i="37"/>
  <c r="R520" i="37"/>
  <c r="R521" i="37"/>
  <c r="R522" i="37"/>
  <c r="R523" i="37"/>
  <c r="R524" i="37"/>
  <c r="R525" i="37"/>
  <c r="R526" i="37"/>
  <c r="R527" i="37"/>
  <c r="R528" i="37"/>
  <c r="R529" i="37"/>
  <c r="R530" i="37"/>
  <c r="R531" i="37"/>
  <c r="R532" i="37"/>
  <c r="R533" i="37"/>
  <c r="R534" i="37"/>
  <c r="R535" i="37"/>
  <c r="R536" i="37"/>
  <c r="R537" i="37"/>
  <c r="R538" i="37"/>
  <c r="R539" i="37"/>
  <c r="R540" i="37"/>
  <c r="R541" i="37"/>
  <c r="R542" i="37"/>
  <c r="R543" i="37"/>
  <c r="R544" i="37"/>
  <c r="R545" i="37"/>
  <c r="R546" i="37"/>
  <c r="R547" i="37"/>
  <c r="R548" i="37"/>
  <c r="R549" i="37"/>
  <c r="R550" i="37"/>
  <c r="R551" i="37"/>
  <c r="R552" i="37"/>
  <c r="R553" i="37"/>
  <c r="R554" i="37"/>
  <c r="R555" i="37"/>
  <c r="R556" i="37"/>
  <c r="R557" i="37"/>
  <c r="R558" i="37"/>
  <c r="R559" i="37"/>
  <c r="R560" i="37"/>
  <c r="R561" i="37"/>
  <c r="R562" i="37"/>
  <c r="R563" i="37"/>
  <c r="R564" i="37"/>
  <c r="R565" i="37"/>
  <c r="R566" i="37"/>
  <c r="R567" i="37"/>
  <c r="R568" i="37"/>
  <c r="R569" i="37"/>
  <c r="R570" i="37"/>
  <c r="R571" i="37"/>
  <c r="R572" i="37"/>
  <c r="R573" i="37"/>
  <c r="R574" i="37"/>
  <c r="R575" i="37"/>
  <c r="R576" i="37"/>
  <c r="R577" i="37"/>
  <c r="R578" i="37"/>
  <c r="R579" i="37"/>
  <c r="R580" i="37"/>
  <c r="R581" i="37"/>
  <c r="R582" i="37"/>
  <c r="R583" i="37"/>
  <c r="R584" i="37"/>
  <c r="R585" i="37"/>
  <c r="R586" i="37"/>
  <c r="R587" i="37"/>
  <c r="R588" i="37"/>
  <c r="R589" i="37"/>
  <c r="R590" i="37"/>
  <c r="R591" i="37"/>
  <c r="R592" i="37"/>
  <c r="R593" i="37"/>
  <c r="R594" i="37"/>
  <c r="R595" i="37"/>
  <c r="R596" i="37"/>
  <c r="R597" i="37"/>
  <c r="R598" i="37"/>
  <c r="R599" i="37"/>
  <c r="R600" i="37"/>
  <c r="R601" i="37"/>
  <c r="R602" i="37"/>
  <c r="R603" i="37"/>
  <c r="R604" i="37"/>
  <c r="R605" i="37"/>
  <c r="R606" i="37"/>
  <c r="R607" i="37"/>
  <c r="R608" i="37"/>
  <c r="R609" i="37"/>
  <c r="R610" i="37"/>
  <c r="R611" i="37"/>
  <c r="R612" i="37"/>
  <c r="R613" i="37"/>
  <c r="R614" i="37"/>
  <c r="R615" i="37"/>
  <c r="R616" i="37"/>
  <c r="R617" i="37"/>
  <c r="R618" i="37"/>
  <c r="R619" i="37"/>
  <c r="R620" i="37"/>
  <c r="R621" i="37"/>
  <c r="R622" i="37"/>
  <c r="R623" i="37"/>
  <c r="R624" i="37"/>
  <c r="R625" i="37"/>
  <c r="R626" i="37"/>
  <c r="R627" i="37"/>
  <c r="R628" i="37"/>
  <c r="R629" i="37"/>
  <c r="R630" i="37"/>
  <c r="R631" i="37"/>
  <c r="R632" i="37"/>
  <c r="R633" i="37"/>
  <c r="R634" i="37"/>
  <c r="R635" i="37"/>
  <c r="R636" i="37"/>
  <c r="R637" i="37"/>
  <c r="R638" i="37"/>
  <c r="R639" i="37"/>
  <c r="R640" i="37"/>
  <c r="R641" i="37"/>
  <c r="R642" i="37"/>
  <c r="R643" i="37"/>
  <c r="R644" i="37"/>
  <c r="R645" i="37"/>
  <c r="R646" i="37"/>
  <c r="R647" i="37"/>
  <c r="R648" i="37"/>
  <c r="R649" i="37"/>
  <c r="R650" i="37"/>
  <c r="R651" i="37"/>
  <c r="R652" i="37"/>
  <c r="R653" i="37"/>
  <c r="R654" i="37"/>
  <c r="R655" i="37"/>
  <c r="R656" i="37"/>
  <c r="R657" i="37"/>
  <c r="R658" i="37"/>
  <c r="R659" i="37"/>
  <c r="R660" i="37"/>
  <c r="R661" i="37"/>
  <c r="R662" i="37"/>
  <c r="R663" i="37"/>
  <c r="R664" i="37"/>
  <c r="R665" i="37"/>
  <c r="R666" i="37"/>
  <c r="R667" i="37"/>
  <c r="R668" i="37"/>
  <c r="R669" i="37"/>
  <c r="R670" i="37"/>
  <c r="R671" i="37"/>
  <c r="R672" i="37"/>
  <c r="R673" i="37"/>
  <c r="R674" i="37"/>
  <c r="R675" i="37"/>
  <c r="R676" i="37"/>
  <c r="R677" i="37"/>
  <c r="R678" i="37"/>
  <c r="R679" i="37"/>
  <c r="R680" i="37"/>
  <c r="R681" i="37"/>
  <c r="R682" i="37"/>
  <c r="R683" i="37"/>
  <c r="R684" i="37"/>
  <c r="R685" i="37"/>
  <c r="R686" i="37"/>
  <c r="R687" i="37"/>
  <c r="R688" i="37"/>
  <c r="R689" i="37"/>
  <c r="R690" i="37"/>
  <c r="R691" i="37"/>
  <c r="R692" i="37"/>
  <c r="R693" i="37"/>
  <c r="R694" i="37"/>
  <c r="R695" i="37"/>
  <c r="R696" i="37"/>
  <c r="R697" i="37"/>
  <c r="R698" i="37"/>
  <c r="R699" i="37"/>
  <c r="R700" i="37"/>
  <c r="R701" i="37"/>
  <c r="R702" i="37"/>
  <c r="R703" i="37"/>
  <c r="R704" i="37"/>
  <c r="R705" i="37"/>
  <c r="R706" i="37"/>
  <c r="R707" i="37"/>
  <c r="R708" i="37"/>
  <c r="R709" i="37"/>
  <c r="R710" i="37"/>
  <c r="R711" i="37"/>
  <c r="R712" i="37"/>
  <c r="R713" i="37"/>
  <c r="R714" i="37"/>
  <c r="R715" i="37"/>
  <c r="R716" i="37"/>
  <c r="R717" i="37"/>
  <c r="R718" i="37"/>
  <c r="R719" i="37"/>
  <c r="R720" i="37"/>
  <c r="R721" i="37"/>
  <c r="R722" i="37"/>
  <c r="R723" i="37"/>
  <c r="R724" i="37"/>
  <c r="R725" i="37"/>
  <c r="R726" i="37"/>
  <c r="R727" i="37"/>
  <c r="R728" i="37"/>
  <c r="R729" i="37"/>
  <c r="R730" i="37"/>
  <c r="R731" i="37"/>
  <c r="R732" i="37"/>
  <c r="R733" i="37"/>
  <c r="R734" i="37"/>
  <c r="R735" i="37"/>
  <c r="R736" i="37"/>
  <c r="R737" i="37"/>
  <c r="R738" i="37"/>
  <c r="R739" i="37"/>
  <c r="R740" i="37"/>
  <c r="R741" i="37"/>
  <c r="R742" i="37"/>
  <c r="R743" i="37"/>
  <c r="R744" i="37"/>
  <c r="R745" i="37"/>
  <c r="R746" i="37"/>
  <c r="R747" i="37"/>
  <c r="R748" i="37"/>
  <c r="R749" i="37"/>
  <c r="R750" i="37"/>
  <c r="R751" i="37"/>
  <c r="R752" i="37"/>
  <c r="R753" i="37"/>
  <c r="R754" i="37"/>
  <c r="R755" i="37"/>
  <c r="R756" i="37"/>
  <c r="R757" i="37"/>
  <c r="R758" i="37"/>
  <c r="R759" i="37"/>
  <c r="R760" i="37"/>
  <c r="R761" i="37"/>
  <c r="R762" i="37"/>
  <c r="R763" i="37"/>
  <c r="R764" i="37"/>
  <c r="R765" i="37"/>
  <c r="R766" i="37"/>
  <c r="R767" i="37"/>
  <c r="R768" i="37"/>
  <c r="R769" i="37"/>
  <c r="R770" i="37"/>
  <c r="R771" i="37"/>
  <c r="R772" i="37"/>
  <c r="R773" i="37"/>
  <c r="R774" i="37"/>
  <c r="R775" i="37"/>
  <c r="R776" i="37"/>
  <c r="R777" i="37"/>
  <c r="R778" i="37"/>
  <c r="R779" i="37"/>
  <c r="R780" i="37"/>
  <c r="R781" i="37"/>
  <c r="R782" i="37"/>
  <c r="R783" i="37"/>
  <c r="R784" i="37"/>
  <c r="R785" i="37"/>
  <c r="R786" i="37"/>
  <c r="R787" i="37"/>
  <c r="R788" i="37"/>
  <c r="R789" i="37"/>
  <c r="R790" i="37"/>
  <c r="R791" i="37"/>
  <c r="R792" i="37"/>
  <c r="R793" i="37"/>
  <c r="R794" i="37"/>
  <c r="R795" i="37"/>
  <c r="R796" i="37"/>
  <c r="R797" i="37"/>
  <c r="R798" i="37"/>
  <c r="R799" i="37"/>
  <c r="R800" i="37"/>
  <c r="R801" i="37"/>
  <c r="R802" i="37"/>
  <c r="R803" i="37"/>
  <c r="R804" i="37"/>
  <c r="R805" i="37"/>
  <c r="R806" i="37"/>
  <c r="R807" i="37"/>
  <c r="R808" i="37"/>
  <c r="R809" i="37"/>
  <c r="R810" i="37"/>
  <c r="R811" i="37"/>
  <c r="R812" i="37"/>
  <c r="R813" i="37"/>
  <c r="R814" i="37"/>
  <c r="R815" i="37"/>
  <c r="R816" i="37"/>
  <c r="R817" i="37"/>
  <c r="R818" i="37"/>
  <c r="R819" i="37"/>
  <c r="R820" i="37"/>
  <c r="R821" i="37"/>
  <c r="R822" i="37"/>
  <c r="R823" i="37"/>
  <c r="R824" i="37"/>
  <c r="R825" i="37"/>
  <c r="R826" i="37"/>
  <c r="R827" i="37"/>
  <c r="R828" i="37"/>
  <c r="R829" i="37"/>
  <c r="R830" i="37"/>
  <c r="R831" i="37"/>
  <c r="R832" i="37"/>
  <c r="R833" i="37"/>
  <c r="R834" i="37"/>
  <c r="R835" i="37"/>
  <c r="R836" i="37"/>
  <c r="R837" i="37"/>
  <c r="R838" i="37"/>
  <c r="R839" i="37"/>
  <c r="R840" i="37"/>
  <c r="R841" i="37"/>
  <c r="R842" i="37"/>
  <c r="R843" i="37"/>
  <c r="R844" i="37"/>
  <c r="R845" i="37"/>
  <c r="R846" i="37"/>
  <c r="R847" i="37"/>
  <c r="R848" i="37"/>
  <c r="R849" i="37"/>
  <c r="R850" i="37"/>
  <c r="R851" i="37"/>
  <c r="R852" i="37"/>
  <c r="R853" i="37"/>
  <c r="R854" i="37"/>
  <c r="R855" i="37"/>
  <c r="R856" i="37"/>
  <c r="R857" i="37"/>
  <c r="R858" i="37"/>
  <c r="R859" i="37"/>
  <c r="R860" i="37"/>
  <c r="R861" i="37"/>
  <c r="R862" i="37"/>
  <c r="R863" i="37"/>
  <c r="R864" i="37"/>
  <c r="R865" i="37"/>
  <c r="R866" i="37"/>
  <c r="R867" i="37"/>
  <c r="R868" i="37"/>
  <c r="R869" i="37"/>
  <c r="R870" i="37"/>
  <c r="R871" i="37"/>
  <c r="R872" i="37"/>
  <c r="R873" i="37"/>
  <c r="R874" i="37"/>
  <c r="R875" i="37"/>
  <c r="R876" i="37"/>
  <c r="R877" i="37"/>
  <c r="R878" i="37"/>
  <c r="R879" i="37"/>
  <c r="R880" i="37"/>
  <c r="R881" i="37"/>
  <c r="R882" i="37"/>
  <c r="R883" i="37"/>
  <c r="R884" i="37"/>
  <c r="R885" i="37"/>
  <c r="R886" i="37"/>
  <c r="R887" i="37"/>
  <c r="R888" i="37"/>
  <c r="R889" i="37"/>
  <c r="R890" i="37"/>
  <c r="R891" i="37"/>
  <c r="R892" i="37"/>
  <c r="R893" i="37"/>
  <c r="R894" i="37"/>
  <c r="R895" i="37"/>
  <c r="R896" i="37"/>
  <c r="R897" i="37"/>
  <c r="R898" i="37"/>
  <c r="R899" i="37"/>
  <c r="R900" i="37"/>
  <c r="R901" i="37"/>
  <c r="R902" i="37"/>
  <c r="R903" i="37"/>
  <c r="R904" i="37"/>
  <c r="R905" i="37"/>
  <c r="R906" i="37"/>
  <c r="R907" i="37"/>
  <c r="R908" i="37"/>
  <c r="R909" i="37"/>
  <c r="R910" i="37"/>
  <c r="R911" i="37"/>
  <c r="R912" i="37"/>
  <c r="R913" i="37"/>
  <c r="R914" i="37"/>
  <c r="R915" i="37"/>
  <c r="R916" i="37"/>
  <c r="R917" i="37"/>
  <c r="R918" i="37"/>
  <c r="R919" i="37"/>
  <c r="R920" i="37"/>
  <c r="R921" i="37"/>
  <c r="R922" i="37"/>
  <c r="R923" i="37"/>
  <c r="R924" i="37"/>
  <c r="R925" i="37"/>
  <c r="R926" i="37"/>
  <c r="R927" i="37"/>
  <c r="R928" i="37"/>
  <c r="R929" i="37"/>
  <c r="R930" i="37"/>
  <c r="R931" i="37"/>
  <c r="R932" i="37"/>
  <c r="R933" i="37"/>
  <c r="R934" i="37"/>
  <c r="R935" i="37"/>
  <c r="R936" i="37"/>
  <c r="R937" i="37"/>
  <c r="R938" i="37"/>
  <c r="R939" i="37"/>
  <c r="R940" i="37"/>
  <c r="R941" i="37"/>
  <c r="R942" i="37"/>
  <c r="R943" i="37"/>
  <c r="R944" i="37"/>
  <c r="R945" i="37"/>
  <c r="R946" i="37"/>
  <c r="R947" i="37"/>
  <c r="R948" i="37"/>
  <c r="R949" i="37"/>
  <c r="R950" i="37"/>
  <c r="R951" i="37"/>
  <c r="R952" i="37"/>
  <c r="R953" i="37"/>
  <c r="R954" i="37"/>
  <c r="R955" i="37"/>
  <c r="R956" i="37"/>
  <c r="R957" i="37"/>
  <c r="R958" i="37"/>
  <c r="R959" i="37"/>
  <c r="R960" i="37"/>
  <c r="R961" i="37"/>
  <c r="R962" i="37"/>
  <c r="R963" i="37"/>
  <c r="R964" i="37"/>
  <c r="R965" i="37"/>
  <c r="R966" i="37"/>
  <c r="R967" i="37"/>
  <c r="R968" i="37"/>
  <c r="R969" i="37"/>
  <c r="R970" i="37"/>
  <c r="R971" i="37"/>
  <c r="R972" i="37"/>
  <c r="R973" i="37"/>
  <c r="R974" i="37"/>
  <c r="R975" i="37"/>
  <c r="R976" i="37"/>
  <c r="R977" i="37"/>
  <c r="R978" i="37"/>
  <c r="R979" i="37"/>
  <c r="R980" i="37"/>
  <c r="R981" i="37"/>
  <c r="R982" i="37"/>
  <c r="R983" i="37"/>
  <c r="R984" i="37"/>
  <c r="R985" i="37"/>
  <c r="R986" i="37"/>
  <c r="R987" i="37"/>
  <c r="R988" i="37"/>
  <c r="R989" i="37"/>
  <c r="R990" i="37"/>
  <c r="R991" i="37"/>
  <c r="R992" i="37"/>
  <c r="R993" i="37"/>
  <c r="R994" i="37"/>
  <c r="R995" i="37"/>
  <c r="R996" i="37"/>
  <c r="R997" i="37"/>
  <c r="R998" i="37"/>
  <c r="R999" i="37"/>
  <c r="R1000" i="37"/>
  <c r="R1001" i="37"/>
  <c r="R1002" i="37"/>
  <c r="R1003" i="37"/>
  <c r="R1004" i="37"/>
  <c r="R1005" i="37"/>
  <c r="R1006" i="37"/>
  <c r="R1007" i="37"/>
  <c r="R1008" i="37"/>
  <c r="R1009" i="37"/>
  <c r="R1010" i="37"/>
  <c r="R1011" i="37"/>
  <c r="R1012" i="37"/>
  <c r="R1013" i="37"/>
  <c r="R1014" i="37"/>
  <c r="R1015" i="37"/>
  <c r="R1016" i="37"/>
  <c r="R1017" i="37"/>
  <c r="R1018" i="37"/>
  <c r="R1019" i="37"/>
  <c r="R1020" i="37"/>
  <c r="R1021" i="37"/>
  <c r="R1022" i="37"/>
  <c r="R1023" i="37"/>
  <c r="R1024" i="37"/>
  <c r="R1025" i="37"/>
  <c r="R1026" i="37"/>
  <c r="R1027" i="37"/>
  <c r="R1028" i="37"/>
  <c r="R1029" i="37"/>
  <c r="R1030" i="37"/>
  <c r="R1031" i="37"/>
  <c r="R1032" i="37"/>
  <c r="R1033" i="37"/>
  <c r="R1034" i="37"/>
  <c r="R1035" i="37"/>
  <c r="R1036" i="37"/>
  <c r="R1037" i="37"/>
  <c r="R1038" i="37"/>
  <c r="R1039" i="37"/>
  <c r="R1040" i="37"/>
  <c r="R1041" i="37"/>
  <c r="R1042" i="37"/>
  <c r="R1043" i="37"/>
  <c r="R1044" i="37"/>
  <c r="R1045" i="37"/>
  <c r="R1046" i="37"/>
  <c r="R1047" i="37"/>
  <c r="R1048" i="37"/>
  <c r="R1049" i="37"/>
  <c r="R1050" i="37"/>
  <c r="R1051" i="37"/>
  <c r="R1052" i="37"/>
  <c r="R1053" i="37"/>
  <c r="R1054" i="37"/>
  <c r="R1055" i="37"/>
  <c r="R1056" i="37"/>
  <c r="R1057" i="37"/>
  <c r="R1058" i="37"/>
  <c r="R1059" i="37"/>
  <c r="R1060" i="37"/>
  <c r="R1061" i="37"/>
  <c r="R1062" i="37"/>
  <c r="R1063" i="37"/>
  <c r="R1064" i="37"/>
  <c r="R1065" i="37"/>
  <c r="R1066" i="37"/>
  <c r="R1067" i="37"/>
  <c r="R1068" i="37"/>
  <c r="R1069" i="37"/>
  <c r="R1070" i="37"/>
  <c r="R1071" i="37"/>
  <c r="R1072" i="37"/>
  <c r="R1073" i="37"/>
  <c r="R1074" i="37"/>
  <c r="R1075" i="37"/>
  <c r="R1076" i="37"/>
  <c r="R1077" i="37"/>
  <c r="R1078" i="37"/>
  <c r="R1079" i="37"/>
  <c r="R1080" i="37"/>
  <c r="R1081" i="37"/>
  <c r="R1082" i="37"/>
  <c r="R1083" i="37"/>
  <c r="R1084" i="37"/>
  <c r="R1085" i="37"/>
  <c r="R1086" i="37"/>
  <c r="R1087" i="37"/>
  <c r="R1088" i="37"/>
  <c r="R1089" i="37"/>
  <c r="R1090" i="37"/>
  <c r="R1091" i="37"/>
  <c r="R1092" i="37"/>
  <c r="R1093" i="37"/>
  <c r="R1094" i="37"/>
  <c r="R1095" i="37"/>
  <c r="R1096" i="37"/>
  <c r="R1097" i="37"/>
  <c r="R1098" i="37"/>
  <c r="R1099" i="37"/>
  <c r="R1100" i="37"/>
  <c r="R1101" i="37"/>
  <c r="R1102" i="37"/>
  <c r="R1103" i="37"/>
  <c r="R1104" i="37"/>
  <c r="R1105" i="37"/>
  <c r="R1106" i="37"/>
  <c r="R1107" i="37"/>
  <c r="R1108" i="37"/>
  <c r="R1109" i="37"/>
  <c r="R1110" i="37"/>
  <c r="R1111" i="37"/>
  <c r="R1112" i="37"/>
  <c r="R1113" i="37"/>
  <c r="R1114" i="37"/>
  <c r="R1115" i="37"/>
  <c r="R1116" i="37"/>
  <c r="R1117" i="37"/>
  <c r="R1118" i="37"/>
  <c r="R1119" i="37"/>
  <c r="R1120" i="37"/>
  <c r="R1121" i="37"/>
  <c r="R1122" i="37"/>
  <c r="R1123" i="37"/>
  <c r="R1124" i="37"/>
  <c r="R1125" i="37"/>
  <c r="R1126" i="37"/>
  <c r="R1127" i="37"/>
  <c r="R1128" i="37"/>
  <c r="R1129" i="37"/>
  <c r="R1130" i="37"/>
  <c r="R1131" i="37"/>
  <c r="R1132" i="37"/>
  <c r="R1133" i="37"/>
  <c r="R1134" i="37"/>
  <c r="R1135" i="37"/>
  <c r="R1136" i="37"/>
  <c r="R1137" i="37"/>
  <c r="R1138" i="37"/>
  <c r="R1139" i="37"/>
  <c r="R1140" i="37"/>
  <c r="R1141" i="37"/>
  <c r="R1142" i="37"/>
  <c r="R1143" i="37"/>
  <c r="R1144" i="37"/>
  <c r="R1145" i="37"/>
  <c r="R1146" i="37"/>
  <c r="R1147" i="37"/>
  <c r="R1148" i="37"/>
  <c r="R1149" i="37"/>
  <c r="R1150" i="37"/>
  <c r="R1151" i="37"/>
  <c r="R1152" i="37"/>
  <c r="R1153" i="37"/>
  <c r="R1154" i="37"/>
  <c r="R1155" i="37"/>
  <c r="R1156" i="37"/>
  <c r="R1157" i="37"/>
  <c r="R1158" i="37"/>
  <c r="R1159" i="37"/>
  <c r="R1160" i="37"/>
  <c r="R1161" i="37"/>
  <c r="R1162" i="37"/>
  <c r="R1163" i="37"/>
  <c r="R1164" i="37"/>
  <c r="R1165" i="37"/>
  <c r="R1166" i="37"/>
  <c r="R1167" i="37"/>
  <c r="R1168" i="37"/>
  <c r="R1169" i="37"/>
  <c r="R1170" i="37"/>
  <c r="R1171" i="37"/>
  <c r="R1172" i="37"/>
  <c r="R1173" i="37"/>
  <c r="R1174" i="37"/>
  <c r="R1175" i="37"/>
  <c r="R1176" i="37"/>
  <c r="R1177" i="37"/>
  <c r="R1178" i="37"/>
  <c r="R1179" i="37"/>
  <c r="R1180" i="37"/>
  <c r="R1181" i="37"/>
  <c r="R1182" i="37"/>
  <c r="R1183" i="37"/>
  <c r="R1184" i="37"/>
  <c r="R1185" i="37"/>
  <c r="R1186" i="37"/>
  <c r="R1187" i="37"/>
  <c r="R1188" i="37"/>
  <c r="R1189" i="37"/>
  <c r="R1190" i="37"/>
  <c r="R1191" i="37"/>
  <c r="R1192" i="37"/>
  <c r="R1193" i="37"/>
  <c r="R1194" i="37"/>
  <c r="R1195" i="37"/>
  <c r="R1196" i="37"/>
  <c r="R1197" i="37"/>
  <c r="R1198" i="37"/>
  <c r="R1199" i="37"/>
  <c r="R1200" i="37"/>
  <c r="R1201" i="37"/>
  <c r="R1202" i="37"/>
  <c r="R1203" i="37"/>
  <c r="R1204" i="37"/>
  <c r="R1205" i="37"/>
  <c r="R1206" i="37"/>
  <c r="R1207" i="37"/>
  <c r="R1208" i="37"/>
  <c r="R1209" i="37"/>
  <c r="R1210" i="37"/>
  <c r="R1211" i="37"/>
  <c r="R1212" i="37"/>
  <c r="R1213" i="37"/>
  <c r="R1214" i="37"/>
  <c r="R1215" i="37"/>
  <c r="R1216" i="37"/>
  <c r="R1217" i="37"/>
  <c r="R1218" i="37"/>
  <c r="R1219" i="37"/>
  <c r="R1220" i="37"/>
  <c r="R1221" i="37"/>
  <c r="R1222" i="37"/>
  <c r="R1223" i="37"/>
  <c r="R1224" i="37"/>
  <c r="R1225" i="37"/>
  <c r="R1226" i="37"/>
  <c r="R1227" i="37"/>
  <c r="R1228" i="37"/>
  <c r="R1229" i="37"/>
  <c r="R1230" i="37"/>
  <c r="R1231" i="37"/>
  <c r="R1232" i="37"/>
  <c r="R1233" i="37"/>
  <c r="R1234" i="37"/>
  <c r="R1235" i="37"/>
  <c r="R1236" i="37"/>
  <c r="R1237" i="37"/>
  <c r="R1238" i="37"/>
  <c r="R1239" i="37"/>
  <c r="R1240" i="37"/>
  <c r="R1241" i="37"/>
  <c r="R1242" i="37"/>
  <c r="R1243" i="37"/>
  <c r="R1244" i="37"/>
  <c r="R1245" i="37"/>
  <c r="R1246" i="37"/>
  <c r="R1247" i="37"/>
  <c r="R1248" i="37"/>
  <c r="R1249" i="37"/>
  <c r="R1250" i="37"/>
  <c r="R1251" i="37"/>
  <c r="R1252" i="37"/>
  <c r="R1253" i="37"/>
  <c r="R1254" i="37"/>
  <c r="R1255" i="37"/>
  <c r="R1256" i="37"/>
  <c r="R1257" i="37"/>
  <c r="R1258" i="37"/>
  <c r="R1259" i="37"/>
  <c r="R1260" i="37"/>
  <c r="R1261" i="37"/>
  <c r="R1262" i="37"/>
  <c r="R1263" i="37"/>
  <c r="R1264" i="37"/>
  <c r="R1265" i="37"/>
  <c r="R1266" i="37"/>
  <c r="R1267" i="37"/>
  <c r="R1268" i="37"/>
  <c r="R1269" i="37"/>
  <c r="R1270" i="37"/>
  <c r="R1271" i="37"/>
  <c r="R1272" i="37"/>
  <c r="R1273" i="37"/>
  <c r="R1274" i="37"/>
  <c r="R1275" i="37"/>
  <c r="R1276" i="37"/>
  <c r="R1277" i="37"/>
  <c r="R1278" i="37"/>
  <c r="R1279" i="37"/>
  <c r="R1280" i="37"/>
  <c r="R1281" i="37"/>
  <c r="R1282" i="37"/>
  <c r="R1283" i="37"/>
  <c r="R1284" i="37"/>
  <c r="R1285" i="37"/>
  <c r="R1286" i="37"/>
  <c r="R1287" i="37"/>
  <c r="R1288" i="37"/>
  <c r="R1289" i="37"/>
  <c r="R1290" i="37"/>
  <c r="R1291" i="37"/>
  <c r="R1292" i="37"/>
  <c r="R1293" i="37"/>
  <c r="R1294" i="37"/>
  <c r="R1295" i="37"/>
  <c r="R1296" i="37"/>
  <c r="R1297" i="37"/>
  <c r="R1298" i="37"/>
  <c r="R1299" i="37"/>
  <c r="R1300" i="37"/>
  <c r="R1301" i="37"/>
  <c r="R1302" i="37"/>
  <c r="R1303" i="37"/>
  <c r="R1304" i="37"/>
  <c r="R1305" i="37"/>
  <c r="R1306" i="37"/>
  <c r="R1307" i="37"/>
  <c r="R1308" i="37"/>
  <c r="R1309" i="37"/>
  <c r="R1310" i="37"/>
  <c r="R1311" i="37"/>
  <c r="R1312" i="37"/>
  <c r="R1313" i="37"/>
  <c r="R1314" i="37"/>
  <c r="R1315" i="37"/>
  <c r="R1316" i="37"/>
  <c r="R1317" i="37"/>
  <c r="R1318" i="37"/>
  <c r="R1319" i="37"/>
  <c r="R1320" i="37"/>
  <c r="R1321" i="37"/>
  <c r="R1322" i="37"/>
  <c r="R1323" i="37"/>
  <c r="R1324" i="37"/>
  <c r="R1325" i="37"/>
  <c r="R1326" i="37"/>
  <c r="R1327" i="37"/>
  <c r="R1328" i="37"/>
  <c r="R1329" i="37"/>
  <c r="R1330" i="37"/>
  <c r="R1331" i="37"/>
  <c r="R1332" i="37"/>
  <c r="R1333" i="37"/>
  <c r="R1334" i="37"/>
  <c r="R1335" i="37"/>
  <c r="R1336" i="37"/>
  <c r="R1337" i="37"/>
  <c r="R1338" i="37"/>
  <c r="R1339" i="37"/>
  <c r="R1340" i="37"/>
  <c r="R1341" i="37"/>
  <c r="R1342" i="37"/>
  <c r="R1343" i="37"/>
  <c r="R1344" i="37"/>
  <c r="R1345" i="37"/>
  <c r="R1346" i="37"/>
  <c r="R1347" i="37"/>
  <c r="R1348" i="37"/>
  <c r="R1349" i="37"/>
  <c r="R1350" i="37"/>
  <c r="R1351" i="37"/>
  <c r="R1352" i="37"/>
  <c r="R1353" i="37"/>
  <c r="R1354" i="37"/>
  <c r="R1355" i="37"/>
  <c r="R1356" i="37"/>
  <c r="R1357" i="37"/>
  <c r="R1358" i="37"/>
  <c r="R1359" i="37"/>
  <c r="R1360" i="37"/>
  <c r="R1361" i="37"/>
  <c r="R1362" i="37"/>
  <c r="R1363" i="37"/>
  <c r="R1364" i="37"/>
  <c r="R1365" i="37"/>
  <c r="R1366" i="37"/>
  <c r="R1367" i="37"/>
  <c r="R1368" i="37"/>
  <c r="R1369" i="37"/>
  <c r="R1370" i="37"/>
  <c r="R1371" i="37"/>
  <c r="R1372" i="37"/>
  <c r="R1373" i="37"/>
  <c r="R1374" i="37"/>
  <c r="R1375" i="37"/>
  <c r="R1376" i="37"/>
  <c r="R1377" i="37"/>
  <c r="R1378" i="37"/>
  <c r="R1379" i="37"/>
  <c r="R1380" i="37"/>
  <c r="R1381" i="37"/>
  <c r="R1382" i="37"/>
  <c r="R1383" i="37"/>
  <c r="R1384" i="37"/>
  <c r="R1385" i="37"/>
  <c r="R1386" i="37"/>
  <c r="R1387" i="37"/>
  <c r="R1388" i="37"/>
  <c r="R1389" i="37"/>
  <c r="R1390" i="37"/>
  <c r="R1391" i="37"/>
  <c r="R1392" i="37"/>
  <c r="R1393" i="37"/>
  <c r="R1394" i="37"/>
  <c r="R1395" i="37"/>
  <c r="R1396" i="37"/>
  <c r="R1397" i="37"/>
  <c r="R1398" i="37"/>
  <c r="R1399" i="37"/>
  <c r="R1400" i="37"/>
  <c r="R1401" i="37"/>
  <c r="R1402" i="37"/>
  <c r="R1403" i="37"/>
  <c r="R1404" i="37"/>
  <c r="R1405" i="37"/>
  <c r="R1406" i="37"/>
  <c r="R1407" i="37"/>
  <c r="R1408" i="37"/>
  <c r="R1409" i="37"/>
  <c r="R1410" i="37"/>
  <c r="R1411" i="37"/>
  <c r="R1412" i="37"/>
  <c r="R1413" i="37"/>
  <c r="R1414" i="37"/>
  <c r="R1415" i="37"/>
  <c r="R1416" i="37"/>
  <c r="R1417" i="37"/>
  <c r="R1418" i="37"/>
  <c r="R1419" i="37"/>
  <c r="R1420" i="37"/>
  <c r="R1421" i="37"/>
  <c r="R1422" i="37"/>
  <c r="R1423" i="37"/>
  <c r="R1424" i="37"/>
  <c r="R1425" i="37"/>
  <c r="R1426" i="37"/>
  <c r="R1427" i="37"/>
  <c r="R1428" i="37"/>
  <c r="R1429" i="37"/>
  <c r="R1430" i="37"/>
  <c r="R1431" i="37"/>
  <c r="R1432" i="37"/>
  <c r="R1433" i="37"/>
  <c r="R1434" i="37"/>
  <c r="R1435" i="37"/>
  <c r="R1436" i="37"/>
  <c r="R1437" i="37"/>
  <c r="R1438" i="37"/>
  <c r="R1439" i="37"/>
  <c r="R1440" i="37"/>
  <c r="R1441" i="37"/>
  <c r="R1442" i="37"/>
  <c r="R1443" i="37"/>
  <c r="R1444" i="37"/>
  <c r="R1445" i="37"/>
  <c r="R1446" i="37"/>
  <c r="R1447" i="37"/>
  <c r="R1448" i="37"/>
  <c r="R1449" i="37"/>
  <c r="R1450" i="37"/>
  <c r="R1451" i="37"/>
  <c r="R1452" i="37"/>
  <c r="R1453" i="37"/>
  <c r="R1454" i="37"/>
  <c r="R1455" i="37"/>
  <c r="R1456" i="37"/>
  <c r="R1457" i="37"/>
  <c r="R1458" i="37"/>
  <c r="R1459" i="37"/>
  <c r="R1460" i="37"/>
  <c r="R1461" i="37"/>
  <c r="R1462" i="37"/>
  <c r="R1463" i="37"/>
  <c r="R1464" i="37"/>
  <c r="R1465" i="37"/>
  <c r="R1466" i="37"/>
  <c r="R1467" i="37"/>
  <c r="R1468" i="37"/>
  <c r="R1469" i="37"/>
  <c r="R1470" i="37"/>
  <c r="R1471" i="37"/>
  <c r="R1472" i="37"/>
  <c r="R1473" i="37"/>
  <c r="R1474" i="37"/>
  <c r="R1475" i="37"/>
  <c r="R1476" i="37"/>
  <c r="R1477" i="37"/>
  <c r="R1478" i="37"/>
  <c r="R1479" i="37"/>
  <c r="R1480" i="37"/>
  <c r="R1481" i="37"/>
  <c r="R1482" i="37"/>
  <c r="R1483" i="37"/>
  <c r="R1484" i="37"/>
  <c r="R1485" i="37"/>
  <c r="R1486" i="37"/>
  <c r="R1487" i="37"/>
  <c r="R1488" i="37"/>
  <c r="R1489" i="37"/>
  <c r="R1490" i="37"/>
  <c r="R1491" i="37"/>
  <c r="R1492" i="37"/>
  <c r="R1493" i="37"/>
  <c r="R1494" i="37"/>
  <c r="R1495" i="37"/>
  <c r="R1496" i="37"/>
  <c r="R1497" i="37"/>
  <c r="R1498" i="37"/>
  <c r="R1499" i="37"/>
  <c r="R1500" i="37"/>
  <c r="R1501" i="37"/>
  <c r="R1502" i="37"/>
  <c r="R1503" i="37"/>
  <c r="R1504" i="37"/>
  <c r="R1505" i="37"/>
  <c r="R1506" i="37"/>
  <c r="R1507" i="37"/>
  <c r="R1508" i="37"/>
  <c r="R1509" i="37"/>
  <c r="R1510" i="37"/>
  <c r="R1511" i="37"/>
  <c r="R1512" i="37"/>
  <c r="R1513" i="37"/>
  <c r="R1514" i="37"/>
  <c r="R1515" i="37"/>
  <c r="R1516" i="37"/>
  <c r="R1517" i="37"/>
  <c r="R1518" i="37"/>
  <c r="R1519" i="37"/>
  <c r="R1520" i="37"/>
  <c r="R1521" i="37"/>
  <c r="R1522" i="37"/>
  <c r="R1523" i="37"/>
  <c r="R1524" i="37"/>
  <c r="R1525" i="37"/>
  <c r="R1526" i="37"/>
  <c r="R1527" i="37"/>
  <c r="R1528" i="37"/>
  <c r="R1529" i="37"/>
  <c r="R1530" i="37"/>
  <c r="R1531" i="37"/>
  <c r="R1532" i="37"/>
  <c r="R1533" i="37"/>
  <c r="R1534" i="37"/>
  <c r="R1535" i="37"/>
  <c r="R1536" i="37"/>
  <c r="R1537" i="37"/>
  <c r="R1538" i="37"/>
  <c r="R1539" i="37"/>
  <c r="R1540" i="37"/>
  <c r="R1541" i="37"/>
  <c r="R1542" i="37"/>
  <c r="R1543" i="37"/>
  <c r="R1544" i="37"/>
  <c r="R1545" i="37"/>
  <c r="R1546" i="37"/>
  <c r="R1547" i="37"/>
  <c r="R1548" i="37"/>
  <c r="R1549" i="37"/>
  <c r="R1550" i="37"/>
  <c r="R1551" i="37"/>
  <c r="R1552" i="37"/>
  <c r="R1553" i="37"/>
  <c r="R1554" i="37"/>
  <c r="R1555" i="37"/>
  <c r="R1556" i="37"/>
  <c r="R1557" i="37"/>
  <c r="R1558" i="37"/>
  <c r="R1559" i="37"/>
  <c r="R1560" i="37"/>
  <c r="R1561" i="37"/>
  <c r="R1562" i="37"/>
  <c r="R1563" i="37"/>
  <c r="R1564" i="37"/>
  <c r="R1565" i="37"/>
  <c r="R1566" i="37"/>
  <c r="R1567" i="37"/>
  <c r="R1568" i="37"/>
  <c r="R1569" i="37"/>
  <c r="R1570" i="37"/>
  <c r="R1571" i="37"/>
  <c r="R1572" i="37"/>
  <c r="R1573" i="37"/>
  <c r="R1574" i="37"/>
  <c r="R1575" i="37"/>
  <c r="R1576" i="37"/>
  <c r="R1577" i="37"/>
  <c r="R1578" i="37"/>
  <c r="R1579" i="37"/>
  <c r="R1580" i="37"/>
  <c r="R1581" i="37"/>
  <c r="R1582" i="37"/>
  <c r="R1583" i="37"/>
  <c r="R1584" i="37"/>
  <c r="R1585" i="37"/>
  <c r="R1586" i="37"/>
  <c r="R1587" i="37"/>
  <c r="R1588" i="37"/>
  <c r="R1589" i="37"/>
  <c r="R1590" i="37"/>
  <c r="R1591" i="37"/>
  <c r="R1592" i="37"/>
  <c r="R1593" i="37"/>
  <c r="R1594" i="37"/>
  <c r="R1595" i="37"/>
  <c r="R1596" i="37"/>
  <c r="R1597" i="37"/>
  <c r="R1598" i="37"/>
  <c r="R1599" i="37"/>
  <c r="R1600" i="37"/>
  <c r="R1601" i="37"/>
  <c r="R1602" i="37"/>
  <c r="R1603" i="37"/>
  <c r="R1604" i="37"/>
  <c r="R1605" i="37"/>
  <c r="R1606" i="37"/>
  <c r="R1607" i="37"/>
  <c r="R1608" i="37"/>
  <c r="R1609" i="37"/>
  <c r="R1610" i="37"/>
  <c r="R1611" i="37"/>
  <c r="R1612" i="37"/>
  <c r="R1613" i="37"/>
  <c r="R1614" i="37"/>
  <c r="R1615" i="37"/>
  <c r="R1616" i="37"/>
  <c r="R1617" i="37"/>
  <c r="R1618" i="37"/>
  <c r="R1619" i="37"/>
  <c r="R1620" i="37"/>
  <c r="R1621" i="37"/>
  <c r="R1622" i="37"/>
  <c r="R1623" i="37"/>
  <c r="R1624" i="37"/>
  <c r="R1625" i="37"/>
  <c r="R1626" i="37"/>
  <c r="R1627" i="37"/>
  <c r="R1628" i="37"/>
  <c r="R1629" i="37"/>
  <c r="R1630" i="37"/>
  <c r="R1631" i="37"/>
  <c r="R1632" i="37"/>
  <c r="R1633" i="37"/>
  <c r="R1634" i="37"/>
  <c r="R1635" i="37"/>
  <c r="R1636" i="37"/>
  <c r="R1637" i="37"/>
  <c r="R1638" i="37"/>
  <c r="R1639" i="37"/>
  <c r="R1640" i="37"/>
  <c r="R1641" i="37"/>
  <c r="R1642" i="37"/>
  <c r="R1643" i="37"/>
  <c r="R1644" i="37"/>
  <c r="R1645" i="37"/>
  <c r="R1646" i="37"/>
  <c r="R1647" i="37"/>
  <c r="R1648" i="37"/>
  <c r="R1649" i="37"/>
  <c r="R1650" i="37"/>
  <c r="R1651" i="37"/>
  <c r="R1652" i="37"/>
  <c r="R1653" i="37"/>
  <c r="R1654" i="37"/>
  <c r="R1655" i="37"/>
  <c r="R1656" i="37"/>
  <c r="R1657" i="37"/>
  <c r="R1658" i="37"/>
  <c r="R1659" i="37"/>
  <c r="R1660" i="37"/>
  <c r="R1661" i="37"/>
  <c r="R1662" i="37"/>
  <c r="R1663" i="37"/>
  <c r="R1664" i="37"/>
  <c r="R1665" i="37"/>
  <c r="R1666" i="37"/>
  <c r="R1667" i="37"/>
  <c r="R1668" i="37"/>
  <c r="R1669" i="37"/>
  <c r="R1670" i="37"/>
  <c r="R1671" i="37"/>
  <c r="R1672" i="37"/>
  <c r="R1673" i="37"/>
  <c r="R1674" i="37"/>
  <c r="R1675" i="37"/>
  <c r="R1676" i="37"/>
  <c r="R1677" i="37"/>
  <c r="R1678" i="37"/>
  <c r="R1679" i="37"/>
  <c r="R1680" i="37"/>
  <c r="R1681" i="37"/>
  <c r="R1682" i="37"/>
  <c r="R1683" i="37"/>
  <c r="R1684" i="37"/>
  <c r="R1685" i="37"/>
  <c r="R1686" i="37"/>
  <c r="R1687" i="37"/>
  <c r="R1688" i="37"/>
  <c r="R1689" i="37"/>
  <c r="R1690" i="37"/>
  <c r="R1691" i="37"/>
  <c r="R1692" i="37"/>
  <c r="R1693" i="37"/>
  <c r="R1694" i="37"/>
  <c r="R1695" i="37"/>
  <c r="R1696" i="37"/>
  <c r="R1697" i="37"/>
  <c r="R1698" i="37"/>
  <c r="R1699" i="37"/>
  <c r="R1700" i="37"/>
  <c r="R1701" i="37"/>
  <c r="R1702" i="37"/>
  <c r="R1703" i="37"/>
  <c r="R1704" i="37"/>
  <c r="R1705" i="37"/>
  <c r="R1706" i="37"/>
  <c r="R1707" i="37"/>
  <c r="R1708" i="37"/>
  <c r="R1709" i="37"/>
  <c r="R1710" i="37"/>
  <c r="R1711" i="37"/>
  <c r="R1712" i="37"/>
  <c r="R1713" i="37"/>
  <c r="R1714" i="37"/>
  <c r="R1715" i="37"/>
  <c r="R1716" i="37"/>
  <c r="R1717" i="37"/>
  <c r="R1718" i="37"/>
  <c r="R1719" i="37"/>
  <c r="R1720" i="37"/>
  <c r="R1721" i="37"/>
  <c r="R1722" i="37"/>
  <c r="R1723" i="37"/>
  <c r="R1724" i="37"/>
  <c r="R1725" i="37"/>
  <c r="R1726" i="37"/>
  <c r="R1727" i="37"/>
  <c r="R1728" i="37"/>
  <c r="R1729" i="37"/>
  <c r="R1730" i="37"/>
  <c r="R1731" i="37"/>
  <c r="R1732" i="37"/>
  <c r="R1733" i="37"/>
  <c r="R1734" i="37"/>
  <c r="R1735" i="37"/>
  <c r="R1736" i="37"/>
  <c r="R1737" i="37"/>
  <c r="R1738" i="37"/>
  <c r="R1739" i="37"/>
  <c r="R1740" i="37"/>
  <c r="R1741" i="37"/>
  <c r="R1742" i="37"/>
  <c r="R1743" i="37"/>
  <c r="R1744" i="37"/>
  <c r="R1745" i="37"/>
  <c r="R1746" i="37"/>
  <c r="R1747" i="37"/>
  <c r="R1748" i="37"/>
  <c r="R1749" i="37"/>
  <c r="R1750" i="37"/>
  <c r="R1751" i="37"/>
  <c r="R1752" i="37"/>
  <c r="R1753" i="37"/>
  <c r="R1754" i="37"/>
  <c r="R1755" i="37"/>
  <c r="R1756" i="37"/>
  <c r="R1757" i="37"/>
  <c r="R1758" i="37"/>
  <c r="R1759" i="37"/>
  <c r="R1760" i="37"/>
  <c r="R1761" i="37"/>
  <c r="R1762" i="37"/>
  <c r="R1763" i="37"/>
  <c r="R1764" i="37"/>
  <c r="R1765" i="37"/>
  <c r="R1766" i="37"/>
  <c r="R1767" i="37"/>
  <c r="R1768" i="37"/>
  <c r="R1769" i="37"/>
  <c r="R1770" i="37"/>
  <c r="R1771" i="37"/>
  <c r="R1772" i="37"/>
  <c r="R1773" i="37"/>
  <c r="R1774" i="37"/>
  <c r="R1775" i="37"/>
  <c r="R1776" i="37"/>
  <c r="R1777" i="37"/>
  <c r="R1778" i="37"/>
  <c r="R1779" i="37"/>
  <c r="R1780" i="37"/>
  <c r="R1781" i="37"/>
  <c r="R1782" i="37"/>
  <c r="R1783" i="37"/>
  <c r="R1784" i="37"/>
  <c r="R1785" i="37"/>
  <c r="R1786" i="37"/>
  <c r="R1787" i="37"/>
  <c r="R1788" i="37"/>
  <c r="R1789" i="37"/>
  <c r="R1790" i="37"/>
  <c r="R1791" i="37"/>
  <c r="R1792" i="37"/>
  <c r="R1793" i="37"/>
  <c r="R1794" i="37"/>
  <c r="R1795" i="37"/>
  <c r="R1796" i="37"/>
  <c r="R1797" i="37"/>
  <c r="R1798" i="37"/>
  <c r="R1799" i="37"/>
  <c r="R1800" i="37"/>
  <c r="R1801" i="37"/>
  <c r="R1802" i="37"/>
  <c r="R1803" i="37"/>
  <c r="R1804" i="37"/>
  <c r="R1805" i="37"/>
  <c r="R1806" i="37"/>
  <c r="R1807" i="37"/>
  <c r="R1808" i="37"/>
  <c r="R1809" i="37"/>
  <c r="R1810" i="37"/>
  <c r="R1811" i="37"/>
  <c r="R1812" i="37"/>
  <c r="R1813" i="37"/>
  <c r="R1814" i="37"/>
  <c r="R1815" i="37"/>
  <c r="R1816" i="37"/>
  <c r="R1817" i="37"/>
  <c r="R1818" i="37"/>
  <c r="R1819" i="37"/>
  <c r="R1820" i="37"/>
  <c r="R1821" i="37"/>
  <c r="R1822" i="37"/>
  <c r="R1823" i="37"/>
  <c r="R1824" i="37"/>
  <c r="R1825" i="37"/>
  <c r="R1826" i="37"/>
  <c r="R1827" i="37"/>
  <c r="R1828" i="37"/>
  <c r="R1829" i="37"/>
  <c r="R1830" i="37"/>
  <c r="R1831" i="37"/>
  <c r="R1832" i="37"/>
  <c r="R1833" i="37"/>
  <c r="R1834" i="37"/>
  <c r="R1835" i="37"/>
  <c r="R1836" i="37"/>
  <c r="R1837" i="37"/>
  <c r="R1838" i="37"/>
  <c r="R1839" i="37"/>
  <c r="R1840" i="37"/>
  <c r="R1841" i="37"/>
  <c r="R1842" i="37"/>
  <c r="R1843" i="37"/>
  <c r="R1844" i="37"/>
  <c r="R1845" i="37"/>
  <c r="R1846" i="37"/>
  <c r="R1847" i="37"/>
  <c r="R1848" i="37"/>
  <c r="R1849" i="37"/>
  <c r="R1850" i="37"/>
  <c r="R1851" i="37"/>
  <c r="R1852" i="37"/>
  <c r="R1853" i="37"/>
  <c r="R1854" i="37"/>
  <c r="R1855" i="37"/>
  <c r="R1856" i="37"/>
  <c r="R1857" i="37"/>
  <c r="R1858" i="37"/>
  <c r="R1859" i="37"/>
  <c r="R1860" i="37"/>
  <c r="R1861" i="37"/>
  <c r="R1862" i="37"/>
  <c r="R1863" i="37"/>
  <c r="R1864" i="37"/>
  <c r="R1865" i="37"/>
  <c r="R1866" i="37"/>
  <c r="R1867" i="37"/>
  <c r="R1868" i="37"/>
  <c r="R1869" i="37"/>
  <c r="R1870" i="37"/>
  <c r="R1871" i="37"/>
  <c r="R1872" i="37"/>
  <c r="R1873" i="37"/>
  <c r="R1874" i="37"/>
  <c r="R1875" i="37"/>
  <c r="R1876" i="37"/>
  <c r="R1877" i="37"/>
  <c r="R1878" i="37"/>
  <c r="R1879" i="37"/>
  <c r="R1880" i="37"/>
  <c r="R1881" i="37"/>
  <c r="R1882" i="37"/>
  <c r="R1883" i="37"/>
  <c r="R1884" i="37"/>
  <c r="R1885" i="37"/>
  <c r="R1886" i="37"/>
  <c r="R1887" i="37"/>
  <c r="R1888" i="37"/>
  <c r="R1889" i="37"/>
  <c r="R1890" i="37"/>
  <c r="R1891" i="37"/>
  <c r="R1892" i="37"/>
  <c r="R1893" i="37"/>
  <c r="R1894" i="37"/>
  <c r="R1895" i="37"/>
  <c r="R1896" i="37"/>
  <c r="R1897" i="37"/>
  <c r="R1898" i="37"/>
  <c r="R1899" i="37"/>
  <c r="R1900" i="37"/>
  <c r="R1901" i="37"/>
  <c r="R1902" i="37"/>
  <c r="R1903" i="37"/>
  <c r="R1904" i="37"/>
  <c r="R1905" i="37"/>
  <c r="R1906" i="37"/>
  <c r="R1907" i="37"/>
  <c r="R1908" i="37"/>
  <c r="R1909" i="37"/>
  <c r="R1910" i="37"/>
  <c r="R1911" i="37"/>
  <c r="R1912" i="37"/>
  <c r="R1913" i="37"/>
  <c r="R1914" i="37"/>
  <c r="R1915" i="37"/>
  <c r="R1916" i="37"/>
  <c r="R1917" i="37"/>
  <c r="R1918" i="37"/>
  <c r="R1919" i="37"/>
  <c r="R1920" i="37"/>
  <c r="R1921" i="37"/>
  <c r="R1922" i="37"/>
  <c r="R1923" i="37"/>
  <c r="R1924" i="37"/>
  <c r="R1925" i="37"/>
  <c r="R1926" i="37"/>
  <c r="R1927" i="37"/>
  <c r="R1928" i="37"/>
  <c r="R1929" i="37"/>
  <c r="R1930" i="37"/>
  <c r="R1931" i="37"/>
  <c r="R1932" i="37"/>
  <c r="R1933" i="37"/>
  <c r="R1934" i="37"/>
  <c r="R1935" i="37"/>
  <c r="R1936" i="37"/>
  <c r="R1937" i="37"/>
  <c r="R1938" i="37"/>
  <c r="R1939" i="37"/>
  <c r="R1940" i="37"/>
  <c r="R1941" i="37"/>
  <c r="R1942" i="37"/>
  <c r="R1943" i="37"/>
  <c r="R1944" i="37"/>
  <c r="R1945" i="37"/>
  <c r="R1946" i="37"/>
  <c r="R1947" i="37"/>
  <c r="R1948" i="37"/>
  <c r="R1949" i="37"/>
  <c r="R1950" i="37"/>
  <c r="R1951" i="37"/>
  <c r="R1952" i="37"/>
  <c r="R1953" i="37"/>
  <c r="R1954" i="37"/>
  <c r="R1955" i="37"/>
  <c r="R1956" i="37"/>
  <c r="R1957" i="37"/>
  <c r="R1958" i="37"/>
  <c r="R1959" i="37"/>
  <c r="R1960" i="37"/>
  <c r="R1961" i="37"/>
  <c r="R1962" i="37"/>
  <c r="R1963" i="37"/>
  <c r="R1964" i="37"/>
  <c r="R1965" i="37"/>
  <c r="R1966" i="37"/>
  <c r="R1967" i="37"/>
  <c r="R1968" i="37"/>
  <c r="R1969" i="37"/>
  <c r="R1970" i="37"/>
  <c r="R1971" i="37"/>
  <c r="R1972" i="37"/>
  <c r="R1973" i="37"/>
  <c r="R1974" i="37"/>
  <c r="R1975" i="37"/>
  <c r="R1976" i="37"/>
  <c r="R1977" i="37"/>
  <c r="R1978" i="37"/>
  <c r="R1979" i="37"/>
  <c r="R1980" i="37"/>
  <c r="R1981" i="37"/>
  <c r="R1982" i="37"/>
  <c r="R1983" i="37"/>
  <c r="R1984" i="37"/>
  <c r="R1985" i="37"/>
  <c r="R1986" i="37"/>
  <c r="R1987" i="37"/>
  <c r="R1988" i="37"/>
  <c r="R1989" i="37"/>
  <c r="R1990" i="37"/>
  <c r="R1991" i="37"/>
  <c r="R1992" i="37"/>
  <c r="R1993" i="37"/>
  <c r="R1994" i="37"/>
  <c r="R1995" i="37"/>
  <c r="R1996" i="37"/>
  <c r="R1997" i="37"/>
  <c r="R1998" i="37"/>
  <c r="R1999" i="37"/>
  <c r="R2000" i="37"/>
  <c r="R2001" i="37"/>
  <c r="R2002" i="37"/>
  <c r="R2003" i="37"/>
  <c r="R2004" i="37"/>
  <c r="R2005" i="37"/>
  <c r="R2006" i="37"/>
  <c r="R2007" i="37"/>
  <c r="R2008" i="37"/>
  <c r="R2009" i="37"/>
  <c r="R2010" i="37"/>
  <c r="R2011" i="37"/>
  <c r="R2012" i="37"/>
  <c r="R2013" i="37"/>
  <c r="R2014" i="37"/>
  <c r="R2015" i="37"/>
  <c r="R2016" i="37"/>
  <c r="R2017" i="37"/>
  <c r="R2018" i="37"/>
  <c r="R2019" i="37"/>
  <c r="R2020" i="37"/>
  <c r="R2021" i="37"/>
  <c r="R2022" i="37"/>
  <c r="R2023" i="37"/>
  <c r="R2024" i="37"/>
  <c r="R2025" i="37"/>
  <c r="R2026" i="37"/>
  <c r="R2027" i="37"/>
  <c r="R2028" i="37"/>
  <c r="R2029" i="37"/>
  <c r="R2030" i="37"/>
  <c r="R2031" i="37"/>
  <c r="R2032" i="37"/>
  <c r="R2033" i="37"/>
  <c r="R2034" i="37"/>
  <c r="R2035" i="37"/>
  <c r="R2036" i="37"/>
  <c r="R2037" i="37"/>
  <c r="R2038" i="37"/>
  <c r="R2039" i="37"/>
  <c r="R2040" i="37"/>
  <c r="R2041" i="37"/>
  <c r="R2042" i="37"/>
  <c r="R2043" i="37"/>
  <c r="R2044" i="37"/>
  <c r="R2045" i="37"/>
  <c r="R2046" i="37"/>
  <c r="R2047" i="37"/>
  <c r="R2048" i="37"/>
  <c r="R2049" i="37"/>
  <c r="R2050" i="37"/>
  <c r="R2051" i="37"/>
  <c r="R2052" i="37"/>
  <c r="R2053" i="37"/>
  <c r="R2054" i="37"/>
  <c r="R2055" i="37"/>
  <c r="R2056" i="37"/>
  <c r="R2057" i="37"/>
  <c r="R2058" i="37"/>
  <c r="R2059" i="37"/>
  <c r="R2060" i="37"/>
  <c r="R2061" i="37"/>
  <c r="R2062" i="37"/>
  <c r="R2063" i="37"/>
  <c r="R2064" i="37"/>
  <c r="R2065" i="37"/>
  <c r="R2066" i="37"/>
  <c r="R2067" i="37"/>
  <c r="R2068" i="37"/>
  <c r="R2069" i="37"/>
  <c r="R2070" i="37"/>
  <c r="R2071" i="37"/>
  <c r="R2072" i="37"/>
  <c r="R2073" i="37"/>
  <c r="R2074" i="37"/>
  <c r="R2075" i="37"/>
  <c r="R2076" i="37"/>
  <c r="R2077" i="37"/>
  <c r="R2078" i="37"/>
  <c r="R2079" i="37"/>
  <c r="R2080" i="37"/>
  <c r="R2081" i="37"/>
  <c r="R2082" i="37"/>
  <c r="R2083" i="37"/>
  <c r="R2084" i="37"/>
  <c r="R2085" i="37"/>
  <c r="R2086" i="37"/>
  <c r="R2087" i="37"/>
  <c r="R2088" i="37"/>
  <c r="R2089" i="37"/>
  <c r="R2090" i="37"/>
  <c r="R2091" i="37"/>
  <c r="R2092" i="37"/>
  <c r="R2093" i="37"/>
  <c r="R2094" i="37"/>
  <c r="R2095" i="37"/>
  <c r="R2096" i="37"/>
  <c r="R2097" i="37"/>
  <c r="R2098" i="37"/>
  <c r="R2099" i="37"/>
  <c r="R2100" i="37"/>
  <c r="R2101" i="37"/>
  <c r="R2102" i="37"/>
  <c r="R2103" i="37"/>
  <c r="R2104" i="37"/>
  <c r="R2105" i="37"/>
  <c r="R2106" i="37"/>
  <c r="R2107" i="37"/>
  <c r="R2108" i="37"/>
  <c r="R2109" i="37"/>
  <c r="R2110" i="37"/>
  <c r="R2111" i="37"/>
  <c r="R2112" i="37"/>
  <c r="R2113" i="37"/>
  <c r="R2114" i="37"/>
  <c r="R2115" i="37"/>
  <c r="R2116" i="37"/>
  <c r="R2117" i="37"/>
  <c r="R2118" i="37"/>
  <c r="R2119" i="37"/>
  <c r="R2120" i="37"/>
  <c r="R2121" i="37"/>
  <c r="R2122" i="37"/>
  <c r="R2123" i="37"/>
  <c r="R2124" i="37"/>
  <c r="R2125" i="37"/>
  <c r="R2126" i="37"/>
  <c r="R2127" i="37"/>
  <c r="R2128" i="37"/>
  <c r="R2129" i="37"/>
  <c r="R2130" i="37"/>
  <c r="R2131" i="37"/>
  <c r="R2132" i="37"/>
  <c r="R2133" i="37"/>
  <c r="R2134" i="37"/>
  <c r="R2135" i="37"/>
  <c r="R2136" i="37"/>
  <c r="R2137" i="37"/>
  <c r="R2138" i="37"/>
  <c r="R2139" i="37"/>
  <c r="R2140" i="37"/>
  <c r="R2141" i="37"/>
  <c r="R2142" i="37"/>
  <c r="R2143" i="37"/>
  <c r="R2144" i="37"/>
  <c r="R2145" i="37"/>
  <c r="R2146" i="37"/>
  <c r="R2147" i="37"/>
  <c r="R2148" i="37"/>
  <c r="R2149" i="37"/>
  <c r="R2150" i="37"/>
  <c r="R2151" i="37"/>
  <c r="R2152" i="37"/>
  <c r="R2153" i="37"/>
  <c r="R2154" i="37"/>
  <c r="R2155" i="37"/>
  <c r="R2156" i="37"/>
  <c r="R2157" i="37"/>
  <c r="R2158" i="37"/>
  <c r="R2159" i="37"/>
  <c r="R2160" i="37"/>
  <c r="R2161" i="37"/>
  <c r="R2162" i="37"/>
  <c r="R2163" i="37"/>
  <c r="R2164" i="37"/>
  <c r="R2165" i="37"/>
  <c r="R2166" i="37"/>
  <c r="R2167" i="37"/>
  <c r="R2168" i="37"/>
  <c r="R2169" i="37"/>
  <c r="R2170" i="37"/>
  <c r="R2171" i="37"/>
  <c r="R2172" i="37"/>
  <c r="R2173" i="37"/>
  <c r="R2174" i="37"/>
  <c r="R2175" i="37"/>
  <c r="R2176" i="37"/>
  <c r="R2177" i="37"/>
  <c r="R2178" i="37"/>
  <c r="R2179" i="37"/>
  <c r="R2180" i="37"/>
  <c r="R2181" i="37"/>
  <c r="R2182" i="37"/>
  <c r="R2183" i="37"/>
  <c r="R2184" i="37"/>
  <c r="R2185" i="37"/>
  <c r="R2186" i="37"/>
  <c r="R2187" i="37"/>
  <c r="R2188" i="37"/>
  <c r="R2189" i="37"/>
  <c r="R2190" i="37"/>
  <c r="R2191" i="37"/>
  <c r="R2192" i="37"/>
  <c r="R2193" i="37"/>
  <c r="R2194" i="37"/>
  <c r="R2195" i="37"/>
  <c r="R2196" i="37"/>
  <c r="R2197" i="37"/>
  <c r="R2198" i="37"/>
  <c r="R2199" i="37"/>
  <c r="R2200" i="37"/>
  <c r="R2201" i="37"/>
  <c r="R2202" i="37"/>
  <c r="R2203" i="37"/>
  <c r="R2204" i="37"/>
  <c r="R2205" i="37"/>
  <c r="R2206" i="37"/>
  <c r="R2207" i="37"/>
  <c r="R2208" i="37"/>
  <c r="R2209" i="37"/>
  <c r="R2210" i="37"/>
  <c r="R2211" i="37"/>
  <c r="R2212" i="37"/>
  <c r="R2213" i="37"/>
  <c r="T12" i="37"/>
  <c r="T13" i="37"/>
  <c r="T14" i="37"/>
  <c r="T15" i="37"/>
  <c r="T16" i="37"/>
  <c r="T17" i="37"/>
  <c r="T18" i="37"/>
  <c r="T19" i="37"/>
  <c r="T20" i="37"/>
  <c r="T21" i="37"/>
  <c r="T22" i="37"/>
  <c r="T23" i="37"/>
  <c r="T24" i="37"/>
  <c r="T25" i="37"/>
  <c r="T26" i="37"/>
  <c r="T27" i="37"/>
  <c r="T28" i="37"/>
  <c r="T29" i="37"/>
  <c r="T30" i="37"/>
  <c r="T31" i="37"/>
  <c r="T32" i="37"/>
  <c r="T33" i="37"/>
  <c r="T34" i="37"/>
  <c r="T35" i="37"/>
  <c r="T36" i="37"/>
  <c r="T37" i="37"/>
  <c r="T38" i="37"/>
  <c r="T39" i="37"/>
  <c r="T40" i="37"/>
  <c r="T41" i="37"/>
  <c r="T42" i="37"/>
  <c r="T43" i="37"/>
  <c r="T44" i="37"/>
  <c r="T45" i="37"/>
  <c r="T46" i="37"/>
  <c r="T47" i="37"/>
  <c r="T48" i="37"/>
  <c r="T49" i="37"/>
  <c r="T50" i="37"/>
  <c r="T51" i="37"/>
  <c r="T52" i="37"/>
  <c r="T53" i="37"/>
  <c r="T54" i="37"/>
  <c r="T55" i="37"/>
  <c r="T56" i="37"/>
  <c r="T57" i="37"/>
  <c r="T58" i="37"/>
  <c r="T59" i="37"/>
  <c r="T60" i="37"/>
  <c r="T61" i="37"/>
  <c r="T62" i="37"/>
  <c r="T63" i="37"/>
  <c r="T64" i="37"/>
  <c r="T65" i="37"/>
  <c r="T66" i="37"/>
  <c r="T67" i="37"/>
  <c r="T68" i="37"/>
  <c r="T69" i="37"/>
  <c r="T70" i="37"/>
  <c r="T71" i="37"/>
  <c r="T72" i="37"/>
  <c r="T73" i="37"/>
  <c r="T74" i="37"/>
  <c r="T75" i="37"/>
  <c r="T76" i="37"/>
  <c r="T77" i="37"/>
  <c r="T78" i="37"/>
  <c r="T79" i="37"/>
  <c r="T80" i="37"/>
  <c r="T81" i="37"/>
  <c r="T82" i="37"/>
  <c r="T83" i="37"/>
  <c r="T84" i="37"/>
  <c r="T85" i="37"/>
  <c r="T86" i="37"/>
  <c r="T87" i="37"/>
  <c r="T88" i="37"/>
  <c r="T89" i="37"/>
  <c r="T90" i="37"/>
  <c r="T91" i="37"/>
  <c r="T92" i="37"/>
  <c r="T93" i="37"/>
  <c r="T94" i="37"/>
  <c r="T95" i="37"/>
  <c r="T96" i="37"/>
  <c r="T97" i="37"/>
  <c r="T98" i="37"/>
  <c r="T99" i="37"/>
  <c r="T100" i="37"/>
  <c r="T101" i="37"/>
  <c r="T102" i="37"/>
  <c r="T103" i="37"/>
  <c r="T104" i="37"/>
  <c r="T105" i="37"/>
  <c r="T106" i="37"/>
  <c r="T107" i="37"/>
  <c r="T108" i="37"/>
  <c r="T109" i="37"/>
  <c r="T110" i="37"/>
  <c r="T111" i="37"/>
  <c r="T112" i="37"/>
  <c r="T113" i="37"/>
  <c r="T114" i="37"/>
  <c r="T115" i="37"/>
  <c r="T116" i="37"/>
  <c r="T117" i="37"/>
  <c r="T118" i="37"/>
  <c r="T119" i="37"/>
  <c r="T120" i="37"/>
  <c r="T121" i="37"/>
  <c r="T122" i="37"/>
  <c r="T123" i="37"/>
  <c r="T124" i="37"/>
  <c r="T125" i="37"/>
  <c r="T126" i="37"/>
  <c r="T127" i="37"/>
  <c r="T128" i="37"/>
  <c r="T129" i="37"/>
  <c r="T130" i="37"/>
  <c r="T131" i="37"/>
  <c r="T132" i="37"/>
  <c r="T133" i="37"/>
  <c r="T134" i="37"/>
  <c r="T135" i="37"/>
  <c r="T136" i="37"/>
  <c r="T137" i="37"/>
  <c r="T138" i="37"/>
  <c r="T139" i="37"/>
  <c r="T140" i="37"/>
  <c r="T141" i="37"/>
  <c r="T142" i="37"/>
  <c r="T143" i="37"/>
  <c r="T144" i="37"/>
  <c r="T145" i="37"/>
  <c r="T146" i="37"/>
  <c r="T147" i="37"/>
  <c r="T148" i="37"/>
  <c r="T149" i="37"/>
  <c r="T150" i="37"/>
  <c r="T151" i="37"/>
  <c r="T152" i="37"/>
  <c r="T153" i="37"/>
  <c r="T154" i="37"/>
  <c r="T155" i="37"/>
  <c r="T156" i="37"/>
  <c r="T157" i="37"/>
  <c r="T158" i="37"/>
  <c r="T159" i="37"/>
  <c r="T160" i="37"/>
  <c r="T161" i="37"/>
  <c r="T162" i="37"/>
  <c r="T163" i="37"/>
  <c r="T164" i="37"/>
  <c r="T165" i="37"/>
  <c r="T166" i="37"/>
  <c r="T167" i="37"/>
  <c r="T168" i="37"/>
  <c r="T169" i="37"/>
  <c r="T170" i="37"/>
  <c r="T171" i="37"/>
  <c r="T172" i="37"/>
  <c r="T173" i="37"/>
  <c r="T174" i="37"/>
  <c r="T175" i="37"/>
  <c r="T176" i="37"/>
  <c r="T177" i="37"/>
  <c r="T178" i="37"/>
  <c r="T179" i="37"/>
  <c r="T180" i="37"/>
  <c r="T181" i="37"/>
  <c r="T182" i="37"/>
  <c r="T183" i="37"/>
  <c r="T184" i="37"/>
  <c r="T185" i="37"/>
  <c r="T186" i="37"/>
  <c r="T187" i="37"/>
  <c r="T188" i="37"/>
  <c r="T189" i="37"/>
  <c r="T190" i="37"/>
  <c r="T191" i="37"/>
  <c r="T192" i="37"/>
  <c r="T193" i="37"/>
  <c r="T194" i="37"/>
  <c r="T195" i="37"/>
  <c r="T196" i="37"/>
  <c r="T197" i="37"/>
  <c r="T198" i="37"/>
  <c r="T199" i="37"/>
  <c r="T200" i="37"/>
  <c r="T201" i="37"/>
  <c r="T202" i="37"/>
  <c r="T203" i="37"/>
  <c r="T204" i="37"/>
  <c r="T205" i="37"/>
  <c r="T206" i="37"/>
  <c r="T207" i="37"/>
  <c r="T208" i="37"/>
  <c r="T209" i="37"/>
  <c r="T210" i="37"/>
  <c r="T211" i="37"/>
  <c r="T212" i="37"/>
  <c r="T213" i="37"/>
  <c r="C12" i="37"/>
  <c r="B12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I83" i="37"/>
  <c r="I84" i="37"/>
  <c r="I85" i="37"/>
  <c r="I86" i="37"/>
  <c r="I87" i="37"/>
  <c r="I88" i="37"/>
  <c r="I89" i="37"/>
  <c r="I90" i="37"/>
  <c r="I91" i="37"/>
  <c r="I92" i="37"/>
  <c r="I93" i="37"/>
  <c r="I94" i="37"/>
  <c r="I95" i="37"/>
  <c r="I96" i="37"/>
  <c r="I97" i="37"/>
  <c r="I98" i="37"/>
  <c r="I99" i="37"/>
  <c r="I100" i="37"/>
  <c r="I101" i="37"/>
  <c r="I102" i="37"/>
  <c r="I103" i="37"/>
  <c r="I104" i="37"/>
  <c r="I105" i="37"/>
  <c r="I106" i="37"/>
  <c r="I107" i="37"/>
  <c r="I108" i="37"/>
  <c r="I109" i="37"/>
  <c r="I110" i="37"/>
  <c r="I111" i="37"/>
  <c r="I112" i="37"/>
  <c r="I113" i="37"/>
  <c r="I114" i="37"/>
  <c r="I115" i="37"/>
  <c r="I116" i="37"/>
  <c r="I117" i="37"/>
  <c r="I118" i="37"/>
  <c r="I119" i="37"/>
  <c r="I120" i="37"/>
  <c r="I121" i="37"/>
  <c r="I122" i="37"/>
  <c r="I123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G104" i="37"/>
  <c r="G105" i="37"/>
  <c r="G106" i="37"/>
  <c r="G107" i="37"/>
  <c r="G108" i="37"/>
  <c r="G109" i="37"/>
  <c r="G110" i="37"/>
  <c r="G111" i="37"/>
  <c r="G112" i="37"/>
  <c r="G113" i="37"/>
  <c r="G114" i="37"/>
  <c r="G115" i="37"/>
  <c r="G116" i="37"/>
  <c r="G117" i="37"/>
  <c r="G118" i="37"/>
  <c r="G119" i="37"/>
  <c r="G120" i="37"/>
  <c r="G121" i="37"/>
  <c r="G122" i="37"/>
  <c r="G123" i="37"/>
  <c r="E12" i="37"/>
  <c r="E123" i="37"/>
  <c r="B5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18" i="36"/>
  <c r="D219" i="36"/>
  <c r="D220" i="36"/>
  <c r="D221" i="36"/>
  <c r="D222" i="36"/>
  <c r="D223" i="36"/>
  <c r="D224" i="36"/>
  <c r="D225" i="36"/>
  <c r="D226" i="36"/>
  <c r="D227" i="36"/>
  <c r="D228" i="36"/>
  <c r="D229" i="36"/>
  <c r="D230" i="36"/>
  <c r="D231" i="36"/>
  <c r="D232" i="36"/>
  <c r="D233" i="36"/>
  <c r="D234" i="36"/>
  <c r="D235" i="36"/>
  <c r="D236" i="36"/>
  <c r="D237" i="36"/>
  <c r="D238" i="36"/>
  <c r="D239" i="36"/>
  <c r="D240" i="36"/>
  <c r="D241" i="36"/>
  <c r="D242" i="36"/>
  <c r="D243" i="36"/>
  <c r="D244" i="36"/>
  <c r="D245" i="36"/>
  <c r="D246" i="36"/>
  <c r="D247" i="36"/>
  <c r="D248" i="36"/>
  <c r="D249" i="36"/>
  <c r="D250" i="36"/>
  <c r="D251" i="36"/>
  <c r="D252" i="36"/>
  <c r="D253" i="36"/>
  <c r="D254" i="36"/>
  <c r="D255" i="36"/>
  <c r="D256" i="36"/>
  <c r="D257" i="36"/>
  <c r="D258" i="36"/>
  <c r="D259" i="36"/>
  <c r="D260" i="36"/>
  <c r="D261" i="36"/>
  <c r="D262" i="36"/>
  <c r="D263" i="36"/>
  <c r="D264" i="36"/>
  <c r="D265" i="36"/>
  <c r="D266" i="36"/>
  <c r="D267" i="36"/>
  <c r="D268" i="36"/>
  <c r="D269" i="36"/>
  <c r="D270" i="36"/>
  <c r="D271" i="36"/>
  <c r="D272" i="36"/>
  <c r="D273" i="36"/>
  <c r="D274" i="36"/>
  <c r="D275" i="36"/>
  <c r="D276" i="36"/>
  <c r="D277" i="36"/>
  <c r="D278" i="36"/>
  <c r="D279" i="36"/>
  <c r="D280" i="36"/>
  <c r="D281" i="36"/>
  <c r="D282" i="36"/>
  <c r="D283" i="36"/>
  <c r="D284" i="36"/>
  <c r="D285" i="36"/>
  <c r="D286" i="36"/>
  <c r="D287" i="36"/>
  <c r="D288" i="36"/>
  <c r="D289" i="36"/>
  <c r="D290" i="36"/>
  <c r="D291" i="36"/>
  <c r="D292" i="36"/>
  <c r="D293" i="36"/>
  <c r="D294" i="36"/>
  <c r="D295" i="36"/>
  <c r="D296" i="36"/>
  <c r="D297" i="36"/>
  <c r="D298" i="36"/>
  <c r="D299" i="36"/>
  <c r="D300" i="36"/>
  <c r="D301" i="36"/>
  <c r="D302" i="36"/>
  <c r="D303" i="36"/>
  <c r="D304" i="36"/>
  <c r="D305" i="36"/>
  <c r="D306" i="36"/>
  <c r="D307" i="36"/>
  <c r="D308" i="36"/>
  <c r="D309" i="36"/>
  <c r="D310" i="36"/>
  <c r="D311" i="36"/>
  <c r="D312" i="36"/>
  <c r="D313" i="36"/>
  <c r="D314" i="36"/>
  <c r="D315" i="36"/>
  <c r="D316" i="36"/>
  <c r="D317" i="36"/>
  <c r="D318" i="36"/>
  <c r="D319" i="36"/>
  <c r="D320" i="36"/>
  <c r="D321" i="36"/>
  <c r="D322" i="36"/>
  <c r="D323" i="36"/>
  <c r="D324" i="36"/>
  <c r="D325" i="36"/>
  <c r="D326" i="36"/>
  <c r="D327" i="36"/>
  <c r="D328" i="36"/>
  <c r="D329" i="36"/>
  <c r="D330" i="36"/>
  <c r="D331" i="36"/>
  <c r="D332" i="36"/>
  <c r="D333" i="36"/>
  <c r="D334" i="36"/>
  <c r="D335" i="36"/>
  <c r="D336" i="36"/>
  <c r="D337" i="36"/>
  <c r="D338" i="36"/>
  <c r="D339" i="36"/>
  <c r="D340" i="36"/>
  <c r="D341" i="36"/>
  <c r="D342" i="36"/>
  <c r="D343" i="36"/>
  <c r="D344" i="36"/>
  <c r="D345" i="36"/>
  <c r="D346" i="36"/>
  <c r="D347" i="36"/>
  <c r="D348" i="36"/>
  <c r="D349" i="36"/>
  <c r="D350" i="36"/>
  <c r="D351" i="36"/>
  <c r="D352" i="36"/>
  <c r="D353" i="36"/>
  <c r="D354" i="36"/>
  <c r="D355" i="36"/>
  <c r="D356" i="36"/>
  <c r="D357" i="36"/>
  <c r="D358" i="36"/>
  <c r="D359" i="36"/>
  <c r="D360" i="36"/>
  <c r="D361" i="36"/>
  <c r="D362" i="36"/>
  <c r="D363" i="36"/>
  <c r="D364" i="36"/>
  <c r="D365" i="36"/>
  <c r="D366" i="36"/>
  <c r="D367" i="36"/>
  <c r="D368" i="36"/>
  <c r="D369" i="36"/>
  <c r="D370" i="36"/>
  <c r="D371" i="36"/>
  <c r="D372" i="36"/>
  <c r="D373" i="36"/>
  <c r="D374" i="36"/>
  <c r="D375" i="36"/>
  <c r="D376" i="36"/>
  <c r="D377" i="36"/>
  <c r="D378" i="36"/>
  <c r="D379" i="36"/>
  <c r="D380" i="36"/>
  <c r="D381" i="36"/>
  <c r="D382" i="36"/>
  <c r="D383" i="36"/>
  <c r="D384" i="36"/>
  <c r="D385" i="36"/>
  <c r="D386" i="36"/>
  <c r="D387" i="36"/>
  <c r="D388" i="36"/>
  <c r="D389" i="36"/>
  <c r="D390" i="36"/>
  <c r="D391" i="36"/>
  <c r="D392" i="36"/>
  <c r="D393" i="36"/>
  <c r="D394" i="36"/>
  <c r="D395" i="36"/>
  <c r="D396" i="36"/>
  <c r="D397" i="36"/>
  <c r="D398" i="36"/>
  <c r="D399" i="36"/>
  <c r="D400" i="36"/>
  <c r="D401" i="36"/>
  <c r="D402" i="36"/>
  <c r="D403" i="36"/>
  <c r="D404" i="36"/>
  <c r="D405" i="36"/>
  <c r="D406" i="36"/>
  <c r="D407" i="36"/>
  <c r="D408" i="36"/>
  <c r="D409" i="36"/>
  <c r="D410" i="36"/>
  <c r="D411" i="36"/>
  <c r="B7" i="36"/>
  <c r="B410" i="36"/>
  <c r="C410" i="36"/>
  <c r="B411" i="36"/>
  <c r="C411" i="36"/>
  <c r="B12" i="36"/>
  <c r="C12" i="36"/>
  <c r="B13" i="36"/>
  <c r="C13" i="36"/>
  <c r="B14" i="36"/>
  <c r="C14" i="36"/>
  <c r="B15" i="36"/>
  <c r="C15" i="36"/>
  <c r="B16" i="36"/>
  <c r="C16" i="36"/>
  <c r="B17" i="36"/>
  <c r="C17" i="36"/>
  <c r="B18" i="36"/>
  <c r="C18" i="36"/>
  <c r="B19" i="36"/>
  <c r="C19" i="36"/>
  <c r="B20" i="36"/>
  <c r="C20" i="36"/>
  <c r="B21" i="36"/>
  <c r="C21" i="36"/>
  <c r="B22" i="36"/>
  <c r="C22" i="36"/>
  <c r="B23" i="36"/>
  <c r="C23" i="36"/>
  <c r="B24" i="36"/>
  <c r="C24" i="36"/>
  <c r="B25" i="36"/>
  <c r="C25" i="36"/>
  <c r="B26" i="36"/>
  <c r="C26" i="36"/>
  <c r="B27" i="36"/>
  <c r="C27" i="36"/>
  <c r="B28" i="36"/>
  <c r="C28" i="36"/>
  <c r="B29" i="36"/>
  <c r="C29" i="36"/>
  <c r="B30" i="36"/>
  <c r="C30" i="36"/>
  <c r="B31" i="36"/>
  <c r="C31" i="36"/>
  <c r="B32" i="36"/>
  <c r="C32" i="36"/>
  <c r="B33" i="36"/>
  <c r="C33" i="36"/>
  <c r="B34" i="36"/>
  <c r="C34" i="36"/>
  <c r="B35" i="36"/>
  <c r="C35" i="36"/>
  <c r="B36" i="36"/>
  <c r="C36" i="36"/>
  <c r="B37" i="36"/>
  <c r="C37" i="36"/>
  <c r="B38" i="36"/>
  <c r="C38" i="36"/>
  <c r="B39" i="36"/>
  <c r="C39" i="36"/>
  <c r="B40" i="36"/>
  <c r="C40" i="36"/>
  <c r="B41" i="36"/>
  <c r="C41" i="36"/>
  <c r="B42" i="36"/>
  <c r="C42" i="36"/>
  <c r="B43" i="36"/>
  <c r="C43" i="36"/>
  <c r="B44" i="36"/>
  <c r="C44" i="36"/>
  <c r="B45" i="36"/>
  <c r="C45" i="36"/>
  <c r="B46" i="36"/>
  <c r="C46" i="36"/>
  <c r="B47" i="36"/>
  <c r="C47" i="36"/>
  <c r="B48" i="36"/>
  <c r="C48" i="36"/>
  <c r="B49" i="36"/>
  <c r="C49" i="36"/>
  <c r="B50" i="36"/>
  <c r="C50" i="36"/>
  <c r="B51" i="36"/>
  <c r="C51" i="36"/>
  <c r="B52" i="36"/>
  <c r="C52" i="36"/>
  <c r="B53" i="36"/>
  <c r="C53" i="36"/>
  <c r="B54" i="36"/>
  <c r="C54" i="36"/>
  <c r="B55" i="36"/>
  <c r="C55" i="36"/>
  <c r="B56" i="36"/>
  <c r="C56" i="36"/>
  <c r="B57" i="36"/>
  <c r="C57" i="36"/>
  <c r="B58" i="36"/>
  <c r="C58" i="36"/>
  <c r="B59" i="36"/>
  <c r="C59" i="36"/>
  <c r="B60" i="36"/>
  <c r="C60" i="36"/>
  <c r="B61" i="36"/>
  <c r="C61" i="36"/>
  <c r="B62" i="36"/>
  <c r="C62" i="36"/>
  <c r="B63" i="36"/>
  <c r="C63" i="36"/>
  <c r="B64" i="36"/>
  <c r="C64" i="36"/>
  <c r="B65" i="36"/>
  <c r="C65" i="36"/>
  <c r="B66" i="36"/>
  <c r="C66" i="36"/>
  <c r="B67" i="36"/>
  <c r="C67" i="36"/>
  <c r="B68" i="36"/>
  <c r="C68" i="36"/>
  <c r="B69" i="36"/>
  <c r="C69" i="36"/>
  <c r="B70" i="36"/>
  <c r="C70" i="36"/>
  <c r="B71" i="36"/>
  <c r="C71" i="36"/>
  <c r="B72" i="36"/>
  <c r="C72" i="36"/>
  <c r="B73" i="36"/>
  <c r="C73" i="36"/>
  <c r="B74" i="36"/>
  <c r="C74" i="36"/>
  <c r="B75" i="36"/>
  <c r="C75" i="36"/>
  <c r="B76" i="36"/>
  <c r="C76" i="36"/>
  <c r="B77" i="36"/>
  <c r="C77" i="36"/>
  <c r="B78" i="36"/>
  <c r="C78" i="36"/>
  <c r="B79" i="36"/>
  <c r="C79" i="36"/>
  <c r="B80" i="36"/>
  <c r="C80" i="36"/>
  <c r="B81" i="36"/>
  <c r="C81" i="36"/>
  <c r="B82" i="36"/>
  <c r="C82" i="36"/>
  <c r="B83" i="36"/>
  <c r="C83" i="36"/>
  <c r="B84" i="36"/>
  <c r="C84" i="36"/>
  <c r="B85" i="36"/>
  <c r="C85" i="36"/>
  <c r="B86" i="36"/>
  <c r="C86" i="36"/>
  <c r="B87" i="36"/>
  <c r="C87" i="36"/>
  <c r="B88" i="36"/>
  <c r="C88" i="36"/>
  <c r="B89" i="36"/>
  <c r="C89" i="36"/>
  <c r="B90" i="36"/>
  <c r="C90" i="36"/>
  <c r="B91" i="36"/>
  <c r="C91" i="36"/>
  <c r="B92" i="36"/>
  <c r="C92" i="36"/>
  <c r="B93" i="36"/>
  <c r="C93" i="36"/>
  <c r="B94" i="36"/>
  <c r="C94" i="36"/>
  <c r="B95" i="36"/>
  <c r="C95" i="36"/>
  <c r="B96" i="36"/>
  <c r="C96" i="36"/>
  <c r="B97" i="36"/>
  <c r="C97" i="36"/>
  <c r="B98" i="36"/>
  <c r="C98" i="36"/>
  <c r="B99" i="36"/>
  <c r="C99" i="36"/>
  <c r="B100" i="36"/>
  <c r="C100" i="36"/>
  <c r="B101" i="36"/>
  <c r="C101" i="36"/>
  <c r="B102" i="36"/>
  <c r="C102" i="36"/>
  <c r="B103" i="36"/>
  <c r="C103" i="36"/>
  <c r="B104" i="36"/>
  <c r="C104" i="36"/>
  <c r="B105" i="36"/>
  <c r="C105" i="36"/>
  <c r="B106" i="36"/>
  <c r="C106" i="36"/>
  <c r="B107" i="36"/>
  <c r="C107" i="36"/>
  <c r="B108" i="36"/>
  <c r="C108" i="36"/>
  <c r="B109" i="36"/>
  <c r="C109" i="36"/>
  <c r="B110" i="36"/>
  <c r="C110" i="36"/>
  <c r="B111" i="36"/>
  <c r="C111" i="36"/>
  <c r="B112" i="36"/>
  <c r="C112" i="36"/>
  <c r="B113" i="36"/>
  <c r="C113" i="36"/>
  <c r="B114" i="36"/>
  <c r="C114" i="36"/>
  <c r="B115" i="36"/>
  <c r="C115" i="36"/>
  <c r="B116" i="36"/>
  <c r="C116" i="36"/>
  <c r="B117" i="36"/>
  <c r="C117" i="36"/>
  <c r="B118" i="36"/>
  <c r="C118" i="36"/>
  <c r="B119" i="36"/>
  <c r="C119" i="36"/>
  <c r="B120" i="36"/>
  <c r="C120" i="36"/>
  <c r="B121" i="36"/>
  <c r="C121" i="36"/>
  <c r="B122" i="36"/>
  <c r="C122" i="36"/>
  <c r="B123" i="36"/>
  <c r="C123" i="36"/>
  <c r="B124" i="36"/>
  <c r="C124" i="36"/>
  <c r="B125" i="36"/>
  <c r="C125" i="36"/>
  <c r="B126" i="36"/>
  <c r="C126" i="36"/>
  <c r="B127" i="36"/>
  <c r="C127" i="36"/>
  <c r="B128" i="36"/>
  <c r="C128" i="36"/>
  <c r="B129" i="36"/>
  <c r="C129" i="36"/>
  <c r="B130" i="36"/>
  <c r="C130" i="36"/>
  <c r="B131" i="36"/>
  <c r="C131" i="36"/>
  <c r="B132" i="36"/>
  <c r="C132" i="36"/>
  <c r="B133" i="36"/>
  <c r="C133" i="36"/>
  <c r="B134" i="36"/>
  <c r="C134" i="36"/>
  <c r="B135" i="36"/>
  <c r="C135" i="36"/>
  <c r="B136" i="36"/>
  <c r="C136" i="36"/>
  <c r="B137" i="36"/>
  <c r="C137" i="36"/>
  <c r="B138" i="36"/>
  <c r="C138" i="36"/>
  <c r="B139" i="36"/>
  <c r="C139" i="36"/>
  <c r="B140" i="36"/>
  <c r="C140" i="36"/>
  <c r="B141" i="36"/>
  <c r="C141" i="36"/>
  <c r="B142" i="36"/>
  <c r="C142" i="36"/>
  <c r="B143" i="36"/>
  <c r="C143" i="36"/>
  <c r="B144" i="36"/>
  <c r="C144" i="36"/>
  <c r="B145" i="36"/>
  <c r="C145" i="36"/>
  <c r="B146" i="36"/>
  <c r="C146" i="36"/>
  <c r="B147" i="36"/>
  <c r="C147" i="36"/>
  <c r="B148" i="36"/>
  <c r="C148" i="36"/>
  <c r="B149" i="36"/>
  <c r="C149" i="36"/>
  <c r="B150" i="36"/>
  <c r="C150" i="36"/>
  <c r="B151" i="36"/>
  <c r="C151" i="36"/>
  <c r="B152" i="36"/>
  <c r="C152" i="36"/>
  <c r="B153" i="36"/>
  <c r="C153" i="36"/>
  <c r="B154" i="36"/>
  <c r="C154" i="36"/>
  <c r="B155" i="36"/>
  <c r="C155" i="36"/>
  <c r="B156" i="36"/>
  <c r="C156" i="36"/>
  <c r="B157" i="36"/>
  <c r="C157" i="36"/>
  <c r="B158" i="36"/>
  <c r="C158" i="36"/>
  <c r="B159" i="36"/>
  <c r="C159" i="36"/>
  <c r="B160" i="36"/>
  <c r="C160" i="36"/>
  <c r="B161" i="36"/>
  <c r="C161" i="36"/>
  <c r="B162" i="36"/>
  <c r="C162" i="36"/>
  <c r="B163" i="36"/>
  <c r="C163" i="36"/>
  <c r="B164" i="36"/>
  <c r="C164" i="36"/>
  <c r="B165" i="36"/>
  <c r="C165" i="36"/>
  <c r="B166" i="36"/>
  <c r="C166" i="36"/>
  <c r="B167" i="36"/>
  <c r="C167" i="36"/>
  <c r="B168" i="36"/>
  <c r="C168" i="36"/>
  <c r="B169" i="36"/>
  <c r="C169" i="36"/>
  <c r="B170" i="36"/>
  <c r="C170" i="36"/>
  <c r="B171" i="36"/>
  <c r="C171" i="36"/>
  <c r="B172" i="36"/>
  <c r="C172" i="36"/>
  <c r="B173" i="36"/>
  <c r="C173" i="36"/>
  <c r="B174" i="36"/>
  <c r="C174" i="36"/>
  <c r="B175" i="36"/>
  <c r="C175" i="36"/>
  <c r="B176" i="36"/>
  <c r="C176" i="36"/>
  <c r="B177" i="36"/>
  <c r="C177" i="36"/>
  <c r="B178" i="36"/>
  <c r="C178" i="36"/>
  <c r="B179" i="36"/>
  <c r="C179" i="36"/>
  <c r="B180" i="36"/>
  <c r="C180" i="36"/>
  <c r="B181" i="36"/>
  <c r="C181" i="36"/>
  <c r="B182" i="36"/>
  <c r="C182" i="36"/>
  <c r="B183" i="36"/>
  <c r="C183" i="36"/>
  <c r="B184" i="36"/>
  <c r="C184" i="36"/>
  <c r="B185" i="36"/>
  <c r="C185" i="36"/>
  <c r="B186" i="36"/>
  <c r="C186" i="36"/>
  <c r="B187" i="36"/>
  <c r="C187" i="36"/>
  <c r="B188" i="36"/>
  <c r="C188" i="36"/>
  <c r="B189" i="36"/>
  <c r="C189" i="36"/>
  <c r="B190" i="36"/>
  <c r="C190" i="36"/>
  <c r="B191" i="36"/>
  <c r="C191" i="36"/>
  <c r="B192" i="36"/>
  <c r="C192" i="36"/>
  <c r="B193" i="36"/>
  <c r="C193" i="36"/>
  <c r="B194" i="36"/>
  <c r="C194" i="36"/>
  <c r="B195" i="36"/>
  <c r="C195" i="36"/>
  <c r="B196" i="36"/>
  <c r="C196" i="36"/>
  <c r="B197" i="36"/>
  <c r="C197" i="36"/>
  <c r="B198" i="36"/>
  <c r="C198" i="36"/>
  <c r="B199" i="36"/>
  <c r="C199" i="36"/>
  <c r="B200" i="36"/>
  <c r="C200" i="36"/>
  <c r="B201" i="36"/>
  <c r="C201" i="36"/>
  <c r="B202" i="36"/>
  <c r="C202" i="36"/>
  <c r="B203" i="36"/>
  <c r="C203" i="36"/>
  <c r="B204" i="36"/>
  <c r="C204" i="36"/>
  <c r="B205" i="36"/>
  <c r="C205" i="36"/>
  <c r="B206" i="36"/>
  <c r="C206" i="36"/>
  <c r="B207" i="36"/>
  <c r="C207" i="36"/>
  <c r="B208" i="36"/>
  <c r="C208" i="36"/>
  <c r="B209" i="36"/>
  <c r="C209" i="36"/>
  <c r="B210" i="36"/>
  <c r="C210" i="36"/>
  <c r="B211" i="36"/>
  <c r="C211" i="36"/>
  <c r="B212" i="36"/>
  <c r="C212" i="36"/>
  <c r="B213" i="36"/>
  <c r="C213" i="36"/>
  <c r="B214" i="36"/>
  <c r="C214" i="36"/>
  <c r="B215" i="36"/>
  <c r="C215" i="36"/>
  <c r="B216" i="36"/>
  <c r="C216" i="36"/>
  <c r="B217" i="36"/>
  <c r="C217" i="36"/>
  <c r="B218" i="36"/>
  <c r="C218" i="36"/>
  <c r="B219" i="36"/>
  <c r="C219" i="36"/>
  <c r="B220" i="36"/>
  <c r="C220" i="36"/>
  <c r="B221" i="36"/>
  <c r="C221" i="36"/>
  <c r="B222" i="36"/>
  <c r="C222" i="36"/>
  <c r="B223" i="36"/>
  <c r="C223" i="36"/>
  <c r="B224" i="36"/>
  <c r="C224" i="36"/>
  <c r="B225" i="36"/>
  <c r="C225" i="36"/>
  <c r="B226" i="36"/>
  <c r="C226" i="36"/>
  <c r="B227" i="36"/>
  <c r="C227" i="36"/>
  <c r="B228" i="36"/>
  <c r="C228" i="36"/>
  <c r="B229" i="36"/>
  <c r="C229" i="36"/>
  <c r="B230" i="36"/>
  <c r="C230" i="36"/>
  <c r="B231" i="36"/>
  <c r="C231" i="36"/>
  <c r="B232" i="36"/>
  <c r="C232" i="36"/>
  <c r="B233" i="36"/>
  <c r="C233" i="36"/>
  <c r="B234" i="36"/>
  <c r="C234" i="36"/>
  <c r="B235" i="36"/>
  <c r="C235" i="36"/>
  <c r="B236" i="36"/>
  <c r="C236" i="36"/>
  <c r="B237" i="36"/>
  <c r="C237" i="36"/>
  <c r="B238" i="36"/>
  <c r="C238" i="36"/>
  <c r="B239" i="36"/>
  <c r="C239" i="36"/>
  <c r="B240" i="36"/>
  <c r="C240" i="36"/>
  <c r="B241" i="36"/>
  <c r="C241" i="36"/>
  <c r="B242" i="36"/>
  <c r="C242" i="36"/>
  <c r="B243" i="36"/>
  <c r="C243" i="36"/>
  <c r="B244" i="36"/>
  <c r="C244" i="36"/>
  <c r="B245" i="36"/>
  <c r="C245" i="36"/>
  <c r="B246" i="36"/>
  <c r="C246" i="36"/>
  <c r="B247" i="36"/>
  <c r="C247" i="36"/>
  <c r="B248" i="36"/>
  <c r="C248" i="36"/>
  <c r="B249" i="36"/>
  <c r="C249" i="36"/>
  <c r="B250" i="36"/>
  <c r="C250" i="36"/>
  <c r="B251" i="36"/>
  <c r="C251" i="36"/>
  <c r="B252" i="36"/>
  <c r="C252" i="36"/>
  <c r="B253" i="36"/>
  <c r="C253" i="36"/>
  <c r="B254" i="36"/>
  <c r="C254" i="36"/>
  <c r="B255" i="36"/>
  <c r="C255" i="36"/>
  <c r="B256" i="36"/>
  <c r="C256" i="36"/>
  <c r="B257" i="36"/>
  <c r="C257" i="36"/>
  <c r="B258" i="36"/>
  <c r="C258" i="36"/>
  <c r="B259" i="36"/>
  <c r="C259" i="36"/>
  <c r="B260" i="36"/>
  <c r="C260" i="36"/>
  <c r="B261" i="36"/>
  <c r="C261" i="36"/>
  <c r="B262" i="36"/>
  <c r="C262" i="36"/>
  <c r="B263" i="36"/>
  <c r="C263" i="36"/>
  <c r="B264" i="36"/>
  <c r="C264" i="36"/>
  <c r="B265" i="36"/>
  <c r="C265" i="36"/>
  <c r="B266" i="36"/>
  <c r="C266" i="36"/>
  <c r="B267" i="36"/>
  <c r="C267" i="36"/>
  <c r="B268" i="36"/>
  <c r="C268" i="36"/>
  <c r="B269" i="36"/>
  <c r="C269" i="36"/>
  <c r="B270" i="36"/>
  <c r="C270" i="36"/>
  <c r="B271" i="36"/>
  <c r="C271" i="36"/>
  <c r="B272" i="36"/>
  <c r="C272" i="36"/>
  <c r="B273" i="36"/>
  <c r="C273" i="36"/>
  <c r="B274" i="36"/>
  <c r="C274" i="36"/>
  <c r="B275" i="36"/>
  <c r="C275" i="36"/>
  <c r="B276" i="36"/>
  <c r="C276" i="36"/>
  <c r="B277" i="36"/>
  <c r="C277" i="36"/>
  <c r="B278" i="36"/>
  <c r="C278" i="36"/>
  <c r="B279" i="36"/>
  <c r="C279" i="36"/>
  <c r="B280" i="36"/>
  <c r="C280" i="36"/>
  <c r="B281" i="36"/>
  <c r="C281" i="36"/>
  <c r="B282" i="36"/>
  <c r="C282" i="36"/>
  <c r="B283" i="36"/>
  <c r="C283" i="36"/>
  <c r="B284" i="36"/>
  <c r="C284" i="36"/>
  <c r="B285" i="36"/>
  <c r="C285" i="36"/>
  <c r="B286" i="36"/>
  <c r="C286" i="36"/>
  <c r="B287" i="36"/>
  <c r="C287" i="36"/>
  <c r="B288" i="36"/>
  <c r="C288" i="36"/>
  <c r="B289" i="36"/>
  <c r="C289" i="36"/>
  <c r="B290" i="36"/>
  <c r="C290" i="36"/>
  <c r="B291" i="36"/>
  <c r="C291" i="36"/>
  <c r="B292" i="36"/>
  <c r="C292" i="36"/>
  <c r="B293" i="36"/>
  <c r="C293" i="36"/>
  <c r="B294" i="36"/>
  <c r="C294" i="36"/>
  <c r="B295" i="36"/>
  <c r="C295" i="36"/>
  <c r="B296" i="36"/>
  <c r="C296" i="36"/>
  <c r="B297" i="36"/>
  <c r="C297" i="36"/>
  <c r="B298" i="36"/>
  <c r="C298" i="36"/>
  <c r="B299" i="36"/>
  <c r="C299" i="36"/>
  <c r="B300" i="36"/>
  <c r="C300" i="36"/>
  <c r="B301" i="36"/>
  <c r="C301" i="36"/>
  <c r="B302" i="36"/>
  <c r="C302" i="36"/>
  <c r="B303" i="36"/>
  <c r="C303" i="36"/>
  <c r="B304" i="36"/>
  <c r="C304" i="36"/>
  <c r="B305" i="36"/>
  <c r="C305" i="36"/>
  <c r="B306" i="36"/>
  <c r="C306" i="36"/>
  <c r="B307" i="36"/>
  <c r="C307" i="36"/>
  <c r="B308" i="36"/>
  <c r="C308" i="36"/>
  <c r="B309" i="36"/>
  <c r="C309" i="36"/>
  <c r="B310" i="36"/>
  <c r="C310" i="36"/>
  <c r="B311" i="36"/>
  <c r="C311" i="36"/>
  <c r="B312" i="36"/>
  <c r="C312" i="36"/>
  <c r="B313" i="36"/>
  <c r="C313" i="36"/>
  <c r="B314" i="36"/>
  <c r="C314" i="36"/>
  <c r="B315" i="36"/>
  <c r="C315" i="36"/>
  <c r="B316" i="36"/>
  <c r="C316" i="36"/>
  <c r="B317" i="36"/>
  <c r="C317" i="36"/>
  <c r="B318" i="36"/>
  <c r="C318" i="36"/>
  <c r="B319" i="36"/>
  <c r="C319" i="36"/>
  <c r="B320" i="36"/>
  <c r="C320" i="36"/>
  <c r="B321" i="36"/>
  <c r="C321" i="36"/>
  <c r="B322" i="36"/>
  <c r="C322" i="36"/>
  <c r="B323" i="36"/>
  <c r="C323" i="36"/>
  <c r="B324" i="36"/>
  <c r="C324" i="36"/>
  <c r="B325" i="36"/>
  <c r="C325" i="36"/>
  <c r="B326" i="36"/>
  <c r="C326" i="36"/>
  <c r="B327" i="36"/>
  <c r="C327" i="36"/>
  <c r="B328" i="36"/>
  <c r="C328" i="36"/>
  <c r="B329" i="36"/>
  <c r="C329" i="36"/>
  <c r="B330" i="36"/>
  <c r="C330" i="36"/>
  <c r="B331" i="36"/>
  <c r="C331" i="36"/>
  <c r="B332" i="36"/>
  <c r="C332" i="36"/>
  <c r="B333" i="36"/>
  <c r="C333" i="36"/>
  <c r="B334" i="36"/>
  <c r="C334" i="36"/>
  <c r="B335" i="36"/>
  <c r="C335" i="36"/>
  <c r="B336" i="36"/>
  <c r="C336" i="36"/>
  <c r="B337" i="36"/>
  <c r="C337" i="36"/>
  <c r="B338" i="36"/>
  <c r="C338" i="36"/>
  <c r="B339" i="36"/>
  <c r="C339" i="36"/>
  <c r="B340" i="36"/>
  <c r="C340" i="36"/>
  <c r="B341" i="36"/>
  <c r="C341" i="36"/>
  <c r="B342" i="36"/>
  <c r="C342" i="36"/>
  <c r="B343" i="36"/>
  <c r="C343" i="36"/>
  <c r="B344" i="36"/>
  <c r="C344" i="36"/>
  <c r="B345" i="36"/>
  <c r="C345" i="36"/>
  <c r="B346" i="36"/>
  <c r="C346" i="36"/>
  <c r="B347" i="36"/>
  <c r="C347" i="36"/>
  <c r="B348" i="36"/>
  <c r="C348" i="36"/>
  <c r="B349" i="36"/>
  <c r="C349" i="36"/>
  <c r="B350" i="36"/>
  <c r="C350" i="36"/>
  <c r="B351" i="36"/>
  <c r="C351" i="36"/>
  <c r="B352" i="36"/>
  <c r="C352" i="36"/>
  <c r="B353" i="36"/>
  <c r="C353" i="36"/>
  <c r="B354" i="36"/>
  <c r="C354" i="36"/>
  <c r="B355" i="36"/>
  <c r="C355" i="36"/>
  <c r="B356" i="36"/>
  <c r="C356" i="36"/>
  <c r="B357" i="36"/>
  <c r="C357" i="36"/>
  <c r="B358" i="36"/>
  <c r="C358" i="36"/>
  <c r="B359" i="36"/>
  <c r="C359" i="36"/>
  <c r="B360" i="36"/>
  <c r="C360" i="36"/>
  <c r="B361" i="36"/>
  <c r="C361" i="36"/>
  <c r="B362" i="36"/>
  <c r="C362" i="36"/>
  <c r="B363" i="36"/>
  <c r="C363" i="36"/>
  <c r="B364" i="36"/>
  <c r="C364" i="36"/>
  <c r="B365" i="36"/>
  <c r="C365" i="36"/>
  <c r="B366" i="36"/>
  <c r="C366" i="36"/>
  <c r="B367" i="36"/>
  <c r="C367" i="36"/>
  <c r="B368" i="36"/>
  <c r="C368" i="36"/>
  <c r="B369" i="36"/>
  <c r="C369" i="36"/>
  <c r="B370" i="36"/>
  <c r="C370" i="36"/>
  <c r="B371" i="36"/>
  <c r="C371" i="36"/>
  <c r="B372" i="36"/>
  <c r="C372" i="36"/>
  <c r="B373" i="36"/>
  <c r="C373" i="36"/>
  <c r="B374" i="36"/>
  <c r="C374" i="36"/>
  <c r="B375" i="36"/>
  <c r="C375" i="36"/>
  <c r="B376" i="36"/>
  <c r="C376" i="36"/>
  <c r="B377" i="36"/>
  <c r="C377" i="36"/>
  <c r="B378" i="36"/>
  <c r="C378" i="36"/>
  <c r="B379" i="36"/>
  <c r="C379" i="36"/>
  <c r="B380" i="36"/>
  <c r="C380" i="36"/>
  <c r="B381" i="36"/>
  <c r="C381" i="36"/>
  <c r="B382" i="36"/>
  <c r="C382" i="36"/>
  <c r="B383" i="36"/>
  <c r="C383" i="36"/>
  <c r="B384" i="36"/>
  <c r="C384" i="36"/>
  <c r="B385" i="36"/>
  <c r="C385" i="36"/>
  <c r="B386" i="36"/>
  <c r="C386" i="36"/>
  <c r="B387" i="36"/>
  <c r="C387" i="36"/>
  <c r="B388" i="36"/>
  <c r="C388" i="36"/>
  <c r="B389" i="36"/>
  <c r="C389" i="36"/>
  <c r="B390" i="36"/>
  <c r="C390" i="36"/>
  <c r="B391" i="36"/>
  <c r="C391" i="36"/>
  <c r="B392" i="36"/>
  <c r="C392" i="36"/>
  <c r="B393" i="36"/>
  <c r="C393" i="36"/>
  <c r="B394" i="36"/>
  <c r="C394" i="36"/>
  <c r="B395" i="36"/>
  <c r="C395" i="36"/>
  <c r="B396" i="36"/>
  <c r="C396" i="36"/>
  <c r="B397" i="36"/>
  <c r="C397" i="36"/>
  <c r="B398" i="36"/>
  <c r="C398" i="36"/>
  <c r="B399" i="36"/>
  <c r="C399" i="36"/>
  <c r="B400" i="36"/>
  <c r="C400" i="36"/>
  <c r="B401" i="36"/>
  <c r="C401" i="36"/>
  <c r="B402" i="36"/>
  <c r="C402" i="36"/>
  <c r="B403" i="36"/>
  <c r="C403" i="36"/>
  <c r="B404" i="36"/>
  <c r="C404" i="36"/>
  <c r="B405" i="36"/>
  <c r="C405" i="36"/>
  <c r="B406" i="36"/>
  <c r="C406" i="36"/>
  <c r="B407" i="36"/>
  <c r="C407" i="36"/>
  <c r="B408" i="36"/>
  <c r="C408" i="36"/>
  <c r="B409" i="36"/>
  <c r="C409" i="36"/>
  <c r="D11" i="36"/>
  <c r="B11" i="36"/>
  <c r="C11" i="36"/>
  <c r="F11" i="36"/>
  <c r="F12" i="36"/>
  <c r="E13" i="36"/>
  <c r="F13" i="36"/>
  <c r="E14" i="36"/>
  <c r="F14" i="36"/>
  <c r="E15" i="36"/>
  <c r="F15" i="36"/>
  <c r="E16" i="36"/>
  <c r="F16" i="36"/>
  <c r="E17" i="36"/>
  <c r="F17" i="36"/>
  <c r="E18" i="36"/>
  <c r="F18" i="36"/>
  <c r="E19" i="36"/>
  <c r="F19" i="36"/>
  <c r="E20" i="36"/>
  <c r="F20" i="36"/>
  <c r="E21" i="36"/>
  <c r="F21" i="36"/>
  <c r="E22" i="36"/>
  <c r="F22" i="36"/>
  <c r="E23" i="36"/>
  <c r="F23" i="36"/>
  <c r="E24" i="36"/>
  <c r="F24" i="36"/>
  <c r="E25" i="36"/>
  <c r="F25" i="36"/>
  <c r="E26" i="36"/>
  <c r="F26" i="36"/>
  <c r="E27" i="36"/>
  <c r="F27" i="36"/>
  <c r="E28" i="36"/>
  <c r="F28" i="36"/>
  <c r="E29" i="36"/>
  <c r="F29" i="36"/>
  <c r="E30" i="36"/>
  <c r="F30" i="36"/>
  <c r="E31" i="36"/>
  <c r="F31" i="36"/>
  <c r="E32" i="36"/>
  <c r="F32" i="36"/>
  <c r="E33" i="36"/>
  <c r="F33" i="36"/>
  <c r="E34" i="36"/>
  <c r="F34" i="36"/>
  <c r="E35" i="36"/>
  <c r="F35" i="36"/>
  <c r="E36" i="36"/>
  <c r="F36" i="36"/>
  <c r="E37" i="36"/>
  <c r="F37" i="36"/>
  <c r="E38" i="36"/>
  <c r="F38" i="36"/>
  <c r="E39" i="36"/>
  <c r="F39" i="36"/>
  <c r="E40" i="36"/>
  <c r="F40" i="36"/>
  <c r="E41" i="36"/>
  <c r="F41" i="36"/>
  <c r="E42" i="36"/>
  <c r="F42" i="36"/>
  <c r="E43" i="36"/>
  <c r="F43" i="36"/>
  <c r="E44" i="36"/>
  <c r="F44" i="36"/>
  <c r="E45" i="36"/>
  <c r="F45" i="36"/>
  <c r="E46" i="36"/>
  <c r="F46" i="36"/>
  <c r="E47" i="36"/>
  <c r="F47" i="36"/>
  <c r="E48" i="36"/>
  <c r="F48" i="36"/>
  <c r="E49" i="36"/>
  <c r="F49" i="36"/>
  <c r="E50" i="36"/>
  <c r="F50" i="36"/>
  <c r="E51" i="36"/>
  <c r="F51" i="36"/>
  <c r="E52" i="36"/>
  <c r="F52" i="36"/>
  <c r="E53" i="36"/>
  <c r="F53" i="36"/>
  <c r="E54" i="36"/>
  <c r="F54" i="36"/>
  <c r="E55" i="36"/>
  <c r="F55" i="36"/>
  <c r="E56" i="36"/>
  <c r="F56" i="36"/>
  <c r="E57" i="36"/>
  <c r="F57" i="36"/>
  <c r="E58" i="36"/>
  <c r="F58" i="36"/>
  <c r="E59" i="36"/>
  <c r="F59" i="36"/>
  <c r="E60" i="36"/>
  <c r="F60" i="36"/>
  <c r="E61" i="36"/>
  <c r="F61" i="36"/>
  <c r="E62" i="36"/>
  <c r="F62" i="36"/>
  <c r="E63" i="36"/>
  <c r="F63" i="36"/>
  <c r="E64" i="36"/>
  <c r="F64" i="36"/>
  <c r="E65" i="36"/>
  <c r="F65" i="36"/>
  <c r="E66" i="36"/>
  <c r="F66" i="36"/>
  <c r="E67" i="36"/>
  <c r="F67" i="36"/>
  <c r="E68" i="36"/>
  <c r="F68" i="36"/>
  <c r="E69" i="36"/>
  <c r="F69" i="36"/>
  <c r="E70" i="36"/>
  <c r="F70" i="36"/>
  <c r="E71" i="36"/>
  <c r="F71" i="36"/>
  <c r="E72" i="36"/>
  <c r="F72" i="36"/>
  <c r="E73" i="36"/>
  <c r="F73" i="36"/>
  <c r="E74" i="36"/>
  <c r="F74" i="36"/>
  <c r="E75" i="36"/>
  <c r="F75" i="36"/>
  <c r="E76" i="36"/>
  <c r="F76" i="36"/>
  <c r="E77" i="36"/>
  <c r="F77" i="36"/>
  <c r="E78" i="36"/>
  <c r="F78" i="36"/>
  <c r="E79" i="36"/>
  <c r="F79" i="36"/>
  <c r="E80" i="36"/>
  <c r="F80" i="36"/>
  <c r="E81" i="36"/>
  <c r="F81" i="36"/>
  <c r="E82" i="36"/>
  <c r="F82" i="36"/>
  <c r="E83" i="36"/>
  <c r="F83" i="36"/>
  <c r="E84" i="36"/>
  <c r="F84" i="36"/>
  <c r="E85" i="36"/>
  <c r="F85" i="36"/>
  <c r="E86" i="36"/>
  <c r="F86" i="36"/>
  <c r="E87" i="36"/>
  <c r="F87" i="36"/>
  <c r="E88" i="36"/>
  <c r="F88" i="36"/>
  <c r="E89" i="36"/>
  <c r="F89" i="36"/>
  <c r="E90" i="36"/>
  <c r="F90" i="36"/>
  <c r="E91" i="36"/>
  <c r="F91" i="36"/>
  <c r="E92" i="36"/>
  <c r="F92" i="36"/>
  <c r="E93" i="36"/>
  <c r="F93" i="36"/>
  <c r="E94" i="36"/>
  <c r="F94" i="36"/>
  <c r="E95" i="36"/>
  <c r="F95" i="36"/>
  <c r="E96" i="36"/>
  <c r="F96" i="36"/>
  <c r="E97" i="36"/>
  <c r="F97" i="36"/>
  <c r="E98" i="36"/>
  <c r="F98" i="36"/>
  <c r="E99" i="36"/>
  <c r="F99" i="36"/>
  <c r="E100" i="36"/>
  <c r="F100" i="36"/>
  <c r="E101" i="36"/>
  <c r="F101" i="36"/>
  <c r="E102" i="36"/>
  <c r="F102" i="36"/>
  <c r="E103" i="36"/>
  <c r="F103" i="36"/>
  <c r="E104" i="36"/>
  <c r="F104" i="36"/>
  <c r="E105" i="36"/>
  <c r="F105" i="36"/>
  <c r="E106" i="36"/>
  <c r="F106" i="36"/>
  <c r="E107" i="36"/>
  <c r="F107" i="36"/>
  <c r="E108" i="36"/>
  <c r="F108" i="36"/>
  <c r="E109" i="36"/>
  <c r="F109" i="36"/>
  <c r="E110" i="36"/>
  <c r="F110" i="36"/>
  <c r="E111" i="36"/>
  <c r="F111" i="36"/>
  <c r="E112" i="36"/>
  <c r="F112" i="36"/>
  <c r="E113" i="36"/>
  <c r="F113" i="36"/>
  <c r="E114" i="36"/>
  <c r="F114" i="36"/>
  <c r="E115" i="36"/>
  <c r="F115" i="36"/>
  <c r="E116" i="36"/>
  <c r="F116" i="36"/>
  <c r="E117" i="36"/>
  <c r="F117" i="36"/>
  <c r="E118" i="36"/>
  <c r="F118" i="36"/>
  <c r="E119" i="36"/>
  <c r="F119" i="36"/>
  <c r="E120" i="36"/>
  <c r="F120" i="36"/>
  <c r="E121" i="36"/>
  <c r="F121" i="36"/>
  <c r="E122" i="36"/>
  <c r="F122" i="36"/>
  <c r="E123" i="36"/>
  <c r="F123" i="36"/>
  <c r="E124" i="36"/>
  <c r="F124" i="36"/>
  <c r="E125" i="36"/>
  <c r="F125" i="36"/>
  <c r="E126" i="36"/>
  <c r="F126" i="36"/>
  <c r="E127" i="36"/>
  <c r="F127" i="36"/>
  <c r="E128" i="36"/>
  <c r="F128" i="36"/>
  <c r="E129" i="36"/>
  <c r="F129" i="36"/>
  <c r="E130" i="36"/>
  <c r="F130" i="36"/>
  <c r="E131" i="36"/>
  <c r="F131" i="36"/>
  <c r="E132" i="36"/>
  <c r="F132" i="36"/>
  <c r="E133" i="36"/>
  <c r="F133" i="36"/>
  <c r="E134" i="36"/>
  <c r="F134" i="36"/>
  <c r="E135" i="36"/>
  <c r="F135" i="36"/>
  <c r="E136" i="36"/>
  <c r="F136" i="36"/>
  <c r="E137" i="36"/>
  <c r="F137" i="36"/>
  <c r="E138" i="36"/>
  <c r="F138" i="36"/>
  <c r="E139" i="36"/>
  <c r="F139" i="36"/>
  <c r="E140" i="36"/>
  <c r="F140" i="36"/>
  <c r="E141" i="36"/>
  <c r="F141" i="36"/>
  <c r="E142" i="36"/>
  <c r="F142" i="36"/>
  <c r="E143" i="36"/>
  <c r="F143" i="36"/>
  <c r="E144" i="36"/>
  <c r="F144" i="36"/>
  <c r="E145" i="36"/>
  <c r="F145" i="36"/>
  <c r="E146" i="36"/>
  <c r="F146" i="36"/>
  <c r="E147" i="36"/>
  <c r="F147" i="36"/>
  <c r="E148" i="36"/>
  <c r="F148" i="36"/>
  <c r="E149" i="36"/>
  <c r="F149" i="36"/>
  <c r="E150" i="36"/>
  <c r="F150" i="36"/>
  <c r="E151" i="36"/>
  <c r="F151" i="36"/>
  <c r="E152" i="36"/>
  <c r="F152" i="36"/>
  <c r="E153" i="36"/>
  <c r="F153" i="36"/>
  <c r="E154" i="36"/>
  <c r="F154" i="36"/>
  <c r="E155" i="36"/>
  <c r="F155" i="36"/>
  <c r="E156" i="36"/>
  <c r="F156" i="36"/>
  <c r="E157" i="36"/>
  <c r="F157" i="36"/>
  <c r="E158" i="36"/>
  <c r="F158" i="36"/>
  <c r="E159" i="36"/>
  <c r="F159" i="36"/>
  <c r="E160" i="36"/>
  <c r="F160" i="36"/>
  <c r="E161" i="36"/>
  <c r="F161" i="36"/>
  <c r="E162" i="36"/>
  <c r="F162" i="36"/>
  <c r="E163" i="36"/>
  <c r="F163" i="36"/>
  <c r="E164" i="36"/>
  <c r="F164" i="36"/>
  <c r="E165" i="36"/>
  <c r="F165" i="36"/>
  <c r="E166" i="36"/>
  <c r="F166" i="36"/>
  <c r="E167" i="36"/>
  <c r="F167" i="36"/>
  <c r="E168" i="36"/>
  <c r="F168" i="36"/>
  <c r="E169" i="36"/>
  <c r="F169" i="36"/>
  <c r="E170" i="36"/>
  <c r="F170" i="36"/>
  <c r="E171" i="36"/>
  <c r="F171" i="36"/>
  <c r="E172" i="36"/>
  <c r="F172" i="36"/>
  <c r="E173" i="36"/>
  <c r="F173" i="36"/>
  <c r="E174" i="36"/>
  <c r="F174" i="36"/>
  <c r="E175" i="36"/>
  <c r="F175" i="36"/>
  <c r="E176" i="36"/>
  <c r="F176" i="36"/>
  <c r="E177" i="36"/>
  <c r="F177" i="36"/>
  <c r="E178" i="36"/>
  <c r="F178" i="36"/>
  <c r="E179" i="36"/>
  <c r="F179" i="36"/>
  <c r="E180" i="36"/>
  <c r="F180" i="36"/>
  <c r="E181" i="36"/>
  <c r="F181" i="36"/>
  <c r="E182" i="36"/>
  <c r="F182" i="36"/>
  <c r="E183" i="36"/>
  <c r="F183" i="36"/>
  <c r="E184" i="36"/>
  <c r="F184" i="36"/>
  <c r="E185" i="36"/>
  <c r="F185" i="36"/>
  <c r="E186" i="36"/>
  <c r="F186" i="36"/>
  <c r="E187" i="36"/>
  <c r="F187" i="36"/>
  <c r="E188" i="36"/>
  <c r="F188" i="36"/>
  <c r="E189" i="36"/>
  <c r="F189" i="36"/>
  <c r="E190" i="36"/>
  <c r="F190" i="36"/>
  <c r="E191" i="36"/>
  <c r="F191" i="36"/>
  <c r="E192" i="36"/>
  <c r="F192" i="36"/>
  <c r="E193" i="36"/>
  <c r="F193" i="36"/>
  <c r="E194" i="36"/>
  <c r="F194" i="36"/>
  <c r="E195" i="36"/>
  <c r="F195" i="36"/>
  <c r="E196" i="36"/>
  <c r="F196" i="36"/>
  <c r="E197" i="36"/>
  <c r="F197" i="36"/>
  <c r="E198" i="36"/>
  <c r="F198" i="36"/>
  <c r="E199" i="36"/>
  <c r="F199" i="36"/>
  <c r="E200" i="36"/>
  <c r="F200" i="36"/>
  <c r="E201" i="36"/>
  <c r="F201" i="36"/>
  <c r="E202" i="36"/>
  <c r="F202" i="36"/>
  <c r="E203" i="36"/>
  <c r="F203" i="36"/>
  <c r="E204" i="36"/>
  <c r="F204" i="36"/>
  <c r="E205" i="36"/>
  <c r="F205" i="36"/>
  <c r="E206" i="36"/>
  <c r="F206" i="36"/>
  <c r="E207" i="36"/>
  <c r="F207" i="36"/>
  <c r="E208" i="36"/>
  <c r="F208" i="36"/>
  <c r="E209" i="36"/>
  <c r="F209" i="36"/>
  <c r="E210" i="36"/>
  <c r="F210" i="36"/>
  <c r="E211" i="36"/>
  <c r="F211" i="36"/>
  <c r="E212" i="36"/>
  <c r="F212" i="36"/>
  <c r="E213" i="36"/>
  <c r="F213" i="36"/>
  <c r="E214" i="36"/>
  <c r="F214" i="36"/>
  <c r="E215" i="36"/>
  <c r="F215" i="36"/>
  <c r="E216" i="36"/>
  <c r="F216" i="36"/>
  <c r="E217" i="36"/>
  <c r="F217" i="36"/>
  <c r="E218" i="36"/>
  <c r="F218" i="36"/>
  <c r="E219" i="36"/>
  <c r="F219" i="36"/>
  <c r="E220" i="36"/>
  <c r="F220" i="36"/>
  <c r="E221" i="36"/>
  <c r="F221" i="36"/>
  <c r="E222" i="36"/>
  <c r="F222" i="36"/>
  <c r="E223" i="36"/>
  <c r="F223" i="36"/>
  <c r="E224" i="36"/>
  <c r="F224" i="36"/>
  <c r="E225" i="36"/>
  <c r="F225" i="36"/>
  <c r="E226" i="36"/>
  <c r="F226" i="36"/>
  <c r="E227" i="36"/>
  <c r="F227" i="36"/>
  <c r="E228" i="36"/>
  <c r="F228" i="36"/>
  <c r="E229" i="36"/>
  <c r="F229" i="36"/>
  <c r="E230" i="36"/>
  <c r="F230" i="36"/>
  <c r="E231" i="36"/>
  <c r="F231" i="36"/>
  <c r="E232" i="36"/>
  <c r="F232" i="36"/>
  <c r="E233" i="36"/>
  <c r="F233" i="36"/>
  <c r="E234" i="36"/>
  <c r="F234" i="36"/>
  <c r="E235" i="36"/>
  <c r="F235" i="36"/>
  <c r="E236" i="36"/>
  <c r="F236" i="36"/>
  <c r="E237" i="36"/>
  <c r="F237" i="36"/>
  <c r="E238" i="36"/>
  <c r="F238" i="36"/>
  <c r="E239" i="36"/>
  <c r="F239" i="36"/>
  <c r="E240" i="36"/>
  <c r="F240" i="36"/>
  <c r="E241" i="36"/>
  <c r="F241" i="36"/>
  <c r="E242" i="36"/>
  <c r="F242" i="36"/>
  <c r="E243" i="36"/>
  <c r="F243" i="36"/>
  <c r="E244" i="36"/>
  <c r="F244" i="36"/>
  <c r="E245" i="36"/>
  <c r="F245" i="36"/>
  <c r="E246" i="36"/>
  <c r="F246" i="36"/>
  <c r="E247" i="36"/>
  <c r="F247" i="36"/>
  <c r="E248" i="36"/>
  <c r="F248" i="36"/>
  <c r="E249" i="36"/>
  <c r="F249" i="36"/>
  <c r="E250" i="36"/>
  <c r="F250" i="36"/>
  <c r="E251" i="36"/>
  <c r="F251" i="36"/>
  <c r="E252" i="36"/>
  <c r="F252" i="36"/>
  <c r="E253" i="36"/>
  <c r="F253" i="36"/>
  <c r="E254" i="36"/>
  <c r="F254" i="36"/>
  <c r="E255" i="36"/>
  <c r="F255" i="36"/>
  <c r="E256" i="36"/>
  <c r="F256" i="36"/>
  <c r="E257" i="36"/>
  <c r="F257" i="36"/>
  <c r="E258" i="36"/>
  <c r="F258" i="36"/>
  <c r="E259" i="36"/>
  <c r="F259" i="36"/>
  <c r="E260" i="36"/>
  <c r="F260" i="36"/>
  <c r="E261" i="36"/>
  <c r="F261" i="36"/>
  <c r="E262" i="36"/>
  <c r="F262" i="36"/>
  <c r="E263" i="36"/>
  <c r="F263" i="36"/>
  <c r="E264" i="36"/>
  <c r="F264" i="36"/>
  <c r="E265" i="36"/>
  <c r="F265" i="36"/>
  <c r="E266" i="36"/>
  <c r="F266" i="36"/>
  <c r="E267" i="36"/>
  <c r="F267" i="36"/>
  <c r="E268" i="36"/>
  <c r="F268" i="36"/>
  <c r="E269" i="36"/>
  <c r="F269" i="36"/>
  <c r="E270" i="36"/>
  <c r="F270" i="36"/>
  <c r="E271" i="36"/>
  <c r="F271" i="36"/>
  <c r="E272" i="36"/>
  <c r="F272" i="36"/>
  <c r="E273" i="36"/>
  <c r="F273" i="36"/>
  <c r="E274" i="36"/>
  <c r="F274" i="36"/>
  <c r="E275" i="36"/>
  <c r="F275" i="36"/>
  <c r="E276" i="36"/>
  <c r="F276" i="36"/>
  <c r="E277" i="36"/>
  <c r="F277" i="36"/>
  <c r="E278" i="36"/>
  <c r="F278" i="36"/>
  <c r="E279" i="36"/>
  <c r="F279" i="36"/>
  <c r="E280" i="36"/>
  <c r="F280" i="36"/>
  <c r="E281" i="36"/>
  <c r="F281" i="36"/>
  <c r="E282" i="36"/>
  <c r="F282" i="36"/>
  <c r="E283" i="36"/>
  <c r="F283" i="36"/>
  <c r="E284" i="36"/>
  <c r="F284" i="36"/>
  <c r="E285" i="36"/>
  <c r="F285" i="36"/>
  <c r="E286" i="36"/>
  <c r="F286" i="36"/>
  <c r="E287" i="36"/>
  <c r="F287" i="36"/>
  <c r="E288" i="36"/>
  <c r="F288" i="36"/>
  <c r="E289" i="36"/>
  <c r="F289" i="36"/>
  <c r="E290" i="36"/>
  <c r="F290" i="36"/>
  <c r="E291" i="36"/>
  <c r="F291" i="36"/>
  <c r="E292" i="36"/>
  <c r="F292" i="36"/>
  <c r="E293" i="36"/>
  <c r="F293" i="36"/>
  <c r="E294" i="36"/>
  <c r="F294" i="36"/>
  <c r="E295" i="36"/>
  <c r="F295" i="36"/>
  <c r="E296" i="36"/>
  <c r="F296" i="36"/>
  <c r="E297" i="36"/>
  <c r="F297" i="36"/>
  <c r="E298" i="36"/>
  <c r="F298" i="36"/>
  <c r="E299" i="36"/>
  <c r="F299" i="36"/>
  <c r="E300" i="36"/>
  <c r="F300" i="36"/>
  <c r="E301" i="36"/>
  <c r="F301" i="36"/>
  <c r="E302" i="36"/>
  <c r="F302" i="36"/>
  <c r="E303" i="36"/>
  <c r="F303" i="36"/>
  <c r="E304" i="36"/>
  <c r="F304" i="36"/>
  <c r="E305" i="36"/>
  <c r="F305" i="36"/>
  <c r="E306" i="36"/>
  <c r="F306" i="36"/>
  <c r="E307" i="36"/>
  <c r="F307" i="36"/>
  <c r="E308" i="36"/>
  <c r="F308" i="36"/>
  <c r="E309" i="36"/>
  <c r="F309" i="36"/>
  <c r="E310" i="36"/>
  <c r="F310" i="36"/>
  <c r="E311" i="36"/>
  <c r="F311" i="36"/>
  <c r="E312" i="36"/>
  <c r="F312" i="36"/>
  <c r="E313" i="36"/>
  <c r="F313" i="36"/>
  <c r="E314" i="36"/>
  <c r="F314" i="36"/>
  <c r="E315" i="36"/>
  <c r="F315" i="36"/>
  <c r="E316" i="36"/>
  <c r="F316" i="36"/>
  <c r="E317" i="36"/>
  <c r="F317" i="36"/>
  <c r="E318" i="36"/>
  <c r="F318" i="36"/>
  <c r="E319" i="36"/>
  <c r="F319" i="36"/>
  <c r="E320" i="36"/>
  <c r="F320" i="36"/>
  <c r="E321" i="36"/>
  <c r="F321" i="36"/>
  <c r="E322" i="36"/>
  <c r="F322" i="36"/>
  <c r="E323" i="36"/>
  <c r="F323" i="36"/>
  <c r="E324" i="36"/>
  <c r="F324" i="36"/>
  <c r="E325" i="36"/>
  <c r="F325" i="36"/>
  <c r="E326" i="36"/>
  <c r="F326" i="36"/>
  <c r="E327" i="36"/>
  <c r="F327" i="36"/>
  <c r="E328" i="36"/>
  <c r="F328" i="36"/>
  <c r="E329" i="36"/>
  <c r="F329" i="36"/>
  <c r="E330" i="36"/>
  <c r="F330" i="36"/>
  <c r="E331" i="36"/>
  <c r="F331" i="36"/>
  <c r="E332" i="36"/>
  <c r="F332" i="36"/>
  <c r="E333" i="36"/>
  <c r="F333" i="36"/>
  <c r="E334" i="36"/>
  <c r="F334" i="36"/>
  <c r="E335" i="36"/>
  <c r="F335" i="36"/>
  <c r="E336" i="36"/>
  <c r="F336" i="36"/>
  <c r="E337" i="36"/>
  <c r="F337" i="36"/>
  <c r="E338" i="36"/>
  <c r="F338" i="36"/>
  <c r="E339" i="36"/>
  <c r="F339" i="36"/>
  <c r="E340" i="36"/>
  <c r="F340" i="36"/>
  <c r="E341" i="36"/>
  <c r="F341" i="36"/>
  <c r="E342" i="36"/>
  <c r="F342" i="36"/>
  <c r="E343" i="36"/>
  <c r="F343" i="36"/>
  <c r="E344" i="36"/>
  <c r="F344" i="36"/>
  <c r="E345" i="36"/>
  <c r="F345" i="36"/>
  <c r="E346" i="36"/>
  <c r="F346" i="36"/>
  <c r="E347" i="36"/>
  <c r="F347" i="36"/>
  <c r="E348" i="36"/>
  <c r="F348" i="36"/>
  <c r="E349" i="36"/>
  <c r="F349" i="36"/>
  <c r="E350" i="36"/>
  <c r="F350" i="36"/>
  <c r="E351" i="36"/>
  <c r="F351" i="36"/>
  <c r="E352" i="36"/>
  <c r="F352" i="36"/>
  <c r="E353" i="36"/>
  <c r="F353" i="36"/>
  <c r="E354" i="36"/>
  <c r="F354" i="36"/>
  <c r="E355" i="36"/>
  <c r="F355" i="36"/>
  <c r="E356" i="36"/>
  <c r="F356" i="36"/>
  <c r="E357" i="36"/>
  <c r="F357" i="36"/>
  <c r="E358" i="36"/>
  <c r="F358" i="36"/>
  <c r="E359" i="36"/>
  <c r="F359" i="36"/>
  <c r="E360" i="36"/>
  <c r="F360" i="36"/>
  <c r="E361" i="36"/>
  <c r="F361" i="36"/>
  <c r="E362" i="36"/>
  <c r="F362" i="36"/>
  <c r="E363" i="36"/>
  <c r="F363" i="36"/>
  <c r="E364" i="36"/>
  <c r="F364" i="36"/>
  <c r="E365" i="36"/>
  <c r="F365" i="36"/>
  <c r="E366" i="36"/>
  <c r="F366" i="36"/>
  <c r="E367" i="36"/>
  <c r="F367" i="36"/>
  <c r="E368" i="36"/>
  <c r="F368" i="36"/>
  <c r="E369" i="36"/>
  <c r="F369" i="36"/>
  <c r="E370" i="36"/>
  <c r="F370" i="36"/>
  <c r="E371" i="36"/>
  <c r="F371" i="36"/>
  <c r="E372" i="36"/>
  <c r="F372" i="36"/>
  <c r="E373" i="36"/>
  <c r="F373" i="36"/>
  <c r="E374" i="36"/>
  <c r="F374" i="36"/>
  <c r="E375" i="36"/>
  <c r="F375" i="36"/>
  <c r="E376" i="36"/>
  <c r="F376" i="36"/>
  <c r="E377" i="36"/>
  <c r="F377" i="36"/>
  <c r="E378" i="36"/>
  <c r="F378" i="36"/>
  <c r="E379" i="36"/>
  <c r="F379" i="36"/>
  <c r="E380" i="36"/>
  <c r="F380" i="36"/>
  <c r="E381" i="36"/>
  <c r="F381" i="36"/>
  <c r="E382" i="36"/>
  <c r="F382" i="36"/>
  <c r="E383" i="36"/>
  <c r="F383" i="36"/>
  <c r="E384" i="36"/>
  <c r="F384" i="36"/>
  <c r="E385" i="36"/>
  <c r="F385" i="36"/>
  <c r="E386" i="36"/>
  <c r="F386" i="36"/>
  <c r="E387" i="36"/>
  <c r="F387" i="36"/>
  <c r="E388" i="36"/>
  <c r="F388" i="36"/>
  <c r="E389" i="36"/>
  <c r="F389" i="36"/>
  <c r="E390" i="36"/>
  <c r="F390" i="36"/>
  <c r="E391" i="36"/>
  <c r="F391" i="36"/>
  <c r="E392" i="36"/>
  <c r="F392" i="36"/>
  <c r="E393" i="36"/>
  <c r="F393" i="36"/>
  <c r="E394" i="36"/>
  <c r="F394" i="36"/>
  <c r="E395" i="36"/>
  <c r="F395" i="36"/>
  <c r="E396" i="36"/>
  <c r="F396" i="36"/>
  <c r="E397" i="36"/>
  <c r="F397" i="36"/>
  <c r="E398" i="36"/>
  <c r="F398" i="36"/>
  <c r="E399" i="36"/>
  <c r="F399" i="36"/>
  <c r="E400" i="36"/>
  <c r="F400" i="36"/>
  <c r="E401" i="36"/>
  <c r="F401" i="36"/>
  <c r="E402" i="36"/>
  <c r="F402" i="36"/>
  <c r="E403" i="36"/>
  <c r="F403" i="36"/>
  <c r="E404" i="36"/>
  <c r="F404" i="36"/>
  <c r="E405" i="36"/>
  <c r="F405" i="36"/>
  <c r="E406" i="36"/>
  <c r="F406" i="36"/>
  <c r="E407" i="36"/>
  <c r="F407" i="36"/>
  <c r="E408" i="36"/>
  <c r="F408" i="36"/>
  <c r="E409" i="36"/>
  <c r="F409" i="36"/>
  <c r="E410" i="36"/>
  <c r="F410" i="36"/>
  <c r="F411" i="36"/>
  <c r="F412" i="36"/>
  <c r="B6" i="35"/>
  <c r="B7" i="35"/>
  <c r="B13" i="35"/>
  <c r="C13" i="35"/>
  <c r="D13" i="35"/>
  <c r="H13" i="35"/>
  <c r="B14" i="35"/>
  <c r="C14" i="35"/>
  <c r="D14" i="35"/>
  <c r="H14" i="35"/>
  <c r="B15" i="35"/>
  <c r="C15" i="35"/>
  <c r="D15" i="35"/>
  <c r="E15" i="35"/>
  <c r="H15" i="35"/>
  <c r="B16" i="35"/>
  <c r="C16" i="35"/>
  <c r="D16" i="35"/>
  <c r="E16" i="35"/>
  <c r="H16" i="35"/>
  <c r="B17" i="35"/>
  <c r="C17" i="35"/>
  <c r="D17" i="35"/>
  <c r="E17" i="35"/>
  <c r="H17" i="35"/>
  <c r="B18" i="35"/>
  <c r="C18" i="35"/>
  <c r="D18" i="35"/>
  <c r="E18" i="35"/>
  <c r="H18" i="35"/>
  <c r="B19" i="35"/>
  <c r="C19" i="35"/>
  <c r="D19" i="35"/>
  <c r="E19" i="35"/>
  <c r="H19" i="35"/>
  <c r="B20" i="35"/>
  <c r="C20" i="35"/>
  <c r="D20" i="35"/>
  <c r="E20" i="35"/>
  <c r="H20" i="35"/>
  <c r="B21" i="35"/>
  <c r="C21" i="35"/>
  <c r="D21" i="35"/>
  <c r="E21" i="35"/>
  <c r="H21" i="35"/>
  <c r="B22" i="35"/>
  <c r="C22" i="35"/>
  <c r="D22" i="35"/>
  <c r="E22" i="35"/>
  <c r="H22" i="35"/>
  <c r="B23" i="35"/>
  <c r="C23" i="35"/>
  <c r="D23" i="35"/>
  <c r="E23" i="35"/>
  <c r="H23" i="35"/>
  <c r="B24" i="35"/>
  <c r="C24" i="35"/>
  <c r="D24" i="35"/>
  <c r="E24" i="35"/>
  <c r="H24" i="35"/>
  <c r="B25" i="35"/>
  <c r="C25" i="35"/>
  <c r="D25" i="35"/>
  <c r="E25" i="35"/>
  <c r="H25" i="35"/>
  <c r="B26" i="35"/>
  <c r="C26" i="35"/>
  <c r="D26" i="35"/>
  <c r="E26" i="35"/>
  <c r="H26" i="35"/>
  <c r="B27" i="35"/>
  <c r="C27" i="35"/>
  <c r="D27" i="35"/>
  <c r="E27" i="35"/>
  <c r="H27" i="35"/>
  <c r="B28" i="35"/>
  <c r="C28" i="35"/>
  <c r="D28" i="35"/>
  <c r="E28" i="35"/>
  <c r="H28" i="35"/>
  <c r="B29" i="35"/>
  <c r="C29" i="35"/>
  <c r="D29" i="35"/>
  <c r="E29" i="35"/>
  <c r="H29" i="35"/>
  <c r="B30" i="35"/>
  <c r="C30" i="35"/>
  <c r="D30" i="35"/>
  <c r="E30" i="35"/>
  <c r="H30" i="35"/>
  <c r="B31" i="35"/>
  <c r="C31" i="35"/>
  <c r="D31" i="35"/>
  <c r="E31" i="35"/>
  <c r="H31" i="35"/>
  <c r="B32" i="35"/>
  <c r="C32" i="35"/>
  <c r="D32" i="35"/>
  <c r="E32" i="35"/>
  <c r="H32" i="35"/>
  <c r="B33" i="35"/>
  <c r="C33" i="35"/>
  <c r="D33" i="35"/>
  <c r="E33" i="35"/>
  <c r="H33" i="35"/>
  <c r="B34" i="35"/>
  <c r="C34" i="35"/>
  <c r="D34" i="35"/>
  <c r="E34" i="35"/>
  <c r="H34" i="35"/>
  <c r="B35" i="35"/>
  <c r="C35" i="35"/>
  <c r="D35" i="35"/>
  <c r="E35" i="35"/>
  <c r="H35" i="35"/>
  <c r="B36" i="35"/>
  <c r="C36" i="35"/>
  <c r="D36" i="35"/>
  <c r="E36" i="35"/>
  <c r="H36" i="35"/>
  <c r="B37" i="35"/>
  <c r="C37" i="35"/>
  <c r="D37" i="35"/>
  <c r="E37" i="35"/>
  <c r="H37" i="35"/>
  <c r="B38" i="35"/>
  <c r="C38" i="35"/>
  <c r="D38" i="35"/>
  <c r="E38" i="35"/>
  <c r="H38" i="35"/>
  <c r="B39" i="35"/>
  <c r="C39" i="35"/>
  <c r="D39" i="35"/>
  <c r="E39" i="35"/>
  <c r="H39" i="35"/>
  <c r="B40" i="35"/>
  <c r="C40" i="35"/>
  <c r="D40" i="35"/>
  <c r="E40" i="35"/>
  <c r="H40" i="35"/>
  <c r="B41" i="35"/>
  <c r="C41" i="35"/>
  <c r="D41" i="35"/>
  <c r="E41" i="35"/>
  <c r="H41" i="35"/>
  <c r="B42" i="35"/>
  <c r="C42" i="35"/>
  <c r="D42" i="35"/>
  <c r="E42" i="35"/>
  <c r="H42" i="35"/>
  <c r="B43" i="35"/>
  <c r="C43" i="35"/>
  <c r="D43" i="35"/>
  <c r="E43" i="35"/>
  <c r="H43" i="35"/>
  <c r="B44" i="35"/>
  <c r="C44" i="35"/>
  <c r="D44" i="35"/>
  <c r="E44" i="35"/>
  <c r="H44" i="35"/>
  <c r="B45" i="35"/>
  <c r="C45" i="35"/>
  <c r="D45" i="35"/>
  <c r="E45" i="35"/>
  <c r="H45" i="35"/>
  <c r="B46" i="35"/>
  <c r="C46" i="35"/>
  <c r="D46" i="35"/>
  <c r="E46" i="35"/>
  <c r="H46" i="35"/>
  <c r="B47" i="35"/>
  <c r="C47" i="35"/>
  <c r="D47" i="35"/>
  <c r="E47" i="35"/>
  <c r="H47" i="35"/>
  <c r="B48" i="35"/>
  <c r="C48" i="35"/>
  <c r="D48" i="35"/>
  <c r="E48" i="35"/>
  <c r="H48" i="35"/>
  <c r="B49" i="35"/>
  <c r="C49" i="35"/>
  <c r="D49" i="35"/>
  <c r="E49" i="35"/>
  <c r="H49" i="35"/>
  <c r="B50" i="35"/>
  <c r="C50" i="35"/>
  <c r="D50" i="35"/>
  <c r="E50" i="35"/>
  <c r="H50" i="35"/>
  <c r="B51" i="35"/>
  <c r="C51" i="35"/>
  <c r="D51" i="35"/>
  <c r="E51" i="35"/>
  <c r="H51" i="35"/>
  <c r="B52" i="35"/>
  <c r="C52" i="35"/>
  <c r="D52" i="35"/>
  <c r="E52" i="35"/>
  <c r="H52" i="35"/>
  <c r="B53" i="35"/>
  <c r="C53" i="35"/>
  <c r="D53" i="35"/>
  <c r="E53" i="35"/>
  <c r="H53" i="35"/>
  <c r="B54" i="35"/>
  <c r="C54" i="35"/>
  <c r="D54" i="35"/>
  <c r="E54" i="35"/>
  <c r="H54" i="35"/>
  <c r="B55" i="35"/>
  <c r="C55" i="35"/>
  <c r="D55" i="35"/>
  <c r="E55" i="35"/>
  <c r="H55" i="35"/>
  <c r="B56" i="35"/>
  <c r="C56" i="35"/>
  <c r="D56" i="35"/>
  <c r="E56" i="35"/>
  <c r="H56" i="35"/>
  <c r="B57" i="35"/>
  <c r="C57" i="35"/>
  <c r="D57" i="35"/>
  <c r="E57" i="35"/>
  <c r="H57" i="35"/>
  <c r="B58" i="35"/>
  <c r="C58" i="35"/>
  <c r="D58" i="35"/>
  <c r="E58" i="35"/>
  <c r="H58" i="35"/>
  <c r="B59" i="35"/>
  <c r="C59" i="35"/>
  <c r="D59" i="35"/>
  <c r="E59" i="35"/>
  <c r="H59" i="35"/>
  <c r="B60" i="35"/>
  <c r="C60" i="35"/>
  <c r="D60" i="35"/>
  <c r="E60" i="35"/>
  <c r="H60" i="35"/>
  <c r="B61" i="35"/>
  <c r="C61" i="35"/>
  <c r="D61" i="35"/>
  <c r="E61" i="35"/>
  <c r="H61" i="35"/>
  <c r="B62" i="35"/>
  <c r="C62" i="35"/>
  <c r="D62" i="35"/>
  <c r="E62" i="35"/>
  <c r="H62" i="35"/>
  <c r="B63" i="35"/>
  <c r="C63" i="35"/>
  <c r="D63" i="35"/>
  <c r="E63" i="35"/>
  <c r="H63" i="35"/>
  <c r="B64" i="35"/>
  <c r="C64" i="35"/>
  <c r="D64" i="35"/>
  <c r="E64" i="35"/>
  <c r="H64" i="35"/>
  <c r="B65" i="35"/>
  <c r="C65" i="35"/>
  <c r="D65" i="35"/>
  <c r="E65" i="35"/>
  <c r="H65" i="35"/>
  <c r="B66" i="35"/>
  <c r="C66" i="35"/>
  <c r="D66" i="35"/>
  <c r="E66" i="35"/>
  <c r="H66" i="35"/>
  <c r="B67" i="35"/>
  <c r="C67" i="35"/>
  <c r="D67" i="35"/>
  <c r="E67" i="35"/>
  <c r="H67" i="35"/>
  <c r="B68" i="35"/>
  <c r="C68" i="35"/>
  <c r="D68" i="35"/>
  <c r="E68" i="35"/>
  <c r="H68" i="35"/>
  <c r="B69" i="35"/>
  <c r="C69" i="35"/>
  <c r="D69" i="35"/>
  <c r="E69" i="35"/>
  <c r="H69" i="35"/>
  <c r="B70" i="35"/>
  <c r="C70" i="35"/>
  <c r="D70" i="35"/>
  <c r="E70" i="35"/>
  <c r="H70" i="35"/>
  <c r="B71" i="35"/>
  <c r="C71" i="35"/>
  <c r="D71" i="35"/>
  <c r="E71" i="35"/>
  <c r="H71" i="35"/>
  <c r="B72" i="35"/>
  <c r="C72" i="35"/>
  <c r="D72" i="35"/>
  <c r="E72" i="35"/>
  <c r="H72" i="35"/>
  <c r="B73" i="35"/>
  <c r="C73" i="35"/>
  <c r="D73" i="35"/>
  <c r="E73" i="35"/>
  <c r="H73" i="35"/>
  <c r="B74" i="35"/>
  <c r="C74" i="35"/>
  <c r="D74" i="35"/>
  <c r="E74" i="35"/>
  <c r="H74" i="35"/>
  <c r="B75" i="35"/>
  <c r="C75" i="35"/>
  <c r="D75" i="35"/>
  <c r="E75" i="35"/>
  <c r="H75" i="35"/>
  <c r="B76" i="35"/>
  <c r="C76" i="35"/>
  <c r="D76" i="35"/>
  <c r="E76" i="35"/>
  <c r="H76" i="35"/>
  <c r="B77" i="35"/>
  <c r="C77" i="35"/>
  <c r="D77" i="35"/>
  <c r="E77" i="35"/>
  <c r="H77" i="35"/>
  <c r="B78" i="35"/>
  <c r="C78" i="35"/>
  <c r="D78" i="35"/>
  <c r="E78" i="35"/>
  <c r="H78" i="35"/>
  <c r="B79" i="35"/>
  <c r="C79" i="35"/>
  <c r="D79" i="35"/>
  <c r="E79" i="35"/>
  <c r="H79" i="35"/>
  <c r="B80" i="35"/>
  <c r="C80" i="35"/>
  <c r="D80" i="35"/>
  <c r="E80" i="35"/>
  <c r="H80" i="35"/>
  <c r="B81" i="35"/>
  <c r="C81" i="35"/>
  <c r="D81" i="35"/>
  <c r="E81" i="35"/>
  <c r="H81" i="35"/>
  <c r="B82" i="35"/>
  <c r="C82" i="35"/>
  <c r="D82" i="35"/>
  <c r="E82" i="35"/>
  <c r="H82" i="35"/>
  <c r="B83" i="35"/>
  <c r="C83" i="35"/>
  <c r="D83" i="35"/>
  <c r="E83" i="35"/>
  <c r="H83" i="35"/>
  <c r="B84" i="35"/>
  <c r="C84" i="35"/>
  <c r="D84" i="35"/>
  <c r="E84" i="35"/>
  <c r="H84" i="35"/>
  <c r="B85" i="35"/>
  <c r="C85" i="35"/>
  <c r="D85" i="35"/>
  <c r="E85" i="35"/>
  <c r="H85" i="35"/>
  <c r="B86" i="35"/>
  <c r="C86" i="35"/>
  <c r="D86" i="35"/>
  <c r="E86" i="35"/>
  <c r="H86" i="35"/>
  <c r="B87" i="35"/>
  <c r="C87" i="35"/>
  <c r="D87" i="35"/>
  <c r="E87" i="35"/>
  <c r="H87" i="35"/>
  <c r="B88" i="35"/>
  <c r="C88" i="35"/>
  <c r="D88" i="35"/>
  <c r="E88" i="35"/>
  <c r="H88" i="35"/>
  <c r="B89" i="35"/>
  <c r="C89" i="35"/>
  <c r="D89" i="35"/>
  <c r="E89" i="35"/>
  <c r="H89" i="35"/>
  <c r="B90" i="35"/>
  <c r="C90" i="35"/>
  <c r="D90" i="35"/>
  <c r="E90" i="35"/>
  <c r="H90" i="35"/>
  <c r="B91" i="35"/>
  <c r="C91" i="35"/>
  <c r="D91" i="35"/>
  <c r="E91" i="35"/>
  <c r="H91" i="35"/>
  <c r="B92" i="35"/>
  <c r="C92" i="35"/>
  <c r="D92" i="35"/>
  <c r="E92" i="35"/>
  <c r="H92" i="35"/>
  <c r="B93" i="35"/>
  <c r="C93" i="35"/>
  <c r="D93" i="35"/>
  <c r="E93" i="35"/>
  <c r="H93" i="35"/>
  <c r="B94" i="35"/>
  <c r="C94" i="35"/>
  <c r="D94" i="35"/>
  <c r="E94" i="35"/>
  <c r="H94" i="35"/>
  <c r="B95" i="35"/>
  <c r="C95" i="35"/>
  <c r="D95" i="35"/>
  <c r="E95" i="35"/>
  <c r="H95" i="35"/>
  <c r="B96" i="35"/>
  <c r="C96" i="35"/>
  <c r="D96" i="35"/>
  <c r="E96" i="35"/>
  <c r="H96" i="35"/>
  <c r="B97" i="35"/>
  <c r="C97" i="35"/>
  <c r="D97" i="35"/>
  <c r="E97" i="35"/>
  <c r="H97" i="35"/>
  <c r="B98" i="35"/>
  <c r="C98" i="35"/>
  <c r="D98" i="35"/>
  <c r="E98" i="35"/>
  <c r="H98" i="35"/>
  <c r="B99" i="35"/>
  <c r="C99" i="35"/>
  <c r="D99" i="35"/>
  <c r="E99" i="35"/>
  <c r="H99" i="35"/>
  <c r="B100" i="35"/>
  <c r="C100" i="35"/>
  <c r="D100" i="35"/>
  <c r="E100" i="35"/>
  <c r="H100" i="35"/>
  <c r="B101" i="35"/>
  <c r="C101" i="35"/>
  <c r="D101" i="35"/>
  <c r="E101" i="35"/>
  <c r="H101" i="35"/>
  <c r="B102" i="35"/>
  <c r="C102" i="35"/>
  <c r="D102" i="35"/>
  <c r="E102" i="35"/>
  <c r="H102" i="35"/>
  <c r="B103" i="35"/>
  <c r="C103" i="35"/>
  <c r="D103" i="35"/>
  <c r="E103" i="35"/>
  <c r="H103" i="35"/>
  <c r="B104" i="35"/>
  <c r="C104" i="35"/>
  <c r="D104" i="35"/>
  <c r="E104" i="35"/>
  <c r="H104" i="35"/>
  <c r="B105" i="35"/>
  <c r="C105" i="35"/>
  <c r="D105" i="35"/>
  <c r="E105" i="35"/>
  <c r="H105" i="35"/>
  <c r="B106" i="35"/>
  <c r="C106" i="35"/>
  <c r="D106" i="35"/>
  <c r="E106" i="35"/>
  <c r="H106" i="35"/>
  <c r="B107" i="35"/>
  <c r="C107" i="35"/>
  <c r="D107" i="35"/>
  <c r="E107" i="35"/>
  <c r="H107" i="35"/>
  <c r="B108" i="35"/>
  <c r="C108" i="35"/>
  <c r="D108" i="35"/>
  <c r="E108" i="35"/>
  <c r="H108" i="35"/>
  <c r="B109" i="35"/>
  <c r="C109" i="35"/>
  <c r="D109" i="35"/>
  <c r="E109" i="35"/>
  <c r="H109" i="35"/>
  <c r="B110" i="35"/>
  <c r="C110" i="35"/>
  <c r="D110" i="35"/>
  <c r="E110" i="35"/>
  <c r="H110" i="35"/>
  <c r="B111" i="35"/>
  <c r="C111" i="35"/>
  <c r="D111" i="35"/>
  <c r="E111" i="35"/>
  <c r="H111" i="35"/>
  <c r="B112" i="35"/>
  <c r="C112" i="35"/>
  <c r="D112" i="35"/>
  <c r="E112" i="35"/>
  <c r="H112" i="35"/>
  <c r="B113" i="35"/>
  <c r="C113" i="35"/>
  <c r="D113" i="35"/>
  <c r="E113" i="35"/>
  <c r="H113" i="35"/>
  <c r="B114" i="35"/>
  <c r="C114" i="35"/>
  <c r="D114" i="35"/>
  <c r="E114" i="35"/>
  <c r="H114" i="35"/>
  <c r="B115" i="35"/>
  <c r="C115" i="35"/>
  <c r="D115" i="35"/>
  <c r="E115" i="35"/>
  <c r="H115" i="35"/>
  <c r="B116" i="35"/>
  <c r="C116" i="35"/>
  <c r="D116" i="35"/>
  <c r="E116" i="35"/>
  <c r="H116" i="35"/>
  <c r="B117" i="35"/>
  <c r="C117" i="35"/>
  <c r="D117" i="35"/>
  <c r="E117" i="35"/>
  <c r="H117" i="35"/>
  <c r="B118" i="35"/>
  <c r="C118" i="35"/>
  <c r="D118" i="35"/>
  <c r="E118" i="35"/>
  <c r="H118" i="35"/>
  <c r="B119" i="35"/>
  <c r="C119" i="35"/>
  <c r="D119" i="35"/>
  <c r="E119" i="35"/>
  <c r="H119" i="35"/>
  <c r="B120" i="35"/>
  <c r="C120" i="35"/>
  <c r="D120" i="35"/>
  <c r="E120" i="35"/>
  <c r="H120" i="35"/>
  <c r="B121" i="35"/>
  <c r="C121" i="35"/>
  <c r="D121" i="35"/>
  <c r="E121" i="35"/>
  <c r="H121" i="35"/>
  <c r="B122" i="35"/>
  <c r="C122" i="35"/>
  <c r="D122" i="35"/>
  <c r="E122" i="35"/>
  <c r="H122" i="35"/>
  <c r="B123" i="35"/>
  <c r="C123" i="35"/>
  <c r="D123" i="35"/>
  <c r="E123" i="35"/>
  <c r="H123" i="35"/>
  <c r="B124" i="35"/>
  <c r="C124" i="35"/>
  <c r="D124" i="35"/>
  <c r="E124" i="35"/>
  <c r="H124" i="35"/>
  <c r="B125" i="35"/>
  <c r="C125" i="35"/>
  <c r="D125" i="35"/>
  <c r="E125" i="35"/>
  <c r="H125" i="35"/>
  <c r="B126" i="35"/>
  <c r="C126" i="35"/>
  <c r="D126" i="35"/>
  <c r="E126" i="35"/>
  <c r="H126" i="35"/>
  <c r="B127" i="35"/>
  <c r="C127" i="35"/>
  <c r="D127" i="35"/>
  <c r="E127" i="35"/>
  <c r="H127" i="35"/>
  <c r="B128" i="35"/>
  <c r="C128" i="35"/>
  <c r="D128" i="35"/>
  <c r="E128" i="35"/>
  <c r="H128" i="35"/>
  <c r="B129" i="35"/>
  <c r="C129" i="35"/>
  <c r="D129" i="35"/>
  <c r="E129" i="35"/>
  <c r="H129" i="35"/>
  <c r="B130" i="35"/>
  <c r="C130" i="35"/>
  <c r="D130" i="35"/>
  <c r="E130" i="35"/>
  <c r="H130" i="35"/>
  <c r="B131" i="35"/>
  <c r="C131" i="35"/>
  <c r="D131" i="35"/>
  <c r="E131" i="35"/>
  <c r="H131" i="35"/>
  <c r="B132" i="35"/>
  <c r="C132" i="35"/>
  <c r="D132" i="35"/>
  <c r="E132" i="35"/>
  <c r="H132" i="35"/>
  <c r="B133" i="35"/>
  <c r="C133" i="35"/>
  <c r="D133" i="35"/>
  <c r="E133" i="35"/>
  <c r="H133" i="35"/>
  <c r="B134" i="35"/>
  <c r="C134" i="35"/>
  <c r="D134" i="35"/>
  <c r="E134" i="35"/>
  <c r="H134" i="35"/>
  <c r="B135" i="35"/>
  <c r="C135" i="35"/>
  <c r="D135" i="35"/>
  <c r="E135" i="35"/>
  <c r="H135" i="35"/>
  <c r="B136" i="35"/>
  <c r="C136" i="35"/>
  <c r="D136" i="35"/>
  <c r="E136" i="35"/>
  <c r="H136" i="35"/>
  <c r="B137" i="35"/>
  <c r="C137" i="35"/>
  <c r="D137" i="35"/>
  <c r="E137" i="35"/>
  <c r="H137" i="35"/>
  <c r="B138" i="35"/>
  <c r="C138" i="35"/>
  <c r="D138" i="35"/>
  <c r="E138" i="35"/>
  <c r="H138" i="35"/>
  <c r="B139" i="35"/>
  <c r="C139" i="35"/>
  <c r="D139" i="35"/>
  <c r="E139" i="35"/>
  <c r="H139" i="35"/>
  <c r="B140" i="35"/>
  <c r="C140" i="35"/>
  <c r="D140" i="35"/>
  <c r="E140" i="35"/>
  <c r="H140" i="35"/>
  <c r="B141" i="35"/>
  <c r="C141" i="35"/>
  <c r="D141" i="35"/>
  <c r="E141" i="35"/>
  <c r="H141" i="35"/>
  <c r="B142" i="35"/>
  <c r="C142" i="35"/>
  <c r="D142" i="35"/>
  <c r="E142" i="35"/>
  <c r="H142" i="35"/>
  <c r="B143" i="35"/>
  <c r="C143" i="35"/>
  <c r="D143" i="35"/>
  <c r="E143" i="35"/>
  <c r="H143" i="35"/>
  <c r="B144" i="35"/>
  <c r="C144" i="35"/>
  <c r="D144" i="35"/>
  <c r="E144" i="35"/>
  <c r="H144" i="35"/>
  <c r="B145" i="35"/>
  <c r="C145" i="35"/>
  <c r="D145" i="35"/>
  <c r="E145" i="35"/>
  <c r="H145" i="35"/>
  <c r="B146" i="35"/>
  <c r="C146" i="35"/>
  <c r="D146" i="35"/>
  <c r="E146" i="35"/>
  <c r="H146" i="35"/>
  <c r="B147" i="35"/>
  <c r="C147" i="35"/>
  <c r="D147" i="35"/>
  <c r="E147" i="35"/>
  <c r="H147" i="35"/>
  <c r="B148" i="35"/>
  <c r="C148" i="35"/>
  <c r="D148" i="35"/>
  <c r="E148" i="35"/>
  <c r="H148" i="35"/>
  <c r="B149" i="35"/>
  <c r="C149" i="35"/>
  <c r="D149" i="35"/>
  <c r="E149" i="35"/>
  <c r="H149" i="35"/>
  <c r="B150" i="35"/>
  <c r="C150" i="35"/>
  <c r="D150" i="35"/>
  <c r="E150" i="35"/>
  <c r="H150" i="35"/>
  <c r="B151" i="35"/>
  <c r="C151" i="35"/>
  <c r="D151" i="35"/>
  <c r="E151" i="35"/>
  <c r="H151" i="35"/>
  <c r="B152" i="35"/>
  <c r="C152" i="35"/>
  <c r="D152" i="35"/>
  <c r="E152" i="35"/>
  <c r="H152" i="35"/>
  <c r="B153" i="35"/>
  <c r="C153" i="35"/>
  <c r="D153" i="35"/>
  <c r="E153" i="35"/>
  <c r="H153" i="35"/>
  <c r="B154" i="35"/>
  <c r="C154" i="35"/>
  <c r="D154" i="35"/>
  <c r="E154" i="35"/>
  <c r="H154" i="35"/>
  <c r="B155" i="35"/>
  <c r="C155" i="35"/>
  <c r="D155" i="35"/>
  <c r="E155" i="35"/>
  <c r="H155" i="35"/>
  <c r="B156" i="35"/>
  <c r="C156" i="35"/>
  <c r="D156" i="35"/>
  <c r="E156" i="35"/>
  <c r="H156" i="35"/>
  <c r="B157" i="35"/>
  <c r="C157" i="35"/>
  <c r="D157" i="35"/>
  <c r="E157" i="35"/>
  <c r="H157" i="35"/>
  <c r="B158" i="35"/>
  <c r="C158" i="35"/>
  <c r="D158" i="35"/>
  <c r="E158" i="35"/>
  <c r="H158" i="35"/>
  <c r="B159" i="35"/>
  <c r="C159" i="35"/>
  <c r="D159" i="35"/>
  <c r="E159" i="35"/>
  <c r="H159" i="35"/>
  <c r="B160" i="35"/>
  <c r="C160" i="35"/>
  <c r="D160" i="35"/>
  <c r="E160" i="35"/>
  <c r="H160" i="35"/>
  <c r="B161" i="35"/>
  <c r="C161" i="35"/>
  <c r="D161" i="35"/>
  <c r="E161" i="35"/>
  <c r="H161" i="35"/>
  <c r="B162" i="35"/>
  <c r="C162" i="35"/>
  <c r="D162" i="35"/>
  <c r="E162" i="35"/>
  <c r="H162" i="35"/>
  <c r="B163" i="35"/>
  <c r="C163" i="35"/>
  <c r="D163" i="35"/>
  <c r="E163" i="35"/>
  <c r="H163" i="35"/>
  <c r="B164" i="35"/>
  <c r="C164" i="35"/>
  <c r="D164" i="35"/>
  <c r="E164" i="35"/>
  <c r="H164" i="35"/>
  <c r="B165" i="35"/>
  <c r="C165" i="35"/>
  <c r="D165" i="35"/>
  <c r="E165" i="35"/>
  <c r="H165" i="35"/>
  <c r="B166" i="35"/>
  <c r="C166" i="35"/>
  <c r="D166" i="35"/>
  <c r="E166" i="35"/>
  <c r="H166" i="35"/>
  <c r="B167" i="35"/>
  <c r="C167" i="35"/>
  <c r="D167" i="35"/>
  <c r="E167" i="35"/>
  <c r="H167" i="35"/>
  <c r="B168" i="35"/>
  <c r="C168" i="35"/>
  <c r="D168" i="35"/>
  <c r="E168" i="35"/>
  <c r="H168" i="35"/>
  <c r="B169" i="35"/>
  <c r="C169" i="35"/>
  <c r="D169" i="35"/>
  <c r="E169" i="35"/>
  <c r="H169" i="35"/>
  <c r="B170" i="35"/>
  <c r="C170" i="35"/>
  <c r="D170" i="35"/>
  <c r="E170" i="35"/>
  <c r="H170" i="35"/>
  <c r="B171" i="35"/>
  <c r="C171" i="35"/>
  <c r="D171" i="35"/>
  <c r="E171" i="35"/>
  <c r="H171" i="35"/>
  <c r="B172" i="35"/>
  <c r="C172" i="35"/>
  <c r="D172" i="35"/>
  <c r="E172" i="35"/>
  <c r="H172" i="35"/>
  <c r="B173" i="35"/>
  <c r="C173" i="35"/>
  <c r="D173" i="35"/>
  <c r="E173" i="35"/>
  <c r="H173" i="35"/>
  <c r="B174" i="35"/>
  <c r="C174" i="35"/>
  <c r="D174" i="35"/>
  <c r="E174" i="35"/>
  <c r="H174" i="35"/>
  <c r="B175" i="35"/>
  <c r="C175" i="35"/>
  <c r="D175" i="35"/>
  <c r="E175" i="35"/>
  <c r="H175" i="35"/>
  <c r="B176" i="35"/>
  <c r="C176" i="35"/>
  <c r="D176" i="35"/>
  <c r="E176" i="35"/>
  <c r="H176" i="35"/>
  <c r="B177" i="35"/>
  <c r="C177" i="35"/>
  <c r="D177" i="35"/>
  <c r="E177" i="35"/>
  <c r="H177" i="35"/>
  <c r="B178" i="35"/>
  <c r="C178" i="35"/>
  <c r="D178" i="35"/>
  <c r="E178" i="35"/>
  <c r="H178" i="35"/>
  <c r="B179" i="35"/>
  <c r="C179" i="35"/>
  <c r="D179" i="35"/>
  <c r="E179" i="35"/>
  <c r="H179" i="35"/>
  <c r="B180" i="35"/>
  <c r="C180" i="35"/>
  <c r="D180" i="35"/>
  <c r="E180" i="35"/>
  <c r="H180" i="35"/>
  <c r="B181" i="35"/>
  <c r="C181" i="35"/>
  <c r="D181" i="35"/>
  <c r="E181" i="35"/>
  <c r="H181" i="35"/>
  <c r="B182" i="35"/>
  <c r="C182" i="35"/>
  <c r="D182" i="35"/>
  <c r="E182" i="35"/>
  <c r="H182" i="35"/>
  <c r="B183" i="35"/>
  <c r="C183" i="35"/>
  <c r="D183" i="35"/>
  <c r="E183" i="35"/>
  <c r="H183" i="35"/>
  <c r="B184" i="35"/>
  <c r="C184" i="35"/>
  <c r="D184" i="35"/>
  <c r="E184" i="35"/>
  <c r="H184" i="35"/>
  <c r="B185" i="35"/>
  <c r="C185" i="35"/>
  <c r="D185" i="35"/>
  <c r="E185" i="35"/>
  <c r="H185" i="35"/>
  <c r="B186" i="35"/>
  <c r="C186" i="35"/>
  <c r="D186" i="35"/>
  <c r="E186" i="35"/>
  <c r="H186" i="35"/>
  <c r="B187" i="35"/>
  <c r="C187" i="35"/>
  <c r="D187" i="35"/>
  <c r="E187" i="35"/>
  <c r="H187" i="35"/>
  <c r="B188" i="35"/>
  <c r="C188" i="35"/>
  <c r="D188" i="35"/>
  <c r="E188" i="35"/>
  <c r="H188" i="35"/>
  <c r="B189" i="35"/>
  <c r="C189" i="35"/>
  <c r="D189" i="35"/>
  <c r="E189" i="35"/>
  <c r="H189" i="35"/>
  <c r="B190" i="35"/>
  <c r="C190" i="35"/>
  <c r="D190" i="35"/>
  <c r="E190" i="35"/>
  <c r="H190" i="35"/>
  <c r="B191" i="35"/>
  <c r="C191" i="35"/>
  <c r="D191" i="35"/>
  <c r="E191" i="35"/>
  <c r="H191" i="35"/>
  <c r="B192" i="35"/>
  <c r="C192" i="35"/>
  <c r="D192" i="35"/>
  <c r="E192" i="35"/>
  <c r="H192" i="35"/>
  <c r="B193" i="35"/>
  <c r="C193" i="35"/>
  <c r="D193" i="35"/>
  <c r="E193" i="35"/>
  <c r="H193" i="35"/>
  <c r="B194" i="35"/>
  <c r="C194" i="35"/>
  <c r="D194" i="35"/>
  <c r="E194" i="35"/>
  <c r="H194" i="35"/>
  <c r="B195" i="35"/>
  <c r="C195" i="35"/>
  <c r="D195" i="35"/>
  <c r="E195" i="35"/>
  <c r="H195" i="35"/>
  <c r="B196" i="35"/>
  <c r="C196" i="35"/>
  <c r="D196" i="35"/>
  <c r="E196" i="35"/>
  <c r="H196" i="35"/>
  <c r="B197" i="35"/>
  <c r="C197" i="35"/>
  <c r="D197" i="35"/>
  <c r="E197" i="35"/>
  <c r="H197" i="35"/>
  <c r="B198" i="35"/>
  <c r="C198" i="35"/>
  <c r="D198" i="35"/>
  <c r="E198" i="35"/>
  <c r="H198" i="35"/>
  <c r="B199" i="35"/>
  <c r="C199" i="35"/>
  <c r="D199" i="35"/>
  <c r="E199" i="35"/>
  <c r="H199" i="35"/>
  <c r="B200" i="35"/>
  <c r="C200" i="35"/>
  <c r="D200" i="35"/>
  <c r="E200" i="35"/>
  <c r="H200" i="35"/>
  <c r="B201" i="35"/>
  <c r="C201" i="35"/>
  <c r="D201" i="35"/>
  <c r="E201" i="35"/>
  <c r="H201" i="35"/>
  <c r="B202" i="35"/>
  <c r="C202" i="35"/>
  <c r="D202" i="35"/>
  <c r="E202" i="35"/>
  <c r="H202" i="35"/>
  <c r="B203" i="35"/>
  <c r="C203" i="35"/>
  <c r="D203" i="35"/>
  <c r="E203" i="35"/>
  <c r="H203" i="35"/>
  <c r="B204" i="35"/>
  <c r="C204" i="35"/>
  <c r="D204" i="35"/>
  <c r="E204" i="35"/>
  <c r="H204" i="35"/>
  <c r="B205" i="35"/>
  <c r="C205" i="35"/>
  <c r="D205" i="35"/>
  <c r="E205" i="35"/>
  <c r="H205" i="35"/>
  <c r="B206" i="35"/>
  <c r="C206" i="35"/>
  <c r="D206" i="35"/>
  <c r="E206" i="35"/>
  <c r="H206" i="35"/>
  <c r="B207" i="35"/>
  <c r="C207" i="35"/>
  <c r="D207" i="35"/>
  <c r="E207" i="35"/>
  <c r="H207" i="35"/>
  <c r="B208" i="35"/>
  <c r="C208" i="35"/>
  <c r="D208" i="35"/>
  <c r="E208" i="35"/>
  <c r="H208" i="35"/>
  <c r="B209" i="35"/>
  <c r="C209" i="35"/>
  <c r="D209" i="35"/>
  <c r="E209" i="35"/>
  <c r="H209" i="35"/>
  <c r="B210" i="35"/>
  <c r="C210" i="35"/>
  <c r="D210" i="35"/>
  <c r="E210" i="35"/>
  <c r="H210" i="35"/>
  <c r="B211" i="35"/>
  <c r="C211" i="35"/>
  <c r="D211" i="35"/>
  <c r="E211" i="35"/>
  <c r="H211" i="35"/>
  <c r="B212" i="35"/>
  <c r="C212" i="35"/>
  <c r="D212" i="35"/>
  <c r="E212" i="35"/>
  <c r="H212" i="35"/>
  <c r="B213" i="35"/>
  <c r="C213" i="35"/>
  <c r="D213" i="35"/>
  <c r="H213" i="35"/>
  <c r="H214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F111" i="35"/>
  <c r="F112" i="35"/>
  <c r="F113" i="35"/>
  <c r="F114" i="35"/>
  <c r="F115" i="35"/>
  <c r="F116" i="35"/>
  <c r="F117" i="35"/>
  <c r="F118" i="35"/>
  <c r="F119" i="35"/>
  <c r="F120" i="35"/>
  <c r="F121" i="35"/>
  <c r="F122" i="35"/>
  <c r="F123" i="35"/>
  <c r="F124" i="35"/>
  <c r="F125" i="35"/>
  <c r="F126" i="35"/>
  <c r="F127" i="35"/>
  <c r="F128" i="35"/>
  <c r="F129" i="35"/>
  <c r="F130" i="35"/>
  <c r="F131" i="35"/>
  <c r="F132" i="35"/>
  <c r="F133" i="35"/>
  <c r="F134" i="35"/>
  <c r="F135" i="35"/>
  <c r="F136" i="35"/>
  <c r="F137" i="35"/>
  <c r="F138" i="35"/>
  <c r="F139" i="35"/>
  <c r="F140" i="35"/>
  <c r="F141" i="35"/>
  <c r="F142" i="35"/>
  <c r="F143" i="35"/>
  <c r="F144" i="35"/>
  <c r="F145" i="35"/>
  <c r="F146" i="35"/>
  <c r="F147" i="35"/>
  <c r="F148" i="35"/>
  <c r="F149" i="35"/>
  <c r="F150" i="35"/>
  <c r="F151" i="35"/>
  <c r="F152" i="35"/>
  <c r="F153" i="35"/>
  <c r="F154" i="35"/>
  <c r="F155" i="35"/>
  <c r="F156" i="35"/>
  <c r="F157" i="35"/>
  <c r="F158" i="35"/>
  <c r="F159" i="35"/>
  <c r="F160" i="35"/>
  <c r="F161" i="35"/>
  <c r="F162" i="35"/>
  <c r="F163" i="35"/>
  <c r="F164" i="35"/>
  <c r="F165" i="35"/>
  <c r="F166" i="35"/>
  <c r="F167" i="35"/>
  <c r="F168" i="35"/>
  <c r="F169" i="35"/>
  <c r="F170" i="35"/>
  <c r="F171" i="35"/>
  <c r="F172" i="35"/>
  <c r="F173" i="35"/>
  <c r="F174" i="35"/>
  <c r="F175" i="35"/>
  <c r="F176" i="35"/>
  <c r="F177" i="35"/>
  <c r="F178" i="35"/>
  <c r="F179" i="35"/>
  <c r="F180" i="35"/>
  <c r="F181" i="35"/>
  <c r="F182" i="35"/>
  <c r="F183" i="35"/>
  <c r="F184" i="35"/>
  <c r="F185" i="35"/>
  <c r="F186" i="35"/>
  <c r="F187" i="35"/>
  <c r="F188" i="35"/>
  <c r="F189" i="35"/>
  <c r="F190" i="35"/>
  <c r="F191" i="35"/>
  <c r="F192" i="35"/>
  <c r="F193" i="35"/>
  <c r="F194" i="35"/>
  <c r="F195" i="35"/>
  <c r="F196" i="35"/>
  <c r="F197" i="35"/>
  <c r="F198" i="35"/>
  <c r="F199" i="35"/>
  <c r="F200" i="35"/>
  <c r="F201" i="35"/>
  <c r="F202" i="35"/>
  <c r="F203" i="35"/>
  <c r="F204" i="35"/>
  <c r="F205" i="35"/>
  <c r="F206" i="35"/>
  <c r="F207" i="35"/>
  <c r="F208" i="35"/>
  <c r="F209" i="35"/>
  <c r="F210" i="35"/>
  <c r="F211" i="35"/>
  <c r="F212" i="35"/>
  <c r="F213" i="35"/>
  <c r="F214" i="35"/>
  <c r="R19" i="34"/>
  <c r="R20" i="34"/>
  <c r="R21" i="34"/>
  <c r="R22" i="34"/>
  <c r="R23" i="34"/>
  <c r="R24" i="34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R50" i="34"/>
  <c r="R51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18" i="34"/>
  <c r="B10" i="34"/>
  <c r="B11" i="34"/>
  <c r="B18" i="34"/>
  <c r="L18" i="34"/>
  <c r="N18" i="34"/>
  <c r="B19" i="34"/>
  <c r="L19" i="34"/>
  <c r="N19" i="34"/>
  <c r="B20" i="34"/>
  <c r="L20" i="34"/>
  <c r="M20" i="34"/>
  <c r="N20" i="34"/>
  <c r="B21" i="34"/>
  <c r="L21" i="34"/>
  <c r="M21" i="34"/>
  <c r="N21" i="34"/>
  <c r="B22" i="34"/>
  <c r="L22" i="34"/>
  <c r="M22" i="34"/>
  <c r="N22" i="34"/>
  <c r="B23" i="34"/>
  <c r="L23" i="34"/>
  <c r="M23" i="34"/>
  <c r="N23" i="34"/>
  <c r="B24" i="34"/>
  <c r="L24" i="34"/>
  <c r="M24" i="34"/>
  <c r="N24" i="34"/>
  <c r="B25" i="34"/>
  <c r="L25" i="34"/>
  <c r="M25" i="34"/>
  <c r="N25" i="34"/>
  <c r="B26" i="34"/>
  <c r="L26" i="34"/>
  <c r="M26" i="34"/>
  <c r="N26" i="34"/>
  <c r="B27" i="34"/>
  <c r="L27" i="34"/>
  <c r="M27" i="34"/>
  <c r="N27" i="34"/>
  <c r="B28" i="34"/>
  <c r="L28" i="34"/>
  <c r="M28" i="34"/>
  <c r="N28" i="34"/>
  <c r="B29" i="34"/>
  <c r="L29" i="34"/>
  <c r="M29" i="34"/>
  <c r="N29" i="34"/>
  <c r="B30" i="34"/>
  <c r="L30" i="34"/>
  <c r="M30" i="34"/>
  <c r="N30" i="34"/>
  <c r="B31" i="34"/>
  <c r="L31" i="34"/>
  <c r="M31" i="34"/>
  <c r="N31" i="34"/>
  <c r="B32" i="34"/>
  <c r="L32" i="34"/>
  <c r="M32" i="34"/>
  <c r="N32" i="34"/>
  <c r="B33" i="34"/>
  <c r="L33" i="34"/>
  <c r="M33" i="34"/>
  <c r="N33" i="34"/>
  <c r="B34" i="34"/>
  <c r="L34" i="34"/>
  <c r="M34" i="34"/>
  <c r="N34" i="34"/>
  <c r="B35" i="34"/>
  <c r="L35" i="34"/>
  <c r="M35" i="34"/>
  <c r="N35" i="34"/>
  <c r="B36" i="34"/>
  <c r="L36" i="34"/>
  <c r="M36" i="34"/>
  <c r="N36" i="34"/>
  <c r="B37" i="34"/>
  <c r="L37" i="34"/>
  <c r="M37" i="34"/>
  <c r="N37" i="34"/>
  <c r="B38" i="34"/>
  <c r="L38" i="34"/>
  <c r="M38" i="34"/>
  <c r="N38" i="34"/>
  <c r="B39" i="34"/>
  <c r="L39" i="34"/>
  <c r="M39" i="34"/>
  <c r="N39" i="34"/>
  <c r="B40" i="34"/>
  <c r="L40" i="34"/>
  <c r="M40" i="34"/>
  <c r="N40" i="34"/>
  <c r="B41" i="34"/>
  <c r="L41" i="34"/>
  <c r="M41" i="34"/>
  <c r="N41" i="34"/>
  <c r="B42" i="34"/>
  <c r="L42" i="34"/>
  <c r="M42" i="34"/>
  <c r="N42" i="34"/>
  <c r="B43" i="34"/>
  <c r="L43" i="34"/>
  <c r="M43" i="34"/>
  <c r="N43" i="34"/>
  <c r="B44" i="34"/>
  <c r="L44" i="34"/>
  <c r="M44" i="34"/>
  <c r="N44" i="34"/>
  <c r="B45" i="34"/>
  <c r="L45" i="34"/>
  <c r="M45" i="34"/>
  <c r="N45" i="34"/>
  <c r="B46" i="34"/>
  <c r="L46" i="34"/>
  <c r="M46" i="34"/>
  <c r="N46" i="34"/>
  <c r="B47" i="34"/>
  <c r="L47" i="34"/>
  <c r="M47" i="34"/>
  <c r="N47" i="34"/>
  <c r="B48" i="34"/>
  <c r="L48" i="34"/>
  <c r="M48" i="34"/>
  <c r="N48" i="34"/>
  <c r="B49" i="34"/>
  <c r="L49" i="34"/>
  <c r="M49" i="34"/>
  <c r="N49" i="34"/>
  <c r="B50" i="34"/>
  <c r="L50" i="34"/>
  <c r="M50" i="34"/>
  <c r="N50" i="34"/>
  <c r="B51" i="34"/>
  <c r="L51" i="34"/>
  <c r="M51" i="34"/>
  <c r="N51" i="34"/>
  <c r="B52" i="34"/>
  <c r="L52" i="34"/>
  <c r="M52" i="34"/>
  <c r="N52" i="34"/>
  <c r="B53" i="34"/>
  <c r="L53" i="34"/>
  <c r="M53" i="34"/>
  <c r="N53" i="34"/>
  <c r="B54" i="34"/>
  <c r="L54" i="34"/>
  <c r="M54" i="34"/>
  <c r="N54" i="34"/>
  <c r="B55" i="34"/>
  <c r="L55" i="34"/>
  <c r="M55" i="34"/>
  <c r="N55" i="34"/>
  <c r="B56" i="34"/>
  <c r="L56" i="34"/>
  <c r="M56" i="34"/>
  <c r="N56" i="34"/>
  <c r="B57" i="34"/>
  <c r="L57" i="34"/>
  <c r="M57" i="34"/>
  <c r="N57" i="34"/>
  <c r="B58" i="34"/>
  <c r="L58" i="34"/>
  <c r="M58" i="34"/>
  <c r="N58" i="34"/>
  <c r="B59" i="34"/>
  <c r="L59" i="34"/>
  <c r="M59" i="34"/>
  <c r="N59" i="34"/>
  <c r="B60" i="34"/>
  <c r="L60" i="34"/>
  <c r="M60" i="34"/>
  <c r="N60" i="34"/>
  <c r="B61" i="34"/>
  <c r="L61" i="34"/>
  <c r="M61" i="34"/>
  <c r="N61" i="34"/>
  <c r="B62" i="34"/>
  <c r="L62" i="34"/>
  <c r="M62" i="34"/>
  <c r="N62" i="34"/>
  <c r="B63" i="34"/>
  <c r="L63" i="34"/>
  <c r="M63" i="34"/>
  <c r="N63" i="34"/>
  <c r="B64" i="34"/>
  <c r="L64" i="34"/>
  <c r="M64" i="34"/>
  <c r="N64" i="34"/>
  <c r="B65" i="34"/>
  <c r="L65" i="34"/>
  <c r="M65" i="34"/>
  <c r="N65" i="34"/>
  <c r="B66" i="34"/>
  <c r="L66" i="34"/>
  <c r="M66" i="34"/>
  <c r="N66" i="34"/>
  <c r="B67" i="34"/>
  <c r="L67" i="34"/>
  <c r="M67" i="34"/>
  <c r="N67" i="34"/>
  <c r="B68" i="34"/>
  <c r="L68" i="34"/>
  <c r="M68" i="34"/>
  <c r="N68" i="34"/>
  <c r="B69" i="34"/>
  <c r="L69" i="34"/>
  <c r="M69" i="34"/>
  <c r="N69" i="34"/>
  <c r="B70" i="34"/>
  <c r="L70" i="34"/>
  <c r="M70" i="34"/>
  <c r="N70" i="34"/>
  <c r="B71" i="34"/>
  <c r="L71" i="34"/>
  <c r="M71" i="34"/>
  <c r="N71" i="34"/>
  <c r="B72" i="34"/>
  <c r="L72" i="34"/>
  <c r="M72" i="34"/>
  <c r="N72" i="34"/>
  <c r="B73" i="34"/>
  <c r="L73" i="34"/>
  <c r="M73" i="34"/>
  <c r="N73" i="34"/>
  <c r="B74" i="34"/>
  <c r="L74" i="34"/>
  <c r="M74" i="34"/>
  <c r="N74" i="34"/>
  <c r="B75" i="34"/>
  <c r="L75" i="34"/>
  <c r="M75" i="34"/>
  <c r="N75" i="34"/>
  <c r="B76" i="34"/>
  <c r="L76" i="34"/>
  <c r="M76" i="34"/>
  <c r="N76" i="34"/>
  <c r="B77" i="34"/>
  <c r="L77" i="34"/>
  <c r="M77" i="34"/>
  <c r="N77" i="34"/>
  <c r="B78" i="34"/>
  <c r="L78" i="34"/>
  <c r="N78" i="34"/>
  <c r="N80" i="34"/>
  <c r="N81" i="34"/>
  <c r="M82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18" i="34"/>
  <c r="E6" i="34"/>
  <c r="E7" i="34"/>
  <c r="N16" i="34"/>
  <c r="T18" i="34"/>
  <c r="T19" i="34"/>
  <c r="S20" i="34"/>
  <c r="T20" i="34"/>
  <c r="S21" i="34"/>
  <c r="T21" i="34"/>
  <c r="S22" i="34"/>
  <c r="T22" i="34"/>
  <c r="S23" i="34"/>
  <c r="T23" i="34"/>
  <c r="S24" i="34"/>
  <c r="T24" i="34"/>
  <c r="S25" i="34"/>
  <c r="T25" i="34"/>
  <c r="S26" i="34"/>
  <c r="T26" i="34"/>
  <c r="S27" i="34"/>
  <c r="T27" i="34"/>
  <c r="S28" i="34"/>
  <c r="T28" i="34"/>
  <c r="S29" i="34"/>
  <c r="T29" i="34"/>
  <c r="S30" i="34"/>
  <c r="T30" i="34"/>
  <c r="S31" i="34"/>
  <c r="T31" i="34"/>
  <c r="S32" i="34"/>
  <c r="T32" i="34"/>
  <c r="S33" i="34"/>
  <c r="T33" i="34"/>
  <c r="S34" i="34"/>
  <c r="T34" i="34"/>
  <c r="S35" i="34"/>
  <c r="T35" i="34"/>
  <c r="S36" i="34"/>
  <c r="T36" i="34"/>
  <c r="S37" i="34"/>
  <c r="T37" i="34"/>
  <c r="S38" i="34"/>
  <c r="T38" i="34"/>
  <c r="S39" i="34"/>
  <c r="T39" i="34"/>
  <c r="S40" i="34"/>
  <c r="T40" i="34"/>
  <c r="S41" i="34"/>
  <c r="T41" i="34"/>
  <c r="S42" i="34"/>
  <c r="T42" i="34"/>
  <c r="S43" i="34"/>
  <c r="T43" i="34"/>
  <c r="S44" i="34"/>
  <c r="T44" i="34"/>
  <c r="S45" i="34"/>
  <c r="T45" i="34"/>
  <c r="S46" i="34"/>
  <c r="T46" i="34"/>
  <c r="S47" i="34"/>
  <c r="T47" i="34"/>
  <c r="S48" i="34"/>
  <c r="T48" i="34"/>
  <c r="S49" i="34"/>
  <c r="T49" i="34"/>
  <c r="S50" i="34"/>
  <c r="T50" i="34"/>
  <c r="S51" i="34"/>
  <c r="T51" i="34"/>
  <c r="S52" i="34"/>
  <c r="T52" i="34"/>
  <c r="S53" i="34"/>
  <c r="T53" i="34"/>
  <c r="S54" i="34"/>
  <c r="T54" i="34"/>
  <c r="S55" i="34"/>
  <c r="T55" i="34"/>
  <c r="S56" i="34"/>
  <c r="T56" i="34"/>
  <c r="S57" i="34"/>
  <c r="T57" i="34"/>
  <c r="S58" i="34"/>
  <c r="T58" i="34"/>
  <c r="S59" i="34"/>
  <c r="T59" i="34"/>
  <c r="S60" i="34"/>
  <c r="T60" i="34"/>
  <c r="S61" i="34"/>
  <c r="T61" i="34"/>
  <c r="S62" i="34"/>
  <c r="T62" i="34"/>
  <c r="S63" i="34"/>
  <c r="T63" i="34"/>
  <c r="S64" i="34"/>
  <c r="T64" i="34"/>
  <c r="S65" i="34"/>
  <c r="T65" i="34"/>
  <c r="S66" i="34"/>
  <c r="T66" i="34"/>
  <c r="S67" i="34"/>
  <c r="T67" i="34"/>
  <c r="S68" i="34"/>
  <c r="T68" i="34"/>
  <c r="S69" i="34"/>
  <c r="T69" i="34"/>
  <c r="S70" i="34"/>
  <c r="T70" i="34"/>
  <c r="S71" i="34"/>
  <c r="T71" i="34"/>
  <c r="S72" i="34"/>
  <c r="T72" i="34"/>
  <c r="S73" i="34"/>
  <c r="T73" i="34"/>
  <c r="S74" i="34"/>
  <c r="T74" i="34"/>
  <c r="S75" i="34"/>
  <c r="T75" i="34"/>
  <c r="S76" i="34"/>
  <c r="T76" i="34"/>
  <c r="S77" i="34"/>
  <c r="T77" i="34"/>
  <c r="T78" i="34"/>
  <c r="T79" i="34"/>
  <c r="H58" i="34"/>
  <c r="J58" i="34"/>
  <c r="H59" i="34"/>
  <c r="J59" i="34"/>
  <c r="I60" i="34"/>
  <c r="H60" i="34"/>
  <c r="J60" i="34"/>
  <c r="I61" i="34"/>
  <c r="H61" i="34"/>
  <c r="J61" i="34"/>
  <c r="I62" i="34"/>
  <c r="H62" i="34"/>
  <c r="J62" i="34"/>
  <c r="I63" i="34"/>
  <c r="H63" i="34"/>
  <c r="J63" i="34"/>
  <c r="I64" i="34"/>
  <c r="H64" i="34"/>
  <c r="J64" i="34"/>
  <c r="I65" i="34"/>
  <c r="H65" i="34"/>
  <c r="J65" i="34"/>
  <c r="I66" i="34"/>
  <c r="H66" i="34"/>
  <c r="J66" i="34"/>
  <c r="I67" i="34"/>
  <c r="H67" i="34"/>
  <c r="J67" i="34"/>
  <c r="I68" i="34"/>
  <c r="H68" i="34"/>
  <c r="J68" i="34"/>
  <c r="I69" i="34"/>
  <c r="H69" i="34"/>
  <c r="J69" i="34"/>
  <c r="I70" i="34"/>
  <c r="H70" i="34"/>
  <c r="J70" i="34"/>
  <c r="I71" i="34"/>
  <c r="H71" i="34"/>
  <c r="J71" i="34"/>
  <c r="I72" i="34"/>
  <c r="H72" i="34"/>
  <c r="J72" i="34"/>
  <c r="I73" i="34"/>
  <c r="H73" i="34"/>
  <c r="J73" i="34"/>
  <c r="I74" i="34"/>
  <c r="H74" i="34"/>
  <c r="J74" i="34"/>
  <c r="I75" i="34"/>
  <c r="H75" i="34"/>
  <c r="J75" i="34"/>
  <c r="I76" i="34"/>
  <c r="H76" i="34"/>
  <c r="J76" i="34"/>
  <c r="I77" i="34"/>
  <c r="H77" i="34"/>
  <c r="J77" i="34"/>
  <c r="H78" i="34"/>
  <c r="J78" i="34"/>
  <c r="J79" i="34"/>
  <c r="F18" i="34"/>
  <c r="F19" i="34"/>
  <c r="E20" i="34"/>
  <c r="F20" i="34"/>
  <c r="E21" i="34"/>
  <c r="F21" i="34"/>
  <c r="E22" i="34"/>
  <c r="F22" i="34"/>
  <c r="E23" i="34"/>
  <c r="F23" i="34"/>
  <c r="E24" i="34"/>
  <c r="F24" i="34"/>
  <c r="E25" i="34"/>
  <c r="F25" i="34"/>
  <c r="E26" i="34"/>
  <c r="F26" i="34"/>
  <c r="E27" i="34"/>
  <c r="F27" i="34"/>
  <c r="E28" i="34"/>
  <c r="F28" i="34"/>
  <c r="E29" i="34"/>
  <c r="F29" i="34"/>
  <c r="E30" i="34"/>
  <c r="F30" i="34"/>
  <c r="E31" i="34"/>
  <c r="F31" i="34"/>
  <c r="E32" i="34"/>
  <c r="F32" i="34"/>
  <c r="E33" i="34"/>
  <c r="F33" i="34"/>
  <c r="E34" i="34"/>
  <c r="F34" i="34"/>
  <c r="E35" i="34"/>
  <c r="F35" i="34"/>
  <c r="E36" i="34"/>
  <c r="F36" i="34"/>
  <c r="E37" i="34"/>
  <c r="F37" i="34"/>
  <c r="E38" i="34"/>
  <c r="F38" i="34"/>
  <c r="E39" i="34"/>
  <c r="F39" i="34"/>
  <c r="E40" i="34"/>
  <c r="F40" i="34"/>
  <c r="E41" i="34"/>
  <c r="F41" i="34"/>
  <c r="E42" i="34"/>
  <c r="F42" i="34"/>
  <c r="E43" i="34"/>
  <c r="F43" i="34"/>
  <c r="E44" i="34"/>
  <c r="F44" i="34"/>
  <c r="E45" i="34"/>
  <c r="F45" i="34"/>
  <c r="E46" i="34"/>
  <c r="F46" i="34"/>
  <c r="E47" i="34"/>
  <c r="F47" i="34"/>
  <c r="E48" i="34"/>
  <c r="F48" i="34"/>
  <c r="E49" i="34"/>
  <c r="F49" i="34"/>
  <c r="E50" i="34"/>
  <c r="F50" i="34"/>
  <c r="E51" i="34"/>
  <c r="F51" i="34"/>
  <c r="E52" i="34"/>
  <c r="F52" i="34"/>
  <c r="E53" i="34"/>
  <c r="F53" i="34"/>
  <c r="E54" i="34"/>
  <c r="F54" i="34"/>
  <c r="E55" i="34"/>
  <c r="F55" i="34"/>
  <c r="E56" i="34"/>
  <c r="F56" i="34"/>
  <c r="E57" i="34"/>
  <c r="F57" i="34"/>
  <c r="F58" i="34"/>
  <c r="F59" i="34"/>
  <c r="B4" i="34"/>
  <c r="B13" i="33"/>
  <c r="C13" i="33"/>
  <c r="B14" i="33"/>
  <c r="C14" i="33"/>
  <c r="B15" i="33"/>
  <c r="C15" i="33"/>
  <c r="B16" i="33"/>
  <c r="C16" i="33"/>
  <c r="B17" i="33"/>
  <c r="C17" i="33"/>
  <c r="B18" i="33"/>
  <c r="C18" i="33"/>
  <c r="B19" i="33"/>
  <c r="C19" i="33"/>
  <c r="B20" i="33"/>
  <c r="C20" i="33"/>
  <c r="B21" i="33"/>
  <c r="C21" i="33"/>
  <c r="B22" i="33"/>
  <c r="C22" i="33"/>
  <c r="B23" i="33"/>
  <c r="C23" i="33"/>
  <c r="B24" i="33"/>
  <c r="C24" i="33"/>
  <c r="B25" i="33"/>
  <c r="C25" i="33"/>
  <c r="B26" i="33"/>
  <c r="C26" i="33"/>
  <c r="B27" i="33"/>
  <c r="C27" i="33"/>
  <c r="B28" i="33"/>
  <c r="C28" i="33"/>
  <c r="B29" i="33"/>
  <c r="C29" i="33"/>
  <c r="B30" i="33"/>
  <c r="C30" i="33"/>
  <c r="B31" i="33"/>
  <c r="C31" i="33"/>
  <c r="B32" i="33"/>
  <c r="C32" i="33"/>
  <c r="B33" i="33"/>
  <c r="C33" i="33"/>
  <c r="B34" i="33"/>
  <c r="C34" i="33"/>
  <c r="B35" i="33"/>
  <c r="C35" i="33"/>
  <c r="B36" i="33"/>
  <c r="C36" i="33"/>
  <c r="B37" i="33"/>
  <c r="C37" i="33"/>
  <c r="B38" i="33"/>
  <c r="C38" i="33"/>
  <c r="B39" i="33"/>
  <c r="C39" i="33"/>
  <c r="B40" i="33"/>
  <c r="C40" i="33"/>
  <c r="B41" i="33"/>
  <c r="C41" i="33"/>
  <c r="B42" i="33"/>
  <c r="C42" i="33"/>
  <c r="B43" i="33"/>
  <c r="C43" i="33"/>
  <c r="B44" i="33"/>
  <c r="C44" i="33"/>
  <c r="B45" i="33"/>
  <c r="C45" i="33"/>
  <c r="B46" i="33"/>
  <c r="C46" i="33"/>
  <c r="B47" i="33"/>
  <c r="C47" i="33"/>
  <c r="B48" i="33"/>
  <c r="C48" i="33"/>
  <c r="B49" i="33"/>
  <c r="C49" i="33"/>
  <c r="B50" i="33"/>
  <c r="C50" i="33"/>
  <c r="B51" i="33"/>
  <c r="C51" i="33"/>
  <c r="B52" i="33"/>
  <c r="C52" i="33"/>
  <c r="B53" i="33"/>
  <c r="C53" i="33"/>
  <c r="B54" i="33"/>
  <c r="C54" i="33"/>
  <c r="B55" i="33"/>
  <c r="C55" i="33"/>
  <c r="B56" i="33"/>
  <c r="C56" i="33"/>
  <c r="B57" i="33"/>
  <c r="C57" i="33"/>
  <c r="B58" i="33"/>
  <c r="C58" i="33"/>
  <c r="B59" i="33"/>
  <c r="C59" i="33"/>
  <c r="B60" i="33"/>
  <c r="C60" i="33"/>
  <c r="B61" i="33"/>
  <c r="C61" i="33"/>
  <c r="B62" i="33"/>
  <c r="C62" i="33"/>
  <c r="B63" i="33"/>
  <c r="C63" i="33"/>
  <c r="B64" i="33"/>
  <c r="C64" i="33"/>
  <c r="B65" i="33"/>
  <c r="C65" i="33"/>
  <c r="B66" i="33"/>
  <c r="C66" i="33"/>
  <c r="B67" i="33"/>
  <c r="C67" i="33"/>
  <c r="B68" i="33"/>
  <c r="C68" i="33"/>
  <c r="B69" i="33"/>
  <c r="C69" i="33"/>
  <c r="B70" i="33"/>
  <c r="C70" i="33"/>
  <c r="B71" i="33"/>
  <c r="C71" i="33"/>
  <c r="B72" i="33"/>
  <c r="C72" i="33"/>
  <c r="B73" i="33"/>
  <c r="C73" i="33"/>
  <c r="B74" i="33"/>
  <c r="C74" i="33"/>
  <c r="B75" i="33"/>
  <c r="C75" i="33"/>
  <c r="B76" i="33"/>
  <c r="C76" i="33"/>
  <c r="B77" i="33"/>
  <c r="C77" i="33"/>
  <c r="B78" i="33"/>
  <c r="C78" i="33"/>
  <c r="B79" i="33"/>
  <c r="C79" i="33"/>
  <c r="B80" i="33"/>
  <c r="C80" i="33"/>
  <c r="B81" i="33"/>
  <c r="C81" i="33"/>
  <c r="B82" i="33"/>
  <c r="C82" i="33"/>
  <c r="B83" i="33"/>
  <c r="C83" i="33"/>
  <c r="B84" i="33"/>
  <c r="C84" i="33"/>
  <c r="B85" i="33"/>
  <c r="C85" i="33"/>
  <c r="B86" i="33"/>
  <c r="C86" i="33"/>
  <c r="B87" i="33"/>
  <c r="C87" i="33"/>
  <c r="B88" i="33"/>
  <c r="C88" i="33"/>
  <c r="B89" i="33"/>
  <c r="C89" i="33"/>
  <c r="B90" i="33"/>
  <c r="C90" i="33"/>
  <c r="B91" i="33"/>
  <c r="C91" i="33"/>
  <c r="B92" i="33"/>
  <c r="C92" i="33"/>
  <c r="B93" i="33"/>
  <c r="C93" i="33"/>
  <c r="B94" i="33"/>
  <c r="C94" i="33"/>
  <c r="B95" i="33"/>
  <c r="C95" i="33"/>
  <c r="B96" i="33"/>
  <c r="C96" i="33"/>
  <c r="B97" i="33"/>
  <c r="C97" i="33"/>
  <c r="B98" i="33"/>
  <c r="C98" i="33"/>
  <c r="B99" i="33"/>
  <c r="C99" i="33"/>
  <c r="B100" i="33"/>
  <c r="C100" i="33"/>
  <c r="B101" i="33"/>
  <c r="C101" i="33"/>
  <c r="B102" i="33"/>
  <c r="C102" i="33"/>
  <c r="B103" i="33"/>
  <c r="C103" i="33"/>
  <c r="B104" i="33"/>
  <c r="C104" i="33"/>
  <c r="B105" i="33"/>
  <c r="C105" i="33"/>
  <c r="B106" i="33"/>
  <c r="C106" i="33"/>
  <c r="B107" i="33"/>
  <c r="C107" i="33"/>
  <c r="B108" i="33"/>
  <c r="C108" i="33"/>
  <c r="B109" i="33"/>
  <c r="C109" i="33"/>
  <c r="B110" i="33"/>
  <c r="C110" i="33"/>
  <c r="B111" i="33"/>
  <c r="C111" i="33"/>
  <c r="B112" i="33"/>
  <c r="C112" i="33"/>
  <c r="B113" i="33"/>
  <c r="C113" i="33"/>
  <c r="B114" i="33"/>
  <c r="C114" i="33"/>
  <c r="B115" i="33"/>
  <c r="C115" i="33"/>
  <c r="B116" i="33"/>
  <c r="C116" i="33"/>
  <c r="B117" i="33"/>
  <c r="C117" i="33"/>
  <c r="B118" i="33"/>
  <c r="C118" i="33"/>
  <c r="B119" i="33"/>
  <c r="C119" i="33"/>
  <c r="B120" i="33"/>
  <c r="C120" i="33"/>
  <c r="B121" i="33"/>
  <c r="C121" i="33"/>
  <c r="B122" i="33"/>
  <c r="C122" i="33"/>
  <c r="B123" i="33"/>
  <c r="C123" i="33"/>
  <c r="B124" i="33"/>
  <c r="C124" i="33"/>
  <c r="B125" i="33"/>
  <c r="C125" i="33"/>
  <c r="B126" i="33"/>
  <c r="C126" i="33"/>
  <c r="B127" i="33"/>
  <c r="C127" i="33"/>
  <c r="B128" i="33"/>
  <c r="C128" i="33"/>
  <c r="B129" i="33"/>
  <c r="C129" i="33"/>
  <c r="B130" i="33"/>
  <c r="C130" i="33"/>
  <c r="B131" i="33"/>
  <c r="C131" i="33"/>
  <c r="B132" i="33"/>
  <c r="C132" i="33"/>
  <c r="B133" i="33"/>
  <c r="C133" i="33"/>
  <c r="B134" i="33"/>
  <c r="C134" i="33"/>
  <c r="B135" i="33"/>
  <c r="C135" i="33"/>
  <c r="B136" i="33"/>
  <c r="C136" i="33"/>
  <c r="B137" i="33"/>
  <c r="C137" i="33"/>
  <c r="B138" i="33"/>
  <c r="C138" i="33"/>
  <c r="B139" i="33"/>
  <c r="C139" i="33"/>
  <c r="B140" i="33"/>
  <c r="C140" i="33"/>
  <c r="B141" i="33"/>
  <c r="C141" i="33"/>
  <c r="B142" i="33"/>
  <c r="C142" i="33"/>
  <c r="B143" i="33"/>
  <c r="C143" i="33"/>
  <c r="B144" i="33"/>
  <c r="C144" i="33"/>
  <c r="B145" i="33"/>
  <c r="C145" i="33"/>
  <c r="B146" i="33"/>
  <c r="C146" i="33"/>
  <c r="B147" i="33"/>
  <c r="C147" i="33"/>
  <c r="B148" i="33"/>
  <c r="C148" i="33"/>
  <c r="B149" i="33"/>
  <c r="C149" i="33"/>
  <c r="B150" i="33"/>
  <c r="C150" i="33"/>
  <c r="B151" i="33"/>
  <c r="C151" i="33"/>
  <c r="B152" i="33"/>
  <c r="C152" i="33"/>
  <c r="B153" i="33"/>
  <c r="C153" i="33"/>
  <c r="B154" i="33"/>
  <c r="C154" i="33"/>
  <c r="B155" i="33"/>
  <c r="C155" i="33"/>
  <c r="B156" i="33"/>
  <c r="C156" i="33"/>
  <c r="B157" i="33"/>
  <c r="C157" i="33"/>
  <c r="B158" i="33"/>
  <c r="C158" i="33"/>
  <c r="B159" i="33"/>
  <c r="C159" i="33"/>
  <c r="B160" i="33"/>
  <c r="C160" i="33"/>
  <c r="B161" i="33"/>
  <c r="C161" i="33"/>
  <c r="B162" i="33"/>
  <c r="C162" i="33"/>
  <c r="B163" i="33"/>
  <c r="C163" i="33"/>
  <c r="B164" i="33"/>
  <c r="C164" i="33"/>
  <c r="B165" i="33"/>
  <c r="C165" i="33"/>
  <c r="B166" i="33"/>
  <c r="C166" i="33"/>
  <c r="B167" i="33"/>
  <c r="C167" i="33"/>
  <c r="B168" i="33"/>
  <c r="C168" i="33"/>
  <c r="B169" i="33"/>
  <c r="C169" i="33"/>
  <c r="B170" i="33"/>
  <c r="C170" i="33"/>
  <c r="B171" i="33"/>
  <c r="C171" i="33"/>
  <c r="B172" i="33"/>
  <c r="C172" i="33"/>
  <c r="B173" i="33"/>
  <c r="C173" i="33"/>
  <c r="B174" i="33"/>
  <c r="C174" i="33"/>
  <c r="B175" i="33"/>
  <c r="C175" i="33"/>
  <c r="B176" i="33"/>
  <c r="C176" i="33"/>
  <c r="B177" i="33"/>
  <c r="C177" i="33"/>
  <c r="B178" i="33"/>
  <c r="C178" i="33"/>
  <c r="B179" i="33"/>
  <c r="C179" i="33"/>
  <c r="B180" i="33"/>
  <c r="C180" i="33"/>
  <c r="B181" i="33"/>
  <c r="C181" i="33"/>
  <c r="B182" i="33"/>
  <c r="C182" i="33"/>
  <c r="B183" i="33"/>
  <c r="C183" i="33"/>
  <c r="B184" i="33"/>
  <c r="C184" i="33"/>
  <c r="B185" i="33"/>
  <c r="C185" i="33"/>
  <c r="B186" i="33"/>
  <c r="C186" i="33"/>
  <c r="B187" i="33"/>
  <c r="C187" i="33"/>
  <c r="B188" i="33"/>
  <c r="C188" i="33"/>
  <c r="B189" i="33"/>
  <c r="C189" i="33"/>
  <c r="B190" i="33"/>
  <c r="C190" i="33"/>
  <c r="B191" i="33"/>
  <c r="C191" i="33"/>
  <c r="B192" i="33"/>
  <c r="C192" i="33"/>
  <c r="B193" i="33"/>
  <c r="C193" i="33"/>
  <c r="B194" i="33"/>
  <c r="C194" i="33"/>
  <c r="B195" i="33"/>
  <c r="C195" i="33"/>
  <c r="B196" i="33"/>
  <c r="C196" i="33"/>
  <c r="B197" i="33"/>
  <c r="C197" i="33"/>
  <c r="B198" i="33"/>
  <c r="C198" i="33"/>
  <c r="B199" i="33"/>
  <c r="C199" i="33"/>
  <c r="B200" i="33"/>
  <c r="C200" i="33"/>
  <c r="B201" i="33"/>
  <c r="C201" i="33"/>
  <c r="B202" i="33"/>
  <c r="C202" i="33"/>
  <c r="B203" i="33"/>
  <c r="C203" i="33"/>
  <c r="B204" i="33"/>
  <c r="C204" i="33"/>
  <c r="B205" i="33"/>
  <c r="C205" i="33"/>
  <c r="B206" i="33"/>
  <c r="C206" i="33"/>
  <c r="B207" i="33"/>
  <c r="C207" i="33"/>
  <c r="B208" i="33"/>
  <c r="C208" i="33"/>
  <c r="B209" i="33"/>
  <c r="C209" i="33"/>
  <c r="B210" i="33"/>
  <c r="C210" i="33"/>
  <c r="B211" i="33"/>
  <c r="C211" i="33"/>
  <c r="B212" i="33"/>
  <c r="C212" i="33"/>
  <c r="B213" i="33"/>
  <c r="C213" i="33"/>
  <c r="B214" i="33"/>
  <c r="C214" i="33"/>
  <c r="B215" i="33"/>
  <c r="C215" i="33"/>
  <c r="B216" i="33"/>
  <c r="C216" i="33"/>
  <c r="B217" i="33"/>
  <c r="C217" i="33"/>
  <c r="B218" i="33"/>
  <c r="C218" i="33"/>
  <c r="B219" i="33"/>
  <c r="C219" i="33"/>
  <c r="B220" i="33"/>
  <c r="C220" i="33"/>
  <c r="B221" i="33"/>
  <c r="C221" i="33"/>
  <c r="B222" i="33"/>
  <c r="C222" i="33"/>
  <c r="B223" i="33"/>
  <c r="C223" i="33"/>
  <c r="B224" i="33"/>
  <c r="C224" i="33"/>
  <c r="B225" i="33"/>
  <c r="C225" i="33"/>
  <c r="B226" i="33"/>
  <c r="C226" i="33"/>
  <c r="B227" i="33"/>
  <c r="C227" i="33"/>
  <c r="B228" i="33"/>
  <c r="C228" i="33"/>
  <c r="B229" i="33"/>
  <c r="C229" i="33"/>
  <c r="B230" i="33"/>
  <c r="C230" i="33"/>
  <c r="B231" i="33"/>
  <c r="C231" i="33"/>
  <c r="B232" i="33"/>
  <c r="C232" i="33"/>
  <c r="B233" i="33"/>
  <c r="C233" i="33"/>
  <c r="B234" i="33"/>
  <c r="C234" i="33"/>
  <c r="B235" i="33"/>
  <c r="C235" i="33"/>
  <c r="B236" i="33"/>
  <c r="C236" i="33"/>
  <c r="B237" i="33"/>
  <c r="C237" i="33"/>
  <c r="B238" i="33"/>
  <c r="C238" i="33"/>
  <c r="B239" i="33"/>
  <c r="C239" i="33"/>
  <c r="B240" i="33"/>
  <c r="C240" i="33"/>
  <c r="B241" i="33"/>
  <c r="C241" i="33"/>
  <c r="B242" i="33"/>
  <c r="C242" i="33"/>
  <c r="B243" i="33"/>
  <c r="C243" i="33"/>
  <c r="B244" i="33"/>
  <c r="C244" i="33"/>
  <c r="B245" i="33"/>
  <c r="C245" i="33"/>
  <c r="B246" i="33"/>
  <c r="C246" i="33"/>
  <c r="B247" i="33"/>
  <c r="C247" i="33"/>
  <c r="B248" i="33"/>
  <c r="C248" i="33"/>
  <c r="B249" i="33"/>
  <c r="C249" i="33"/>
  <c r="B250" i="33"/>
  <c r="C250" i="33"/>
  <c r="B251" i="33"/>
  <c r="C251" i="33"/>
  <c r="B252" i="33"/>
  <c r="C252" i="33"/>
  <c r="C12" i="33"/>
  <c r="B12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111" i="33"/>
  <c r="F112" i="33"/>
  <c r="F113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7" i="33"/>
  <c r="F128" i="33"/>
  <c r="F129" i="33"/>
  <c r="F130" i="33"/>
  <c r="F131" i="33"/>
  <c r="F132" i="33"/>
  <c r="F133" i="33"/>
  <c r="F134" i="33"/>
  <c r="F135" i="33"/>
  <c r="F136" i="33"/>
  <c r="F137" i="33"/>
  <c r="F138" i="33"/>
  <c r="F139" i="33"/>
  <c r="F140" i="33"/>
  <c r="F141" i="33"/>
  <c r="F142" i="33"/>
  <c r="F143" i="33"/>
  <c r="F144" i="33"/>
  <c r="F145" i="3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4" i="33"/>
  <c r="F185" i="33"/>
  <c r="F186" i="33"/>
  <c r="F187" i="33"/>
  <c r="F188" i="33"/>
  <c r="F189" i="33"/>
  <c r="F190" i="33"/>
  <c r="F191" i="33"/>
  <c r="F192" i="33"/>
  <c r="F193" i="33"/>
  <c r="F194" i="33"/>
  <c r="F195" i="33"/>
  <c r="F196" i="33"/>
  <c r="F197" i="33"/>
  <c r="F198" i="33"/>
  <c r="F199" i="33"/>
  <c r="F200" i="33"/>
  <c r="F201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0" i="33"/>
  <c r="F221" i="33"/>
  <c r="F222" i="33"/>
  <c r="F223" i="33"/>
  <c r="F224" i="33"/>
  <c r="F225" i="33"/>
  <c r="F226" i="33"/>
  <c r="F227" i="33"/>
  <c r="F228" i="33"/>
  <c r="F229" i="33"/>
  <c r="F230" i="33"/>
  <c r="F231" i="33"/>
  <c r="F232" i="33"/>
  <c r="F233" i="33"/>
  <c r="F234" i="33"/>
  <c r="F235" i="33"/>
  <c r="F236" i="33"/>
  <c r="F237" i="33"/>
  <c r="F238" i="33"/>
  <c r="F239" i="33"/>
  <c r="F240" i="33"/>
  <c r="F241" i="33"/>
  <c r="F242" i="33"/>
  <c r="F243" i="33"/>
  <c r="F244" i="33"/>
  <c r="F245" i="33"/>
  <c r="F246" i="33"/>
  <c r="F247" i="33"/>
  <c r="F248" i="33"/>
  <c r="F249" i="33"/>
  <c r="F250" i="33"/>
  <c r="F251" i="33"/>
  <c r="F253" i="33"/>
  <c r="E251" i="33"/>
  <c r="E25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E104" i="33"/>
  <c r="E105" i="33"/>
  <c r="E106" i="33"/>
  <c r="E107" i="33"/>
  <c r="E108" i="33"/>
  <c r="E109" i="33"/>
  <c r="E110" i="33"/>
  <c r="E111" i="33"/>
  <c r="E112" i="33"/>
  <c r="E113" i="33"/>
  <c r="E114" i="33"/>
  <c r="E115" i="33"/>
  <c r="E116" i="33"/>
  <c r="E117" i="33"/>
  <c r="E118" i="33"/>
  <c r="E119" i="33"/>
  <c r="E120" i="33"/>
  <c r="E121" i="33"/>
  <c r="E122" i="33"/>
  <c r="E123" i="33"/>
  <c r="E124" i="33"/>
  <c r="E125" i="33"/>
  <c r="E126" i="33"/>
  <c r="E127" i="33"/>
  <c r="E128" i="33"/>
  <c r="E129" i="33"/>
  <c r="E130" i="33"/>
  <c r="E131" i="33"/>
  <c r="E132" i="33"/>
  <c r="E133" i="33"/>
  <c r="E134" i="33"/>
  <c r="E135" i="33"/>
  <c r="E136" i="33"/>
  <c r="E137" i="33"/>
  <c r="E138" i="33"/>
  <c r="E139" i="33"/>
  <c r="E140" i="33"/>
  <c r="E141" i="33"/>
  <c r="E142" i="33"/>
  <c r="E143" i="33"/>
  <c r="E144" i="33"/>
  <c r="E145" i="33"/>
  <c r="E146" i="33"/>
  <c r="E147" i="33"/>
  <c r="E148" i="33"/>
  <c r="E149" i="33"/>
  <c r="E150" i="33"/>
  <c r="E151" i="33"/>
  <c r="E152" i="33"/>
  <c r="E153" i="33"/>
  <c r="E154" i="33"/>
  <c r="E155" i="33"/>
  <c r="E156" i="33"/>
  <c r="E157" i="33"/>
  <c r="E158" i="33"/>
  <c r="E159" i="33"/>
  <c r="E160" i="33"/>
  <c r="E161" i="33"/>
  <c r="E162" i="33"/>
  <c r="E163" i="33"/>
  <c r="E164" i="33"/>
  <c r="E165" i="33"/>
  <c r="E166" i="33"/>
  <c r="E167" i="33"/>
  <c r="E168" i="33"/>
  <c r="E169" i="33"/>
  <c r="E170" i="33"/>
  <c r="E171" i="33"/>
  <c r="E172" i="33"/>
  <c r="E173" i="33"/>
  <c r="E174" i="33"/>
  <c r="E175" i="33"/>
  <c r="E176" i="33"/>
  <c r="E177" i="33"/>
  <c r="E178" i="33"/>
  <c r="E179" i="33"/>
  <c r="E180" i="33"/>
  <c r="E181" i="33"/>
  <c r="E182" i="33"/>
  <c r="E183" i="33"/>
  <c r="E184" i="33"/>
  <c r="E185" i="33"/>
  <c r="E186" i="33"/>
  <c r="E187" i="33"/>
  <c r="E188" i="33"/>
  <c r="E189" i="33"/>
  <c r="E190" i="33"/>
  <c r="E191" i="33"/>
  <c r="E192" i="33"/>
  <c r="E193" i="33"/>
  <c r="E194" i="33"/>
  <c r="E195" i="33"/>
  <c r="E196" i="33"/>
  <c r="E197" i="33"/>
  <c r="E198" i="33"/>
  <c r="E199" i="33"/>
  <c r="E200" i="33"/>
  <c r="E201" i="33"/>
  <c r="E202" i="33"/>
  <c r="E203" i="33"/>
  <c r="E204" i="33"/>
  <c r="E205" i="33"/>
  <c r="E206" i="33"/>
  <c r="E207" i="33"/>
  <c r="E208" i="33"/>
  <c r="E209" i="33"/>
  <c r="E210" i="33"/>
  <c r="E211" i="33"/>
  <c r="E212" i="33"/>
  <c r="E213" i="33"/>
  <c r="E214" i="33"/>
  <c r="E215" i="33"/>
  <c r="E216" i="33"/>
  <c r="E217" i="33"/>
  <c r="E218" i="33"/>
  <c r="E219" i="33"/>
  <c r="E220" i="33"/>
  <c r="E221" i="33"/>
  <c r="E222" i="33"/>
  <c r="E223" i="33"/>
  <c r="E224" i="33"/>
  <c r="E225" i="33"/>
  <c r="E226" i="33"/>
  <c r="E227" i="33"/>
  <c r="E228" i="33"/>
  <c r="E229" i="33"/>
  <c r="E230" i="33"/>
  <c r="E231" i="33"/>
  <c r="E232" i="33"/>
  <c r="E233" i="33"/>
  <c r="E234" i="33"/>
  <c r="E235" i="33"/>
  <c r="E236" i="33"/>
  <c r="E237" i="33"/>
  <c r="E238" i="33"/>
  <c r="E239" i="33"/>
  <c r="E240" i="33"/>
  <c r="E241" i="33"/>
  <c r="E242" i="33"/>
  <c r="E243" i="33"/>
  <c r="E244" i="33"/>
  <c r="E245" i="33"/>
  <c r="E246" i="33"/>
  <c r="E247" i="33"/>
  <c r="E248" i="33"/>
  <c r="E249" i="33"/>
  <c r="E250" i="33"/>
  <c r="E12" i="33"/>
  <c r="B3" i="33"/>
  <c r="B8" i="33"/>
  <c r="B4" i="33"/>
  <c r="B9" i="33"/>
  <c r="G12" i="33"/>
  <c r="A13" i="33"/>
  <c r="G13" i="33"/>
  <c r="A14" i="33"/>
  <c r="D14" i="33"/>
  <c r="G14" i="33"/>
  <c r="A15" i="33"/>
  <c r="D15" i="33"/>
  <c r="G15" i="33"/>
  <c r="A16" i="33"/>
  <c r="D16" i="33"/>
  <c r="G16" i="33"/>
  <c r="A17" i="33"/>
  <c r="D17" i="33"/>
  <c r="G17" i="33"/>
  <c r="A18" i="33"/>
  <c r="D18" i="33"/>
  <c r="G18" i="33"/>
  <c r="A19" i="33"/>
  <c r="D19" i="33"/>
  <c r="G19" i="33"/>
  <c r="A20" i="33"/>
  <c r="D20" i="33"/>
  <c r="G20" i="33"/>
  <c r="A21" i="33"/>
  <c r="D21" i="33"/>
  <c r="G21" i="33"/>
  <c r="A22" i="33"/>
  <c r="D22" i="33"/>
  <c r="G22" i="33"/>
  <c r="A23" i="33"/>
  <c r="D23" i="33"/>
  <c r="G23" i="33"/>
  <c r="A24" i="33"/>
  <c r="D24" i="33"/>
  <c r="G24" i="33"/>
  <c r="A25" i="33"/>
  <c r="D25" i="33"/>
  <c r="G25" i="33"/>
  <c r="A26" i="33"/>
  <c r="D26" i="33"/>
  <c r="G26" i="33"/>
  <c r="A27" i="33"/>
  <c r="D27" i="33"/>
  <c r="G27" i="33"/>
  <c r="A28" i="33"/>
  <c r="D28" i="33"/>
  <c r="G28" i="33"/>
  <c r="A29" i="33"/>
  <c r="D29" i="33"/>
  <c r="G29" i="33"/>
  <c r="A30" i="33"/>
  <c r="D30" i="33"/>
  <c r="G30" i="33"/>
  <c r="A31" i="33"/>
  <c r="D31" i="33"/>
  <c r="G31" i="33"/>
  <c r="A32" i="33"/>
  <c r="D32" i="33"/>
  <c r="G32" i="33"/>
  <c r="A33" i="33"/>
  <c r="D33" i="33"/>
  <c r="G33" i="33"/>
  <c r="A34" i="33"/>
  <c r="D34" i="33"/>
  <c r="G34" i="33"/>
  <c r="A35" i="33"/>
  <c r="D35" i="33"/>
  <c r="G35" i="33"/>
  <c r="A36" i="33"/>
  <c r="D36" i="33"/>
  <c r="G36" i="33"/>
  <c r="A37" i="33"/>
  <c r="D37" i="33"/>
  <c r="G37" i="33"/>
  <c r="A38" i="33"/>
  <c r="D38" i="33"/>
  <c r="G38" i="33"/>
  <c r="A39" i="33"/>
  <c r="D39" i="33"/>
  <c r="G39" i="33"/>
  <c r="A40" i="33"/>
  <c r="D40" i="33"/>
  <c r="G40" i="33"/>
  <c r="A41" i="33"/>
  <c r="D41" i="33"/>
  <c r="G41" i="33"/>
  <c r="A42" i="33"/>
  <c r="D42" i="33"/>
  <c r="G42" i="33"/>
  <c r="A43" i="33"/>
  <c r="D43" i="33"/>
  <c r="G43" i="33"/>
  <c r="A44" i="33"/>
  <c r="D44" i="33"/>
  <c r="G44" i="33"/>
  <c r="A45" i="33"/>
  <c r="D45" i="33"/>
  <c r="G45" i="33"/>
  <c r="A46" i="33"/>
  <c r="D46" i="33"/>
  <c r="G46" i="33"/>
  <c r="A47" i="33"/>
  <c r="D47" i="33"/>
  <c r="G47" i="33"/>
  <c r="A48" i="33"/>
  <c r="D48" i="33"/>
  <c r="G48" i="33"/>
  <c r="A49" i="33"/>
  <c r="D49" i="33"/>
  <c r="G49" i="33"/>
  <c r="A50" i="33"/>
  <c r="D50" i="33"/>
  <c r="G50" i="33"/>
  <c r="A51" i="33"/>
  <c r="D51" i="33"/>
  <c r="G51" i="33"/>
  <c r="A52" i="33"/>
  <c r="D52" i="33"/>
  <c r="G52" i="33"/>
  <c r="A53" i="33"/>
  <c r="D53" i="33"/>
  <c r="G53" i="33"/>
  <c r="A54" i="33"/>
  <c r="D54" i="33"/>
  <c r="G54" i="33"/>
  <c r="A55" i="33"/>
  <c r="D55" i="33"/>
  <c r="G55" i="33"/>
  <c r="A56" i="33"/>
  <c r="D56" i="33"/>
  <c r="G56" i="33"/>
  <c r="A57" i="33"/>
  <c r="D57" i="33"/>
  <c r="G57" i="33"/>
  <c r="A58" i="33"/>
  <c r="D58" i="33"/>
  <c r="G58" i="33"/>
  <c r="A59" i="33"/>
  <c r="D59" i="33"/>
  <c r="G59" i="33"/>
  <c r="A60" i="33"/>
  <c r="D60" i="33"/>
  <c r="G60" i="33"/>
  <c r="A61" i="33"/>
  <c r="D61" i="33"/>
  <c r="G61" i="33"/>
  <c r="A62" i="33"/>
  <c r="D62" i="33"/>
  <c r="G62" i="33"/>
  <c r="A63" i="33"/>
  <c r="D63" i="33"/>
  <c r="G63" i="33"/>
  <c r="A64" i="33"/>
  <c r="D64" i="33"/>
  <c r="G64" i="33"/>
  <c r="A65" i="33"/>
  <c r="D65" i="33"/>
  <c r="G65" i="33"/>
  <c r="A66" i="33"/>
  <c r="D66" i="33"/>
  <c r="G66" i="33"/>
  <c r="A67" i="33"/>
  <c r="D67" i="33"/>
  <c r="G67" i="33"/>
  <c r="A68" i="33"/>
  <c r="D68" i="33"/>
  <c r="G68" i="33"/>
  <c r="A69" i="33"/>
  <c r="D69" i="33"/>
  <c r="G69" i="33"/>
  <c r="A70" i="33"/>
  <c r="D70" i="33"/>
  <c r="G70" i="33"/>
  <c r="A71" i="33"/>
  <c r="D71" i="33"/>
  <c r="G71" i="33"/>
  <c r="A72" i="33"/>
  <c r="D72" i="33"/>
  <c r="G72" i="33"/>
  <c r="A73" i="33"/>
  <c r="D73" i="33"/>
  <c r="G73" i="33"/>
  <c r="A74" i="33"/>
  <c r="D74" i="33"/>
  <c r="G74" i="33"/>
  <c r="A75" i="33"/>
  <c r="D75" i="33"/>
  <c r="G75" i="33"/>
  <c r="A76" i="33"/>
  <c r="D76" i="33"/>
  <c r="G76" i="33"/>
  <c r="A77" i="33"/>
  <c r="D77" i="33"/>
  <c r="G77" i="33"/>
  <c r="A78" i="33"/>
  <c r="D78" i="33"/>
  <c r="G78" i="33"/>
  <c r="A79" i="33"/>
  <c r="D79" i="33"/>
  <c r="G79" i="33"/>
  <c r="A80" i="33"/>
  <c r="D80" i="33"/>
  <c r="G80" i="33"/>
  <c r="A81" i="33"/>
  <c r="D81" i="33"/>
  <c r="G81" i="33"/>
  <c r="A82" i="33"/>
  <c r="D82" i="33"/>
  <c r="G82" i="33"/>
  <c r="A83" i="33"/>
  <c r="D83" i="33"/>
  <c r="G83" i="33"/>
  <c r="A84" i="33"/>
  <c r="D84" i="33"/>
  <c r="G84" i="33"/>
  <c r="A85" i="33"/>
  <c r="D85" i="33"/>
  <c r="G85" i="33"/>
  <c r="A86" i="33"/>
  <c r="D86" i="33"/>
  <c r="G86" i="33"/>
  <c r="A87" i="33"/>
  <c r="D87" i="33"/>
  <c r="G87" i="33"/>
  <c r="A88" i="33"/>
  <c r="D88" i="33"/>
  <c r="G88" i="33"/>
  <c r="A89" i="33"/>
  <c r="D89" i="33"/>
  <c r="G89" i="33"/>
  <c r="A90" i="33"/>
  <c r="D90" i="33"/>
  <c r="G90" i="33"/>
  <c r="A91" i="33"/>
  <c r="D91" i="33"/>
  <c r="G91" i="33"/>
  <c r="A92" i="33"/>
  <c r="D92" i="33"/>
  <c r="G92" i="33"/>
  <c r="A93" i="33"/>
  <c r="D93" i="33"/>
  <c r="G93" i="33"/>
  <c r="A94" i="33"/>
  <c r="D94" i="33"/>
  <c r="G94" i="33"/>
  <c r="A95" i="33"/>
  <c r="D95" i="33"/>
  <c r="G95" i="33"/>
  <c r="A96" i="33"/>
  <c r="D96" i="33"/>
  <c r="G96" i="33"/>
  <c r="A97" i="33"/>
  <c r="D97" i="33"/>
  <c r="G97" i="33"/>
  <c r="A98" i="33"/>
  <c r="D98" i="33"/>
  <c r="G98" i="33"/>
  <c r="A99" i="33"/>
  <c r="D99" i="33"/>
  <c r="G99" i="33"/>
  <c r="A100" i="33"/>
  <c r="D100" i="33"/>
  <c r="G100" i="33"/>
  <c r="A101" i="33"/>
  <c r="D101" i="33"/>
  <c r="G101" i="33"/>
  <c r="A102" i="33"/>
  <c r="D102" i="33"/>
  <c r="G102" i="33"/>
  <c r="A103" i="33"/>
  <c r="D103" i="33"/>
  <c r="G103" i="33"/>
  <c r="A104" i="33"/>
  <c r="D104" i="33"/>
  <c r="G104" i="33"/>
  <c r="A105" i="33"/>
  <c r="D105" i="33"/>
  <c r="G105" i="33"/>
  <c r="A106" i="33"/>
  <c r="D106" i="33"/>
  <c r="G106" i="33"/>
  <c r="A107" i="33"/>
  <c r="D107" i="33"/>
  <c r="G107" i="33"/>
  <c r="A108" i="33"/>
  <c r="D108" i="33"/>
  <c r="G108" i="33"/>
  <c r="A109" i="33"/>
  <c r="D109" i="33"/>
  <c r="G109" i="33"/>
  <c r="A110" i="33"/>
  <c r="D110" i="33"/>
  <c r="G110" i="33"/>
  <c r="A111" i="33"/>
  <c r="D111" i="33"/>
  <c r="G111" i="33"/>
  <c r="A112" i="33"/>
  <c r="D112" i="33"/>
  <c r="G112" i="33"/>
  <c r="A113" i="33"/>
  <c r="D113" i="33"/>
  <c r="G113" i="33"/>
  <c r="A114" i="33"/>
  <c r="D114" i="33"/>
  <c r="G114" i="33"/>
  <c r="A115" i="33"/>
  <c r="D115" i="33"/>
  <c r="G115" i="33"/>
  <c r="A116" i="33"/>
  <c r="D116" i="33"/>
  <c r="G116" i="33"/>
  <c r="A117" i="33"/>
  <c r="D117" i="33"/>
  <c r="G117" i="33"/>
  <c r="A118" i="33"/>
  <c r="D118" i="33"/>
  <c r="G118" i="33"/>
  <c r="A119" i="33"/>
  <c r="D119" i="33"/>
  <c r="G119" i="33"/>
  <c r="A120" i="33"/>
  <c r="D120" i="33"/>
  <c r="G120" i="33"/>
  <c r="A121" i="33"/>
  <c r="D121" i="33"/>
  <c r="G121" i="33"/>
  <c r="A122" i="33"/>
  <c r="D122" i="33"/>
  <c r="G122" i="33"/>
  <c r="A123" i="33"/>
  <c r="D123" i="33"/>
  <c r="G123" i="33"/>
  <c r="A124" i="33"/>
  <c r="D124" i="33"/>
  <c r="G124" i="33"/>
  <c r="A125" i="33"/>
  <c r="D125" i="33"/>
  <c r="G125" i="33"/>
  <c r="A126" i="33"/>
  <c r="D126" i="33"/>
  <c r="G126" i="33"/>
  <c r="A127" i="33"/>
  <c r="D127" i="33"/>
  <c r="G127" i="33"/>
  <c r="A128" i="33"/>
  <c r="D128" i="33"/>
  <c r="G128" i="33"/>
  <c r="A129" i="33"/>
  <c r="D129" i="33"/>
  <c r="G129" i="33"/>
  <c r="A130" i="33"/>
  <c r="D130" i="33"/>
  <c r="G130" i="33"/>
  <c r="A131" i="33"/>
  <c r="D131" i="33"/>
  <c r="G131" i="33"/>
  <c r="A132" i="33"/>
  <c r="D132" i="33"/>
  <c r="G132" i="33"/>
  <c r="A133" i="33"/>
  <c r="D133" i="33"/>
  <c r="G133" i="33"/>
  <c r="A134" i="33"/>
  <c r="D134" i="33"/>
  <c r="G134" i="33"/>
  <c r="A135" i="33"/>
  <c r="D135" i="33"/>
  <c r="G135" i="33"/>
  <c r="A136" i="33"/>
  <c r="D136" i="33"/>
  <c r="G136" i="33"/>
  <c r="A137" i="33"/>
  <c r="D137" i="33"/>
  <c r="G137" i="33"/>
  <c r="A138" i="33"/>
  <c r="D138" i="33"/>
  <c r="G138" i="33"/>
  <c r="A139" i="33"/>
  <c r="D139" i="33"/>
  <c r="G139" i="33"/>
  <c r="A140" i="33"/>
  <c r="D140" i="33"/>
  <c r="G140" i="33"/>
  <c r="A141" i="33"/>
  <c r="D141" i="33"/>
  <c r="G141" i="33"/>
  <c r="A142" i="33"/>
  <c r="D142" i="33"/>
  <c r="G142" i="33"/>
  <c r="A143" i="33"/>
  <c r="D143" i="33"/>
  <c r="G143" i="33"/>
  <c r="A144" i="33"/>
  <c r="D144" i="33"/>
  <c r="G144" i="33"/>
  <c r="A145" i="33"/>
  <c r="D145" i="33"/>
  <c r="G145" i="33"/>
  <c r="A146" i="33"/>
  <c r="D146" i="33"/>
  <c r="G146" i="33"/>
  <c r="A147" i="33"/>
  <c r="D147" i="33"/>
  <c r="G147" i="33"/>
  <c r="A148" i="33"/>
  <c r="D148" i="33"/>
  <c r="G148" i="33"/>
  <c r="A149" i="33"/>
  <c r="D149" i="33"/>
  <c r="G149" i="33"/>
  <c r="A150" i="33"/>
  <c r="D150" i="33"/>
  <c r="G150" i="33"/>
  <c r="A151" i="33"/>
  <c r="D151" i="33"/>
  <c r="G151" i="33"/>
  <c r="A152" i="33"/>
  <c r="D152" i="33"/>
  <c r="G152" i="33"/>
  <c r="A153" i="33"/>
  <c r="D153" i="33"/>
  <c r="G153" i="33"/>
  <c r="A154" i="33"/>
  <c r="D154" i="33"/>
  <c r="G154" i="33"/>
  <c r="A155" i="33"/>
  <c r="D155" i="33"/>
  <c r="G155" i="33"/>
  <c r="A156" i="33"/>
  <c r="D156" i="33"/>
  <c r="G156" i="33"/>
  <c r="A157" i="33"/>
  <c r="D157" i="33"/>
  <c r="G157" i="33"/>
  <c r="A158" i="33"/>
  <c r="D158" i="33"/>
  <c r="G158" i="33"/>
  <c r="A159" i="33"/>
  <c r="D159" i="33"/>
  <c r="G159" i="33"/>
  <c r="A160" i="33"/>
  <c r="D160" i="33"/>
  <c r="G160" i="33"/>
  <c r="A161" i="33"/>
  <c r="D161" i="33"/>
  <c r="G161" i="33"/>
  <c r="A162" i="33"/>
  <c r="D162" i="33"/>
  <c r="G162" i="33"/>
  <c r="A163" i="33"/>
  <c r="D163" i="33"/>
  <c r="G163" i="33"/>
  <c r="A164" i="33"/>
  <c r="D164" i="33"/>
  <c r="G164" i="33"/>
  <c r="A165" i="33"/>
  <c r="D165" i="33"/>
  <c r="G165" i="33"/>
  <c r="A166" i="33"/>
  <c r="D166" i="33"/>
  <c r="G166" i="33"/>
  <c r="A167" i="33"/>
  <c r="D167" i="33"/>
  <c r="G167" i="33"/>
  <c r="A168" i="33"/>
  <c r="D168" i="33"/>
  <c r="G168" i="33"/>
  <c r="A169" i="33"/>
  <c r="D169" i="33"/>
  <c r="G169" i="33"/>
  <c r="A170" i="33"/>
  <c r="D170" i="33"/>
  <c r="G170" i="33"/>
  <c r="A171" i="33"/>
  <c r="D171" i="33"/>
  <c r="G171" i="33"/>
  <c r="A172" i="33"/>
  <c r="D172" i="33"/>
  <c r="G172" i="33"/>
  <c r="A173" i="33"/>
  <c r="D173" i="33"/>
  <c r="G173" i="33"/>
  <c r="A174" i="33"/>
  <c r="D174" i="33"/>
  <c r="G174" i="33"/>
  <c r="A175" i="33"/>
  <c r="D175" i="33"/>
  <c r="G175" i="33"/>
  <c r="A176" i="33"/>
  <c r="D176" i="33"/>
  <c r="G176" i="33"/>
  <c r="A177" i="33"/>
  <c r="D177" i="33"/>
  <c r="G177" i="33"/>
  <c r="A178" i="33"/>
  <c r="D178" i="33"/>
  <c r="G178" i="33"/>
  <c r="A179" i="33"/>
  <c r="D179" i="33"/>
  <c r="G179" i="33"/>
  <c r="A180" i="33"/>
  <c r="D180" i="33"/>
  <c r="G180" i="33"/>
  <c r="A181" i="33"/>
  <c r="D181" i="33"/>
  <c r="G181" i="33"/>
  <c r="A182" i="33"/>
  <c r="D182" i="33"/>
  <c r="G182" i="33"/>
  <c r="A183" i="33"/>
  <c r="D183" i="33"/>
  <c r="G183" i="33"/>
  <c r="A184" i="33"/>
  <c r="D184" i="33"/>
  <c r="G184" i="33"/>
  <c r="A185" i="33"/>
  <c r="D185" i="33"/>
  <c r="G185" i="33"/>
  <c r="A186" i="33"/>
  <c r="D186" i="33"/>
  <c r="G186" i="33"/>
  <c r="A187" i="33"/>
  <c r="D187" i="33"/>
  <c r="G187" i="33"/>
  <c r="A188" i="33"/>
  <c r="D188" i="33"/>
  <c r="G188" i="33"/>
  <c r="A189" i="33"/>
  <c r="D189" i="33"/>
  <c r="G189" i="33"/>
  <c r="A190" i="33"/>
  <c r="D190" i="33"/>
  <c r="G190" i="33"/>
  <c r="A191" i="33"/>
  <c r="D191" i="33"/>
  <c r="G191" i="33"/>
  <c r="A192" i="33"/>
  <c r="D192" i="33"/>
  <c r="G192" i="33"/>
  <c r="A193" i="33"/>
  <c r="D193" i="33"/>
  <c r="G193" i="33"/>
  <c r="A194" i="33"/>
  <c r="D194" i="33"/>
  <c r="G194" i="33"/>
  <c r="A195" i="33"/>
  <c r="D195" i="33"/>
  <c r="G195" i="33"/>
  <c r="A196" i="33"/>
  <c r="D196" i="33"/>
  <c r="G196" i="33"/>
  <c r="A197" i="33"/>
  <c r="D197" i="33"/>
  <c r="G197" i="33"/>
  <c r="A198" i="33"/>
  <c r="D198" i="33"/>
  <c r="G198" i="33"/>
  <c r="A199" i="33"/>
  <c r="D199" i="33"/>
  <c r="G199" i="33"/>
  <c r="A200" i="33"/>
  <c r="D200" i="33"/>
  <c r="G200" i="33"/>
  <c r="A201" i="33"/>
  <c r="D201" i="33"/>
  <c r="G201" i="33"/>
  <c r="A202" i="33"/>
  <c r="D202" i="33"/>
  <c r="G202" i="33"/>
  <c r="A203" i="33"/>
  <c r="D203" i="33"/>
  <c r="G203" i="33"/>
  <c r="A204" i="33"/>
  <c r="D204" i="33"/>
  <c r="G204" i="33"/>
  <c r="A205" i="33"/>
  <c r="D205" i="33"/>
  <c r="G205" i="33"/>
  <c r="A206" i="33"/>
  <c r="D206" i="33"/>
  <c r="G206" i="33"/>
  <c r="A207" i="33"/>
  <c r="D207" i="33"/>
  <c r="G207" i="33"/>
  <c r="A208" i="33"/>
  <c r="D208" i="33"/>
  <c r="G208" i="33"/>
  <c r="A209" i="33"/>
  <c r="D209" i="33"/>
  <c r="G209" i="33"/>
  <c r="A210" i="33"/>
  <c r="D210" i="33"/>
  <c r="G210" i="33"/>
  <c r="A211" i="33"/>
  <c r="D211" i="33"/>
  <c r="G211" i="33"/>
  <c r="A212" i="33"/>
  <c r="D212" i="33"/>
  <c r="G212" i="33"/>
  <c r="A213" i="33"/>
  <c r="D213" i="33"/>
  <c r="G213" i="33"/>
  <c r="A214" i="33"/>
  <c r="D214" i="33"/>
  <c r="G214" i="33"/>
  <c r="A215" i="33"/>
  <c r="D215" i="33"/>
  <c r="G215" i="33"/>
  <c r="A216" i="33"/>
  <c r="D216" i="33"/>
  <c r="G216" i="33"/>
  <c r="A217" i="33"/>
  <c r="D217" i="33"/>
  <c r="G217" i="33"/>
  <c r="A218" i="33"/>
  <c r="D218" i="33"/>
  <c r="G218" i="33"/>
  <c r="A219" i="33"/>
  <c r="D219" i="33"/>
  <c r="G219" i="33"/>
  <c r="A220" i="33"/>
  <c r="D220" i="33"/>
  <c r="G220" i="33"/>
  <c r="A221" i="33"/>
  <c r="D221" i="33"/>
  <c r="G221" i="33"/>
  <c r="A222" i="33"/>
  <c r="D222" i="33"/>
  <c r="G222" i="33"/>
  <c r="A223" i="33"/>
  <c r="D223" i="33"/>
  <c r="G223" i="33"/>
  <c r="A224" i="33"/>
  <c r="D224" i="33"/>
  <c r="G224" i="33"/>
  <c r="A225" i="33"/>
  <c r="D225" i="33"/>
  <c r="G225" i="33"/>
  <c r="A226" i="33"/>
  <c r="D226" i="33"/>
  <c r="G226" i="33"/>
  <c r="A227" i="33"/>
  <c r="D227" i="33"/>
  <c r="G227" i="33"/>
  <c r="A228" i="33"/>
  <c r="D228" i="33"/>
  <c r="G228" i="33"/>
  <c r="A229" i="33"/>
  <c r="D229" i="33"/>
  <c r="G229" i="33"/>
  <c r="A230" i="33"/>
  <c r="D230" i="33"/>
  <c r="G230" i="33"/>
  <c r="A231" i="33"/>
  <c r="D231" i="33"/>
  <c r="G231" i="33"/>
  <c r="A232" i="33"/>
  <c r="D232" i="33"/>
  <c r="G232" i="33"/>
  <c r="A233" i="33"/>
  <c r="D233" i="33"/>
  <c r="G233" i="33"/>
  <c r="A234" i="33"/>
  <c r="D234" i="33"/>
  <c r="G234" i="33"/>
  <c r="A235" i="33"/>
  <c r="D235" i="33"/>
  <c r="G235" i="33"/>
  <c r="A236" i="33"/>
  <c r="D236" i="33"/>
  <c r="G236" i="33"/>
  <c r="A237" i="33"/>
  <c r="D237" i="33"/>
  <c r="G237" i="33"/>
  <c r="A238" i="33"/>
  <c r="D238" i="33"/>
  <c r="G238" i="33"/>
  <c r="A239" i="33"/>
  <c r="D239" i="33"/>
  <c r="G239" i="33"/>
  <c r="A240" i="33"/>
  <c r="D240" i="33"/>
  <c r="G240" i="33"/>
  <c r="A241" i="33"/>
  <c r="D241" i="33"/>
  <c r="G241" i="33"/>
  <c r="A242" i="33"/>
  <c r="D242" i="33"/>
  <c r="G242" i="33"/>
  <c r="A243" i="33"/>
  <c r="D243" i="33"/>
  <c r="G243" i="33"/>
  <c r="A244" i="33"/>
  <c r="D244" i="33"/>
  <c r="G244" i="33"/>
  <c r="A245" i="33"/>
  <c r="D245" i="33"/>
  <c r="G245" i="33"/>
  <c r="A246" i="33"/>
  <c r="D246" i="33"/>
  <c r="G246" i="33"/>
  <c r="A247" i="33"/>
  <c r="D247" i="33"/>
  <c r="G247" i="33"/>
  <c r="A248" i="33"/>
  <c r="D248" i="33"/>
  <c r="G248" i="33"/>
  <c r="A249" i="33"/>
  <c r="D249" i="33"/>
  <c r="G249" i="33"/>
  <c r="A250" i="33"/>
  <c r="D250" i="33"/>
  <c r="G250" i="33"/>
  <c r="A251" i="33"/>
  <c r="D251" i="33"/>
  <c r="G251" i="33"/>
  <c r="A252" i="33"/>
  <c r="G252" i="33"/>
  <c r="G253" i="33"/>
  <c r="H253" i="33"/>
  <c r="H254" i="33"/>
  <c r="H252" i="33"/>
  <c r="H251" i="33"/>
  <c r="H250" i="33"/>
  <c r="H249" i="33"/>
  <c r="H248" i="33"/>
  <c r="H247" i="33"/>
  <c r="H246" i="33"/>
  <c r="H245" i="33"/>
  <c r="H244" i="33"/>
  <c r="H243" i="33"/>
  <c r="H242" i="33"/>
  <c r="H241" i="33"/>
  <c r="H240" i="33"/>
  <c r="H239" i="33"/>
  <c r="H238" i="33"/>
  <c r="H237" i="33"/>
  <c r="H236" i="33"/>
  <c r="H235" i="33"/>
  <c r="H234" i="33"/>
  <c r="H233" i="33"/>
  <c r="H232" i="33"/>
  <c r="H231" i="33"/>
  <c r="H230" i="33"/>
  <c r="H229" i="33"/>
  <c r="H228" i="33"/>
  <c r="H227" i="33"/>
  <c r="H226" i="33"/>
  <c r="H225" i="33"/>
  <c r="H224" i="33"/>
  <c r="H223" i="33"/>
  <c r="H222" i="33"/>
  <c r="H221" i="33"/>
  <c r="H220" i="33"/>
  <c r="H219" i="33"/>
  <c r="H218" i="33"/>
  <c r="H217" i="33"/>
  <c r="H216" i="33"/>
  <c r="H215" i="33"/>
  <c r="H214" i="33"/>
  <c r="H213" i="33"/>
  <c r="H212" i="33"/>
  <c r="H211" i="33"/>
  <c r="H210" i="33"/>
  <c r="H209" i="33"/>
  <c r="H208" i="33"/>
  <c r="H207" i="33"/>
  <c r="H206" i="33"/>
  <c r="H205" i="33"/>
  <c r="H204" i="33"/>
  <c r="H203" i="33"/>
  <c r="H202" i="33"/>
  <c r="H201" i="33"/>
  <c r="H200" i="33"/>
  <c r="H199" i="33"/>
  <c r="H198" i="33"/>
  <c r="H197" i="33"/>
  <c r="H196" i="33"/>
  <c r="H195" i="33"/>
  <c r="H194" i="33"/>
  <c r="H193" i="33"/>
  <c r="H192" i="33"/>
  <c r="H191" i="33"/>
  <c r="H190" i="33"/>
  <c r="H189" i="33"/>
  <c r="H188" i="33"/>
  <c r="H187" i="33"/>
  <c r="H186" i="33"/>
  <c r="H185" i="33"/>
  <c r="H184" i="33"/>
  <c r="H183" i="33"/>
  <c r="H182" i="33"/>
  <c r="H181" i="33"/>
  <c r="H180" i="33"/>
  <c r="H179" i="33"/>
  <c r="H178" i="33"/>
  <c r="H177" i="33"/>
  <c r="H176" i="33"/>
  <c r="H175" i="33"/>
  <c r="H174" i="33"/>
  <c r="H173" i="33"/>
  <c r="H172" i="33"/>
  <c r="H171" i="33"/>
  <c r="H170" i="33"/>
  <c r="H169" i="33"/>
  <c r="H168" i="33"/>
  <c r="H167" i="33"/>
  <c r="H166" i="33"/>
  <c r="H165" i="33"/>
  <c r="H164" i="33"/>
  <c r="H163" i="33"/>
  <c r="H162" i="33"/>
  <c r="H161" i="33"/>
  <c r="H160" i="33"/>
  <c r="H159" i="33"/>
  <c r="H158" i="33"/>
  <c r="H157" i="33"/>
  <c r="H156" i="33"/>
  <c r="H155" i="33"/>
  <c r="H154" i="33"/>
  <c r="H153" i="33"/>
  <c r="H152" i="33"/>
  <c r="H151" i="33"/>
  <c r="H150" i="33"/>
  <c r="H149" i="33"/>
  <c r="H148" i="33"/>
  <c r="H147" i="33"/>
  <c r="H146" i="33"/>
  <c r="H145" i="33"/>
  <c r="H144" i="33"/>
  <c r="H143" i="33"/>
  <c r="H142" i="33"/>
  <c r="H141" i="33"/>
  <c r="H140" i="33"/>
  <c r="H139" i="33"/>
  <c r="H138" i="33"/>
  <c r="H137" i="33"/>
  <c r="H136" i="33"/>
  <c r="H135" i="33"/>
  <c r="H134" i="33"/>
  <c r="H133" i="33"/>
  <c r="H132" i="33"/>
  <c r="H131" i="33"/>
  <c r="H130" i="33"/>
  <c r="H129" i="33"/>
  <c r="H128" i="33"/>
  <c r="H127" i="33"/>
  <c r="H126" i="33"/>
  <c r="H125" i="33"/>
  <c r="H124" i="33"/>
  <c r="H123" i="33"/>
  <c r="H122" i="33"/>
  <c r="H121" i="33"/>
  <c r="H120" i="33"/>
  <c r="H119" i="33"/>
  <c r="H118" i="33"/>
  <c r="H117" i="33"/>
  <c r="H116" i="33"/>
  <c r="H115" i="33"/>
  <c r="H114" i="33"/>
  <c r="H113" i="33"/>
  <c r="H112" i="33"/>
  <c r="H111" i="33"/>
  <c r="H110" i="33"/>
  <c r="H109" i="33"/>
  <c r="H108" i="33"/>
  <c r="H107" i="33"/>
  <c r="H106" i="33"/>
  <c r="H105" i="33"/>
  <c r="H104" i="33"/>
  <c r="H103" i="33"/>
  <c r="H102" i="33"/>
  <c r="H101" i="33"/>
  <c r="H100" i="33"/>
  <c r="H99" i="33"/>
  <c r="H98" i="33"/>
  <c r="H97" i="33"/>
  <c r="H96" i="33"/>
  <c r="H95" i="33"/>
  <c r="H94" i="33"/>
  <c r="H93" i="33"/>
  <c r="H92" i="33"/>
  <c r="H91" i="33"/>
  <c r="H90" i="33"/>
  <c r="H89" i="33"/>
  <c r="H88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H52" i="33"/>
  <c r="H51" i="33"/>
  <c r="H50" i="33"/>
  <c r="H49" i="33"/>
  <c r="H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J17" i="32"/>
  <c r="K17" i="32"/>
  <c r="L17" i="32"/>
  <c r="M17" i="32"/>
  <c r="N17" i="32"/>
  <c r="O17" i="32"/>
  <c r="J18" i="32"/>
  <c r="K18" i="32"/>
  <c r="L18" i="32"/>
  <c r="M18" i="32"/>
  <c r="N18" i="32"/>
  <c r="O18" i="32"/>
  <c r="J19" i="32"/>
  <c r="K19" i="32"/>
  <c r="L19" i="32"/>
  <c r="M19" i="32"/>
  <c r="N19" i="32"/>
  <c r="O19" i="32"/>
  <c r="J20" i="32"/>
  <c r="K20" i="32"/>
  <c r="L20" i="32"/>
  <c r="M20" i="32"/>
  <c r="N20" i="32"/>
  <c r="O20" i="32"/>
  <c r="J21" i="32"/>
  <c r="K21" i="32"/>
  <c r="L21" i="32"/>
  <c r="M21" i="32"/>
  <c r="N21" i="32"/>
  <c r="O21" i="32"/>
  <c r="J22" i="32"/>
  <c r="K22" i="32"/>
  <c r="L22" i="32"/>
  <c r="M22" i="32"/>
  <c r="N22" i="32"/>
  <c r="O22" i="32"/>
  <c r="J23" i="32"/>
  <c r="K23" i="32"/>
  <c r="L23" i="32"/>
  <c r="M23" i="32"/>
  <c r="N23" i="32"/>
  <c r="O23" i="32"/>
  <c r="J24" i="32"/>
  <c r="K24" i="32"/>
  <c r="L24" i="32"/>
  <c r="M24" i="32"/>
  <c r="N24" i="32"/>
  <c r="O24" i="32"/>
  <c r="J25" i="32"/>
  <c r="K25" i="32"/>
  <c r="L25" i="32"/>
  <c r="M25" i="32"/>
  <c r="N25" i="32"/>
  <c r="O25" i="32"/>
  <c r="J26" i="32"/>
  <c r="K26" i="32"/>
  <c r="L26" i="32"/>
  <c r="M26" i="32"/>
  <c r="N26" i="32"/>
  <c r="O26" i="32"/>
  <c r="J27" i="32"/>
  <c r="K27" i="32"/>
  <c r="L27" i="32"/>
  <c r="M27" i="32"/>
  <c r="N27" i="32"/>
  <c r="O27" i="32"/>
  <c r="J28" i="32"/>
  <c r="K28" i="32"/>
  <c r="L28" i="32"/>
  <c r="M28" i="32"/>
  <c r="N28" i="32"/>
  <c r="O28" i="32"/>
  <c r="J29" i="32"/>
  <c r="K29" i="32"/>
  <c r="L29" i="32"/>
  <c r="M29" i="32"/>
  <c r="N29" i="32"/>
  <c r="O29" i="32"/>
  <c r="J30" i="32"/>
  <c r="K30" i="32"/>
  <c r="L30" i="32"/>
  <c r="M30" i="32"/>
  <c r="N30" i="32"/>
  <c r="O30" i="32"/>
  <c r="J31" i="32"/>
  <c r="K31" i="32"/>
  <c r="L31" i="32"/>
  <c r="M31" i="32"/>
  <c r="N31" i="32"/>
  <c r="O31" i="32"/>
  <c r="J32" i="32"/>
  <c r="K32" i="32"/>
  <c r="L32" i="32"/>
  <c r="M32" i="32"/>
  <c r="N32" i="32"/>
  <c r="O32" i="32"/>
  <c r="J33" i="32"/>
  <c r="K33" i="32"/>
  <c r="L33" i="32"/>
  <c r="M33" i="32"/>
  <c r="N33" i="32"/>
  <c r="O33" i="32"/>
  <c r="J34" i="32"/>
  <c r="K34" i="32"/>
  <c r="L34" i="32"/>
  <c r="M34" i="32"/>
  <c r="N34" i="32"/>
  <c r="O34" i="32"/>
  <c r="J35" i="32"/>
  <c r="K35" i="32"/>
  <c r="L35" i="32"/>
  <c r="M35" i="32"/>
  <c r="N35" i="32"/>
  <c r="O35" i="32"/>
  <c r="J36" i="32"/>
  <c r="K36" i="32"/>
  <c r="L36" i="32"/>
  <c r="M36" i="32"/>
  <c r="N36" i="32"/>
  <c r="O36" i="32"/>
  <c r="J37" i="32"/>
  <c r="K37" i="32"/>
  <c r="L37" i="32"/>
  <c r="M37" i="32"/>
  <c r="N37" i="32"/>
  <c r="O37" i="32"/>
  <c r="J38" i="32"/>
  <c r="K38" i="32"/>
  <c r="L38" i="32"/>
  <c r="M38" i="32"/>
  <c r="N38" i="32"/>
  <c r="O38" i="32"/>
  <c r="J39" i="32"/>
  <c r="K39" i="32"/>
  <c r="L39" i="32"/>
  <c r="M39" i="32"/>
  <c r="N39" i="32"/>
  <c r="O39" i="32"/>
  <c r="J40" i="32"/>
  <c r="K40" i="32"/>
  <c r="L40" i="32"/>
  <c r="M40" i="32"/>
  <c r="N40" i="32"/>
  <c r="O40" i="32"/>
  <c r="J41" i="32"/>
  <c r="K41" i="32"/>
  <c r="L41" i="32"/>
  <c r="M41" i="32"/>
  <c r="N41" i="32"/>
  <c r="O41" i="32"/>
  <c r="J42" i="32"/>
  <c r="K42" i="32"/>
  <c r="L42" i="32"/>
  <c r="M42" i="32"/>
  <c r="N42" i="32"/>
  <c r="O42" i="32"/>
  <c r="J43" i="32"/>
  <c r="K43" i="32"/>
  <c r="L43" i="32"/>
  <c r="M43" i="32"/>
  <c r="N43" i="32"/>
  <c r="O43" i="32"/>
  <c r="J44" i="32"/>
  <c r="K44" i="32"/>
  <c r="L44" i="32"/>
  <c r="M44" i="32"/>
  <c r="N44" i="32"/>
  <c r="O44" i="32"/>
  <c r="J45" i="32"/>
  <c r="K45" i="32"/>
  <c r="L45" i="32"/>
  <c r="M45" i="32"/>
  <c r="N45" i="32"/>
  <c r="O45" i="32"/>
  <c r="J46" i="32"/>
  <c r="K46" i="32"/>
  <c r="L46" i="32"/>
  <c r="M46" i="32"/>
  <c r="N46" i="32"/>
  <c r="O46" i="32"/>
  <c r="J47" i="32"/>
  <c r="K47" i="32"/>
  <c r="L47" i="32"/>
  <c r="M47" i="32"/>
  <c r="N47" i="32"/>
  <c r="O47" i="32"/>
  <c r="J48" i="32"/>
  <c r="K48" i="32"/>
  <c r="L48" i="32"/>
  <c r="M48" i="32"/>
  <c r="N48" i="32"/>
  <c r="O48" i="32"/>
  <c r="J49" i="32"/>
  <c r="K49" i="32"/>
  <c r="L49" i="32"/>
  <c r="M49" i="32"/>
  <c r="N49" i="32"/>
  <c r="O49" i="32"/>
  <c r="J50" i="32"/>
  <c r="K50" i="32"/>
  <c r="L50" i="32"/>
  <c r="M50" i="32"/>
  <c r="N50" i="32"/>
  <c r="O50" i="32"/>
  <c r="J51" i="32"/>
  <c r="K51" i="32"/>
  <c r="L51" i="32"/>
  <c r="M51" i="32"/>
  <c r="N51" i="32"/>
  <c r="O51" i="32"/>
  <c r="J52" i="32"/>
  <c r="K52" i="32"/>
  <c r="L52" i="32"/>
  <c r="M52" i="32"/>
  <c r="N52" i="32"/>
  <c r="O52" i="32"/>
  <c r="J53" i="32"/>
  <c r="K53" i="32"/>
  <c r="L53" i="32"/>
  <c r="M53" i="32"/>
  <c r="N53" i="32"/>
  <c r="O53" i="32"/>
  <c r="J54" i="32"/>
  <c r="K54" i="32"/>
  <c r="L54" i="32"/>
  <c r="M54" i="32"/>
  <c r="N54" i="32"/>
  <c r="O54" i="32"/>
  <c r="J55" i="32"/>
  <c r="K55" i="32"/>
  <c r="L55" i="32"/>
  <c r="M55" i="32"/>
  <c r="N55" i="32"/>
  <c r="O55" i="32"/>
  <c r="J56" i="32"/>
  <c r="K56" i="32"/>
  <c r="L56" i="32"/>
  <c r="M56" i="32"/>
  <c r="N56" i="32"/>
  <c r="O56" i="32"/>
  <c r="J57" i="32"/>
  <c r="K57" i="32"/>
  <c r="L57" i="32"/>
  <c r="M57" i="32"/>
  <c r="N57" i="32"/>
  <c r="O57" i="32"/>
  <c r="J58" i="32"/>
  <c r="K58" i="32"/>
  <c r="L58" i="32"/>
  <c r="M58" i="32"/>
  <c r="N58" i="32"/>
  <c r="O58" i="32"/>
  <c r="J59" i="32"/>
  <c r="K59" i="32"/>
  <c r="L59" i="32"/>
  <c r="M59" i="32"/>
  <c r="N59" i="32"/>
  <c r="O59" i="32"/>
  <c r="J60" i="32"/>
  <c r="K60" i="32"/>
  <c r="L60" i="32"/>
  <c r="M60" i="32"/>
  <c r="N60" i="32"/>
  <c r="O60" i="32"/>
  <c r="J61" i="32"/>
  <c r="K61" i="32"/>
  <c r="L61" i="32"/>
  <c r="M61" i="32"/>
  <c r="N61" i="32"/>
  <c r="O61" i="32"/>
  <c r="J62" i="32"/>
  <c r="K62" i="32"/>
  <c r="L62" i="32"/>
  <c r="M62" i="32"/>
  <c r="N62" i="32"/>
  <c r="O62" i="32"/>
  <c r="J63" i="32"/>
  <c r="K63" i="32"/>
  <c r="L63" i="32"/>
  <c r="M63" i="32"/>
  <c r="N63" i="32"/>
  <c r="O63" i="32"/>
  <c r="J64" i="32"/>
  <c r="K64" i="32"/>
  <c r="L64" i="32"/>
  <c r="M64" i="32"/>
  <c r="N64" i="32"/>
  <c r="O64" i="32"/>
  <c r="J65" i="32"/>
  <c r="K65" i="32"/>
  <c r="L65" i="32"/>
  <c r="M65" i="32"/>
  <c r="N65" i="32"/>
  <c r="O65" i="32"/>
  <c r="J66" i="32"/>
  <c r="K66" i="32"/>
  <c r="L66" i="32"/>
  <c r="M66" i="32"/>
  <c r="N66" i="32"/>
  <c r="O66" i="32"/>
  <c r="J67" i="32"/>
  <c r="K67" i="32"/>
  <c r="L67" i="32"/>
  <c r="M67" i="32"/>
  <c r="N67" i="32"/>
  <c r="O67" i="32"/>
  <c r="J68" i="32"/>
  <c r="K68" i="32"/>
  <c r="L68" i="32"/>
  <c r="M68" i="32"/>
  <c r="N68" i="32"/>
  <c r="O68" i="32"/>
  <c r="J69" i="32"/>
  <c r="K69" i="32"/>
  <c r="L69" i="32"/>
  <c r="M69" i="32"/>
  <c r="N69" i="32"/>
  <c r="O69" i="32"/>
  <c r="J70" i="32"/>
  <c r="K70" i="32"/>
  <c r="L70" i="32"/>
  <c r="M70" i="32"/>
  <c r="N70" i="32"/>
  <c r="O70" i="32"/>
  <c r="J71" i="32"/>
  <c r="K71" i="32"/>
  <c r="L71" i="32"/>
  <c r="M71" i="32"/>
  <c r="N71" i="32"/>
  <c r="O71" i="32"/>
  <c r="J72" i="32"/>
  <c r="K72" i="32"/>
  <c r="L72" i="32"/>
  <c r="M72" i="32"/>
  <c r="N72" i="32"/>
  <c r="O72" i="32"/>
  <c r="J73" i="32"/>
  <c r="K73" i="32"/>
  <c r="L73" i="32"/>
  <c r="M73" i="32"/>
  <c r="N73" i="32"/>
  <c r="O73" i="32"/>
  <c r="J74" i="32"/>
  <c r="K74" i="32"/>
  <c r="L74" i="32"/>
  <c r="M74" i="32"/>
  <c r="N74" i="32"/>
  <c r="O74" i="32"/>
  <c r="J75" i="32"/>
  <c r="K75" i="32"/>
  <c r="L75" i="32"/>
  <c r="M75" i="32"/>
  <c r="N75" i="32"/>
  <c r="O75" i="32"/>
  <c r="J76" i="32"/>
  <c r="K76" i="32"/>
  <c r="L76" i="32"/>
  <c r="M76" i="32"/>
  <c r="N76" i="32"/>
  <c r="O76" i="32"/>
  <c r="J77" i="32"/>
  <c r="K77" i="32"/>
  <c r="L77" i="32"/>
  <c r="M77" i="32"/>
  <c r="N77" i="32"/>
  <c r="O77" i="32"/>
  <c r="J78" i="32"/>
  <c r="K78" i="32"/>
  <c r="L78" i="32"/>
  <c r="M78" i="32"/>
  <c r="N78" i="32"/>
  <c r="O78" i="32"/>
  <c r="J79" i="32"/>
  <c r="K79" i="32"/>
  <c r="L79" i="32"/>
  <c r="M79" i="32"/>
  <c r="N79" i="32"/>
  <c r="O79" i="32"/>
  <c r="J80" i="32"/>
  <c r="K80" i="32"/>
  <c r="L80" i="32"/>
  <c r="M80" i="32"/>
  <c r="N80" i="32"/>
  <c r="O80" i="32"/>
  <c r="J81" i="32"/>
  <c r="K81" i="32"/>
  <c r="L81" i="32"/>
  <c r="M81" i="32"/>
  <c r="N81" i="32"/>
  <c r="O81" i="32"/>
  <c r="J82" i="32"/>
  <c r="K82" i="32"/>
  <c r="L82" i="32"/>
  <c r="M82" i="32"/>
  <c r="N82" i="32"/>
  <c r="O82" i="32"/>
  <c r="J83" i="32"/>
  <c r="K83" i="32"/>
  <c r="L83" i="32"/>
  <c r="M83" i="32"/>
  <c r="N83" i="32"/>
  <c r="O83" i="32"/>
  <c r="J84" i="32"/>
  <c r="K84" i="32"/>
  <c r="L84" i="32"/>
  <c r="M84" i="32"/>
  <c r="N84" i="32"/>
  <c r="O84" i="32"/>
  <c r="J85" i="32"/>
  <c r="K85" i="32"/>
  <c r="L85" i="32"/>
  <c r="M85" i="32"/>
  <c r="N85" i="32"/>
  <c r="O85" i="32"/>
  <c r="J86" i="32"/>
  <c r="K86" i="32"/>
  <c r="L86" i="32"/>
  <c r="M86" i="32"/>
  <c r="N86" i="32"/>
  <c r="O86" i="32"/>
  <c r="J87" i="32"/>
  <c r="K87" i="32"/>
  <c r="L87" i="32"/>
  <c r="M87" i="32"/>
  <c r="N87" i="32"/>
  <c r="O87" i="32"/>
  <c r="J88" i="32"/>
  <c r="K88" i="32"/>
  <c r="L88" i="32"/>
  <c r="M88" i="32"/>
  <c r="N88" i="32"/>
  <c r="O88" i="32"/>
  <c r="J89" i="32"/>
  <c r="K89" i="32"/>
  <c r="L89" i="32"/>
  <c r="M89" i="32"/>
  <c r="N89" i="32"/>
  <c r="O89" i="32"/>
  <c r="J90" i="32"/>
  <c r="K90" i="32"/>
  <c r="L90" i="32"/>
  <c r="M90" i="32"/>
  <c r="N90" i="32"/>
  <c r="O90" i="32"/>
  <c r="J91" i="32"/>
  <c r="K91" i="32"/>
  <c r="L91" i="32"/>
  <c r="M91" i="32"/>
  <c r="N91" i="32"/>
  <c r="O91" i="32"/>
  <c r="J92" i="32"/>
  <c r="K92" i="32"/>
  <c r="L92" i="32"/>
  <c r="M92" i="32"/>
  <c r="N92" i="32"/>
  <c r="O92" i="32"/>
  <c r="J93" i="32"/>
  <c r="K93" i="32"/>
  <c r="L93" i="32"/>
  <c r="M93" i="32"/>
  <c r="N93" i="32"/>
  <c r="O93" i="32"/>
  <c r="J94" i="32"/>
  <c r="K94" i="32"/>
  <c r="L94" i="32"/>
  <c r="M94" i="32"/>
  <c r="N94" i="32"/>
  <c r="O94" i="32"/>
  <c r="J95" i="32"/>
  <c r="K95" i="32"/>
  <c r="L95" i="32"/>
  <c r="M95" i="32"/>
  <c r="N95" i="32"/>
  <c r="O95" i="32"/>
  <c r="J96" i="32"/>
  <c r="K96" i="32"/>
  <c r="L96" i="32"/>
  <c r="M96" i="32"/>
  <c r="N96" i="32"/>
  <c r="O96" i="32"/>
  <c r="J97" i="32"/>
  <c r="K97" i="32"/>
  <c r="L97" i="32"/>
  <c r="M97" i="32"/>
  <c r="N97" i="32"/>
  <c r="O97" i="32"/>
  <c r="J98" i="32"/>
  <c r="K98" i="32"/>
  <c r="L98" i="32"/>
  <c r="M98" i="32"/>
  <c r="N98" i="32"/>
  <c r="O98" i="32"/>
  <c r="J99" i="32"/>
  <c r="K99" i="32"/>
  <c r="L99" i="32"/>
  <c r="M99" i="32"/>
  <c r="N99" i="32"/>
  <c r="O99" i="32"/>
  <c r="J100" i="32"/>
  <c r="K100" i="32"/>
  <c r="L100" i="32"/>
  <c r="M100" i="32"/>
  <c r="N100" i="32"/>
  <c r="O100" i="32"/>
  <c r="J101" i="32"/>
  <c r="K101" i="32"/>
  <c r="L101" i="32"/>
  <c r="M101" i="32"/>
  <c r="N101" i="32"/>
  <c r="O101" i="32"/>
  <c r="J102" i="32"/>
  <c r="K102" i="32"/>
  <c r="L102" i="32"/>
  <c r="M102" i="32"/>
  <c r="N102" i="32"/>
  <c r="O102" i="32"/>
  <c r="J103" i="32"/>
  <c r="K103" i="32"/>
  <c r="L103" i="32"/>
  <c r="M103" i="32"/>
  <c r="N103" i="32"/>
  <c r="O103" i="32"/>
  <c r="J104" i="32"/>
  <c r="K104" i="32"/>
  <c r="L104" i="32"/>
  <c r="M104" i="32"/>
  <c r="N104" i="32"/>
  <c r="O104" i="32"/>
  <c r="J105" i="32"/>
  <c r="K105" i="32"/>
  <c r="L105" i="32"/>
  <c r="M105" i="32"/>
  <c r="N105" i="32"/>
  <c r="O105" i="32"/>
  <c r="J106" i="32"/>
  <c r="K106" i="32"/>
  <c r="L106" i="32"/>
  <c r="M106" i="32"/>
  <c r="N106" i="32"/>
  <c r="O106" i="32"/>
  <c r="J107" i="32"/>
  <c r="K107" i="32"/>
  <c r="L107" i="32"/>
  <c r="M107" i="32"/>
  <c r="N107" i="32"/>
  <c r="O107" i="32"/>
  <c r="J108" i="32"/>
  <c r="K108" i="32"/>
  <c r="L108" i="32"/>
  <c r="M108" i="32"/>
  <c r="N108" i="32"/>
  <c r="O108" i="32"/>
  <c r="J109" i="32"/>
  <c r="K109" i="32"/>
  <c r="L109" i="32"/>
  <c r="M109" i="32"/>
  <c r="N109" i="32"/>
  <c r="O109" i="32"/>
  <c r="J110" i="32"/>
  <c r="K110" i="32"/>
  <c r="L110" i="32"/>
  <c r="M110" i="32"/>
  <c r="N110" i="32"/>
  <c r="O110" i="32"/>
  <c r="J111" i="32"/>
  <c r="K111" i="32"/>
  <c r="L111" i="32"/>
  <c r="M111" i="32"/>
  <c r="N111" i="32"/>
  <c r="O111" i="32"/>
  <c r="J112" i="32"/>
  <c r="K112" i="32"/>
  <c r="L112" i="32"/>
  <c r="M112" i="32"/>
  <c r="N112" i="32"/>
  <c r="O112" i="32"/>
  <c r="J113" i="32"/>
  <c r="K113" i="32"/>
  <c r="L113" i="32"/>
  <c r="M113" i="32"/>
  <c r="N113" i="32"/>
  <c r="O113" i="32"/>
  <c r="J114" i="32"/>
  <c r="K114" i="32"/>
  <c r="L114" i="32"/>
  <c r="M114" i="32"/>
  <c r="N114" i="32"/>
  <c r="O114" i="32"/>
  <c r="J115" i="32"/>
  <c r="K115" i="32"/>
  <c r="L115" i="32"/>
  <c r="M115" i="32"/>
  <c r="N115" i="32"/>
  <c r="O115" i="32"/>
  <c r="J116" i="32"/>
  <c r="K116" i="32"/>
  <c r="L116" i="32"/>
  <c r="M116" i="32"/>
  <c r="N116" i="32"/>
  <c r="O116" i="32"/>
  <c r="J117" i="32"/>
  <c r="K117" i="32"/>
  <c r="L117" i="32"/>
  <c r="M117" i="32"/>
  <c r="N117" i="32"/>
  <c r="O117" i="32"/>
  <c r="J118" i="32"/>
  <c r="K118" i="32"/>
  <c r="L118" i="32"/>
  <c r="M118" i="32"/>
  <c r="N118" i="32"/>
  <c r="O118" i="32"/>
  <c r="J119" i="32"/>
  <c r="K119" i="32"/>
  <c r="L119" i="32"/>
  <c r="M119" i="32"/>
  <c r="N119" i="32"/>
  <c r="O119" i="32"/>
  <c r="J120" i="32"/>
  <c r="K120" i="32"/>
  <c r="L120" i="32"/>
  <c r="M120" i="32"/>
  <c r="N120" i="32"/>
  <c r="O120" i="32"/>
  <c r="J121" i="32"/>
  <c r="K121" i="32"/>
  <c r="L121" i="32"/>
  <c r="M121" i="32"/>
  <c r="N121" i="32"/>
  <c r="O121" i="32"/>
  <c r="J122" i="32"/>
  <c r="K122" i="32"/>
  <c r="L122" i="32"/>
  <c r="M122" i="32"/>
  <c r="N122" i="32"/>
  <c r="O122" i="32"/>
  <c r="J123" i="32"/>
  <c r="K123" i="32"/>
  <c r="L123" i="32"/>
  <c r="M123" i="32"/>
  <c r="N123" i="32"/>
  <c r="O123" i="32"/>
  <c r="J124" i="32"/>
  <c r="K124" i="32"/>
  <c r="L124" i="32"/>
  <c r="M124" i="32"/>
  <c r="N124" i="32"/>
  <c r="O124" i="32"/>
  <c r="J125" i="32"/>
  <c r="K125" i="32"/>
  <c r="L125" i="32"/>
  <c r="M125" i="32"/>
  <c r="N125" i="32"/>
  <c r="O125" i="32"/>
  <c r="J126" i="32"/>
  <c r="K126" i="32"/>
  <c r="L126" i="32"/>
  <c r="M126" i="32"/>
  <c r="N126" i="32"/>
  <c r="O126" i="32"/>
  <c r="J127" i="32"/>
  <c r="K127" i="32"/>
  <c r="L127" i="32"/>
  <c r="M127" i="32"/>
  <c r="N127" i="32"/>
  <c r="O127" i="32"/>
  <c r="J128" i="32"/>
  <c r="K128" i="32"/>
  <c r="L128" i="32"/>
  <c r="M128" i="32"/>
  <c r="N128" i="32"/>
  <c r="O128" i="32"/>
  <c r="J129" i="32"/>
  <c r="K129" i="32"/>
  <c r="L129" i="32"/>
  <c r="M129" i="32"/>
  <c r="N129" i="32"/>
  <c r="O129" i="32"/>
  <c r="J130" i="32"/>
  <c r="K130" i="32"/>
  <c r="L130" i="32"/>
  <c r="M130" i="32"/>
  <c r="N130" i="32"/>
  <c r="O130" i="32"/>
  <c r="J131" i="32"/>
  <c r="K131" i="32"/>
  <c r="L131" i="32"/>
  <c r="M131" i="32"/>
  <c r="N131" i="32"/>
  <c r="O131" i="32"/>
  <c r="J132" i="32"/>
  <c r="K132" i="32"/>
  <c r="L132" i="32"/>
  <c r="M132" i="32"/>
  <c r="N132" i="32"/>
  <c r="O132" i="32"/>
  <c r="J133" i="32"/>
  <c r="K133" i="32"/>
  <c r="L133" i="32"/>
  <c r="M133" i="32"/>
  <c r="N133" i="32"/>
  <c r="O133" i="32"/>
  <c r="J134" i="32"/>
  <c r="K134" i="32"/>
  <c r="L134" i="32"/>
  <c r="M134" i="32"/>
  <c r="N134" i="32"/>
  <c r="O134" i="32"/>
  <c r="J135" i="32"/>
  <c r="K135" i="32"/>
  <c r="L135" i="32"/>
  <c r="M135" i="32"/>
  <c r="N135" i="32"/>
  <c r="O135" i="32"/>
  <c r="J136" i="32"/>
  <c r="K136" i="32"/>
  <c r="L136" i="32"/>
  <c r="M136" i="32"/>
  <c r="N136" i="32"/>
  <c r="O136" i="32"/>
  <c r="J137" i="32"/>
  <c r="K137" i="32"/>
  <c r="L137" i="32"/>
  <c r="M137" i="32"/>
  <c r="N137" i="32"/>
  <c r="O137" i="32"/>
  <c r="J138" i="32"/>
  <c r="K138" i="32"/>
  <c r="L138" i="32"/>
  <c r="M138" i="32"/>
  <c r="N138" i="32"/>
  <c r="O138" i="32"/>
  <c r="J139" i="32"/>
  <c r="K139" i="32"/>
  <c r="L139" i="32"/>
  <c r="M139" i="32"/>
  <c r="N139" i="32"/>
  <c r="O139" i="32"/>
  <c r="J140" i="32"/>
  <c r="K140" i="32"/>
  <c r="L140" i="32"/>
  <c r="M140" i="32"/>
  <c r="N140" i="32"/>
  <c r="O140" i="32"/>
  <c r="J141" i="32"/>
  <c r="K141" i="32"/>
  <c r="L141" i="32"/>
  <c r="M141" i="32"/>
  <c r="N141" i="32"/>
  <c r="O141" i="32"/>
  <c r="J142" i="32"/>
  <c r="K142" i="32"/>
  <c r="L142" i="32"/>
  <c r="M142" i="32"/>
  <c r="N142" i="32"/>
  <c r="O142" i="32"/>
  <c r="J143" i="32"/>
  <c r="K143" i="32"/>
  <c r="L143" i="32"/>
  <c r="M143" i="32"/>
  <c r="N143" i="32"/>
  <c r="O143" i="32"/>
  <c r="J144" i="32"/>
  <c r="K144" i="32"/>
  <c r="L144" i="32"/>
  <c r="M144" i="32"/>
  <c r="N144" i="32"/>
  <c r="O144" i="32"/>
  <c r="J145" i="32"/>
  <c r="K145" i="32"/>
  <c r="L145" i="32"/>
  <c r="M145" i="32"/>
  <c r="N145" i="32"/>
  <c r="O145" i="32"/>
  <c r="J146" i="32"/>
  <c r="K146" i="32"/>
  <c r="L146" i="32"/>
  <c r="M146" i="32"/>
  <c r="N146" i="32"/>
  <c r="O146" i="32"/>
  <c r="J147" i="32"/>
  <c r="K147" i="32"/>
  <c r="L147" i="32"/>
  <c r="M147" i="32"/>
  <c r="N147" i="32"/>
  <c r="O147" i="32"/>
  <c r="J148" i="32"/>
  <c r="K148" i="32"/>
  <c r="L148" i="32"/>
  <c r="M148" i="32"/>
  <c r="N148" i="32"/>
  <c r="O148" i="32"/>
  <c r="J149" i="32"/>
  <c r="K149" i="32"/>
  <c r="L149" i="32"/>
  <c r="M149" i="32"/>
  <c r="N149" i="32"/>
  <c r="O149" i="32"/>
  <c r="J150" i="32"/>
  <c r="K150" i="32"/>
  <c r="L150" i="32"/>
  <c r="M150" i="32"/>
  <c r="N150" i="32"/>
  <c r="O150" i="32"/>
  <c r="J151" i="32"/>
  <c r="K151" i="32"/>
  <c r="L151" i="32"/>
  <c r="M151" i="32"/>
  <c r="N151" i="32"/>
  <c r="O151" i="32"/>
  <c r="J152" i="32"/>
  <c r="K152" i="32"/>
  <c r="L152" i="32"/>
  <c r="M152" i="32"/>
  <c r="N152" i="32"/>
  <c r="O152" i="32"/>
  <c r="J153" i="32"/>
  <c r="K153" i="32"/>
  <c r="L153" i="32"/>
  <c r="M153" i="32"/>
  <c r="N153" i="32"/>
  <c r="O153" i="32"/>
  <c r="J154" i="32"/>
  <c r="K154" i="32"/>
  <c r="L154" i="32"/>
  <c r="M154" i="32"/>
  <c r="N154" i="32"/>
  <c r="O154" i="32"/>
  <c r="J155" i="32"/>
  <c r="K155" i="32"/>
  <c r="L155" i="32"/>
  <c r="M155" i="32"/>
  <c r="N155" i="32"/>
  <c r="O155" i="32"/>
  <c r="J156" i="32"/>
  <c r="K156" i="32"/>
  <c r="L156" i="32"/>
  <c r="M156" i="32"/>
  <c r="N156" i="32"/>
  <c r="O156" i="32"/>
  <c r="J157" i="32"/>
  <c r="K157" i="32"/>
  <c r="L157" i="32"/>
  <c r="M157" i="32"/>
  <c r="N157" i="32"/>
  <c r="O157" i="32"/>
  <c r="J158" i="32"/>
  <c r="K158" i="32"/>
  <c r="L158" i="32"/>
  <c r="M158" i="32"/>
  <c r="N158" i="32"/>
  <c r="O158" i="32"/>
  <c r="J159" i="32"/>
  <c r="K159" i="32"/>
  <c r="L159" i="32"/>
  <c r="M159" i="32"/>
  <c r="N159" i="32"/>
  <c r="O159" i="32"/>
  <c r="J160" i="32"/>
  <c r="K160" i="32"/>
  <c r="L160" i="32"/>
  <c r="M160" i="32"/>
  <c r="N160" i="32"/>
  <c r="O160" i="32"/>
  <c r="J161" i="32"/>
  <c r="K161" i="32"/>
  <c r="L161" i="32"/>
  <c r="M161" i="32"/>
  <c r="N161" i="32"/>
  <c r="O161" i="32"/>
  <c r="J162" i="32"/>
  <c r="K162" i="32"/>
  <c r="L162" i="32"/>
  <c r="M162" i="32"/>
  <c r="N162" i="32"/>
  <c r="O162" i="32"/>
  <c r="J163" i="32"/>
  <c r="K163" i="32"/>
  <c r="L163" i="32"/>
  <c r="M163" i="32"/>
  <c r="N163" i="32"/>
  <c r="O163" i="32"/>
  <c r="J164" i="32"/>
  <c r="K164" i="32"/>
  <c r="L164" i="32"/>
  <c r="M164" i="32"/>
  <c r="N164" i="32"/>
  <c r="O164" i="32"/>
  <c r="J165" i="32"/>
  <c r="K165" i="32"/>
  <c r="L165" i="32"/>
  <c r="M165" i="32"/>
  <c r="N165" i="32"/>
  <c r="O165" i="32"/>
  <c r="J166" i="32"/>
  <c r="K166" i="32"/>
  <c r="L166" i="32"/>
  <c r="M166" i="32"/>
  <c r="N166" i="32"/>
  <c r="O166" i="32"/>
  <c r="J167" i="32"/>
  <c r="K167" i="32"/>
  <c r="L167" i="32"/>
  <c r="M167" i="32"/>
  <c r="N167" i="32"/>
  <c r="O167" i="32"/>
  <c r="J168" i="32"/>
  <c r="K168" i="32"/>
  <c r="L168" i="32"/>
  <c r="M168" i="32"/>
  <c r="N168" i="32"/>
  <c r="O168" i="32"/>
  <c r="J169" i="32"/>
  <c r="K169" i="32"/>
  <c r="L169" i="32"/>
  <c r="M169" i="32"/>
  <c r="N169" i="32"/>
  <c r="O169" i="32"/>
  <c r="J170" i="32"/>
  <c r="K170" i="32"/>
  <c r="L170" i="32"/>
  <c r="M170" i="32"/>
  <c r="N170" i="32"/>
  <c r="O170" i="32"/>
  <c r="J171" i="32"/>
  <c r="K171" i="32"/>
  <c r="L171" i="32"/>
  <c r="M171" i="32"/>
  <c r="N171" i="32"/>
  <c r="O171" i="32"/>
  <c r="J172" i="32"/>
  <c r="K172" i="32"/>
  <c r="L172" i="32"/>
  <c r="M172" i="32"/>
  <c r="N172" i="32"/>
  <c r="O172" i="32"/>
  <c r="J173" i="32"/>
  <c r="K173" i="32"/>
  <c r="L173" i="32"/>
  <c r="M173" i="32"/>
  <c r="N173" i="32"/>
  <c r="O173" i="32"/>
  <c r="J174" i="32"/>
  <c r="K174" i="32"/>
  <c r="L174" i="32"/>
  <c r="M174" i="32"/>
  <c r="N174" i="32"/>
  <c r="O174" i="32"/>
  <c r="J175" i="32"/>
  <c r="K175" i="32"/>
  <c r="L175" i="32"/>
  <c r="M175" i="32"/>
  <c r="N175" i="32"/>
  <c r="O175" i="32"/>
  <c r="J176" i="32"/>
  <c r="K176" i="32"/>
  <c r="L176" i="32"/>
  <c r="M176" i="32"/>
  <c r="N176" i="32"/>
  <c r="O176" i="32"/>
  <c r="J177" i="32"/>
  <c r="K177" i="32"/>
  <c r="L177" i="32"/>
  <c r="M177" i="32"/>
  <c r="N177" i="32"/>
  <c r="O177" i="32"/>
  <c r="J178" i="32"/>
  <c r="K178" i="32"/>
  <c r="L178" i="32"/>
  <c r="M178" i="32"/>
  <c r="N178" i="32"/>
  <c r="O178" i="32"/>
  <c r="J179" i="32"/>
  <c r="K179" i="32"/>
  <c r="L179" i="32"/>
  <c r="M179" i="32"/>
  <c r="N179" i="32"/>
  <c r="O179" i="32"/>
  <c r="J180" i="32"/>
  <c r="K180" i="32"/>
  <c r="L180" i="32"/>
  <c r="M180" i="32"/>
  <c r="N180" i="32"/>
  <c r="O180" i="32"/>
  <c r="J181" i="32"/>
  <c r="K181" i="32"/>
  <c r="L181" i="32"/>
  <c r="M181" i="32"/>
  <c r="N181" i="32"/>
  <c r="O181" i="32"/>
  <c r="J182" i="32"/>
  <c r="K182" i="32"/>
  <c r="L182" i="32"/>
  <c r="M182" i="32"/>
  <c r="N182" i="32"/>
  <c r="O182" i="32"/>
  <c r="J183" i="32"/>
  <c r="K183" i="32"/>
  <c r="L183" i="32"/>
  <c r="M183" i="32"/>
  <c r="N183" i="32"/>
  <c r="O183" i="32"/>
  <c r="J184" i="32"/>
  <c r="K184" i="32"/>
  <c r="L184" i="32"/>
  <c r="M184" i="32"/>
  <c r="N184" i="32"/>
  <c r="O184" i="32"/>
  <c r="J185" i="32"/>
  <c r="K185" i="32"/>
  <c r="L185" i="32"/>
  <c r="M185" i="32"/>
  <c r="N185" i="32"/>
  <c r="O185" i="32"/>
  <c r="J186" i="32"/>
  <c r="K186" i="32"/>
  <c r="L186" i="32"/>
  <c r="M186" i="32"/>
  <c r="N186" i="32"/>
  <c r="O186" i="32"/>
  <c r="J187" i="32"/>
  <c r="K187" i="32"/>
  <c r="L187" i="32"/>
  <c r="M187" i="32"/>
  <c r="N187" i="32"/>
  <c r="O187" i="32"/>
  <c r="J188" i="32"/>
  <c r="K188" i="32"/>
  <c r="L188" i="32"/>
  <c r="M188" i="32"/>
  <c r="N188" i="32"/>
  <c r="O188" i="32"/>
  <c r="J189" i="32"/>
  <c r="K189" i="32"/>
  <c r="L189" i="32"/>
  <c r="M189" i="32"/>
  <c r="N189" i="32"/>
  <c r="O189" i="32"/>
  <c r="J190" i="32"/>
  <c r="K190" i="32"/>
  <c r="L190" i="32"/>
  <c r="M190" i="32"/>
  <c r="N190" i="32"/>
  <c r="O190" i="32"/>
  <c r="J191" i="32"/>
  <c r="K191" i="32"/>
  <c r="L191" i="32"/>
  <c r="M191" i="32"/>
  <c r="N191" i="32"/>
  <c r="O191" i="32"/>
  <c r="J192" i="32"/>
  <c r="K192" i="32"/>
  <c r="L192" i="32"/>
  <c r="M192" i="32"/>
  <c r="N192" i="32"/>
  <c r="O192" i="32"/>
  <c r="J193" i="32"/>
  <c r="K193" i="32"/>
  <c r="L193" i="32"/>
  <c r="M193" i="32"/>
  <c r="N193" i="32"/>
  <c r="O193" i="32"/>
  <c r="J194" i="32"/>
  <c r="K194" i="32"/>
  <c r="L194" i="32"/>
  <c r="M194" i="32"/>
  <c r="N194" i="32"/>
  <c r="O194" i="32"/>
  <c r="J195" i="32"/>
  <c r="K195" i="32"/>
  <c r="L195" i="32"/>
  <c r="M195" i="32"/>
  <c r="N195" i="32"/>
  <c r="O195" i="32"/>
  <c r="J196" i="32"/>
  <c r="K196" i="32"/>
  <c r="L196" i="32"/>
  <c r="M196" i="32"/>
  <c r="N196" i="32"/>
  <c r="O196" i="32"/>
  <c r="J197" i="32"/>
  <c r="K197" i="32"/>
  <c r="L197" i="32"/>
  <c r="M197" i="32"/>
  <c r="N197" i="32"/>
  <c r="O197" i="32"/>
  <c r="J198" i="32"/>
  <c r="K198" i="32"/>
  <c r="L198" i="32"/>
  <c r="M198" i="32"/>
  <c r="N198" i="32"/>
  <c r="O198" i="32"/>
  <c r="J199" i="32"/>
  <c r="K199" i="32"/>
  <c r="L199" i="32"/>
  <c r="M199" i="32"/>
  <c r="N199" i="32"/>
  <c r="O199" i="32"/>
  <c r="J200" i="32"/>
  <c r="K200" i="32"/>
  <c r="L200" i="32"/>
  <c r="M200" i="32"/>
  <c r="N200" i="32"/>
  <c r="O200" i="32"/>
  <c r="J201" i="32"/>
  <c r="K201" i="32"/>
  <c r="L201" i="32"/>
  <c r="M201" i="32"/>
  <c r="N201" i="32"/>
  <c r="O201" i="32"/>
  <c r="J202" i="32"/>
  <c r="K202" i="32"/>
  <c r="L202" i="32"/>
  <c r="M202" i="32"/>
  <c r="N202" i="32"/>
  <c r="O202" i="32"/>
  <c r="J203" i="32"/>
  <c r="K203" i="32"/>
  <c r="L203" i="32"/>
  <c r="M203" i="32"/>
  <c r="N203" i="32"/>
  <c r="O203" i="32"/>
  <c r="J204" i="32"/>
  <c r="K204" i="32"/>
  <c r="L204" i="32"/>
  <c r="M204" i="32"/>
  <c r="N204" i="32"/>
  <c r="O204" i="32"/>
  <c r="J205" i="32"/>
  <c r="K205" i="32"/>
  <c r="L205" i="32"/>
  <c r="M205" i="32"/>
  <c r="N205" i="32"/>
  <c r="O205" i="32"/>
  <c r="J206" i="32"/>
  <c r="K206" i="32"/>
  <c r="L206" i="32"/>
  <c r="M206" i="32"/>
  <c r="N206" i="32"/>
  <c r="O206" i="32"/>
  <c r="J207" i="32"/>
  <c r="K207" i="32"/>
  <c r="L207" i="32"/>
  <c r="M207" i="32"/>
  <c r="N207" i="32"/>
  <c r="O207" i="32"/>
  <c r="J208" i="32"/>
  <c r="K208" i="32"/>
  <c r="L208" i="32"/>
  <c r="M208" i="32"/>
  <c r="N208" i="32"/>
  <c r="O208" i="32"/>
  <c r="J209" i="32"/>
  <c r="K209" i="32"/>
  <c r="L209" i="32"/>
  <c r="M209" i="32"/>
  <c r="N209" i="32"/>
  <c r="O209" i="32"/>
  <c r="J210" i="32"/>
  <c r="K210" i="32"/>
  <c r="L210" i="32"/>
  <c r="M210" i="32"/>
  <c r="N210" i="32"/>
  <c r="O210" i="32"/>
  <c r="J211" i="32"/>
  <c r="K211" i="32"/>
  <c r="L211" i="32"/>
  <c r="M211" i="32"/>
  <c r="N211" i="32"/>
  <c r="O211" i="32"/>
  <c r="J212" i="32"/>
  <c r="K212" i="32"/>
  <c r="L212" i="32"/>
  <c r="M212" i="32"/>
  <c r="N212" i="32"/>
  <c r="O212" i="32"/>
  <c r="J213" i="32"/>
  <c r="K213" i="32"/>
  <c r="L213" i="32"/>
  <c r="M213" i="32"/>
  <c r="N213" i="32"/>
  <c r="O213" i="32"/>
  <c r="J214" i="32"/>
  <c r="K214" i="32"/>
  <c r="L214" i="32"/>
  <c r="M214" i="32"/>
  <c r="N214" i="32"/>
  <c r="O214" i="32"/>
  <c r="J215" i="32"/>
  <c r="K215" i="32"/>
  <c r="L215" i="32"/>
  <c r="M215" i="32"/>
  <c r="N215" i="32"/>
  <c r="O215" i="32"/>
  <c r="J216" i="32"/>
  <c r="K216" i="32"/>
  <c r="L216" i="32"/>
  <c r="M216" i="32"/>
  <c r="N216" i="32"/>
  <c r="O216" i="32"/>
  <c r="J217" i="32"/>
  <c r="K217" i="32"/>
  <c r="L217" i="32"/>
  <c r="M217" i="32"/>
  <c r="N217" i="32"/>
  <c r="O217" i="32"/>
  <c r="J218" i="32"/>
  <c r="K218" i="32"/>
  <c r="L218" i="32"/>
  <c r="M218" i="32"/>
  <c r="N218" i="32"/>
  <c r="O218" i="32"/>
  <c r="J219" i="32"/>
  <c r="K219" i="32"/>
  <c r="L219" i="32"/>
  <c r="M219" i="32"/>
  <c r="N219" i="32"/>
  <c r="O219" i="32"/>
  <c r="J220" i="32"/>
  <c r="K220" i="32"/>
  <c r="L220" i="32"/>
  <c r="M220" i="32"/>
  <c r="N220" i="32"/>
  <c r="O220" i="32"/>
  <c r="J221" i="32"/>
  <c r="K221" i="32"/>
  <c r="L221" i="32"/>
  <c r="M221" i="32"/>
  <c r="N221" i="32"/>
  <c r="O221" i="32"/>
  <c r="J222" i="32"/>
  <c r="K222" i="32"/>
  <c r="L222" i="32"/>
  <c r="M222" i="32"/>
  <c r="N222" i="32"/>
  <c r="O222" i="32"/>
  <c r="J223" i="32"/>
  <c r="K223" i="32"/>
  <c r="L223" i="32"/>
  <c r="M223" i="32"/>
  <c r="N223" i="32"/>
  <c r="O223" i="32"/>
  <c r="J224" i="32"/>
  <c r="K224" i="32"/>
  <c r="L224" i="32"/>
  <c r="M224" i="32"/>
  <c r="N224" i="32"/>
  <c r="O224" i="32"/>
  <c r="J225" i="32"/>
  <c r="K225" i="32"/>
  <c r="L225" i="32"/>
  <c r="M225" i="32"/>
  <c r="N225" i="32"/>
  <c r="O225" i="32"/>
  <c r="J226" i="32"/>
  <c r="K226" i="32"/>
  <c r="L226" i="32"/>
  <c r="M226" i="32"/>
  <c r="N226" i="32"/>
  <c r="O226" i="32"/>
  <c r="J227" i="32"/>
  <c r="K227" i="32"/>
  <c r="L227" i="32"/>
  <c r="M227" i="32"/>
  <c r="N227" i="32"/>
  <c r="O227" i="32"/>
  <c r="J228" i="32"/>
  <c r="K228" i="32"/>
  <c r="L228" i="32"/>
  <c r="M228" i="32"/>
  <c r="N228" i="32"/>
  <c r="O228" i="32"/>
  <c r="J229" i="32"/>
  <c r="K229" i="32"/>
  <c r="L229" i="32"/>
  <c r="M229" i="32"/>
  <c r="N229" i="32"/>
  <c r="O229" i="32"/>
  <c r="J230" i="32"/>
  <c r="K230" i="32"/>
  <c r="L230" i="32"/>
  <c r="M230" i="32"/>
  <c r="N230" i="32"/>
  <c r="O230" i="32"/>
  <c r="J231" i="32"/>
  <c r="K231" i="32"/>
  <c r="L231" i="32"/>
  <c r="M231" i="32"/>
  <c r="N231" i="32"/>
  <c r="O231" i="32"/>
  <c r="J232" i="32"/>
  <c r="K232" i="32"/>
  <c r="L232" i="32"/>
  <c r="M232" i="32"/>
  <c r="N232" i="32"/>
  <c r="O232" i="32"/>
  <c r="J233" i="32"/>
  <c r="K233" i="32"/>
  <c r="L233" i="32"/>
  <c r="M233" i="32"/>
  <c r="N233" i="32"/>
  <c r="O233" i="32"/>
  <c r="J234" i="32"/>
  <c r="K234" i="32"/>
  <c r="L234" i="32"/>
  <c r="M234" i="32"/>
  <c r="N234" i="32"/>
  <c r="O234" i="32"/>
  <c r="J235" i="32"/>
  <c r="K235" i="32"/>
  <c r="L235" i="32"/>
  <c r="M235" i="32"/>
  <c r="N235" i="32"/>
  <c r="O235" i="32"/>
  <c r="J236" i="32"/>
  <c r="K236" i="32"/>
  <c r="L236" i="32"/>
  <c r="M236" i="32"/>
  <c r="N236" i="32"/>
  <c r="O236" i="32"/>
  <c r="J237" i="32"/>
  <c r="K237" i="32"/>
  <c r="L237" i="32"/>
  <c r="M237" i="32"/>
  <c r="N237" i="32"/>
  <c r="O237" i="32"/>
  <c r="J238" i="32"/>
  <c r="K238" i="32"/>
  <c r="L238" i="32"/>
  <c r="M238" i="32"/>
  <c r="N238" i="32"/>
  <c r="O238" i="32"/>
  <c r="J239" i="32"/>
  <c r="K239" i="32"/>
  <c r="L239" i="32"/>
  <c r="M239" i="32"/>
  <c r="N239" i="32"/>
  <c r="O239" i="32"/>
  <c r="J240" i="32"/>
  <c r="K240" i="32"/>
  <c r="L240" i="32"/>
  <c r="M240" i="32"/>
  <c r="N240" i="32"/>
  <c r="O240" i="32"/>
  <c r="J241" i="32"/>
  <c r="K241" i="32"/>
  <c r="L241" i="32"/>
  <c r="M241" i="32"/>
  <c r="N241" i="32"/>
  <c r="O241" i="32"/>
  <c r="J242" i="32"/>
  <c r="K242" i="32"/>
  <c r="L242" i="32"/>
  <c r="M242" i="32"/>
  <c r="N242" i="32"/>
  <c r="O242" i="32"/>
  <c r="J243" i="32"/>
  <c r="K243" i="32"/>
  <c r="L243" i="32"/>
  <c r="M243" i="32"/>
  <c r="N243" i="32"/>
  <c r="O243" i="32"/>
  <c r="J244" i="32"/>
  <c r="K244" i="32"/>
  <c r="L244" i="32"/>
  <c r="M244" i="32"/>
  <c r="N244" i="32"/>
  <c r="O244" i="32"/>
  <c r="J245" i="32"/>
  <c r="K245" i="32"/>
  <c r="L245" i="32"/>
  <c r="M245" i="32"/>
  <c r="N245" i="32"/>
  <c r="O245" i="32"/>
  <c r="J246" i="32"/>
  <c r="K246" i="32"/>
  <c r="L246" i="32"/>
  <c r="M246" i="32"/>
  <c r="N246" i="32"/>
  <c r="O246" i="32"/>
  <c r="J247" i="32"/>
  <c r="K247" i="32"/>
  <c r="L247" i="32"/>
  <c r="M247" i="32"/>
  <c r="N247" i="32"/>
  <c r="O247" i="32"/>
  <c r="J248" i="32"/>
  <c r="K248" i="32"/>
  <c r="L248" i="32"/>
  <c r="M248" i="32"/>
  <c r="N248" i="32"/>
  <c r="O248" i="32"/>
  <c r="J249" i="32"/>
  <c r="K249" i="32"/>
  <c r="L249" i="32"/>
  <c r="M249" i="32"/>
  <c r="N249" i="32"/>
  <c r="O249" i="32"/>
  <c r="J250" i="32"/>
  <c r="K250" i="32"/>
  <c r="L250" i="32"/>
  <c r="M250" i="32"/>
  <c r="N250" i="32"/>
  <c r="O250" i="32"/>
  <c r="J251" i="32"/>
  <c r="K251" i="32"/>
  <c r="L251" i="32"/>
  <c r="M251" i="32"/>
  <c r="N251" i="32"/>
  <c r="O251" i="32"/>
  <c r="J252" i="32"/>
  <c r="K252" i="32"/>
  <c r="L252" i="32"/>
  <c r="M252" i="32"/>
  <c r="N252" i="32"/>
  <c r="O252" i="32"/>
  <c r="J253" i="32"/>
  <c r="K253" i="32"/>
  <c r="L253" i="32"/>
  <c r="M253" i="32"/>
  <c r="N253" i="32"/>
  <c r="O253" i="32"/>
  <c r="J254" i="32"/>
  <c r="K254" i="32"/>
  <c r="L254" i="32"/>
  <c r="M254" i="32"/>
  <c r="N254" i="32"/>
  <c r="O254" i="32"/>
  <c r="J255" i="32"/>
  <c r="K255" i="32"/>
  <c r="L255" i="32"/>
  <c r="M255" i="32"/>
  <c r="N255" i="32"/>
  <c r="O255" i="32"/>
  <c r="J256" i="32"/>
  <c r="K256" i="32"/>
  <c r="L256" i="32"/>
  <c r="M256" i="32"/>
  <c r="N256" i="32"/>
  <c r="O256" i="32"/>
  <c r="J257" i="32"/>
  <c r="K257" i="32"/>
  <c r="L257" i="32"/>
  <c r="M257" i="32"/>
  <c r="N257" i="32"/>
  <c r="O257" i="32"/>
  <c r="J258" i="32"/>
  <c r="K258" i="32"/>
  <c r="L258" i="32"/>
  <c r="M258" i="32"/>
  <c r="N258" i="32"/>
  <c r="O258" i="32"/>
  <c r="J259" i="32"/>
  <c r="K259" i="32"/>
  <c r="L259" i="32"/>
  <c r="M259" i="32"/>
  <c r="N259" i="32"/>
  <c r="O259" i="32"/>
  <c r="J260" i="32"/>
  <c r="K260" i="32"/>
  <c r="L260" i="32"/>
  <c r="M260" i="32"/>
  <c r="N260" i="32"/>
  <c r="O260" i="32"/>
  <c r="J261" i="32"/>
  <c r="K261" i="32"/>
  <c r="L261" i="32"/>
  <c r="M261" i="32"/>
  <c r="N261" i="32"/>
  <c r="O261" i="32"/>
  <c r="J262" i="32"/>
  <c r="K262" i="32"/>
  <c r="L262" i="32"/>
  <c r="M262" i="32"/>
  <c r="N262" i="32"/>
  <c r="O262" i="32"/>
  <c r="J263" i="32"/>
  <c r="K263" i="32"/>
  <c r="L263" i="32"/>
  <c r="M263" i="32"/>
  <c r="N263" i="32"/>
  <c r="O263" i="32"/>
  <c r="J264" i="32"/>
  <c r="K264" i="32"/>
  <c r="L264" i="32"/>
  <c r="M264" i="32"/>
  <c r="N264" i="32"/>
  <c r="O264" i="32"/>
  <c r="J265" i="32"/>
  <c r="K265" i="32"/>
  <c r="L265" i="32"/>
  <c r="M265" i="32"/>
  <c r="N265" i="32"/>
  <c r="O265" i="32"/>
  <c r="J266" i="32"/>
  <c r="K266" i="32"/>
  <c r="L266" i="32"/>
  <c r="M266" i="32"/>
  <c r="N266" i="32"/>
  <c r="O266" i="32"/>
  <c r="J267" i="32"/>
  <c r="K267" i="32"/>
  <c r="L267" i="32"/>
  <c r="M267" i="32"/>
  <c r="N267" i="32"/>
  <c r="O267" i="32"/>
  <c r="J268" i="32"/>
  <c r="K268" i="32"/>
  <c r="L268" i="32"/>
  <c r="M268" i="32"/>
  <c r="N268" i="32"/>
  <c r="O268" i="32"/>
  <c r="J269" i="32"/>
  <c r="K269" i="32"/>
  <c r="L269" i="32"/>
  <c r="M269" i="32"/>
  <c r="N269" i="32"/>
  <c r="O269" i="32"/>
  <c r="J270" i="32"/>
  <c r="K270" i="32"/>
  <c r="L270" i="32"/>
  <c r="M270" i="32"/>
  <c r="N270" i="32"/>
  <c r="O270" i="32"/>
  <c r="J271" i="32"/>
  <c r="K271" i="32"/>
  <c r="L271" i="32"/>
  <c r="M271" i="32"/>
  <c r="N271" i="32"/>
  <c r="O271" i="32"/>
  <c r="J272" i="32"/>
  <c r="K272" i="32"/>
  <c r="L272" i="32"/>
  <c r="M272" i="32"/>
  <c r="N272" i="32"/>
  <c r="O272" i="32"/>
  <c r="J273" i="32"/>
  <c r="K273" i="32"/>
  <c r="L273" i="32"/>
  <c r="M273" i="32"/>
  <c r="N273" i="32"/>
  <c r="O273" i="32"/>
  <c r="J274" i="32"/>
  <c r="K274" i="32"/>
  <c r="L274" i="32"/>
  <c r="M274" i="32"/>
  <c r="N274" i="32"/>
  <c r="O274" i="32"/>
  <c r="J275" i="32"/>
  <c r="K275" i="32"/>
  <c r="L275" i="32"/>
  <c r="M275" i="32"/>
  <c r="N275" i="32"/>
  <c r="O275" i="32"/>
  <c r="J276" i="32"/>
  <c r="K276" i="32"/>
  <c r="L276" i="32"/>
  <c r="M276" i="32"/>
  <c r="N276" i="32"/>
  <c r="O276" i="32"/>
  <c r="J277" i="32"/>
  <c r="K277" i="32"/>
  <c r="L277" i="32"/>
  <c r="M277" i="32"/>
  <c r="N277" i="32"/>
  <c r="O277" i="32"/>
  <c r="J278" i="32"/>
  <c r="K278" i="32"/>
  <c r="L278" i="32"/>
  <c r="M278" i="32"/>
  <c r="N278" i="32"/>
  <c r="O278" i="32"/>
  <c r="J279" i="32"/>
  <c r="K279" i="32"/>
  <c r="L279" i="32"/>
  <c r="M279" i="32"/>
  <c r="N279" i="32"/>
  <c r="O279" i="32"/>
  <c r="J280" i="32"/>
  <c r="K280" i="32"/>
  <c r="L280" i="32"/>
  <c r="M280" i="32"/>
  <c r="N280" i="32"/>
  <c r="O280" i="32"/>
  <c r="J281" i="32"/>
  <c r="K281" i="32"/>
  <c r="L281" i="32"/>
  <c r="M281" i="32"/>
  <c r="N281" i="32"/>
  <c r="O281" i="32"/>
  <c r="J282" i="32"/>
  <c r="K282" i="32"/>
  <c r="L282" i="32"/>
  <c r="M282" i="32"/>
  <c r="N282" i="32"/>
  <c r="O282" i="32"/>
  <c r="J283" i="32"/>
  <c r="K283" i="32"/>
  <c r="L283" i="32"/>
  <c r="M283" i="32"/>
  <c r="N283" i="32"/>
  <c r="O283" i="32"/>
  <c r="J284" i="32"/>
  <c r="K284" i="32"/>
  <c r="L284" i="32"/>
  <c r="M284" i="32"/>
  <c r="N284" i="32"/>
  <c r="O284" i="32"/>
  <c r="J285" i="32"/>
  <c r="K285" i="32"/>
  <c r="L285" i="32"/>
  <c r="M285" i="32"/>
  <c r="N285" i="32"/>
  <c r="O285" i="32"/>
  <c r="J286" i="32"/>
  <c r="K286" i="32"/>
  <c r="L286" i="32"/>
  <c r="M286" i="32"/>
  <c r="N286" i="32"/>
  <c r="O286" i="32"/>
  <c r="J287" i="32"/>
  <c r="K287" i="32"/>
  <c r="L287" i="32"/>
  <c r="M287" i="32"/>
  <c r="N287" i="32"/>
  <c r="O287" i="32"/>
  <c r="J288" i="32"/>
  <c r="K288" i="32"/>
  <c r="L288" i="32"/>
  <c r="M288" i="32"/>
  <c r="N288" i="32"/>
  <c r="O288" i="32"/>
  <c r="J289" i="32"/>
  <c r="K289" i="32"/>
  <c r="L289" i="32"/>
  <c r="M289" i="32"/>
  <c r="N289" i="32"/>
  <c r="O289" i="32"/>
  <c r="J290" i="32"/>
  <c r="K290" i="32"/>
  <c r="L290" i="32"/>
  <c r="M290" i="32"/>
  <c r="N290" i="32"/>
  <c r="O290" i="32"/>
  <c r="J291" i="32"/>
  <c r="K291" i="32"/>
  <c r="L291" i="32"/>
  <c r="M291" i="32"/>
  <c r="N291" i="32"/>
  <c r="O291" i="32"/>
  <c r="J292" i="32"/>
  <c r="K292" i="32"/>
  <c r="L292" i="32"/>
  <c r="M292" i="32"/>
  <c r="N292" i="32"/>
  <c r="O292" i="32"/>
  <c r="J293" i="32"/>
  <c r="K293" i="32"/>
  <c r="L293" i="32"/>
  <c r="M293" i="32"/>
  <c r="N293" i="32"/>
  <c r="O293" i="32"/>
  <c r="J294" i="32"/>
  <c r="K294" i="32"/>
  <c r="L294" i="32"/>
  <c r="M294" i="32"/>
  <c r="N294" i="32"/>
  <c r="O294" i="32"/>
  <c r="J295" i="32"/>
  <c r="K295" i="32"/>
  <c r="L295" i="32"/>
  <c r="M295" i="32"/>
  <c r="N295" i="32"/>
  <c r="O295" i="32"/>
  <c r="J296" i="32"/>
  <c r="K296" i="32"/>
  <c r="L296" i="32"/>
  <c r="M296" i="32"/>
  <c r="N296" i="32"/>
  <c r="O296" i="32"/>
  <c r="J297" i="32"/>
  <c r="K297" i="32"/>
  <c r="L297" i="32"/>
  <c r="M297" i="32"/>
  <c r="N297" i="32"/>
  <c r="O297" i="32"/>
  <c r="J298" i="32"/>
  <c r="K298" i="32"/>
  <c r="L298" i="32"/>
  <c r="M298" i="32"/>
  <c r="N298" i="32"/>
  <c r="O298" i="32"/>
  <c r="J299" i="32"/>
  <c r="K299" i="32"/>
  <c r="L299" i="32"/>
  <c r="M299" i="32"/>
  <c r="N299" i="32"/>
  <c r="O299" i="32"/>
  <c r="J300" i="32"/>
  <c r="K300" i="32"/>
  <c r="L300" i="32"/>
  <c r="M300" i="32"/>
  <c r="N300" i="32"/>
  <c r="O300" i="32"/>
  <c r="J301" i="32"/>
  <c r="K301" i="32"/>
  <c r="L301" i="32"/>
  <c r="M301" i="32"/>
  <c r="N301" i="32"/>
  <c r="O301" i="32"/>
  <c r="J302" i="32"/>
  <c r="K302" i="32"/>
  <c r="L302" i="32"/>
  <c r="M302" i="32"/>
  <c r="N302" i="32"/>
  <c r="O302" i="32"/>
  <c r="J303" i="32"/>
  <c r="K303" i="32"/>
  <c r="L303" i="32"/>
  <c r="M303" i="32"/>
  <c r="N303" i="32"/>
  <c r="O303" i="32"/>
  <c r="J304" i="32"/>
  <c r="K304" i="32"/>
  <c r="L304" i="32"/>
  <c r="M304" i="32"/>
  <c r="N304" i="32"/>
  <c r="O304" i="32"/>
  <c r="J305" i="32"/>
  <c r="K305" i="32"/>
  <c r="L305" i="32"/>
  <c r="M305" i="32"/>
  <c r="N305" i="32"/>
  <c r="O305" i="32"/>
  <c r="J306" i="32"/>
  <c r="K306" i="32"/>
  <c r="L306" i="32"/>
  <c r="M306" i="32"/>
  <c r="N306" i="32"/>
  <c r="O306" i="32"/>
  <c r="J307" i="32"/>
  <c r="K307" i="32"/>
  <c r="L307" i="32"/>
  <c r="M307" i="32"/>
  <c r="N307" i="32"/>
  <c r="O307" i="32"/>
  <c r="J308" i="32"/>
  <c r="K308" i="32"/>
  <c r="L308" i="32"/>
  <c r="M308" i="32"/>
  <c r="N308" i="32"/>
  <c r="O308" i="32"/>
  <c r="J309" i="32"/>
  <c r="K309" i="32"/>
  <c r="L309" i="32"/>
  <c r="M309" i="32"/>
  <c r="N309" i="32"/>
  <c r="O309" i="32"/>
  <c r="J310" i="32"/>
  <c r="K310" i="32"/>
  <c r="L310" i="32"/>
  <c r="M310" i="32"/>
  <c r="N310" i="32"/>
  <c r="O310" i="32"/>
  <c r="J311" i="32"/>
  <c r="K311" i="32"/>
  <c r="L311" i="32"/>
  <c r="M311" i="32"/>
  <c r="N311" i="32"/>
  <c r="O311" i="32"/>
  <c r="J312" i="32"/>
  <c r="K312" i="32"/>
  <c r="L312" i="32"/>
  <c r="M312" i="32"/>
  <c r="N312" i="32"/>
  <c r="O312" i="32"/>
  <c r="J313" i="32"/>
  <c r="K313" i="32"/>
  <c r="L313" i="32"/>
  <c r="M313" i="32"/>
  <c r="N313" i="32"/>
  <c r="O313" i="32"/>
  <c r="J314" i="32"/>
  <c r="K314" i="32"/>
  <c r="L314" i="32"/>
  <c r="M314" i="32"/>
  <c r="N314" i="32"/>
  <c r="O314" i="32"/>
  <c r="J315" i="32"/>
  <c r="K315" i="32"/>
  <c r="L315" i="32"/>
  <c r="M315" i="32"/>
  <c r="N315" i="32"/>
  <c r="O315" i="32"/>
  <c r="J316" i="32"/>
  <c r="K316" i="32"/>
  <c r="L316" i="32"/>
  <c r="M316" i="32"/>
  <c r="N316" i="32"/>
  <c r="O316" i="32"/>
  <c r="J317" i="32"/>
  <c r="K317" i="32"/>
  <c r="L317" i="32"/>
  <c r="M317" i="32"/>
  <c r="N317" i="32"/>
  <c r="O317" i="32"/>
  <c r="J318" i="32"/>
  <c r="K318" i="32"/>
  <c r="L318" i="32"/>
  <c r="M318" i="32"/>
  <c r="N318" i="32"/>
  <c r="O318" i="32"/>
  <c r="J319" i="32"/>
  <c r="K319" i="32"/>
  <c r="L319" i="32"/>
  <c r="M319" i="32"/>
  <c r="N319" i="32"/>
  <c r="O319" i="32"/>
  <c r="J320" i="32"/>
  <c r="K320" i="32"/>
  <c r="L320" i="32"/>
  <c r="M320" i="32"/>
  <c r="N320" i="32"/>
  <c r="O320" i="32"/>
  <c r="J321" i="32"/>
  <c r="K321" i="32"/>
  <c r="L321" i="32"/>
  <c r="M321" i="32"/>
  <c r="N321" i="32"/>
  <c r="O321" i="32"/>
  <c r="J322" i="32"/>
  <c r="K322" i="32"/>
  <c r="L322" i="32"/>
  <c r="M322" i="32"/>
  <c r="N322" i="32"/>
  <c r="O322" i="32"/>
  <c r="J323" i="32"/>
  <c r="K323" i="32"/>
  <c r="L323" i="32"/>
  <c r="M323" i="32"/>
  <c r="N323" i="32"/>
  <c r="O323" i="32"/>
  <c r="J324" i="32"/>
  <c r="K324" i="32"/>
  <c r="L324" i="32"/>
  <c r="M324" i="32"/>
  <c r="N324" i="32"/>
  <c r="O324" i="32"/>
  <c r="J325" i="32"/>
  <c r="K325" i="32"/>
  <c r="L325" i="32"/>
  <c r="M325" i="32"/>
  <c r="N325" i="32"/>
  <c r="O325" i="32"/>
  <c r="J326" i="32"/>
  <c r="K326" i="32"/>
  <c r="L326" i="32"/>
  <c r="M326" i="32"/>
  <c r="N326" i="32"/>
  <c r="O326" i="32"/>
  <c r="J327" i="32"/>
  <c r="K327" i="32"/>
  <c r="L327" i="32"/>
  <c r="M327" i="32"/>
  <c r="N327" i="32"/>
  <c r="O327" i="32"/>
  <c r="J328" i="32"/>
  <c r="K328" i="32"/>
  <c r="L328" i="32"/>
  <c r="M328" i="32"/>
  <c r="N328" i="32"/>
  <c r="O328" i="32"/>
  <c r="J329" i="32"/>
  <c r="K329" i="32"/>
  <c r="L329" i="32"/>
  <c r="M329" i="32"/>
  <c r="N329" i="32"/>
  <c r="O329" i="32"/>
  <c r="J330" i="32"/>
  <c r="K330" i="32"/>
  <c r="L330" i="32"/>
  <c r="M330" i="32"/>
  <c r="N330" i="32"/>
  <c r="O330" i="32"/>
  <c r="J331" i="32"/>
  <c r="K331" i="32"/>
  <c r="L331" i="32"/>
  <c r="M331" i="32"/>
  <c r="N331" i="32"/>
  <c r="O331" i="32"/>
  <c r="J332" i="32"/>
  <c r="K332" i="32"/>
  <c r="L332" i="32"/>
  <c r="M332" i="32"/>
  <c r="N332" i="32"/>
  <c r="O332" i="32"/>
  <c r="J333" i="32"/>
  <c r="K333" i="32"/>
  <c r="L333" i="32"/>
  <c r="M333" i="32"/>
  <c r="N333" i="32"/>
  <c r="O333" i="32"/>
  <c r="J334" i="32"/>
  <c r="K334" i="32"/>
  <c r="L334" i="32"/>
  <c r="M334" i="32"/>
  <c r="N334" i="32"/>
  <c r="O334" i="32"/>
  <c r="J335" i="32"/>
  <c r="K335" i="32"/>
  <c r="L335" i="32"/>
  <c r="M335" i="32"/>
  <c r="N335" i="32"/>
  <c r="O335" i="32"/>
  <c r="J336" i="32"/>
  <c r="K336" i="32"/>
  <c r="L336" i="32"/>
  <c r="M336" i="32"/>
  <c r="N336" i="32"/>
  <c r="O336" i="32"/>
  <c r="J337" i="32"/>
  <c r="K337" i="32"/>
  <c r="L337" i="32"/>
  <c r="M337" i="32"/>
  <c r="N337" i="32"/>
  <c r="O337" i="32"/>
  <c r="J338" i="32"/>
  <c r="K338" i="32"/>
  <c r="L338" i="32"/>
  <c r="M338" i="32"/>
  <c r="N338" i="32"/>
  <c r="O338" i="32"/>
  <c r="J339" i="32"/>
  <c r="K339" i="32"/>
  <c r="L339" i="32"/>
  <c r="M339" i="32"/>
  <c r="N339" i="32"/>
  <c r="O339" i="32"/>
  <c r="J340" i="32"/>
  <c r="K340" i="32"/>
  <c r="L340" i="32"/>
  <c r="M340" i="32"/>
  <c r="N340" i="32"/>
  <c r="O340" i="32"/>
  <c r="J341" i="32"/>
  <c r="K341" i="32"/>
  <c r="L341" i="32"/>
  <c r="M341" i="32"/>
  <c r="N341" i="32"/>
  <c r="O341" i="32"/>
  <c r="J342" i="32"/>
  <c r="K342" i="32"/>
  <c r="L342" i="32"/>
  <c r="M342" i="32"/>
  <c r="N342" i="32"/>
  <c r="O342" i="32"/>
  <c r="J343" i="32"/>
  <c r="K343" i="32"/>
  <c r="L343" i="32"/>
  <c r="M343" i="32"/>
  <c r="N343" i="32"/>
  <c r="O343" i="32"/>
  <c r="J344" i="32"/>
  <c r="K344" i="32"/>
  <c r="L344" i="32"/>
  <c r="M344" i="32"/>
  <c r="N344" i="32"/>
  <c r="O344" i="32"/>
  <c r="J345" i="32"/>
  <c r="K345" i="32"/>
  <c r="L345" i="32"/>
  <c r="M345" i="32"/>
  <c r="N345" i="32"/>
  <c r="O345" i="32"/>
  <c r="J346" i="32"/>
  <c r="K346" i="32"/>
  <c r="L346" i="32"/>
  <c r="M346" i="32"/>
  <c r="N346" i="32"/>
  <c r="O346" i="32"/>
  <c r="J347" i="32"/>
  <c r="K347" i="32"/>
  <c r="L347" i="32"/>
  <c r="M347" i="32"/>
  <c r="N347" i="32"/>
  <c r="O347" i="32"/>
  <c r="J348" i="32"/>
  <c r="K348" i="32"/>
  <c r="L348" i="32"/>
  <c r="M348" i="32"/>
  <c r="N348" i="32"/>
  <c r="O348" i="32"/>
  <c r="J349" i="32"/>
  <c r="K349" i="32"/>
  <c r="L349" i="32"/>
  <c r="M349" i="32"/>
  <c r="N349" i="32"/>
  <c r="O349" i="32"/>
  <c r="J350" i="32"/>
  <c r="K350" i="32"/>
  <c r="L350" i="32"/>
  <c r="M350" i="32"/>
  <c r="N350" i="32"/>
  <c r="O350" i="32"/>
  <c r="J351" i="32"/>
  <c r="K351" i="32"/>
  <c r="L351" i="32"/>
  <c r="M351" i="32"/>
  <c r="N351" i="32"/>
  <c r="O351" i="32"/>
  <c r="J352" i="32"/>
  <c r="K352" i="32"/>
  <c r="L352" i="32"/>
  <c r="M352" i="32"/>
  <c r="N352" i="32"/>
  <c r="O352" i="32"/>
  <c r="J353" i="32"/>
  <c r="K353" i="32"/>
  <c r="L353" i="32"/>
  <c r="M353" i="32"/>
  <c r="N353" i="32"/>
  <c r="O353" i="32"/>
  <c r="J354" i="32"/>
  <c r="K354" i="32"/>
  <c r="L354" i="32"/>
  <c r="M354" i="32"/>
  <c r="N354" i="32"/>
  <c r="O354" i="32"/>
  <c r="J355" i="32"/>
  <c r="K355" i="32"/>
  <c r="L355" i="32"/>
  <c r="M355" i="32"/>
  <c r="N355" i="32"/>
  <c r="O355" i="32"/>
  <c r="J356" i="32"/>
  <c r="K356" i="32"/>
  <c r="L356" i="32"/>
  <c r="M356" i="32"/>
  <c r="N356" i="32"/>
  <c r="O356" i="32"/>
  <c r="J357" i="32"/>
  <c r="K357" i="32"/>
  <c r="L357" i="32"/>
  <c r="M357" i="32"/>
  <c r="N357" i="32"/>
  <c r="O357" i="32"/>
  <c r="J358" i="32"/>
  <c r="K358" i="32"/>
  <c r="L358" i="32"/>
  <c r="M358" i="32"/>
  <c r="N358" i="32"/>
  <c r="O358" i="32"/>
  <c r="J359" i="32"/>
  <c r="K359" i="32"/>
  <c r="L359" i="32"/>
  <c r="M359" i="32"/>
  <c r="N359" i="32"/>
  <c r="O359" i="32"/>
  <c r="J360" i="32"/>
  <c r="K360" i="32"/>
  <c r="L360" i="32"/>
  <c r="M360" i="32"/>
  <c r="N360" i="32"/>
  <c r="O360" i="32"/>
  <c r="J361" i="32"/>
  <c r="K361" i="32"/>
  <c r="L361" i="32"/>
  <c r="M361" i="32"/>
  <c r="N361" i="32"/>
  <c r="O361" i="32"/>
  <c r="J362" i="32"/>
  <c r="K362" i="32"/>
  <c r="L362" i="32"/>
  <c r="M362" i="32"/>
  <c r="N362" i="32"/>
  <c r="O362" i="32"/>
  <c r="J363" i="32"/>
  <c r="K363" i="32"/>
  <c r="L363" i="32"/>
  <c r="M363" i="32"/>
  <c r="N363" i="32"/>
  <c r="O363" i="32"/>
  <c r="J364" i="32"/>
  <c r="K364" i="32"/>
  <c r="L364" i="32"/>
  <c r="M364" i="32"/>
  <c r="N364" i="32"/>
  <c r="O364" i="32"/>
  <c r="J365" i="32"/>
  <c r="K365" i="32"/>
  <c r="L365" i="32"/>
  <c r="M365" i="32"/>
  <c r="N365" i="32"/>
  <c r="O365" i="32"/>
  <c r="J366" i="32"/>
  <c r="K366" i="32"/>
  <c r="L366" i="32"/>
  <c r="M366" i="32"/>
  <c r="N366" i="32"/>
  <c r="O366" i="32"/>
  <c r="J367" i="32"/>
  <c r="K367" i="32"/>
  <c r="L367" i="32"/>
  <c r="M367" i="32"/>
  <c r="N367" i="32"/>
  <c r="O367" i="32"/>
  <c r="J368" i="32"/>
  <c r="K368" i="32"/>
  <c r="L368" i="32"/>
  <c r="M368" i="32"/>
  <c r="N368" i="32"/>
  <c r="O368" i="32"/>
  <c r="J369" i="32"/>
  <c r="K369" i="32"/>
  <c r="L369" i="32"/>
  <c r="M369" i="32"/>
  <c r="N369" i="32"/>
  <c r="O369" i="32"/>
  <c r="J370" i="32"/>
  <c r="K370" i="32"/>
  <c r="L370" i="32"/>
  <c r="M370" i="32"/>
  <c r="N370" i="32"/>
  <c r="O370" i="32"/>
  <c r="J371" i="32"/>
  <c r="K371" i="32"/>
  <c r="L371" i="32"/>
  <c r="M371" i="32"/>
  <c r="N371" i="32"/>
  <c r="O371" i="32"/>
  <c r="J372" i="32"/>
  <c r="K372" i="32"/>
  <c r="L372" i="32"/>
  <c r="M372" i="32"/>
  <c r="N372" i="32"/>
  <c r="O372" i="32"/>
  <c r="J373" i="32"/>
  <c r="K373" i="32"/>
  <c r="L373" i="32"/>
  <c r="M373" i="32"/>
  <c r="N373" i="32"/>
  <c r="O373" i="32"/>
  <c r="J374" i="32"/>
  <c r="K374" i="32"/>
  <c r="L374" i="32"/>
  <c r="M374" i="32"/>
  <c r="N374" i="32"/>
  <c r="O374" i="32"/>
  <c r="J375" i="32"/>
  <c r="K375" i="32"/>
  <c r="L375" i="32"/>
  <c r="M375" i="32"/>
  <c r="N375" i="32"/>
  <c r="O375" i="32"/>
  <c r="J376" i="32"/>
  <c r="K376" i="32"/>
  <c r="L376" i="32"/>
  <c r="M376" i="32"/>
  <c r="N376" i="32"/>
  <c r="O376" i="32"/>
  <c r="J377" i="32"/>
  <c r="K377" i="32"/>
  <c r="L377" i="32"/>
  <c r="M377" i="32"/>
  <c r="N377" i="32"/>
  <c r="O377" i="32"/>
  <c r="J378" i="32"/>
  <c r="K378" i="32"/>
  <c r="L378" i="32"/>
  <c r="M378" i="32"/>
  <c r="N378" i="32"/>
  <c r="O378" i="32"/>
  <c r="J379" i="32"/>
  <c r="K379" i="32"/>
  <c r="L379" i="32"/>
  <c r="M379" i="32"/>
  <c r="N379" i="32"/>
  <c r="O379" i="32"/>
  <c r="J380" i="32"/>
  <c r="K380" i="32"/>
  <c r="L380" i="32"/>
  <c r="M380" i="32"/>
  <c r="N380" i="32"/>
  <c r="O380" i="32"/>
  <c r="J381" i="32"/>
  <c r="K381" i="32"/>
  <c r="L381" i="32"/>
  <c r="M381" i="32"/>
  <c r="N381" i="32"/>
  <c r="O381" i="32"/>
  <c r="J382" i="32"/>
  <c r="K382" i="32"/>
  <c r="L382" i="32"/>
  <c r="M382" i="32"/>
  <c r="N382" i="32"/>
  <c r="O382" i="32"/>
  <c r="J383" i="32"/>
  <c r="K383" i="32"/>
  <c r="L383" i="32"/>
  <c r="M383" i="32"/>
  <c r="N383" i="32"/>
  <c r="O383" i="32"/>
  <c r="J384" i="32"/>
  <c r="K384" i="32"/>
  <c r="L384" i="32"/>
  <c r="M384" i="32"/>
  <c r="N384" i="32"/>
  <c r="O384" i="32"/>
  <c r="J385" i="32"/>
  <c r="K385" i="32"/>
  <c r="L385" i="32"/>
  <c r="M385" i="32"/>
  <c r="N385" i="32"/>
  <c r="O385" i="32"/>
  <c r="J386" i="32"/>
  <c r="K386" i="32"/>
  <c r="L386" i="32"/>
  <c r="M386" i="32"/>
  <c r="N386" i="32"/>
  <c r="O386" i="32"/>
  <c r="J387" i="32"/>
  <c r="K387" i="32"/>
  <c r="L387" i="32"/>
  <c r="M387" i="32"/>
  <c r="N387" i="32"/>
  <c r="O387" i="32"/>
  <c r="J388" i="32"/>
  <c r="K388" i="32"/>
  <c r="L388" i="32"/>
  <c r="M388" i="32"/>
  <c r="N388" i="32"/>
  <c r="O388" i="32"/>
  <c r="J389" i="32"/>
  <c r="K389" i="32"/>
  <c r="L389" i="32"/>
  <c r="M389" i="32"/>
  <c r="N389" i="32"/>
  <c r="O389" i="32"/>
  <c r="J390" i="32"/>
  <c r="K390" i="32"/>
  <c r="L390" i="32"/>
  <c r="M390" i="32"/>
  <c r="N390" i="32"/>
  <c r="O390" i="32"/>
  <c r="J391" i="32"/>
  <c r="K391" i="32"/>
  <c r="L391" i="32"/>
  <c r="M391" i="32"/>
  <c r="N391" i="32"/>
  <c r="O391" i="32"/>
  <c r="J392" i="32"/>
  <c r="K392" i="32"/>
  <c r="L392" i="32"/>
  <c r="M392" i="32"/>
  <c r="N392" i="32"/>
  <c r="O392" i="32"/>
  <c r="J393" i="32"/>
  <c r="K393" i="32"/>
  <c r="L393" i="32"/>
  <c r="M393" i="32"/>
  <c r="N393" i="32"/>
  <c r="O393" i="32"/>
  <c r="J394" i="32"/>
  <c r="K394" i="32"/>
  <c r="L394" i="32"/>
  <c r="M394" i="32"/>
  <c r="N394" i="32"/>
  <c r="O394" i="32"/>
  <c r="J395" i="32"/>
  <c r="K395" i="32"/>
  <c r="L395" i="32"/>
  <c r="M395" i="32"/>
  <c r="N395" i="32"/>
  <c r="O395" i="32"/>
  <c r="J396" i="32"/>
  <c r="K396" i="32"/>
  <c r="L396" i="32"/>
  <c r="M396" i="32"/>
  <c r="N396" i="32"/>
  <c r="O396" i="32"/>
  <c r="J397" i="32"/>
  <c r="K397" i="32"/>
  <c r="L397" i="32"/>
  <c r="M397" i="32"/>
  <c r="N397" i="32"/>
  <c r="O397" i="32"/>
  <c r="J398" i="32"/>
  <c r="K398" i="32"/>
  <c r="L398" i="32"/>
  <c r="M398" i="32"/>
  <c r="N398" i="32"/>
  <c r="O398" i="32"/>
  <c r="J399" i="32"/>
  <c r="K399" i="32"/>
  <c r="L399" i="32"/>
  <c r="M399" i="32"/>
  <c r="N399" i="32"/>
  <c r="O399" i="32"/>
  <c r="J400" i="32"/>
  <c r="K400" i="32"/>
  <c r="L400" i="32"/>
  <c r="M400" i="32"/>
  <c r="N400" i="32"/>
  <c r="O400" i="32"/>
  <c r="J401" i="32"/>
  <c r="K401" i="32"/>
  <c r="L401" i="32"/>
  <c r="M401" i="32"/>
  <c r="N401" i="32"/>
  <c r="O401" i="32"/>
  <c r="J402" i="32"/>
  <c r="K402" i="32"/>
  <c r="L402" i="32"/>
  <c r="M402" i="32"/>
  <c r="N402" i="32"/>
  <c r="O402" i="32"/>
  <c r="J403" i="32"/>
  <c r="K403" i="32"/>
  <c r="L403" i="32"/>
  <c r="M403" i="32"/>
  <c r="N403" i="32"/>
  <c r="O403" i="32"/>
  <c r="J404" i="32"/>
  <c r="K404" i="32"/>
  <c r="L404" i="32"/>
  <c r="M404" i="32"/>
  <c r="N404" i="32"/>
  <c r="O404" i="32"/>
  <c r="J405" i="32"/>
  <c r="K405" i="32"/>
  <c r="L405" i="32"/>
  <c r="M405" i="32"/>
  <c r="N405" i="32"/>
  <c r="O405" i="32"/>
  <c r="J406" i="32"/>
  <c r="K406" i="32"/>
  <c r="L406" i="32"/>
  <c r="M406" i="32"/>
  <c r="N406" i="32"/>
  <c r="O406" i="32"/>
  <c r="J407" i="32"/>
  <c r="K407" i="32"/>
  <c r="L407" i="32"/>
  <c r="M407" i="32"/>
  <c r="N407" i="32"/>
  <c r="O407" i="32"/>
  <c r="J408" i="32"/>
  <c r="K408" i="32"/>
  <c r="L408" i="32"/>
  <c r="M408" i="32"/>
  <c r="N408" i="32"/>
  <c r="O408" i="32"/>
  <c r="J409" i="32"/>
  <c r="K409" i="32"/>
  <c r="L409" i="32"/>
  <c r="M409" i="32"/>
  <c r="N409" i="32"/>
  <c r="O409" i="32"/>
  <c r="J410" i="32"/>
  <c r="K410" i="32"/>
  <c r="L410" i="32"/>
  <c r="M410" i="32"/>
  <c r="N410" i="32"/>
  <c r="O410" i="32"/>
  <c r="J411" i="32"/>
  <c r="K411" i="32"/>
  <c r="L411" i="32"/>
  <c r="M411" i="32"/>
  <c r="N411" i="32"/>
  <c r="O411" i="32"/>
  <c r="J412" i="32"/>
  <c r="K412" i="32"/>
  <c r="L412" i="32"/>
  <c r="M412" i="32"/>
  <c r="N412" i="32"/>
  <c r="O412" i="32"/>
  <c r="J413" i="32"/>
  <c r="K413" i="32"/>
  <c r="L413" i="32"/>
  <c r="M413" i="32"/>
  <c r="N413" i="32"/>
  <c r="O413" i="32"/>
  <c r="J414" i="32"/>
  <c r="K414" i="32"/>
  <c r="L414" i="32"/>
  <c r="M414" i="32"/>
  <c r="N414" i="32"/>
  <c r="O414" i="32"/>
  <c r="J415" i="32"/>
  <c r="K415" i="32"/>
  <c r="L415" i="32"/>
  <c r="M415" i="32"/>
  <c r="N415" i="32"/>
  <c r="O415" i="32"/>
  <c r="J416" i="32"/>
  <c r="K416" i="32"/>
  <c r="L416" i="32"/>
  <c r="M416" i="32"/>
  <c r="N416" i="32"/>
  <c r="O416" i="32"/>
  <c r="J417" i="32"/>
  <c r="K417" i="32"/>
  <c r="L417" i="32"/>
  <c r="M417" i="32"/>
  <c r="N417" i="32"/>
  <c r="O417" i="32"/>
  <c r="J418" i="32"/>
  <c r="K418" i="32"/>
  <c r="L418" i="32"/>
  <c r="M418" i="32"/>
  <c r="N418" i="32"/>
  <c r="O418" i="32"/>
  <c r="J419" i="32"/>
  <c r="K419" i="32"/>
  <c r="L419" i="32"/>
  <c r="M419" i="32"/>
  <c r="N419" i="32"/>
  <c r="O419" i="32"/>
  <c r="J420" i="32"/>
  <c r="K420" i="32"/>
  <c r="L420" i="32"/>
  <c r="M420" i="32"/>
  <c r="N420" i="32"/>
  <c r="O420" i="32"/>
  <c r="J421" i="32"/>
  <c r="K421" i="32"/>
  <c r="L421" i="32"/>
  <c r="M421" i="32"/>
  <c r="N421" i="32"/>
  <c r="O421" i="32"/>
  <c r="J422" i="32"/>
  <c r="K422" i="32"/>
  <c r="L422" i="32"/>
  <c r="M422" i="32"/>
  <c r="N422" i="32"/>
  <c r="O422" i="32"/>
  <c r="J423" i="32"/>
  <c r="K423" i="32"/>
  <c r="L423" i="32"/>
  <c r="M423" i="32"/>
  <c r="N423" i="32"/>
  <c r="O423" i="32"/>
  <c r="J424" i="32"/>
  <c r="K424" i="32"/>
  <c r="L424" i="32"/>
  <c r="M424" i="32"/>
  <c r="N424" i="32"/>
  <c r="O424" i="32"/>
  <c r="J425" i="32"/>
  <c r="K425" i="32"/>
  <c r="L425" i="32"/>
  <c r="M425" i="32"/>
  <c r="N425" i="32"/>
  <c r="O425" i="32"/>
  <c r="J426" i="32"/>
  <c r="K426" i="32"/>
  <c r="L426" i="32"/>
  <c r="M426" i="32"/>
  <c r="N426" i="32"/>
  <c r="O426" i="32"/>
  <c r="J427" i="32"/>
  <c r="K427" i="32"/>
  <c r="L427" i="32"/>
  <c r="M427" i="32"/>
  <c r="N427" i="32"/>
  <c r="O427" i="32"/>
  <c r="J428" i="32"/>
  <c r="K428" i="32"/>
  <c r="L428" i="32"/>
  <c r="M428" i="32"/>
  <c r="N428" i="32"/>
  <c r="O428" i="32"/>
  <c r="J429" i="32"/>
  <c r="K429" i="32"/>
  <c r="L429" i="32"/>
  <c r="M429" i="32"/>
  <c r="N429" i="32"/>
  <c r="O429" i="32"/>
  <c r="J430" i="32"/>
  <c r="K430" i="32"/>
  <c r="L430" i="32"/>
  <c r="M430" i="32"/>
  <c r="N430" i="32"/>
  <c r="O430" i="32"/>
  <c r="J431" i="32"/>
  <c r="K431" i="32"/>
  <c r="L431" i="32"/>
  <c r="M431" i="32"/>
  <c r="N431" i="32"/>
  <c r="O431" i="32"/>
  <c r="J432" i="32"/>
  <c r="K432" i="32"/>
  <c r="L432" i="32"/>
  <c r="M432" i="32"/>
  <c r="N432" i="32"/>
  <c r="O432" i="32"/>
  <c r="J433" i="32"/>
  <c r="K433" i="32"/>
  <c r="L433" i="32"/>
  <c r="M433" i="32"/>
  <c r="N433" i="32"/>
  <c r="O433" i="32"/>
  <c r="J434" i="32"/>
  <c r="K434" i="32"/>
  <c r="L434" i="32"/>
  <c r="M434" i="32"/>
  <c r="N434" i="32"/>
  <c r="O434" i="32"/>
  <c r="J435" i="32"/>
  <c r="K435" i="32"/>
  <c r="L435" i="32"/>
  <c r="M435" i="32"/>
  <c r="N435" i="32"/>
  <c r="O435" i="32"/>
  <c r="J436" i="32"/>
  <c r="K436" i="32"/>
  <c r="L436" i="32"/>
  <c r="M436" i="32"/>
  <c r="N436" i="32"/>
  <c r="O436" i="32"/>
  <c r="J437" i="32"/>
  <c r="K437" i="32"/>
  <c r="L437" i="32"/>
  <c r="M437" i="32"/>
  <c r="N437" i="32"/>
  <c r="O437" i="32"/>
  <c r="J438" i="32"/>
  <c r="K438" i="32"/>
  <c r="L438" i="32"/>
  <c r="M438" i="32"/>
  <c r="N438" i="32"/>
  <c r="O438" i="32"/>
  <c r="J439" i="32"/>
  <c r="K439" i="32"/>
  <c r="L439" i="32"/>
  <c r="M439" i="32"/>
  <c r="N439" i="32"/>
  <c r="O439" i="32"/>
  <c r="J440" i="32"/>
  <c r="K440" i="32"/>
  <c r="L440" i="32"/>
  <c r="M440" i="32"/>
  <c r="N440" i="32"/>
  <c r="O440" i="32"/>
  <c r="J441" i="32"/>
  <c r="K441" i="32"/>
  <c r="L441" i="32"/>
  <c r="M441" i="32"/>
  <c r="N441" i="32"/>
  <c r="O441" i="32"/>
  <c r="J442" i="32"/>
  <c r="K442" i="32"/>
  <c r="L442" i="32"/>
  <c r="M442" i="32"/>
  <c r="N442" i="32"/>
  <c r="O442" i="32"/>
  <c r="J443" i="32"/>
  <c r="K443" i="32"/>
  <c r="L443" i="32"/>
  <c r="M443" i="32"/>
  <c r="N443" i="32"/>
  <c r="O443" i="32"/>
  <c r="J444" i="32"/>
  <c r="K444" i="32"/>
  <c r="L444" i="32"/>
  <c r="M444" i="32"/>
  <c r="N444" i="32"/>
  <c r="O444" i="32"/>
  <c r="J445" i="32"/>
  <c r="K445" i="32"/>
  <c r="L445" i="32"/>
  <c r="M445" i="32"/>
  <c r="N445" i="32"/>
  <c r="O445" i="32"/>
  <c r="J446" i="32"/>
  <c r="K446" i="32"/>
  <c r="L446" i="32"/>
  <c r="M446" i="32"/>
  <c r="N446" i="32"/>
  <c r="O446" i="32"/>
  <c r="J447" i="32"/>
  <c r="K447" i="32"/>
  <c r="L447" i="32"/>
  <c r="M447" i="32"/>
  <c r="N447" i="32"/>
  <c r="O447" i="32"/>
  <c r="J448" i="32"/>
  <c r="K448" i="32"/>
  <c r="L448" i="32"/>
  <c r="M448" i="32"/>
  <c r="N448" i="32"/>
  <c r="O448" i="32"/>
  <c r="J449" i="32"/>
  <c r="K449" i="32"/>
  <c r="L449" i="32"/>
  <c r="M449" i="32"/>
  <c r="N449" i="32"/>
  <c r="O449" i="32"/>
  <c r="J450" i="32"/>
  <c r="K450" i="32"/>
  <c r="L450" i="32"/>
  <c r="M450" i="32"/>
  <c r="N450" i="32"/>
  <c r="O450" i="32"/>
  <c r="J451" i="32"/>
  <c r="K451" i="32"/>
  <c r="L451" i="32"/>
  <c r="M451" i="32"/>
  <c r="N451" i="32"/>
  <c r="O451" i="32"/>
  <c r="J452" i="32"/>
  <c r="K452" i="32"/>
  <c r="L452" i="32"/>
  <c r="M452" i="32"/>
  <c r="N452" i="32"/>
  <c r="O452" i="32"/>
  <c r="J453" i="32"/>
  <c r="K453" i="32"/>
  <c r="L453" i="32"/>
  <c r="M453" i="32"/>
  <c r="N453" i="32"/>
  <c r="O453" i="32"/>
  <c r="J454" i="32"/>
  <c r="K454" i="32"/>
  <c r="L454" i="32"/>
  <c r="M454" i="32"/>
  <c r="N454" i="32"/>
  <c r="O454" i="32"/>
  <c r="J455" i="32"/>
  <c r="K455" i="32"/>
  <c r="L455" i="32"/>
  <c r="M455" i="32"/>
  <c r="N455" i="32"/>
  <c r="O455" i="32"/>
  <c r="J456" i="32"/>
  <c r="K456" i="32"/>
  <c r="L456" i="32"/>
  <c r="M456" i="32"/>
  <c r="N456" i="32"/>
  <c r="O456" i="32"/>
  <c r="J457" i="32"/>
  <c r="K457" i="32"/>
  <c r="L457" i="32"/>
  <c r="M457" i="32"/>
  <c r="N457" i="32"/>
  <c r="O457" i="32"/>
  <c r="J458" i="32"/>
  <c r="K458" i="32"/>
  <c r="L458" i="32"/>
  <c r="M458" i="32"/>
  <c r="N458" i="32"/>
  <c r="O458" i="32"/>
  <c r="J459" i="32"/>
  <c r="K459" i="32"/>
  <c r="L459" i="32"/>
  <c r="M459" i="32"/>
  <c r="N459" i="32"/>
  <c r="O459" i="32"/>
  <c r="J460" i="32"/>
  <c r="K460" i="32"/>
  <c r="L460" i="32"/>
  <c r="M460" i="32"/>
  <c r="N460" i="32"/>
  <c r="O460" i="32"/>
  <c r="J461" i="32"/>
  <c r="K461" i="32"/>
  <c r="L461" i="32"/>
  <c r="M461" i="32"/>
  <c r="N461" i="32"/>
  <c r="O461" i="32"/>
  <c r="J462" i="32"/>
  <c r="K462" i="32"/>
  <c r="L462" i="32"/>
  <c r="M462" i="32"/>
  <c r="N462" i="32"/>
  <c r="O462" i="32"/>
  <c r="J463" i="32"/>
  <c r="K463" i="32"/>
  <c r="L463" i="32"/>
  <c r="M463" i="32"/>
  <c r="N463" i="32"/>
  <c r="O463" i="32"/>
  <c r="J464" i="32"/>
  <c r="K464" i="32"/>
  <c r="L464" i="32"/>
  <c r="M464" i="32"/>
  <c r="N464" i="32"/>
  <c r="O464" i="32"/>
  <c r="J465" i="32"/>
  <c r="K465" i="32"/>
  <c r="L465" i="32"/>
  <c r="M465" i="32"/>
  <c r="N465" i="32"/>
  <c r="O465" i="32"/>
  <c r="J466" i="32"/>
  <c r="K466" i="32"/>
  <c r="L466" i="32"/>
  <c r="M466" i="32"/>
  <c r="N466" i="32"/>
  <c r="O466" i="32"/>
  <c r="J467" i="32"/>
  <c r="K467" i="32"/>
  <c r="L467" i="32"/>
  <c r="M467" i="32"/>
  <c r="N467" i="32"/>
  <c r="O467" i="32"/>
  <c r="J468" i="32"/>
  <c r="K468" i="32"/>
  <c r="L468" i="32"/>
  <c r="M468" i="32"/>
  <c r="N468" i="32"/>
  <c r="O468" i="32"/>
  <c r="J469" i="32"/>
  <c r="K469" i="32"/>
  <c r="L469" i="32"/>
  <c r="M469" i="32"/>
  <c r="N469" i="32"/>
  <c r="O469" i="32"/>
  <c r="J470" i="32"/>
  <c r="K470" i="32"/>
  <c r="L470" i="32"/>
  <c r="M470" i="32"/>
  <c r="N470" i="32"/>
  <c r="O470" i="32"/>
  <c r="J471" i="32"/>
  <c r="K471" i="32"/>
  <c r="L471" i="32"/>
  <c r="M471" i="32"/>
  <c r="N471" i="32"/>
  <c r="O471" i="32"/>
  <c r="J472" i="32"/>
  <c r="K472" i="32"/>
  <c r="L472" i="32"/>
  <c r="M472" i="32"/>
  <c r="N472" i="32"/>
  <c r="O472" i="32"/>
  <c r="J473" i="32"/>
  <c r="K473" i="32"/>
  <c r="L473" i="32"/>
  <c r="M473" i="32"/>
  <c r="N473" i="32"/>
  <c r="O473" i="32"/>
  <c r="J474" i="32"/>
  <c r="K474" i="32"/>
  <c r="L474" i="32"/>
  <c r="M474" i="32"/>
  <c r="N474" i="32"/>
  <c r="O474" i="32"/>
  <c r="J475" i="32"/>
  <c r="K475" i="32"/>
  <c r="L475" i="32"/>
  <c r="M475" i="32"/>
  <c r="N475" i="32"/>
  <c r="O475" i="32"/>
  <c r="J476" i="32"/>
  <c r="K476" i="32"/>
  <c r="L476" i="32"/>
  <c r="M476" i="32"/>
  <c r="N476" i="32"/>
  <c r="O476" i="32"/>
  <c r="J477" i="32"/>
  <c r="K477" i="32"/>
  <c r="L477" i="32"/>
  <c r="M477" i="32"/>
  <c r="N477" i="32"/>
  <c r="O477" i="32"/>
  <c r="J478" i="32"/>
  <c r="K478" i="32"/>
  <c r="L478" i="32"/>
  <c r="M478" i="32"/>
  <c r="N478" i="32"/>
  <c r="O478" i="32"/>
  <c r="J479" i="32"/>
  <c r="K479" i="32"/>
  <c r="L479" i="32"/>
  <c r="M479" i="32"/>
  <c r="N479" i="32"/>
  <c r="O479" i="32"/>
  <c r="J480" i="32"/>
  <c r="K480" i="32"/>
  <c r="L480" i="32"/>
  <c r="M480" i="32"/>
  <c r="N480" i="32"/>
  <c r="O480" i="32"/>
  <c r="J481" i="32"/>
  <c r="K481" i="32"/>
  <c r="L481" i="32"/>
  <c r="M481" i="32"/>
  <c r="N481" i="32"/>
  <c r="O481" i="32"/>
  <c r="J482" i="32"/>
  <c r="K482" i="32"/>
  <c r="L482" i="32"/>
  <c r="M482" i="32"/>
  <c r="N482" i="32"/>
  <c r="O482" i="32"/>
  <c r="J483" i="32"/>
  <c r="K483" i="32"/>
  <c r="L483" i="32"/>
  <c r="M483" i="32"/>
  <c r="N483" i="32"/>
  <c r="O483" i="32"/>
  <c r="J484" i="32"/>
  <c r="K484" i="32"/>
  <c r="L484" i="32"/>
  <c r="M484" i="32"/>
  <c r="N484" i="32"/>
  <c r="O484" i="32"/>
  <c r="J485" i="32"/>
  <c r="K485" i="32"/>
  <c r="L485" i="32"/>
  <c r="M485" i="32"/>
  <c r="N485" i="32"/>
  <c r="O485" i="32"/>
  <c r="J486" i="32"/>
  <c r="K486" i="32"/>
  <c r="L486" i="32"/>
  <c r="M486" i="32"/>
  <c r="N486" i="32"/>
  <c r="O486" i="32"/>
  <c r="J487" i="32"/>
  <c r="K487" i="32"/>
  <c r="L487" i="32"/>
  <c r="M487" i="32"/>
  <c r="N487" i="32"/>
  <c r="O487" i="32"/>
  <c r="J488" i="32"/>
  <c r="K488" i="32"/>
  <c r="L488" i="32"/>
  <c r="M488" i="32"/>
  <c r="N488" i="32"/>
  <c r="O488" i="32"/>
  <c r="J489" i="32"/>
  <c r="K489" i="32"/>
  <c r="L489" i="32"/>
  <c r="M489" i="32"/>
  <c r="N489" i="32"/>
  <c r="O489" i="32"/>
  <c r="J490" i="32"/>
  <c r="K490" i="32"/>
  <c r="L490" i="32"/>
  <c r="M490" i="32"/>
  <c r="N490" i="32"/>
  <c r="O490" i="32"/>
  <c r="J491" i="32"/>
  <c r="K491" i="32"/>
  <c r="L491" i="32"/>
  <c r="M491" i="32"/>
  <c r="N491" i="32"/>
  <c r="O491" i="32"/>
  <c r="J492" i="32"/>
  <c r="K492" i="32"/>
  <c r="L492" i="32"/>
  <c r="M492" i="32"/>
  <c r="N492" i="32"/>
  <c r="O492" i="32"/>
  <c r="J493" i="32"/>
  <c r="K493" i="32"/>
  <c r="L493" i="32"/>
  <c r="M493" i="32"/>
  <c r="N493" i="32"/>
  <c r="O493" i="32"/>
  <c r="J494" i="32"/>
  <c r="K494" i="32"/>
  <c r="L494" i="32"/>
  <c r="M494" i="32"/>
  <c r="N494" i="32"/>
  <c r="O494" i="32"/>
  <c r="J495" i="32"/>
  <c r="K495" i="32"/>
  <c r="L495" i="32"/>
  <c r="M495" i="32"/>
  <c r="N495" i="32"/>
  <c r="O495" i="32"/>
  <c r="J496" i="32"/>
  <c r="K496" i="32"/>
  <c r="L496" i="32"/>
  <c r="M496" i="32"/>
  <c r="N496" i="32"/>
  <c r="O496" i="32"/>
  <c r="J497" i="32"/>
  <c r="K497" i="32"/>
  <c r="L497" i="32"/>
  <c r="M497" i="32"/>
  <c r="N497" i="32"/>
  <c r="O497" i="32"/>
  <c r="J498" i="32"/>
  <c r="K498" i="32"/>
  <c r="L498" i="32"/>
  <c r="M498" i="32"/>
  <c r="N498" i="32"/>
  <c r="O498" i="32"/>
  <c r="J499" i="32"/>
  <c r="K499" i="32"/>
  <c r="L499" i="32"/>
  <c r="M499" i="32"/>
  <c r="N499" i="32"/>
  <c r="O499" i="32"/>
  <c r="J500" i="32"/>
  <c r="K500" i="32"/>
  <c r="L500" i="32"/>
  <c r="M500" i="32"/>
  <c r="N500" i="32"/>
  <c r="O500" i="32"/>
  <c r="J501" i="32"/>
  <c r="K501" i="32"/>
  <c r="L501" i="32"/>
  <c r="M501" i="32"/>
  <c r="N501" i="32"/>
  <c r="O501" i="32"/>
  <c r="J502" i="32"/>
  <c r="K502" i="32"/>
  <c r="L502" i="32"/>
  <c r="M502" i="32"/>
  <c r="N502" i="32"/>
  <c r="O502" i="32"/>
  <c r="J503" i="32"/>
  <c r="K503" i="32"/>
  <c r="L503" i="32"/>
  <c r="M503" i="32"/>
  <c r="N503" i="32"/>
  <c r="O503" i="32"/>
  <c r="J504" i="32"/>
  <c r="K504" i="32"/>
  <c r="L504" i="32"/>
  <c r="M504" i="32"/>
  <c r="N504" i="32"/>
  <c r="O504" i="32"/>
  <c r="J505" i="32"/>
  <c r="K505" i="32"/>
  <c r="L505" i="32"/>
  <c r="M505" i="32"/>
  <c r="N505" i="32"/>
  <c r="O505" i="32"/>
  <c r="J506" i="32"/>
  <c r="K506" i="32"/>
  <c r="L506" i="32"/>
  <c r="M506" i="32"/>
  <c r="N506" i="32"/>
  <c r="O506" i="32"/>
  <c r="J507" i="32"/>
  <c r="K507" i="32"/>
  <c r="L507" i="32"/>
  <c r="M507" i="32"/>
  <c r="N507" i="32"/>
  <c r="O507" i="32"/>
  <c r="J508" i="32"/>
  <c r="K508" i="32"/>
  <c r="L508" i="32"/>
  <c r="M508" i="32"/>
  <c r="N508" i="32"/>
  <c r="O508" i="32"/>
  <c r="J509" i="32"/>
  <c r="K509" i="32"/>
  <c r="L509" i="32"/>
  <c r="M509" i="32"/>
  <c r="N509" i="32"/>
  <c r="O509" i="32"/>
  <c r="J510" i="32"/>
  <c r="K510" i="32"/>
  <c r="L510" i="32"/>
  <c r="M510" i="32"/>
  <c r="N510" i="32"/>
  <c r="O510" i="32"/>
  <c r="J511" i="32"/>
  <c r="K511" i="32"/>
  <c r="L511" i="32"/>
  <c r="M511" i="32"/>
  <c r="N511" i="32"/>
  <c r="O511" i="32"/>
  <c r="J512" i="32"/>
  <c r="K512" i="32"/>
  <c r="L512" i="32"/>
  <c r="M512" i="32"/>
  <c r="N512" i="32"/>
  <c r="O512" i="32"/>
  <c r="J513" i="32"/>
  <c r="K513" i="32"/>
  <c r="L513" i="32"/>
  <c r="M513" i="32"/>
  <c r="N513" i="32"/>
  <c r="O513" i="32"/>
  <c r="J514" i="32"/>
  <c r="K514" i="32"/>
  <c r="L514" i="32"/>
  <c r="M514" i="32"/>
  <c r="N514" i="32"/>
  <c r="O514" i="32"/>
  <c r="J515" i="32"/>
  <c r="K515" i="32"/>
  <c r="L515" i="32"/>
  <c r="M515" i="32"/>
  <c r="N515" i="32"/>
  <c r="O515" i="32"/>
  <c r="J516" i="32"/>
  <c r="K516" i="32"/>
  <c r="L516" i="32"/>
  <c r="M516" i="32"/>
  <c r="N516" i="32"/>
  <c r="O516" i="32"/>
  <c r="O16" i="32"/>
  <c r="N16" i="32"/>
  <c r="K16" i="32"/>
  <c r="J16" i="32"/>
  <c r="B17" i="32"/>
  <c r="C17" i="32"/>
  <c r="B18" i="32"/>
  <c r="C18" i="32"/>
  <c r="B19" i="32"/>
  <c r="C19" i="32"/>
  <c r="B20" i="32"/>
  <c r="C20" i="32"/>
  <c r="B21" i="32"/>
  <c r="C21" i="32"/>
  <c r="B22" i="32"/>
  <c r="C22" i="32"/>
  <c r="B23" i="32"/>
  <c r="C23" i="32"/>
  <c r="B24" i="32"/>
  <c r="C24" i="32"/>
  <c r="B25" i="32"/>
  <c r="C25" i="32"/>
  <c r="B26" i="32"/>
  <c r="C26" i="32"/>
  <c r="B27" i="32"/>
  <c r="C27" i="32"/>
  <c r="B28" i="32"/>
  <c r="C28" i="32"/>
  <c r="B29" i="32"/>
  <c r="C29" i="32"/>
  <c r="B30" i="32"/>
  <c r="C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B43" i="32"/>
  <c r="C43" i="32"/>
  <c r="B44" i="32"/>
  <c r="C44" i="32"/>
  <c r="B45" i="32"/>
  <c r="C45" i="32"/>
  <c r="C16" i="32"/>
  <c r="B16" i="32"/>
  <c r="E16" i="32"/>
  <c r="G16" i="32"/>
  <c r="E17" i="32"/>
  <c r="G17" i="32"/>
  <c r="E18" i="32"/>
  <c r="G18" i="32"/>
  <c r="E19" i="32"/>
  <c r="G19" i="32"/>
  <c r="E20" i="32"/>
  <c r="G20" i="32"/>
  <c r="E21" i="32"/>
  <c r="G21" i="32"/>
  <c r="E22" i="32"/>
  <c r="G22" i="32"/>
  <c r="E23" i="32"/>
  <c r="G23" i="32"/>
  <c r="E24" i="32"/>
  <c r="G24" i="32"/>
  <c r="E25" i="32"/>
  <c r="G25" i="32"/>
  <c r="E26" i="32"/>
  <c r="G26" i="32"/>
  <c r="E27" i="32"/>
  <c r="G27" i="32"/>
  <c r="E28" i="32"/>
  <c r="G28" i="32"/>
  <c r="E29" i="32"/>
  <c r="G29" i="32"/>
  <c r="E30" i="32"/>
  <c r="G30" i="32"/>
  <c r="E31" i="32"/>
  <c r="G31" i="32"/>
  <c r="E32" i="32"/>
  <c r="G32" i="32"/>
  <c r="E33" i="32"/>
  <c r="G33" i="32"/>
  <c r="E34" i="32"/>
  <c r="G34" i="32"/>
  <c r="E35" i="32"/>
  <c r="G35" i="32"/>
  <c r="E36" i="32"/>
  <c r="G36" i="32"/>
  <c r="E37" i="32"/>
  <c r="G37" i="32"/>
  <c r="E38" i="32"/>
  <c r="G38" i="32"/>
  <c r="E39" i="32"/>
  <c r="G39" i="32"/>
  <c r="E40" i="32"/>
  <c r="G40" i="32"/>
  <c r="E41" i="32"/>
  <c r="G41" i="32"/>
  <c r="E42" i="32"/>
  <c r="G42" i="32"/>
  <c r="E43" i="32"/>
  <c r="G43" i="32"/>
  <c r="E44" i="32"/>
  <c r="G44" i="32"/>
  <c r="E45" i="32"/>
  <c r="G45" i="32"/>
  <c r="G47" i="32"/>
  <c r="I21" i="31"/>
  <c r="J21" i="31"/>
  <c r="K21" i="31"/>
  <c r="L21" i="31"/>
  <c r="I22" i="31"/>
  <c r="J22" i="31"/>
  <c r="K22" i="31"/>
  <c r="L22" i="31"/>
  <c r="I23" i="31"/>
  <c r="J23" i="31"/>
  <c r="K23" i="31"/>
  <c r="L23" i="31"/>
  <c r="I24" i="31"/>
  <c r="J24" i="31"/>
  <c r="K24" i="31"/>
  <c r="L24" i="31"/>
  <c r="I25" i="31"/>
  <c r="J25" i="31"/>
  <c r="K25" i="31"/>
  <c r="L25" i="31"/>
  <c r="I26" i="31"/>
  <c r="J26" i="31"/>
  <c r="K26" i="31"/>
  <c r="L26" i="31"/>
  <c r="I27" i="31"/>
  <c r="J27" i="31"/>
  <c r="K27" i="31"/>
  <c r="L27" i="31"/>
  <c r="I28" i="31"/>
  <c r="J28" i="31"/>
  <c r="K28" i="31"/>
  <c r="L28" i="31"/>
  <c r="I29" i="31"/>
  <c r="J29" i="31"/>
  <c r="K29" i="31"/>
  <c r="L29" i="31"/>
  <c r="I30" i="31"/>
  <c r="J30" i="31"/>
  <c r="K30" i="31"/>
  <c r="L30" i="31"/>
  <c r="I31" i="31"/>
  <c r="J31" i="31"/>
  <c r="K31" i="31"/>
  <c r="L31" i="31"/>
  <c r="I32" i="31"/>
  <c r="J32" i="31"/>
  <c r="K32" i="31"/>
  <c r="L32" i="31"/>
  <c r="I33" i="31"/>
  <c r="J33" i="31"/>
  <c r="K33" i="31"/>
  <c r="L33" i="31"/>
  <c r="I34" i="31"/>
  <c r="J34" i="31"/>
  <c r="K34" i="31"/>
  <c r="L34" i="31"/>
  <c r="I35" i="31"/>
  <c r="J35" i="31"/>
  <c r="K35" i="31"/>
  <c r="L35" i="31"/>
  <c r="I36" i="31"/>
  <c r="J36" i="31"/>
  <c r="K36" i="31"/>
  <c r="L36" i="31"/>
  <c r="I37" i="31"/>
  <c r="J37" i="31"/>
  <c r="K37" i="31"/>
  <c r="L37" i="31"/>
  <c r="I38" i="31"/>
  <c r="J38" i="31"/>
  <c r="K38" i="31"/>
  <c r="L38" i="31"/>
  <c r="I39" i="31"/>
  <c r="J39" i="31"/>
  <c r="K39" i="31"/>
  <c r="L39" i="31"/>
  <c r="I40" i="31"/>
  <c r="J40" i="31"/>
  <c r="K40" i="31"/>
  <c r="L40" i="31"/>
  <c r="I41" i="31"/>
  <c r="J41" i="31"/>
  <c r="K41" i="31"/>
  <c r="L41" i="31"/>
  <c r="I42" i="31"/>
  <c r="J42" i="31"/>
  <c r="K42" i="31"/>
  <c r="L42" i="31"/>
  <c r="I43" i="31"/>
  <c r="J43" i="31"/>
  <c r="K43" i="31"/>
  <c r="L43" i="31"/>
  <c r="I44" i="31"/>
  <c r="J44" i="31"/>
  <c r="K44" i="31"/>
  <c r="L44" i="31"/>
  <c r="I45" i="31"/>
  <c r="J45" i="31"/>
  <c r="K45" i="31"/>
  <c r="L45" i="31"/>
  <c r="I46" i="31"/>
  <c r="J46" i="31"/>
  <c r="K46" i="31"/>
  <c r="L46" i="31"/>
  <c r="I47" i="31"/>
  <c r="J47" i="31"/>
  <c r="K47" i="31"/>
  <c r="L47" i="31"/>
  <c r="I48" i="31"/>
  <c r="J48" i="31"/>
  <c r="K48" i="31"/>
  <c r="L48" i="31"/>
  <c r="I49" i="31"/>
  <c r="J49" i="31"/>
  <c r="K49" i="31"/>
  <c r="L49" i="31"/>
  <c r="I50" i="31"/>
  <c r="J50" i="31"/>
  <c r="K50" i="31"/>
  <c r="L50" i="31"/>
  <c r="I51" i="31"/>
  <c r="J51" i="31"/>
  <c r="K51" i="31"/>
  <c r="L51" i="31"/>
  <c r="I52" i="31"/>
  <c r="J52" i="31"/>
  <c r="K52" i="31"/>
  <c r="L52" i="31"/>
  <c r="I53" i="31"/>
  <c r="J53" i="31"/>
  <c r="K53" i="31"/>
  <c r="L53" i="31"/>
  <c r="I54" i="31"/>
  <c r="J54" i="31"/>
  <c r="K54" i="31"/>
  <c r="L54" i="31"/>
  <c r="I55" i="31"/>
  <c r="J55" i="31"/>
  <c r="K55" i="31"/>
  <c r="L55" i="31"/>
  <c r="I56" i="31"/>
  <c r="J56" i="31"/>
  <c r="K56" i="31"/>
  <c r="L56" i="31"/>
  <c r="I57" i="31"/>
  <c r="J57" i="31"/>
  <c r="K57" i="31"/>
  <c r="L57" i="31"/>
  <c r="I58" i="31"/>
  <c r="J58" i="31"/>
  <c r="K58" i="31"/>
  <c r="L58" i="31"/>
  <c r="I59" i="31"/>
  <c r="J59" i="31"/>
  <c r="K59" i="31"/>
  <c r="L59" i="31"/>
  <c r="I60" i="31"/>
  <c r="J60" i="31"/>
  <c r="K60" i="31"/>
  <c r="L60" i="31"/>
  <c r="I61" i="31"/>
  <c r="J61" i="31"/>
  <c r="K61" i="31"/>
  <c r="L61" i="31"/>
  <c r="I62" i="31"/>
  <c r="J62" i="31"/>
  <c r="K62" i="31"/>
  <c r="L62" i="31"/>
  <c r="I63" i="31"/>
  <c r="J63" i="31"/>
  <c r="K63" i="31"/>
  <c r="L63" i="31"/>
  <c r="I64" i="31"/>
  <c r="J64" i="31"/>
  <c r="K64" i="31"/>
  <c r="L64" i="31"/>
  <c r="I65" i="31"/>
  <c r="J65" i="31"/>
  <c r="K65" i="31"/>
  <c r="L65" i="31"/>
  <c r="I66" i="31"/>
  <c r="J66" i="31"/>
  <c r="K66" i="31"/>
  <c r="L66" i="31"/>
  <c r="I67" i="31"/>
  <c r="J67" i="31"/>
  <c r="K67" i="31"/>
  <c r="L67" i="31"/>
  <c r="I68" i="31"/>
  <c r="J68" i="31"/>
  <c r="K68" i="31"/>
  <c r="L68" i="31"/>
  <c r="I69" i="31"/>
  <c r="J69" i="31"/>
  <c r="K69" i="31"/>
  <c r="L69" i="31"/>
  <c r="I70" i="31"/>
  <c r="J70" i="31"/>
  <c r="K70" i="31"/>
  <c r="L70" i="31"/>
  <c r="I71" i="31"/>
  <c r="J71" i="31"/>
  <c r="K71" i="31"/>
  <c r="L71" i="31"/>
  <c r="I72" i="31"/>
  <c r="J72" i="31"/>
  <c r="K72" i="31"/>
  <c r="L72" i="31"/>
  <c r="I73" i="31"/>
  <c r="J73" i="31"/>
  <c r="K73" i="31"/>
  <c r="L73" i="31"/>
  <c r="I74" i="31"/>
  <c r="J74" i="31"/>
  <c r="K74" i="31"/>
  <c r="L74" i="31"/>
  <c r="I75" i="31"/>
  <c r="J75" i="31"/>
  <c r="K75" i="31"/>
  <c r="L75" i="31"/>
  <c r="I76" i="31"/>
  <c r="J76" i="31"/>
  <c r="K76" i="31"/>
  <c r="L76" i="31"/>
  <c r="I77" i="31"/>
  <c r="J77" i="31"/>
  <c r="K77" i="31"/>
  <c r="L77" i="31"/>
  <c r="I78" i="31"/>
  <c r="J78" i="31"/>
  <c r="K78" i="31"/>
  <c r="L78" i="31"/>
  <c r="I79" i="31"/>
  <c r="J79" i="31"/>
  <c r="K79" i="31"/>
  <c r="L79" i="31"/>
  <c r="I80" i="31"/>
  <c r="J80" i="31"/>
  <c r="K80" i="31"/>
  <c r="L80" i="31"/>
  <c r="I81" i="31"/>
  <c r="J81" i="31"/>
  <c r="K81" i="31"/>
  <c r="L81" i="31"/>
  <c r="I82" i="31"/>
  <c r="J82" i="31"/>
  <c r="K82" i="31"/>
  <c r="L82" i="31"/>
  <c r="I83" i="31"/>
  <c r="J83" i="31"/>
  <c r="K83" i="31"/>
  <c r="L83" i="31"/>
  <c r="I84" i="31"/>
  <c r="J84" i="31"/>
  <c r="K84" i="31"/>
  <c r="L84" i="31"/>
  <c r="I85" i="31"/>
  <c r="J85" i="31"/>
  <c r="K85" i="31"/>
  <c r="L85" i="31"/>
  <c r="I86" i="31"/>
  <c r="J86" i="31"/>
  <c r="K86" i="31"/>
  <c r="L86" i="31"/>
  <c r="I87" i="31"/>
  <c r="J87" i="31"/>
  <c r="K87" i="31"/>
  <c r="L87" i="31"/>
  <c r="I88" i="31"/>
  <c r="J88" i="31"/>
  <c r="K88" i="31"/>
  <c r="L88" i="31"/>
  <c r="I89" i="31"/>
  <c r="J89" i="31"/>
  <c r="K89" i="31"/>
  <c r="L89" i="31"/>
  <c r="I90" i="31"/>
  <c r="J90" i="31"/>
  <c r="K90" i="31"/>
  <c r="L90" i="31"/>
  <c r="I91" i="31"/>
  <c r="J91" i="31"/>
  <c r="K91" i="31"/>
  <c r="L91" i="31"/>
  <c r="I92" i="31"/>
  <c r="J92" i="31"/>
  <c r="K92" i="31"/>
  <c r="L92" i="31"/>
  <c r="I93" i="31"/>
  <c r="J93" i="31"/>
  <c r="K93" i="31"/>
  <c r="L93" i="31"/>
  <c r="I94" i="31"/>
  <c r="J94" i="31"/>
  <c r="K94" i="31"/>
  <c r="L94" i="31"/>
  <c r="I95" i="31"/>
  <c r="J95" i="31"/>
  <c r="K95" i="31"/>
  <c r="L95" i="31"/>
  <c r="I96" i="31"/>
  <c r="J96" i="31"/>
  <c r="K96" i="31"/>
  <c r="L96" i="31"/>
  <c r="I97" i="31"/>
  <c r="J97" i="31"/>
  <c r="K97" i="31"/>
  <c r="L97" i="31"/>
  <c r="I98" i="31"/>
  <c r="J98" i="31"/>
  <c r="K98" i="31"/>
  <c r="L98" i="31"/>
  <c r="I99" i="31"/>
  <c r="J99" i="31"/>
  <c r="K99" i="31"/>
  <c r="L99" i="31"/>
  <c r="I100" i="31"/>
  <c r="J100" i="31"/>
  <c r="K100" i="31"/>
  <c r="L100" i="31"/>
  <c r="I101" i="31"/>
  <c r="J101" i="31"/>
  <c r="K101" i="31"/>
  <c r="L101" i="31"/>
  <c r="I102" i="31"/>
  <c r="J102" i="31"/>
  <c r="K102" i="31"/>
  <c r="L102" i="31"/>
  <c r="I103" i="31"/>
  <c r="J103" i="31"/>
  <c r="K103" i="31"/>
  <c r="L103" i="31"/>
  <c r="I104" i="31"/>
  <c r="J104" i="31"/>
  <c r="K104" i="31"/>
  <c r="L104" i="31"/>
  <c r="I105" i="31"/>
  <c r="J105" i="31"/>
  <c r="K105" i="31"/>
  <c r="L105" i="31"/>
  <c r="I106" i="31"/>
  <c r="J106" i="31"/>
  <c r="K106" i="31"/>
  <c r="L106" i="31"/>
  <c r="I107" i="31"/>
  <c r="J107" i="31"/>
  <c r="K107" i="31"/>
  <c r="L107" i="31"/>
  <c r="I108" i="31"/>
  <c r="J108" i="31"/>
  <c r="K108" i="31"/>
  <c r="L108" i="31"/>
  <c r="I109" i="31"/>
  <c r="J109" i="31"/>
  <c r="K109" i="31"/>
  <c r="L109" i="31"/>
  <c r="I110" i="31"/>
  <c r="J110" i="31"/>
  <c r="K110" i="31"/>
  <c r="L110" i="31"/>
  <c r="I111" i="31"/>
  <c r="J111" i="31"/>
  <c r="K111" i="31"/>
  <c r="L111" i="31"/>
  <c r="I112" i="31"/>
  <c r="J112" i="31"/>
  <c r="K112" i="31"/>
  <c r="L112" i="31"/>
  <c r="I113" i="31"/>
  <c r="J113" i="31"/>
  <c r="K113" i="31"/>
  <c r="L113" i="31"/>
  <c r="I114" i="31"/>
  <c r="J114" i="31"/>
  <c r="K114" i="31"/>
  <c r="L114" i="31"/>
  <c r="I115" i="31"/>
  <c r="J115" i="31"/>
  <c r="K115" i="31"/>
  <c r="L115" i="31"/>
  <c r="I116" i="31"/>
  <c r="J116" i="31"/>
  <c r="K116" i="31"/>
  <c r="L116" i="31"/>
  <c r="I117" i="31"/>
  <c r="J117" i="31"/>
  <c r="K117" i="31"/>
  <c r="L117" i="31"/>
  <c r="I118" i="31"/>
  <c r="J118" i="31"/>
  <c r="K118" i="31"/>
  <c r="L118" i="31"/>
  <c r="I119" i="31"/>
  <c r="J119" i="31"/>
  <c r="K119" i="31"/>
  <c r="L119" i="31"/>
  <c r="I120" i="31"/>
  <c r="J120" i="31"/>
  <c r="K120" i="31"/>
  <c r="L120" i="31"/>
  <c r="I121" i="31"/>
  <c r="J121" i="31"/>
  <c r="K121" i="31"/>
  <c r="L121" i="31"/>
  <c r="I122" i="31"/>
  <c r="J122" i="31"/>
  <c r="K122" i="31"/>
  <c r="L122" i="31"/>
  <c r="I123" i="31"/>
  <c r="J123" i="31"/>
  <c r="K123" i="31"/>
  <c r="L123" i="31"/>
  <c r="I124" i="31"/>
  <c r="J124" i="31"/>
  <c r="K124" i="31"/>
  <c r="L124" i="31"/>
  <c r="I125" i="31"/>
  <c r="J125" i="31"/>
  <c r="K125" i="31"/>
  <c r="L125" i="31"/>
  <c r="I126" i="31"/>
  <c r="J126" i="31"/>
  <c r="K126" i="31"/>
  <c r="L126" i="31"/>
  <c r="I127" i="31"/>
  <c r="J127" i="31"/>
  <c r="K127" i="31"/>
  <c r="L127" i="31"/>
  <c r="I128" i="31"/>
  <c r="J128" i="31"/>
  <c r="K128" i="31"/>
  <c r="L128" i="31"/>
  <c r="I129" i="31"/>
  <c r="J129" i="31"/>
  <c r="K129" i="31"/>
  <c r="L129" i="31"/>
  <c r="I130" i="31"/>
  <c r="J130" i="31"/>
  <c r="K130" i="31"/>
  <c r="L130" i="31"/>
  <c r="I131" i="31"/>
  <c r="J131" i="31"/>
  <c r="K131" i="31"/>
  <c r="L131" i="31"/>
  <c r="I132" i="31"/>
  <c r="J132" i="31"/>
  <c r="K132" i="31"/>
  <c r="L132" i="31"/>
  <c r="I133" i="31"/>
  <c r="J133" i="31"/>
  <c r="K133" i="31"/>
  <c r="L133" i="31"/>
  <c r="I134" i="31"/>
  <c r="J134" i="31"/>
  <c r="K134" i="31"/>
  <c r="L134" i="31"/>
  <c r="I135" i="31"/>
  <c r="J135" i="31"/>
  <c r="K135" i="31"/>
  <c r="L135" i="31"/>
  <c r="I136" i="31"/>
  <c r="J136" i="31"/>
  <c r="K136" i="31"/>
  <c r="L136" i="31"/>
  <c r="I137" i="31"/>
  <c r="J137" i="31"/>
  <c r="K137" i="31"/>
  <c r="L137" i="31"/>
  <c r="I138" i="31"/>
  <c r="J138" i="31"/>
  <c r="K138" i="31"/>
  <c r="L138" i="31"/>
  <c r="I139" i="31"/>
  <c r="J139" i="31"/>
  <c r="K139" i="31"/>
  <c r="L139" i="31"/>
  <c r="I140" i="31"/>
  <c r="J140" i="31"/>
  <c r="K140" i="31"/>
  <c r="L140" i="31"/>
  <c r="I141" i="31"/>
  <c r="J141" i="31"/>
  <c r="K141" i="31"/>
  <c r="L141" i="31"/>
  <c r="I142" i="31"/>
  <c r="J142" i="31"/>
  <c r="K142" i="31"/>
  <c r="L142" i="31"/>
  <c r="I143" i="31"/>
  <c r="J143" i="31"/>
  <c r="K143" i="31"/>
  <c r="L143" i="31"/>
  <c r="I144" i="31"/>
  <c r="J144" i="31"/>
  <c r="K144" i="31"/>
  <c r="L144" i="31"/>
  <c r="I145" i="31"/>
  <c r="J145" i="31"/>
  <c r="K145" i="31"/>
  <c r="L145" i="31"/>
  <c r="I146" i="31"/>
  <c r="J146" i="31"/>
  <c r="K146" i="31"/>
  <c r="L146" i="31"/>
  <c r="I147" i="31"/>
  <c r="J147" i="31"/>
  <c r="K147" i="31"/>
  <c r="L147" i="31"/>
  <c r="I148" i="31"/>
  <c r="J148" i="31"/>
  <c r="K148" i="31"/>
  <c r="L148" i="31"/>
  <c r="I149" i="31"/>
  <c r="J149" i="31"/>
  <c r="K149" i="31"/>
  <c r="L149" i="31"/>
  <c r="I150" i="31"/>
  <c r="J150" i="31"/>
  <c r="K150" i="31"/>
  <c r="L150" i="31"/>
  <c r="I151" i="31"/>
  <c r="J151" i="31"/>
  <c r="K151" i="31"/>
  <c r="L151" i="31"/>
  <c r="I152" i="31"/>
  <c r="J152" i="31"/>
  <c r="K152" i="31"/>
  <c r="L152" i="31"/>
  <c r="I153" i="31"/>
  <c r="J153" i="31"/>
  <c r="K153" i="31"/>
  <c r="L153" i="31"/>
  <c r="I154" i="31"/>
  <c r="J154" i="31"/>
  <c r="K154" i="31"/>
  <c r="L154" i="31"/>
  <c r="I155" i="31"/>
  <c r="J155" i="31"/>
  <c r="K155" i="31"/>
  <c r="L155" i="31"/>
  <c r="I156" i="31"/>
  <c r="J156" i="31"/>
  <c r="K156" i="31"/>
  <c r="L156" i="31"/>
  <c r="I157" i="31"/>
  <c r="J157" i="31"/>
  <c r="K157" i="31"/>
  <c r="L157" i="31"/>
  <c r="I158" i="31"/>
  <c r="J158" i="31"/>
  <c r="K158" i="31"/>
  <c r="L158" i="31"/>
  <c r="I159" i="31"/>
  <c r="J159" i="31"/>
  <c r="K159" i="31"/>
  <c r="L159" i="31"/>
  <c r="I160" i="31"/>
  <c r="J160" i="31"/>
  <c r="K160" i="31"/>
  <c r="L160" i="31"/>
  <c r="I161" i="31"/>
  <c r="J161" i="31"/>
  <c r="K161" i="31"/>
  <c r="L161" i="31"/>
  <c r="I162" i="31"/>
  <c r="J162" i="31"/>
  <c r="K162" i="31"/>
  <c r="L162" i="31"/>
  <c r="I163" i="31"/>
  <c r="J163" i="31"/>
  <c r="K163" i="31"/>
  <c r="L163" i="31"/>
  <c r="I164" i="31"/>
  <c r="J164" i="31"/>
  <c r="K164" i="31"/>
  <c r="L164" i="31"/>
  <c r="I165" i="31"/>
  <c r="J165" i="31"/>
  <c r="K165" i="31"/>
  <c r="L165" i="31"/>
  <c r="I166" i="31"/>
  <c r="J166" i="31"/>
  <c r="K166" i="31"/>
  <c r="L166" i="31"/>
  <c r="I167" i="31"/>
  <c r="J167" i="31"/>
  <c r="K167" i="31"/>
  <c r="L167" i="31"/>
  <c r="I168" i="31"/>
  <c r="J168" i="31"/>
  <c r="K168" i="31"/>
  <c r="L168" i="31"/>
  <c r="I169" i="31"/>
  <c r="J169" i="31"/>
  <c r="K169" i="31"/>
  <c r="L169" i="31"/>
  <c r="I170" i="31"/>
  <c r="J170" i="31"/>
  <c r="K170" i="31"/>
  <c r="L170" i="31"/>
  <c r="I171" i="31"/>
  <c r="J171" i="31"/>
  <c r="K171" i="31"/>
  <c r="L171" i="31"/>
  <c r="I172" i="31"/>
  <c r="J172" i="31"/>
  <c r="K172" i="31"/>
  <c r="L172" i="31"/>
  <c r="I173" i="31"/>
  <c r="J173" i="31"/>
  <c r="K173" i="31"/>
  <c r="L173" i="31"/>
  <c r="I174" i="31"/>
  <c r="J174" i="31"/>
  <c r="K174" i="31"/>
  <c r="L174" i="31"/>
  <c r="I175" i="31"/>
  <c r="J175" i="31"/>
  <c r="K175" i="31"/>
  <c r="L175" i="31"/>
  <c r="I176" i="31"/>
  <c r="J176" i="31"/>
  <c r="K176" i="31"/>
  <c r="L176" i="31"/>
  <c r="I177" i="31"/>
  <c r="J177" i="31"/>
  <c r="K177" i="31"/>
  <c r="L177" i="31"/>
  <c r="I178" i="31"/>
  <c r="J178" i="31"/>
  <c r="K178" i="31"/>
  <c r="L178" i="31"/>
  <c r="I179" i="31"/>
  <c r="J179" i="31"/>
  <c r="K179" i="31"/>
  <c r="L179" i="31"/>
  <c r="I180" i="31"/>
  <c r="J180" i="31"/>
  <c r="K180" i="31"/>
  <c r="L180" i="31"/>
  <c r="I181" i="31"/>
  <c r="J181" i="31"/>
  <c r="K181" i="31"/>
  <c r="L181" i="31"/>
  <c r="I182" i="31"/>
  <c r="J182" i="31"/>
  <c r="K182" i="31"/>
  <c r="L182" i="31"/>
  <c r="I183" i="31"/>
  <c r="J183" i="31"/>
  <c r="K183" i="31"/>
  <c r="L183" i="31"/>
  <c r="I184" i="31"/>
  <c r="J184" i="31"/>
  <c r="K184" i="31"/>
  <c r="L184" i="31"/>
  <c r="I185" i="31"/>
  <c r="J185" i="31"/>
  <c r="K185" i="31"/>
  <c r="L185" i="31"/>
  <c r="I186" i="31"/>
  <c r="J186" i="31"/>
  <c r="K186" i="31"/>
  <c r="L186" i="31"/>
  <c r="I187" i="31"/>
  <c r="J187" i="31"/>
  <c r="K187" i="31"/>
  <c r="L187" i="31"/>
  <c r="I188" i="31"/>
  <c r="J188" i="31"/>
  <c r="K188" i="31"/>
  <c r="L188" i="31"/>
  <c r="I189" i="31"/>
  <c r="J189" i="31"/>
  <c r="K189" i="31"/>
  <c r="L189" i="31"/>
  <c r="I190" i="31"/>
  <c r="J190" i="31"/>
  <c r="K190" i="31"/>
  <c r="L190" i="31"/>
  <c r="I191" i="31"/>
  <c r="J191" i="31"/>
  <c r="K191" i="31"/>
  <c r="L191" i="31"/>
  <c r="I192" i="31"/>
  <c r="J192" i="31"/>
  <c r="K192" i="31"/>
  <c r="L192" i="31"/>
  <c r="I193" i="31"/>
  <c r="J193" i="31"/>
  <c r="K193" i="31"/>
  <c r="L193" i="31"/>
  <c r="I194" i="31"/>
  <c r="J194" i="31"/>
  <c r="K194" i="31"/>
  <c r="L194" i="31"/>
  <c r="I195" i="31"/>
  <c r="J195" i="31"/>
  <c r="K195" i="31"/>
  <c r="L195" i="31"/>
  <c r="I196" i="31"/>
  <c r="J196" i="31"/>
  <c r="K196" i="31"/>
  <c r="L196" i="31"/>
  <c r="I197" i="31"/>
  <c r="J197" i="31"/>
  <c r="K197" i="31"/>
  <c r="L197" i="31"/>
  <c r="I198" i="31"/>
  <c r="J198" i="31"/>
  <c r="K198" i="31"/>
  <c r="L198" i="31"/>
  <c r="I199" i="31"/>
  <c r="J199" i="31"/>
  <c r="K199" i="31"/>
  <c r="L199" i="31"/>
  <c r="I200" i="31"/>
  <c r="J200" i="31"/>
  <c r="K200" i="31"/>
  <c r="L200" i="31"/>
  <c r="I201" i="31"/>
  <c r="J201" i="31"/>
  <c r="K201" i="31"/>
  <c r="L201" i="31"/>
  <c r="I202" i="31"/>
  <c r="J202" i="31"/>
  <c r="K202" i="31"/>
  <c r="L202" i="31"/>
  <c r="I203" i="31"/>
  <c r="J203" i="31"/>
  <c r="K203" i="31"/>
  <c r="L203" i="31"/>
  <c r="I204" i="31"/>
  <c r="J204" i="31"/>
  <c r="K204" i="31"/>
  <c r="L204" i="31"/>
  <c r="I205" i="31"/>
  <c r="J205" i="31"/>
  <c r="K205" i="31"/>
  <c r="L205" i="31"/>
  <c r="I206" i="31"/>
  <c r="J206" i="31"/>
  <c r="K206" i="31"/>
  <c r="L206" i="31"/>
  <c r="I207" i="31"/>
  <c r="J207" i="31"/>
  <c r="K207" i="31"/>
  <c r="L207" i="31"/>
  <c r="I208" i="31"/>
  <c r="J208" i="31"/>
  <c r="K208" i="31"/>
  <c r="L208" i="31"/>
  <c r="I209" i="31"/>
  <c r="J209" i="31"/>
  <c r="K209" i="31"/>
  <c r="L209" i="31"/>
  <c r="I210" i="31"/>
  <c r="J210" i="31"/>
  <c r="K210" i="31"/>
  <c r="L210" i="31"/>
  <c r="I211" i="31"/>
  <c r="J211" i="31"/>
  <c r="K211" i="31"/>
  <c r="L211" i="31"/>
  <c r="I212" i="31"/>
  <c r="J212" i="31"/>
  <c r="K212" i="31"/>
  <c r="L212" i="31"/>
  <c r="I213" i="31"/>
  <c r="J213" i="31"/>
  <c r="K213" i="31"/>
  <c r="L213" i="31"/>
  <c r="I214" i="31"/>
  <c r="J214" i="31"/>
  <c r="K214" i="31"/>
  <c r="L214" i="31"/>
  <c r="I215" i="31"/>
  <c r="J215" i="31"/>
  <c r="K215" i="31"/>
  <c r="L215" i="31"/>
  <c r="I216" i="31"/>
  <c r="J216" i="31"/>
  <c r="K216" i="31"/>
  <c r="L216" i="31"/>
  <c r="I217" i="31"/>
  <c r="J217" i="31"/>
  <c r="K217" i="31"/>
  <c r="L217" i="31"/>
  <c r="I218" i="31"/>
  <c r="J218" i="31"/>
  <c r="K218" i="31"/>
  <c r="L218" i="31"/>
  <c r="I219" i="31"/>
  <c r="J219" i="31"/>
  <c r="K219" i="31"/>
  <c r="L219" i="31"/>
  <c r="I220" i="31"/>
  <c r="J220" i="31"/>
  <c r="K220" i="31"/>
  <c r="L220" i="31"/>
  <c r="I221" i="31"/>
  <c r="J221" i="31"/>
  <c r="K221" i="31"/>
  <c r="L221" i="31"/>
  <c r="I222" i="31"/>
  <c r="J222" i="31"/>
  <c r="K222" i="31"/>
  <c r="L222" i="31"/>
  <c r="I223" i="31"/>
  <c r="J223" i="31"/>
  <c r="K223" i="31"/>
  <c r="L223" i="31"/>
  <c r="I224" i="31"/>
  <c r="J224" i="31"/>
  <c r="K224" i="31"/>
  <c r="L224" i="31"/>
  <c r="I225" i="31"/>
  <c r="J225" i="31"/>
  <c r="K225" i="31"/>
  <c r="L225" i="31"/>
  <c r="I226" i="31"/>
  <c r="J226" i="31"/>
  <c r="K226" i="31"/>
  <c r="L226" i="31"/>
  <c r="I227" i="31"/>
  <c r="J227" i="31"/>
  <c r="K227" i="31"/>
  <c r="L227" i="31"/>
  <c r="I228" i="31"/>
  <c r="J228" i="31"/>
  <c r="K228" i="31"/>
  <c r="L228" i="31"/>
  <c r="I229" i="31"/>
  <c r="J229" i="31"/>
  <c r="K229" i="31"/>
  <c r="L229" i="31"/>
  <c r="I230" i="31"/>
  <c r="J230" i="31"/>
  <c r="K230" i="31"/>
  <c r="L230" i="31"/>
  <c r="I231" i="31"/>
  <c r="J231" i="31"/>
  <c r="K231" i="31"/>
  <c r="L231" i="31"/>
  <c r="I232" i="31"/>
  <c r="J232" i="31"/>
  <c r="K232" i="31"/>
  <c r="L232" i="31"/>
  <c r="I233" i="31"/>
  <c r="J233" i="31"/>
  <c r="K233" i="31"/>
  <c r="L233" i="31"/>
  <c r="I234" i="31"/>
  <c r="J234" i="31"/>
  <c r="K234" i="31"/>
  <c r="L234" i="31"/>
  <c r="I235" i="31"/>
  <c r="J235" i="31"/>
  <c r="K235" i="31"/>
  <c r="L235" i="31"/>
  <c r="I236" i="31"/>
  <c r="J236" i="31"/>
  <c r="K236" i="31"/>
  <c r="L236" i="31"/>
  <c r="I237" i="31"/>
  <c r="J237" i="31"/>
  <c r="K237" i="31"/>
  <c r="L237" i="31"/>
  <c r="I238" i="31"/>
  <c r="J238" i="31"/>
  <c r="K238" i="31"/>
  <c r="L238" i="31"/>
  <c r="I239" i="31"/>
  <c r="J239" i="31"/>
  <c r="K239" i="31"/>
  <c r="L239" i="31"/>
  <c r="I240" i="31"/>
  <c r="J240" i="31"/>
  <c r="K240" i="31"/>
  <c r="L240" i="31"/>
  <c r="I241" i="31"/>
  <c r="J241" i="31"/>
  <c r="K241" i="31"/>
  <c r="L241" i="31"/>
  <c r="I242" i="31"/>
  <c r="J242" i="31"/>
  <c r="K242" i="31"/>
  <c r="L242" i="31"/>
  <c r="I243" i="31"/>
  <c r="J243" i="31"/>
  <c r="K243" i="31"/>
  <c r="L243" i="31"/>
  <c r="I244" i="31"/>
  <c r="J244" i="31"/>
  <c r="K244" i="31"/>
  <c r="L244" i="31"/>
  <c r="I245" i="31"/>
  <c r="J245" i="31"/>
  <c r="K245" i="31"/>
  <c r="L245" i="31"/>
  <c r="I246" i="31"/>
  <c r="J246" i="31"/>
  <c r="K246" i="31"/>
  <c r="L246" i="31"/>
  <c r="I247" i="31"/>
  <c r="J247" i="31"/>
  <c r="K247" i="31"/>
  <c r="L247" i="31"/>
  <c r="I248" i="31"/>
  <c r="J248" i="31"/>
  <c r="K248" i="31"/>
  <c r="L248" i="31"/>
  <c r="I249" i="31"/>
  <c r="J249" i="31"/>
  <c r="K249" i="31"/>
  <c r="L249" i="31"/>
  <c r="I250" i="31"/>
  <c r="J250" i="31"/>
  <c r="K250" i="31"/>
  <c r="L250" i="31"/>
  <c r="I251" i="31"/>
  <c r="J251" i="31"/>
  <c r="K251" i="31"/>
  <c r="L251" i="31"/>
  <c r="I252" i="31"/>
  <c r="J252" i="31"/>
  <c r="K252" i="31"/>
  <c r="L252" i="31"/>
  <c r="I253" i="31"/>
  <c r="J253" i="31"/>
  <c r="K253" i="31"/>
  <c r="L253" i="31"/>
  <c r="I254" i="31"/>
  <c r="J254" i="31"/>
  <c r="K254" i="31"/>
  <c r="L254" i="31"/>
  <c r="I255" i="31"/>
  <c r="J255" i="31"/>
  <c r="K255" i="31"/>
  <c r="L255" i="31"/>
  <c r="I256" i="31"/>
  <c r="J256" i="31"/>
  <c r="K256" i="31"/>
  <c r="L256" i="31"/>
  <c r="I257" i="31"/>
  <c r="J257" i="31"/>
  <c r="K257" i="31"/>
  <c r="L257" i="31"/>
  <c r="I258" i="31"/>
  <c r="J258" i="31"/>
  <c r="K258" i="31"/>
  <c r="L258" i="31"/>
  <c r="I259" i="31"/>
  <c r="J259" i="31"/>
  <c r="K259" i="31"/>
  <c r="L259" i="31"/>
  <c r="I260" i="31"/>
  <c r="J260" i="31"/>
  <c r="K260" i="31"/>
  <c r="L260" i="31"/>
  <c r="I261" i="31"/>
  <c r="J261" i="31"/>
  <c r="K261" i="31"/>
  <c r="L261" i="31"/>
  <c r="I262" i="31"/>
  <c r="J262" i="31"/>
  <c r="K262" i="31"/>
  <c r="L262" i="31"/>
  <c r="I263" i="31"/>
  <c r="J263" i="31"/>
  <c r="K263" i="31"/>
  <c r="L263" i="31"/>
  <c r="I264" i="31"/>
  <c r="J264" i="31"/>
  <c r="K264" i="31"/>
  <c r="L264" i="31"/>
  <c r="I265" i="31"/>
  <c r="J265" i="31"/>
  <c r="K265" i="31"/>
  <c r="L265" i="31"/>
  <c r="I266" i="31"/>
  <c r="J266" i="31"/>
  <c r="K266" i="31"/>
  <c r="L266" i="31"/>
  <c r="I267" i="31"/>
  <c r="J267" i="31"/>
  <c r="K267" i="31"/>
  <c r="L267" i="31"/>
  <c r="I268" i="31"/>
  <c r="J268" i="31"/>
  <c r="K268" i="31"/>
  <c r="L268" i="31"/>
  <c r="I269" i="31"/>
  <c r="J269" i="31"/>
  <c r="K269" i="31"/>
  <c r="L269" i="31"/>
  <c r="I270" i="31"/>
  <c r="J270" i="31"/>
  <c r="K270" i="31"/>
  <c r="L270" i="31"/>
  <c r="I271" i="31"/>
  <c r="J271" i="31"/>
  <c r="K271" i="31"/>
  <c r="L271" i="31"/>
  <c r="I272" i="31"/>
  <c r="J272" i="31"/>
  <c r="K272" i="31"/>
  <c r="L272" i="31"/>
  <c r="I273" i="31"/>
  <c r="J273" i="31"/>
  <c r="K273" i="31"/>
  <c r="L273" i="31"/>
  <c r="I274" i="31"/>
  <c r="J274" i="31"/>
  <c r="K274" i="31"/>
  <c r="L274" i="31"/>
  <c r="I275" i="31"/>
  <c r="J275" i="31"/>
  <c r="K275" i="31"/>
  <c r="L275" i="31"/>
  <c r="I276" i="31"/>
  <c r="J276" i="31"/>
  <c r="K276" i="31"/>
  <c r="L276" i="31"/>
  <c r="I277" i="31"/>
  <c r="J277" i="31"/>
  <c r="K277" i="31"/>
  <c r="L277" i="31"/>
  <c r="I278" i="31"/>
  <c r="J278" i="31"/>
  <c r="K278" i="31"/>
  <c r="L278" i="31"/>
  <c r="I279" i="31"/>
  <c r="J279" i="31"/>
  <c r="K279" i="31"/>
  <c r="L279" i="31"/>
  <c r="I280" i="31"/>
  <c r="J280" i="31"/>
  <c r="K280" i="31"/>
  <c r="L280" i="31"/>
  <c r="I281" i="31"/>
  <c r="J281" i="31"/>
  <c r="K281" i="31"/>
  <c r="L281" i="31"/>
  <c r="I282" i="31"/>
  <c r="J282" i="31"/>
  <c r="K282" i="31"/>
  <c r="L282" i="31"/>
  <c r="I283" i="31"/>
  <c r="J283" i="31"/>
  <c r="K283" i="31"/>
  <c r="L283" i="31"/>
  <c r="I284" i="31"/>
  <c r="J284" i="31"/>
  <c r="K284" i="31"/>
  <c r="L284" i="31"/>
  <c r="I285" i="31"/>
  <c r="J285" i="31"/>
  <c r="K285" i="31"/>
  <c r="L285" i="31"/>
  <c r="I286" i="31"/>
  <c r="J286" i="31"/>
  <c r="K286" i="31"/>
  <c r="L286" i="31"/>
  <c r="I287" i="31"/>
  <c r="J287" i="31"/>
  <c r="K287" i="31"/>
  <c r="L287" i="31"/>
  <c r="I288" i="31"/>
  <c r="J288" i="31"/>
  <c r="K288" i="31"/>
  <c r="L288" i="31"/>
  <c r="I289" i="31"/>
  <c r="J289" i="31"/>
  <c r="K289" i="31"/>
  <c r="L289" i="31"/>
  <c r="I290" i="31"/>
  <c r="J290" i="31"/>
  <c r="K290" i="31"/>
  <c r="L290" i="31"/>
  <c r="I291" i="31"/>
  <c r="J291" i="31"/>
  <c r="K291" i="31"/>
  <c r="L291" i="31"/>
  <c r="I292" i="31"/>
  <c r="J292" i="31"/>
  <c r="K292" i="31"/>
  <c r="L292" i="31"/>
  <c r="I293" i="31"/>
  <c r="J293" i="31"/>
  <c r="K293" i="31"/>
  <c r="L293" i="31"/>
  <c r="I294" i="31"/>
  <c r="J294" i="31"/>
  <c r="K294" i="31"/>
  <c r="L294" i="31"/>
  <c r="I295" i="31"/>
  <c r="J295" i="31"/>
  <c r="K295" i="31"/>
  <c r="L295" i="31"/>
  <c r="I296" i="31"/>
  <c r="J296" i="31"/>
  <c r="K296" i="31"/>
  <c r="L296" i="31"/>
  <c r="I297" i="31"/>
  <c r="J297" i="31"/>
  <c r="K297" i="31"/>
  <c r="L297" i="31"/>
  <c r="I298" i="31"/>
  <c r="J298" i="31"/>
  <c r="K298" i="31"/>
  <c r="L298" i="31"/>
  <c r="I299" i="31"/>
  <c r="J299" i="31"/>
  <c r="K299" i="31"/>
  <c r="L299" i="31"/>
  <c r="I300" i="31"/>
  <c r="J300" i="31"/>
  <c r="K300" i="31"/>
  <c r="L300" i="31"/>
  <c r="I301" i="31"/>
  <c r="J301" i="31"/>
  <c r="K301" i="31"/>
  <c r="L301" i="31"/>
  <c r="I302" i="31"/>
  <c r="J302" i="31"/>
  <c r="K302" i="31"/>
  <c r="L302" i="31"/>
  <c r="I303" i="31"/>
  <c r="J303" i="31"/>
  <c r="K303" i="31"/>
  <c r="L303" i="31"/>
  <c r="I304" i="31"/>
  <c r="J304" i="31"/>
  <c r="K304" i="31"/>
  <c r="L304" i="31"/>
  <c r="I305" i="31"/>
  <c r="J305" i="31"/>
  <c r="K305" i="31"/>
  <c r="L305" i="31"/>
  <c r="I306" i="31"/>
  <c r="J306" i="31"/>
  <c r="K306" i="31"/>
  <c r="L306" i="31"/>
  <c r="I307" i="31"/>
  <c r="J307" i="31"/>
  <c r="K307" i="31"/>
  <c r="L307" i="31"/>
  <c r="I308" i="31"/>
  <c r="J308" i="31"/>
  <c r="K308" i="31"/>
  <c r="L308" i="31"/>
  <c r="I309" i="31"/>
  <c r="J309" i="31"/>
  <c r="K309" i="31"/>
  <c r="L309" i="31"/>
  <c r="I310" i="31"/>
  <c r="J310" i="31"/>
  <c r="K310" i="31"/>
  <c r="L310" i="31"/>
  <c r="I311" i="31"/>
  <c r="J311" i="31"/>
  <c r="K311" i="31"/>
  <c r="L311" i="31"/>
  <c r="I312" i="31"/>
  <c r="J312" i="31"/>
  <c r="K312" i="31"/>
  <c r="L312" i="31"/>
  <c r="I313" i="31"/>
  <c r="J313" i="31"/>
  <c r="K313" i="31"/>
  <c r="L313" i="31"/>
  <c r="I314" i="31"/>
  <c r="J314" i="31"/>
  <c r="K314" i="31"/>
  <c r="L314" i="31"/>
  <c r="I315" i="31"/>
  <c r="J315" i="31"/>
  <c r="K315" i="31"/>
  <c r="L315" i="31"/>
  <c r="I316" i="31"/>
  <c r="J316" i="31"/>
  <c r="K316" i="31"/>
  <c r="L316" i="31"/>
  <c r="I317" i="31"/>
  <c r="J317" i="31"/>
  <c r="K317" i="31"/>
  <c r="L317" i="31"/>
  <c r="I318" i="31"/>
  <c r="J318" i="31"/>
  <c r="K318" i="31"/>
  <c r="L318" i="31"/>
  <c r="I319" i="31"/>
  <c r="J319" i="31"/>
  <c r="K319" i="31"/>
  <c r="L319" i="31"/>
  <c r="I320" i="31"/>
  <c r="J320" i="31"/>
  <c r="K320" i="31"/>
  <c r="L320" i="31"/>
  <c r="I321" i="31"/>
  <c r="J321" i="31"/>
  <c r="K321" i="31"/>
  <c r="L321" i="31"/>
  <c r="I322" i="31"/>
  <c r="J322" i="31"/>
  <c r="K322" i="31"/>
  <c r="L322" i="31"/>
  <c r="I323" i="31"/>
  <c r="J323" i="31"/>
  <c r="K323" i="31"/>
  <c r="L323" i="31"/>
  <c r="I324" i="31"/>
  <c r="J324" i="31"/>
  <c r="K324" i="31"/>
  <c r="L324" i="31"/>
  <c r="I325" i="31"/>
  <c r="J325" i="31"/>
  <c r="K325" i="31"/>
  <c r="L325" i="31"/>
  <c r="I326" i="31"/>
  <c r="J326" i="31"/>
  <c r="K326" i="31"/>
  <c r="L326" i="31"/>
  <c r="I327" i="31"/>
  <c r="J327" i="31"/>
  <c r="K327" i="31"/>
  <c r="L327" i="31"/>
  <c r="I328" i="31"/>
  <c r="J328" i="31"/>
  <c r="K328" i="31"/>
  <c r="L328" i="31"/>
  <c r="I329" i="31"/>
  <c r="J329" i="31"/>
  <c r="K329" i="31"/>
  <c r="L329" i="31"/>
  <c r="I330" i="31"/>
  <c r="J330" i="31"/>
  <c r="K330" i="31"/>
  <c r="L330" i="31"/>
  <c r="I331" i="31"/>
  <c r="J331" i="31"/>
  <c r="K331" i="31"/>
  <c r="L331" i="31"/>
  <c r="I332" i="31"/>
  <c r="J332" i="31"/>
  <c r="K332" i="31"/>
  <c r="L332" i="31"/>
  <c r="I333" i="31"/>
  <c r="J333" i="31"/>
  <c r="K333" i="31"/>
  <c r="L333" i="31"/>
  <c r="I334" i="31"/>
  <c r="J334" i="31"/>
  <c r="K334" i="31"/>
  <c r="L334" i="31"/>
  <c r="I335" i="31"/>
  <c r="J335" i="31"/>
  <c r="K335" i="31"/>
  <c r="L335" i="31"/>
  <c r="I336" i="31"/>
  <c r="J336" i="31"/>
  <c r="K336" i="31"/>
  <c r="L336" i="31"/>
  <c r="I337" i="31"/>
  <c r="J337" i="31"/>
  <c r="K337" i="31"/>
  <c r="L337" i="31"/>
  <c r="I338" i="31"/>
  <c r="J338" i="31"/>
  <c r="K338" i="31"/>
  <c r="L338" i="31"/>
  <c r="I339" i="31"/>
  <c r="J339" i="31"/>
  <c r="K339" i="31"/>
  <c r="L339" i="31"/>
  <c r="I340" i="31"/>
  <c r="J340" i="31"/>
  <c r="K340" i="31"/>
  <c r="L340" i="31"/>
  <c r="I341" i="31"/>
  <c r="J341" i="31"/>
  <c r="K341" i="31"/>
  <c r="L341" i="31"/>
  <c r="I342" i="31"/>
  <c r="J342" i="31"/>
  <c r="K342" i="31"/>
  <c r="L342" i="31"/>
  <c r="I343" i="31"/>
  <c r="J343" i="31"/>
  <c r="K343" i="31"/>
  <c r="L343" i="31"/>
  <c r="I344" i="31"/>
  <c r="J344" i="31"/>
  <c r="K344" i="31"/>
  <c r="L344" i="31"/>
  <c r="I345" i="31"/>
  <c r="J345" i="31"/>
  <c r="K345" i="31"/>
  <c r="L345" i="31"/>
  <c r="I346" i="31"/>
  <c r="J346" i="31"/>
  <c r="K346" i="31"/>
  <c r="L346" i="31"/>
  <c r="I347" i="31"/>
  <c r="J347" i="31"/>
  <c r="K347" i="31"/>
  <c r="L347" i="31"/>
  <c r="I348" i="31"/>
  <c r="J348" i="31"/>
  <c r="K348" i="31"/>
  <c r="L348" i="31"/>
  <c r="I349" i="31"/>
  <c r="J349" i="31"/>
  <c r="K349" i="31"/>
  <c r="L349" i="31"/>
  <c r="I350" i="31"/>
  <c r="J350" i="31"/>
  <c r="K350" i="31"/>
  <c r="L350" i="31"/>
  <c r="I351" i="31"/>
  <c r="J351" i="31"/>
  <c r="K351" i="31"/>
  <c r="L351" i="31"/>
  <c r="I352" i="31"/>
  <c r="J352" i="31"/>
  <c r="K352" i="31"/>
  <c r="L352" i="31"/>
  <c r="I353" i="31"/>
  <c r="J353" i="31"/>
  <c r="K353" i="31"/>
  <c r="L353" i="31"/>
  <c r="I354" i="31"/>
  <c r="J354" i="31"/>
  <c r="K354" i="31"/>
  <c r="L354" i="31"/>
  <c r="I355" i="31"/>
  <c r="J355" i="31"/>
  <c r="K355" i="31"/>
  <c r="L355" i="31"/>
  <c r="I356" i="31"/>
  <c r="J356" i="31"/>
  <c r="K356" i="31"/>
  <c r="L356" i="31"/>
  <c r="I357" i="31"/>
  <c r="J357" i="31"/>
  <c r="K357" i="31"/>
  <c r="L357" i="31"/>
  <c r="I358" i="31"/>
  <c r="J358" i="31"/>
  <c r="K358" i="31"/>
  <c r="L358" i="31"/>
  <c r="I359" i="31"/>
  <c r="J359" i="31"/>
  <c r="K359" i="31"/>
  <c r="L359" i="31"/>
  <c r="I360" i="31"/>
  <c r="J360" i="31"/>
  <c r="K360" i="31"/>
  <c r="L360" i="31"/>
  <c r="I361" i="31"/>
  <c r="J361" i="31"/>
  <c r="K361" i="31"/>
  <c r="L361" i="31"/>
  <c r="I362" i="31"/>
  <c r="J362" i="31"/>
  <c r="K362" i="31"/>
  <c r="L362" i="31"/>
  <c r="I363" i="31"/>
  <c r="J363" i="31"/>
  <c r="K363" i="31"/>
  <c r="L363" i="31"/>
  <c r="I364" i="31"/>
  <c r="J364" i="31"/>
  <c r="K364" i="31"/>
  <c r="L364" i="31"/>
  <c r="I365" i="31"/>
  <c r="J365" i="31"/>
  <c r="K365" i="31"/>
  <c r="L365" i="31"/>
  <c r="I366" i="31"/>
  <c r="J366" i="31"/>
  <c r="K366" i="31"/>
  <c r="L366" i="31"/>
  <c r="I367" i="31"/>
  <c r="J367" i="31"/>
  <c r="K367" i="31"/>
  <c r="L367" i="31"/>
  <c r="I368" i="31"/>
  <c r="J368" i="31"/>
  <c r="K368" i="31"/>
  <c r="L368" i="31"/>
  <c r="I369" i="31"/>
  <c r="J369" i="31"/>
  <c r="K369" i="31"/>
  <c r="L369" i="31"/>
  <c r="I370" i="31"/>
  <c r="J370" i="31"/>
  <c r="K370" i="31"/>
  <c r="L370" i="31"/>
  <c r="I371" i="31"/>
  <c r="J371" i="31"/>
  <c r="K371" i="31"/>
  <c r="L371" i="31"/>
  <c r="I372" i="31"/>
  <c r="J372" i="31"/>
  <c r="K372" i="31"/>
  <c r="L372" i="31"/>
  <c r="I373" i="31"/>
  <c r="J373" i="31"/>
  <c r="K373" i="31"/>
  <c r="L373" i="31"/>
  <c r="I374" i="31"/>
  <c r="J374" i="31"/>
  <c r="K374" i="31"/>
  <c r="L374" i="31"/>
  <c r="I375" i="31"/>
  <c r="J375" i="31"/>
  <c r="K375" i="31"/>
  <c r="L375" i="31"/>
  <c r="I376" i="31"/>
  <c r="J376" i="31"/>
  <c r="K376" i="31"/>
  <c r="L376" i="31"/>
  <c r="I377" i="31"/>
  <c r="J377" i="31"/>
  <c r="K377" i="31"/>
  <c r="L377" i="31"/>
  <c r="I378" i="31"/>
  <c r="J378" i="31"/>
  <c r="K378" i="31"/>
  <c r="L378" i="31"/>
  <c r="I379" i="31"/>
  <c r="J379" i="31"/>
  <c r="K379" i="31"/>
  <c r="L379" i="31"/>
  <c r="I380" i="31"/>
  <c r="J380" i="31"/>
  <c r="K380" i="31"/>
  <c r="L380" i="31"/>
  <c r="I381" i="31"/>
  <c r="J381" i="31"/>
  <c r="K381" i="31"/>
  <c r="L381" i="31"/>
  <c r="I382" i="31"/>
  <c r="J382" i="31"/>
  <c r="K382" i="31"/>
  <c r="L382" i="31"/>
  <c r="I383" i="31"/>
  <c r="J383" i="31"/>
  <c r="K383" i="31"/>
  <c r="L383" i="31"/>
  <c r="I384" i="31"/>
  <c r="J384" i="31"/>
  <c r="K384" i="31"/>
  <c r="L384" i="31"/>
  <c r="I385" i="31"/>
  <c r="J385" i="31"/>
  <c r="K385" i="31"/>
  <c r="L385" i="31"/>
  <c r="I386" i="31"/>
  <c r="J386" i="31"/>
  <c r="K386" i="31"/>
  <c r="L386" i="31"/>
  <c r="I387" i="31"/>
  <c r="J387" i="31"/>
  <c r="K387" i="31"/>
  <c r="L387" i="31"/>
  <c r="I388" i="31"/>
  <c r="J388" i="31"/>
  <c r="K388" i="31"/>
  <c r="L388" i="31"/>
  <c r="I389" i="31"/>
  <c r="J389" i="31"/>
  <c r="K389" i="31"/>
  <c r="L389" i="31"/>
  <c r="I390" i="31"/>
  <c r="J390" i="31"/>
  <c r="K390" i="31"/>
  <c r="L390" i="31"/>
  <c r="I391" i="31"/>
  <c r="J391" i="31"/>
  <c r="K391" i="31"/>
  <c r="L391" i="31"/>
  <c r="I392" i="31"/>
  <c r="J392" i="31"/>
  <c r="K392" i="31"/>
  <c r="L392" i="31"/>
  <c r="I393" i="31"/>
  <c r="J393" i="31"/>
  <c r="K393" i="31"/>
  <c r="L393" i="31"/>
  <c r="I394" i="31"/>
  <c r="J394" i="31"/>
  <c r="K394" i="31"/>
  <c r="L394" i="31"/>
  <c r="I395" i="31"/>
  <c r="J395" i="31"/>
  <c r="K395" i="31"/>
  <c r="L395" i="31"/>
  <c r="I396" i="31"/>
  <c r="J396" i="31"/>
  <c r="K396" i="31"/>
  <c r="L396" i="31"/>
  <c r="I397" i="31"/>
  <c r="J397" i="31"/>
  <c r="K397" i="31"/>
  <c r="L397" i="31"/>
  <c r="I398" i="31"/>
  <c r="J398" i="31"/>
  <c r="K398" i="31"/>
  <c r="L398" i="31"/>
  <c r="I399" i="31"/>
  <c r="J399" i="31"/>
  <c r="K399" i="31"/>
  <c r="L399" i="31"/>
  <c r="I400" i="31"/>
  <c r="J400" i="31"/>
  <c r="K400" i="31"/>
  <c r="L400" i="31"/>
  <c r="I401" i="31"/>
  <c r="J401" i="31"/>
  <c r="K401" i="31"/>
  <c r="L401" i="31"/>
  <c r="I402" i="31"/>
  <c r="J402" i="31"/>
  <c r="K402" i="31"/>
  <c r="L402" i="31"/>
  <c r="I403" i="31"/>
  <c r="J403" i="31"/>
  <c r="K403" i="31"/>
  <c r="L403" i="31"/>
  <c r="I404" i="31"/>
  <c r="J404" i="31"/>
  <c r="K404" i="31"/>
  <c r="L404" i="31"/>
  <c r="I405" i="31"/>
  <c r="J405" i="31"/>
  <c r="K405" i="31"/>
  <c r="L405" i="31"/>
  <c r="I406" i="31"/>
  <c r="J406" i="31"/>
  <c r="K406" i="31"/>
  <c r="L406" i="31"/>
  <c r="I407" i="31"/>
  <c r="J407" i="31"/>
  <c r="K407" i="31"/>
  <c r="L407" i="31"/>
  <c r="I408" i="31"/>
  <c r="J408" i="31"/>
  <c r="K408" i="31"/>
  <c r="L408" i="31"/>
  <c r="I409" i="31"/>
  <c r="J409" i="31"/>
  <c r="K409" i="31"/>
  <c r="L409" i="31"/>
  <c r="I410" i="31"/>
  <c r="J410" i="31"/>
  <c r="K410" i="31"/>
  <c r="L410" i="31"/>
  <c r="I411" i="31"/>
  <c r="J411" i="31"/>
  <c r="K411" i="31"/>
  <c r="L411" i="31"/>
  <c r="I412" i="31"/>
  <c r="J412" i="31"/>
  <c r="K412" i="31"/>
  <c r="L412" i="31"/>
  <c r="I413" i="31"/>
  <c r="J413" i="31"/>
  <c r="K413" i="31"/>
  <c r="L413" i="31"/>
  <c r="I414" i="31"/>
  <c r="J414" i="31"/>
  <c r="K414" i="31"/>
  <c r="L414" i="31"/>
  <c r="I415" i="31"/>
  <c r="J415" i="31"/>
  <c r="K415" i="31"/>
  <c r="L415" i="31"/>
  <c r="I416" i="31"/>
  <c r="J416" i="31"/>
  <c r="K416" i="31"/>
  <c r="L416" i="31"/>
  <c r="I417" i="31"/>
  <c r="J417" i="31"/>
  <c r="K417" i="31"/>
  <c r="L417" i="31"/>
  <c r="I418" i="31"/>
  <c r="J418" i="31"/>
  <c r="K418" i="31"/>
  <c r="L418" i="31"/>
  <c r="I419" i="31"/>
  <c r="J419" i="31"/>
  <c r="K419" i="31"/>
  <c r="L419" i="31"/>
  <c r="I420" i="31"/>
  <c r="J420" i="31"/>
  <c r="K420" i="31"/>
  <c r="L420" i="31"/>
  <c r="I421" i="31"/>
  <c r="J421" i="31"/>
  <c r="K421" i="31"/>
  <c r="L421" i="31"/>
  <c r="I422" i="31"/>
  <c r="J422" i="31"/>
  <c r="K422" i="31"/>
  <c r="L422" i="31"/>
  <c r="I423" i="31"/>
  <c r="J423" i="31"/>
  <c r="K423" i="31"/>
  <c r="L423" i="31"/>
  <c r="I424" i="31"/>
  <c r="J424" i="31"/>
  <c r="K424" i="31"/>
  <c r="L424" i="31"/>
  <c r="I425" i="31"/>
  <c r="J425" i="31"/>
  <c r="K425" i="31"/>
  <c r="L425" i="31"/>
  <c r="I426" i="31"/>
  <c r="J426" i="31"/>
  <c r="K426" i="31"/>
  <c r="L426" i="31"/>
  <c r="I427" i="31"/>
  <c r="J427" i="31"/>
  <c r="K427" i="31"/>
  <c r="L427" i="31"/>
  <c r="I428" i="31"/>
  <c r="J428" i="31"/>
  <c r="K428" i="31"/>
  <c r="L428" i="31"/>
  <c r="I429" i="31"/>
  <c r="J429" i="31"/>
  <c r="K429" i="31"/>
  <c r="L429" i="31"/>
  <c r="I430" i="31"/>
  <c r="J430" i="31"/>
  <c r="K430" i="31"/>
  <c r="L430" i="31"/>
  <c r="I431" i="31"/>
  <c r="J431" i="31"/>
  <c r="K431" i="31"/>
  <c r="L431" i="31"/>
  <c r="I432" i="31"/>
  <c r="J432" i="31"/>
  <c r="K432" i="31"/>
  <c r="L432" i="31"/>
  <c r="I433" i="31"/>
  <c r="J433" i="31"/>
  <c r="K433" i="31"/>
  <c r="L433" i="31"/>
  <c r="I434" i="31"/>
  <c r="J434" i="31"/>
  <c r="K434" i="31"/>
  <c r="L434" i="31"/>
  <c r="I435" i="31"/>
  <c r="J435" i="31"/>
  <c r="K435" i="31"/>
  <c r="L435" i="31"/>
  <c r="I436" i="31"/>
  <c r="J436" i="31"/>
  <c r="K436" i="31"/>
  <c r="L436" i="31"/>
  <c r="I437" i="31"/>
  <c r="J437" i="31"/>
  <c r="K437" i="31"/>
  <c r="L437" i="31"/>
  <c r="I438" i="31"/>
  <c r="J438" i="31"/>
  <c r="K438" i="31"/>
  <c r="L438" i="31"/>
  <c r="I439" i="31"/>
  <c r="J439" i="31"/>
  <c r="K439" i="31"/>
  <c r="L439" i="31"/>
  <c r="L20" i="31"/>
  <c r="K20" i="31"/>
  <c r="J20" i="31"/>
  <c r="I20" i="31"/>
  <c r="B10" i="32"/>
  <c r="B11" i="32"/>
  <c r="B12" i="32"/>
  <c r="B13" i="32"/>
  <c r="L16" i="32"/>
  <c r="M16" i="32"/>
  <c r="Q16" i="32"/>
  <c r="Q17" i="32"/>
  <c r="P18" i="32"/>
  <c r="Q18" i="32"/>
  <c r="P19" i="32"/>
  <c r="Q19" i="32"/>
  <c r="P20" i="32"/>
  <c r="Q20" i="32"/>
  <c r="P21" i="32"/>
  <c r="Q21" i="32"/>
  <c r="P22" i="32"/>
  <c r="Q22" i="32"/>
  <c r="P23" i="32"/>
  <c r="Q23" i="32"/>
  <c r="P24" i="32"/>
  <c r="Q24" i="32"/>
  <c r="P25" i="32"/>
  <c r="Q25" i="32"/>
  <c r="P26" i="32"/>
  <c r="Q26" i="32"/>
  <c r="P27" i="32"/>
  <c r="Q27" i="32"/>
  <c r="P28" i="32"/>
  <c r="Q28" i="32"/>
  <c r="P29" i="32"/>
  <c r="Q29" i="32"/>
  <c r="P30" i="32"/>
  <c r="Q30" i="32"/>
  <c r="P31" i="32"/>
  <c r="Q31" i="32"/>
  <c r="P32" i="32"/>
  <c r="Q32" i="32"/>
  <c r="P33" i="32"/>
  <c r="Q33" i="32"/>
  <c r="P34" i="32"/>
  <c r="Q34" i="32"/>
  <c r="P35" i="32"/>
  <c r="Q35" i="32"/>
  <c r="P36" i="32"/>
  <c r="Q36" i="32"/>
  <c r="P37" i="32"/>
  <c r="Q37" i="32"/>
  <c r="P38" i="32"/>
  <c r="Q38" i="32"/>
  <c r="P39" i="32"/>
  <c r="Q39" i="32"/>
  <c r="P40" i="32"/>
  <c r="Q40" i="32"/>
  <c r="P41" i="32"/>
  <c r="Q41" i="32"/>
  <c r="P42" i="32"/>
  <c r="Q42" i="32"/>
  <c r="P43" i="32"/>
  <c r="Q43" i="32"/>
  <c r="P44" i="32"/>
  <c r="Q44" i="32"/>
  <c r="P45" i="32"/>
  <c r="Q45" i="32"/>
  <c r="P46" i="32"/>
  <c r="Q46" i="32"/>
  <c r="P47" i="32"/>
  <c r="Q47" i="32"/>
  <c r="P48" i="32"/>
  <c r="Q48" i="32"/>
  <c r="P49" i="32"/>
  <c r="Q49" i="32"/>
  <c r="P50" i="32"/>
  <c r="Q50" i="32"/>
  <c r="P51" i="32"/>
  <c r="Q51" i="32"/>
  <c r="P52" i="32"/>
  <c r="Q52" i="32"/>
  <c r="P53" i="32"/>
  <c r="Q53" i="32"/>
  <c r="P54" i="32"/>
  <c r="Q54" i="32"/>
  <c r="P55" i="32"/>
  <c r="Q55" i="32"/>
  <c r="P56" i="32"/>
  <c r="Q56" i="32"/>
  <c r="P57" i="32"/>
  <c r="Q57" i="32"/>
  <c r="P58" i="32"/>
  <c r="Q58" i="32"/>
  <c r="P59" i="32"/>
  <c r="Q59" i="32"/>
  <c r="P60" i="32"/>
  <c r="Q60" i="32"/>
  <c r="P61" i="32"/>
  <c r="Q61" i="32"/>
  <c r="P62" i="32"/>
  <c r="Q62" i="32"/>
  <c r="P63" i="32"/>
  <c r="Q63" i="32"/>
  <c r="P64" i="32"/>
  <c r="Q64" i="32"/>
  <c r="P65" i="32"/>
  <c r="Q65" i="32"/>
  <c r="P66" i="32"/>
  <c r="Q66" i="32"/>
  <c r="P67" i="32"/>
  <c r="Q67" i="32"/>
  <c r="P68" i="32"/>
  <c r="Q68" i="32"/>
  <c r="P69" i="32"/>
  <c r="Q69" i="32"/>
  <c r="P70" i="32"/>
  <c r="Q70" i="32"/>
  <c r="P71" i="32"/>
  <c r="Q71" i="32"/>
  <c r="P72" i="32"/>
  <c r="Q72" i="32"/>
  <c r="P73" i="32"/>
  <c r="Q73" i="32"/>
  <c r="P74" i="32"/>
  <c r="Q74" i="32"/>
  <c r="P75" i="32"/>
  <c r="Q75" i="32"/>
  <c r="P76" i="32"/>
  <c r="Q76" i="32"/>
  <c r="P77" i="32"/>
  <c r="Q77" i="32"/>
  <c r="P78" i="32"/>
  <c r="Q78" i="32"/>
  <c r="P79" i="32"/>
  <c r="Q79" i="32"/>
  <c r="P80" i="32"/>
  <c r="Q80" i="32"/>
  <c r="P81" i="32"/>
  <c r="Q81" i="32"/>
  <c r="P82" i="32"/>
  <c r="Q82" i="32"/>
  <c r="P83" i="32"/>
  <c r="Q83" i="32"/>
  <c r="P84" i="32"/>
  <c r="Q84" i="32"/>
  <c r="P85" i="32"/>
  <c r="Q85" i="32"/>
  <c r="P86" i="32"/>
  <c r="Q86" i="32"/>
  <c r="P87" i="32"/>
  <c r="Q87" i="32"/>
  <c r="P88" i="32"/>
  <c r="Q88" i="32"/>
  <c r="P89" i="32"/>
  <c r="Q89" i="32"/>
  <c r="P90" i="32"/>
  <c r="Q90" i="32"/>
  <c r="P91" i="32"/>
  <c r="Q91" i="32"/>
  <c r="P92" i="32"/>
  <c r="Q92" i="32"/>
  <c r="P93" i="32"/>
  <c r="Q93" i="32"/>
  <c r="P94" i="32"/>
  <c r="Q94" i="32"/>
  <c r="P95" i="32"/>
  <c r="Q95" i="32"/>
  <c r="P96" i="32"/>
  <c r="Q96" i="32"/>
  <c r="P97" i="32"/>
  <c r="Q97" i="32"/>
  <c r="P98" i="32"/>
  <c r="Q98" i="32"/>
  <c r="P99" i="32"/>
  <c r="Q99" i="32"/>
  <c r="P100" i="32"/>
  <c r="Q100" i="32"/>
  <c r="P101" i="32"/>
  <c r="Q101" i="32"/>
  <c r="P102" i="32"/>
  <c r="Q102" i="32"/>
  <c r="P103" i="32"/>
  <c r="Q103" i="32"/>
  <c r="P104" i="32"/>
  <c r="Q104" i="32"/>
  <c r="P105" i="32"/>
  <c r="Q105" i="32"/>
  <c r="P106" i="32"/>
  <c r="Q106" i="32"/>
  <c r="P107" i="32"/>
  <c r="Q107" i="32"/>
  <c r="P108" i="32"/>
  <c r="Q108" i="32"/>
  <c r="P109" i="32"/>
  <c r="Q109" i="32"/>
  <c r="P110" i="32"/>
  <c r="Q110" i="32"/>
  <c r="P111" i="32"/>
  <c r="Q111" i="32"/>
  <c r="P112" i="32"/>
  <c r="Q112" i="32"/>
  <c r="P113" i="32"/>
  <c r="Q113" i="32"/>
  <c r="P114" i="32"/>
  <c r="Q114" i="32"/>
  <c r="P115" i="32"/>
  <c r="Q115" i="32"/>
  <c r="P116" i="32"/>
  <c r="Q116" i="32"/>
  <c r="P117" i="32"/>
  <c r="Q117" i="32"/>
  <c r="P118" i="32"/>
  <c r="Q118" i="32"/>
  <c r="P119" i="32"/>
  <c r="Q119" i="32"/>
  <c r="P120" i="32"/>
  <c r="Q120" i="32"/>
  <c r="P121" i="32"/>
  <c r="Q121" i="32"/>
  <c r="P122" i="32"/>
  <c r="Q122" i="32"/>
  <c r="P123" i="32"/>
  <c r="Q123" i="32"/>
  <c r="P124" i="32"/>
  <c r="Q124" i="32"/>
  <c r="P125" i="32"/>
  <c r="Q125" i="32"/>
  <c r="P126" i="32"/>
  <c r="Q126" i="32"/>
  <c r="P127" i="32"/>
  <c r="Q127" i="32"/>
  <c r="P128" i="32"/>
  <c r="Q128" i="32"/>
  <c r="P129" i="32"/>
  <c r="Q129" i="32"/>
  <c r="P130" i="32"/>
  <c r="Q130" i="32"/>
  <c r="P131" i="32"/>
  <c r="Q131" i="32"/>
  <c r="P132" i="32"/>
  <c r="Q132" i="32"/>
  <c r="P133" i="32"/>
  <c r="Q133" i="32"/>
  <c r="P134" i="32"/>
  <c r="Q134" i="32"/>
  <c r="P135" i="32"/>
  <c r="Q135" i="32"/>
  <c r="P136" i="32"/>
  <c r="Q136" i="32"/>
  <c r="P137" i="32"/>
  <c r="Q137" i="32"/>
  <c r="P138" i="32"/>
  <c r="Q138" i="32"/>
  <c r="P139" i="32"/>
  <c r="Q139" i="32"/>
  <c r="P140" i="32"/>
  <c r="Q140" i="32"/>
  <c r="P141" i="32"/>
  <c r="Q141" i="32"/>
  <c r="P142" i="32"/>
  <c r="Q142" i="32"/>
  <c r="P143" i="32"/>
  <c r="Q143" i="32"/>
  <c r="P144" i="32"/>
  <c r="Q144" i="32"/>
  <c r="P145" i="32"/>
  <c r="Q145" i="32"/>
  <c r="P146" i="32"/>
  <c r="Q146" i="32"/>
  <c r="P147" i="32"/>
  <c r="Q147" i="32"/>
  <c r="P148" i="32"/>
  <c r="Q148" i="32"/>
  <c r="P149" i="32"/>
  <c r="Q149" i="32"/>
  <c r="P150" i="32"/>
  <c r="Q150" i="32"/>
  <c r="P151" i="32"/>
  <c r="Q151" i="32"/>
  <c r="P152" i="32"/>
  <c r="Q152" i="32"/>
  <c r="P153" i="32"/>
  <c r="Q153" i="32"/>
  <c r="P154" i="32"/>
  <c r="Q154" i="32"/>
  <c r="P155" i="32"/>
  <c r="Q155" i="32"/>
  <c r="P156" i="32"/>
  <c r="Q156" i="32"/>
  <c r="P157" i="32"/>
  <c r="Q157" i="32"/>
  <c r="P158" i="32"/>
  <c r="Q158" i="32"/>
  <c r="P159" i="32"/>
  <c r="Q159" i="32"/>
  <c r="P160" i="32"/>
  <c r="Q160" i="32"/>
  <c r="P161" i="32"/>
  <c r="Q161" i="32"/>
  <c r="P162" i="32"/>
  <c r="Q162" i="32"/>
  <c r="P163" i="32"/>
  <c r="Q163" i="32"/>
  <c r="P164" i="32"/>
  <c r="Q164" i="32"/>
  <c r="P165" i="32"/>
  <c r="Q165" i="32"/>
  <c r="P166" i="32"/>
  <c r="Q166" i="32"/>
  <c r="P167" i="32"/>
  <c r="Q167" i="32"/>
  <c r="P168" i="32"/>
  <c r="Q168" i="32"/>
  <c r="P169" i="32"/>
  <c r="Q169" i="32"/>
  <c r="P170" i="32"/>
  <c r="Q170" i="32"/>
  <c r="P171" i="32"/>
  <c r="Q171" i="32"/>
  <c r="P172" i="32"/>
  <c r="Q172" i="32"/>
  <c r="P173" i="32"/>
  <c r="Q173" i="32"/>
  <c r="P174" i="32"/>
  <c r="Q174" i="32"/>
  <c r="P175" i="32"/>
  <c r="Q175" i="32"/>
  <c r="P176" i="32"/>
  <c r="Q176" i="32"/>
  <c r="P177" i="32"/>
  <c r="Q177" i="32"/>
  <c r="P178" i="32"/>
  <c r="Q178" i="32"/>
  <c r="P179" i="32"/>
  <c r="Q179" i="32"/>
  <c r="P180" i="32"/>
  <c r="Q180" i="32"/>
  <c r="P181" i="32"/>
  <c r="Q181" i="32"/>
  <c r="P182" i="32"/>
  <c r="Q182" i="32"/>
  <c r="P183" i="32"/>
  <c r="Q183" i="32"/>
  <c r="P184" i="32"/>
  <c r="Q184" i="32"/>
  <c r="P185" i="32"/>
  <c r="Q185" i="32"/>
  <c r="P186" i="32"/>
  <c r="Q186" i="32"/>
  <c r="P187" i="32"/>
  <c r="Q187" i="32"/>
  <c r="P188" i="32"/>
  <c r="Q188" i="32"/>
  <c r="P189" i="32"/>
  <c r="Q189" i="32"/>
  <c r="P190" i="32"/>
  <c r="Q190" i="32"/>
  <c r="P191" i="32"/>
  <c r="Q191" i="32"/>
  <c r="P192" i="32"/>
  <c r="Q192" i="32"/>
  <c r="P193" i="32"/>
  <c r="Q193" i="32"/>
  <c r="P194" i="32"/>
  <c r="Q194" i="32"/>
  <c r="P195" i="32"/>
  <c r="Q195" i="32"/>
  <c r="P196" i="32"/>
  <c r="Q196" i="32"/>
  <c r="P197" i="32"/>
  <c r="Q197" i="32"/>
  <c r="P198" i="32"/>
  <c r="Q198" i="32"/>
  <c r="P199" i="32"/>
  <c r="Q199" i="32"/>
  <c r="P200" i="32"/>
  <c r="Q200" i="32"/>
  <c r="P201" i="32"/>
  <c r="Q201" i="32"/>
  <c r="P202" i="32"/>
  <c r="Q202" i="32"/>
  <c r="P203" i="32"/>
  <c r="Q203" i="32"/>
  <c r="P204" i="32"/>
  <c r="Q204" i="32"/>
  <c r="P205" i="32"/>
  <c r="Q205" i="32"/>
  <c r="P206" i="32"/>
  <c r="Q206" i="32"/>
  <c r="P207" i="32"/>
  <c r="Q207" i="32"/>
  <c r="P208" i="32"/>
  <c r="Q208" i="32"/>
  <c r="P209" i="32"/>
  <c r="Q209" i="32"/>
  <c r="P210" i="32"/>
  <c r="Q210" i="32"/>
  <c r="P211" i="32"/>
  <c r="Q211" i="32"/>
  <c r="P212" i="32"/>
  <c r="Q212" i="32"/>
  <c r="P213" i="32"/>
  <c r="Q213" i="32"/>
  <c r="P214" i="32"/>
  <c r="Q214" i="32"/>
  <c r="P215" i="32"/>
  <c r="Q215" i="32"/>
  <c r="P216" i="32"/>
  <c r="Q216" i="32"/>
  <c r="P217" i="32"/>
  <c r="Q217" i="32"/>
  <c r="P218" i="32"/>
  <c r="Q218" i="32"/>
  <c r="P219" i="32"/>
  <c r="Q219" i="32"/>
  <c r="P220" i="32"/>
  <c r="Q220" i="32"/>
  <c r="P221" i="32"/>
  <c r="Q221" i="32"/>
  <c r="P222" i="32"/>
  <c r="Q222" i="32"/>
  <c r="P223" i="32"/>
  <c r="Q223" i="32"/>
  <c r="P224" i="32"/>
  <c r="Q224" i="32"/>
  <c r="P225" i="32"/>
  <c r="Q225" i="32"/>
  <c r="P226" i="32"/>
  <c r="Q226" i="32"/>
  <c r="P227" i="32"/>
  <c r="Q227" i="32"/>
  <c r="P228" i="32"/>
  <c r="Q228" i="32"/>
  <c r="P229" i="32"/>
  <c r="Q229" i="32"/>
  <c r="P230" i="32"/>
  <c r="Q230" i="32"/>
  <c r="P231" i="32"/>
  <c r="Q231" i="32"/>
  <c r="P232" i="32"/>
  <c r="Q232" i="32"/>
  <c r="P233" i="32"/>
  <c r="Q233" i="32"/>
  <c r="P234" i="32"/>
  <c r="Q234" i="32"/>
  <c r="P235" i="32"/>
  <c r="Q235" i="32"/>
  <c r="P236" i="32"/>
  <c r="Q236" i="32"/>
  <c r="P237" i="32"/>
  <c r="Q237" i="32"/>
  <c r="P238" i="32"/>
  <c r="Q238" i="32"/>
  <c r="P239" i="32"/>
  <c r="Q239" i="32"/>
  <c r="P240" i="32"/>
  <c r="Q240" i="32"/>
  <c r="P241" i="32"/>
  <c r="Q241" i="32"/>
  <c r="P242" i="32"/>
  <c r="Q242" i="32"/>
  <c r="P243" i="32"/>
  <c r="Q243" i="32"/>
  <c r="P244" i="32"/>
  <c r="Q244" i="32"/>
  <c r="P245" i="32"/>
  <c r="Q245" i="32"/>
  <c r="P246" i="32"/>
  <c r="Q246" i="32"/>
  <c r="P247" i="32"/>
  <c r="Q247" i="32"/>
  <c r="P248" i="32"/>
  <c r="Q248" i="32"/>
  <c r="P249" i="32"/>
  <c r="Q249" i="32"/>
  <c r="P250" i="32"/>
  <c r="Q250" i="32"/>
  <c r="P251" i="32"/>
  <c r="Q251" i="32"/>
  <c r="P252" i="32"/>
  <c r="Q252" i="32"/>
  <c r="P253" i="32"/>
  <c r="Q253" i="32"/>
  <c r="P254" i="32"/>
  <c r="Q254" i="32"/>
  <c r="P255" i="32"/>
  <c r="Q255" i="32"/>
  <c r="P256" i="32"/>
  <c r="Q256" i="32"/>
  <c r="P257" i="32"/>
  <c r="Q257" i="32"/>
  <c r="P258" i="32"/>
  <c r="Q258" i="32"/>
  <c r="P259" i="32"/>
  <c r="Q259" i="32"/>
  <c r="P260" i="32"/>
  <c r="Q260" i="32"/>
  <c r="P261" i="32"/>
  <c r="Q261" i="32"/>
  <c r="P262" i="32"/>
  <c r="Q262" i="32"/>
  <c r="P263" i="32"/>
  <c r="Q263" i="32"/>
  <c r="P264" i="32"/>
  <c r="Q264" i="32"/>
  <c r="P265" i="32"/>
  <c r="Q265" i="32"/>
  <c r="P266" i="32"/>
  <c r="Q266" i="32"/>
  <c r="P267" i="32"/>
  <c r="Q267" i="32"/>
  <c r="P268" i="32"/>
  <c r="Q268" i="32"/>
  <c r="P269" i="32"/>
  <c r="Q269" i="32"/>
  <c r="P270" i="32"/>
  <c r="Q270" i="32"/>
  <c r="P271" i="32"/>
  <c r="Q271" i="32"/>
  <c r="P272" i="32"/>
  <c r="Q272" i="32"/>
  <c r="P273" i="32"/>
  <c r="Q273" i="32"/>
  <c r="P274" i="32"/>
  <c r="Q274" i="32"/>
  <c r="P275" i="32"/>
  <c r="Q275" i="32"/>
  <c r="P276" i="32"/>
  <c r="Q276" i="32"/>
  <c r="P277" i="32"/>
  <c r="Q277" i="32"/>
  <c r="P278" i="32"/>
  <c r="Q278" i="32"/>
  <c r="P279" i="32"/>
  <c r="Q279" i="32"/>
  <c r="P280" i="32"/>
  <c r="Q280" i="32"/>
  <c r="P281" i="32"/>
  <c r="Q281" i="32"/>
  <c r="P282" i="32"/>
  <c r="Q282" i="32"/>
  <c r="P283" i="32"/>
  <c r="Q283" i="32"/>
  <c r="P284" i="32"/>
  <c r="Q284" i="32"/>
  <c r="P285" i="32"/>
  <c r="Q285" i="32"/>
  <c r="P286" i="32"/>
  <c r="Q286" i="32"/>
  <c r="P287" i="32"/>
  <c r="Q287" i="32"/>
  <c r="P288" i="32"/>
  <c r="Q288" i="32"/>
  <c r="P289" i="32"/>
  <c r="Q289" i="32"/>
  <c r="P290" i="32"/>
  <c r="Q290" i="32"/>
  <c r="P291" i="32"/>
  <c r="Q291" i="32"/>
  <c r="P292" i="32"/>
  <c r="Q292" i="32"/>
  <c r="P293" i="32"/>
  <c r="Q293" i="32"/>
  <c r="P294" i="32"/>
  <c r="Q294" i="32"/>
  <c r="P295" i="32"/>
  <c r="Q295" i="32"/>
  <c r="P296" i="32"/>
  <c r="Q296" i="32"/>
  <c r="P297" i="32"/>
  <c r="Q297" i="32"/>
  <c r="P298" i="32"/>
  <c r="Q298" i="32"/>
  <c r="P299" i="32"/>
  <c r="Q299" i="32"/>
  <c r="P300" i="32"/>
  <c r="Q300" i="32"/>
  <c r="P301" i="32"/>
  <c r="Q301" i="32"/>
  <c r="P302" i="32"/>
  <c r="Q302" i="32"/>
  <c r="P303" i="32"/>
  <c r="Q303" i="32"/>
  <c r="P304" i="32"/>
  <c r="Q304" i="32"/>
  <c r="P305" i="32"/>
  <c r="Q305" i="32"/>
  <c r="P306" i="32"/>
  <c r="Q306" i="32"/>
  <c r="P307" i="32"/>
  <c r="Q307" i="32"/>
  <c r="P308" i="32"/>
  <c r="Q308" i="32"/>
  <c r="P309" i="32"/>
  <c r="Q309" i="32"/>
  <c r="P310" i="32"/>
  <c r="Q310" i="32"/>
  <c r="P311" i="32"/>
  <c r="Q311" i="32"/>
  <c r="P312" i="32"/>
  <c r="Q312" i="32"/>
  <c r="P313" i="32"/>
  <c r="Q313" i="32"/>
  <c r="P314" i="32"/>
  <c r="Q314" i="32"/>
  <c r="P315" i="32"/>
  <c r="Q315" i="32"/>
  <c r="P316" i="32"/>
  <c r="Q316" i="32"/>
  <c r="P317" i="32"/>
  <c r="Q317" i="32"/>
  <c r="P318" i="32"/>
  <c r="Q318" i="32"/>
  <c r="P319" i="32"/>
  <c r="Q319" i="32"/>
  <c r="P320" i="32"/>
  <c r="Q320" i="32"/>
  <c r="P321" i="32"/>
  <c r="Q321" i="32"/>
  <c r="P322" i="32"/>
  <c r="Q322" i="32"/>
  <c r="P323" i="32"/>
  <c r="Q323" i="32"/>
  <c r="P324" i="32"/>
  <c r="Q324" i="32"/>
  <c r="P325" i="32"/>
  <c r="Q325" i="32"/>
  <c r="P326" i="32"/>
  <c r="Q326" i="32"/>
  <c r="P327" i="32"/>
  <c r="Q327" i="32"/>
  <c r="P328" i="32"/>
  <c r="Q328" i="32"/>
  <c r="P329" i="32"/>
  <c r="Q329" i="32"/>
  <c r="P330" i="32"/>
  <c r="Q330" i="32"/>
  <c r="P331" i="32"/>
  <c r="Q331" i="32"/>
  <c r="P332" i="32"/>
  <c r="Q332" i="32"/>
  <c r="P333" i="32"/>
  <c r="Q333" i="32"/>
  <c r="P334" i="32"/>
  <c r="Q334" i="32"/>
  <c r="P335" i="32"/>
  <c r="Q335" i="32"/>
  <c r="P336" i="32"/>
  <c r="Q336" i="32"/>
  <c r="P337" i="32"/>
  <c r="Q337" i="32"/>
  <c r="P338" i="32"/>
  <c r="Q338" i="32"/>
  <c r="P339" i="32"/>
  <c r="Q339" i="32"/>
  <c r="P340" i="32"/>
  <c r="Q340" i="32"/>
  <c r="P341" i="32"/>
  <c r="Q341" i="32"/>
  <c r="P342" i="32"/>
  <c r="Q342" i="32"/>
  <c r="P343" i="32"/>
  <c r="Q343" i="32"/>
  <c r="P344" i="32"/>
  <c r="Q344" i="32"/>
  <c r="P345" i="32"/>
  <c r="Q345" i="32"/>
  <c r="P346" i="32"/>
  <c r="Q346" i="32"/>
  <c r="P347" i="32"/>
  <c r="Q347" i="32"/>
  <c r="P348" i="32"/>
  <c r="Q348" i="32"/>
  <c r="P349" i="32"/>
  <c r="Q349" i="32"/>
  <c r="P350" i="32"/>
  <c r="Q350" i="32"/>
  <c r="P351" i="32"/>
  <c r="Q351" i="32"/>
  <c r="P352" i="32"/>
  <c r="Q352" i="32"/>
  <c r="P353" i="32"/>
  <c r="Q353" i="32"/>
  <c r="P354" i="32"/>
  <c r="Q354" i="32"/>
  <c r="P355" i="32"/>
  <c r="Q355" i="32"/>
  <c r="P356" i="32"/>
  <c r="Q356" i="32"/>
  <c r="P357" i="32"/>
  <c r="Q357" i="32"/>
  <c r="P358" i="32"/>
  <c r="Q358" i="32"/>
  <c r="P359" i="32"/>
  <c r="Q359" i="32"/>
  <c r="P360" i="32"/>
  <c r="Q360" i="32"/>
  <c r="P361" i="32"/>
  <c r="Q361" i="32"/>
  <c r="P362" i="32"/>
  <c r="Q362" i="32"/>
  <c r="P363" i="32"/>
  <c r="Q363" i="32"/>
  <c r="P364" i="32"/>
  <c r="Q364" i="32"/>
  <c r="P365" i="32"/>
  <c r="Q365" i="32"/>
  <c r="P366" i="32"/>
  <c r="Q366" i="32"/>
  <c r="P367" i="32"/>
  <c r="Q367" i="32"/>
  <c r="P368" i="32"/>
  <c r="Q368" i="32"/>
  <c r="P369" i="32"/>
  <c r="Q369" i="32"/>
  <c r="P370" i="32"/>
  <c r="Q370" i="32"/>
  <c r="P371" i="32"/>
  <c r="Q371" i="32"/>
  <c r="P372" i="32"/>
  <c r="Q372" i="32"/>
  <c r="P373" i="32"/>
  <c r="Q373" i="32"/>
  <c r="P374" i="32"/>
  <c r="Q374" i="32"/>
  <c r="P375" i="32"/>
  <c r="Q375" i="32"/>
  <c r="P376" i="32"/>
  <c r="Q376" i="32"/>
  <c r="P377" i="32"/>
  <c r="Q377" i="32"/>
  <c r="P378" i="32"/>
  <c r="Q378" i="32"/>
  <c r="P379" i="32"/>
  <c r="Q379" i="32"/>
  <c r="P380" i="32"/>
  <c r="Q380" i="32"/>
  <c r="P381" i="32"/>
  <c r="Q381" i="32"/>
  <c r="P382" i="32"/>
  <c r="Q382" i="32"/>
  <c r="P383" i="32"/>
  <c r="Q383" i="32"/>
  <c r="P384" i="32"/>
  <c r="Q384" i="32"/>
  <c r="P385" i="32"/>
  <c r="Q385" i="32"/>
  <c r="P386" i="32"/>
  <c r="Q386" i="32"/>
  <c r="P387" i="32"/>
  <c r="Q387" i="32"/>
  <c r="P388" i="32"/>
  <c r="Q388" i="32"/>
  <c r="P389" i="32"/>
  <c r="Q389" i="32"/>
  <c r="P390" i="32"/>
  <c r="Q390" i="32"/>
  <c r="P391" i="32"/>
  <c r="Q391" i="32"/>
  <c r="P392" i="32"/>
  <c r="Q392" i="32"/>
  <c r="P393" i="32"/>
  <c r="Q393" i="32"/>
  <c r="P394" i="32"/>
  <c r="Q394" i="32"/>
  <c r="P395" i="32"/>
  <c r="Q395" i="32"/>
  <c r="P396" i="32"/>
  <c r="Q396" i="32"/>
  <c r="P397" i="32"/>
  <c r="Q397" i="32"/>
  <c r="P398" i="32"/>
  <c r="Q398" i="32"/>
  <c r="P399" i="32"/>
  <c r="Q399" i="32"/>
  <c r="P400" i="32"/>
  <c r="Q400" i="32"/>
  <c r="P401" i="32"/>
  <c r="Q401" i="32"/>
  <c r="P402" i="32"/>
  <c r="Q402" i="32"/>
  <c r="P403" i="32"/>
  <c r="Q403" i="32"/>
  <c r="P404" i="32"/>
  <c r="Q404" i="32"/>
  <c r="P405" i="32"/>
  <c r="Q405" i="32"/>
  <c r="P406" i="32"/>
  <c r="Q406" i="32"/>
  <c r="P407" i="32"/>
  <c r="Q407" i="32"/>
  <c r="P408" i="32"/>
  <c r="Q408" i="32"/>
  <c r="P409" i="32"/>
  <c r="Q409" i="32"/>
  <c r="P410" i="32"/>
  <c r="Q410" i="32"/>
  <c r="P411" i="32"/>
  <c r="Q411" i="32"/>
  <c r="P412" i="32"/>
  <c r="Q412" i="32"/>
  <c r="P413" i="32"/>
  <c r="Q413" i="32"/>
  <c r="P414" i="32"/>
  <c r="Q414" i="32"/>
  <c r="P415" i="32"/>
  <c r="Q415" i="32"/>
  <c r="P416" i="32"/>
  <c r="Q416" i="32"/>
  <c r="P417" i="32"/>
  <c r="Q417" i="32"/>
  <c r="P418" i="32"/>
  <c r="Q418" i="32"/>
  <c r="P419" i="32"/>
  <c r="Q419" i="32"/>
  <c r="P420" i="32"/>
  <c r="Q420" i="32"/>
  <c r="P421" i="32"/>
  <c r="Q421" i="32"/>
  <c r="P422" i="32"/>
  <c r="Q422" i="32"/>
  <c r="P423" i="32"/>
  <c r="Q423" i="32"/>
  <c r="P424" i="32"/>
  <c r="Q424" i="32"/>
  <c r="P425" i="32"/>
  <c r="Q425" i="32"/>
  <c r="P426" i="32"/>
  <c r="Q426" i="32"/>
  <c r="P427" i="32"/>
  <c r="Q427" i="32"/>
  <c r="P428" i="32"/>
  <c r="Q428" i="32"/>
  <c r="P429" i="32"/>
  <c r="Q429" i="32"/>
  <c r="P430" i="32"/>
  <c r="Q430" i="32"/>
  <c r="P431" i="32"/>
  <c r="Q431" i="32"/>
  <c r="P432" i="32"/>
  <c r="Q432" i="32"/>
  <c r="P433" i="32"/>
  <c r="Q433" i="32"/>
  <c r="P434" i="32"/>
  <c r="Q434" i="32"/>
  <c r="P435" i="32"/>
  <c r="Q435" i="32"/>
  <c r="P436" i="32"/>
  <c r="Q436" i="32"/>
  <c r="P437" i="32"/>
  <c r="Q437" i="32"/>
  <c r="P438" i="32"/>
  <c r="Q438" i="32"/>
  <c r="P439" i="32"/>
  <c r="Q439" i="32"/>
  <c r="P440" i="32"/>
  <c r="Q440" i="32"/>
  <c r="P441" i="32"/>
  <c r="Q441" i="32"/>
  <c r="P442" i="32"/>
  <c r="Q442" i="32"/>
  <c r="P443" i="32"/>
  <c r="Q443" i="32"/>
  <c r="P444" i="32"/>
  <c r="Q444" i="32"/>
  <c r="P445" i="32"/>
  <c r="Q445" i="32"/>
  <c r="P446" i="32"/>
  <c r="Q446" i="32"/>
  <c r="P447" i="32"/>
  <c r="Q447" i="32"/>
  <c r="P448" i="32"/>
  <c r="Q448" i="32"/>
  <c r="P449" i="32"/>
  <c r="Q449" i="32"/>
  <c r="P450" i="32"/>
  <c r="Q450" i="32"/>
  <c r="P451" i="32"/>
  <c r="Q451" i="32"/>
  <c r="P452" i="32"/>
  <c r="Q452" i="32"/>
  <c r="P453" i="32"/>
  <c r="Q453" i="32"/>
  <c r="P454" i="32"/>
  <c r="Q454" i="32"/>
  <c r="P455" i="32"/>
  <c r="Q455" i="32"/>
  <c r="P456" i="32"/>
  <c r="Q456" i="32"/>
  <c r="P457" i="32"/>
  <c r="Q457" i="32"/>
  <c r="P458" i="32"/>
  <c r="Q458" i="32"/>
  <c r="P459" i="32"/>
  <c r="Q459" i="32"/>
  <c r="P460" i="32"/>
  <c r="Q460" i="32"/>
  <c r="P461" i="32"/>
  <c r="Q461" i="32"/>
  <c r="P462" i="32"/>
  <c r="Q462" i="32"/>
  <c r="P463" i="32"/>
  <c r="Q463" i="32"/>
  <c r="P464" i="32"/>
  <c r="Q464" i="32"/>
  <c r="P465" i="32"/>
  <c r="Q465" i="32"/>
  <c r="P466" i="32"/>
  <c r="Q466" i="32"/>
  <c r="P467" i="32"/>
  <c r="Q467" i="32"/>
  <c r="P468" i="32"/>
  <c r="Q468" i="32"/>
  <c r="P469" i="32"/>
  <c r="Q469" i="32"/>
  <c r="P470" i="32"/>
  <c r="Q470" i="32"/>
  <c r="P471" i="32"/>
  <c r="Q471" i="32"/>
  <c r="P472" i="32"/>
  <c r="Q472" i="32"/>
  <c r="P473" i="32"/>
  <c r="Q473" i="32"/>
  <c r="P474" i="32"/>
  <c r="Q474" i="32"/>
  <c r="P475" i="32"/>
  <c r="Q475" i="32"/>
  <c r="P476" i="32"/>
  <c r="Q476" i="32"/>
  <c r="P477" i="32"/>
  <c r="Q477" i="32"/>
  <c r="P478" i="32"/>
  <c r="Q478" i="32"/>
  <c r="P479" i="32"/>
  <c r="Q479" i="32"/>
  <c r="P480" i="32"/>
  <c r="Q480" i="32"/>
  <c r="P481" i="32"/>
  <c r="Q481" i="32"/>
  <c r="P482" i="32"/>
  <c r="Q482" i="32"/>
  <c r="P483" i="32"/>
  <c r="Q483" i="32"/>
  <c r="P484" i="32"/>
  <c r="Q484" i="32"/>
  <c r="P485" i="32"/>
  <c r="Q485" i="32"/>
  <c r="P486" i="32"/>
  <c r="Q486" i="32"/>
  <c r="P487" i="32"/>
  <c r="Q487" i="32"/>
  <c r="P488" i="32"/>
  <c r="Q488" i="32"/>
  <c r="P489" i="32"/>
  <c r="Q489" i="32"/>
  <c r="P490" i="32"/>
  <c r="Q490" i="32"/>
  <c r="P491" i="32"/>
  <c r="Q491" i="32"/>
  <c r="P492" i="32"/>
  <c r="Q492" i="32"/>
  <c r="P493" i="32"/>
  <c r="Q493" i="32"/>
  <c r="P494" i="32"/>
  <c r="Q494" i="32"/>
  <c r="P495" i="32"/>
  <c r="Q495" i="32"/>
  <c r="P496" i="32"/>
  <c r="Q496" i="32"/>
  <c r="P497" i="32"/>
  <c r="Q497" i="32"/>
  <c r="P498" i="32"/>
  <c r="Q498" i="32"/>
  <c r="P499" i="32"/>
  <c r="Q499" i="32"/>
  <c r="P500" i="32"/>
  <c r="Q500" i="32"/>
  <c r="P501" i="32"/>
  <c r="Q501" i="32"/>
  <c r="P502" i="32"/>
  <c r="Q502" i="32"/>
  <c r="P503" i="32"/>
  <c r="Q503" i="32"/>
  <c r="P504" i="32"/>
  <c r="Q504" i="32"/>
  <c r="P505" i="32"/>
  <c r="Q505" i="32"/>
  <c r="P506" i="32"/>
  <c r="Q506" i="32"/>
  <c r="P507" i="32"/>
  <c r="Q507" i="32"/>
  <c r="P508" i="32"/>
  <c r="Q508" i="32"/>
  <c r="P509" i="32"/>
  <c r="Q509" i="32"/>
  <c r="P510" i="32"/>
  <c r="Q510" i="32"/>
  <c r="P511" i="32"/>
  <c r="Q511" i="32"/>
  <c r="P512" i="32"/>
  <c r="Q512" i="32"/>
  <c r="P513" i="32"/>
  <c r="Q513" i="32"/>
  <c r="P514" i="32"/>
  <c r="Q514" i="32"/>
  <c r="P515" i="32"/>
  <c r="Q515" i="32"/>
  <c r="Q516" i="32"/>
  <c r="Q517" i="32"/>
  <c r="D16" i="32"/>
  <c r="F16" i="32"/>
  <c r="D17" i="32"/>
  <c r="F17" i="32"/>
  <c r="D18" i="32"/>
  <c r="F18" i="32"/>
  <c r="D19" i="32"/>
  <c r="F19" i="32"/>
  <c r="D20" i="32"/>
  <c r="F20" i="32"/>
  <c r="D21" i="32"/>
  <c r="F21" i="32"/>
  <c r="D22" i="32"/>
  <c r="F22" i="32"/>
  <c r="D23" i="32"/>
  <c r="F23" i="32"/>
  <c r="D24" i="32"/>
  <c r="F24" i="32"/>
  <c r="D25" i="32"/>
  <c r="F25" i="32"/>
  <c r="D26" i="32"/>
  <c r="F26" i="32"/>
  <c r="D27" i="32"/>
  <c r="F27" i="32"/>
  <c r="D28" i="32"/>
  <c r="F28" i="32"/>
  <c r="D29" i="32"/>
  <c r="F29" i="32"/>
  <c r="D30" i="32"/>
  <c r="F30" i="32"/>
  <c r="D31" i="32"/>
  <c r="F31" i="32"/>
  <c r="D32" i="32"/>
  <c r="F32" i="32"/>
  <c r="D33" i="32"/>
  <c r="F33" i="32"/>
  <c r="D34" i="32"/>
  <c r="F34" i="32"/>
  <c r="D35" i="32"/>
  <c r="F35" i="32"/>
  <c r="D36" i="32"/>
  <c r="F36" i="32"/>
  <c r="D37" i="32"/>
  <c r="F37" i="32"/>
  <c r="D38" i="32"/>
  <c r="F38" i="32"/>
  <c r="D39" i="32"/>
  <c r="F39" i="32"/>
  <c r="D40" i="32"/>
  <c r="F40" i="32"/>
  <c r="D41" i="32"/>
  <c r="F41" i="32"/>
  <c r="D42" i="32"/>
  <c r="F42" i="32"/>
  <c r="D43" i="32"/>
  <c r="F43" i="32"/>
  <c r="D44" i="32"/>
  <c r="F44" i="32"/>
  <c r="D45" i="32"/>
  <c r="F45" i="32"/>
  <c r="Q518" i="32"/>
  <c r="U438" i="31"/>
  <c r="U437" i="31"/>
  <c r="V437" i="31"/>
  <c r="U436" i="31"/>
  <c r="V436" i="31"/>
  <c r="U435" i="31"/>
  <c r="V435" i="31"/>
  <c r="U434" i="31"/>
  <c r="V434" i="31"/>
  <c r="U433" i="31"/>
  <c r="V433" i="31"/>
  <c r="U432" i="31"/>
  <c r="V432" i="31"/>
  <c r="U431" i="31"/>
  <c r="V431" i="31"/>
  <c r="U430" i="31"/>
  <c r="V430" i="31"/>
  <c r="U429" i="31"/>
  <c r="V429" i="31"/>
  <c r="U428" i="31"/>
  <c r="V428" i="31"/>
  <c r="U427" i="31"/>
  <c r="V427" i="31"/>
  <c r="U426" i="31"/>
  <c r="V426" i="31"/>
  <c r="U425" i="31"/>
  <c r="V425" i="31"/>
  <c r="U424" i="31"/>
  <c r="V424" i="31"/>
  <c r="U423" i="31"/>
  <c r="V423" i="31"/>
  <c r="U422" i="31"/>
  <c r="V422" i="31"/>
  <c r="U421" i="31"/>
  <c r="V421" i="31"/>
  <c r="U420" i="31"/>
  <c r="V420" i="31"/>
  <c r="U419" i="31"/>
  <c r="V419" i="31"/>
  <c r="U418" i="31"/>
  <c r="V418" i="31"/>
  <c r="U417" i="31"/>
  <c r="V417" i="31"/>
  <c r="U416" i="31"/>
  <c r="V416" i="31"/>
  <c r="U415" i="31"/>
  <c r="V415" i="31"/>
  <c r="U414" i="31"/>
  <c r="V414" i="31"/>
  <c r="U413" i="31"/>
  <c r="V413" i="31"/>
  <c r="U412" i="31"/>
  <c r="V412" i="31"/>
  <c r="U411" i="31"/>
  <c r="V411" i="31"/>
  <c r="U410" i="31"/>
  <c r="V410" i="31"/>
  <c r="U409" i="31"/>
  <c r="V409" i="31"/>
  <c r="U408" i="31"/>
  <c r="V408" i="31"/>
  <c r="U407" i="31"/>
  <c r="V407" i="31"/>
  <c r="U406" i="31"/>
  <c r="V406" i="31"/>
  <c r="U405" i="31"/>
  <c r="V405" i="31"/>
  <c r="U404" i="31"/>
  <c r="V404" i="31"/>
  <c r="U403" i="31"/>
  <c r="V403" i="31"/>
  <c r="U402" i="31"/>
  <c r="V402" i="31"/>
  <c r="U401" i="31"/>
  <c r="V401" i="31"/>
  <c r="U400" i="31"/>
  <c r="V400" i="31"/>
  <c r="U399" i="31"/>
  <c r="V399" i="31"/>
  <c r="U398" i="31"/>
  <c r="V398" i="31"/>
  <c r="U397" i="31"/>
  <c r="V397" i="31"/>
  <c r="U396" i="31"/>
  <c r="V396" i="31"/>
  <c r="U395" i="31"/>
  <c r="V395" i="31"/>
  <c r="U394" i="31"/>
  <c r="V394" i="31"/>
  <c r="U393" i="31"/>
  <c r="V393" i="31"/>
  <c r="U392" i="31"/>
  <c r="V392" i="31"/>
  <c r="U391" i="31"/>
  <c r="V391" i="31"/>
  <c r="U390" i="31"/>
  <c r="V390" i="31"/>
  <c r="U389" i="31"/>
  <c r="V389" i="31"/>
  <c r="U388" i="31"/>
  <c r="V388" i="31"/>
  <c r="U387" i="31"/>
  <c r="V387" i="31"/>
  <c r="U386" i="31"/>
  <c r="V386" i="31"/>
  <c r="U385" i="31"/>
  <c r="V385" i="31"/>
  <c r="U384" i="31"/>
  <c r="V384" i="31"/>
  <c r="U383" i="31"/>
  <c r="V383" i="31"/>
  <c r="U382" i="31"/>
  <c r="V382" i="31"/>
  <c r="U381" i="31"/>
  <c r="V381" i="31"/>
  <c r="U380" i="31"/>
  <c r="V380" i="31"/>
  <c r="U379" i="31"/>
  <c r="V379" i="31"/>
  <c r="U378" i="31"/>
  <c r="V378" i="31"/>
  <c r="U377" i="31"/>
  <c r="V377" i="31"/>
  <c r="U376" i="31"/>
  <c r="V376" i="31"/>
  <c r="U375" i="31"/>
  <c r="V375" i="31"/>
  <c r="U374" i="31"/>
  <c r="V374" i="31"/>
  <c r="U373" i="31"/>
  <c r="V373" i="31"/>
  <c r="U372" i="31"/>
  <c r="V372" i="31"/>
  <c r="U371" i="31"/>
  <c r="V371" i="31"/>
  <c r="U370" i="31"/>
  <c r="V370" i="31"/>
  <c r="U369" i="31"/>
  <c r="V369" i="31"/>
  <c r="U368" i="31"/>
  <c r="V368" i="31"/>
  <c r="U367" i="31"/>
  <c r="V367" i="31"/>
  <c r="U366" i="31"/>
  <c r="V366" i="31"/>
  <c r="U365" i="31"/>
  <c r="V365" i="31"/>
  <c r="U364" i="31"/>
  <c r="V364" i="31"/>
  <c r="U363" i="31"/>
  <c r="V363" i="31"/>
  <c r="U362" i="31"/>
  <c r="V362" i="31"/>
  <c r="U361" i="31"/>
  <c r="V361" i="31"/>
  <c r="U360" i="31"/>
  <c r="V360" i="31"/>
  <c r="U359" i="31"/>
  <c r="V359" i="31"/>
  <c r="U358" i="31"/>
  <c r="V358" i="31"/>
  <c r="U357" i="31"/>
  <c r="V357" i="31"/>
  <c r="U356" i="31"/>
  <c r="V356" i="31"/>
  <c r="U355" i="31"/>
  <c r="V355" i="31"/>
  <c r="U354" i="31"/>
  <c r="V354" i="31"/>
  <c r="U353" i="31"/>
  <c r="V353" i="31"/>
  <c r="U352" i="31"/>
  <c r="V352" i="31"/>
  <c r="U351" i="31"/>
  <c r="V351" i="31"/>
  <c r="U350" i="31"/>
  <c r="V350" i="31"/>
  <c r="U349" i="31"/>
  <c r="V349" i="31"/>
  <c r="U348" i="31"/>
  <c r="V348" i="31"/>
  <c r="U347" i="31"/>
  <c r="V347" i="31"/>
  <c r="U346" i="31"/>
  <c r="V346" i="31"/>
  <c r="U345" i="31"/>
  <c r="V345" i="31"/>
  <c r="U344" i="31"/>
  <c r="V344" i="31"/>
  <c r="U343" i="31"/>
  <c r="V343" i="31"/>
  <c r="U342" i="31"/>
  <c r="V342" i="31"/>
  <c r="U341" i="31"/>
  <c r="V341" i="31"/>
  <c r="U340" i="31"/>
  <c r="V340" i="31"/>
  <c r="U339" i="31"/>
  <c r="V339" i="31"/>
  <c r="U338" i="31"/>
  <c r="V338" i="31"/>
  <c r="U337" i="31"/>
  <c r="V337" i="31"/>
  <c r="U336" i="31"/>
  <c r="V336" i="31"/>
  <c r="U335" i="31"/>
  <c r="V335" i="31"/>
  <c r="U334" i="31"/>
  <c r="V334" i="31"/>
  <c r="U333" i="31"/>
  <c r="V333" i="31"/>
  <c r="U332" i="31"/>
  <c r="V332" i="31"/>
  <c r="U331" i="31"/>
  <c r="V331" i="31"/>
  <c r="U330" i="31"/>
  <c r="V330" i="31"/>
  <c r="U329" i="31"/>
  <c r="V329" i="31"/>
  <c r="U328" i="31"/>
  <c r="V328" i="31"/>
  <c r="U327" i="31"/>
  <c r="V327" i="31"/>
  <c r="U326" i="31"/>
  <c r="V326" i="31"/>
  <c r="U325" i="31"/>
  <c r="V325" i="31"/>
  <c r="U324" i="31"/>
  <c r="V324" i="31"/>
  <c r="U323" i="31"/>
  <c r="V323" i="31"/>
  <c r="U322" i="31"/>
  <c r="V322" i="31"/>
  <c r="U321" i="31"/>
  <c r="V321" i="31"/>
  <c r="U320" i="31"/>
  <c r="V320" i="31"/>
  <c r="U319" i="31"/>
  <c r="V319" i="31"/>
  <c r="U318" i="31"/>
  <c r="V318" i="31"/>
  <c r="U317" i="31"/>
  <c r="V317" i="31"/>
  <c r="U316" i="31"/>
  <c r="V316" i="31"/>
  <c r="U315" i="31"/>
  <c r="V315" i="31"/>
  <c r="U314" i="31"/>
  <c r="V314" i="31"/>
  <c r="U313" i="31"/>
  <c r="V313" i="31"/>
  <c r="U312" i="31"/>
  <c r="V312" i="31"/>
  <c r="U311" i="31"/>
  <c r="V311" i="31"/>
  <c r="U310" i="31"/>
  <c r="V310" i="31"/>
  <c r="U309" i="31"/>
  <c r="V309" i="31"/>
  <c r="U308" i="31"/>
  <c r="V308" i="31"/>
  <c r="U307" i="31"/>
  <c r="V307" i="31"/>
  <c r="U306" i="31"/>
  <c r="V306" i="31"/>
  <c r="U305" i="31"/>
  <c r="V305" i="31"/>
  <c r="U304" i="31"/>
  <c r="V304" i="31"/>
  <c r="U303" i="31"/>
  <c r="V303" i="31"/>
  <c r="U302" i="31"/>
  <c r="V302" i="31"/>
  <c r="U301" i="31"/>
  <c r="V301" i="31"/>
  <c r="U300" i="31"/>
  <c r="V300" i="31"/>
  <c r="U299" i="31"/>
  <c r="V299" i="31"/>
  <c r="U298" i="31"/>
  <c r="V298" i="31"/>
  <c r="U297" i="31"/>
  <c r="V297" i="31"/>
  <c r="U296" i="31"/>
  <c r="V296" i="31"/>
  <c r="U295" i="31"/>
  <c r="V295" i="31"/>
  <c r="U294" i="31"/>
  <c r="V294" i="31"/>
  <c r="U293" i="31"/>
  <c r="V293" i="31"/>
  <c r="U292" i="31"/>
  <c r="V292" i="31"/>
  <c r="U291" i="31"/>
  <c r="V291" i="31"/>
  <c r="U290" i="31"/>
  <c r="V290" i="31"/>
  <c r="U289" i="31"/>
  <c r="V289" i="31"/>
  <c r="U288" i="31"/>
  <c r="V288" i="31"/>
  <c r="U287" i="31"/>
  <c r="V287" i="31"/>
  <c r="U286" i="31"/>
  <c r="V286" i="31"/>
  <c r="U285" i="31"/>
  <c r="V285" i="31"/>
  <c r="U284" i="31"/>
  <c r="V284" i="31"/>
  <c r="U283" i="31"/>
  <c r="V283" i="31"/>
  <c r="U282" i="31"/>
  <c r="V282" i="31"/>
  <c r="U281" i="31"/>
  <c r="V281" i="31"/>
  <c r="U280" i="31"/>
  <c r="V280" i="31"/>
  <c r="U279" i="31"/>
  <c r="V279" i="31"/>
  <c r="U278" i="31"/>
  <c r="V278" i="31"/>
  <c r="U277" i="31"/>
  <c r="V277" i="31"/>
  <c r="U276" i="31"/>
  <c r="V276" i="31"/>
  <c r="U275" i="31"/>
  <c r="V275" i="31"/>
  <c r="U274" i="31"/>
  <c r="V274" i="31"/>
  <c r="U273" i="31"/>
  <c r="V273" i="31"/>
  <c r="U272" i="31"/>
  <c r="V272" i="31"/>
  <c r="U271" i="31"/>
  <c r="V271" i="31"/>
  <c r="U270" i="31"/>
  <c r="V270" i="31"/>
  <c r="U269" i="31"/>
  <c r="V269" i="31"/>
  <c r="U268" i="31"/>
  <c r="V268" i="31"/>
  <c r="U267" i="31"/>
  <c r="V267" i="31"/>
  <c r="U266" i="31"/>
  <c r="V266" i="31"/>
  <c r="U265" i="31"/>
  <c r="V265" i="31"/>
  <c r="U264" i="31"/>
  <c r="V264" i="31"/>
  <c r="U263" i="31"/>
  <c r="V263" i="31"/>
  <c r="U262" i="31"/>
  <c r="V262" i="31"/>
  <c r="U261" i="31"/>
  <c r="V261" i="31"/>
  <c r="U260" i="31"/>
  <c r="V260" i="31"/>
  <c r="U259" i="31"/>
  <c r="V259" i="31"/>
  <c r="U258" i="31"/>
  <c r="V258" i="31"/>
  <c r="U257" i="31"/>
  <c r="V257" i="31"/>
  <c r="U256" i="31"/>
  <c r="V256" i="31"/>
  <c r="U255" i="31"/>
  <c r="V255" i="31"/>
  <c r="U254" i="31"/>
  <c r="V254" i="31"/>
  <c r="U253" i="31"/>
  <c r="V253" i="31"/>
  <c r="U252" i="31"/>
  <c r="V252" i="31"/>
  <c r="U251" i="31"/>
  <c r="V251" i="31"/>
  <c r="U250" i="31"/>
  <c r="V250" i="31"/>
  <c r="U249" i="31"/>
  <c r="V249" i="31"/>
  <c r="U248" i="31"/>
  <c r="V248" i="31"/>
  <c r="U247" i="31"/>
  <c r="V247" i="31"/>
  <c r="U246" i="31"/>
  <c r="V246" i="31"/>
  <c r="U245" i="31"/>
  <c r="V245" i="31"/>
  <c r="U244" i="31"/>
  <c r="V244" i="31"/>
  <c r="U243" i="31"/>
  <c r="V243" i="31"/>
  <c r="U242" i="31"/>
  <c r="V242" i="31"/>
  <c r="U241" i="31"/>
  <c r="V241" i="31"/>
  <c r="U240" i="31"/>
  <c r="V240" i="31"/>
  <c r="U239" i="31"/>
  <c r="V239" i="31"/>
  <c r="U238" i="31"/>
  <c r="V238" i="31"/>
  <c r="U237" i="31"/>
  <c r="V237" i="31"/>
  <c r="U236" i="31"/>
  <c r="V236" i="31"/>
  <c r="U235" i="31"/>
  <c r="V235" i="31"/>
  <c r="U234" i="31"/>
  <c r="V234" i="31"/>
  <c r="U233" i="31"/>
  <c r="V233" i="31"/>
  <c r="U232" i="31"/>
  <c r="V232" i="31"/>
  <c r="U231" i="31"/>
  <c r="V231" i="31"/>
  <c r="U230" i="31"/>
  <c r="V230" i="31"/>
  <c r="U229" i="31"/>
  <c r="V229" i="31"/>
  <c r="U228" i="31"/>
  <c r="V228" i="31"/>
  <c r="U227" i="31"/>
  <c r="V227" i="31"/>
  <c r="U226" i="31"/>
  <c r="V226" i="31"/>
  <c r="U225" i="31"/>
  <c r="V225" i="31"/>
  <c r="U224" i="31"/>
  <c r="V224" i="31"/>
  <c r="U223" i="31"/>
  <c r="V223" i="31"/>
  <c r="U222" i="31"/>
  <c r="V222" i="31"/>
  <c r="U221" i="31"/>
  <c r="V221" i="31"/>
  <c r="U220" i="31"/>
  <c r="V220" i="31"/>
  <c r="U219" i="31"/>
  <c r="V219" i="31"/>
  <c r="U218" i="31"/>
  <c r="V218" i="31"/>
  <c r="U217" i="31"/>
  <c r="V217" i="31"/>
  <c r="U216" i="31"/>
  <c r="V216" i="31"/>
  <c r="U215" i="31"/>
  <c r="V215" i="31"/>
  <c r="U214" i="31"/>
  <c r="V214" i="31"/>
  <c r="U213" i="31"/>
  <c r="V213" i="31"/>
  <c r="U212" i="31"/>
  <c r="V212" i="31"/>
  <c r="U211" i="31"/>
  <c r="V211" i="31"/>
  <c r="U210" i="31"/>
  <c r="V210" i="31"/>
  <c r="U209" i="31"/>
  <c r="V209" i="31"/>
  <c r="U208" i="31"/>
  <c r="V208" i="31"/>
  <c r="U207" i="31"/>
  <c r="V207" i="31"/>
  <c r="U206" i="31"/>
  <c r="V206" i="31"/>
  <c r="U205" i="31"/>
  <c r="V205" i="31"/>
  <c r="U204" i="31"/>
  <c r="V204" i="31"/>
  <c r="U203" i="31"/>
  <c r="V203" i="31"/>
  <c r="U202" i="31"/>
  <c r="V202" i="31"/>
  <c r="U201" i="31"/>
  <c r="V201" i="31"/>
  <c r="U200" i="31"/>
  <c r="V200" i="31"/>
  <c r="U199" i="31"/>
  <c r="V199" i="31"/>
  <c r="U198" i="31"/>
  <c r="V198" i="31"/>
  <c r="U197" i="31"/>
  <c r="V197" i="31"/>
  <c r="U196" i="31"/>
  <c r="V196" i="31"/>
  <c r="U195" i="31"/>
  <c r="V195" i="31"/>
  <c r="U194" i="31"/>
  <c r="V194" i="31"/>
  <c r="U193" i="31"/>
  <c r="V193" i="31"/>
  <c r="U192" i="31"/>
  <c r="V192" i="31"/>
  <c r="U191" i="31"/>
  <c r="V191" i="31"/>
  <c r="U190" i="31"/>
  <c r="V190" i="31"/>
  <c r="U189" i="31"/>
  <c r="V189" i="31"/>
  <c r="U188" i="31"/>
  <c r="V188" i="31"/>
  <c r="U187" i="31"/>
  <c r="V187" i="31"/>
  <c r="U186" i="31"/>
  <c r="V186" i="31"/>
  <c r="U185" i="31"/>
  <c r="V185" i="31"/>
  <c r="U184" i="31"/>
  <c r="V184" i="31"/>
  <c r="U183" i="31"/>
  <c r="V183" i="31"/>
  <c r="U182" i="31"/>
  <c r="V182" i="31"/>
  <c r="U181" i="31"/>
  <c r="V181" i="31"/>
  <c r="U180" i="31"/>
  <c r="V180" i="31"/>
  <c r="U179" i="31"/>
  <c r="V179" i="31"/>
  <c r="U178" i="31"/>
  <c r="V178" i="31"/>
  <c r="U177" i="31"/>
  <c r="V177" i="31"/>
  <c r="U176" i="31"/>
  <c r="V176" i="31"/>
  <c r="U175" i="31"/>
  <c r="V175" i="31"/>
  <c r="U174" i="31"/>
  <c r="V174" i="31"/>
  <c r="U173" i="31"/>
  <c r="V173" i="31"/>
  <c r="U172" i="31"/>
  <c r="V172" i="31"/>
  <c r="U171" i="31"/>
  <c r="V171" i="31"/>
  <c r="U170" i="31"/>
  <c r="V170" i="31"/>
  <c r="U169" i="31"/>
  <c r="V169" i="31"/>
  <c r="U168" i="31"/>
  <c r="V168" i="31"/>
  <c r="U167" i="31"/>
  <c r="V167" i="31"/>
  <c r="U166" i="31"/>
  <c r="V166" i="31"/>
  <c r="U165" i="31"/>
  <c r="V165" i="31"/>
  <c r="U164" i="31"/>
  <c r="V164" i="31"/>
  <c r="U163" i="31"/>
  <c r="V163" i="31"/>
  <c r="U162" i="31"/>
  <c r="V162" i="31"/>
  <c r="U161" i="31"/>
  <c r="V161" i="31"/>
  <c r="U160" i="31"/>
  <c r="V160" i="31"/>
  <c r="U159" i="31"/>
  <c r="V159" i="31"/>
  <c r="U158" i="31"/>
  <c r="V158" i="31"/>
  <c r="U157" i="31"/>
  <c r="V157" i="31"/>
  <c r="U156" i="31"/>
  <c r="V156" i="31"/>
  <c r="U155" i="31"/>
  <c r="V155" i="31"/>
  <c r="U154" i="31"/>
  <c r="V154" i="31"/>
  <c r="U153" i="31"/>
  <c r="V153" i="31"/>
  <c r="U152" i="31"/>
  <c r="V152" i="31"/>
  <c r="U151" i="31"/>
  <c r="V151" i="31"/>
  <c r="U150" i="31"/>
  <c r="V150" i="31"/>
  <c r="U149" i="31"/>
  <c r="V149" i="31"/>
  <c r="U148" i="31"/>
  <c r="V148" i="31"/>
  <c r="U147" i="31"/>
  <c r="V147" i="31"/>
  <c r="U146" i="31"/>
  <c r="V146" i="31"/>
  <c r="U145" i="31"/>
  <c r="V145" i="31"/>
  <c r="U144" i="31"/>
  <c r="V144" i="31"/>
  <c r="U143" i="31"/>
  <c r="V143" i="31"/>
  <c r="U142" i="31"/>
  <c r="V142" i="31"/>
  <c r="U141" i="31"/>
  <c r="V141" i="31"/>
  <c r="U140" i="31"/>
  <c r="V140" i="31"/>
  <c r="U139" i="31"/>
  <c r="V139" i="31"/>
  <c r="U138" i="31"/>
  <c r="V138" i="31"/>
  <c r="U137" i="31"/>
  <c r="V137" i="31"/>
  <c r="U136" i="31"/>
  <c r="V136" i="31"/>
  <c r="U135" i="31"/>
  <c r="V135" i="31"/>
  <c r="U134" i="31"/>
  <c r="V134" i="31"/>
  <c r="U133" i="31"/>
  <c r="V133" i="31"/>
  <c r="U132" i="31"/>
  <c r="V132" i="31"/>
  <c r="U131" i="31"/>
  <c r="V131" i="31"/>
  <c r="U130" i="31"/>
  <c r="V130" i="31"/>
  <c r="U129" i="31"/>
  <c r="V129" i="31"/>
  <c r="U128" i="31"/>
  <c r="V128" i="31"/>
  <c r="U127" i="31"/>
  <c r="V127" i="31"/>
  <c r="U126" i="31"/>
  <c r="V126" i="31"/>
  <c r="U125" i="31"/>
  <c r="V125" i="31"/>
  <c r="U124" i="31"/>
  <c r="V124" i="31"/>
  <c r="U123" i="31"/>
  <c r="V123" i="31"/>
  <c r="U122" i="31"/>
  <c r="V122" i="31"/>
  <c r="U121" i="31"/>
  <c r="V121" i="31"/>
  <c r="U120" i="31"/>
  <c r="V120" i="31"/>
  <c r="U119" i="31"/>
  <c r="V119" i="31"/>
  <c r="U118" i="31"/>
  <c r="V118" i="31"/>
  <c r="U117" i="31"/>
  <c r="V117" i="31"/>
  <c r="U116" i="31"/>
  <c r="V116" i="31"/>
  <c r="U115" i="31"/>
  <c r="V115" i="31"/>
  <c r="U114" i="31"/>
  <c r="V114" i="31"/>
  <c r="U113" i="31"/>
  <c r="V113" i="31"/>
  <c r="U112" i="31"/>
  <c r="V112" i="31"/>
  <c r="U111" i="31"/>
  <c r="V111" i="31"/>
  <c r="U110" i="31"/>
  <c r="V110" i="31"/>
  <c r="U109" i="31"/>
  <c r="V109" i="31"/>
  <c r="U108" i="31"/>
  <c r="V108" i="31"/>
  <c r="U107" i="31"/>
  <c r="V107" i="31"/>
  <c r="U106" i="31"/>
  <c r="V106" i="31"/>
  <c r="U105" i="31"/>
  <c r="V105" i="31"/>
  <c r="U104" i="31"/>
  <c r="V104" i="31"/>
  <c r="U103" i="31"/>
  <c r="V103" i="31"/>
  <c r="U102" i="31"/>
  <c r="V102" i="31"/>
  <c r="U101" i="31"/>
  <c r="V101" i="31"/>
  <c r="U100" i="31"/>
  <c r="V100" i="31"/>
  <c r="U99" i="31"/>
  <c r="V99" i="31"/>
  <c r="U98" i="31"/>
  <c r="V98" i="31"/>
  <c r="U97" i="31"/>
  <c r="V97" i="31"/>
  <c r="U96" i="31"/>
  <c r="V96" i="31"/>
  <c r="U95" i="31"/>
  <c r="V95" i="31"/>
  <c r="U94" i="31"/>
  <c r="V94" i="31"/>
  <c r="U93" i="31"/>
  <c r="V93" i="31"/>
  <c r="U92" i="31"/>
  <c r="V92" i="31"/>
  <c r="U91" i="31"/>
  <c r="V91" i="31"/>
  <c r="U90" i="31"/>
  <c r="V90" i="31"/>
  <c r="U89" i="31"/>
  <c r="V89" i="31"/>
  <c r="U88" i="31"/>
  <c r="V88" i="31"/>
  <c r="U87" i="31"/>
  <c r="V87" i="31"/>
  <c r="U86" i="31"/>
  <c r="V86" i="31"/>
  <c r="U85" i="31"/>
  <c r="V85" i="31"/>
  <c r="U84" i="31"/>
  <c r="V84" i="31"/>
  <c r="U83" i="31"/>
  <c r="V83" i="31"/>
  <c r="U82" i="31"/>
  <c r="V82" i="31"/>
  <c r="U81" i="31"/>
  <c r="V81" i="31"/>
  <c r="U80" i="31"/>
  <c r="V80" i="31"/>
  <c r="U79" i="31"/>
  <c r="V79" i="31"/>
  <c r="U78" i="31"/>
  <c r="V78" i="31"/>
  <c r="U77" i="31"/>
  <c r="V77" i="31"/>
  <c r="U76" i="31"/>
  <c r="V76" i="31"/>
  <c r="U75" i="31"/>
  <c r="V75" i="31"/>
  <c r="U74" i="31"/>
  <c r="V74" i="31"/>
  <c r="U73" i="31"/>
  <c r="V73" i="31"/>
  <c r="U72" i="31"/>
  <c r="V72" i="31"/>
  <c r="U71" i="31"/>
  <c r="V71" i="31"/>
  <c r="U70" i="31"/>
  <c r="V70" i="31"/>
  <c r="U69" i="31"/>
  <c r="V69" i="31"/>
  <c r="U68" i="31"/>
  <c r="V68" i="31"/>
  <c r="U67" i="31"/>
  <c r="V67" i="31"/>
  <c r="U66" i="31"/>
  <c r="V66" i="31"/>
  <c r="U65" i="31"/>
  <c r="V65" i="31"/>
  <c r="U64" i="31"/>
  <c r="V64" i="31"/>
  <c r="U63" i="31"/>
  <c r="V63" i="31"/>
  <c r="U62" i="31"/>
  <c r="V62" i="31"/>
  <c r="U61" i="31"/>
  <c r="V61" i="31"/>
  <c r="U60" i="31"/>
  <c r="V60" i="31"/>
  <c r="U59" i="31"/>
  <c r="V59" i="31"/>
  <c r="U58" i="31"/>
  <c r="V58" i="31"/>
  <c r="U57" i="31"/>
  <c r="V57" i="31"/>
  <c r="U56" i="31"/>
  <c r="V56" i="31"/>
  <c r="U55" i="31"/>
  <c r="V55" i="31"/>
  <c r="U54" i="31"/>
  <c r="V54" i="31"/>
  <c r="U53" i="31"/>
  <c r="V53" i="31"/>
  <c r="U52" i="31"/>
  <c r="V52" i="31"/>
  <c r="U51" i="31"/>
  <c r="V51" i="31"/>
  <c r="U50" i="31"/>
  <c r="V50" i="31"/>
  <c r="U49" i="31"/>
  <c r="V49" i="31"/>
  <c r="U48" i="31"/>
  <c r="V48" i="31"/>
  <c r="U47" i="31"/>
  <c r="V47" i="31"/>
  <c r="U46" i="31"/>
  <c r="V46" i="31"/>
  <c r="U45" i="31"/>
  <c r="V45" i="31"/>
  <c r="U44" i="31"/>
  <c r="V44" i="31"/>
  <c r="U43" i="31"/>
  <c r="V43" i="31"/>
  <c r="U42" i="31"/>
  <c r="V42" i="31"/>
  <c r="U41" i="31"/>
  <c r="V41" i="31"/>
  <c r="U40" i="31"/>
  <c r="V40" i="31"/>
  <c r="U39" i="31"/>
  <c r="V39" i="31"/>
  <c r="U38" i="31"/>
  <c r="V38" i="31"/>
  <c r="U37" i="31"/>
  <c r="V37" i="31"/>
  <c r="U36" i="31"/>
  <c r="V36" i="31"/>
  <c r="U35" i="31"/>
  <c r="V35" i="31"/>
  <c r="U34" i="31"/>
  <c r="V34" i="31"/>
  <c r="U33" i="31"/>
  <c r="V33" i="31"/>
  <c r="U32" i="31"/>
  <c r="V32" i="31"/>
  <c r="U31" i="31"/>
  <c r="V31" i="31"/>
  <c r="U30" i="31"/>
  <c r="V30" i="31"/>
  <c r="U29" i="31"/>
  <c r="V29" i="31"/>
  <c r="U28" i="31"/>
  <c r="V28" i="31"/>
  <c r="U27" i="31"/>
  <c r="V27" i="31"/>
  <c r="U26" i="31"/>
  <c r="V26" i="31"/>
  <c r="U25" i="31"/>
  <c r="V25" i="31"/>
  <c r="U24" i="31"/>
  <c r="V24" i="31"/>
  <c r="U23" i="31"/>
  <c r="V23" i="31"/>
  <c r="U22" i="31"/>
  <c r="V22" i="31"/>
  <c r="U21" i="31"/>
  <c r="V21" i="31"/>
  <c r="U20" i="31"/>
  <c r="B13" i="31"/>
  <c r="B15" i="31"/>
  <c r="B3" i="31"/>
  <c r="B4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B439" i="31"/>
  <c r="B6" i="31"/>
  <c r="B7" i="31"/>
  <c r="C439" i="31"/>
  <c r="D439" i="31"/>
  <c r="E439" i="31"/>
  <c r="F439" i="31"/>
  <c r="G439" i="31"/>
  <c r="V438" i="31"/>
  <c r="B438" i="31"/>
  <c r="C438" i="31"/>
  <c r="D438" i="31"/>
  <c r="E438" i="31"/>
  <c r="F438" i="31"/>
  <c r="G438" i="31"/>
  <c r="B437" i="31"/>
  <c r="C437" i="31"/>
  <c r="D437" i="31"/>
  <c r="E437" i="31"/>
  <c r="F437" i="31"/>
  <c r="G437" i="31"/>
  <c r="B436" i="31"/>
  <c r="C436" i="31"/>
  <c r="D436" i="31"/>
  <c r="E436" i="31"/>
  <c r="F436" i="31"/>
  <c r="G436" i="31"/>
  <c r="B435" i="31"/>
  <c r="C435" i="31"/>
  <c r="D435" i="31"/>
  <c r="E435" i="31"/>
  <c r="F435" i="31"/>
  <c r="G435" i="31"/>
  <c r="B434" i="31"/>
  <c r="C434" i="31"/>
  <c r="D434" i="31"/>
  <c r="E434" i="31"/>
  <c r="F434" i="31"/>
  <c r="G434" i="31"/>
  <c r="B433" i="31"/>
  <c r="C433" i="31"/>
  <c r="D433" i="31"/>
  <c r="E433" i="31"/>
  <c r="F433" i="31"/>
  <c r="G433" i="31"/>
  <c r="B432" i="31"/>
  <c r="C432" i="31"/>
  <c r="D432" i="31"/>
  <c r="E432" i="31"/>
  <c r="F432" i="31"/>
  <c r="G432" i="31"/>
  <c r="B431" i="31"/>
  <c r="C431" i="31"/>
  <c r="D431" i="31"/>
  <c r="E431" i="31"/>
  <c r="F431" i="31"/>
  <c r="G431" i="31"/>
  <c r="B430" i="31"/>
  <c r="C430" i="31"/>
  <c r="D430" i="31"/>
  <c r="E430" i="31"/>
  <c r="F430" i="31"/>
  <c r="G430" i="31"/>
  <c r="B429" i="31"/>
  <c r="C429" i="31"/>
  <c r="D429" i="31"/>
  <c r="E429" i="31"/>
  <c r="F429" i="31"/>
  <c r="G429" i="31"/>
  <c r="B428" i="31"/>
  <c r="C428" i="31"/>
  <c r="D428" i="31"/>
  <c r="E428" i="31"/>
  <c r="F428" i="31"/>
  <c r="G428" i="31"/>
  <c r="B427" i="31"/>
  <c r="C427" i="31"/>
  <c r="D427" i="31"/>
  <c r="E427" i="31"/>
  <c r="F427" i="31"/>
  <c r="G427" i="31"/>
  <c r="B426" i="31"/>
  <c r="C426" i="31"/>
  <c r="D426" i="31"/>
  <c r="E426" i="31"/>
  <c r="F426" i="31"/>
  <c r="G426" i="31"/>
  <c r="B425" i="31"/>
  <c r="C425" i="31"/>
  <c r="D425" i="31"/>
  <c r="E425" i="31"/>
  <c r="F425" i="31"/>
  <c r="G425" i="31"/>
  <c r="B424" i="31"/>
  <c r="C424" i="31"/>
  <c r="D424" i="31"/>
  <c r="E424" i="31"/>
  <c r="F424" i="31"/>
  <c r="G424" i="31"/>
  <c r="B423" i="31"/>
  <c r="C423" i="31"/>
  <c r="D423" i="31"/>
  <c r="E423" i="31"/>
  <c r="F423" i="31"/>
  <c r="G423" i="31"/>
  <c r="B422" i="31"/>
  <c r="C422" i="31"/>
  <c r="D422" i="31"/>
  <c r="E422" i="31"/>
  <c r="F422" i="31"/>
  <c r="G422" i="31"/>
  <c r="B421" i="31"/>
  <c r="C421" i="31"/>
  <c r="D421" i="31"/>
  <c r="E421" i="31"/>
  <c r="F421" i="31"/>
  <c r="G421" i="31"/>
  <c r="B420" i="31"/>
  <c r="C420" i="31"/>
  <c r="D420" i="31"/>
  <c r="E420" i="31"/>
  <c r="F420" i="31"/>
  <c r="G420" i="31"/>
  <c r="B419" i="31"/>
  <c r="C419" i="31"/>
  <c r="D419" i="31"/>
  <c r="E419" i="31"/>
  <c r="F419" i="31"/>
  <c r="G419" i="31"/>
  <c r="B418" i="31"/>
  <c r="C418" i="31"/>
  <c r="D418" i="31"/>
  <c r="E418" i="31"/>
  <c r="F418" i="31"/>
  <c r="G418" i="31"/>
  <c r="B417" i="31"/>
  <c r="C417" i="31"/>
  <c r="D417" i="31"/>
  <c r="E417" i="31"/>
  <c r="F417" i="31"/>
  <c r="G417" i="31"/>
  <c r="B416" i="31"/>
  <c r="C416" i="31"/>
  <c r="D416" i="31"/>
  <c r="E416" i="31"/>
  <c r="F416" i="31"/>
  <c r="G416" i="31"/>
  <c r="B415" i="31"/>
  <c r="C415" i="31"/>
  <c r="D415" i="31"/>
  <c r="E415" i="31"/>
  <c r="F415" i="31"/>
  <c r="G415" i="31"/>
  <c r="B414" i="31"/>
  <c r="C414" i="31"/>
  <c r="D414" i="31"/>
  <c r="E414" i="31"/>
  <c r="F414" i="31"/>
  <c r="G414" i="31"/>
  <c r="B413" i="31"/>
  <c r="C413" i="31"/>
  <c r="D413" i="31"/>
  <c r="E413" i="31"/>
  <c r="F413" i="31"/>
  <c r="G413" i="31"/>
  <c r="B412" i="31"/>
  <c r="C412" i="31"/>
  <c r="D412" i="31"/>
  <c r="E412" i="31"/>
  <c r="F412" i="31"/>
  <c r="G412" i="31"/>
  <c r="B411" i="31"/>
  <c r="C411" i="31"/>
  <c r="D411" i="31"/>
  <c r="E411" i="31"/>
  <c r="F411" i="31"/>
  <c r="G411" i="31"/>
  <c r="B410" i="31"/>
  <c r="C410" i="31"/>
  <c r="D410" i="31"/>
  <c r="E410" i="31"/>
  <c r="F410" i="31"/>
  <c r="G410" i="31"/>
  <c r="B409" i="31"/>
  <c r="C409" i="31"/>
  <c r="D409" i="31"/>
  <c r="E409" i="31"/>
  <c r="F409" i="31"/>
  <c r="G409" i="31"/>
  <c r="B408" i="31"/>
  <c r="C408" i="31"/>
  <c r="D408" i="31"/>
  <c r="E408" i="31"/>
  <c r="F408" i="31"/>
  <c r="G408" i="31"/>
  <c r="B407" i="31"/>
  <c r="C407" i="31"/>
  <c r="D407" i="31"/>
  <c r="E407" i="31"/>
  <c r="F407" i="31"/>
  <c r="G407" i="31"/>
  <c r="B406" i="31"/>
  <c r="C406" i="31"/>
  <c r="D406" i="31"/>
  <c r="E406" i="31"/>
  <c r="F406" i="31"/>
  <c r="G406" i="31"/>
  <c r="B405" i="31"/>
  <c r="C405" i="31"/>
  <c r="D405" i="31"/>
  <c r="E405" i="31"/>
  <c r="F405" i="31"/>
  <c r="G405" i="31"/>
  <c r="B404" i="31"/>
  <c r="C404" i="31"/>
  <c r="D404" i="31"/>
  <c r="E404" i="31"/>
  <c r="F404" i="31"/>
  <c r="G404" i="31"/>
  <c r="B403" i="31"/>
  <c r="C403" i="31"/>
  <c r="D403" i="31"/>
  <c r="E403" i="31"/>
  <c r="F403" i="31"/>
  <c r="G403" i="31"/>
  <c r="B402" i="31"/>
  <c r="C402" i="31"/>
  <c r="D402" i="31"/>
  <c r="E402" i="31"/>
  <c r="F402" i="31"/>
  <c r="G402" i="31"/>
  <c r="B401" i="31"/>
  <c r="C401" i="31"/>
  <c r="D401" i="31"/>
  <c r="E401" i="31"/>
  <c r="F401" i="31"/>
  <c r="G401" i="31"/>
  <c r="B400" i="31"/>
  <c r="C400" i="31"/>
  <c r="D400" i="31"/>
  <c r="E400" i="31"/>
  <c r="F400" i="31"/>
  <c r="G400" i="31"/>
  <c r="B399" i="31"/>
  <c r="C399" i="31"/>
  <c r="D399" i="31"/>
  <c r="E399" i="31"/>
  <c r="F399" i="31"/>
  <c r="G399" i="31"/>
  <c r="B398" i="31"/>
  <c r="C398" i="31"/>
  <c r="D398" i="31"/>
  <c r="E398" i="31"/>
  <c r="F398" i="31"/>
  <c r="G398" i="31"/>
  <c r="B397" i="31"/>
  <c r="C397" i="31"/>
  <c r="D397" i="31"/>
  <c r="E397" i="31"/>
  <c r="F397" i="31"/>
  <c r="G397" i="31"/>
  <c r="B396" i="31"/>
  <c r="C396" i="31"/>
  <c r="D396" i="31"/>
  <c r="E396" i="31"/>
  <c r="F396" i="31"/>
  <c r="G396" i="31"/>
  <c r="B395" i="31"/>
  <c r="C395" i="31"/>
  <c r="D395" i="31"/>
  <c r="E395" i="31"/>
  <c r="F395" i="31"/>
  <c r="G395" i="31"/>
  <c r="B394" i="31"/>
  <c r="C394" i="31"/>
  <c r="D394" i="31"/>
  <c r="E394" i="31"/>
  <c r="F394" i="31"/>
  <c r="G394" i="31"/>
  <c r="B393" i="31"/>
  <c r="C393" i="31"/>
  <c r="D393" i="31"/>
  <c r="E393" i="31"/>
  <c r="F393" i="31"/>
  <c r="G393" i="31"/>
  <c r="B392" i="31"/>
  <c r="C392" i="31"/>
  <c r="D392" i="31"/>
  <c r="E392" i="31"/>
  <c r="F392" i="31"/>
  <c r="G392" i="31"/>
  <c r="B391" i="31"/>
  <c r="C391" i="31"/>
  <c r="D391" i="31"/>
  <c r="E391" i="31"/>
  <c r="F391" i="31"/>
  <c r="G391" i="31"/>
  <c r="B390" i="31"/>
  <c r="C390" i="31"/>
  <c r="D390" i="31"/>
  <c r="E390" i="31"/>
  <c r="F390" i="31"/>
  <c r="G390" i="31"/>
  <c r="B389" i="31"/>
  <c r="C389" i="31"/>
  <c r="D389" i="31"/>
  <c r="E389" i="31"/>
  <c r="F389" i="31"/>
  <c r="G389" i="31"/>
  <c r="B388" i="31"/>
  <c r="C388" i="31"/>
  <c r="D388" i="31"/>
  <c r="E388" i="31"/>
  <c r="F388" i="31"/>
  <c r="G388" i="31"/>
  <c r="B387" i="31"/>
  <c r="C387" i="31"/>
  <c r="D387" i="31"/>
  <c r="E387" i="31"/>
  <c r="F387" i="31"/>
  <c r="G387" i="31"/>
  <c r="B386" i="31"/>
  <c r="C386" i="31"/>
  <c r="D386" i="31"/>
  <c r="E386" i="31"/>
  <c r="F386" i="31"/>
  <c r="G386" i="31"/>
  <c r="B385" i="31"/>
  <c r="C385" i="31"/>
  <c r="D385" i="31"/>
  <c r="E385" i="31"/>
  <c r="F385" i="31"/>
  <c r="G385" i="31"/>
  <c r="B384" i="31"/>
  <c r="C384" i="31"/>
  <c r="D384" i="31"/>
  <c r="E384" i="31"/>
  <c r="F384" i="31"/>
  <c r="G384" i="31"/>
  <c r="B383" i="31"/>
  <c r="C383" i="31"/>
  <c r="D383" i="31"/>
  <c r="E383" i="31"/>
  <c r="F383" i="31"/>
  <c r="G383" i="31"/>
  <c r="B382" i="31"/>
  <c r="C382" i="31"/>
  <c r="D382" i="31"/>
  <c r="E382" i="31"/>
  <c r="F382" i="31"/>
  <c r="G382" i="31"/>
  <c r="B381" i="31"/>
  <c r="C381" i="31"/>
  <c r="D381" i="31"/>
  <c r="E381" i="31"/>
  <c r="F381" i="31"/>
  <c r="G381" i="31"/>
  <c r="B380" i="31"/>
  <c r="C380" i="31"/>
  <c r="D380" i="31"/>
  <c r="E380" i="31"/>
  <c r="F380" i="31"/>
  <c r="G380" i="31"/>
  <c r="B379" i="31"/>
  <c r="C379" i="31"/>
  <c r="D379" i="31"/>
  <c r="E379" i="31"/>
  <c r="F379" i="31"/>
  <c r="G379" i="31"/>
  <c r="B378" i="31"/>
  <c r="C378" i="31"/>
  <c r="D378" i="31"/>
  <c r="E378" i="31"/>
  <c r="F378" i="31"/>
  <c r="G378" i="31"/>
  <c r="B377" i="31"/>
  <c r="C377" i="31"/>
  <c r="D377" i="31"/>
  <c r="E377" i="31"/>
  <c r="F377" i="31"/>
  <c r="G377" i="31"/>
  <c r="B376" i="31"/>
  <c r="C376" i="31"/>
  <c r="D376" i="31"/>
  <c r="E376" i="31"/>
  <c r="F376" i="31"/>
  <c r="G376" i="31"/>
  <c r="B375" i="31"/>
  <c r="C375" i="31"/>
  <c r="D375" i="31"/>
  <c r="E375" i="31"/>
  <c r="F375" i="31"/>
  <c r="G375" i="31"/>
  <c r="B374" i="31"/>
  <c r="C374" i="31"/>
  <c r="D374" i="31"/>
  <c r="E374" i="31"/>
  <c r="F374" i="31"/>
  <c r="G374" i="31"/>
  <c r="B373" i="31"/>
  <c r="C373" i="31"/>
  <c r="D373" i="31"/>
  <c r="E373" i="31"/>
  <c r="F373" i="31"/>
  <c r="G373" i="31"/>
  <c r="B372" i="31"/>
  <c r="C372" i="31"/>
  <c r="D372" i="31"/>
  <c r="E372" i="31"/>
  <c r="F372" i="31"/>
  <c r="G372" i="31"/>
  <c r="B371" i="31"/>
  <c r="C371" i="31"/>
  <c r="D371" i="31"/>
  <c r="E371" i="31"/>
  <c r="F371" i="31"/>
  <c r="G371" i="31"/>
  <c r="B370" i="31"/>
  <c r="C370" i="31"/>
  <c r="D370" i="31"/>
  <c r="E370" i="31"/>
  <c r="F370" i="31"/>
  <c r="G370" i="31"/>
  <c r="B369" i="31"/>
  <c r="C369" i="31"/>
  <c r="D369" i="31"/>
  <c r="E369" i="31"/>
  <c r="F369" i="31"/>
  <c r="G369" i="31"/>
  <c r="B368" i="31"/>
  <c r="C368" i="31"/>
  <c r="D368" i="31"/>
  <c r="E368" i="31"/>
  <c r="F368" i="31"/>
  <c r="G368" i="31"/>
  <c r="B367" i="31"/>
  <c r="C367" i="31"/>
  <c r="D367" i="31"/>
  <c r="E367" i="31"/>
  <c r="F367" i="31"/>
  <c r="G367" i="31"/>
  <c r="B366" i="31"/>
  <c r="C366" i="31"/>
  <c r="D366" i="31"/>
  <c r="E366" i="31"/>
  <c r="F366" i="31"/>
  <c r="G366" i="31"/>
  <c r="B365" i="31"/>
  <c r="C365" i="31"/>
  <c r="D365" i="31"/>
  <c r="E365" i="31"/>
  <c r="F365" i="31"/>
  <c r="G365" i="31"/>
  <c r="B364" i="31"/>
  <c r="C364" i="31"/>
  <c r="D364" i="31"/>
  <c r="E364" i="31"/>
  <c r="F364" i="31"/>
  <c r="G364" i="31"/>
  <c r="B363" i="31"/>
  <c r="C363" i="31"/>
  <c r="D363" i="31"/>
  <c r="E363" i="31"/>
  <c r="F363" i="31"/>
  <c r="G363" i="31"/>
  <c r="B362" i="31"/>
  <c r="C362" i="31"/>
  <c r="D362" i="31"/>
  <c r="E362" i="31"/>
  <c r="F362" i="31"/>
  <c r="G362" i="31"/>
  <c r="B361" i="31"/>
  <c r="C361" i="31"/>
  <c r="D361" i="31"/>
  <c r="E361" i="31"/>
  <c r="F361" i="31"/>
  <c r="G361" i="31"/>
  <c r="B360" i="31"/>
  <c r="C360" i="31"/>
  <c r="D360" i="31"/>
  <c r="E360" i="31"/>
  <c r="F360" i="31"/>
  <c r="G360" i="31"/>
  <c r="B359" i="31"/>
  <c r="C359" i="31"/>
  <c r="D359" i="31"/>
  <c r="E359" i="31"/>
  <c r="F359" i="31"/>
  <c r="G359" i="31"/>
  <c r="B358" i="31"/>
  <c r="C358" i="31"/>
  <c r="D358" i="31"/>
  <c r="E358" i="31"/>
  <c r="F358" i="31"/>
  <c r="G358" i="31"/>
  <c r="B357" i="31"/>
  <c r="C357" i="31"/>
  <c r="D357" i="31"/>
  <c r="E357" i="31"/>
  <c r="F357" i="31"/>
  <c r="G357" i="31"/>
  <c r="B356" i="31"/>
  <c r="C356" i="31"/>
  <c r="D356" i="31"/>
  <c r="E356" i="31"/>
  <c r="F356" i="31"/>
  <c r="G356" i="31"/>
  <c r="B355" i="31"/>
  <c r="C355" i="31"/>
  <c r="D355" i="31"/>
  <c r="E355" i="31"/>
  <c r="F355" i="31"/>
  <c r="G355" i="31"/>
  <c r="B354" i="31"/>
  <c r="C354" i="31"/>
  <c r="D354" i="31"/>
  <c r="E354" i="31"/>
  <c r="F354" i="31"/>
  <c r="G354" i="31"/>
  <c r="B353" i="31"/>
  <c r="C353" i="31"/>
  <c r="D353" i="31"/>
  <c r="E353" i="31"/>
  <c r="F353" i="31"/>
  <c r="G353" i="31"/>
  <c r="B352" i="31"/>
  <c r="C352" i="31"/>
  <c r="D352" i="31"/>
  <c r="E352" i="31"/>
  <c r="F352" i="31"/>
  <c r="G352" i="31"/>
  <c r="B351" i="31"/>
  <c r="C351" i="31"/>
  <c r="D351" i="31"/>
  <c r="E351" i="31"/>
  <c r="F351" i="31"/>
  <c r="G351" i="31"/>
  <c r="B350" i="31"/>
  <c r="C350" i="31"/>
  <c r="D350" i="31"/>
  <c r="E350" i="31"/>
  <c r="F350" i="31"/>
  <c r="G350" i="31"/>
  <c r="B349" i="31"/>
  <c r="C349" i="31"/>
  <c r="D349" i="31"/>
  <c r="E349" i="31"/>
  <c r="F349" i="31"/>
  <c r="G349" i="31"/>
  <c r="B348" i="31"/>
  <c r="C348" i="31"/>
  <c r="D348" i="31"/>
  <c r="E348" i="31"/>
  <c r="F348" i="31"/>
  <c r="G348" i="31"/>
  <c r="B347" i="31"/>
  <c r="C347" i="31"/>
  <c r="D347" i="31"/>
  <c r="E347" i="31"/>
  <c r="F347" i="31"/>
  <c r="G347" i="31"/>
  <c r="B346" i="31"/>
  <c r="C346" i="31"/>
  <c r="D346" i="31"/>
  <c r="E346" i="31"/>
  <c r="F346" i="31"/>
  <c r="G346" i="31"/>
  <c r="B345" i="31"/>
  <c r="C345" i="31"/>
  <c r="D345" i="31"/>
  <c r="E345" i="31"/>
  <c r="F345" i="31"/>
  <c r="G345" i="31"/>
  <c r="B344" i="31"/>
  <c r="C344" i="31"/>
  <c r="D344" i="31"/>
  <c r="E344" i="31"/>
  <c r="F344" i="31"/>
  <c r="G344" i="31"/>
  <c r="B343" i="31"/>
  <c r="C343" i="31"/>
  <c r="D343" i="31"/>
  <c r="E343" i="31"/>
  <c r="F343" i="31"/>
  <c r="G343" i="31"/>
  <c r="B342" i="31"/>
  <c r="C342" i="31"/>
  <c r="D342" i="31"/>
  <c r="E342" i="31"/>
  <c r="F342" i="31"/>
  <c r="G342" i="31"/>
  <c r="B341" i="31"/>
  <c r="C341" i="31"/>
  <c r="D341" i="31"/>
  <c r="E341" i="31"/>
  <c r="F341" i="31"/>
  <c r="G341" i="31"/>
  <c r="B340" i="31"/>
  <c r="C340" i="31"/>
  <c r="D340" i="31"/>
  <c r="E340" i="31"/>
  <c r="F340" i="31"/>
  <c r="G340" i="31"/>
  <c r="B339" i="31"/>
  <c r="C339" i="31"/>
  <c r="D339" i="31"/>
  <c r="E339" i="31"/>
  <c r="F339" i="31"/>
  <c r="G339" i="31"/>
  <c r="B338" i="31"/>
  <c r="C338" i="31"/>
  <c r="D338" i="31"/>
  <c r="E338" i="31"/>
  <c r="F338" i="31"/>
  <c r="G338" i="31"/>
  <c r="B337" i="31"/>
  <c r="C337" i="31"/>
  <c r="D337" i="31"/>
  <c r="E337" i="31"/>
  <c r="F337" i="31"/>
  <c r="G337" i="31"/>
  <c r="B336" i="31"/>
  <c r="C336" i="31"/>
  <c r="D336" i="31"/>
  <c r="E336" i="31"/>
  <c r="F336" i="31"/>
  <c r="G336" i="31"/>
  <c r="B335" i="31"/>
  <c r="C335" i="31"/>
  <c r="D335" i="31"/>
  <c r="E335" i="31"/>
  <c r="F335" i="31"/>
  <c r="G335" i="31"/>
  <c r="B334" i="31"/>
  <c r="C334" i="31"/>
  <c r="D334" i="31"/>
  <c r="E334" i="31"/>
  <c r="F334" i="31"/>
  <c r="G334" i="31"/>
  <c r="B333" i="31"/>
  <c r="C333" i="31"/>
  <c r="D333" i="31"/>
  <c r="E333" i="31"/>
  <c r="F333" i="31"/>
  <c r="G333" i="31"/>
  <c r="B332" i="31"/>
  <c r="C332" i="31"/>
  <c r="D332" i="31"/>
  <c r="E332" i="31"/>
  <c r="F332" i="31"/>
  <c r="G332" i="31"/>
  <c r="B331" i="31"/>
  <c r="C331" i="31"/>
  <c r="D331" i="31"/>
  <c r="E331" i="31"/>
  <c r="F331" i="31"/>
  <c r="G331" i="31"/>
  <c r="B330" i="31"/>
  <c r="C330" i="31"/>
  <c r="D330" i="31"/>
  <c r="E330" i="31"/>
  <c r="F330" i="31"/>
  <c r="G330" i="31"/>
  <c r="B329" i="31"/>
  <c r="C329" i="31"/>
  <c r="D329" i="31"/>
  <c r="E329" i="31"/>
  <c r="F329" i="31"/>
  <c r="G329" i="31"/>
  <c r="B328" i="31"/>
  <c r="C328" i="31"/>
  <c r="D328" i="31"/>
  <c r="E328" i="31"/>
  <c r="F328" i="31"/>
  <c r="G328" i="31"/>
  <c r="B327" i="31"/>
  <c r="C327" i="31"/>
  <c r="D327" i="31"/>
  <c r="E327" i="31"/>
  <c r="F327" i="31"/>
  <c r="G327" i="31"/>
  <c r="B326" i="31"/>
  <c r="C326" i="31"/>
  <c r="D326" i="31"/>
  <c r="E326" i="31"/>
  <c r="F326" i="31"/>
  <c r="G326" i="31"/>
  <c r="B325" i="31"/>
  <c r="C325" i="31"/>
  <c r="D325" i="31"/>
  <c r="E325" i="31"/>
  <c r="F325" i="31"/>
  <c r="G325" i="31"/>
  <c r="B324" i="31"/>
  <c r="C324" i="31"/>
  <c r="D324" i="31"/>
  <c r="E324" i="31"/>
  <c r="F324" i="31"/>
  <c r="G324" i="31"/>
  <c r="B323" i="31"/>
  <c r="C323" i="31"/>
  <c r="D323" i="31"/>
  <c r="E323" i="31"/>
  <c r="F323" i="31"/>
  <c r="G323" i="31"/>
  <c r="B322" i="31"/>
  <c r="C322" i="31"/>
  <c r="D322" i="31"/>
  <c r="E322" i="31"/>
  <c r="F322" i="31"/>
  <c r="G322" i="31"/>
  <c r="B321" i="31"/>
  <c r="C321" i="31"/>
  <c r="D321" i="31"/>
  <c r="E321" i="31"/>
  <c r="F321" i="31"/>
  <c r="G321" i="31"/>
  <c r="B320" i="31"/>
  <c r="C320" i="31"/>
  <c r="D320" i="31"/>
  <c r="E320" i="31"/>
  <c r="F320" i="31"/>
  <c r="G320" i="31"/>
  <c r="B319" i="31"/>
  <c r="C319" i="31"/>
  <c r="D319" i="31"/>
  <c r="E319" i="31"/>
  <c r="F319" i="31"/>
  <c r="G319" i="31"/>
  <c r="B318" i="31"/>
  <c r="C318" i="31"/>
  <c r="D318" i="31"/>
  <c r="E318" i="31"/>
  <c r="F318" i="31"/>
  <c r="G318" i="31"/>
  <c r="B317" i="31"/>
  <c r="C317" i="31"/>
  <c r="D317" i="31"/>
  <c r="E317" i="31"/>
  <c r="F317" i="31"/>
  <c r="G317" i="31"/>
  <c r="B316" i="31"/>
  <c r="C316" i="31"/>
  <c r="D316" i="31"/>
  <c r="E316" i="31"/>
  <c r="F316" i="31"/>
  <c r="G316" i="31"/>
  <c r="B315" i="31"/>
  <c r="C315" i="31"/>
  <c r="D315" i="31"/>
  <c r="E315" i="31"/>
  <c r="F315" i="31"/>
  <c r="G315" i="31"/>
  <c r="B314" i="31"/>
  <c r="C314" i="31"/>
  <c r="D314" i="31"/>
  <c r="E314" i="31"/>
  <c r="F314" i="31"/>
  <c r="G314" i="31"/>
  <c r="B313" i="31"/>
  <c r="C313" i="31"/>
  <c r="D313" i="31"/>
  <c r="E313" i="31"/>
  <c r="F313" i="31"/>
  <c r="G313" i="31"/>
  <c r="B312" i="31"/>
  <c r="C312" i="31"/>
  <c r="D312" i="31"/>
  <c r="E312" i="31"/>
  <c r="F312" i="31"/>
  <c r="G312" i="31"/>
  <c r="B311" i="31"/>
  <c r="C311" i="31"/>
  <c r="D311" i="31"/>
  <c r="E311" i="31"/>
  <c r="F311" i="31"/>
  <c r="G311" i="31"/>
  <c r="B310" i="31"/>
  <c r="C310" i="31"/>
  <c r="D310" i="31"/>
  <c r="E310" i="31"/>
  <c r="F310" i="31"/>
  <c r="G310" i="31"/>
  <c r="B309" i="31"/>
  <c r="C309" i="31"/>
  <c r="D309" i="31"/>
  <c r="E309" i="31"/>
  <c r="F309" i="31"/>
  <c r="G309" i="31"/>
  <c r="B308" i="31"/>
  <c r="C308" i="31"/>
  <c r="D308" i="31"/>
  <c r="E308" i="31"/>
  <c r="F308" i="31"/>
  <c r="G308" i="31"/>
  <c r="B307" i="31"/>
  <c r="C307" i="31"/>
  <c r="D307" i="31"/>
  <c r="E307" i="31"/>
  <c r="F307" i="31"/>
  <c r="G307" i="31"/>
  <c r="B306" i="31"/>
  <c r="C306" i="31"/>
  <c r="D306" i="31"/>
  <c r="E306" i="31"/>
  <c r="F306" i="31"/>
  <c r="G306" i="31"/>
  <c r="B305" i="31"/>
  <c r="C305" i="31"/>
  <c r="D305" i="31"/>
  <c r="E305" i="31"/>
  <c r="F305" i="31"/>
  <c r="G305" i="31"/>
  <c r="B304" i="31"/>
  <c r="C304" i="31"/>
  <c r="D304" i="31"/>
  <c r="E304" i="31"/>
  <c r="F304" i="31"/>
  <c r="G304" i="31"/>
  <c r="B303" i="31"/>
  <c r="C303" i="31"/>
  <c r="D303" i="31"/>
  <c r="E303" i="31"/>
  <c r="F303" i="31"/>
  <c r="G303" i="31"/>
  <c r="B302" i="31"/>
  <c r="C302" i="31"/>
  <c r="D302" i="31"/>
  <c r="E302" i="31"/>
  <c r="F302" i="31"/>
  <c r="G302" i="31"/>
  <c r="B301" i="31"/>
  <c r="C301" i="31"/>
  <c r="D301" i="31"/>
  <c r="E301" i="31"/>
  <c r="F301" i="31"/>
  <c r="G301" i="31"/>
  <c r="B300" i="31"/>
  <c r="C300" i="31"/>
  <c r="D300" i="31"/>
  <c r="E300" i="31"/>
  <c r="F300" i="31"/>
  <c r="G300" i="31"/>
  <c r="B299" i="31"/>
  <c r="C299" i="31"/>
  <c r="D299" i="31"/>
  <c r="E299" i="31"/>
  <c r="F299" i="31"/>
  <c r="G299" i="31"/>
  <c r="B298" i="31"/>
  <c r="C298" i="31"/>
  <c r="D298" i="31"/>
  <c r="E298" i="31"/>
  <c r="F298" i="31"/>
  <c r="G298" i="31"/>
  <c r="B297" i="31"/>
  <c r="C297" i="31"/>
  <c r="D297" i="31"/>
  <c r="E297" i="31"/>
  <c r="F297" i="31"/>
  <c r="G297" i="31"/>
  <c r="B296" i="31"/>
  <c r="C296" i="31"/>
  <c r="D296" i="31"/>
  <c r="E296" i="31"/>
  <c r="F296" i="31"/>
  <c r="G296" i="31"/>
  <c r="B295" i="31"/>
  <c r="C295" i="31"/>
  <c r="D295" i="31"/>
  <c r="E295" i="31"/>
  <c r="F295" i="31"/>
  <c r="G295" i="31"/>
  <c r="B294" i="31"/>
  <c r="C294" i="31"/>
  <c r="D294" i="31"/>
  <c r="E294" i="31"/>
  <c r="F294" i="31"/>
  <c r="G294" i="31"/>
  <c r="B293" i="31"/>
  <c r="C293" i="31"/>
  <c r="D293" i="31"/>
  <c r="E293" i="31"/>
  <c r="F293" i="31"/>
  <c r="G293" i="31"/>
  <c r="B292" i="31"/>
  <c r="C292" i="31"/>
  <c r="D292" i="31"/>
  <c r="E292" i="31"/>
  <c r="F292" i="31"/>
  <c r="G292" i="31"/>
  <c r="B291" i="31"/>
  <c r="C291" i="31"/>
  <c r="D291" i="31"/>
  <c r="E291" i="31"/>
  <c r="F291" i="31"/>
  <c r="G291" i="31"/>
  <c r="B290" i="31"/>
  <c r="C290" i="31"/>
  <c r="D290" i="31"/>
  <c r="E290" i="31"/>
  <c r="F290" i="31"/>
  <c r="G290" i="31"/>
  <c r="B289" i="31"/>
  <c r="C289" i="31"/>
  <c r="D289" i="31"/>
  <c r="E289" i="31"/>
  <c r="F289" i="31"/>
  <c r="G289" i="31"/>
  <c r="B288" i="31"/>
  <c r="C288" i="31"/>
  <c r="D288" i="31"/>
  <c r="E288" i="31"/>
  <c r="F288" i="31"/>
  <c r="G288" i="31"/>
  <c r="B287" i="31"/>
  <c r="C287" i="31"/>
  <c r="D287" i="31"/>
  <c r="E287" i="31"/>
  <c r="F287" i="31"/>
  <c r="G287" i="31"/>
  <c r="B286" i="31"/>
  <c r="C286" i="31"/>
  <c r="D286" i="31"/>
  <c r="E286" i="31"/>
  <c r="F286" i="31"/>
  <c r="G286" i="31"/>
  <c r="B285" i="31"/>
  <c r="C285" i="31"/>
  <c r="D285" i="31"/>
  <c r="E285" i="31"/>
  <c r="F285" i="31"/>
  <c r="G285" i="31"/>
  <c r="B284" i="31"/>
  <c r="C284" i="31"/>
  <c r="D284" i="31"/>
  <c r="E284" i="31"/>
  <c r="F284" i="31"/>
  <c r="G284" i="31"/>
  <c r="B283" i="31"/>
  <c r="C283" i="31"/>
  <c r="D283" i="31"/>
  <c r="E283" i="31"/>
  <c r="F283" i="31"/>
  <c r="G283" i="31"/>
  <c r="B282" i="31"/>
  <c r="C282" i="31"/>
  <c r="D282" i="31"/>
  <c r="E282" i="31"/>
  <c r="F282" i="31"/>
  <c r="G282" i="31"/>
  <c r="B281" i="31"/>
  <c r="C281" i="31"/>
  <c r="D281" i="31"/>
  <c r="E281" i="31"/>
  <c r="F281" i="31"/>
  <c r="G281" i="31"/>
  <c r="B280" i="31"/>
  <c r="C280" i="31"/>
  <c r="D280" i="31"/>
  <c r="E280" i="31"/>
  <c r="F280" i="31"/>
  <c r="G280" i="31"/>
  <c r="B279" i="31"/>
  <c r="C279" i="31"/>
  <c r="D279" i="31"/>
  <c r="E279" i="31"/>
  <c r="F279" i="31"/>
  <c r="G279" i="31"/>
  <c r="B278" i="31"/>
  <c r="C278" i="31"/>
  <c r="D278" i="31"/>
  <c r="E278" i="31"/>
  <c r="F278" i="31"/>
  <c r="G278" i="31"/>
  <c r="B277" i="31"/>
  <c r="C277" i="31"/>
  <c r="D277" i="31"/>
  <c r="E277" i="31"/>
  <c r="F277" i="31"/>
  <c r="G277" i="31"/>
  <c r="B276" i="31"/>
  <c r="C276" i="31"/>
  <c r="D276" i="31"/>
  <c r="E276" i="31"/>
  <c r="F276" i="31"/>
  <c r="G276" i="31"/>
  <c r="B275" i="31"/>
  <c r="C275" i="31"/>
  <c r="D275" i="31"/>
  <c r="E275" i="31"/>
  <c r="F275" i="31"/>
  <c r="G275" i="31"/>
  <c r="B274" i="31"/>
  <c r="C274" i="31"/>
  <c r="D274" i="31"/>
  <c r="E274" i="31"/>
  <c r="F274" i="31"/>
  <c r="G274" i="31"/>
  <c r="B273" i="31"/>
  <c r="C273" i="31"/>
  <c r="D273" i="31"/>
  <c r="E273" i="31"/>
  <c r="F273" i="31"/>
  <c r="G273" i="31"/>
  <c r="B272" i="31"/>
  <c r="C272" i="31"/>
  <c r="D272" i="31"/>
  <c r="E272" i="31"/>
  <c r="F272" i="31"/>
  <c r="G272" i="31"/>
  <c r="B271" i="31"/>
  <c r="C271" i="31"/>
  <c r="D271" i="31"/>
  <c r="E271" i="31"/>
  <c r="F271" i="31"/>
  <c r="G271" i="31"/>
  <c r="B270" i="31"/>
  <c r="C270" i="31"/>
  <c r="D270" i="31"/>
  <c r="E270" i="31"/>
  <c r="F270" i="31"/>
  <c r="G270" i="31"/>
  <c r="B269" i="31"/>
  <c r="C269" i="31"/>
  <c r="D269" i="31"/>
  <c r="E269" i="31"/>
  <c r="F269" i="31"/>
  <c r="G269" i="31"/>
  <c r="B268" i="31"/>
  <c r="C268" i="31"/>
  <c r="D268" i="31"/>
  <c r="E268" i="31"/>
  <c r="F268" i="31"/>
  <c r="G268" i="31"/>
  <c r="B267" i="31"/>
  <c r="C267" i="31"/>
  <c r="D267" i="31"/>
  <c r="E267" i="31"/>
  <c r="F267" i="31"/>
  <c r="G267" i="31"/>
  <c r="B266" i="31"/>
  <c r="C266" i="31"/>
  <c r="D266" i="31"/>
  <c r="E266" i="31"/>
  <c r="F266" i="31"/>
  <c r="G266" i="31"/>
  <c r="B265" i="31"/>
  <c r="C265" i="31"/>
  <c r="D265" i="31"/>
  <c r="E265" i="31"/>
  <c r="F265" i="31"/>
  <c r="G265" i="31"/>
  <c r="B264" i="31"/>
  <c r="C264" i="31"/>
  <c r="D264" i="31"/>
  <c r="E264" i="31"/>
  <c r="F264" i="31"/>
  <c r="G264" i="31"/>
  <c r="B263" i="31"/>
  <c r="C263" i="31"/>
  <c r="D263" i="31"/>
  <c r="E263" i="31"/>
  <c r="F263" i="31"/>
  <c r="G263" i="31"/>
  <c r="B262" i="31"/>
  <c r="C262" i="31"/>
  <c r="D262" i="31"/>
  <c r="E262" i="31"/>
  <c r="F262" i="31"/>
  <c r="G262" i="31"/>
  <c r="B261" i="31"/>
  <c r="C261" i="31"/>
  <c r="D261" i="31"/>
  <c r="E261" i="31"/>
  <c r="F261" i="31"/>
  <c r="G261" i="31"/>
  <c r="B260" i="31"/>
  <c r="C260" i="31"/>
  <c r="D260" i="31"/>
  <c r="E260" i="31"/>
  <c r="F260" i="31"/>
  <c r="G260" i="31"/>
  <c r="B259" i="31"/>
  <c r="C259" i="31"/>
  <c r="D259" i="31"/>
  <c r="E259" i="31"/>
  <c r="F259" i="31"/>
  <c r="G259" i="31"/>
  <c r="B258" i="31"/>
  <c r="C258" i="31"/>
  <c r="D258" i="31"/>
  <c r="E258" i="31"/>
  <c r="F258" i="31"/>
  <c r="G258" i="31"/>
  <c r="B257" i="31"/>
  <c r="C257" i="31"/>
  <c r="D257" i="31"/>
  <c r="E257" i="31"/>
  <c r="F257" i="31"/>
  <c r="G257" i="31"/>
  <c r="B256" i="31"/>
  <c r="C256" i="31"/>
  <c r="D256" i="31"/>
  <c r="E256" i="31"/>
  <c r="F256" i="31"/>
  <c r="G256" i="31"/>
  <c r="B255" i="31"/>
  <c r="C255" i="31"/>
  <c r="D255" i="31"/>
  <c r="E255" i="31"/>
  <c r="F255" i="31"/>
  <c r="G255" i="31"/>
  <c r="B254" i="31"/>
  <c r="C254" i="31"/>
  <c r="D254" i="31"/>
  <c r="E254" i="31"/>
  <c r="F254" i="31"/>
  <c r="G254" i="31"/>
  <c r="B253" i="31"/>
  <c r="C253" i="31"/>
  <c r="D253" i="31"/>
  <c r="E253" i="31"/>
  <c r="F253" i="31"/>
  <c r="G253" i="31"/>
  <c r="B252" i="31"/>
  <c r="C252" i="31"/>
  <c r="D252" i="31"/>
  <c r="E252" i="31"/>
  <c r="F252" i="31"/>
  <c r="G252" i="31"/>
  <c r="B251" i="31"/>
  <c r="C251" i="31"/>
  <c r="D251" i="31"/>
  <c r="E251" i="31"/>
  <c r="F251" i="31"/>
  <c r="G251" i="31"/>
  <c r="B250" i="31"/>
  <c r="C250" i="31"/>
  <c r="D250" i="31"/>
  <c r="E250" i="31"/>
  <c r="F250" i="31"/>
  <c r="G250" i="31"/>
  <c r="B249" i="31"/>
  <c r="C249" i="31"/>
  <c r="D249" i="31"/>
  <c r="E249" i="31"/>
  <c r="F249" i="31"/>
  <c r="G249" i="31"/>
  <c r="B248" i="31"/>
  <c r="C248" i="31"/>
  <c r="D248" i="31"/>
  <c r="E248" i="31"/>
  <c r="F248" i="31"/>
  <c r="G248" i="31"/>
  <c r="B247" i="31"/>
  <c r="C247" i="31"/>
  <c r="D247" i="31"/>
  <c r="E247" i="31"/>
  <c r="F247" i="31"/>
  <c r="G247" i="31"/>
  <c r="B246" i="31"/>
  <c r="C246" i="31"/>
  <c r="D246" i="31"/>
  <c r="E246" i="31"/>
  <c r="F246" i="31"/>
  <c r="G246" i="31"/>
  <c r="B245" i="31"/>
  <c r="C245" i="31"/>
  <c r="D245" i="31"/>
  <c r="E245" i="31"/>
  <c r="F245" i="31"/>
  <c r="G245" i="31"/>
  <c r="B244" i="31"/>
  <c r="C244" i="31"/>
  <c r="D244" i="31"/>
  <c r="E244" i="31"/>
  <c r="F244" i="31"/>
  <c r="G244" i="31"/>
  <c r="B243" i="31"/>
  <c r="C243" i="31"/>
  <c r="D243" i="31"/>
  <c r="E243" i="31"/>
  <c r="F243" i="31"/>
  <c r="G243" i="31"/>
  <c r="B242" i="31"/>
  <c r="C242" i="31"/>
  <c r="D242" i="31"/>
  <c r="E242" i="31"/>
  <c r="F242" i="31"/>
  <c r="G242" i="31"/>
  <c r="B241" i="31"/>
  <c r="C241" i="31"/>
  <c r="D241" i="31"/>
  <c r="E241" i="31"/>
  <c r="F241" i="31"/>
  <c r="G241" i="31"/>
  <c r="B240" i="31"/>
  <c r="C240" i="31"/>
  <c r="D240" i="31"/>
  <c r="E240" i="31"/>
  <c r="F240" i="31"/>
  <c r="G240" i="31"/>
  <c r="B239" i="31"/>
  <c r="C239" i="31"/>
  <c r="D239" i="31"/>
  <c r="E239" i="31"/>
  <c r="F239" i="31"/>
  <c r="G239" i="31"/>
  <c r="B238" i="31"/>
  <c r="C238" i="31"/>
  <c r="D238" i="31"/>
  <c r="E238" i="31"/>
  <c r="F238" i="31"/>
  <c r="G238" i="31"/>
  <c r="B237" i="31"/>
  <c r="C237" i="31"/>
  <c r="D237" i="31"/>
  <c r="E237" i="31"/>
  <c r="F237" i="31"/>
  <c r="G237" i="31"/>
  <c r="B236" i="31"/>
  <c r="C236" i="31"/>
  <c r="D236" i="31"/>
  <c r="E236" i="31"/>
  <c r="F236" i="31"/>
  <c r="G236" i="31"/>
  <c r="B235" i="31"/>
  <c r="C235" i="31"/>
  <c r="D235" i="31"/>
  <c r="E235" i="31"/>
  <c r="F235" i="31"/>
  <c r="G235" i="31"/>
  <c r="B234" i="31"/>
  <c r="C234" i="31"/>
  <c r="D234" i="31"/>
  <c r="E234" i="31"/>
  <c r="F234" i="31"/>
  <c r="G234" i="31"/>
  <c r="B233" i="31"/>
  <c r="C233" i="31"/>
  <c r="D233" i="31"/>
  <c r="E233" i="31"/>
  <c r="F233" i="31"/>
  <c r="G233" i="31"/>
  <c r="B232" i="31"/>
  <c r="C232" i="31"/>
  <c r="D232" i="31"/>
  <c r="E232" i="31"/>
  <c r="F232" i="31"/>
  <c r="G232" i="31"/>
  <c r="B231" i="31"/>
  <c r="C231" i="31"/>
  <c r="D231" i="31"/>
  <c r="E231" i="31"/>
  <c r="F231" i="31"/>
  <c r="G231" i="31"/>
  <c r="B230" i="31"/>
  <c r="C230" i="31"/>
  <c r="D230" i="31"/>
  <c r="E230" i="31"/>
  <c r="F230" i="31"/>
  <c r="G230" i="31"/>
  <c r="B229" i="31"/>
  <c r="C229" i="31"/>
  <c r="D229" i="31"/>
  <c r="E229" i="31"/>
  <c r="F229" i="31"/>
  <c r="G229" i="31"/>
  <c r="B228" i="31"/>
  <c r="C228" i="31"/>
  <c r="D228" i="31"/>
  <c r="E228" i="31"/>
  <c r="F228" i="31"/>
  <c r="G228" i="31"/>
  <c r="B227" i="31"/>
  <c r="C227" i="31"/>
  <c r="D227" i="31"/>
  <c r="E227" i="31"/>
  <c r="F227" i="31"/>
  <c r="G227" i="31"/>
  <c r="B226" i="31"/>
  <c r="C226" i="31"/>
  <c r="D226" i="31"/>
  <c r="E226" i="31"/>
  <c r="F226" i="31"/>
  <c r="G226" i="31"/>
  <c r="B225" i="31"/>
  <c r="C225" i="31"/>
  <c r="D225" i="31"/>
  <c r="E225" i="31"/>
  <c r="F225" i="31"/>
  <c r="G225" i="31"/>
  <c r="B224" i="31"/>
  <c r="C224" i="31"/>
  <c r="D224" i="31"/>
  <c r="E224" i="31"/>
  <c r="F224" i="31"/>
  <c r="G224" i="31"/>
  <c r="B223" i="31"/>
  <c r="C223" i="31"/>
  <c r="D223" i="31"/>
  <c r="E223" i="31"/>
  <c r="F223" i="31"/>
  <c r="G223" i="31"/>
  <c r="B222" i="31"/>
  <c r="C222" i="31"/>
  <c r="D222" i="31"/>
  <c r="E222" i="31"/>
  <c r="F222" i="31"/>
  <c r="G222" i="31"/>
  <c r="B221" i="31"/>
  <c r="C221" i="31"/>
  <c r="D221" i="31"/>
  <c r="E221" i="31"/>
  <c r="F221" i="31"/>
  <c r="G221" i="31"/>
  <c r="B220" i="31"/>
  <c r="C220" i="31"/>
  <c r="D220" i="31"/>
  <c r="E220" i="31"/>
  <c r="F220" i="31"/>
  <c r="G220" i="31"/>
  <c r="B219" i="31"/>
  <c r="C219" i="31"/>
  <c r="D219" i="31"/>
  <c r="E219" i="31"/>
  <c r="F219" i="31"/>
  <c r="G219" i="31"/>
  <c r="B218" i="31"/>
  <c r="C218" i="31"/>
  <c r="D218" i="31"/>
  <c r="E218" i="31"/>
  <c r="F218" i="31"/>
  <c r="G218" i="31"/>
  <c r="B217" i="31"/>
  <c r="C217" i="31"/>
  <c r="D217" i="31"/>
  <c r="E217" i="31"/>
  <c r="F217" i="31"/>
  <c r="G217" i="31"/>
  <c r="B216" i="31"/>
  <c r="C216" i="31"/>
  <c r="D216" i="31"/>
  <c r="E216" i="31"/>
  <c r="F216" i="31"/>
  <c r="G216" i="31"/>
  <c r="B215" i="31"/>
  <c r="C215" i="31"/>
  <c r="D215" i="31"/>
  <c r="E215" i="31"/>
  <c r="F215" i="31"/>
  <c r="G215" i="31"/>
  <c r="B214" i="31"/>
  <c r="C214" i="31"/>
  <c r="D214" i="31"/>
  <c r="E214" i="31"/>
  <c r="F214" i="31"/>
  <c r="G214" i="31"/>
  <c r="B213" i="31"/>
  <c r="C213" i="31"/>
  <c r="D213" i="31"/>
  <c r="E213" i="31"/>
  <c r="F213" i="31"/>
  <c r="G213" i="31"/>
  <c r="B212" i="31"/>
  <c r="C212" i="31"/>
  <c r="D212" i="31"/>
  <c r="E212" i="31"/>
  <c r="F212" i="31"/>
  <c r="G212" i="31"/>
  <c r="B211" i="31"/>
  <c r="C211" i="31"/>
  <c r="D211" i="31"/>
  <c r="E211" i="31"/>
  <c r="F211" i="31"/>
  <c r="G211" i="31"/>
  <c r="B210" i="31"/>
  <c r="C210" i="31"/>
  <c r="D210" i="31"/>
  <c r="E210" i="31"/>
  <c r="F210" i="31"/>
  <c r="G210" i="31"/>
  <c r="B209" i="31"/>
  <c r="C209" i="31"/>
  <c r="D209" i="31"/>
  <c r="E209" i="31"/>
  <c r="F209" i="31"/>
  <c r="G209" i="31"/>
  <c r="B208" i="31"/>
  <c r="C208" i="31"/>
  <c r="D208" i="31"/>
  <c r="E208" i="31"/>
  <c r="F208" i="31"/>
  <c r="G208" i="31"/>
  <c r="B207" i="31"/>
  <c r="C207" i="31"/>
  <c r="D207" i="31"/>
  <c r="E207" i="31"/>
  <c r="F207" i="31"/>
  <c r="G207" i="31"/>
  <c r="B206" i="31"/>
  <c r="C206" i="31"/>
  <c r="D206" i="31"/>
  <c r="E206" i="31"/>
  <c r="F206" i="31"/>
  <c r="G206" i="31"/>
  <c r="B205" i="31"/>
  <c r="C205" i="31"/>
  <c r="D205" i="31"/>
  <c r="E205" i="31"/>
  <c r="F205" i="31"/>
  <c r="G205" i="31"/>
  <c r="B204" i="31"/>
  <c r="C204" i="31"/>
  <c r="D204" i="31"/>
  <c r="E204" i="31"/>
  <c r="F204" i="31"/>
  <c r="G204" i="31"/>
  <c r="B203" i="31"/>
  <c r="C203" i="31"/>
  <c r="D203" i="31"/>
  <c r="E203" i="31"/>
  <c r="F203" i="31"/>
  <c r="G203" i="31"/>
  <c r="B202" i="31"/>
  <c r="C202" i="31"/>
  <c r="D202" i="31"/>
  <c r="E202" i="31"/>
  <c r="F202" i="31"/>
  <c r="G202" i="31"/>
  <c r="B201" i="31"/>
  <c r="C201" i="31"/>
  <c r="D201" i="31"/>
  <c r="E201" i="31"/>
  <c r="F201" i="31"/>
  <c r="G201" i="31"/>
  <c r="B200" i="31"/>
  <c r="C200" i="31"/>
  <c r="D200" i="31"/>
  <c r="E200" i="31"/>
  <c r="F200" i="31"/>
  <c r="G200" i="31"/>
  <c r="B199" i="31"/>
  <c r="C199" i="31"/>
  <c r="D199" i="31"/>
  <c r="E199" i="31"/>
  <c r="F199" i="31"/>
  <c r="G199" i="31"/>
  <c r="B198" i="31"/>
  <c r="C198" i="31"/>
  <c r="D198" i="31"/>
  <c r="E198" i="31"/>
  <c r="F198" i="31"/>
  <c r="G198" i="31"/>
  <c r="B197" i="31"/>
  <c r="C197" i="31"/>
  <c r="D197" i="31"/>
  <c r="E197" i="31"/>
  <c r="F197" i="31"/>
  <c r="G197" i="31"/>
  <c r="B196" i="31"/>
  <c r="C196" i="31"/>
  <c r="D196" i="31"/>
  <c r="E196" i="31"/>
  <c r="F196" i="31"/>
  <c r="G196" i="31"/>
  <c r="B195" i="31"/>
  <c r="C195" i="31"/>
  <c r="D195" i="31"/>
  <c r="E195" i="31"/>
  <c r="F195" i="31"/>
  <c r="G195" i="31"/>
  <c r="B194" i="31"/>
  <c r="C194" i="31"/>
  <c r="D194" i="31"/>
  <c r="E194" i="31"/>
  <c r="F194" i="31"/>
  <c r="G194" i="31"/>
  <c r="B193" i="31"/>
  <c r="C193" i="31"/>
  <c r="D193" i="31"/>
  <c r="E193" i="31"/>
  <c r="F193" i="31"/>
  <c r="G193" i="31"/>
  <c r="B192" i="31"/>
  <c r="C192" i="31"/>
  <c r="D192" i="31"/>
  <c r="E192" i="31"/>
  <c r="F192" i="31"/>
  <c r="G192" i="31"/>
  <c r="B191" i="31"/>
  <c r="C191" i="31"/>
  <c r="D191" i="31"/>
  <c r="E191" i="31"/>
  <c r="F191" i="31"/>
  <c r="G191" i="31"/>
  <c r="B190" i="31"/>
  <c r="C190" i="31"/>
  <c r="D190" i="31"/>
  <c r="E190" i="31"/>
  <c r="F190" i="31"/>
  <c r="G190" i="31"/>
  <c r="B189" i="31"/>
  <c r="C189" i="31"/>
  <c r="D189" i="31"/>
  <c r="E189" i="31"/>
  <c r="F189" i="31"/>
  <c r="G189" i="31"/>
  <c r="B188" i="31"/>
  <c r="C188" i="31"/>
  <c r="D188" i="31"/>
  <c r="E188" i="31"/>
  <c r="F188" i="31"/>
  <c r="G188" i="31"/>
  <c r="B187" i="31"/>
  <c r="C187" i="31"/>
  <c r="D187" i="31"/>
  <c r="E187" i="31"/>
  <c r="F187" i="31"/>
  <c r="G187" i="31"/>
  <c r="B186" i="31"/>
  <c r="C186" i="31"/>
  <c r="D186" i="31"/>
  <c r="E186" i="31"/>
  <c r="F186" i="31"/>
  <c r="G186" i="31"/>
  <c r="B185" i="31"/>
  <c r="C185" i="31"/>
  <c r="D185" i="31"/>
  <c r="E185" i="31"/>
  <c r="F185" i="31"/>
  <c r="G185" i="31"/>
  <c r="B184" i="31"/>
  <c r="C184" i="31"/>
  <c r="D184" i="31"/>
  <c r="E184" i="31"/>
  <c r="F184" i="31"/>
  <c r="G184" i="31"/>
  <c r="B183" i="31"/>
  <c r="C183" i="31"/>
  <c r="D183" i="31"/>
  <c r="E183" i="31"/>
  <c r="F183" i="31"/>
  <c r="G183" i="31"/>
  <c r="B182" i="31"/>
  <c r="C182" i="31"/>
  <c r="D182" i="31"/>
  <c r="E182" i="31"/>
  <c r="F182" i="31"/>
  <c r="G182" i="31"/>
  <c r="B181" i="31"/>
  <c r="C181" i="31"/>
  <c r="D181" i="31"/>
  <c r="E181" i="31"/>
  <c r="F181" i="31"/>
  <c r="G181" i="31"/>
  <c r="B180" i="31"/>
  <c r="C180" i="31"/>
  <c r="D180" i="31"/>
  <c r="E180" i="31"/>
  <c r="F180" i="31"/>
  <c r="G180" i="31"/>
  <c r="B179" i="31"/>
  <c r="C179" i="31"/>
  <c r="D179" i="31"/>
  <c r="E179" i="31"/>
  <c r="F179" i="31"/>
  <c r="G179" i="31"/>
  <c r="B178" i="31"/>
  <c r="C178" i="31"/>
  <c r="D178" i="31"/>
  <c r="E178" i="31"/>
  <c r="F178" i="31"/>
  <c r="G178" i="31"/>
  <c r="B177" i="31"/>
  <c r="C177" i="31"/>
  <c r="D177" i="31"/>
  <c r="E177" i="31"/>
  <c r="F177" i="31"/>
  <c r="G177" i="31"/>
  <c r="B176" i="31"/>
  <c r="C176" i="31"/>
  <c r="D176" i="31"/>
  <c r="E176" i="31"/>
  <c r="F176" i="31"/>
  <c r="G176" i="31"/>
  <c r="B175" i="31"/>
  <c r="C175" i="31"/>
  <c r="D175" i="31"/>
  <c r="E175" i="31"/>
  <c r="F175" i="31"/>
  <c r="G175" i="31"/>
  <c r="B174" i="31"/>
  <c r="C174" i="31"/>
  <c r="D174" i="31"/>
  <c r="E174" i="31"/>
  <c r="F174" i="31"/>
  <c r="G174" i="31"/>
  <c r="B173" i="31"/>
  <c r="C173" i="31"/>
  <c r="D173" i="31"/>
  <c r="E173" i="31"/>
  <c r="F173" i="31"/>
  <c r="G173" i="31"/>
  <c r="B172" i="31"/>
  <c r="C172" i="31"/>
  <c r="D172" i="31"/>
  <c r="E172" i="31"/>
  <c r="F172" i="31"/>
  <c r="G172" i="31"/>
  <c r="B171" i="31"/>
  <c r="C171" i="31"/>
  <c r="D171" i="31"/>
  <c r="E171" i="31"/>
  <c r="F171" i="31"/>
  <c r="G171" i="31"/>
  <c r="B170" i="31"/>
  <c r="C170" i="31"/>
  <c r="D170" i="31"/>
  <c r="E170" i="31"/>
  <c r="F170" i="31"/>
  <c r="G170" i="31"/>
  <c r="B169" i="31"/>
  <c r="C169" i="31"/>
  <c r="D169" i="31"/>
  <c r="E169" i="31"/>
  <c r="F169" i="31"/>
  <c r="G169" i="31"/>
  <c r="B168" i="31"/>
  <c r="C168" i="31"/>
  <c r="D168" i="31"/>
  <c r="E168" i="31"/>
  <c r="F168" i="31"/>
  <c r="G168" i="31"/>
  <c r="B167" i="31"/>
  <c r="C167" i="31"/>
  <c r="D167" i="31"/>
  <c r="E167" i="31"/>
  <c r="F167" i="31"/>
  <c r="G167" i="31"/>
  <c r="B166" i="31"/>
  <c r="C166" i="31"/>
  <c r="D166" i="31"/>
  <c r="E166" i="31"/>
  <c r="F166" i="31"/>
  <c r="G166" i="31"/>
  <c r="B165" i="31"/>
  <c r="C165" i="31"/>
  <c r="D165" i="31"/>
  <c r="E165" i="31"/>
  <c r="F165" i="31"/>
  <c r="G165" i="31"/>
  <c r="B164" i="31"/>
  <c r="C164" i="31"/>
  <c r="D164" i="31"/>
  <c r="E164" i="31"/>
  <c r="F164" i="31"/>
  <c r="G164" i="31"/>
  <c r="B163" i="31"/>
  <c r="C163" i="31"/>
  <c r="D163" i="31"/>
  <c r="E163" i="31"/>
  <c r="F163" i="31"/>
  <c r="G163" i="31"/>
  <c r="B162" i="31"/>
  <c r="C162" i="31"/>
  <c r="D162" i="31"/>
  <c r="E162" i="31"/>
  <c r="F162" i="31"/>
  <c r="G162" i="31"/>
  <c r="B161" i="31"/>
  <c r="C161" i="31"/>
  <c r="D161" i="31"/>
  <c r="E161" i="31"/>
  <c r="F161" i="31"/>
  <c r="G161" i="31"/>
  <c r="B160" i="31"/>
  <c r="C160" i="31"/>
  <c r="D160" i="31"/>
  <c r="E160" i="31"/>
  <c r="F160" i="31"/>
  <c r="G160" i="31"/>
  <c r="B159" i="31"/>
  <c r="C159" i="31"/>
  <c r="D159" i="31"/>
  <c r="E159" i="31"/>
  <c r="F159" i="31"/>
  <c r="G159" i="31"/>
  <c r="B158" i="31"/>
  <c r="C158" i="31"/>
  <c r="D158" i="31"/>
  <c r="E158" i="31"/>
  <c r="F158" i="31"/>
  <c r="G158" i="31"/>
  <c r="B157" i="31"/>
  <c r="C157" i="31"/>
  <c r="D157" i="31"/>
  <c r="E157" i="31"/>
  <c r="F157" i="31"/>
  <c r="G157" i="31"/>
  <c r="B156" i="31"/>
  <c r="C156" i="31"/>
  <c r="D156" i="31"/>
  <c r="E156" i="31"/>
  <c r="F156" i="31"/>
  <c r="G156" i="31"/>
  <c r="B155" i="31"/>
  <c r="C155" i="31"/>
  <c r="D155" i="31"/>
  <c r="E155" i="31"/>
  <c r="F155" i="31"/>
  <c r="G155" i="31"/>
  <c r="B154" i="31"/>
  <c r="C154" i="31"/>
  <c r="D154" i="31"/>
  <c r="E154" i="31"/>
  <c r="F154" i="31"/>
  <c r="G154" i="31"/>
  <c r="B153" i="31"/>
  <c r="C153" i="31"/>
  <c r="D153" i="31"/>
  <c r="E153" i="31"/>
  <c r="F153" i="31"/>
  <c r="G153" i="31"/>
  <c r="B152" i="31"/>
  <c r="C152" i="31"/>
  <c r="D152" i="31"/>
  <c r="E152" i="31"/>
  <c r="F152" i="31"/>
  <c r="G152" i="31"/>
  <c r="B151" i="31"/>
  <c r="C151" i="31"/>
  <c r="D151" i="31"/>
  <c r="E151" i="31"/>
  <c r="F151" i="31"/>
  <c r="G151" i="31"/>
  <c r="B150" i="31"/>
  <c r="C150" i="31"/>
  <c r="D150" i="31"/>
  <c r="E150" i="31"/>
  <c r="F150" i="31"/>
  <c r="G150" i="31"/>
  <c r="B149" i="31"/>
  <c r="C149" i="31"/>
  <c r="D149" i="31"/>
  <c r="E149" i="31"/>
  <c r="F149" i="31"/>
  <c r="G149" i="31"/>
  <c r="B148" i="31"/>
  <c r="C148" i="31"/>
  <c r="D148" i="31"/>
  <c r="E148" i="31"/>
  <c r="F148" i="31"/>
  <c r="G148" i="31"/>
  <c r="B147" i="31"/>
  <c r="C147" i="31"/>
  <c r="D147" i="31"/>
  <c r="E147" i="31"/>
  <c r="F147" i="31"/>
  <c r="G147" i="31"/>
  <c r="B146" i="31"/>
  <c r="C146" i="31"/>
  <c r="D146" i="31"/>
  <c r="E146" i="31"/>
  <c r="F146" i="31"/>
  <c r="G146" i="31"/>
  <c r="B145" i="31"/>
  <c r="C145" i="31"/>
  <c r="D145" i="31"/>
  <c r="E145" i="31"/>
  <c r="F145" i="31"/>
  <c r="G145" i="31"/>
  <c r="B144" i="31"/>
  <c r="C144" i="31"/>
  <c r="D144" i="31"/>
  <c r="E144" i="31"/>
  <c r="F144" i="31"/>
  <c r="G144" i="31"/>
  <c r="B143" i="31"/>
  <c r="C143" i="31"/>
  <c r="D143" i="31"/>
  <c r="E143" i="31"/>
  <c r="F143" i="31"/>
  <c r="G143" i="31"/>
  <c r="B142" i="31"/>
  <c r="C142" i="31"/>
  <c r="D142" i="31"/>
  <c r="E142" i="31"/>
  <c r="F142" i="31"/>
  <c r="G142" i="31"/>
  <c r="B141" i="31"/>
  <c r="C141" i="31"/>
  <c r="D141" i="31"/>
  <c r="E141" i="31"/>
  <c r="F141" i="31"/>
  <c r="G141" i="31"/>
  <c r="B140" i="31"/>
  <c r="C140" i="31"/>
  <c r="D140" i="31"/>
  <c r="E140" i="31"/>
  <c r="F140" i="31"/>
  <c r="G140" i="31"/>
  <c r="B139" i="31"/>
  <c r="C139" i="31"/>
  <c r="D139" i="31"/>
  <c r="E139" i="31"/>
  <c r="F139" i="31"/>
  <c r="G139" i="31"/>
  <c r="B138" i="31"/>
  <c r="C138" i="31"/>
  <c r="D138" i="31"/>
  <c r="E138" i="31"/>
  <c r="F138" i="31"/>
  <c r="G138" i="31"/>
  <c r="B137" i="31"/>
  <c r="C137" i="31"/>
  <c r="D137" i="31"/>
  <c r="E137" i="31"/>
  <c r="F137" i="31"/>
  <c r="G137" i="31"/>
  <c r="B136" i="31"/>
  <c r="C136" i="31"/>
  <c r="D136" i="31"/>
  <c r="E136" i="31"/>
  <c r="F136" i="31"/>
  <c r="G136" i="31"/>
  <c r="B135" i="31"/>
  <c r="C135" i="31"/>
  <c r="D135" i="31"/>
  <c r="E135" i="31"/>
  <c r="F135" i="31"/>
  <c r="G135" i="31"/>
  <c r="B134" i="31"/>
  <c r="C134" i="31"/>
  <c r="D134" i="31"/>
  <c r="E134" i="31"/>
  <c r="F134" i="31"/>
  <c r="G134" i="31"/>
  <c r="B133" i="31"/>
  <c r="C133" i="31"/>
  <c r="D133" i="31"/>
  <c r="E133" i="31"/>
  <c r="F133" i="31"/>
  <c r="G133" i="31"/>
  <c r="B132" i="31"/>
  <c r="C132" i="31"/>
  <c r="D132" i="31"/>
  <c r="E132" i="31"/>
  <c r="F132" i="31"/>
  <c r="G132" i="31"/>
  <c r="B131" i="31"/>
  <c r="C131" i="31"/>
  <c r="D131" i="31"/>
  <c r="E131" i="31"/>
  <c r="F131" i="31"/>
  <c r="G131" i="31"/>
  <c r="B130" i="31"/>
  <c r="C130" i="31"/>
  <c r="D130" i="31"/>
  <c r="E130" i="31"/>
  <c r="F130" i="31"/>
  <c r="G130" i="31"/>
  <c r="B129" i="31"/>
  <c r="C129" i="31"/>
  <c r="D129" i="31"/>
  <c r="E129" i="31"/>
  <c r="F129" i="31"/>
  <c r="G129" i="31"/>
  <c r="B128" i="31"/>
  <c r="C128" i="31"/>
  <c r="D128" i="31"/>
  <c r="E128" i="31"/>
  <c r="F128" i="31"/>
  <c r="G128" i="31"/>
  <c r="B127" i="31"/>
  <c r="C127" i="31"/>
  <c r="D127" i="31"/>
  <c r="E127" i="31"/>
  <c r="F127" i="31"/>
  <c r="G127" i="31"/>
  <c r="B126" i="31"/>
  <c r="C126" i="31"/>
  <c r="D126" i="31"/>
  <c r="E126" i="31"/>
  <c r="F126" i="31"/>
  <c r="G126" i="31"/>
  <c r="B125" i="31"/>
  <c r="C125" i="31"/>
  <c r="D125" i="31"/>
  <c r="E125" i="31"/>
  <c r="F125" i="31"/>
  <c r="G125" i="31"/>
  <c r="B124" i="31"/>
  <c r="C124" i="31"/>
  <c r="D124" i="31"/>
  <c r="E124" i="31"/>
  <c r="F124" i="31"/>
  <c r="G124" i="31"/>
  <c r="B123" i="31"/>
  <c r="C123" i="31"/>
  <c r="D123" i="31"/>
  <c r="E123" i="31"/>
  <c r="F123" i="31"/>
  <c r="G123" i="31"/>
  <c r="B122" i="31"/>
  <c r="C122" i="31"/>
  <c r="D122" i="31"/>
  <c r="E122" i="31"/>
  <c r="F122" i="31"/>
  <c r="G122" i="31"/>
  <c r="B121" i="31"/>
  <c r="C121" i="31"/>
  <c r="D121" i="31"/>
  <c r="E121" i="31"/>
  <c r="F121" i="31"/>
  <c r="G121" i="31"/>
  <c r="B120" i="31"/>
  <c r="C120" i="31"/>
  <c r="D120" i="31"/>
  <c r="E120" i="31"/>
  <c r="F120" i="31"/>
  <c r="G120" i="31"/>
  <c r="B119" i="31"/>
  <c r="C119" i="31"/>
  <c r="D119" i="31"/>
  <c r="E119" i="31"/>
  <c r="F119" i="31"/>
  <c r="G119" i="31"/>
  <c r="B118" i="31"/>
  <c r="C118" i="31"/>
  <c r="D118" i="31"/>
  <c r="E118" i="31"/>
  <c r="F118" i="31"/>
  <c r="G118" i="31"/>
  <c r="B117" i="31"/>
  <c r="C117" i="31"/>
  <c r="D117" i="31"/>
  <c r="E117" i="31"/>
  <c r="F117" i="31"/>
  <c r="G117" i="31"/>
  <c r="B116" i="31"/>
  <c r="C116" i="31"/>
  <c r="D116" i="31"/>
  <c r="E116" i="31"/>
  <c r="F116" i="31"/>
  <c r="G116" i="31"/>
  <c r="B115" i="31"/>
  <c r="C115" i="31"/>
  <c r="D115" i="31"/>
  <c r="E115" i="31"/>
  <c r="F115" i="31"/>
  <c r="G115" i="31"/>
  <c r="B114" i="31"/>
  <c r="C114" i="31"/>
  <c r="D114" i="31"/>
  <c r="E114" i="31"/>
  <c r="F114" i="31"/>
  <c r="G114" i="31"/>
  <c r="B113" i="31"/>
  <c r="C113" i="31"/>
  <c r="D113" i="31"/>
  <c r="E113" i="31"/>
  <c r="F113" i="31"/>
  <c r="G113" i="31"/>
  <c r="B112" i="31"/>
  <c r="C112" i="31"/>
  <c r="D112" i="31"/>
  <c r="E112" i="31"/>
  <c r="F112" i="31"/>
  <c r="G112" i="31"/>
  <c r="B111" i="31"/>
  <c r="C111" i="31"/>
  <c r="D111" i="31"/>
  <c r="E111" i="31"/>
  <c r="F111" i="31"/>
  <c r="G111" i="31"/>
  <c r="B110" i="31"/>
  <c r="C110" i="31"/>
  <c r="D110" i="31"/>
  <c r="E110" i="31"/>
  <c r="F110" i="31"/>
  <c r="G110" i="31"/>
  <c r="B109" i="31"/>
  <c r="C109" i="31"/>
  <c r="D109" i="31"/>
  <c r="E109" i="31"/>
  <c r="F109" i="31"/>
  <c r="G109" i="31"/>
  <c r="B108" i="31"/>
  <c r="C108" i="31"/>
  <c r="D108" i="31"/>
  <c r="E108" i="31"/>
  <c r="F108" i="31"/>
  <c r="G108" i="31"/>
  <c r="B107" i="31"/>
  <c r="C107" i="31"/>
  <c r="D107" i="31"/>
  <c r="E107" i="31"/>
  <c r="F107" i="31"/>
  <c r="G107" i="31"/>
  <c r="B106" i="31"/>
  <c r="C106" i="31"/>
  <c r="D106" i="31"/>
  <c r="E106" i="31"/>
  <c r="F106" i="31"/>
  <c r="G106" i="31"/>
  <c r="B105" i="31"/>
  <c r="C105" i="31"/>
  <c r="D105" i="31"/>
  <c r="E105" i="31"/>
  <c r="F105" i="31"/>
  <c r="G105" i="31"/>
  <c r="B104" i="31"/>
  <c r="C104" i="31"/>
  <c r="D104" i="31"/>
  <c r="E104" i="31"/>
  <c r="F104" i="31"/>
  <c r="G104" i="31"/>
  <c r="B103" i="31"/>
  <c r="C103" i="31"/>
  <c r="D103" i="31"/>
  <c r="E103" i="31"/>
  <c r="F103" i="31"/>
  <c r="G103" i="31"/>
  <c r="B102" i="31"/>
  <c r="C102" i="31"/>
  <c r="D102" i="31"/>
  <c r="E102" i="31"/>
  <c r="F102" i="31"/>
  <c r="G102" i="31"/>
  <c r="B101" i="31"/>
  <c r="C101" i="31"/>
  <c r="D101" i="31"/>
  <c r="E101" i="31"/>
  <c r="F101" i="31"/>
  <c r="G101" i="31"/>
  <c r="B100" i="31"/>
  <c r="C100" i="31"/>
  <c r="D100" i="31"/>
  <c r="E100" i="31"/>
  <c r="F100" i="31"/>
  <c r="G100" i="31"/>
  <c r="B99" i="31"/>
  <c r="C99" i="31"/>
  <c r="D99" i="31"/>
  <c r="E99" i="31"/>
  <c r="F99" i="31"/>
  <c r="G99" i="31"/>
  <c r="B98" i="31"/>
  <c r="C98" i="31"/>
  <c r="D98" i="31"/>
  <c r="E98" i="31"/>
  <c r="F98" i="31"/>
  <c r="G98" i="31"/>
  <c r="B97" i="31"/>
  <c r="C97" i="31"/>
  <c r="D97" i="31"/>
  <c r="E97" i="31"/>
  <c r="F97" i="31"/>
  <c r="G97" i="31"/>
  <c r="B96" i="31"/>
  <c r="C96" i="31"/>
  <c r="D96" i="31"/>
  <c r="E96" i="31"/>
  <c r="F96" i="31"/>
  <c r="G96" i="31"/>
  <c r="B95" i="31"/>
  <c r="C95" i="31"/>
  <c r="D95" i="31"/>
  <c r="E95" i="31"/>
  <c r="F95" i="31"/>
  <c r="G95" i="31"/>
  <c r="B94" i="31"/>
  <c r="C94" i="31"/>
  <c r="D94" i="31"/>
  <c r="E94" i="31"/>
  <c r="F94" i="31"/>
  <c r="G94" i="31"/>
  <c r="B93" i="31"/>
  <c r="C93" i="31"/>
  <c r="D93" i="31"/>
  <c r="E93" i="31"/>
  <c r="F93" i="31"/>
  <c r="G93" i="31"/>
  <c r="B92" i="31"/>
  <c r="C92" i="31"/>
  <c r="D92" i="31"/>
  <c r="E92" i="31"/>
  <c r="F92" i="31"/>
  <c r="G92" i="31"/>
  <c r="B91" i="31"/>
  <c r="C91" i="31"/>
  <c r="D91" i="31"/>
  <c r="E91" i="31"/>
  <c r="F91" i="31"/>
  <c r="G91" i="31"/>
  <c r="B90" i="31"/>
  <c r="C90" i="31"/>
  <c r="D90" i="31"/>
  <c r="E90" i="31"/>
  <c r="F90" i="31"/>
  <c r="G90" i="31"/>
  <c r="B89" i="31"/>
  <c r="C89" i="31"/>
  <c r="D89" i="31"/>
  <c r="E89" i="31"/>
  <c r="F89" i="31"/>
  <c r="G89" i="31"/>
  <c r="B88" i="31"/>
  <c r="C88" i="31"/>
  <c r="D88" i="31"/>
  <c r="E88" i="31"/>
  <c r="F88" i="31"/>
  <c r="G88" i="31"/>
  <c r="B87" i="31"/>
  <c r="C87" i="31"/>
  <c r="D87" i="31"/>
  <c r="E87" i="31"/>
  <c r="F87" i="31"/>
  <c r="G87" i="31"/>
  <c r="B86" i="31"/>
  <c r="C86" i="31"/>
  <c r="D86" i="31"/>
  <c r="E86" i="31"/>
  <c r="F86" i="31"/>
  <c r="G86" i="31"/>
  <c r="B85" i="31"/>
  <c r="C85" i="31"/>
  <c r="D85" i="31"/>
  <c r="E85" i="31"/>
  <c r="F85" i="31"/>
  <c r="G85" i="31"/>
  <c r="B84" i="31"/>
  <c r="C84" i="31"/>
  <c r="D84" i="31"/>
  <c r="E84" i="31"/>
  <c r="F84" i="31"/>
  <c r="G84" i="31"/>
  <c r="B83" i="31"/>
  <c r="C83" i="31"/>
  <c r="D83" i="31"/>
  <c r="E83" i="31"/>
  <c r="F83" i="31"/>
  <c r="G83" i="31"/>
  <c r="B82" i="31"/>
  <c r="C82" i="31"/>
  <c r="D82" i="31"/>
  <c r="E82" i="31"/>
  <c r="F82" i="31"/>
  <c r="G82" i="31"/>
  <c r="B81" i="31"/>
  <c r="C81" i="31"/>
  <c r="D81" i="31"/>
  <c r="E81" i="31"/>
  <c r="F81" i="31"/>
  <c r="G81" i="31"/>
  <c r="B80" i="31"/>
  <c r="C80" i="31"/>
  <c r="D80" i="31"/>
  <c r="E80" i="31"/>
  <c r="F80" i="31"/>
  <c r="G80" i="31"/>
  <c r="B79" i="31"/>
  <c r="C79" i="31"/>
  <c r="D79" i="31"/>
  <c r="E79" i="31"/>
  <c r="F79" i="31"/>
  <c r="G79" i="31"/>
  <c r="B78" i="31"/>
  <c r="C78" i="31"/>
  <c r="D78" i="31"/>
  <c r="E78" i="31"/>
  <c r="F78" i="31"/>
  <c r="G78" i="31"/>
  <c r="B77" i="31"/>
  <c r="C77" i="31"/>
  <c r="D77" i="31"/>
  <c r="E77" i="31"/>
  <c r="F77" i="31"/>
  <c r="G77" i="31"/>
  <c r="B76" i="31"/>
  <c r="C76" i="31"/>
  <c r="D76" i="31"/>
  <c r="E76" i="31"/>
  <c r="F76" i="31"/>
  <c r="G76" i="31"/>
  <c r="B75" i="31"/>
  <c r="C75" i="31"/>
  <c r="D75" i="31"/>
  <c r="E75" i="31"/>
  <c r="F75" i="31"/>
  <c r="G75" i="31"/>
  <c r="B74" i="31"/>
  <c r="C74" i="31"/>
  <c r="D74" i="31"/>
  <c r="E74" i="31"/>
  <c r="F74" i="31"/>
  <c r="G74" i="31"/>
  <c r="B73" i="31"/>
  <c r="C73" i="31"/>
  <c r="D73" i="31"/>
  <c r="E73" i="31"/>
  <c r="F73" i="31"/>
  <c r="G73" i="31"/>
  <c r="B72" i="31"/>
  <c r="C72" i="31"/>
  <c r="D72" i="31"/>
  <c r="E72" i="31"/>
  <c r="F72" i="31"/>
  <c r="G72" i="31"/>
  <c r="B71" i="31"/>
  <c r="C71" i="31"/>
  <c r="D71" i="31"/>
  <c r="E71" i="31"/>
  <c r="F71" i="31"/>
  <c r="G71" i="31"/>
  <c r="B70" i="31"/>
  <c r="C70" i="31"/>
  <c r="D70" i="31"/>
  <c r="E70" i="31"/>
  <c r="F70" i="31"/>
  <c r="G70" i="31"/>
  <c r="B69" i="31"/>
  <c r="C69" i="31"/>
  <c r="D69" i="31"/>
  <c r="E69" i="31"/>
  <c r="F69" i="31"/>
  <c r="G69" i="31"/>
  <c r="B68" i="31"/>
  <c r="C68" i="31"/>
  <c r="D68" i="31"/>
  <c r="E68" i="31"/>
  <c r="F68" i="31"/>
  <c r="G68" i="31"/>
  <c r="B67" i="31"/>
  <c r="C67" i="31"/>
  <c r="D67" i="31"/>
  <c r="E67" i="31"/>
  <c r="F67" i="31"/>
  <c r="G67" i="31"/>
  <c r="B66" i="31"/>
  <c r="C66" i="31"/>
  <c r="D66" i="31"/>
  <c r="E66" i="31"/>
  <c r="F66" i="31"/>
  <c r="G66" i="31"/>
  <c r="B65" i="31"/>
  <c r="C65" i="31"/>
  <c r="D65" i="31"/>
  <c r="E65" i="31"/>
  <c r="F65" i="31"/>
  <c r="G65" i="31"/>
  <c r="B64" i="31"/>
  <c r="C64" i="31"/>
  <c r="D64" i="31"/>
  <c r="E64" i="31"/>
  <c r="F64" i="31"/>
  <c r="G64" i="31"/>
  <c r="B63" i="31"/>
  <c r="C63" i="31"/>
  <c r="D63" i="31"/>
  <c r="E63" i="31"/>
  <c r="F63" i="31"/>
  <c r="G63" i="31"/>
  <c r="B62" i="31"/>
  <c r="C62" i="31"/>
  <c r="D62" i="31"/>
  <c r="E62" i="31"/>
  <c r="F62" i="31"/>
  <c r="G62" i="31"/>
  <c r="B61" i="31"/>
  <c r="C61" i="31"/>
  <c r="D61" i="31"/>
  <c r="E61" i="31"/>
  <c r="F61" i="31"/>
  <c r="G61" i="31"/>
  <c r="B60" i="31"/>
  <c r="C60" i="31"/>
  <c r="D60" i="31"/>
  <c r="E60" i="31"/>
  <c r="F60" i="31"/>
  <c r="G60" i="31"/>
  <c r="B59" i="31"/>
  <c r="C59" i="31"/>
  <c r="D59" i="31"/>
  <c r="E59" i="31"/>
  <c r="F59" i="31"/>
  <c r="G59" i="31"/>
  <c r="B58" i="31"/>
  <c r="C58" i="31"/>
  <c r="D58" i="31"/>
  <c r="E58" i="31"/>
  <c r="F58" i="31"/>
  <c r="G58" i="31"/>
  <c r="B57" i="31"/>
  <c r="C57" i="31"/>
  <c r="D57" i="31"/>
  <c r="E57" i="31"/>
  <c r="F57" i="31"/>
  <c r="G57" i="31"/>
  <c r="B56" i="31"/>
  <c r="C56" i="31"/>
  <c r="D56" i="31"/>
  <c r="E56" i="31"/>
  <c r="F56" i="31"/>
  <c r="G56" i="31"/>
  <c r="B55" i="31"/>
  <c r="C55" i="31"/>
  <c r="D55" i="31"/>
  <c r="E55" i="31"/>
  <c r="F55" i="31"/>
  <c r="G55" i="31"/>
  <c r="B54" i="31"/>
  <c r="C54" i="31"/>
  <c r="D54" i="31"/>
  <c r="E54" i="31"/>
  <c r="F54" i="31"/>
  <c r="G54" i="31"/>
  <c r="B53" i="31"/>
  <c r="C53" i="31"/>
  <c r="D53" i="31"/>
  <c r="E53" i="31"/>
  <c r="F53" i="31"/>
  <c r="G53" i="31"/>
  <c r="B52" i="31"/>
  <c r="C52" i="31"/>
  <c r="D52" i="31"/>
  <c r="E52" i="31"/>
  <c r="F52" i="31"/>
  <c r="G52" i="31"/>
  <c r="B51" i="31"/>
  <c r="C51" i="31"/>
  <c r="D51" i="31"/>
  <c r="E51" i="31"/>
  <c r="F51" i="31"/>
  <c r="G51" i="31"/>
  <c r="B50" i="31"/>
  <c r="C50" i="31"/>
  <c r="D50" i="31"/>
  <c r="E50" i="31"/>
  <c r="F50" i="31"/>
  <c r="G50" i="31"/>
  <c r="B49" i="31"/>
  <c r="C49" i="31"/>
  <c r="D49" i="31"/>
  <c r="E49" i="31"/>
  <c r="F49" i="31"/>
  <c r="G49" i="31"/>
  <c r="B48" i="31"/>
  <c r="C48" i="31"/>
  <c r="D48" i="31"/>
  <c r="E48" i="31"/>
  <c r="F48" i="31"/>
  <c r="G48" i="31"/>
  <c r="B47" i="31"/>
  <c r="C47" i="31"/>
  <c r="D47" i="31"/>
  <c r="E47" i="31"/>
  <c r="F47" i="31"/>
  <c r="G47" i="31"/>
  <c r="B46" i="31"/>
  <c r="C46" i="31"/>
  <c r="D46" i="31"/>
  <c r="E46" i="31"/>
  <c r="F46" i="31"/>
  <c r="G46" i="31"/>
  <c r="B45" i="31"/>
  <c r="C45" i="31"/>
  <c r="D45" i="31"/>
  <c r="E45" i="31"/>
  <c r="F45" i="31"/>
  <c r="G45" i="31"/>
  <c r="B44" i="31"/>
  <c r="C44" i="31"/>
  <c r="D44" i="31"/>
  <c r="E44" i="31"/>
  <c r="F44" i="31"/>
  <c r="G44" i="31"/>
  <c r="B43" i="31"/>
  <c r="C43" i="31"/>
  <c r="D43" i="31"/>
  <c r="E43" i="31"/>
  <c r="F43" i="31"/>
  <c r="G43" i="31"/>
  <c r="B42" i="31"/>
  <c r="C42" i="31"/>
  <c r="D42" i="31"/>
  <c r="E42" i="31"/>
  <c r="F42" i="31"/>
  <c r="G42" i="31"/>
  <c r="B41" i="31"/>
  <c r="C41" i="31"/>
  <c r="D41" i="31"/>
  <c r="E41" i="31"/>
  <c r="F41" i="31"/>
  <c r="G41" i="31"/>
  <c r="B40" i="31"/>
  <c r="C40" i="31"/>
  <c r="D40" i="31"/>
  <c r="E40" i="31"/>
  <c r="F40" i="31"/>
  <c r="G40" i="31"/>
  <c r="B39" i="31"/>
  <c r="C39" i="31"/>
  <c r="D39" i="31"/>
  <c r="E39" i="31"/>
  <c r="F39" i="31"/>
  <c r="G39" i="31"/>
  <c r="B38" i="31"/>
  <c r="C38" i="31"/>
  <c r="D38" i="31"/>
  <c r="E38" i="31"/>
  <c r="F38" i="31"/>
  <c r="G38" i="31"/>
  <c r="B37" i="31"/>
  <c r="C37" i="31"/>
  <c r="D37" i="31"/>
  <c r="E37" i="31"/>
  <c r="F37" i="31"/>
  <c r="G37" i="31"/>
  <c r="B36" i="31"/>
  <c r="C36" i="31"/>
  <c r="D36" i="31"/>
  <c r="E36" i="31"/>
  <c r="F36" i="31"/>
  <c r="G36" i="31"/>
  <c r="B35" i="31"/>
  <c r="C35" i="31"/>
  <c r="D35" i="31"/>
  <c r="E35" i="31"/>
  <c r="F35" i="31"/>
  <c r="G35" i="31"/>
  <c r="B34" i="31"/>
  <c r="C34" i="31"/>
  <c r="D34" i="31"/>
  <c r="E34" i="31"/>
  <c r="F34" i="31"/>
  <c r="G34" i="31"/>
  <c r="B33" i="31"/>
  <c r="C33" i="31"/>
  <c r="D33" i="31"/>
  <c r="E33" i="31"/>
  <c r="F33" i="31"/>
  <c r="G33" i="31"/>
  <c r="B32" i="31"/>
  <c r="C32" i="31"/>
  <c r="D32" i="31"/>
  <c r="E32" i="31"/>
  <c r="F32" i="31"/>
  <c r="G32" i="31"/>
  <c r="B31" i="31"/>
  <c r="C31" i="31"/>
  <c r="D31" i="31"/>
  <c r="E31" i="31"/>
  <c r="F31" i="31"/>
  <c r="G31" i="31"/>
  <c r="B30" i="31"/>
  <c r="C30" i="31"/>
  <c r="D30" i="31"/>
  <c r="E30" i="31"/>
  <c r="F30" i="31"/>
  <c r="G30" i="31"/>
  <c r="B29" i="31"/>
  <c r="C29" i="31"/>
  <c r="D29" i="31"/>
  <c r="E29" i="31"/>
  <c r="F29" i="31"/>
  <c r="G29" i="31"/>
  <c r="B28" i="31"/>
  <c r="C28" i="31"/>
  <c r="D28" i="31"/>
  <c r="E28" i="31"/>
  <c r="F28" i="31"/>
  <c r="G28" i="31"/>
  <c r="B27" i="31"/>
  <c r="C27" i="31"/>
  <c r="D27" i="31"/>
  <c r="E27" i="31"/>
  <c r="F27" i="31"/>
  <c r="G27" i="31"/>
  <c r="B26" i="31"/>
  <c r="C26" i="31"/>
  <c r="D26" i="31"/>
  <c r="E26" i="31"/>
  <c r="F26" i="31"/>
  <c r="G26" i="31"/>
  <c r="B25" i="31"/>
  <c r="C25" i="31"/>
  <c r="D25" i="31"/>
  <c r="E25" i="31"/>
  <c r="F25" i="31"/>
  <c r="G25" i="31"/>
  <c r="B24" i="31"/>
  <c r="C24" i="31"/>
  <c r="D24" i="31"/>
  <c r="E24" i="31"/>
  <c r="F24" i="31"/>
  <c r="G24" i="31"/>
  <c r="B23" i="31"/>
  <c r="C23" i="31"/>
  <c r="D23" i="31"/>
  <c r="E23" i="31"/>
  <c r="F23" i="31"/>
  <c r="G23" i="31"/>
  <c r="B22" i="31"/>
  <c r="C22" i="31"/>
  <c r="D22" i="31"/>
  <c r="E22" i="31"/>
  <c r="F22" i="31"/>
  <c r="G22" i="31"/>
  <c r="B21" i="31"/>
  <c r="C21" i="31"/>
  <c r="D21" i="31"/>
  <c r="E21" i="31"/>
  <c r="F21" i="31"/>
  <c r="G21" i="31"/>
  <c r="B20" i="31"/>
  <c r="E20" i="31"/>
  <c r="C20" i="31"/>
  <c r="F20" i="31"/>
  <c r="D20" i="31"/>
  <c r="G20" i="31"/>
  <c r="C19" i="31"/>
  <c r="F19" i="31"/>
  <c r="P19" i="31"/>
  <c r="B19" i="31"/>
  <c r="E19" i="31"/>
  <c r="D19" i="31"/>
  <c r="G19" i="31"/>
  <c r="P20" i="31"/>
  <c r="P21" i="31"/>
  <c r="P22" i="31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P43" i="31"/>
  <c r="P44" i="31"/>
  <c r="P45" i="31"/>
  <c r="P46" i="31"/>
  <c r="P47" i="31"/>
  <c r="P48" i="31"/>
  <c r="P49" i="31"/>
  <c r="P50" i="31"/>
  <c r="P51" i="31"/>
  <c r="P52" i="31"/>
  <c r="P53" i="31"/>
  <c r="P54" i="31"/>
  <c r="P55" i="31"/>
  <c r="P56" i="31"/>
  <c r="P57" i="31"/>
  <c r="P58" i="31"/>
  <c r="P59" i="31"/>
  <c r="P60" i="31"/>
  <c r="P61" i="31"/>
  <c r="P62" i="31"/>
  <c r="P63" i="31"/>
  <c r="P64" i="31"/>
  <c r="P65" i="31"/>
  <c r="P66" i="31"/>
  <c r="P67" i="31"/>
  <c r="P68" i="31"/>
  <c r="P69" i="31"/>
  <c r="P70" i="31"/>
  <c r="P71" i="31"/>
  <c r="P72" i="31"/>
  <c r="P73" i="31"/>
  <c r="P74" i="31"/>
  <c r="P75" i="31"/>
  <c r="P76" i="31"/>
  <c r="P77" i="31"/>
  <c r="P78" i="31"/>
  <c r="P79" i="31"/>
  <c r="P80" i="31"/>
  <c r="P81" i="31"/>
  <c r="P82" i="31"/>
  <c r="P83" i="31"/>
  <c r="P84" i="31"/>
  <c r="P85" i="31"/>
  <c r="P86" i="31"/>
  <c r="P87" i="31"/>
  <c r="P88" i="31"/>
  <c r="P89" i="31"/>
  <c r="P90" i="31"/>
  <c r="P91" i="31"/>
  <c r="P92" i="31"/>
  <c r="P93" i="31"/>
  <c r="P94" i="31"/>
  <c r="P95" i="31"/>
  <c r="P96" i="31"/>
  <c r="P97" i="31"/>
  <c r="P98" i="31"/>
  <c r="P99" i="31"/>
  <c r="P100" i="31"/>
  <c r="P101" i="31"/>
  <c r="P102" i="31"/>
  <c r="P103" i="31"/>
  <c r="P104" i="31"/>
  <c r="P105" i="31"/>
  <c r="P106" i="31"/>
  <c r="P107" i="31"/>
  <c r="P108" i="31"/>
  <c r="P109" i="31"/>
  <c r="P110" i="31"/>
  <c r="P111" i="31"/>
  <c r="P112" i="31"/>
  <c r="P113" i="31"/>
  <c r="P114" i="31"/>
  <c r="P115" i="31"/>
  <c r="P116" i="31"/>
  <c r="P117" i="31"/>
  <c r="P118" i="31"/>
  <c r="P119" i="31"/>
  <c r="P120" i="31"/>
  <c r="P121" i="31"/>
  <c r="P122" i="31"/>
  <c r="P123" i="31"/>
  <c r="P124" i="31"/>
  <c r="P125" i="31"/>
  <c r="P126" i="31"/>
  <c r="P127" i="31"/>
  <c r="P128" i="31"/>
  <c r="P129" i="31"/>
  <c r="P130" i="31"/>
  <c r="P131" i="31"/>
  <c r="P132" i="31"/>
  <c r="P133" i="31"/>
  <c r="P134" i="31"/>
  <c r="P135" i="31"/>
  <c r="P136" i="31"/>
  <c r="P137" i="31"/>
  <c r="P138" i="31"/>
  <c r="P139" i="31"/>
  <c r="P140" i="31"/>
  <c r="P141" i="31"/>
  <c r="P142" i="31"/>
  <c r="P143" i="31"/>
  <c r="P144" i="31"/>
  <c r="P145" i="31"/>
  <c r="P146" i="31"/>
  <c r="P147" i="31"/>
  <c r="P148" i="31"/>
  <c r="P149" i="31"/>
  <c r="P150" i="31"/>
  <c r="P151" i="31"/>
  <c r="P152" i="31"/>
  <c r="P153" i="31"/>
  <c r="P154" i="31"/>
  <c r="P155" i="31"/>
  <c r="P156" i="31"/>
  <c r="P157" i="31"/>
  <c r="P158" i="31"/>
  <c r="P159" i="31"/>
  <c r="P160" i="31"/>
  <c r="P161" i="31"/>
  <c r="P162" i="31"/>
  <c r="P163" i="31"/>
  <c r="P164" i="31"/>
  <c r="P165" i="31"/>
  <c r="P166" i="31"/>
  <c r="P167" i="31"/>
  <c r="P168" i="31"/>
  <c r="P169" i="31"/>
  <c r="P170" i="31"/>
  <c r="P171" i="31"/>
  <c r="P172" i="31"/>
  <c r="P173" i="31"/>
  <c r="P174" i="31"/>
  <c r="P175" i="31"/>
  <c r="P176" i="31"/>
  <c r="P177" i="31"/>
  <c r="P178" i="31"/>
  <c r="P179" i="31"/>
  <c r="P180" i="31"/>
  <c r="P181" i="31"/>
  <c r="P182" i="31"/>
  <c r="P183" i="31"/>
  <c r="P184" i="31"/>
  <c r="P185" i="31"/>
  <c r="P186" i="31"/>
  <c r="P187" i="31"/>
  <c r="P188" i="31"/>
  <c r="P189" i="31"/>
  <c r="P190" i="31"/>
  <c r="P191" i="31"/>
  <c r="P192" i="31"/>
  <c r="P193" i="31"/>
  <c r="P194" i="31"/>
  <c r="P195" i="31"/>
  <c r="P196" i="31"/>
  <c r="P197" i="31"/>
  <c r="P198" i="31"/>
  <c r="P199" i="31"/>
  <c r="P200" i="31"/>
  <c r="P201" i="31"/>
  <c r="P202" i="31"/>
  <c r="P203" i="31"/>
  <c r="P204" i="31"/>
  <c r="P205" i="31"/>
  <c r="P206" i="31"/>
  <c r="P207" i="31"/>
  <c r="P208" i="31"/>
  <c r="P209" i="31"/>
  <c r="P210" i="31"/>
  <c r="P211" i="31"/>
  <c r="P212" i="31"/>
  <c r="P213" i="31"/>
  <c r="P214" i="31"/>
  <c r="P215" i="31"/>
  <c r="P216" i="31"/>
  <c r="P217" i="31"/>
  <c r="P218" i="31"/>
  <c r="P219" i="31"/>
  <c r="P220" i="31"/>
  <c r="P221" i="31"/>
  <c r="P222" i="31"/>
  <c r="P223" i="31"/>
  <c r="P224" i="31"/>
  <c r="P225" i="31"/>
  <c r="P226" i="31"/>
  <c r="P227" i="31"/>
  <c r="P228" i="31"/>
  <c r="P229" i="31"/>
  <c r="P230" i="31"/>
  <c r="P231" i="31"/>
  <c r="P232" i="31"/>
  <c r="P233" i="31"/>
  <c r="P234" i="31"/>
  <c r="P235" i="31"/>
  <c r="P236" i="31"/>
  <c r="P237" i="31"/>
  <c r="P238" i="31"/>
  <c r="P239" i="31"/>
  <c r="P240" i="31"/>
  <c r="P241" i="31"/>
  <c r="P242" i="31"/>
  <c r="P243" i="31"/>
  <c r="P244" i="31"/>
  <c r="P245" i="31"/>
  <c r="P246" i="31"/>
  <c r="P247" i="31"/>
  <c r="P248" i="31"/>
  <c r="P249" i="31"/>
  <c r="P250" i="31"/>
  <c r="P251" i="31"/>
  <c r="P252" i="31"/>
  <c r="P253" i="31"/>
  <c r="P254" i="31"/>
  <c r="P255" i="31"/>
  <c r="P256" i="31"/>
  <c r="P257" i="31"/>
  <c r="P258" i="31"/>
  <c r="P259" i="31"/>
  <c r="P260" i="31"/>
  <c r="P261" i="31"/>
  <c r="P262" i="31"/>
  <c r="P263" i="31"/>
  <c r="P264" i="31"/>
  <c r="P265" i="31"/>
  <c r="P266" i="31"/>
  <c r="P267" i="31"/>
  <c r="P268" i="31"/>
  <c r="P269" i="31"/>
  <c r="P270" i="31"/>
  <c r="P271" i="31"/>
  <c r="P272" i="31"/>
  <c r="P273" i="31"/>
  <c r="P274" i="31"/>
  <c r="P275" i="31"/>
  <c r="P276" i="31"/>
  <c r="P277" i="31"/>
  <c r="P278" i="31"/>
  <c r="P279" i="31"/>
  <c r="P280" i="31"/>
  <c r="P281" i="31"/>
  <c r="P282" i="31"/>
  <c r="P283" i="31"/>
  <c r="P284" i="31"/>
  <c r="P285" i="31"/>
  <c r="P286" i="31"/>
  <c r="P287" i="31"/>
  <c r="P288" i="31"/>
  <c r="P289" i="31"/>
  <c r="P290" i="31"/>
  <c r="P291" i="31"/>
  <c r="P292" i="31"/>
  <c r="P293" i="31"/>
  <c r="P294" i="31"/>
  <c r="P295" i="31"/>
  <c r="P296" i="31"/>
  <c r="P297" i="31"/>
  <c r="P298" i="31"/>
  <c r="P299" i="31"/>
  <c r="P300" i="31"/>
  <c r="P301" i="31"/>
  <c r="P302" i="31"/>
  <c r="P303" i="31"/>
  <c r="P304" i="31"/>
  <c r="P305" i="31"/>
  <c r="P306" i="31"/>
  <c r="P307" i="31"/>
  <c r="P308" i="31"/>
  <c r="P309" i="31"/>
  <c r="P310" i="31"/>
  <c r="P311" i="31"/>
  <c r="P312" i="31"/>
  <c r="P313" i="31"/>
  <c r="P314" i="31"/>
  <c r="P315" i="31"/>
  <c r="P316" i="31"/>
  <c r="P317" i="31"/>
  <c r="P318" i="31"/>
  <c r="P319" i="31"/>
  <c r="P320" i="31"/>
  <c r="P321" i="31"/>
  <c r="P322" i="31"/>
  <c r="P323" i="31"/>
  <c r="P324" i="31"/>
  <c r="P325" i="31"/>
  <c r="P326" i="31"/>
  <c r="P327" i="31"/>
  <c r="P328" i="31"/>
  <c r="P329" i="31"/>
  <c r="P330" i="31"/>
  <c r="P331" i="31"/>
  <c r="P332" i="31"/>
  <c r="P333" i="31"/>
  <c r="P334" i="31"/>
  <c r="P335" i="31"/>
  <c r="P336" i="31"/>
  <c r="P337" i="31"/>
  <c r="P338" i="31"/>
  <c r="P339" i="31"/>
  <c r="P340" i="31"/>
  <c r="P341" i="31"/>
  <c r="P342" i="31"/>
  <c r="P343" i="31"/>
  <c r="P344" i="31"/>
  <c r="P345" i="31"/>
  <c r="P346" i="31"/>
  <c r="P347" i="31"/>
  <c r="P348" i="31"/>
  <c r="P349" i="31"/>
  <c r="P350" i="31"/>
  <c r="P351" i="31"/>
  <c r="P352" i="31"/>
  <c r="P353" i="31"/>
  <c r="P354" i="31"/>
  <c r="P355" i="31"/>
  <c r="P356" i="31"/>
  <c r="P357" i="31"/>
  <c r="P358" i="31"/>
  <c r="P359" i="31"/>
  <c r="P360" i="31"/>
  <c r="P361" i="31"/>
  <c r="P362" i="31"/>
  <c r="P363" i="31"/>
  <c r="P364" i="31"/>
  <c r="P365" i="31"/>
  <c r="P366" i="31"/>
  <c r="P367" i="31"/>
  <c r="P368" i="31"/>
  <c r="P369" i="31"/>
  <c r="P370" i="31"/>
  <c r="P371" i="31"/>
  <c r="P372" i="31"/>
  <c r="P373" i="31"/>
  <c r="P374" i="31"/>
  <c r="P375" i="31"/>
  <c r="P376" i="31"/>
  <c r="P377" i="31"/>
  <c r="P378" i="31"/>
  <c r="P379" i="31"/>
  <c r="P380" i="31"/>
  <c r="P381" i="31"/>
  <c r="P382" i="31"/>
  <c r="P383" i="31"/>
  <c r="P384" i="31"/>
  <c r="P385" i="31"/>
  <c r="P386" i="31"/>
  <c r="P387" i="31"/>
  <c r="P388" i="31"/>
  <c r="P389" i="31"/>
  <c r="P390" i="31"/>
  <c r="P391" i="31"/>
  <c r="P392" i="31"/>
  <c r="P393" i="31"/>
  <c r="P394" i="31"/>
  <c r="P395" i="31"/>
  <c r="P396" i="31"/>
  <c r="P397" i="31"/>
  <c r="P398" i="31"/>
  <c r="P399" i="31"/>
  <c r="P400" i="31"/>
  <c r="P401" i="31"/>
  <c r="P402" i="31"/>
  <c r="P403" i="31"/>
  <c r="P404" i="31"/>
  <c r="P405" i="31"/>
  <c r="P406" i="31"/>
  <c r="P407" i="31"/>
  <c r="P408" i="31"/>
  <c r="P409" i="31"/>
  <c r="P410" i="31"/>
  <c r="P411" i="31"/>
  <c r="P412" i="31"/>
  <c r="P413" i="31"/>
  <c r="P414" i="31"/>
  <c r="P415" i="31"/>
  <c r="P416" i="31"/>
  <c r="P417" i="31"/>
  <c r="P418" i="31"/>
  <c r="P419" i="31"/>
  <c r="P420" i="31"/>
  <c r="P421" i="31"/>
  <c r="P422" i="31"/>
  <c r="P423" i="31"/>
  <c r="P424" i="31"/>
  <c r="P425" i="31"/>
  <c r="P426" i="31"/>
  <c r="P427" i="31"/>
  <c r="P428" i="31"/>
  <c r="P429" i="31"/>
  <c r="P430" i="31"/>
  <c r="P431" i="31"/>
  <c r="P432" i="31"/>
  <c r="P433" i="31"/>
  <c r="P434" i="31"/>
  <c r="P435" i="31"/>
  <c r="P436" i="31"/>
  <c r="P437" i="31"/>
  <c r="P438" i="31"/>
  <c r="P439" i="31"/>
  <c r="P440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210" i="31"/>
  <c r="N211" i="31"/>
  <c r="N212" i="31"/>
  <c r="N213" i="31"/>
  <c r="N214" i="31"/>
  <c r="N215" i="31"/>
  <c r="N216" i="31"/>
  <c r="N217" i="31"/>
  <c r="N218" i="31"/>
  <c r="N219" i="31"/>
  <c r="N220" i="31"/>
  <c r="N221" i="31"/>
  <c r="N222" i="31"/>
  <c r="N223" i="31"/>
  <c r="N224" i="31"/>
  <c r="N225" i="31"/>
  <c r="N226" i="31"/>
  <c r="N227" i="31"/>
  <c r="N228" i="31"/>
  <c r="N229" i="31"/>
  <c r="N230" i="31"/>
  <c r="N231" i="31"/>
  <c r="N232" i="31"/>
  <c r="N233" i="31"/>
  <c r="N234" i="31"/>
  <c r="N235" i="31"/>
  <c r="N236" i="31"/>
  <c r="N237" i="31"/>
  <c r="N238" i="31"/>
  <c r="N239" i="31"/>
  <c r="N240" i="31"/>
  <c r="N241" i="31"/>
  <c r="N242" i="31"/>
  <c r="N243" i="31"/>
  <c r="N244" i="31"/>
  <c r="N245" i="31"/>
  <c r="N246" i="31"/>
  <c r="N247" i="31"/>
  <c r="N248" i="31"/>
  <c r="N249" i="31"/>
  <c r="N250" i="31"/>
  <c r="N251" i="31"/>
  <c r="N252" i="31"/>
  <c r="N253" i="31"/>
  <c r="N254" i="31"/>
  <c r="N255" i="31"/>
  <c r="N256" i="31"/>
  <c r="N257" i="31"/>
  <c r="N258" i="31"/>
  <c r="N259" i="31"/>
  <c r="N260" i="31"/>
  <c r="N261" i="31"/>
  <c r="N262" i="31"/>
  <c r="N263" i="31"/>
  <c r="N264" i="31"/>
  <c r="N265" i="31"/>
  <c r="N266" i="31"/>
  <c r="N267" i="31"/>
  <c r="N268" i="31"/>
  <c r="N269" i="31"/>
  <c r="N270" i="31"/>
  <c r="N271" i="31"/>
  <c r="N272" i="31"/>
  <c r="N273" i="31"/>
  <c r="N274" i="31"/>
  <c r="N275" i="31"/>
  <c r="N276" i="31"/>
  <c r="N277" i="31"/>
  <c r="N278" i="31"/>
  <c r="N279" i="31"/>
  <c r="N280" i="31"/>
  <c r="N281" i="31"/>
  <c r="N282" i="31"/>
  <c r="N283" i="31"/>
  <c r="N284" i="31"/>
  <c r="N285" i="31"/>
  <c r="N286" i="31"/>
  <c r="N287" i="31"/>
  <c r="N288" i="31"/>
  <c r="N289" i="31"/>
  <c r="N290" i="31"/>
  <c r="N291" i="31"/>
  <c r="N292" i="31"/>
  <c r="N293" i="31"/>
  <c r="N294" i="31"/>
  <c r="N295" i="31"/>
  <c r="N296" i="31"/>
  <c r="N297" i="31"/>
  <c r="N298" i="31"/>
  <c r="N299" i="31"/>
  <c r="N300" i="31"/>
  <c r="N301" i="31"/>
  <c r="N302" i="31"/>
  <c r="N303" i="31"/>
  <c r="N304" i="31"/>
  <c r="N305" i="31"/>
  <c r="N306" i="31"/>
  <c r="N307" i="31"/>
  <c r="N308" i="31"/>
  <c r="N309" i="31"/>
  <c r="N310" i="31"/>
  <c r="N311" i="31"/>
  <c r="N312" i="31"/>
  <c r="N313" i="31"/>
  <c r="N314" i="31"/>
  <c r="N315" i="31"/>
  <c r="N316" i="31"/>
  <c r="N317" i="31"/>
  <c r="N318" i="31"/>
  <c r="N319" i="31"/>
  <c r="N320" i="31"/>
  <c r="N321" i="31"/>
  <c r="N322" i="31"/>
  <c r="N323" i="31"/>
  <c r="N324" i="31"/>
  <c r="N325" i="31"/>
  <c r="N326" i="31"/>
  <c r="N327" i="31"/>
  <c r="N328" i="31"/>
  <c r="N329" i="31"/>
  <c r="N330" i="31"/>
  <c r="N331" i="31"/>
  <c r="N332" i="31"/>
  <c r="N333" i="31"/>
  <c r="N334" i="31"/>
  <c r="N335" i="31"/>
  <c r="N336" i="31"/>
  <c r="N337" i="31"/>
  <c r="N338" i="31"/>
  <c r="N339" i="31"/>
  <c r="N340" i="31"/>
  <c r="N341" i="31"/>
  <c r="N342" i="31"/>
  <c r="N343" i="31"/>
  <c r="N344" i="31"/>
  <c r="N345" i="31"/>
  <c r="N346" i="31"/>
  <c r="N347" i="31"/>
  <c r="N348" i="31"/>
  <c r="N349" i="31"/>
  <c r="N350" i="31"/>
  <c r="N351" i="31"/>
  <c r="N352" i="31"/>
  <c r="N353" i="31"/>
  <c r="N354" i="31"/>
  <c r="N355" i="31"/>
  <c r="N356" i="31"/>
  <c r="N357" i="31"/>
  <c r="N358" i="31"/>
  <c r="N359" i="31"/>
  <c r="N360" i="31"/>
  <c r="N361" i="31"/>
  <c r="N362" i="31"/>
  <c r="N363" i="31"/>
  <c r="N364" i="31"/>
  <c r="N365" i="31"/>
  <c r="N366" i="31"/>
  <c r="N367" i="31"/>
  <c r="N368" i="31"/>
  <c r="N369" i="31"/>
  <c r="N370" i="31"/>
  <c r="N371" i="31"/>
  <c r="N372" i="31"/>
  <c r="N373" i="31"/>
  <c r="N374" i="31"/>
  <c r="N375" i="31"/>
  <c r="N376" i="31"/>
  <c r="N377" i="31"/>
  <c r="N378" i="31"/>
  <c r="N379" i="31"/>
  <c r="N380" i="31"/>
  <c r="N381" i="31"/>
  <c r="N382" i="31"/>
  <c r="N383" i="31"/>
  <c r="N384" i="31"/>
  <c r="N385" i="31"/>
  <c r="N386" i="31"/>
  <c r="N387" i="31"/>
  <c r="N388" i="31"/>
  <c r="N389" i="31"/>
  <c r="N390" i="31"/>
  <c r="N391" i="31"/>
  <c r="N392" i="31"/>
  <c r="N393" i="31"/>
  <c r="N394" i="31"/>
  <c r="N395" i="31"/>
  <c r="N396" i="31"/>
  <c r="N397" i="31"/>
  <c r="N398" i="31"/>
  <c r="N399" i="31"/>
  <c r="N400" i="31"/>
  <c r="N401" i="31"/>
  <c r="N402" i="31"/>
  <c r="N403" i="31"/>
  <c r="N404" i="31"/>
  <c r="N405" i="31"/>
  <c r="N406" i="31"/>
  <c r="N407" i="31"/>
  <c r="N408" i="31"/>
  <c r="N409" i="31"/>
  <c r="N410" i="31"/>
  <c r="N411" i="31"/>
  <c r="N412" i="31"/>
  <c r="N413" i="31"/>
  <c r="N414" i="31"/>
  <c r="N415" i="31"/>
  <c r="N416" i="31"/>
  <c r="N417" i="31"/>
  <c r="N418" i="31"/>
  <c r="N419" i="31"/>
  <c r="N420" i="31"/>
  <c r="N421" i="31"/>
  <c r="N422" i="31"/>
  <c r="N423" i="31"/>
  <c r="N424" i="31"/>
  <c r="N425" i="31"/>
  <c r="N426" i="31"/>
  <c r="N427" i="31"/>
  <c r="N428" i="31"/>
  <c r="N429" i="31"/>
  <c r="N430" i="31"/>
  <c r="N431" i="31"/>
  <c r="N432" i="31"/>
  <c r="N433" i="31"/>
  <c r="N434" i="31"/>
  <c r="N435" i="31"/>
  <c r="N436" i="31"/>
  <c r="N437" i="31"/>
  <c r="N438" i="31"/>
  <c r="N439" i="31"/>
  <c r="N440" i="31"/>
  <c r="O442" i="31"/>
  <c r="B14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T100" i="31"/>
  <c r="T101" i="31"/>
  <c r="T102" i="31"/>
  <c r="T103" i="31"/>
  <c r="T104" i="31"/>
  <c r="T105" i="31"/>
  <c r="T106" i="31"/>
  <c r="T107" i="31"/>
  <c r="T108" i="31"/>
  <c r="T109" i="31"/>
  <c r="T110" i="31"/>
  <c r="T111" i="31"/>
  <c r="T112" i="31"/>
  <c r="T113" i="31"/>
  <c r="T114" i="31"/>
  <c r="T115" i="31"/>
  <c r="T116" i="31"/>
  <c r="T117" i="31"/>
  <c r="T118" i="31"/>
  <c r="T119" i="31"/>
  <c r="T120" i="31"/>
  <c r="T121" i="31"/>
  <c r="T122" i="31"/>
  <c r="T123" i="31"/>
  <c r="T124" i="31"/>
  <c r="T125" i="31"/>
  <c r="T126" i="31"/>
  <c r="T127" i="31"/>
  <c r="T128" i="31"/>
  <c r="T129" i="31"/>
  <c r="T130" i="31"/>
  <c r="T131" i="31"/>
  <c r="T132" i="31"/>
  <c r="T133" i="31"/>
  <c r="T134" i="31"/>
  <c r="T135" i="31"/>
  <c r="T136" i="31"/>
  <c r="T137" i="31"/>
  <c r="T138" i="31"/>
  <c r="T139" i="31"/>
  <c r="T140" i="31"/>
  <c r="T141" i="31"/>
  <c r="T142" i="31"/>
  <c r="T143" i="31"/>
  <c r="T144" i="31"/>
  <c r="T145" i="31"/>
  <c r="T146" i="31"/>
  <c r="T147" i="31"/>
  <c r="T148" i="31"/>
  <c r="T149" i="31"/>
  <c r="T150" i="31"/>
  <c r="T151" i="31"/>
  <c r="T152" i="31"/>
  <c r="T153" i="31"/>
  <c r="T154" i="31"/>
  <c r="T155" i="31"/>
  <c r="T156" i="31"/>
  <c r="T157" i="31"/>
  <c r="T158" i="31"/>
  <c r="T159" i="31"/>
  <c r="T160" i="31"/>
  <c r="T161" i="31"/>
  <c r="T162" i="31"/>
  <c r="T163" i="31"/>
  <c r="T164" i="31"/>
  <c r="T165" i="31"/>
  <c r="T166" i="31"/>
  <c r="T167" i="31"/>
  <c r="T168" i="31"/>
  <c r="T169" i="31"/>
  <c r="T170" i="31"/>
  <c r="T171" i="31"/>
  <c r="T172" i="31"/>
  <c r="T173" i="31"/>
  <c r="T174" i="31"/>
  <c r="T175" i="31"/>
  <c r="T176" i="31"/>
  <c r="T177" i="31"/>
  <c r="T178" i="31"/>
  <c r="T179" i="31"/>
  <c r="T180" i="31"/>
  <c r="T181" i="31"/>
  <c r="T182" i="31"/>
  <c r="T183" i="31"/>
  <c r="T184" i="31"/>
  <c r="T185" i="31"/>
  <c r="T186" i="31"/>
  <c r="T187" i="31"/>
  <c r="T188" i="31"/>
  <c r="T189" i="31"/>
  <c r="T190" i="31"/>
  <c r="T191" i="31"/>
  <c r="T192" i="31"/>
  <c r="T193" i="31"/>
  <c r="T194" i="31"/>
  <c r="T195" i="31"/>
  <c r="T196" i="31"/>
  <c r="T197" i="31"/>
  <c r="T198" i="31"/>
  <c r="T199" i="31"/>
  <c r="T200" i="31"/>
  <c r="T201" i="31"/>
  <c r="T202" i="31"/>
  <c r="T203" i="31"/>
  <c r="T204" i="31"/>
  <c r="T205" i="31"/>
  <c r="T206" i="31"/>
  <c r="T207" i="31"/>
  <c r="T208" i="31"/>
  <c r="T209" i="31"/>
  <c r="T210" i="31"/>
  <c r="T211" i="31"/>
  <c r="T212" i="31"/>
  <c r="T213" i="31"/>
  <c r="T214" i="31"/>
  <c r="T215" i="31"/>
  <c r="T216" i="31"/>
  <c r="T217" i="31"/>
  <c r="T218" i="31"/>
  <c r="T219" i="31"/>
  <c r="T220" i="31"/>
  <c r="T221" i="31"/>
  <c r="T222" i="31"/>
  <c r="T223" i="31"/>
  <c r="T224" i="31"/>
  <c r="T225" i="31"/>
  <c r="T226" i="31"/>
  <c r="T227" i="31"/>
  <c r="T228" i="31"/>
  <c r="T229" i="31"/>
  <c r="T230" i="31"/>
  <c r="T231" i="31"/>
  <c r="T232" i="31"/>
  <c r="T233" i="31"/>
  <c r="T234" i="31"/>
  <c r="T235" i="31"/>
  <c r="T236" i="31"/>
  <c r="T237" i="31"/>
  <c r="T238" i="31"/>
  <c r="T239" i="31"/>
  <c r="T240" i="31"/>
  <c r="T241" i="31"/>
  <c r="T242" i="31"/>
  <c r="T243" i="31"/>
  <c r="T244" i="31"/>
  <c r="T245" i="31"/>
  <c r="T246" i="31"/>
  <c r="T247" i="31"/>
  <c r="T248" i="31"/>
  <c r="T249" i="31"/>
  <c r="T250" i="31"/>
  <c r="T251" i="31"/>
  <c r="T252" i="31"/>
  <c r="T253" i="31"/>
  <c r="T254" i="31"/>
  <c r="T255" i="31"/>
  <c r="T256" i="31"/>
  <c r="T257" i="31"/>
  <c r="T258" i="31"/>
  <c r="T259" i="31"/>
  <c r="T260" i="31"/>
  <c r="T261" i="31"/>
  <c r="T262" i="31"/>
  <c r="T263" i="31"/>
  <c r="T264" i="31"/>
  <c r="T265" i="31"/>
  <c r="T266" i="31"/>
  <c r="T267" i="31"/>
  <c r="T268" i="31"/>
  <c r="T269" i="31"/>
  <c r="T270" i="31"/>
  <c r="T271" i="31"/>
  <c r="T272" i="31"/>
  <c r="T273" i="31"/>
  <c r="T274" i="31"/>
  <c r="T275" i="31"/>
  <c r="T276" i="31"/>
  <c r="T277" i="31"/>
  <c r="T278" i="31"/>
  <c r="T279" i="31"/>
  <c r="T280" i="31"/>
  <c r="T281" i="31"/>
  <c r="T282" i="31"/>
  <c r="T283" i="31"/>
  <c r="T284" i="31"/>
  <c r="T285" i="31"/>
  <c r="T286" i="31"/>
  <c r="T287" i="31"/>
  <c r="T288" i="31"/>
  <c r="T289" i="31"/>
  <c r="T290" i="31"/>
  <c r="T291" i="31"/>
  <c r="T292" i="31"/>
  <c r="T293" i="31"/>
  <c r="T294" i="31"/>
  <c r="T295" i="31"/>
  <c r="T296" i="31"/>
  <c r="T297" i="31"/>
  <c r="T298" i="31"/>
  <c r="T299" i="31"/>
  <c r="T300" i="31"/>
  <c r="T301" i="31"/>
  <c r="T302" i="31"/>
  <c r="T303" i="31"/>
  <c r="T304" i="31"/>
  <c r="T305" i="31"/>
  <c r="T306" i="31"/>
  <c r="T307" i="31"/>
  <c r="T308" i="31"/>
  <c r="T309" i="31"/>
  <c r="T310" i="31"/>
  <c r="T311" i="31"/>
  <c r="T312" i="31"/>
  <c r="T313" i="31"/>
  <c r="T314" i="31"/>
  <c r="T315" i="31"/>
  <c r="T316" i="31"/>
  <c r="T317" i="31"/>
  <c r="T318" i="31"/>
  <c r="T319" i="31"/>
  <c r="T320" i="31"/>
  <c r="T321" i="31"/>
  <c r="T322" i="31"/>
  <c r="T323" i="31"/>
  <c r="T324" i="31"/>
  <c r="T325" i="31"/>
  <c r="T326" i="31"/>
  <c r="T327" i="31"/>
  <c r="T328" i="31"/>
  <c r="T329" i="31"/>
  <c r="T330" i="31"/>
  <c r="T331" i="31"/>
  <c r="T332" i="31"/>
  <c r="T333" i="31"/>
  <c r="T334" i="31"/>
  <c r="T335" i="31"/>
  <c r="T336" i="31"/>
  <c r="T337" i="31"/>
  <c r="T338" i="31"/>
  <c r="T339" i="31"/>
  <c r="T340" i="31"/>
  <c r="T341" i="31"/>
  <c r="T342" i="31"/>
  <c r="T343" i="31"/>
  <c r="T344" i="31"/>
  <c r="T345" i="31"/>
  <c r="T346" i="31"/>
  <c r="T347" i="31"/>
  <c r="T348" i="31"/>
  <c r="T349" i="31"/>
  <c r="T350" i="31"/>
  <c r="T351" i="31"/>
  <c r="T352" i="31"/>
  <c r="T353" i="31"/>
  <c r="T354" i="31"/>
  <c r="T355" i="31"/>
  <c r="T356" i="31"/>
  <c r="T357" i="31"/>
  <c r="T358" i="31"/>
  <c r="T359" i="31"/>
  <c r="T360" i="31"/>
  <c r="T361" i="31"/>
  <c r="T362" i="31"/>
  <c r="T363" i="31"/>
  <c r="T364" i="31"/>
  <c r="T365" i="31"/>
  <c r="T366" i="31"/>
  <c r="T367" i="31"/>
  <c r="T368" i="31"/>
  <c r="T369" i="31"/>
  <c r="T370" i="31"/>
  <c r="T371" i="31"/>
  <c r="T372" i="31"/>
  <c r="T373" i="31"/>
  <c r="T374" i="31"/>
  <c r="T375" i="31"/>
  <c r="T376" i="31"/>
  <c r="T377" i="31"/>
  <c r="T378" i="31"/>
  <c r="T379" i="31"/>
  <c r="T380" i="31"/>
  <c r="T381" i="31"/>
  <c r="T382" i="31"/>
  <c r="T383" i="31"/>
  <c r="T384" i="31"/>
  <c r="T385" i="31"/>
  <c r="T386" i="31"/>
  <c r="T387" i="31"/>
  <c r="T388" i="31"/>
  <c r="T389" i="31"/>
  <c r="T390" i="31"/>
  <c r="T391" i="31"/>
  <c r="T392" i="31"/>
  <c r="T393" i="31"/>
  <c r="T394" i="31"/>
  <c r="T395" i="31"/>
  <c r="T396" i="31"/>
  <c r="T397" i="31"/>
  <c r="T398" i="31"/>
  <c r="T399" i="31"/>
  <c r="T400" i="31"/>
  <c r="T401" i="31"/>
  <c r="T402" i="31"/>
  <c r="T403" i="31"/>
  <c r="T404" i="31"/>
  <c r="T405" i="31"/>
  <c r="T406" i="31"/>
  <c r="T407" i="31"/>
  <c r="T408" i="31"/>
  <c r="T409" i="31"/>
  <c r="T410" i="31"/>
  <c r="T411" i="31"/>
  <c r="T412" i="31"/>
  <c r="T413" i="31"/>
  <c r="T414" i="31"/>
  <c r="T415" i="31"/>
  <c r="T416" i="31"/>
  <c r="T417" i="31"/>
  <c r="T418" i="31"/>
  <c r="T419" i="31"/>
  <c r="T420" i="31"/>
  <c r="T421" i="31"/>
  <c r="T422" i="31"/>
  <c r="T423" i="31"/>
  <c r="T424" i="31"/>
  <c r="T425" i="31"/>
  <c r="T426" i="31"/>
  <c r="T427" i="31"/>
  <c r="T428" i="31"/>
  <c r="T429" i="31"/>
  <c r="T430" i="31"/>
  <c r="T431" i="31"/>
  <c r="T432" i="31"/>
  <c r="T433" i="31"/>
  <c r="T434" i="31"/>
  <c r="T435" i="31"/>
  <c r="T436" i="31"/>
  <c r="T437" i="31"/>
  <c r="T438" i="31"/>
  <c r="T439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G211" i="30"/>
  <c r="G212" i="30"/>
  <c r="G213" i="30"/>
  <c r="G2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3" i="30"/>
  <c r="G154" i="30"/>
  <c r="G155" i="30"/>
  <c r="G156" i="30"/>
  <c r="G157" i="30"/>
  <c r="G158" i="30"/>
  <c r="G159" i="30"/>
  <c r="G160" i="30"/>
  <c r="G161" i="30"/>
  <c r="G162" i="30"/>
  <c r="G163" i="30"/>
  <c r="G164" i="30"/>
  <c r="G165" i="30"/>
  <c r="G166" i="30"/>
  <c r="G167" i="30"/>
  <c r="G168" i="30"/>
  <c r="G169" i="30"/>
  <c r="G170" i="30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0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14" i="30"/>
  <c r="B114" i="30"/>
  <c r="C114" i="30"/>
  <c r="I114" i="30"/>
  <c r="B115" i="30"/>
  <c r="C115" i="30"/>
  <c r="I115" i="30"/>
  <c r="B116" i="30"/>
  <c r="C116" i="30"/>
  <c r="I116" i="30"/>
  <c r="B117" i="30"/>
  <c r="C117" i="30"/>
  <c r="I117" i="30"/>
  <c r="B118" i="30"/>
  <c r="C118" i="30"/>
  <c r="I118" i="30"/>
  <c r="B119" i="30"/>
  <c r="C119" i="30"/>
  <c r="I119" i="30"/>
  <c r="B120" i="30"/>
  <c r="C120" i="30"/>
  <c r="I120" i="30"/>
  <c r="B121" i="30"/>
  <c r="C121" i="30"/>
  <c r="I121" i="30"/>
  <c r="B122" i="30"/>
  <c r="C122" i="30"/>
  <c r="I122" i="30"/>
  <c r="B123" i="30"/>
  <c r="C123" i="30"/>
  <c r="I123" i="30"/>
  <c r="B124" i="30"/>
  <c r="C124" i="30"/>
  <c r="I124" i="30"/>
  <c r="B125" i="30"/>
  <c r="C125" i="30"/>
  <c r="I125" i="30"/>
  <c r="B126" i="30"/>
  <c r="C126" i="30"/>
  <c r="I126" i="30"/>
  <c r="B127" i="30"/>
  <c r="C127" i="30"/>
  <c r="I127" i="30"/>
  <c r="B128" i="30"/>
  <c r="C128" i="30"/>
  <c r="I128" i="30"/>
  <c r="B129" i="30"/>
  <c r="C129" i="30"/>
  <c r="I129" i="30"/>
  <c r="B130" i="30"/>
  <c r="C130" i="30"/>
  <c r="I130" i="30"/>
  <c r="B131" i="30"/>
  <c r="C131" i="30"/>
  <c r="I131" i="30"/>
  <c r="B132" i="30"/>
  <c r="C132" i="30"/>
  <c r="I132" i="30"/>
  <c r="B133" i="30"/>
  <c r="C133" i="30"/>
  <c r="I133" i="30"/>
  <c r="B134" i="30"/>
  <c r="C134" i="30"/>
  <c r="I134" i="30"/>
  <c r="B135" i="30"/>
  <c r="C135" i="30"/>
  <c r="I135" i="30"/>
  <c r="B136" i="30"/>
  <c r="C136" i="30"/>
  <c r="I136" i="30"/>
  <c r="B137" i="30"/>
  <c r="C137" i="30"/>
  <c r="I137" i="30"/>
  <c r="B138" i="30"/>
  <c r="C138" i="30"/>
  <c r="I138" i="30"/>
  <c r="B139" i="30"/>
  <c r="C139" i="30"/>
  <c r="I139" i="30"/>
  <c r="B140" i="30"/>
  <c r="C140" i="30"/>
  <c r="I140" i="30"/>
  <c r="B141" i="30"/>
  <c r="C141" i="30"/>
  <c r="I141" i="30"/>
  <c r="B142" i="30"/>
  <c r="C142" i="30"/>
  <c r="I142" i="30"/>
  <c r="B143" i="30"/>
  <c r="C143" i="30"/>
  <c r="I143" i="30"/>
  <c r="B144" i="30"/>
  <c r="C144" i="30"/>
  <c r="I144" i="30"/>
  <c r="B145" i="30"/>
  <c r="C145" i="30"/>
  <c r="I145" i="30"/>
  <c r="B146" i="30"/>
  <c r="C146" i="30"/>
  <c r="I146" i="30"/>
  <c r="B147" i="30"/>
  <c r="C147" i="30"/>
  <c r="I147" i="30"/>
  <c r="B148" i="30"/>
  <c r="C148" i="30"/>
  <c r="I148" i="30"/>
  <c r="B149" i="30"/>
  <c r="C149" i="30"/>
  <c r="I149" i="30"/>
  <c r="B150" i="30"/>
  <c r="C150" i="30"/>
  <c r="I150" i="30"/>
  <c r="B151" i="30"/>
  <c r="C151" i="30"/>
  <c r="I151" i="30"/>
  <c r="B152" i="30"/>
  <c r="C152" i="30"/>
  <c r="I152" i="30"/>
  <c r="B153" i="30"/>
  <c r="C153" i="30"/>
  <c r="I153" i="30"/>
  <c r="B154" i="30"/>
  <c r="C154" i="30"/>
  <c r="I154" i="30"/>
  <c r="B155" i="30"/>
  <c r="C155" i="30"/>
  <c r="I155" i="30"/>
  <c r="B156" i="30"/>
  <c r="C156" i="30"/>
  <c r="I156" i="30"/>
  <c r="B157" i="30"/>
  <c r="C157" i="30"/>
  <c r="I157" i="30"/>
  <c r="B158" i="30"/>
  <c r="C158" i="30"/>
  <c r="I158" i="30"/>
  <c r="B159" i="30"/>
  <c r="C159" i="30"/>
  <c r="I159" i="30"/>
  <c r="B160" i="30"/>
  <c r="C160" i="30"/>
  <c r="I160" i="30"/>
  <c r="B161" i="30"/>
  <c r="C161" i="30"/>
  <c r="I161" i="30"/>
  <c r="B162" i="30"/>
  <c r="C162" i="30"/>
  <c r="I162" i="30"/>
  <c r="B163" i="30"/>
  <c r="C163" i="30"/>
  <c r="I163" i="30"/>
  <c r="B164" i="30"/>
  <c r="C164" i="30"/>
  <c r="I164" i="30"/>
  <c r="B165" i="30"/>
  <c r="C165" i="30"/>
  <c r="I165" i="30"/>
  <c r="B166" i="30"/>
  <c r="C166" i="30"/>
  <c r="I166" i="30"/>
  <c r="B167" i="30"/>
  <c r="C167" i="30"/>
  <c r="I167" i="30"/>
  <c r="B168" i="30"/>
  <c r="C168" i="30"/>
  <c r="I168" i="30"/>
  <c r="B169" i="30"/>
  <c r="C169" i="30"/>
  <c r="I169" i="30"/>
  <c r="B170" i="30"/>
  <c r="C170" i="30"/>
  <c r="I170" i="30"/>
  <c r="B171" i="30"/>
  <c r="C171" i="30"/>
  <c r="I171" i="30"/>
  <c r="B172" i="30"/>
  <c r="C172" i="30"/>
  <c r="I172" i="30"/>
  <c r="B173" i="30"/>
  <c r="C173" i="30"/>
  <c r="I173" i="30"/>
  <c r="B174" i="30"/>
  <c r="C174" i="30"/>
  <c r="I174" i="30"/>
  <c r="B175" i="30"/>
  <c r="C175" i="30"/>
  <c r="I175" i="30"/>
  <c r="B176" i="30"/>
  <c r="C176" i="30"/>
  <c r="I176" i="30"/>
  <c r="B177" i="30"/>
  <c r="C177" i="30"/>
  <c r="I177" i="30"/>
  <c r="B178" i="30"/>
  <c r="C178" i="30"/>
  <c r="I178" i="30"/>
  <c r="B179" i="30"/>
  <c r="C179" i="30"/>
  <c r="I179" i="30"/>
  <c r="B180" i="30"/>
  <c r="C180" i="30"/>
  <c r="I180" i="30"/>
  <c r="B181" i="30"/>
  <c r="C181" i="30"/>
  <c r="I181" i="30"/>
  <c r="B182" i="30"/>
  <c r="C182" i="30"/>
  <c r="I182" i="30"/>
  <c r="B183" i="30"/>
  <c r="C183" i="30"/>
  <c r="I183" i="30"/>
  <c r="B184" i="30"/>
  <c r="C184" i="30"/>
  <c r="I184" i="30"/>
  <c r="B185" i="30"/>
  <c r="C185" i="30"/>
  <c r="I185" i="30"/>
  <c r="B186" i="30"/>
  <c r="C186" i="30"/>
  <c r="I186" i="30"/>
  <c r="B187" i="30"/>
  <c r="C187" i="30"/>
  <c r="I187" i="30"/>
  <c r="B188" i="30"/>
  <c r="C188" i="30"/>
  <c r="I188" i="30"/>
  <c r="B189" i="30"/>
  <c r="C189" i="30"/>
  <c r="I189" i="30"/>
  <c r="B190" i="30"/>
  <c r="C190" i="30"/>
  <c r="I190" i="30"/>
  <c r="B191" i="30"/>
  <c r="C191" i="30"/>
  <c r="I191" i="30"/>
  <c r="B192" i="30"/>
  <c r="C192" i="30"/>
  <c r="I192" i="30"/>
  <c r="B193" i="30"/>
  <c r="C193" i="30"/>
  <c r="I193" i="30"/>
  <c r="B194" i="30"/>
  <c r="C194" i="30"/>
  <c r="I194" i="30"/>
  <c r="B195" i="30"/>
  <c r="C195" i="30"/>
  <c r="I195" i="30"/>
  <c r="B196" i="30"/>
  <c r="C196" i="30"/>
  <c r="I196" i="30"/>
  <c r="B197" i="30"/>
  <c r="C197" i="30"/>
  <c r="I197" i="30"/>
  <c r="B198" i="30"/>
  <c r="C198" i="30"/>
  <c r="I198" i="30"/>
  <c r="B199" i="30"/>
  <c r="C199" i="30"/>
  <c r="I199" i="30"/>
  <c r="B200" i="30"/>
  <c r="C200" i="30"/>
  <c r="I200" i="30"/>
  <c r="B201" i="30"/>
  <c r="C201" i="30"/>
  <c r="I201" i="30"/>
  <c r="B202" i="30"/>
  <c r="C202" i="30"/>
  <c r="I202" i="30"/>
  <c r="B203" i="30"/>
  <c r="C203" i="30"/>
  <c r="I203" i="30"/>
  <c r="B204" i="30"/>
  <c r="C204" i="30"/>
  <c r="I204" i="30"/>
  <c r="B205" i="30"/>
  <c r="C205" i="30"/>
  <c r="I205" i="30"/>
  <c r="B206" i="30"/>
  <c r="C206" i="30"/>
  <c r="I206" i="30"/>
  <c r="C207" i="30"/>
  <c r="I207" i="30"/>
  <c r="C208" i="30"/>
  <c r="I208" i="30"/>
  <c r="I209" i="30"/>
  <c r="I210" i="30"/>
  <c r="I211" i="30"/>
  <c r="I212" i="30"/>
  <c r="I213" i="30"/>
  <c r="I214" i="30"/>
  <c r="N15" i="30"/>
  <c r="J114" i="30"/>
  <c r="J115" i="30"/>
  <c r="J116" i="30"/>
  <c r="J117" i="30"/>
  <c r="J118" i="30"/>
  <c r="J119" i="30"/>
  <c r="J120" i="30"/>
  <c r="J121" i="30"/>
  <c r="J122" i="30"/>
  <c r="J123" i="30"/>
  <c r="J124" i="30"/>
  <c r="J125" i="30"/>
  <c r="J126" i="30"/>
  <c r="J127" i="30"/>
  <c r="J128" i="30"/>
  <c r="J129" i="30"/>
  <c r="J130" i="30"/>
  <c r="J131" i="30"/>
  <c r="J132" i="30"/>
  <c r="J133" i="30"/>
  <c r="J134" i="30"/>
  <c r="J135" i="30"/>
  <c r="J136" i="30"/>
  <c r="J137" i="30"/>
  <c r="J138" i="30"/>
  <c r="J139" i="30"/>
  <c r="J140" i="30"/>
  <c r="J141" i="30"/>
  <c r="J142" i="30"/>
  <c r="J143" i="30"/>
  <c r="J144" i="30"/>
  <c r="J145" i="30"/>
  <c r="J146" i="30"/>
  <c r="J147" i="30"/>
  <c r="J148" i="30"/>
  <c r="J149" i="30"/>
  <c r="J150" i="30"/>
  <c r="J151" i="30"/>
  <c r="J152" i="30"/>
  <c r="J153" i="30"/>
  <c r="J154" i="30"/>
  <c r="J155" i="30"/>
  <c r="J156" i="30"/>
  <c r="J157" i="30"/>
  <c r="J158" i="30"/>
  <c r="J159" i="30"/>
  <c r="J160" i="30"/>
  <c r="J161" i="30"/>
  <c r="J162" i="30"/>
  <c r="J163" i="30"/>
  <c r="J164" i="30"/>
  <c r="J165" i="30"/>
  <c r="J166" i="30"/>
  <c r="J167" i="30"/>
  <c r="J168" i="30"/>
  <c r="J169" i="30"/>
  <c r="J170" i="30"/>
  <c r="J171" i="30"/>
  <c r="J172" i="30"/>
  <c r="J173" i="30"/>
  <c r="J174" i="30"/>
  <c r="J175" i="30"/>
  <c r="J176" i="30"/>
  <c r="J177" i="30"/>
  <c r="J178" i="30"/>
  <c r="J179" i="30"/>
  <c r="J180" i="30"/>
  <c r="J181" i="30"/>
  <c r="J182" i="30"/>
  <c r="J183" i="30"/>
  <c r="J184" i="30"/>
  <c r="J185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200" i="30"/>
  <c r="J201" i="30"/>
  <c r="J202" i="30"/>
  <c r="J203" i="30"/>
  <c r="J204" i="30"/>
  <c r="J205" i="30"/>
  <c r="J206" i="30"/>
  <c r="J207" i="30"/>
  <c r="J208" i="30"/>
  <c r="J209" i="30"/>
  <c r="J210" i="30"/>
  <c r="J211" i="30"/>
  <c r="J212" i="30"/>
  <c r="J213" i="30"/>
  <c r="J214" i="30"/>
  <c r="N16" i="30"/>
  <c r="H114" i="30"/>
  <c r="H115" i="30"/>
  <c r="H116" i="30"/>
  <c r="H117" i="30"/>
  <c r="H118" i="30"/>
  <c r="H119" i="30"/>
  <c r="H120" i="30"/>
  <c r="H121" i="30"/>
  <c r="H122" i="30"/>
  <c r="H123" i="30"/>
  <c r="H124" i="30"/>
  <c r="H125" i="30"/>
  <c r="H126" i="30"/>
  <c r="H127" i="30"/>
  <c r="H128" i="30"/>
  <c r="H129" i="30"/>
  <c r="H130" i="30"/>
  <c r="H131" i="30"/>
  <c r="H132" i="30"/>
  <c r="H133" i="30"/>
  <c r="H134" i="30"/>
  <c r="H135" i="30"/>
  <c r="H136" i="30"/>
  <c r="H137" i="30"/>
  <c r="H138" i="30"/>
  <c r="H139" i="30"/>
  <c r="H140" i="30"/>
  <c r="H141" i="30"/>
  <c r="H142" i="30"/>
  <c r="H143" i="30"/>
  <c r="H144" i="30"/>
  <c r="H145" i="30"/>
  <c r="H146" i="30"/>
  <c r="H147" i="30"/>
  <c r="H148" i="30"/>
  <c r="H149" i="30"/>
  <c r="H150" i="30"/>
  <c r="H151" i="30"/>
  <c r="H152" i="30"/>
  <c r="H153" i="30"/>
  <c r="H154" i="30"/>
  <c r="H155" i="30"/>
  <c r="H156" i="30"/>
  <c r="H157" i="30"/>
  <c r="H158" i="30"/>
  <c r="H159" i="30"/>
  <c r="H160" i="30"/>
  <c r="H161" i="30"/>
  <c r="H162" i="30"/>
  <c r="H163" i="30"/>
  <c r="H164" i="30"/>
  <c r="H165" i="30"/>
  <c r="H166" i="30"/>
  <c r="H167" i="30"/>
  <c r="H168" i="30"/>
  <c r="H169" i="30"/>
  <c r="H170" i="30"/>
  <c r="H171" i="30"/>
  <c r="H172" i="30"/>
  <c r="H173" i="30"/>
  <c r="H174" i="30"/>
  <c r="H175" i="30"/>
  <c r="H176" i="30"/>
  <c r="H177" i="30"/>
  <c r="H178" i="30"/>
  <c r="H179" i="30"/>
  <c r="H180" i="30"/>
  <c r="H181" i="30"/>
  <c r="H182" i="30"/>
  <c r="H183" i="30"/>
  <c r="H184" i="30"/>
  <c r="H185" i="30"/>
  <c r="H186" i="30"/>
  <c r="H187" i="30"/>
  <c r="H188" i="30"/>
  <c r="H189" i="30"/>
  <c r="H190" i="30"/>
  <c r="H191" i="30"/>
  <c r="H192" i="30"/>
  <c r="H193" i="30"/>
  <c r="H194" i="30"/>
  <c r="H195" i="30"/>
  <c r="H196" i="30"/>
  <c r="H197" i="30"/>
  <c r="H198" i="30"/>
  <c r="H199" i="30"/>
  <c r="H200" i="30"/>
  <c r="H201" i="30"/>
  <c r="H202" i="30"/>
  <c r="H203" i="30"/>
  <c r="H204" i="30"/>
  <c r="H205" i="30"/>
  <c r="H206" i="30"/>
  <c r="H207" i="30"/>
  <c r="H208" i="30"/>
  <c r="H209" i="30"/>
  <c r="H210" i="30"/>
  <c r="H211" i="30"/>
  <c r="H212" i="30"/>
  <c r="H213" i="30"/>
  <c r="H214" i="30"/>
  <c r="N14" i="30"/>
  <c r="B15" i="30"/>
  <c r="I15" i="30"/>
  <c r="B16" i="30"/>
  <c r="I16" i="30"/>
  <c r="B17" i="30"/>
  <c r="C17" i="30"/>
  <c r="I17" i="30"/>
  <c r="B18" i="30"/>
  <c r="C18" i="30"/>
  <c r="I18" i="30"/>
  <c r="B19" i="30"/>
  <c r="C19" i="30"/>
  <c r="I19" i="30"/>
  <c r="B20" i="30"/>
  <c r="C20" i="30"/>
  <c r="I20" i="30"/>
  <c r="B21" i="30"/>
  <c r="C21" i="30"/>
  <c r="I21" i="30"/>
  <c r="B22" i="30"/>
  <c r="C22" i="30"/>
  <c r="I22" i="30"/>
  <c r="B23" i="30"/>
  <c r="C23" i="30"/>
  <c r="I23" i="30"/>
  <c r="B24" i="30"/>
  <c r="C24" i="30"/>
  <c r="I24" i="30"/>
  <c r="B25" i="30"/>
  <c r="C25" i="30"/>
  <c r="I25" i="30"/>
  <c r="B26" i="30"/>
  <c r="C26" i="30"/>
  <c r="I26" i="30"/>
  <c r="B27" i="30"/>
  <c r="C27" i="30"/>
  <c r="I27" i="30"/>
  <c r="B28" i="30"/>
  <c r="C28" i="30"/>
  <c r="I28" i="30"/>
  <c r="B29" i="30"/>
  <c r="C29" i="30"/>
  <c r="I29" i="30"/>
  <c r="B30" i="30"/>
  <c r="C30" i="30"/>
  <c r="I30" i="30"/>
  <c r="B31" i="30"/>
  <c r="C31" i="30"/>
  <c r="I31" i="30"/>
  <c r="B32" i="30"/>
  <c r="C32" i="30"/>
  <c r="I32" i="30"/>
  <c r="B33" i="30"/>
  <c r="C33" i="30"/>
  <c r="I33" i="30"/>
  <c r="B34" i="30"/>
  <c r="C34" i="30"/>
  <c r="I34" i="30"/>
  <c r="B35" i="30"/>
  <c r="C35" i="30"/>
  <c r="I35" i="30"/>
  <c r="B36" i="30"/>
  <c r="C36" i="30"/>
  <c r="I36" i="30"/>
  <c r="B37" i="30"/>
  <c r="C37" i="30"/>
  <c r="I37" i="30"/>
  <c r="B38" i="30"/>
  <c r="C38" i="30"/>
  <c r="I38" i="30"/>
  <c r="B39" i="30"/>
  <c r="C39" i="30"/>
  <c r="I39" i="30"/>
  <c r="B40" i="30"/>
  <c r="C40" i="30"/>
  <c r="I40" i="30"/>
  <c r="B41" i="30"/>
  <c r="C41" i="30"/>
  <c r="I41" i="30"/>
  <c r="B42" i="30"/>
  <c r="C42" i="30"/>
  <c r="I42" i="30"/>
  <c r="B43" i="30"/>
  <c r="C43" i="30"/>
  <c r="I43" i="30"/>
  <c r="B44" i="30"/>
  <c r="C44" i="30"/>
  <c r="I44" i="30"/>
  <c r="B45" i="30"/>
  <c r="C45" i="30"/>
  <c r="I45" i="30"/>
  <c r="B46" i="30"/>
  <c r="C46" i="30"/>
  <c r="I46" i="30"/>
  <c r="B47" i="30"/>
  <c r="C47" i="30"/>
  <c r="I47" i="30"/>
  <c r="B48" i="30"/>
  <c r="C48" i="30"/>
  <c r="I48" i="30"/>
  <c r="B49" i="30"/>
  <c r="C49" i="30"/>
  <c r="I49" i="30"/>
  <c r="B50" i="30"/>
  <c r="C50" i="30"/>
  <c r="I50" i="30"/>
  <c r="B51" i="30"/>
  <c r="C51" i="30"/>
  <c r="I51" i="30"/>
  <c r="B52" i="30"/>
  <c r="C52" i="30"/>
  <c r="I52" i="30"/>
  <c r="B53" i="30"/>
  <c r="C53" i="30"/>
  <c r="I53" i="30"/>
  <c r="B54" i="30"/>
  <c r="C54" i="30"/>
  <c r="I54" i="30"/>
  <c r="B55" i="30"/>
  <c r="C55" i="30"/>
  <c r="I55" i="30"/>
  <c r="B56" i="30"/>
  <c r="C56" i="30"/>
  <c r="I56" i="30"/>
  <c r="B57" i="30"/>
  <c r="C57" i="30"/>
  <c r="I57" i="30"/>
  <c r="B58" i="30"/>
  <c r="C58" i="30"/>
  <c r="I58" i="30"/>
  <c r="B59" i="30"/>
  <c r="C59" i="30"/>
  <c r="I59" i="30"/>
  <c r="B60" i="30"/>
  <c r="C60" i="30"/>
  <c r="I60" i="30"/>
  <c r="B61" i="30"/>
  <c r="C61" i="30"/>
  <c r="I61" i="30"/>
  <c r="B62" i="30"/>
  <c r="C62" i="30"/>
  <c r="I62" i="30"/>
  <c r="B63" i="30"/>
  <c r="C63" i="30"/>
  <c r="I63" i="30"/>
  <c r="B64" i="30"/>
  <c r="C64" i="30"/>
  <c r="I64" i="30"/>
  <c r="B65" i="30"/>
  <c r="C65" i="30"/>
  <c r="I65" i="30"/>
  <c r="B66" i="30"/>
  <c r="C66" i="30"/>
  <c r="I66" i="30"/>
  <c r="B67" i="30"/>
  <c r="C67" i="30"/>
  <c r="I67" i="30"/>
  <c r="B68" i="30"/>
  <c r="C68" i="30"/>
  <c r="I68" i="30"/>
  <c r="B69" i="30"/>
  <c r="C69" i="30"/>
  <c r="I69" i="30"/>
  <c r="B70" i="30"/>
  <c r="C70" i="30"/>
  <c r="I70" i="30"/>
  <c r="B71" i="30"/>
  <c r="C71" i="30"/>
  <c r="I71" i="30"/>
  <c r="B72" i="30"/>
  <c r="C72" i="30"/>
  <c r="I72" i="30"/>
  <c r="B73" i="30"/>
  <c r="C73" i="30"/>
  <c r="I73" i="30"/>
  <c r="B74" i="30"/>
  <c r="C74" i="30"/>
  <c r="I74" i="30"/>
  <c r="B75" i="30"/>
  <c r="C75" i="30"/>
  <c r="I75" i="30"/>
  <c r="B76" i="30"/>
  <c r="C76" i="30"/>
  <c r="I76" i="30"/>
  <c r="B77" i="30"/>
  <c r="C77" i="30"/>
  <c r="I77" i="30"/>
  <c r="B78" i="30"/>
  <c r="C78" i="30"/>
  <c r="I78" i="30"/>
  <c r="B79" i="30"/>
  <c r="C79" i="30"/>
  <c r="I79" i="30"/>
  <c r="B80" i="30"/>
  <c r="C80" i="30"/>
  <c r="I80" i="30"/>
  <c r="B81" i="30"/>
  <c r="C81" i="30"/>
  <c r="I81" i="30"/>
  <c r="B82" i="30"/>
  <c r="C82" i="30"/>
  <c r="I82" i="30"/>
  <c r="B83" i="30"/>
  <c r="C83" i="30"/>
  <c r="I83" i="30"/>
  <c r="B84" i="30"/>
  <c r="C84" i="30"/>
  <c r="I84" i="30"/>
  <c r="B85" i="30"/>
  <c r="C85" i="30"/>
  <c r="I85" i="30"/>
  <c r="B86" i="30"/>
  <c r="C86" i="30"/>
  <c r="I86" i="30"/>
  <c r="B87" i="30"/>
  <c r="C87" i="30"/>
  <c r="I87" i="30"/>
  <c r="B88" i="30"/>
  <c r="C88" i="30"/>
  <c r="I88" i="30"/>
  <c r="B89" i="30"/>
  <c r="C89" i="30"/>
  <c r="I89" i="30"/>
  <c r="B90" i="30"/>
  <c r="C90" i="30"/>
  <c r="I90" i="30"/>
  <c r="B91" i="30"/>
  <c r="C91" i="30"/>
  <c r="I91" i="30"/>
  <c r="B92" i="30"/>
  <c r="C92" i="30"/>
  <c r="I92" i="30"/>
  <c r="B93" i="30"/>
  <c r="C93" i="30"/>
  <c r="I93" i="30"/>
  <c r="B94" i="30"/>
  <c r="C94" i="30"/>
  <c r="I94" i="30"/>
  <c r="B95" i="30"/>
  <c r="C95" i="30"/>
  <c r="I95" i="30"/>
  <c r="B96" i="30"/>
  <c r="C96" i="30"/>
  <c r="I96" i="30"/>
  <c r="B97" i="30"/>
  <c r="C97" i="30"/>
  <c r="I97" i="30"/>
  <c r="B98" i="30"/>
  <c r="C98" i="30"/>
  <c r="I98" i="30"/>
  <c r="B99" i="30"/>
  <c r="C99" i="30"/>
  <c r="I99" i="30"/>
  <c r="B100" i="30"/>
  <c r="C100" i="30"/>
  <c r="I100" i="30"/>
  <c r="B101" i="30"/>
  <c r="C101" i="30"/>
  <c r="I101" i="30"/>
  <c r="B102" i="30"/>
  <c r="C102" i="30"/>
  <c r="I102" i="30"/>
  <c r="B103" i="30"/>
  <c r="C103" i="30"/>
  <c r="I103" i="30"/>
  <c r="B104" i="30"/>
  <c r="C104" i="30"/>
  <c r="I104" i="30"/>
  <c r="B105" i="30"/>
  <c r="C105" i="30"/>
  <c r="I105" i="30"/>
  <c r="B106" i="30"/>
  <c r="C106" i="30"/>
  <c r="I106" i="30"/>
  <c r="B107" i="30"/>
  <c r="C107" i="30"/>
  <c r="I107" i="30"/>
  <c r="B108" i="30"/>
  <c r="C108" i="30"/>
  <c r="I108" i="30"/>
  <c r="B109" i="30"/>
  <c r="C109" i="30"/>
  <c r="I109" i="30"/>
  <c r="B110" i="30"/>
  <c r="C110" i="30"/>
  <c r="I110" i="30"/>
  <c r="B111" i="30"/>
  <c r="C111" i="30"/>
  <c r="I111" i="30"/>
  <c r="B112" i="30"/>
  <c r="C112" i="30"/>
  <c r="I112" i="30"/>
  <c r="B113" i="30"/>
  <c r="C113" i="30"/>
  <c r="I113" i="30"/>
  <c r="I14" i="30"/>
  <c r="I215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J65" i="30"/>
  <c r="J66" i="30"/>
  <c r="J67" i="30"/>
  <c r="J68" i="30"/>
  <c r="J69" i="30"/>
  <c r="J70" i="30"/>
  <c r="J71" i="30"/>
  <c r="J72" i="30"/>
  <c r="J73" i="30"/>
  <c r="J74" i="30"/>
  <c r="J75" i="30"/>
  <c r="J76" i="30"/>
  <c r="J77" i="30"/>
  <c r="J78" i="30"/>
  <c r="J79" i="30"/>
  <c r="J80" i="30"/>
  <c r="J81" i="30"/>
  <c r="J82" i="30"/>
  <c r="J83" i="30"/>
  <c r="J84" i="30"/>
  <c r="J85" i="30"/>
  <c r="J86" i="30"/>
  <c r="J87" i="30"/>
  <c r="J88" i="30"/>
  <c r="J89" i="30"/>
  <c r="J90" i="30"/>
  <c r="J91" i="30"/>
  <c r="J92" i="30"/>
  <c r="J93" i="30"/>
  <c r="J94" i="30"/>
  <c r="J95" i="30"/>
  <c r="J96" i="30"/>
  <c r="J97" i="30"/>
  <c r="J98" i="30"/>
  <c r="J99" i="30"/>
  <c r="J100" i="30"/>
  <c r="J101" i="30"/>
  <c r="J102" i="30"/>
  <c r="J103" i="30"/>
  <c r="J104" i="30"/>
  <c r="J105" i="30"/>
  <c r="J106" i="30"/>
  <c r="J107" i="30"/>
  <c r="J108" i="30"/>
  <c r="J109" i="30"/>
  <c r="J110" i="30"/>
  <c r="J111" i="30"/>
  <c r="J112" i="30"/>
  <c r="J113" i="30"/>
  <c r="J14" i="30"/>
  <c r="J215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4" i="30"/>
  <c r="H215" i="30"/>
  <c r="J216" i="30"/>
  <c r="N17" i="30"/>
  <c r="B3" i="30"/>
  <c r="B8" i="30"/>
  <c r="B4" i="30"/>
  <c r="B9" i="30"/>
  <c r="B14" i="30"/>
  <c r="C14" i="30"/>
  <c r="C15" i="30"/>
  <c r="C16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B207" i="30"/>
  <c r="D207" i="30"/>
  <c r="B208" i="30"/>
  <c r="D208" i="30"/>
  <c r="B209" i="30"/>
  <c r="C209" i="30"/>
  <c r="D209" i="30"/>
  <c r="B210" i="30"/>
  <c r="C210" i="30"/>
  <c r="D210" i="30"/>
  <c r="B211" i="30"/>
  <c r="C211" i="30"/>
  <c r="D211" i="30"/>
  <c r="B212" i="30"/>
  <c r="C212" i="30"/>
  <c r="D212" i="30"/>
  <c r="B213" i="30"/>
  <c r="C213" i="30"/>
  <c r="D213" i="30"/>
  <c r="B214" i="30"/>
  <c r="C214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104" i="30"/>
  <c r="E105" i="30"/>
  <c r="E106" i="30"/>
  <c r="E107" i="30"/>
  <c r="E108" i="30"/>
  <c r="E109" i="30"/>
  <c r="E110" i="30"/>
  <c r="E111" i="30"/>
  <c r="E112" i="30"/>
  <c r="E113" i="30"/>
  <c r="E114" i="30"/>
  <c r="E115" i="30"/>
  <c r="E116" i="30"/>
  <c r="E117" i="30"/>
  <c r="E118" i="30"/>
  <c r="E119" i="30"/>
  <c r="E120" i="30"/>
  <c r="E121" i="30"/>
  <c r="E122" i="30"/>
  <c r="E123" i="30"/>
  <c r="E124" i="30"/>
  <c r="E125" i="30"/>
  <c r="E126" i="30"/>
  <c r="E127" i="30"/>
  <c r="E128" i="30"/>
  <c r="E129" i="30"/>
  <c r="E130" i="30"/>
  <c r="E131" i="30"/>
  <c r="E132" i="30"/>
  <c r="E133" i="30"/>
  <c r="E134" i="30"/>
  <c r="E135" i="30"/>
  <c r="E136" i="30"/>
  <c r="E137" i="30"/>
  <c r="E138" i="30"/>
  <c r="E139" i="30"/>
  <c r="E140" i="30"/>
  <c r="E141" i="30"/>
  <c r="E142" i="30"/>
  <c r="E143" i="30"/>
  <c r="E144" i="30"/>
  <c r="E145" i="30"/>
  <c r="E146" i="30"/>
  <c r="E147" i="30"/>
  <c r="E148" i="30"/>
  <c r="E149" i="30"/>
  <c r="E150" i="30"/>
  <c r="E151" i="30"/>
  <c r="E152" i="30"/>
  <c r="E153" i="30"/>
  <c r="E154" i="30"/>
  <c r="E155" i="30"/>
  <c r="E156" i="30"/>
  <c r="E157" i="30"/>
  <c r="E158" i="30"/>
  <c r="E159" i="30"/>
  <c r="E160" i="30"/>
  <c r="E161" i="30"/>
  <c r="E162" i="30"/>
  <c r="E163" i="30"/>
  <c r="E164" i="30"/>
  <c r="E165" i="30"/>
  <c r="E166" i="30"/>
  <c r="E167" i="30"/>
  <c r="E168" i="30"/>
  <c r="E169" i="30"/>
  <c r="E170" i="30"/>
  <c r="E171" i="30"/>
  <c r="E172" i="30"/>
  <c r="E173" i="30"/>
  <c r="E174" i="30"/>
  <c r="E175" i="30"/>
  <c r="E176" i="30"/>
  <c r="E177" i="30"/>
  <c r="E178" i="30"/>
  <c r="E179" i="30"/>
  <c r="E180" i="30"/>
  <c r="E181" i="30"/>
  <c r="E182" i="30"/>
  <c r="E183" i="30"/>
  <c r="E184" i="30"/>
  <c r="E185" i="30"/>
  <c r="E186" i="30"/>
  <c r="E187" i="30"/>
  <c r="E188" i="30"/>
  <c r="E189" i="30"/>
  <c r="E190" i="30"/>
  <c r="E191" i="30"/>
  <c r="E192" i="30"/>
  <c r="E193" i="30"/>
  <c r="E194" i="30"/>
  <c r="E195" i="30"/>
  <c r="E196" i="30"/>
  <c r="E197" i="30"/>
  <c r="E198" i="30"/>
  <c r="E199" i="30"/>
  <c r="E200" i="30"/>
  <c r="E201" i="30"/>
  <c r="E202" i="30"/>
  <c r="E203" i="30"/>
  <c r="E204" i="30"/>
  <c r="E205" i="30"/>
  <c r="E206" i="30"/>
  <c r="E207" i="30"/>
  <c r="E208" i="30"/>
  <c r="E209" i="30"/>
  <c r="E210" i="30"/>
  <c r="E211" i="30"/>
  <c r="E212" i="30"/>
  <c r="E213" i="30"/>
  <c r="E214" i="30"/>
  <c r="E215" i="30"/>
  <c r="E216" i="30"/>
  <c r="F95" i="27"/>
  <c r="F94" i="27"/>
  <c r="F93" i="27"/>
  <c r="F92" i="27"/>
  <c r="F91" i="27"/>
  <c r="F90" i="27"/>
  <c r="F89" i="27"/>
  <c r="F88" i="27"/>
  <c r="F87" i="27"/>
  <c r="F86" i="27"/>
  <c r="F85" i="27"/>
  <c r="F84" i="27"/>
  <c r="F83" i="27"/>
  <c r="F82" i="27"/>
  <c r="F81" i="27"/>
  <c r="F80" i="27"/>
  <c r="F79" i="27"/>
  <c r="F78" i="27"/>
  <c r="F77" i="27"/>
  <c r="F76" i="27"/>
  <c r="F75" i="27"/>
  <c r="F74" i="27"/>
  <c r="F73" i="27"/>
  <c r="F72" i="27"/>
  <c r="F71" i="27"/>
  <c r="F70" i="27"/>
  <c r="F69" i="27"/>
  <c r="F68" i="27"/>
  <c r="F67" i="27"/>
  <c r="F66" i="27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30" i="27"/>
  <c r="F29" i="27"/>
  <c r="F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18" i="27"/>
  <c r="B16" i="27"/>
  <c r="B17" i="27"/>
  <c r="B15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9" i="27"/>
  <c r="C98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H16" i="27"/>
  <c r="J16" i="27"/>
  <c r="H17" i="27"/>
  <c r="J17" i="27"/>
  <c r="H18" i="27"/>
  <c r="J18" i="27"/>
  <c r="H19" i="27"/>
  <c r="J19" i="27"/>
  <c r="H20" i="27"/>
  <c r="J20" i="27"/>
  <c r="H21" i="27"/>
  <c r="J21" i="27"/>
  <c r="H22" i="27"/>
  <c r="J22" i="27"/>
  <c r="H23" i="27"/>
  <c r="J23" i="27"/>
  <c r="H24" i="27"/>
  <c r="J24" i="27"/>
  <c r="H25" i="27"/>
  <c r="J25" i="27"/>
  <c r="H26" i="27"/>
  <c r="J26" i="27"/>
  <c r="H27" i="27"/>
  <c r="J27" i="27"/>
  <c r="H28" i="27"/>
  <c r="J28" i="27"/>
  <c r="H29" i="27"/>
  <c r="J29" i="27"/>
  <c r="H30" i="27"/>
  <c r="J30" i="27"/>
  <c r="H31" i="27"/>
  <c r="J31" i="27"/>
  <c r="H32" i="27"/>
  <c r="J32" i="27"/>
  <c r="H33" i="27"/>
  <c r="J33" i="27"/>
  <c r="H34" i="27"/>
  <c r="J34" i="27"/>
  <c r="H35" i="27"/>
  <c r="J35" i="27"/>
  <c r="H36" i="27"/>
  <c r="J36" i="27"/>
  <c r="H37" i="27"/>
  <c r="J37" i="27"/>
  <c r="H38" i="27"/>
  <c r="J38" i="27"/>
  <c r="H39" i="27"/>
  <c r="J39" i="27"/>
  <c r="H40" i="27"/>
  <c r="J40" i="27"/>
  <c r="H41" i="27"/>
  <c r="J41" i="27"/>
  <c r="H42" i="27"/>
  <c r="J42" i="27"/>
  <c r="H43" i="27"/>
  <c r="J43" i="27"/>
  <c r="H44" i="27"/>
  <c r="J44" i="27"/>
  <c r="H45" i="27"/>
  <c r="J45" i="27"/>
  <c r="H46" i="27"/>
  <c r="J46" i="27"/>
  <c r="H47" i="27"/>
  <c r="J47" i="27"/>
  <c r="H48" i="27"/>
  <c r="J48" i="27"/>
  <c r="H49" i="27"/>
  <c r="J49" i="27"/>
  <c r="H50" i="27"/>
  <c r="J50" i="27"/>
  <c r="H51" i="27"/>
  <c r="J51" i="27"/>
  <c r="H52" i="27"/>
  <c r="J52" i="27"/>
  <c r="H53" i="27"/>
  <c r="J53" i="27"/>
  <c r="H54" i="27"/>
  <c r="J54" i="27"/>
  <c r="H55" i="27"/>
  <c r="J55" i="27"/>
  <c r="H56" i="27"/>
  <c r="J56" i="27"/>
  <c r="H57" i="27"/>
  <c r="J57" i="27"/>
  <c r="H58" i="27"/>
  <c r="J58" i="27"/>
  <c r="H59" i="27"/>
  <c r="J59" i="27"/>
  <c r="H60" i="27"/>
  <c r="J60" i="27"/>
  <c r="H61" i="27"/>
  <c r="J61" i="27"/>
  <c r="H62" i="27"/>
  <c r="J62" i="27"/>
  <c r="H63" i="27"/>
  <c r="J63" i="27"/>
  <c r="H64" i="27"/>
  <c r="J64" i="27"/>
  <c r="H65" i="27"/>
  <c r="J65" i="27"/>
  <c r="H66" i="27"/>
  <c r="J66" i="27"/>
  <c r="H67" i="27"/>
  <c r="J67" i="27"/>
  <c r="H68" i="27"/>
  <c r="J68" i="27"/>
  <c r="H69" i="27"/>
  <c r="J69" i="27"/>
  <c r="H70" i="27"/>
  <c r="J70" i="27"/>
  <c r="H71" i="27"/>
  <c r="J71" i="27"/>
  <c r="H72" i="27"/>
  <c r="J72" i="27"/>
  <c r="H73" i="27"/>
  <c r="J73" i="27"/>
  <c r="H74" i="27"/>
  <c r="J74" i="27"/>
  <c r="H75" i="27"/>
  <c r="J75" i="27"/>
  <c r="H76" i="27"/>
  <c r="J76" i="27"/>
  <c r="H77" i="27"/>
  <c r="J77" i="27"/>
  <c r="H78" i="27"/>
  <c r="J78" i="27"/>
  <c r="H79" i="27"/>
  <c r="J79" i="27"/>
  <c r="H80" i="27"/>
  <c r="J80" i="27"/>
  <c r="H81" i="27"/>
  <c r="J81" i="27"/>
  <c r="H82" i="27"/>
  <c r="J82" i="27"/>
  <c r="H83" i="27"/>
  <c r="J83" i="27"/>
  <c r="H84" i="27"/>
  <c r="J84" i="27"/>
  <c r="H85" i="27"/>
  <c r="J85" i="27"/>
  <c r="H86" i="27"/>
  <c r="J86" i="27"/>
  <c r="H87" i="27"/>
  <c r="J87" i="27"/>
  <c r="H88" i="27"/>
  <c r="J88" i="27"/>
  <c r="H89" i="27"/>
  <c r="J89" i="27"/>
  <c r="H90" i="27"/>
  <c r="J90" i="27"/>
  <c r="H91" i="27"/>
  <c r="J91" i="27"/>
  <c r="H92" i="27"/>
  <c r="J92" i="27"/>
  <c r="H93" i="27"/>
  <c r="J93" i="27"/>
  <c r="H94" i="27"/>
  <c r="J94" i="27"/>
  <c r="H95" i="27"/>
  <c r="J95" i="27"/>
  <c r="J96" i="27"/>
  <c r="B9" i="27"/>
  <c r="B4" i="27"/>
  <c r="B8" i="27"/>
  <c r="C412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4" i="28"/>
  <c r="C145" i="28"/>
  <c r="C146" i="28"/>
  <c r="C147" i="28"/>
  <c r="C148" i="28"/>
  <c r="C149" i="28"/>
  <c r="C150" i="28"/>
  <c r="C151" i="28"/>
  <c r="C152" i="28"/>
  <c r="C153" i="28"/>
  <c r="C154" i="28"/>
  <c r="C155" i="28"/>
  <c r="C156" i="28"/>
  <c r="C157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6" i="28"/>
  <c r="C177" i="28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C216" i="28"/>
  <c r="C217" i="28"/>
  <c r="C218" i="28"/>
  <c r="C219" i="28"/>
  <c r="C220" i="28"/>
  <c r="C221" i="28"/>
  <c r="C222" i="28"/>
  <c r="C223" i="28"/>
  <c r="C224" i="28"/>
  <c r="C225" i="28"/>
  <c r="C226" i="28"/>
  <c r="C227" i="28"/>
  <c r="C228" i="28"/>
  <c r="C229" i="28"/>
  <c r="C230" i="28"/>
  <c r="C231" i="28"/>
  <c r="C232" i="28"/>
  <c r="C233" i="28"/>
  <c r="C234" i="28"/>
  <c r="C235" i="28"/>
  <c r="C236" i="28"/>
  <c r="C237" i="28"/>
  <c r="C238" i="28"/>
  <c r="C239" i="28"/>
  <c r="C240" i="28"/>
  <c r="C241" i="28"/>
  <c r="C242" i="28"/>
  <c r="C243" i="28"/>
  <c r="C244" i="28"/>
  <c r="C245" i="28"/>
  <c r="C246" i="28"/>
  <c r="C247" i="28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C260" i="28"/>
  <c r="C261" i="28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1" i="28"/>
  <c r="C282" i="28"/>
  <c r="C283" i="28"/>
  <c r="C284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C316" i="28"/>
  <c r="C317" i="28"/>
  <c r="C318" i="28"/>
  <c r="C319" i="28"/>
  <c r="C320" i="28"/>
  <c r="C321" i="28"/>
  <c r="C322" i="28"/>
  <c r="C323" i="28"/>
  <c r="C324" i="28"/>
  <c r="C325" i="28"/>
  <c r="C326" i="28"/>
  <c r="C327" i="28"/>
  <c r="C328" i="28"/>
  <c r="C329" i="28"/>
  <c r="C330" i="28"/>
  <c r="C331" i="28"/>
  <c r="C332" i="28"/>
  <c r="C333" i="28"/>
  <c r="C334" i="28"/>
  <c r="C335" i="28"/>
  <c r="C336" i="28"/>
  <c r="C337" i="28"/>
  <c r="C338" i="28"/>
  <c r="C339" i="28"/>
  <c r="C340" i="28"/>
  <c r="C341" i="28"/>
  <c r="C342" i="28"/>
  <c r="C343" i="28"/>
  <c r="C344" i="28"/>
  <c r="C345" i="28"/>
  <c r="C346" i="28"/>
  <c r="C347" i="28"/>
  <c r="C348" i="28"/>
  <c r="C349" i="28"/>
  <c r="C350" i="28"/>
  <c r="C351" i="28"/>
  <c r="C352" i="28"/>
  <c r="C353" i="28"/>
  <c r="C354" i="28"/>
  <c r="C355" i="28"/>
  <c r="C356" i="28"/>
  <c r="C357" i="28"/>
  <c r="C358" i="28"/>
  <c r="C359" i="28"/>
  <c r="C360" i="28"/>
  <c r="C361" i="28"/>
  <c r="C362" i="28"/>
  <c r="C363" i="28"/>
  <c r="C364" i="28"/>
  <c r="C365" i="28"/>
  <c r="C366" i="28"/>
  <c r="C367" i="28"/>
  <c r="C368" i="28"/>
  <c r="C369" i="28"/>
  <c r="C370" i="28"/>
  <c r="C371" i="28"/>
  <c r="C372" i="28"/>
  <c r="C373" i="28"/>
  <c r="C374" i="28"/>
  <c r="C375" i="28"/>
  <c r="C376" i="28"/>
  <c r="C377" i="28"/>
  <c r="C378" i="28"/>
  <c r="C379" i="28"/>
  <c r="C380" i="28"/>
  <c r="C381" i="28"/>
  <c r="C382" i="28"/>
  <c r="C383" i="28"/>
  <c r="C384" i="28"/>
  <c r="C385" i="28"/>
  <c r="C386" i="28"/>
  <c r="C387" i="28"/>
  <c r="C388" i="28"/>
  <c r="C389" i="28"/>
  <c r="C390" i="28"/>
  <c r="C391" i="28"/>
  <c r="C392" i="28"/>
  <c r="C393" i="28"/>
  <c r="C394" i="28"/>
  <c r="C395" i="28"/>
  <c r="C396" i="28"/>
  <c r="C397" i="28"/>
  <c r="C398" i="28"/>
  <c r="C399" i="28"/>
  <c r="C400" i="28"/>
  <c r="C401" i="28"/>
  <c r="C402" i="28"/>
  <c r="C403" i="28"/>
  <c r="C404" i="28"/>
  <c r="C405" i="28"/>
  <c r="C406" i="28"/>
  <c r="C407" i="28"/>
  <c r="C408" i="28"/>
  <c r="C409" i="28"/>
  <c r="C410" i="28"/>
  <c r="C411" i="28"/>
  <c r="C53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12" i="28"/>
  <c r="D411" i="28"/>
  <c r="D410" i="28"/>
  <c r="D409" i="28"/>
  <c r="D408" i="28"/>
  <c r="D407" i="28"/>
  <c r="D406" i="28"/>
  <c r="D405" i="28"/>
  <c r="D404" i="28"/>
  <c r="D403" i="28"/>
  <c r="D402" i="28"/>
  <c r="D401" i="28"/>
  <c r="D400" i="28"/>
  <c r="D399" i="28"/>
  <c r="D398" i="28"/>
  <c r="D397" i="28"/>
  <c r="D396" i="28"/>
  <c r="D395" i="28"/>
  <c r="D394" i="28"/>
  <c r="D393" i="28"/>
  <c r="D392" i="28"/>
  <c r="D391" i="28"/>
  <c r="D390" i="28"/>
  <c r="D389" i="28"/>
  <c r="D388" i="28"/>
  <c r="D387" i="28"/>
  <c r="D386" i="28"/>
  <c r="D385" i="28"/>
  <c r="D384" i="28"/>
  <c r="D383" i="28"/>
  <c r="D382" i="28"/>
  <c r="D381" i="28"/>
  <c r="D380" i="28"/>
  <c r="D379" i="28"/>
  <c r="D378" i="28"/>
  <c r="D377" i="28"/>
  <c r="D376" i="28"/>
  <c r="D375" i="28"/>
  <c r="D374" i="28"/>
  <c r="D373" i="28"/>
  <c r="D372" i="28"/>
  <c r="D371" i="28"/>
  <c r="D370" i="28"/>
  <c r="D369" i="28"/>
  <c r="D368" i="28"/>
  <c r="D367" i="28"/>
  <c r="D366" i="28"/>
  <c r="D365" i="28"/>
  <c r="D364" i="28"/>
  <c r="D363" i="28"/>
  <c r="D362" i="28"/>
  <c r="D361" i="28"/>
  <c r="D360" i="28"/>
  <c r="D359" i="28"/>
  <c r="D358" i="28"/>
  <c r="D357" i="28"/>
  <c r="D356" i="28"/>
  <c r="D355" i="28"/>
  <c r="D354" i="28"/>
  <c r="D353" i="28"/>
  <c r="D352" i="28"/>
  <c r="D351" i="28"/>
  <c r="D350" i="28"/>
  <c r="D349" i="28"/>
  <c r="D348" i="28"/>
  <c r="D347" i="28"/>
  <c r="D346" i="28"/>
  <c r="D345" i="28"/>
  <c r="D344" i="28"/>
  <c r="D343" i="28"/>
  <c r="D342" i="28"/>
  <c r="D341" i="28"/>
  <c r="D340" i="28"/>
  <c r="D339" i="28"/>
  <c r="D338" i="28"/>
  <c r="D337" i="28"/>
  <c r="D336" i="28"/>
  <c r="D335" i="28"/>
  <c r="D334" i="28"/>
  <c r="D333" i="28"/>
  <c r="D332" i="28"/>
  <c r="D331" i="28"/>
  <c r="D330" i="28"/>
  <c r="D329" i="28"/>
  <c r="D328" i="28"/>
  <c r="D327" i="28"/>
  <c r="D326" i="28"/>
  <c r="D325" i="28"/>
  <c r="D324" i="28"/>
  <c r="D323" i="28"/>
  <c r="D322" i="28"/>
  <c r="D321" i="28"/>
  <c r="D320" i="28"/>
  <c r="D319" i="28"/>
  <c r="D318" i="28"/>
  <c r="D317" i="28"/>
  <c r="D316" i="28"/>
  <c r="D315" i="28"/>
  <c r="D314" i="28"/>
  <c r="D313" i="28"/>
  <c r="D312" i="28"/>
  <c r="D311" i="28"/>
  <c r="D310" i="28"/>
  <c r="D309" i="28"/>
  <c r="D308" i="28"/>
  <c r="D307" i="28"/>
  <c r="D306" i="28"/>
  <c r="D305" i="28"/>
  <c r="D304" i="28"/>
  <c r="D303" i="28"/>
  <c r="D302" i="28"/>
  <c r="D301" i="28"/>
  <c r="D300" i="28"/>
  <c r="D299" i="28"/>
  <c r="D298" i="28"/>
  <c r="D297" i="28"/>
  <c r="D296" i="28"/>
  <c r="D295" i="28"/>
  <c r="D294" i="28"/>
  <c r="D293" i="28"/>
  <c r="D292" i="28"/>
  <c r="D291" i="28"/>
  <c r="D290" i="28"/>
  <c r="D289" i="28"/>
  <c r="D288" i="28"/>
  <c r="D287" i="28"/>
  <c r="D286" i="28"/>
  <c r="D285" i="28"/>
  <c r="D284" i="28"/>
  <c r="D283" i="28"/>
  <c r="D282" i="28"/>
  <c r="D281" i="28"/>
  <c r="D280" i="28"/>
  <c r="D279" i="28"/>
  <c r="D278" i="28"/>
  <c r="D277" i="28"/>
  <c r="D276" i="28"/>
  <c r="D275" i="28"/>
  <c r="D274" i="28"/>
  <c r="D273" i="28"/>
  <c r="D272" i="28"/>
  <c r="D271" i="28"/>
  <c r="D270" i="28"/>
  <c r="D269" i="28"/>
  <c r="D268" i="28"/>
  <c r="D267" i="28"/>
  <c r="D266" i="28"/>
  <c r="D265" i="28"/>
  <c r="D264" i="28"/>
  <c r="D263" i="28"/>
  <c r="D262" i="28"/>
  <c r="D261" i="28"/>
  <c r="D260" i="28"/>
  <c r="D259" i="28"/>
  <c r="D258" i="28"/>
  <c r="D257" i="28"/>
  <c r="D256" i="28"/>
  <c r="D255" i="28"/>
  <c r="D254" i="28"/>
  <c r="D253" i="28"/>
  <c r="D252" i="28"/>
  <c r="D251" i="28"/>
  <c r="D250" i="28"/>
  <c r="D249" i="28"/>
  <c r="D248" i="28"/>
  <c r="D247" i="28"/>
  <c r="D246" i="28"/>
  <c r="D245" i="28"/>
  <c r="D244" i="28"/>
  <c r="D243" i="28"/>
  <c r="D242" i="28"/>
  <c r="D241" i="28"/>
  <c r="D240" i="28"/>
  <c r="D239" i="28"/>
  <c r="D238" i="28"/>
  <c r="D237" i="28"/>
  <c r="D236" i="28"/>
  <c r="D235" i="28"/>
  <c r="D234" i="28"/>
  <c r="D233" i="28"/>
  <c r="D232" i="28"/>
  <c r="D231" i="28"/>
  <c r="D230" i="28"/>
  <c r="D229" i="28"/>
  <c r="D228" i="28"/>
  <c r="D227" i="28"/>
  <c r="D226" i="28"/>
  <c r="D225" i="28"/>
  <c r="D224" i="28"/>
  <c r="D223" i="28"/>
  <c r="D222" i="28"/>
  <c r="D221" i="28"/>
  <c r="D220" i="28"/>
  <c r="D219" i="28"/>
  <c r="D218" i="28"/>
  <c r="D217" i="28"/>
  <c r="D216" i="28"/>
  <c r="D215" i="28"/>
  <c r="D214" i="28"/>
  <c r="D213" i="28"/>
  <c r="D212" i="28"/>
  <c r="D211" i="28"/>
  <c r="D210" i="28"/>
  <c r="D209" i="28"/>
  <c r="D208" i="28"/>
  <c r="D207" i="28"/>
  <c r="D206" i="28"/>
  <c r="D205" i="28"/>
  <c r="D204" i="28"/>
  <c r="D203" i="28"/>
  <c r="D202" i="28"/>
  <c r="D201" i="28"/>
  <c r="D200" i="28"/>
  <c r="D199" i="28"/>
  <c r="D198" i="28"/>
  <c r="D197" i="28"/>
  <c r="D196" i="28"/>
  <c r="D195" i="28"/>
  <c r="D194" i="28"/>
  <c r="D193" i="28"/>
  <c r="D192" i="28"/>
  <c r="D191" i="28"/>
  <c r="D190" i="28"/>
  <c r="D189" i="28"/>
  <c r="D188" i="28"/>
  <c r="D187" i="28"/>
  <c r="D186" i="28"/>
  <c r="D185" i="28"/>
  <c r="D184" i="28"/>
  <c r="D183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5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412" i="28"/>
  <c r="B412" i="28"/>
  <c r="B411" i="28"/>
  <c r="B410" i="28"/>
  <c r="B409" i="28"/>
  <c r="B408" i="28"/>
  <c r="B407" i="28"/>
  <c r="B406" i="28"/>
  <c r="B405" i="28"/>
  <c r="B404" i="28"/>
  <c r="B403" i="28"/>
  <c r="B402" i="28"/>
  <c r="B401" i="28"/>
  <c r="B400" i="28"/>
  <c r="B399" i="28"/>
  <c r="B398" i="28"/>
  <c r="B397" i="28"/>
  <c r="B396" i="28"/>
  <c r="B395" i="28"/>
  <c r="B394" i="28"/>
  <c r="B393" i="28"/>
  <c r="B392" i="28"/>
  <c r="B391" i="28"/>
  <c r="B390" i="28"/>
  <c r="B389" i="28"/>
  <c r="B388" i="28"/>
  <c r="B387" i="28"/>
  <c r="B386" i="28"/>
  <c r="B385" i="28"/>
  <c r="B384" i="28"/>
  <c r="B383" i="28"/>
  <c r="B382" i="28"/>
  <c r="B381" i="28"/>
  <c r="B380" i="28"/>
  <c r="B379" i="28"/>
  <c r="B378" i="28"/>
  <c r="B377" i="28"/>
  <c r="B376" i="28"/>
  <c r="B375" i="28"/>
  <c r="B374" i="28"/>
  <c r="B373" i="28"/>
  <c r="B372" i="28"/>
  <c r="B371" i="28"/>
  <c r="B370" i="28"/>
  <c r="B369" i="28"/>
  <c r="B368" i="28"/>
  <c r="B367" i="28"/>
  <c r="B366" i="28"/>
  <c r="B365" i="28"/>
  <c r="B364" i="28"/>
  <c r="B363" i="28"/>
  <c r="B362" i="28"/>
  <c r="B361" i="28"/>
  <c r="B360" i="28"/>
  <c r="B359" i="28"/>
  <c r="B358" i="28"/>
  <c r="B357" i="28"/>
  <c r="B356" i="28"/>
  <c r="B355" i="28"/>
  <c r="B354" i="28"/>
  <c r="B353" i="28"/>
  <c r="B352" i="28"/>
  <c r="B351" i="28"/>
  <c r="B350" i="28"/>
  <c r="B349" i="28"/>
  <c r="B348" i="28"/>
  <c r="B347" i="28"/>
  <c r="B346" i="28"/>
  <c r="B345" i="28"/>
  <c r="B344" i="28"/>
  <c r="B343" i="28"/>
  <c r="B342" i="28"/>
  <c r="B341" i="28"/>
  <c r="B340" i="28"/>
  <c r="B339" i="28"/>
  <c r="B338" i="28"/>
  <c r="B337" i="28"/>
  <c r="B336" i="28"/>
  <c r="B335" i="28"/>
  <c r="B334" i="28"/>
  <c r="B333" i="28"/>
  <c r="B332" i="28"/>
  <c r="B331" i="28"/>
  <c r="B330" i="28"/>
  <c r="B329" i="28"/>
  <c r="B328" i="28"/>
  <c r="B327" i="28"/>
  <c r="B326" i="28"/>
  <c r="B325" i="28"/>
  <c r="B324" i="28"/>
  <c r="B323" i="28"/>
  <c r="B322" i="28"/>
  <c r="B321" i="28"/>
  <c r="B320" i="28"/>
  <c r="B319" i="28"/>
  <c r="B318" i="28"/>
  <c r="B317" i="28"/>
  <c r="B316" i="28"/>
  <c r="B315" i="28"/>
  <c r="B314" i="28"/>
  <c r="B313" i="28"/>
  <c r="B312" i="28"/>
  <c r="B311" i="28"/>
  <c r="B310" i="28"/>
  <c r="B309" i="28"/>
  <c r="B308" i="28"/>
  <c r="B307" i="28"/>
  <c r="B306" i="28"/>
  <c r="B305" i="28"/>
  <c r="B304" i="28"/>
  <c r="B303" i="28"/>
  <c r="B302" i="28"/>
  <c r="B301" i="28"/>
  <c r="B300" i="28"/>
  <c r="B299" i="28"/>
  <c r="B298" i="28"/>
  <c r="B297" i="28"/>
  <c r="B296" i="28"/>
  <c r="B295" i="28"/>
  <c r="B294" i="28"/>
  <c r="B293" i="28"/>
  <c r="B292" i="28"/>
  <c r="B291" i="28"/>
  <c r="B290" i="28"/>
  <c r="B289" i="28"/>
  <c r="B288" i="28"/>
  <c r="B287" i="28"/>
  <c r="B286" i="28"/>
  <c r="B285" i="28"/>
  <c r="B284" i="28"/>
  <c r="B283" i="28"/>
  <c r="B282" i="28"/>
  <c r="B281" i="28"/>
  <c r="B280" i="28"/>
  <c r="B279" i="28"/>
  <c r="B278" i="28"/>
  <c r="B277" i="28"/>
  <c r="B276" i="28"/>
  <c r="B275" i="28"/>
  <c r="B274" i="28"/>
  <c r="B273" i="28"/>
  <c r="B272" i="28"/>
  <c r="B271" i="28"/>
  <c r="B270" i="28"/>
  <c r="B269" i="28"/>
  <c r="B268" i="28"/>
  <c r="B267" i="28"/>
  <c r="B266" i="28"/>
  <c r="B265" i="28"/>
  <c r="B264" i="28"/>
  <c r="B263" i="28"/>
  <c r="B262" i="28"/>
  <c r="B261" i="28"/>
  <c r="B260" i="28"/>
  <c r="B259" i="28"/>
  <c r="B258" i="28"/>
  <c r="B257" i="28"/>
  <c r="B256" i="28"/>
  <c r="B255" i="28"/>
  <c r="B254" i="28"/>
  <c r="B253" i="28"/>
  <c r="B252" i="28"/>
  <c r="B251" i="28"/>
  <c r="B250" i="28"/>
  <c r="B249" i="28"/>
  <c r="B248" i="28"/>
  <c r="B247" i="28"/>
  <c r="B246" i="28"/>
  <c r="B245" i="28"/>
  <c r="B244" i="28"/>
  <c r="B243" i="28"/>
  <c r="B242" i="28"/>
  <c r="B241" i="28"/>
  <c r="B240" i="28"/>
  <c r="B239" i="28"/>
  <c r="B238" i="28"/>
  <c r="B237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B221" i="28"/>
  <c r="B220" i="28"/>
  <c r="B219" i="28"/>
  <c r="B218" i="28"/>
  <c r="B217" i="28"/>
  <c r="B216" i="28"/>
  <c r="B215" i="28"/>
  <c r="B214" i="28"/>
  <c r="B213" i="28"/>
  <c r="B212" i="28"/>
  <c r="B211" i="28"/>
  <c r="B210" i="28"/>
  <c r="B209" i="28"/>
  <c r="B208" i="28"/>
  <c r="B207" i="28"/>
  <c r="B206" i="28"/>
  <c r="B205" i="28"/>
  <c r="B204" i="28"/>
  <c r="B203" i="28"/>
  <c r="B202" i="28"/>
  <c r="B201" i="28"/>
  <c r="B200" i="28"/>
  <c r="B199" i="28"/>
  <c r="B198" i="28"/>
  <c r="B197" i="28"/>
  <c r="B196" i="28"/>
  <c r="B195" i="28"/>
  <c r="B194" i="28"/>
  <c r="B193" i="28"/>
  <c r="B192" i="28"/>
  <c r="B191" i="28"/>
  <c r="B190" i="28"/>
  <c r="B189" i="28"/>
  <c r="B188" i="28"/>
  <c r="B187" i="28"/>
  <c r="B186" i="28"/>
  <c r="B185" i="28"/>
  <c r="B184" i="28"/>
  <c r="B183" i="28"/>
  <c r="B182" i="28"/>
  <c r="B181" i="28"/>
  <c r="B180" i="28"/>
  <c r="B179" i="28"/>
  <c r="B178" i="28"/>
  <c r="B177" i="28"/>
  <c r="B176" i="28"/>
  <c r="B175" i="28"/>
  <c r="B174" i="28"/>
  <c r="B173" i="28"/>
  <c r="B172" i="28"/>
  <c r="B171" i="28"/>
  <c r="B170" i="28"/>
  <c r="B169" i="28"/>
  <c r="B168" i="28"/>
  <c r="B167" i="28"/>
  <c r="B166" i="28"/>
  <c r="B165" i="28"/>
  <c r="B164" i="28"/>
  <c r="B163" i="28"/>
  <c r="B162" i="28"/>
  <c r="B161" i="28"/>
  <c r="B160" i="28"/>
  <c r="B159" i="28"/>
  <c r="B158" i="28"/>
  <c r="B157" i="28"/>
  <c r="B156" i="28"/>
  <c r="B155" i="28"/>
  <c r="B154" i="28"/>
  <c r="B153" i="28"/>
  <c r="B152" i="28"/>
  <c r="B151" i="28"/>
  <c r="B150" i="28"/>
  <c r="B149" i="28"/>
  <c r="B148" i="28"/>
  <c r="B147" i="28"/>
  <c r="B146" i="28"/>
  <c r="B145" i="28"/>
  <c r="B144" i="28"/>
  <c r="B143" i="28"/>
  <c r="B142" i="28"/>
  <c r="B141" i="28"/>
  <c r="B140" i="28"/>
  <c r="B139" i="28"/>
  <c r="B138" i="28"/>
  <c r="B137" i="28"/>
  <c r="B136" i="28"/>
  <c r="B135" i="28"/>
  <c r="B134" i="28"/>
  <c r="B133" i="28"/>
  <c r="B132" i="28"/>
  <c r="B131" i="28"/>
  <c r="B130" i="28"/>
  <c r="B129" i="28"/>
  <c r="B128" i="28"/>
  <c r="B127" i="28"/>
  <c r="B126" i="28"/>
  <c r="B125" i="28"/>
  <c r="B124" i="28"/>
  <c r="B123" i="28"/>
  <c r="B122" i="28"/>
  <c r="B121" i="28"/>
  <c r="B120" i="28"/>
  <c r="B119" i="28"/>
  <c r="B118" i="28"/>
  <c r="B117" i="28"/>
  <c r="B116" i="28"/>
  <c r="B115" i="28"/>
  <c r="B114" i="28"/>
  <c r="B113" i="28"/>
  <c r="B112" i="28"/>
  <c r="B111" i="28"/>
  <c r="B110" i="28"/>
  <c r="B109" i="28"/>
  <c r="B108" i="28"/>
  <c r="B107" i="28"/>
  <c r="B106" i="28"/>
  <c r="B105" i="28"/>
  <c r="B104" i="28"/>
  <c r="B103" i="28"/>
  <c r="B102" i="28"/>
  <c r="B101" i="28"/>
  <c r="B100" i="28"/>
  <c r="B99" i="28"/>
  <c r="B98" i="28"/>
  <c r="B97" i="28"/>
  <c r="B96" i="28"/>
  <c r="B95" i="28"/>
  <c r="B94" i="28"/>
  <c r="B93" i="28"/>
  <c r="B92" i="28"/>
  <c r="B91" i="28"/>
  <c r="B90" i="28"/>
  <c r="B89" i="28"/>
  <c r="B88" i="28"/>
  <c r="B87" i="28"/>
  <c r="B86" i="28"/>
  <c r="B85" i="28"/>
  <c r="B84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4" i="28"/>
  <c r="B4" i="29"/>
  <c r="J34" i="29"/>
  <c r="J26" i="29"/>
  <c r="K26" i="29"/>
  <c r="B16" i="29"/>
  <c r="C16" i="29"/>
  <c r="D16" i="29"/>
  <c r="B9" i="29"/>
  <c r="B8" i="29"/>
  <c r="B17" i="29"/>
  <c r="C17" i="29"/>
  <c r="D17" i="29"/>
  <c r="B18" i="29"/>
  <c r="C18" i="29"/>
  <c r="D18" i="29"/>
  <c r="B19" i="29"/>
  <c r="C19" i="29"/>
  <c r="D19" i="29"/>
  <c r="B20" i="29"/>
  <c r="C20" i="29"/>
  <c r="D20" i="29"/>
  <c r="B21" i="29"/>
  <c r="C21" i="29"/>
  <c r="D21" i="29"/>
  <c r="B22" i="29"/>
  <c r="C22" i="29"/>
  <c r="D22" i="29"/>
  <c r="B23" i="29"/>
  <c r="C23" i="29"/>
  <c r="D23" i="29"/>
  <c r="B24" i="29"/>
  <c r="C24" i="29"/>
  <c r="D24" i="29"/>
  <c r="B25" i="29"/>
  <c r="C25" i="29"/>
  <c r="D25" i="29"/>
  <c r="B26" i="29"/>
  <c r="C26" i="29"/>
  <c r="D26" i="29"/>
  <c r="B27" i="29"/>
  <c r="C27" i="29"/>
  <c r="D27" i="29"/>
  <c r="B28" i="29"/>
  <c r="C28" i="29"/>
  <c r="D28" i="29"/>
  <c r="B29" i="29"/>
  <c r="C29" i="29"/>
  <c r="D29" i="29"/>
  <c r="B30" i="29"/>
  <c r="C30" i="29"/>
  <c r="D30" i="29"/>
  <c r="B31" i="29"/>
  <c r="C31" i="29"/>
  <c r="D31" i="29"/>
  <c r="B32" i="29"/>
  <c r="C32" i="29"/>
  <c r="D32" i="29"/>
  <c r="B33" i="29"/>
  <c r="C33" i="29"/>
  <c r="D33" i="29"/>
  <c r="G14" i="29"/>
  <c r="G15" i="29"/>
  <c r="B14" i="29"/>
  <c r="C14" i="29"/>
  <c r="D14" i="29"/>
  <c r="B15" i="29"/>
  <c r="C15" i="29"/>
  <c r="D15" i="29"/>
  <c r="D36" i="29"/>
  <c r="D37" i="29"/>
  <c r="D38" i="29"/>
  <c r="G16" i="29"/>
  <c r="L34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25" i="29"/>
  <c r="K25" i="29"/>
  <c r="L25" i="29"/>
  <c r="J24" i="29"/>
  <c r="J16" i="29"/>
  <c r="K16" i="29"/>
  <c r="G11" i="29"/>
  <c r="G12" i="29"/>
  <c r="G13" i="29"/>
  <c r="L24" i="29"/>
  <c r="L16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J22" i="29"/>
  <c r="K22" i="29"/>
  <c r="L22" i="29"/>
  <c r="J23" i="29"/>
  <c r="K23" i="29"/>
  <c r="L23" i="29"/>
  <c r="J15" i="29"/>
  <c r="J14" i="29"/>
  <c r="B34" i="29"/>
  <c r="K34" i="29"/>
  <c r="K24" i="29"/>
  <c r="K15" i="29"/>
  <c r="K14" i="29"/>
  <c r="I34" i="26"/>
  <c r="B14" i="26"/>
  <c r="E14" i="26"/>
  <c r="B15" i="26"/>
  <c r="E15" i="26"/>
  <c r="B16" i="26"/>
  <c r="E16" i="26"/>
  <c r="B17" i="26"/>
  <c r="E17" i="26"/>
  <c r="B18" i="26"/>
  <c r="E18" i="26"/>
  <c r="B19" i="26"/>
  <c r="E19" i="26"/>
  <c r="B20" i="26"/>
  <c r="E20" i="26"/>
  <c r="B21" i="26"/>
  <c r="E21" i="26"/>
  <c r="B22" i="26"/>
  <c r="E22" i="26"/>
  <c r="B23" i="26"/>
  <c r="E23" i="26"/>
  <c r="B24" i="26"/>
  <c r="E24" i="26"/>
  <c r="B25" i="26"/>
  <c r="E25" i="26"/>
  <c r="B26" i="26"/>
  <c r="E26" i="26"/>
  <c r="B27" i="26"/>
  <c r="E27" i="26"/>
  <c r="B28" i="26"/>
  <c r="E28" i="26"/>
  <c r="B29" i="26"/>
  <c r="E29" i="26"/>
  <c r="B30" i="26"/>
  <c r="E30" i="26"/>
  <c r="B31" i="26"/>
  <c r="E31" i="26"/>
  <c r="B32" i="26"/>
  <c r="E32" i="26"/>
  <c r="B33" i="26"/>
  <c r="E33" i="26"/>
  <c r="B34" i="26"/>
  <c r="E34" i="26"/>
  <c r="B35" i="26"/>
  <c r="E35" i="26"/>
  <c r="B36" i="26"/>
  <c r="E36" i="26"/>
  <c r="B37" i="26"/>
  <c r="E37" i="26"/>
  <c r="B38" i="26"/>
  <c r="E38" i="26"/>
  <c r="B39" i="26"/>
  <c r="E39" i="26"/>
  <c r="B40" i="26"/>
  <c r="E40" i="26"/>
  <c r="B41" i="26"/>
  <c r="E41" i="26"/>
  <c r="B42" i="26"/>
  <c r="E42" i="26"/>
  <c r="B43" i="26"/>
  <c r="E43" i="26"/>
  <c r="B44" i="26"/>
  <c r="E44" i="26"/>
  <c r="B45" i="26"/>
  <c r="E45" i="26"/>
  <c r="B46" i="26"/>
  <c r="E46" i="26"/>
  <c r="B47" i="26"/>
  <c r="E47" i="26"/>
  <c r="B48" i="26"/>
  <c r="E48" i="26"/>
  <c r="B49" i="26"/>
  <c r="E49" i="26"/>
  <c r="B50" i="26"/>
  <c r="E50" i="26"/>
  <c r="B51" i="26"/>
  <c r="E51" i="26"/>
  <c r="B52" i="26"/>
  <c r="E52" i="26"/>
  <c r="B53" i="26"/>
  <c r="E53" i="26"/>
  <c r="B54" i="26"/>
  <c r="E54" i="26"/>
  <c r="B9" i="26"/>
  <c r="B55" i="26"/>
  <c r="E55" i="26"/>
  <c r="B56" i="26"/>
  <c r="E56" i="26"/>
  <c r="B57" i="26"/>
  <c r="E57" i="26"/>
  <c r="B58" i="26"/>
  <c r="E58" i="26"/>
  <c r="B59" i="26"/>
  <c r="E59" i="26"/>
  <c r="B60" i="26"/>
  <c r="E60" i="26"/>
  <c r="B61" i="26"/>
  <c r="E61" i="26"/>
  <c r="B62" i="26"/>
  <c r="E62" i="26"/>
  <c r="B63" i="26"/>
  <c r="E63" i="26"/>
  <c r="B64" i="26"/>
  <c r="E64" i="26"/>
  <c r="B65" i="26"/>
  <c r="E65" i="26"/>
  <c r="B66" i="26"/>
  <c r="E66" i="26"/>
  <c r="B67" i="26"/>
  <c r="E67" i="26"/>
  <c r="B68" i="26"/>
  <c r="E68" i="26"/>
  <c r="B69" i="26"/>
  <c r="E69" i="26"/>
  <c r="B70" i="26"/>
  <c r="E70" i="26"/>
  <c r="B71" i="26"/>
  <c r="E71" i="26"/>
  <c r="B72" i="26"/>
  <c r="E72" i="26"/>
  <c r="B73" i="26"/>
  <c r="E73" i="26"/>
  <c r="B74" i="26"/>
  <c r="E74" i="26"/>
  <c r="B75" i="26"/>
  <c r="E75" i="26"/>
  <c r="B76" i="26"/>
  <c r="E76" i="26"/>
  <c r="B77" i="26"/>
  <c r="E77" i="26"/>
  <c r="B78" i="26"/>
  <c r="E78" i="26"/>
  <c r="B79" i="26"/>
  <c r="E79" i="26"/>
  <c r="B80" i="26"/>
  <c r="E80" i="26"/>
  <c r="B81" i="26"/>
  <c r="E81" i="26"/>
  <c r="B82" i="26"/>
  <c r="E82" i="26"/>
  <c r="B83" i="26"/>
  <c r="E83" i="26"/>
  <c r="B84" i="26"/>
  <c r="E84" i="26"/>
  <c r="B85" i="26"/>
  <c r="E85" i="26"/>
  <c r="B86" i="26"/>
  <c r="E86" i="26"/>
  <c r="B87" i="26"/>
  <c r="E87" i="26"/>
  <c r="B88" i="26"/>
  <c r="E88" i="26"/>
  <c r="B89" i="26"/>
  <c r="E89" i="26"/>
  <c r="B90" i="26"/>
  <c r="E90" i="26"/>
  <c r="B91" i="26"/>
  <c r="E91" i="26"/>
  <c r="B92" i="26"/>
  <c r="E92" i="26"/>
  <c r="B93" i="26"/>
  <c r="E93" i="26"/>
  <c r="B94" i="26"/>
  <c r="E94" i="26"/>
  <c r="B95" i="26"/>
  <c r="E95" i="26"/>
  <c r="B96" i="26"/>
  <c r="E96" i="26"/>
  <c r="B97" i="26"/>
  <c r="E97" i="26"/>
  <c r="B98" i="26"/>
  <c r="E98" i="26"/>
  <c r="B99" i="26"/>
  <c r="E99" i="26"/>
  <c r="B100" i="26"/>
  <c r="E100" i="26"/>
  <c r="B101" i="26"/>
  <c r="E101" i="26"/>
  <c r="B102" i="26"/>
  <c r="E102" i="26"/>
  <c r="B103" i="26"/>
  <c r="E103" i="26"/>
  <c r="B104" i="26"/>
  <c r="E104" i="26"/>
  <c r="B105" i="26"/>
  <c r="E105" i="26"/>
  <c r="B106" i="26"/>
  <c r="E106" i="26"/>
  <c r="B107" i="26"/>
  <c r="E107" i="26"/>
  <c r="B108" i="26"/>
  <c r="E108" i="26"/>
  <c r="B109" i="26"/>
  <c r="E109" i="26"/>
  <c r="B110" i="26"/>
  <c r="E110" i="26"/>
  <c r="B111" i="26"/>
  <c r="E111" i="26"/>
  <c r="B112" i="26"/>
  <c r="E112" i="26"/>
  <c r="B113" i="26"/>
  <c r="E113" i="26"/>
  <c r="B114" i="26"/>
  <c r="E114" i="26"/>
  <c r="B115" i="26"/>
  <c r="E115" i="26"/>
  <c r="B116" i="26"/>
  <c r="E116" i="26"/>
  <c r="B117" i="26"/>
  <c r="E117" i="26"/>
  <c r="B118" i="26"/>
  <c r="E118" i="26"/>
  <c r="B119" i="26"/>
  <c r="E119" i="26"/>
  <c r="B120" i="26"/>
  <c r="E120" i="26"/>
  <c r="B121" i="26"/>
  <c r="E121" i="26"/>
  <c r="B122" i="26"/>
  <c r="E122" i="26"/>
  <c r="B123" i="26"/>
  <c r="E123" i="26"/>
  <c r="B124" i="26"/>
  <c r="E124" i="26"/>
  <c r="B125" i="26"/>
  <c r="E125" i="26"/>
  <c r="B126" i="26"/>
  <c r="E126" i="26"/>
  <c r="B127" i="26"/>
  <c r="E127" i="26"/>
  <c r="B128" i="26"/>
  <c r="E128" i="26"/>
  <c r="B129" i="26"/>
  <c r="E129" i="26"/>
  <c r="B130" i="26"/>
  <c r="E130" i="26"/>
  <c r="B131" i="26"/>
  <c r="E131" i="26"/>
  <c r="B132" i="26"/>
  <c r="E132" i="26"/>
  <c r="B133" i="26"/>
  <c r="E133" i="26"/>
  <c r="B134" i="26"/>
  <c r="E134" i="26"/>
  <c r="B135" i="26"/>
  <c r="E135" i="26"/>
  <c r="B136" i="26"/>
  <c r="E136" i="26"/>
  <c r="B137" i="26"/>
  <c r="E137" i="26"/>
  <c r="B138" i="26"/>
  <c r="E138" i="26"/>
  <c r="B139" i="26"/>
  <c r="E139" i="26"/>
  <c r="B140" i="26"/>
  <c r="E140" i="26"/>
  <c r="B141" i="26"/>
  <c r="E141" i="26"/>
  <c r="B142" i="26"/>
  <c r="E142" i="26"/>
  <c r="B143" i="26"/>
  <c r="E143" i="26"/>
  <c r="B144" i="26"/>
  <c r="E144" i="26"/>
  <c r="B145" i="26"/>
  <c r="E145" i="26"/>
  <c r="B146" i="26"/>
  <c r="E146" i="26"/>
  <c r="B147" i="26"/>
  <c r="E147" i="26"/>
  <c r="B148" i="26"/>
  <c r="E148" i="26"/>
  <c r="B149" i="26"/>
  <c r="E149" i="26"/>
  <c r="B150" i="26"/>
  <c r="E150" i="26"/>
  <c r="B151" i="26"/>
  <c r="E151" i="26"/>
  <c r="B152" i="26"/>
  <c r="E152" i="26"/>
  <c r="B153" i="26"/>
  <c r="E153" i="26"/>
  <c r="B154" i="26"/>
  <c r="E154" i="26"/>
  <c r="B155" i="26"/>
  <c r="E155" i="26"/>
  <c r="B156" i="26"/>
  <c r="E156" i="26"/>
  <c r="B157" i="26"/>
  <c r="E157" i="26"/>
  <c r="B158" i="26"/>
  <c r="E158" i="26"/>
  <c r="B159" i="26"/>
  <c r="E159" i="26"/>
  <c r="B160" i="26"/>
  <c r="E160" i="26"/>
  <c r="B161" i="26"/>
  <c r="E161" i="26"/>
  <c r="B162" i="26"/>
  <c r="E162" i="26"/>
  <c r="B163" i="26"/>
  <c r="E163" i="26"/>
  <c r="B164" i="26"/>
  <c r="E164" i="26"/>
  <c r="B165" i="26"/>
  <c r="E165" i="26"/>
  <c r="B166" i="26"/>
  <c r="E166" i="26"/>
  <c r="B167" i="26"/>
  <c r="E167" i="26"/>
  <c r="B168" i="26"/>
  <c r="E168" i="26"/>
  <c r="B169" i="26"/>
  <c r="E169" i="26"/>
  <c r="B170" i="26"/>
  <c r="E170" i="26"/>
  <c r="B171" i="26"/>
  <c r="E171" i="26"/>
  <c r="B172" i="26"/>
  <c r="E172" i="26"/>
  <c r="B173" i="26"/>
  <c r="E173" i="26"/>
  <c r="B174" i="26"/>
  <c r="E174" i="26"/>
  <c r="B175" i="26"/>
  <c r="E175" i="26"/>
  <c r="B176" i="26"/>
  <c r="E176" i="26"/>
  <c r="B177" i="26"/>
  <c r="E177" i="26"/>
  <c r="B178" i="26"/>
  <c r="E178" i="26"/>
  <c r="B179" i="26"/>
  <c r="E179" i="26"/>
  <c r="B180" i="26"/>
  <c r="E180" i="26"/>
  <c r="B181" i="26"/>
  <c r="E181" i="26"/>
  <c r="B182" i="26"/>
  <c r="E182" i="26"/>
  <c r="B183" i="26"/>
  <c r="E183" i="26"/>
  <c r="B184" i="26"/>
  <c r="E184" i="26"/>
  <c r="B185" i="26"/>
  <c r="E185" i="26"/>
  <c r="B186" i="26"/>
  <c r="E186" i="26"/>
  <c r="B187" i="26"/>
  <c r="E187" i="26"/>
  <c r="B188" i="26"/>
  <c r="E188" i="26"/>
  <c r="B189" i="26"/>
  <c r="E189" i="26"/>
  <c r="B190" i="26"/>
  <c r="E190" i="26"/>
  <c r="B191" i="26"/>
  <c r="E191" i="26"/>
  <c r="B192" i="26"/>
  <c r="E192" i="26"/>
  <c r="B193" i="26"/>
  <c r="E193" i="26"/>
  <c r="B194" i="26"/>
  <c r="E194" i="26"/>
  <c r="B195" i="26"/>
  <c r="E195" i="26"/>
  <c r="B196" i="26"/>
  <c r="E196" i="26"/>
  <c r="B197" i="26"/>
  <c r="E197" i="26"/>
  <c r="B198" i="26"/>
  <c r="E198" i="26"/>
  <c r="B199" i="26"/>
  <c r="E199" i="26"/>
  <c r="B200" i="26"/>
  <c r="E200" i="26"/>
  <c r="B201" i="26"/>
  <c r="E201" i="26"/>
  <c r="B202" i="26"/>
  <c r="E202" i="26"/>
  <c r="B203" i="26"/>
  <c r="E203" i="26"/>
  <c r="B204" i="26"/>
  <c r="E204" i="26"/>
  <c r="B205" i="26"/>
  <c r="E205" i="26"/>
  <c r="B206" i="26"/>
  <c r="E206" i="26"/>
  <c r="B207" i="26"/>
  <c r="E207" i="26"/>
  <c r="B208" i="26"/>
  <c r="E208" i="26"/>
  <c r="B209" i="26"/>
  <c r="E209" i="26"/>
  <c r="B210" i="26"/>
  <c r="E210" i="26"/>
  <c r="B211" i="26"/>
  <c r="E211" i="26"/>
  <c r="B212" i="26"/>
  <c r="E212" i="26"/>
  <c r="B213" i="26"/>
  <c r="E213" i="26"/>
  <c r="B214" i="26"/>
  <c r="E214" i="26"/>
  <c r="B215" i="26"/>
  <c r="E215" i="26"/>
  <c r="B216" i="26"/>
  <c r="E216" i="26"/>
  <c r="B217" i="26"/>
  <c r="E217" i="26"/>
  <c r="B218" i="26"/>
  <c r="E218" i="26"/>
  <c r="B219" i="26"/>
  <c r="E219" i="26"/>
  <c r="B220" i="26"/>
  <c r="E220" i="26"/>
  <c r="B221" i="26"/>
  <c r="E221" i="26"/>
  <c r="B222" i="26"/>
  <c r="E222" i="26"/>
  <c r="B223" i="26"/>
  <c r="E223" i="26"/>
  <c r="B224" i="26"/>
  <c r="E224" i="26"/>
  <c r="B225" i="26"/>
  <c r="E225" i="26"/>
  <c r="B226" i="26"/>
  <c r="E226" i="26"/>
  <c r="B227" i="26"/>
  <c r="E227" i="26"/>
  <c r="B228" i="26"/>
  <c r="E228" i="26"/>
  <c r="B229" i="26"/>
  <c r="E229" i="26"/>
  <c r="B230" i="26"/>
  <c r="E230" i="26"/>
  <c r="B231" i="26"/>
  <c r="E231" i="26"/>
  <c r="B232" i="26"/>
  <c r="E232" i="26"/>
  <c r="B233" i="26"/>
  <c r="E233" i="26"/>
  <c r="B234" i="26"/>
  <c r="E234" i="26"/>
  <c r="B235" i="26"/>
  <c r="E235" i="26"/>
  <c r="B236" i="26"/>
  <c r="E236" i="26"/>
  <c r="B237" i="26"/>
  <c r="E237" i="26"/>
  <c r="B238" i="26"/>
  <c r="E238" i="26"/>
  <c r="B239" i="26"/>
  <c r="E239" i="26"/>
  <c r="B240" i="26"/>
  <c r="E240" i="26"/>
  <c r="B241" i="26"/>
  <c r="E241" i="26"/>
  <c r="B242" i="26"/>
  <c r="E242" i="26"/>
  <c r="B243" i="26"/>
  <c r="E243" i="26"/>
  <c r="B244" i="26"/>
  <c r="E244" i="26"/>
  <c r="B245" i="26"/>
  <c r="E245" i="26"/>
  <c r="B246" i="26"/>
  <c r="E246" i="26"/>
  <c r="B247" i="26"/>
  <c r="E247" i="26"/>
  <c r="B248" i="26"/>
  <c r="E248" i="26"/>
  <c r="B249" i="26"/>
  <c r="E249" i="26"/>
  <c r="B250" i="26"/>
  <c r="E250" i="26"/>
  <c r="B251" i="26"/>
  <c r="E251" i="26"/>
  <c r="B252" i="26"/>
  <c r="E252" i="26"/>
  <c r="B253" i="26"/>
  <c r="E253" i="26"/>
  <c r="B254" i="26"/>
  <c r="E254" i="26"/>
  <c r="B255" i="26"/>
  <c r="E255" i="26"/>
  <c r="B256" i="26"/>
  <c r="E256" i="26"/>
  <c r="B257" i="26"/>
  <c r="E257" i="26"/>
  <c r="B258" i="26"/>
  <c r="E258" i="26"/>
  <c r="B259" i="26"/>
  <c r="E259" i="26"/>
  <c r="B260" i="26"/>
  <c r="E260" i="26"/>
  <c r="B261" i="26"/>
  <c r="E261" i="26"/>
  <c r="B262" i="26"/>
  <c r="E262" i="26"/>
  <c r="B263" i="26"/>
  <c r="E263" i="26"/>
  <c r="B264" i="26"/>
  <c r="E264" i="26"/>
  <c r="B265" i="26"/>
  <c r="E265" i="26"/>
  <c r="B266" i="26"/>
  <c r="E266" i="26"/>
  <c r="B267" i="26"/>
  <c r="E267" i="26"/>
  <c r="B268" i="26"/>
  <c r="E268" i="26"/>
  <c r="B269" i="26"/>
  <c r="E269" i="26"/>
  <c r="B270" i="26"/>
  <c r="E270" i="26"/>
  <c r="B271" i="26"/>
  <c r="E271" i="26"/>
  <c r="B272" i="26"/>
  <c r="E272" i="26"/>
  <c r="B273" i="26"/>
  <c r="E273" i="26"/>
  <c r="B274" i="26"/>
  <c r="E274" i="26"/>
  <c r="B275" i="26"/>
  <c r="E275" i="26"/>
  <c r="B276" i="26"/>
  <c r="E276" i="26"/>
  <c r="B277" i="26"/>
  <c r="E277" i="26"/>
  <c r="B278" i="26"/>
  <c r="E278" i="26"/>
  <c r="B279" i="26"/>
  <c r="E279" i="26"/>
  <c r="B280" i="26"/>
  <c r="E280" i="26"/>
  <c r="B281" i="26"/>
  <c r="E281" i="26"/>
  <c r="B282" i="26"/>
  <c r="E282" i="26"/>
  <c r="B283" i="26"/>
  <c r="E283" i="26"/>
  <c r="B284" i="26"/>
  <c r="E284" i="26"/>
  <c r="B285" i="26"/>
  <c r="E285" i="26"/>
  <c r="B286" i="26"/>
  <c r="E286" i="26"/>
  <c r="B287" i="26"/>
  <c r="E287" i="26"/>
  <c r="B288" i="26"/>
  <c r="E288" i="26"/>
  <c r="B289" i="26"/>
  <c r="E289" i="26"/>
  <c r="B290" i="26"/>
  <c r="E290" i="26"/>
  <c r="B291" i="26"/>
  <c r="E291" i="26"/>
  <c r="B292" i="26"/>
  <c r="E292" i="26"/>
  <c r="B293" i="26"/>
  <c r="E293" i="26"/>
  <c r="B294" i="26"/>
  <c r="E294" i="26"/>
  <c r="B295" i="26"/>
  <c r="E295" i="26"/>
  <c r="B296" i="26"/>
  <c r="E296" i="26"/>
  <c r="B297" i="26"/>
  <c r="E297" i="26"/>
  <c r="B298" i="26"/>
  <c r="E298" i="26"/>
  <c r="B299" i="26"/>
  <c r="E299" i="26"/>
  <c r="B300" i="26"/>
  <c r="E300" i="26"/>
  <c r="B301" i="26"/>
  <c r="E301" i="26"/>
  <c r="B302" i="26"/>
  <c r="E302" i="26"/>
  <c r="B303" i="26"/>
  <c r="E303" i="26"/>
  <c r="B304" i="26"/>
  <c r="E304" i="26"/>
  <c r="B305" i="26"/>
  <c r="E305" i="26"/>
  <c r="B306" i="26"/>
  <c r="E306" i="26"/>
  <c r="B307" i="26"/>
  <c r="E307" i="26"/>
  <c r="B308" i="26"/>
  <c r="E308" i="26"/>
  <c r="B309" i="26"/>
  <c r="E309" i="26"/>
  <c r="B310" i="26"/>
  <c r="E310" i="26"/>
  <c r="B311" i="26"/>
  <c r="E311" i="26"/>
  <c r="B312" i="26"/>
  <c r="E312" i="26"/>
  <c r="B313" i="26"/>
  <c r="E313" i="26"/>
  <c r="B314" i="26"/>
  <c r="E314" i="26"/>
  <c r="B315" i="26"/>
  <c r="E315" i="26"/>
  <c r="B316" i="26"/>
  <c r="E316" i="26"/>
  <c r="B317" i="26"/>
  <c r="E317" i="26"/>
  <c r="B318" i="26"/>
  <c r="E318" i="26"/>
  <c r="B319" i="26"/>
  <c r="E319" i="26"/>
  <c r="B320" i="26"/>
  <c r="E320" i="26"/>
  <c r="B321" i="26"/>
  <c r="E321" i="26"/>
  <c r="B322" i="26"/>
  <c r="E322" i="26"/>
  <c r="B323" i="26"/>
  <c r="E323" i="26"/>
  <c r="B324" i="26"/>
  <c r="E324" i="26"/>
  <c r="B325" i="26"/>
  <c r="E325" i="26"/>
  <c r="B326" i="26"/>
  <c r="E326" i="26"/>
  <c r="B327" i="26"/>
  <c r="E327" i="26"/>
  <c r="B328" i="26"/>
  <c r="E328" i="26"/>
  <c r="B329" i="26"/>
  <c r="E329" i="26"/>
  <c r="B330" i="26"/>
  <c r="E330" i="26"/>
  <c r="B331" i="26"/>
  <c r="E331" i="26"/>
  <c r="B332" i="26"/>
  <c r="E332" i="26"/>
  <c r="B333" i="26"/>
  <c r="E333" i="26"/>
  <c r="B334" i="26"/>
  <c r="E334" i="26"/>
  <c r="B335" i="26"/>
  <c r="E335" i="26"/>
  <c r="B336" i="26"/>
  <c r="E336" i="26"/>
  <c r="B337" i="26"/>
  <c r="E337" i="26"/>
  <c r="B338" i="26"/>
  <c r="E338" i="26"/>
  <c r="B339" i="26"/>
  <c r="E339" i="26"/>
  <c r="B340" i="26"/>
  <c r="E340" i="26"/>
  <c r="B341" i="26"/>
  <c r="E341" i="26"/>
  <c r="B342" i="26"/>
  <c r="E342" i="26"/>
  <c r="B343" i="26"/>
  <c r="E343" i="26"/>
  <c r="B344" i="26"/>
  <c r="E344" i="26"/>
  <c r="B345" i="26"/>
  <c r="E345" i="26"/>
  <c r="B346" i="26"/>
  <c r="E346" i="26"/>
  <c r="B347" i="26"/>
  <c r="E347" i="26"/>
  <c r="B348" i="26"/>
  <c r="E348" i="26"/>
  <c r="B349" i="26"/>
  <c r="E349" i="26"/>
  <c r="B350" i="26"/>
  <c r="E350" i="26"/>
  <c r="B351" i="26"/>
  <c r="E351" i="26"/>
  <c r="B352" i="26"/>
  <c r="E352" i="26"/>
  <c r="B353" i="26"/>
  <c r="E353" i="26"/>
  <c r="B354" i="26"/>
  <c r="E354" i="26"/>
  <c r="B355" i="26"/>
  <c r="E355" i="26"/>
  <c r="B356" i="26"/>
  <c r="E356" i="26"/>
  <c r="B357" i="26"/>
  <c r="E357" i="26"/>
  <c r="B358" i="26"/>
  <c r="E358" i="26"/>
  <c r="B359" i="26"/>
  <c r="E359" i="26"/>
  <c r="B360" i="26"/>
  <c r="E360" i="26"/>
  <c r="B361" i="26"/>
  <c r="E361" i="26"/>
  <c r="B362" i="26"/>
  <c r="E362" i="26"/>
  <c r="B363" i="26"/>
  <c r="E363" i="26"/>
  <c r="B364" i="26"/>
  <c r="E364" i="26"/>
  <c r="B365" i="26"/>
  <c r="E365" i="26"/>
  <c r="B366" i="26"/>
  <c r="E366" i="26"/>
  <c r="B367" i="26"/>
  <c r="E367" i="26"/>
  <c r="B368" i="26"/>
  <c r="E368" i="26"/>
  <c r="B369" i="26"/>
  <c r="E369" i="26"/>
  <c r="B370" i="26"/>
  <c r="E370" i="26"/>
  <c r="B371" i="26"/>
  <c r="E371" i="26"/>
  <c r="B372" i="26"/>
  <c r="E372" i="26"/>
  <c r="B373" i="26"/>
  <c r="E373" i="26"/>
  <c r="B374" i="26"/>
  <c r="E374" i="26"/>
  <c r="B375" i="26"/>
  <c r="E375" i="26"/>
  <c r="B376" i="26"/>
  <c r="E376" i="26"/>
  <c r="B377" i="26"/>
  <c r="E377" i="26"/>
  <c r="B378" i="26"/>
  <c r="E378" i="26"/>
  <c r="B379" i="26"/>
  <c r="E379" i="26"/>
  <c r="B380" i="26"/>
  <c r="E380" i="26"/>
  <c r="B381" i="26"/>
  <c r="E381" i="26"/>
  <c r="B382" i="26"/>
  <c r="E382" i="26"/>
  <c r="B383" i="26"/>
  <c r="E383" i="26"/>
  <c r="B384" i="26"/>
  <c r="E384" i="26"/>
  <c r="B385" i="26"/>
  <c r="E385" i="26"/>
  <c r="B386" i="26"/>
  <c r="E386" i="26"/>
  <c r="B387" i="26"/>
  <c r="E387" i="26"/>
  <c r="B388" i="26"/>
  <c r="E388" i="26"/>
  <c r="B389" i="26"/>
  <c r="E389" i="26"/>
  <c r="B390" i="26"/>
  <c r="E390" i="26"/>
  <c r="B391" i="26"/>
  <c r="E391" i="26"/>
  <c r="B392" i="26"/>
  <c r="E392" i="26"/>
  <c r="B393" i="26"/>
  <c r="E393" i="26"/>
  <c r="B394" i="26"/>
  <c r="E394" i="26"/>
  <c r="B395" i="26"/>
  <c r="E395" i="26"/>
  <c r="B396" i="26"/>
  <c r="E396" i="26"/>
  <c r="B397" i="26"/>
  <c r="E397" i="26"/>
  <c r="B398" i="26"/>
  <c r="E398" i="26"/>
  <c r="B399" i="26"/>
  <c r="E399" i="26"/>
  <c r="B400" i="26"/>
  <c r="E400" i="26"/>
  <c r="B401" i="26"/>
  <c r="E401" i="26"/>
  <c r="B402" i="26"/>
  <c r="E402" i="26"/>
  <c r="B403" i="26"/>
  <c r="E403" i="26"/>
  <c r="B404" i="26"/>
  <c r="E404" i="26"/>
  <c r="B405" i="26"/>
  <c r="E405" i="26"/>
  <c r="B406" i="26"/>
  <c r="E406" i="26"/>
  <c r="B407" i="26"/>
  <c r="E407" i="26"/>
  <c r="B408" i="26"/>
  <c r="E408" i="26"/>
  <c r="B409" i="26"/>
  <c r="E409" i="26"/>
  <c r="B410" i="26"/>
  <c r="E410" i="26"/>
  <c r="B411" i="26"/>
  <c r="E411" i="26"/>
  <c r="B412" i="26"/>
  <c r="E412" i="26"/>
  <c r="B413" i="26"/>
  <c r="E413" i="26"/>
  <c r="B414" i="26"/>
  <c r="E414" i="26"/>
  <c r="E415" i="26"/>
  <c r="E416" i="26"/>
  <c r="G34" i="26"/>
  <c r="H34" i="26"/>
  <c r="C409" i="26"/>
  <c r="C410" i="26"/>
  <c r="C411" i="26"/>
  <c r="C412" i="26"/>
  <c r="C413" i="26"/>
  <c r="C4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C216" i="26"/>
  <c r="C217" i="26"/>
  <c r="C218" i="26"/>
  <c r="C219" i="26"/>
  <c r="C220" i="26"/>
  <c r="C221" i="26"/>
  <c r="C222" i="26"/>
  <c r="C223" i="26"/>
  <c r="C224" i="26"/>
  <c r="C225" i="26"/>
  <c r="C226" i="26"/>
  <c r="C227" i="26"/>
  <c r="C228" i="26"/>
  <c r="C229" i="26"/>
  <c r="C230" i="26"/>
  <c r="C231" i="26"/>
  <c r="C232" i="26"/>
  <c r="C233" i="26"/>
  <c r="C234" i="26"/>
  <c r="C235" i="26"/>
  <c r="C236" i="26"/>
  <c r="C237" i="26"/>
  <c r="C238" i="26"/>
  <c r="C239" i="26"/>
  <c r="C240" i="26"/>
  <c r="C241" i="26"/>
  <c r="C242" i="26"/>
  <c r="C243" i="26"/>
  <c r="C244" i="26"/>
  <c r="C245" i="26"/>
  <c r="C246" i="26"/>
  <c r="C247" i="26"/>
  <c r="C248" i="26"/>
  <c r="C249" i="26"/>
  <c r="C250" i="26"/>
  <c r="C251" i="26"/>
  <c r="C252" i="26"/>
  <c r="C253" i="26"/>
  <c r="C254" i="26"/>
  <c r="C255" i="26"/>
  <c r="C256" i="26"/>
  <c r="C257" i="26"/>
  <c r="C258" i="26"/>
  <c r="C259" i="26"/>
  <c r="C260" i="26"/>
  <c r="C261" i="26"/>
  <c r="C262" i="26"/>
  <c r="C263" i="26"/>
  <c r="C264" i="26"/>
  <c r="C265" i="26"/>
  <c r="C266" i="26"/>
  <c r="C267" i="26"/>
  <c r="C268" i="26"/>
  <c r="C269" i="26"/>
  <c r="C270" i="26"/>
  <c r="C271" i="26"/>
  <c r="C272" i="26"/>
  <c r="C273" i="26"/>
  <c r="C274" i="26"/>
  <c r="C275" i="26"/>
  <c r="C276" i="26"/>
  <c r="C277" i="26"/>
  <c r="C278" i="26"/>
  <c r="C279" i="26"/>
  <c r="C280" i="26"/>
  <c r="C281" i="26"/>
  <c r="C282" i="26"/>
  <c r="C283" i="26"/>
  <c r="C284" i="26"/>
  <c r="C285" i="26"/>
  <c r="C286" i="26"/>
  <c r="C287" i="26"/>
  <c r="C288" i="26"/>
  <c r="C289" i="26"/>
  <c r="C290" i="26"/>
  <c r="C291" i="26"/>
  <c r="C292" i="26"/>
  <c r="C293" i="26"/>
  <c r="C294" i="26"/>
  <c r="C295" i="26"/>
  <c r="C296" i="26"/>
  <c r="C297" i="26"/>
  <c r="C298" i="26"/>
  <c r="C299" i="26"/>
  <c r="C300" i="26"/>
  <c r="C301" i="26"/>
  <c r="C302" i="26"/>
  <c r="C303" i="26"/>
  <c r="C304" i="26"/>
  <c r="C305" i="26"/>
  <c r="C306" i="26"/>
  <c r="C307" i="26"/>
  <c r="C308" i="26"/>
  <c r="C309" i="26"/>
  <c r="C310" i="26"/>
  <c r="C311" i="26"/>
  <c r="C312" i="26"/>
  <c r="C313" i="26"/>
  <c r="C314" i="26"/>
  <c r="C315" i="26"/>
  <c r="C316" i="26"/>
  <c r="C317" i="26"/>
  <c r="C318" i="26"/>
  <c r="C319" i="26"/>
  <c r="C320" i="26"/>
  <c r="C321" i="26"/>
  <c r="C322" i="26"/>
  <c r="C323" i="26"/>
  <c r="C324" i="26"/>
  <c r="C325" i="26"/>
  <c r="C326" i="26"/>
  <c r="C327" i="26"/>
  <c r="C328" i="26"/>
  <c r="C329" i="26"/>
  <c r="C330" i="26"/>
  <c r="C331" i="26"/>
  <c r="C332" i="26"/>
  <c r="C333" i="26"/>
  <c r="C334" i="26"/>
  <c r="C335" i="26"/>
  <c r="C336" i="26"/>
  <c r="C337" i="26"/>
  <c r="C338" i="26"/>
  <c r="C339" i="26"/>
  <c r="C340" i="26"/>
  <c r="C341" i="26"/>
  <c r="C342" i="26"/>
  <c r="C343" i="26"/>
  <c r="C344" i="26"/>
  <c r="C345" i="26"/>
  <c r="C346" i="26"/>
  <c r="C347" i="26"/>
  <c r="C348" i="26"/>
  <c r="C349" i="26"/>
  <c r="C350" i="26"/>
  <c r="C351" i="26"/>
  <c r="C352" i="26"/>
  <c r="C353" i="26"/>
  <c r="C354" i="26"/>
  <c r="C355" i="26"/>
  <c r="C356" i="26"/>
  <c r="C357" i="26"/>
  <c r="C358" i="26"/>
  <c r="C359" i="26"/>
  <c r="C360" i="26"/>
  <c r="C361" i="26"/>
  <c r="C362" i="26"/>
  <c r="C363" i="26"/>
  <c r="C364" i="26"/>
  <c r="C365" i="26"/>
  <c r="C366" i="26"/>
  <c r="C367" i="26"/>
  <c r="C368" i="26"/>
  <c r="C369" i="26"/>
  <c r="C370" i="26"/>
  <c r="C371" i="26"/>
  <c r="C372" i="26"/>
  <c r="C373" i="26"/>
  <c r="C374" i="26"/>
  <c r="C375" i="26"/>
  <c r="C376" i="26"/>
  <c r="C377" i="26"/>
  <c r="C378" i="26"/>
  <c r="C379" i="26"/>
  <c r="C380" i="26"/>
  <c r="C381" i="26"/>
  <c r="C382" i="26"/>
  <c r="C383" i="26"/>
  <c r="C384" i="26"/>
  <c r="C385" i="26"/>
  <c r="C386" i="26"/>
  <c r="C387" i="26"/>
  <c r="C388" i="26"/>
  <c r="C389" i="26"/>
  <c r="C390" i="26"/>
  <c r="C391" i="26"/>
  <c r="C392" i="26"/>
  <c r="C393" i="26"/>
  <c r="C394" i="26"/>
  <c r="C395" i="26"/>
  <c r="C396" i="26"/>
  <c r="C397" i="26"/>
  <c r="C398" i="26"/>
  <c r="C399" i="26"/>
  <c r="C400" i="26"/>
  <c r="C401" i="26"/>
  <c r="C402" i="26"/>
  <c r="C403" i="26"/>
  <c r="C404" i="26"/>
  <c r="C405" i="26"/>
  <c r="C406" i="26"/>
  <c r="C407" i="26"/>
  <c r="C408" i="26"/>
  <c r="C14" i="26"/>
  <c r="B4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B8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D133" i="26"/>
  <c r="D134" i="26"/>
  <c r="D135" i="26"/>
  <c r="D136" i="26"/>
  <c r="D137" i="26"/>
  <c r="D138" i="26"/>
  <c r="D139" i="26"/>
  <c r="D140" i="26"/>
  <c r="D141" i="26"/>
  <c r="D142" i="26"/>
  <c r="D143" i="26"/>
  <c r="D144" i="26"/>
  <c r="D145" i="26"/>
  <c r="D146" i="26"/>
  <c r="D147" i="26"/>
  <c r="D148" i="26"/>
  <c r="D149" i="26"/>
  <c r="D150" i="26"/>
  <c r="D151" i="26"/>
  <c r="D152" i="26"/>
  <c r="D153" i="26"/>
  <c r="D154" i="26"/>
  <c r="D155" i="26"/>
  <c r="D156" i="26"/>
  <c r="D157" i="26"/>
  <c r="D158" i="26"/>
  <c r="D159" i="26"/>
  <c r="D160" i="26"/>
  <c r="D161" i="26"/>
  <c r="D162" i="26"/>
  <c r="D163" i="26"/>
  <c r="D164" i="26"/>
  <c r="D165" i="26"/>
  <c r="D166" i="26"/>
  <c r="D167" i="26"/>
  <c r="D168" i="26"/>
  <c r="D169" i="26"/>
  <c r="D170" i="26"/>
  <c r="D171" i="26"/>
  <c r="D172" i="26"/>
  <c r="D173" i="26"/>
  <c r="D174" i="26"/>
  <c r="D175" i="26"/>
  <c r="D176" i="26"/>
  <c r="D177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0" i="26"/>
  <c r="D191" i="26"/>
  <c r="D192" i="26"/>
  <c r="D193" i="26"/>
  <c r="D194" i="26"/>
  <c r="D195" i="26"/>
  <c r="D196" i="26"/>
  <c r="D197" i="26"/>
  <c r="D198" i="26"/>
  <c r="D199" i="26"/>
  <c r="D200" i="26"/>
  <c r="D201" i="26"/>
  <c r="D202" i="26"/>
  <c r="D203" i="26"/>
  <c r="D204" i="26"/>
  <c r="D205" i="26"/>
  <c r="D206" i="26"/>
  <c r="D207" i="26"/>
  <c r="D208" i="26"/>
  <c r="D209" i="26"/>
  <c r="D210" i="26"/>
  <c r="D211" i="26"/>
  <c r="D212" i="26"/>
  <c r="D213" i="26"/>
  <c r="D214" i="26"/>
  <c r="D215" i="26"/>
  <c r="D216" i="26"/>
  <c r="D217" i="26"/>
  <c r="D218" i="26"/>
  <c r="D219" i="26"/>
  <c r="D220" i="26"/>
  <c r="D221" i="26"/>
  <c r="D222" i="26"/>
  <c r="D223" i="26"/>
  <c r="D224" i="26"/>
  <c r="D225" i="26"/>
  <c r="D226" i="26"/>
  <c r="D227" i="26"/>
  <c r="D228" i="26"/>
  <c r="D229" i="26"/>
  <c r="D230" i="26"/>
  <c r="D231" i="26"/>
  <c r="D232" i="26"/>
  <c r="D233" i="26"/>
  <c r="D234" i="26"/>
  <c r="D235" i="26"/>
  <c r="D236" i="26"/>
  <c r="D237" i="26"/>
  <c r="D238" i="26"/>
  <c r="D239" i="26"/>
  <c r="D240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6" i="26"/>
  <c r="D297" i="26"/>
  <c r="D298" i="26"/>
  <c r="D299" i="26"/>
  <c r="D300" i="26"/>
  <c r="D301" i="26"/>
  <c r="D302" i="26"/>
  <c r="D303" i="26"/>
  <c r="D304" i="26"/>
  <c r="D305" i="26"/>
  <c r="D306" i="26"/>
  <c r="D307" i="26"/>
  <c r="D308" i="26"/>
  <c r="D309" i="26"/>
  <c r="D310" i="26"/>
  <c r="D311" i="26"/>
  <c r="D312" i="26"/>
  <c r="D313" i="26"/>
  <c r="D314" i="26"/>
  <c r="D315" i="26"/>
  <c r="D316" i="26"/>
  <c r="D317" i="26"/>
  <c r="D318" i="26"/>
  <c r="D319" i="26"/>
  <c r="D320" i="26"/>
  <c r="D321" i="26"/>
  <c r="D322" i="26"/>
  <c r="D323" i="26"/>
  <c r="D324" i="26"/>
  <c r="D325" i="26"/>
  <c r="D326" i="26"/>
  <c r="D327" i="26"/>
  <c r="D328" i="26"/>
  <c r="D329" i="26"/>
  <c r="D330" i="26"/>
  <c r="D331" i="26"/>
  <c r="D332" i="26"/>
  <c r="D333" i="26"/>
  <c r="D334" i="26"/>
  <c r="D335" i="26"/>
  <c r="D336" i="26"/>
  <c r="D337" i="26"/>
  <c r="D338" i="26"/>
  <c r="D339" i="26"/>
  <c r="D340" i="26"/>
  <c r="D341" i="26"/>
  <c r="D342" i="26"/>
  <c r="D343" i="26"/>
  <c r="D344" i="26"/>
  <c r="D345" i="26"/>
  <c r="D346" i="26"/>
  <c r="D347" i="26"/>
  <c r="D348" i="26"/>
  <c r="D349" i="26"/>
  <c r="D350" i="26"/>
  <c r="D351" i="26"/>
  <c r="D352" i="26"/>
  <c r="D353" i="26"/>
  <c r="D354" i="26"/>
  <c r="D355" i="26"/>
  <c r="D356" i="26"/>
  <c r="D357" i="26"/>
  <c r="D358" i="26"/>
  <c r="D359" i="26"/>
  <c r="D360" i="26"/>
  <c r="D361" i="26"/>
  <c r="D362" i="26"/>
  <c r="D363" i="26"/>
  <c r="D364" i="26"/>
  <c r="D365" i="26"/>
  <c r="D366" i="26"/>
  <c r="D367" i="26"/>
  <c r="D368" i="26"/>
  <c r="D369" i="26"/>
  <c r="D370" i="26"/>
  <c r="D371" i="26"/>
  <c r="D372" i="26"/>
  <c r="D373" i="26"/>
  <c r="D374" i="26"/>
  <c r="D375" i="26"/>
  <c r="D376" i="26"/>
  <c r="D377" i="26"/>
  <c r="D378" i="26"/>
  <c r="D379" i="26"/>
  <c r="D380" i="26"/>
  <c r="D381" i="26"/>
  <c r="D382" i="26"/>
  <c r="D383" i="26"/>
  <c r="D384" i="26"/>
  <c r="D385" i="26"/>
  <c r="D386" i="26"/>
  <c r="D387" i="26"/>
  <c r="D388" i="26"/>
  <c r="D389" i="26"/>
  <c r="D390" i="26"/>
  <c r="D391" i="26"/>
  <c r="D392" i="26"/>
  <c r="D393" i="26"/>
  <c r="D394" i="26"/>
  <c r="D395" i="26"/>
  <c r="D396" i="26"/>
  <c r="D397" i="26"/>
  <c r="D398" i="26"/>
  <c r="D399" i="26"/>
  <c r="D400" i="26"/>
  <c r="D401" i="26"/>
  <c r="D402" i="26"/>
  <c r="D403" i="26"/>
  <c r="D404" i="26"/>
  <c r="D405" i="26"/>
  <c r="D406" i="26"/>
  <c r="D407" i="26"/>
  <c r="D408" i="26"/>
  <c r="D409" i="26"/>
  <c r="D410" i="26"/>
  <c r="D411" i="26"/>
  <c r="D412" i="26"/>
  <c r="D413" i="26"/>
  <c r="M42" i="26"/>
  <c r="L42" i="26"/>
  <c r="M41" i="26"/>
  <c r="L41" i="26"/>
  <c r="M40" i="26"/>
  <c r="L40" i="26"/>
  <c r="M39" i="26"/>
  <c r="L39" i="26"/>
  <c r="M38" i="26"/>
  <c r="L38" i="26"/>
  <c r="M37" i="26"/>
  <c r="L37" i="26"/>
  <c r="M36" i="26"/>
  <c r="L36" i="26"/>
  <c r="M35" i="26"/>
  <c r="L35" i="26"/>
  <c r="M34" i="26"/>
  <c r="L34" i="26"/>
  <c r="M33" i="26"/>
  <c r="L33" i="26"/>
  <c r="M32" i="26"/>
  <c r="L32" i="26"/>
  <c r="M31" i="26"/>
  <c r="L31" i="26"/>
  <c r="M30" i="26"/>
  <c r="L30" i="26"/>
  <c r="M29" i="26"/>
  <c r="L29" i="26"/>
  <c r="M28" i="26"/>
  <c r="L28" i="26"/>
  <c r="M27" i="26"/>
  <c r="L27" i="26"/>
  <c r="M26" i="26"/>
  <c r="L26" i="26"/>
  <c r="M25" i="26"/>
  <c r="L25" i="26"/>
  <c r="M24" i="26"/>
  <c r="L24" i="26"/>
  <c r="I34" i="25"/>
  <c r="I33" i="25"/>
  <c r="I32" i="25"/>
  <c r="I31" i="25"/>
  <c r="I30" i="25"/>
  <c r="I29" i="25"/>
  <c r="I28" i="25"/>
  <c r="I27" i="25"/>
  <c r="I26" i="25"/>
  <c r="I25" i="25"/>
  <c r="I24" i="25"/>
  <c r="I23" i="25"/>
  <c r="I22" i="25"/>
  <c r="I21" i="25"/>
  <c r="I20" i="25"/>
  <c r="I19" i="25"/>
  <c r="I18" i="25"/>
  <c r="I35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17" i="25"/>
  <c r="B15" i="25"/>
  <c r="B16" i="25"/>
  <c r="B14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5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5" i="25"/>
  <c r="C37" i="25"/>
  <c r="H36" i="25"/>
  <c r="I36" i="25"/>
  <c r="B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14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I12" i="25"/>
  <c r="B9" i="25"/>
  <c r="B8" i="25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I1000" i="20"/>
  <c r="I1001" i="20"/>
  <c r="I1002" i="20"/>
  <c r="I1003" i="20"/>
  <c r="I1004" i="20"/>
  <c r="I1005" i="20"/>
  <c r="I1006" i="20"/>
  <c r="I1007" i="20"/>
  <c r="I1008" i="20"/>
  <c r="I1009" i="20"/>
  <c r="I1010" i="20"/>
  <c r="I1011" i="20"/>
  <c r="I1012" i="20"/>
  <c r="I1013" i="20"/>
  <c r="I1014" i="20"/>
  <c r="I1015" i="20"/>
  <c r="I1016" i="20"/>
  <c r="I1017" i="20"/>
  <c r="I1018" i="20"/>
  <c r="I1019" i="20"/>
  <c r="I1020" i="20"/>
  <c r="I1021" i="20"/>
  <c r="I1022" i="20"/>
  <c r="I1023" i="20"/>
  <c r="I1024" i="20"/>
  <c r="I1025" i="20"/>
  <c r="I1026" i="20"/>
  <c r="I1027" i="20"/>
  <c r="I1028" i="20"/>
  <c r="I1029" i="20"/>
  <c r="I1030" i="20"/>
  <c r="I1031" i="20"/>
  <c r="I1032" i="20"/>
  <c r="I1033" i="20"/>
  <c r="I1034" i="20"/>
  <c r="I1035" i="20"/>
  <c r="I1036" i="20"/>
  <c r="I1037" i="20"/>
  <c r="I1038" i="20"/>
  <c r="I1039" i="20"/>
  <c r="I1040" i="20"/>
  <c r="I1041" i="20"/>
  <c r="I1042" i="20"/>
  <c r="I1043" i="20"/>
  <c r="I1044" i="20"/>
  <c r="I1045" i="20"/>
  <c r="I1046" i="20"/>
  <c r="I1047" i="20"/>
  <c r="I1048" i="20"/>
  <c r="I1049" i="20"/>
  <c r="I1050" i="20"/>
  <c r="I1051" i="20"/>
  <c r="I1052" i="20"/>
  <c r="I1053" i="20"/>
  <c r="I1054" i="20"/>
  <c r="I1055" i="20"/>
  <c r="I1056" i="20"/>
  <c r="I1057" i="20"/>
  <c r="I1058" i="20"/>
  <c r="I1059" i="20"/>
  <c r="I1060" i="20"/>
  <c r="I1061" i="20"/>
  <c r="I1062" i="20"/>
  <c r="I1063" i="20"/>
  <c r="I1064" i="20"/>
  <c r="I1065" i="20"/>
  <c r="I1066" i="20"/>
  <c r="I1067" i="20"/>
  <c r="I1068" i="20"/>
  <c r="I1069" i="20"/>
  <c r="I1070" i="20"/>
  <c r="I1071" i="20"/>
  <c r="I1072" i="20"/>
  <c r="I1073" i="20"/>
  <c r="I1074" i="20"/>
  <c r="I1075" i="20"/>
  <c r="I1076" i="20"/>
  <c r="I1077" i="20"/>
  <c r="I1078" i="20"/>
  <c r="I1079" i="20"/>
  <c r="I1080" i="20"/>
  <c r="I1081" i="20"/>
  <c r="I1082" i="20"/>
  <c r="I1083" i="20"/>
  <c r="I1084" i="20"/>
  <c r="I1085" i="20"/>
  <c r="I1086" i="20"/>
  <c r="I1087" i="20"/>
  <c r="I1088" i="20"/>
  <c r="I1089" i="20"/>
  <c r="I1090" i="20"/>
  <c r="I1091" i="20"/>
  <c r="I1092" i="20"/>
  <c r="I1093" i="20"/>
  <c r="I1094" i="20"/>
  <c r="I1095" i="20"/>
  <c r="I1096" i="20"/>
  <c r="I1097" i="20"/>
  <c r="I1098" i="20"/>
  <c r="I1099" i="20"/>
  <c r="I1100" i="20"/>
  <c r="I1101" i="20"/>
  <c r="I1102" i="20"/>
  <c r="I1103" i="20"/>
  <c r="I1104" i="20"/>
  <c r="I1105" i="20"/>
  <c r="I1106" i="20"/>
  <c r="I1107" i="20"/>
  <c r="I1108" i="20"/>
  <c r="I1109" i="20"/>
  <c r="I1110" i="20"/>
  <c r="I1111" i="20"/>
  <c r="I1112" i="20"/>
  <c r="I1113" i="20"/>
  <c r="I1114" i="20"/>
  <c r="I1115" i="20"/>
  <c r="I1116" i="20"/>
  <c r="I1117" i="20"/>
  <c r="I1118" i="20"/>
  <c r="I1119" i="20"/>
  <c r="I1120" i="20"/>
  <c r="I1121" i="20"/>
  <c r="I1122" i="20"/>
  <c r="I1123" i="20"/>
  <c r="I1124" i="20"/>
  <c r="I1125" i="20"/>
  <c r="I1126" i="20"/>
  <c r="I1127" i="20"/>
  <c r="I1128" i="20"/>
  <c r="I1129" i="20"/>
  <c r="I39" i="20"/>
  <c r="B4" i="23"/>
  <c r="B16" i="23"/>
  <c r="B9" i="23"/>
  <c r="B8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I41" i="23"/>
  <c r="B14" i="23"/>
  <c r="B15" i="23"/>
  <c r="C14" i="23"/>
  <c r="D14" i="23"/>
  <c r="H14" i="23"/>
  <c r="E14" i="23"/>
  <c r="I14" i="23"/>
  <c r="J14" i="23"/>
  <c r="C15" i="23"/>
  <c r="D15" i="23"/>
  <c r="H15" i="23"/>
  <c r="E15" i="23"/>
  <c r="I15" i="23"/>
  <c r="J15" i="23"/>
  <c r="C16" i="23"/>
  <c r="D16" i="23"/>
  <c r="H16" i="23"/>
  <c r="E16" i="23"/>
  <c r="I16" i="23"/>
  <c r="J16" i="23"/>
  <c r="C17" i="23"/>
  <c r="D17" i="23"/>
  <c r="H17" i="23"/>
  <c r="E17" i="23"/>
  <c r="I17" i="23"/>
  <c r="J17" i="23"/>
  <c r="C18" i="23"/>
  <c r="D18" i="23"/>
  <c r="H18" i="23"/>
  <c r="E18" i="23"/>
  <c r="I18" i="23"/>
  <c r="J18" i="23"/>
  <c r="C19" i="23"/>
  <c r="D19" i="23"/>
  <c r="H19" i="23"/>
  <c r="E19" i="23"/>
  <c r="I19" i="23"/>
  <c r="J19" i="23"/>
  <c r="C20" i="23"/>
  <c r="D20" i="23"/>
  <c r="H20" i="23"/>
  <c r="E20" i="23"/>
  <c r="I20" i="23"/>
  <c r="J20" i="23"/>
  <c r="C21" i="23"/>
  <c r="D21" i="23"/>
  <c r="H21" i="23"/>
  <c r="E21" i="23"/>
  <c r="I21" i="23"/>
  <c r="J21" i="23"/>
  <c r="C22" i="23"/>
  <c r="D22" i="23"/>
  <c r="H22" i="23"/>
  <c r="E22" i="23"/>
  <c r="I22" i="23"/>
  <c r="J22" i="23"/>
  <c r="C23" i="23"/>
  <c r="D23" i="23"/>
  <c r="H23" i="23"/>
  <c r="E23" i="23"/>
  <c r="I23" i="23"/>
  <c r="J23" i="23"/>
  <c r="C24" i="23"/>
  <c r="D24" i="23"/>
  <c r="H24" i="23"/>
  <c r="E24" i="23"/>
  <c r="I24" i="23"/>
  <c r="J24" i="23"/>
  <c r="C25" i="23"/>
  <c r="D25" i="23"/>
  <c r="H25" i="23"/>
  <c r="E25" i="23"/>
  <c r="I25" i="23"/>
  <c r="J25" i="23"/>
  <c r="C26" i="23"/>
  <c r="D26" i="23"/>
  <c r="H26" i="23"/>
  <c r="E26" i="23"/>
  <c r="I26" i="23"/>
  <c r="J26" i="23"/>
  <c r="C27" i="23"/>
  <c r="D27" i="23"/>
  <c r="H27" i="23"/>
  <c r="E27" i="23"/>
  <c r="I27" i="23"/>
  <c r="J27" i="23"/>
  <c r="C28" i="23"/>
  <c r="D28" i="23"/>
  <c r="H28" i="23"/>
  <c r="E28" i="23"/>
  <c r="I28" i="23"/>
  <c r="J28" i="23"/>
  <c r="C29" i="23"/>
  <c r="D29" i="23"/>
  <c r="H29" i="23"/>
  <c r="E29" i="23"/>
  <c r="I29" i="23"/>
  <c r="J29" i="23"/>
  <c r="C30" i="23"/>
  <c r="D30" i="23"/>
  <c r="H30" i="23"/>
  <c r="E30" i="23"/>
  <c r="I30" i="23"/>
  <c r="J30" i="23"/>
  <c r="C31" i="23"/>
  <c r="D31" i="23"/>
  <c r="H31" i="23"/>
  <c r="E31" i="23"/>
  <c r="I31" i="23"/>
  <c r="J31" i="23"/>
  <c r="C32" i="23"/>
  <c r="D32" i="23"/>
  <c r="H32" i="23"/>
  <c r="E32" i="23"/>
  <c r="I32" i="23"/>
  <c r="J32" i="23"/>
  <c r="C33" i="23"/>
  <c r="D33" i="23"/>
  <c r="H33" i="23"/>
  <c r="E33" i="23"/>
  <c r="I33" i="23"/>
  <c r="J33" i="23"/>
  <c r="C34" i="23"/>
  <c r="D34" i="23"/>
  <c r="H34" i="23"/>
  <c r="E34" i="23"/>
  <c r="I34" i="23"/>
  <c r="J34" i="23"/>
  <c r="C35" i="23"/>
  <c r="D35" i="23"/>
  <c r="H35" i="23"/>
  <c r="E35" i="23"/>
  <c r="I35" i="23"/>
  <c r="J35" i="23"/>
  <c r="C36" i="23"/>
  <c r="D36" i="23"/>
  <c r="H36" i="23"/>
  <c r="E36" i="23"/>
  <c r="I36" i="23"/>
  <c r="J36" i="23"/>
  <c r="C37" i="23"/>
  <c r="D37" i="23"/>
  <c r="H37" i="23"/>
  <c r="E37" i="23"/>
  <c r="I37" i="23"/>
  <c r="J37" i="23"/>
  <c r="C38" i="23"/>
  <c r="D38" i="23"/>
  <c r="H38" i="23"/>
  <c r="E38" i="23"/>
  <c r="I38" i="23"/>
  <c r="J38" i="23"/>
  <c r="I40" i="23"/>
  <c r="I42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40" i="23"/>
  <c r="F41" i="23"/>
  <c r="F42" i="23"/>
  <c r="B45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40" i="23"/>
  <c r="L41" i="23"/>
  <c r="L42" i="23"/>
  <c r="B10" i="23"/>
  <c r="B48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40" i="23"/>
  <c r="N41" i="23"/>
  <c r="N42" i="23"/>
  <c r="B46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40" i="23"/>
  <c r="P41" i="23"/>
  <c r="P42" i="23"/>
  <c r="B47" i="23"/>
  <c r="B49" i="23"/>
  <c r="B24" i="22"/>
  <c r="E99" i="22"/>
  <c r="G99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14" i="22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H39" i="21"/>
  <c r="H40" i="21"/>
  <c r="G40" i="21"/>
  <c r="H41" i="21"/>
  <c r="G41" i="21"/>
  <c r="H42" i="21"/>
  <c r="G42" i="21"/>
  <c r="H43" i="21"/>
  <c r="G43" i="21"/>
  <c r="H44" i="21"/>
  <c r="G44" i="21"/>
  <c r="H45" i="21"/>
  <c r="G45" i="21"/>
  <c r="H46" i="21"/>
  <c r="G46" i="21"/>
  <c r="H47" i="21"/>
  <c r="G47" i="21"/>
  <c r="H48" i="21"/>
  <c r="G48" i="21"/>
  <c r="H49" i="21"/>
  <c r="G49" i="21"/>
  <c r="H50" i="21"/>
  <c r="G50" i="21"/>
  <c r="H51" i="21"/>
  <c r="G51" i="21"/>
  <c r="H52" i="21"/>
  <c r="G52" i="21"/>
  <c r="H53" i="21"/>
  <c r="G53" i="21"/>
  <c r="H54" i="21"/>
  <c r="G54" i="21"/>
  <c r="H55" i="21"/>
  <c r="G55" i="21"/>
  <c r="H56" i="21"/>
  <c r="G56" i="21"/>
  <c r="H57" i="21"/>
  <c r="G57" i="21"/>
  <c r="H58" i="21"/>
  <c r="G58" i="21"/>
  <c r="H59" i="21"/>
  <c r="G59" i="21"/>
  <c r="H60" i="21"/>
  <c r="G60" i="21"/>
  <c r="H61" i="21"/>
  <c r="G61" i="21"/>
  <c r="H62" i="21"/>
  <c r="G62" i="21"/>
  <c r="H63" i="21"/>
  <c r="G63" i="21"/>
  <c r="H64" i="21"/>
  <c r="G64" i="21"/>
  <c r="H65" i="21"/>
  <c r="G65" i="21"/>
  <c r="H66" i="21"/>
  <c r="G66" i="21"/>
  <c r="H67" i="21"/>
  <c r="G67" i="21"/>
  <c r="H68" i="21"/>
  <c r="G68" i="21"/>
  <c r="H69" i="21"/>
  <c r="G69" i="21"/>
  <c r="H70" i="21"/>
  <c r="G70" i="21"/>
  <c r="H71" i="21"/>
  <c r="G71" i="21"/>
  <c r="H72" i="21"/>
  <c r="G72" i="21"/>
  <c r="H73" i="21"/>
  <c r="G73" i="21"/>
  <c r="H74" i="21"/>
  <c r="G74" i="21"/>
  <c r="H75" i="21"/>
  <c r="G75" i="21"/>
  <c r="H76" i="21"/>
  <c r="G76" i="21"/>
  <c r="H77" i="21"/>
  <c r="G77" i="21"/>
  <c r="H78" i="21"/>
  <c r="G78" i="21"/>
  <c r="H79" i="21"/>
  <c r="G79" i="21"/>
  <c r="H80" i="21"/>
  <c r="G80" i="21"/>
  <c r="H81" i="21"/>
  <c r="G81" i="21"/>
  <c r="H82" i="21"/>
  <c r="G82" i="21"/>
  <c r="H83" i="21"/>
  <c r="G83" i="21"/>
  <c r="H84" i="21"/>
  <c r="G84" i="21"/>
  <c r="H85" i="21"/>
  <c r="G85" i="21"/>
  <c r="H86" i="21"/>
  <c r="G86" i="21"/>
  <c r="H87" i="21"/>
  <c r="G87" i="21"/>
  <c r="H88" i="21"/>
  <c r="G88" i="21"/>
  <c r="H89" i="21"/>
  <c r="G89" i="21"/>
  <c r="H90" i="21"/>
  <c r="G90" i="21"/>
  <c r="H91" i="21"/>
  <c r="G91" i="21"/>
  <c r="H92" i="21"/>
  <c r="G92" i="21"/>
  <c r="H93" i="21"/>
  <c r="G93" i="21"/>
  <c r="H94" i="21"/>
  <c r="G94" i="21"/>
  <c r="H95" i="21"/>
  <c r="G95" i="21"/>
  <c r="H96" i="21"/>
  <c r="G96" i="21"/>
  <c r="H97" i="21"/>
  <c r="G97" i="21"/>
  <c r="H98" i="21"/>
  <c r="G98" i="21"/>
  <c r="H99" i="21"/>
  <c r="G99" i="21"/>
  <c r="H100" i="21"/>
  <c r="G100" i="21"/>
  <c r="H101" i="21"/>
  <c r="G101" i="21"/>
  <c r="H102" i="21"/>
  <c r="G102" i="21"/>
  <c r="H103" i="21"/>
  <c r="G103" i="21"/>
  <c r="H104" i="21"/>
  <c r="G104" i="21"/>
  <c r="H105" i="21"/>
  <c r="G105" i="21"/>
  <c r="H106" i="21"/>
  <c r="G106" i="21"/>
  <c r="H107" i="21"/>
  <c r="G107" i="21"/>
  <c r="H108" i="21"/>
  <c r="G108" i="21"/>
  <c r="H109" i="21"/>
  <c r="G109" i="21"/>
  <c r="H110" i="21"/>
  <c r="G110" i="21"/>
  <c r="H111" i="21"/>
  <c r="G111" i="21"/>
  <c r="H112" i="21"/>
  <c r="G112" i="21"/>
  <c r="H113" i="21"/>
  <c r="G113" i="21"/>
  <c r="H114" i="21"/>
  <c r="G114" i="21"/>
  <c r="H115" i="21"/>
  <c r="G115" i="21"/>
  <c r="H116" i="21"/>
  <c r="G116" i="21"/>
  <c r="H117" i="21"/>
  <c r="G117" i="21"/>
  <c r="H118" i="21"/>
  <c r="G118" i="21"/>
  <c r="H119" i="21"/>
  <c r="G119" i="21"/>
  <c r="H120" i="21"/>
  <c r="G120" i="21"/>
  <c r="H121" i="21"/>
  <c r="G121" i="21"/>
  <c r="H122" i="21"/>
  <c r="G122" i="21"/>
  <c r="H123" i="21"/>
  <c r="G123" i="21"/>
  <c r="H124" i="21"/>
  <c r="G124" i="21"/>
  <c r="H125" i="21"/>
  <c r="G125" i="21"/>
  <c r="H126" i="21"/>
  <c r="G126" i="21"/>
  <c r="H127" i="21"/>
  <c r="G127" i="21"/>
  <c r="H128" i="21"/>
  <c r="G128" i="21"/>
  <c r="H129" i="21"/>
  <c r="G129" i="21"/>
  <c r="H130" i="21"/>
  <c r="G130" i="21"/>
  <c r="H131" i="21"/>
  <c r="G131" i="21"/>
  <c r="H132" i="21"/>
  <c r="G132" i="21"/>
  <c r="H133" i="21"/>
  <c r="G133" i="21"/>
  <c r="H134" i="21"/>
  <c r="G134" i="21"/>
  <c r="H135" i="21"/>
  <c r="G135" i="21"/>
  <c r="H136" i="21"/>
  <c r="G136" i="21"/>
  <c r="H137" i="21"/>
  <c r="G137" i="21"/>
  <c r="H138" i="21"/>
  <c r="G138" i="21"/>
  <c r="H139" i="21"/>
  <c r="G139" i="21"/>
  <c r="H140" i="21"/>
  <c r="G140" i="21"/>
  <c r="H141" i="21"/>
  <c r="G141" i="21"/>
  <c r="H142" i="21"/>
  <c r="G142" i="21"/>
  <c r="H143" i="21"/>
  <c r="G143" i="21"/>
  <c r="H144" i="21"/>
  <c r="G144" i="21"/>
  <c r="H145" i="21"/>
  <c r="G145" i="21"/>
  <c r="H146" i="21"/>
  <c r="G146" i="21"/>
  <c r="H147" i="21"/>
  <c r="G147" i="21"/>
  <c r="H148" i="21"/>
  <c r="G148" i="21"/>
  <c r="H149" i="21"/>
  <c r="G149" i="21"/>
  <c r="H150" i="21"/>
  <c r="G150" i="21"/>
  <c r="H151" i="21"/>
  <c r="G151" i="21"/>
  <c r="H152" i="21"/>
  <c r="G152" i="21"/>
  <c r="H153" i="21"/>
  <c r="G153" i="21"/>
  <c r="H154" i="21"/>
  <c r="G154" i="21"/>
  <c r="H155" i="21"/>
  <c r="G155" i="21"/>
  <c r="H156" i="21"/>
  <c r="G156" i="21"/>
  <c r="H157" i="21"/>
  <c r="G157" i="21"/>
  <c r="H158" i="21"/>
  <c r="G158" i="21"/>
  <c r="H159" i="21"/>
  <c r="G159" i="21"/>
  <c r="H160" i="21"/>
  <c r="G160" i="21"/>
  <c r="H161" i="21"/>
  <c r="G161" i="21"/>
  <c r="H162" i="21"/>
  <c r="G162" i="21"/>
  <c r="H163" i="21"/>
  <c r="G163" i="21"/>
  <c r="H164" i="21"/>
  <c r="G164" i="21"/>
  <c r="H165" i="21"/>
  <c r="G165" i="21"/>
  <c r="H166" i="21"/>
  <c r="G166" i="21"/>
  <c r="H167" i="21"/>
  <c r="G167" i="21"/>
  <c r="H168" i="21"/>
  <c r="G168" i="21"/>
  <c r="H169" i="21"/>
  <c r="G169" i="21"/>
  <c r="H170" i="21"/>
  <c r="G170" i="21"/>
  <c r="H171" i="21"/>
  <c r="G171" i="21"/>
  <c r="H172" i="21"/>
  <c r="G172" i="21"/>
  <c r="H173" i="21"/>
  <c r="G173" i="21"/>
  <c r="H174" i="21"/>
  <c r="G174" i="21"/>
  <c r="H175" i="21"/>
  <c r="G175" i="21"/>
  <c r="H176" i="21"/>
  <c r="G176" i="21"/>
  <c r="H177" i="21"/>
  <c r="G177" i="21"/>
  <c r="H178" i="21"/>
  <c r="G178" i="21"/>
  <c r="H179" i="21"/>
  <c r="G179" i="21"/>
  <c r="H180" i="21"/>
  <c r="G180" i="21"/>
  <c r="H181" i="21"/>
  <c r="G181" i="21"/>
  <c r="H182" i="21"/>
  <c r="G182" i="21"/>
  <c r="H183" i="21"/>
  <c r="G183" i="21"/>
  <c r="H184" i="21"/>
  <c r="G184" i="21"/>
  <c r="H185" i="21"/>
  <c r="G185" i="21"/>
  <c r="H186" i="21"/>
  <c r="G186" i="21"/>
  <c r="H187" i="21"/>
  <c r="G187" i="21"/>
  <c r="H188" i="21"/>
  <c r="G188" i="21"/>
  <c r="H189" i="21"/>
  <c r="G189" i="21"/>
  <c r="H190" i="21"/>
  <c r="G190" i="21"/>
  <c r="H191" i="21"/>
  <c r="G191" i="21"/>
  <c r="H192" i="21"/>
  <c r="G192" i="21"/>
  <c r="H193" i="21"/>
  <c r="G193" i="21"/>
  <c r="H194" i="21"/>
  <c r="G194" i="21"/>
  <c r="H195" i="21"/>
  <c r="G195" i="21"/>
  <c r="H196" i="21"/>
  <c r="G196" i="21"/>
  <c r="H197" i="21"/>
  <c r="G197" i="21"/>
  <c r="H198" i="21"/>
  <c r="G198" i="21"/>
  <c r="H199" i="21"/>
  <c r="G199" i="21"/>
  <c r="H200" i="21"/>
  <c r="G200" i="21"/>
  <c r="H201" i="21"/>
  <c r="G201" i="21"/>
  <c r="H202" i="21"/>
  <c r="G202" i="21"/>
  <c r="H203" i="21"/>
  <c r="G203" i="21"/>
  <c r="H204" i="21"/>
  <c r="G204" i="21"/>
  <c r="H205" i="21"/>
  <c r="G205" i="21"/>
  <c r="H206" i="21"/>
  <c r="G206" i="21"/>
  <c r="H207" i="21"/>
  <c r="G207" i="21"/>
  <c r="H208" i="21"/>
  <c r="G208" i="21"/>
  <c r="H209" i="21"/>
  <c r="G209" i="21"/>
  <c r="H210" i="21"/>
  <c r="G210" i="21"/>
  <c r="H211" i="21"/>
  <c r="G211" i="21"/>
  <c r="H212" i="21"/>
  <c r="G212" i="21"/>
  <c r="H213" i="21"/>
  <c r="G213" i="21"/>
  <c r="H214" i="21"/>
  <c r="G214" i="21"/>
  <c r="H215" i="21"/>
  <c r="G215" i="21"/>
  <c r="H216" i="21"/>
  <c r="G216" i="21"/>
  <c r="H217" i="21"/>
  <c r="G217" i="21"/>
  <c r="H218" i="21"/>
  <c r="G218" i="21"/>
  <c r="H219" i="21"/>
  <c r="G219" i="21"/>
  <c r="H220" i="21"/>
  <c r="G220" i="21"/>
  <c r="H221" i="21"/>
  <c r="G221" i="21"/>
  <c r="H222" i="21"/>
  <c r="G222" i="21"/>
  <c r="H223" i="21"/>
  <c r="G223" i="21"/>
  <c r="H224" i="21"/>
  <c r="G224" i="21"/>
  <c r="H225" i="21"/>
  <c r="G225" i="21"/>
  <c r="H226" i="21"/>
  <c r="G226" i="21"/>
  <c r="H227" i="21"/>
  <c r="G227" i="21"/>
  <c r="H228" i="21"/>
  <c r="G228" i="21"/>
  <c r="H229" i="21"/>
  <c r="G229" i="21"/>
  <c r="H230" i="21"/>
  <c r="G230" i="21"/>
  <c r="H231" i="21"/>
  <c r="G231" i="21"/>
  <c r="H232" i="21"/>
  <c r="G232" i="21"/>
  <c r="H233" i="21"/>
  <c r="G233" i="21"/>
  <c r="H234" i="21"/>
  <c r="G234" i="21"/>
  <c r="H235" i="21"/>
  <c r="G235" i="21"/>
  <c r="H236" i="21"/>
  <c r="G236" i="21"/>
  <c r="H237" i="21"/>
  <c r="G237" i="21"/>
  <c r="H238" i="21"/>
  <c r="G238" i="21"/>
  <c r="H239" i="21"/>
  <c r="G239" i="21"/>
  <c r="H240" i="21"/>
  <c r="G240" i="21"/>
  <c r="H241" i="21"/>
  <c r="G241" i="21"/>
  <c r="H242" i="21"/>
  <c r="G242" i="21"/>
  <c r="H243" i="21"/>
  <c r="G243" i="21"/>
  <c r="H244" i="21"/>
  <c r="G244" i="21"/>
  <c r="H245" i="21"/>
  <c r="G245" i="21"/>
  <c r="H246" i="21"/>
  <c r="G246" i="21"/>
  <c r="H247" i="21"/>
  <c r="G247" i="21"/>
  <c r="H248" i="21"/>
  <c r="G248" i="21"/>
  <c r="H249" i="21"/>
  <c r="G249" i="21"/>
  <c r="H250" i="21"/>
  <c r="G250" i="21"/>
  <c r="H251" i="21"/>
  <c r="G251" i="21"/>
  <c r="H252" i="21"/>
  <c r="G252" i="21"/>
  <c r="H253" i="21"/>
  <c r="G253" i="21"/>
  <c r="H254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I241" i="21"/>
  <c r="I242" i="21"/>
  <c r="I243" i="21"/>
  <c r="I244" i="21"/>
  <c r="I245" i="21"/>
  <c r="I246" i="21"/>
  <c r="I247" i="21"/>
  <c r="I248" i="21"/>
  <c r="I249" i="21"/>
  <c r="I250" i="21"/>
  <c r="I251" i="21"/>
  <c r="I252" i="21"/>
  <c r="I253" i="21"/>
  <c r="G254" i="21"/>
  <c r="I254" i="21"/>
  <c r="I15" i="21"/>
  <c r="B4" i="21"/>
  <c r="B16" i="21"/>
  <c r="B9" i="21"/>
  <c r="B8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15" i="21"/>
  <c r="B14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15" i="21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16" i="20"/>
  <c r="I38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872" i="20"/>
  <c r="J873" i="20"/>
  <c r="J874" i="20"/>
  <c r="J875" i="20"/>
  <c r="J876" i="20"/>
  <c r="J877" i="20"/>
  <c r="J878" i="20"/>
  <c r="J879" i="20"/>
  <c r="J880" i="20"/>
  <c r="J881" i="20"/>
  <c r="J882" i="20"/>
  <c r="J883" i="20"/>
  <c r="J884" i="20"/>
  <c r="J885" i="20"/>
  <c r="J886" i="20"/>
  <c r="J887" i="20"/>
  <c r="J888" i="20"/>
  <c r="J889" i="20"/>
  <c r="J890" i="20"/>
  <c r="J891" i="20"/>
  <c r="J892" i="20"/>
  <c r="J893" i="20"/>
  <c r="J894" i="20"/>
  <c r="J895" i="20"/>
  <c r="J896" i="20"/>
  <c r="J897" i="20"/>
  <c r="J898" i="20"/>
  <c r="J899" i="20"/>
  <c r="J900" i="20"/>
  <c r="J901" i="20"/>
  <c r="J902" i="20"/>
  <c r="J903" i="20"/>
  <c r="J904" i="20"/>
  <c r="J905" i="20"/>
  <c r="J906" i="20"/>
  <c r="J907" i="20"/>
  <c r="J908" i="20"/>
  <c r="J909" i="20"/>
  <c r="J910" i="20"/>
  <c r="J911" i="20"/>
  <c r="J912" i="20"/>
  <c r="J913" i="20"/>
  <c r="J914" i="20"/>
  <c r="J915" i="20"/>
  <c r="J916" i="20"/>
  <c r="J917" i="20"/>
  <c r="J918" i="20"/>
  <c r="J919" i="20"/>
  <c r="J920" i="20"/>
  <c r="J921" i="20"/>
  <c r="J922" i="20"/>
  <c r="J923" i="20"/>
  <c r="J924" i="20"/>
  <c r="J925" i="20"/>
  <c r="J926" i="20"/>
  <c r="J927" i="20"/>
  <c r="J928" i="20"/>
  <c r="J929" i="20"/>
  <c r="J930" i="20"/>
  <c r="J931" i="20"/>
  <c r="J932" i="20"/>
  <c r="J933" i="20"/>
  <c r="J934" i="20"/>
  <c r="J935" i="20"/>
  <c r="J936" i="20"/>
  <c r="J937" i="20"/>
  <c r="J938" i="20"/>
  <c r="J939" i="20"/>
  <c r="J940" i="20"/>
  <c r="J941" i="20"/>
  <c r="J942" i="20"/>
  <c r="J943" i="20"/>
  <c r="J944" i="20"/>
  <c r="J945" i="20"/>
  <c r="J946" i="20"/>
  <c r="J947" i="20"/>
  <c r="J948" i="20"/>
  <c r="J949" i="20"/>
  <c r="J950" i="20"/>
  <c r="J951" i="20"/>
  <c r="J952" i="20"/>
  <c r="J953" i="20"/>
  <c r="J954" i="20"/>
  <c r="J955" i="20"/>
  <c r="J956" i="20"/>
  <c r="J957" i="20"/>
  <c r="J958" i="20"/>
  <c r="J959" i="20"/>
  <c r="J960" i="20"/>
  <c r="J961" i="20"/>
  <c r="J962" i="20"/>
  <c r="J963" i="20"/>
  <c r="J964" i="20"/>
  <c r="J965" i="20"/>
  <c r="J966" i="20"/>
  <c r="J967" i="20"/>
  <c r="J968" i="20"/>
  <c r="J969" i="20"/>
  <c r="J970" i="20"/>
  <c r="J971" i="20"/>
  <c r="J972" i="20"/>
  <c r="J973" i="20"/>
  <c r="J974" i="20"/>
  <c r="J975" i="20"/>
  <c r="J976" i="20"/>
  <c r="J977" i="20"/>
  <c r="J978" i="20"/>
  <c r="J979" i="20"/>
  <c r="J980" i="20"/>
  <c r="J981" i="20"/>
  <c r="J982" i="20"/>
  <c r="J983" i="20"/>
  <c r="J984" i="20"/>
  <c r="J985" i="20"/>
  <c r="J986" i="20"/>
  <c r="J987" i="20"/>
  <c r="J988" i="20"/>
  <c r="J989" i="20"/>
  <c r="J990" i="20"/>
  <c r="J991" i="20"/>
  <c r="J992" i="20"/>
  <c r="J993" i="20"/>
  <c r="J994" i="20"/>
  <c r="J995" i="20"/>
  <c r="J996" i="20"/>
  <c r="J997" i="20"/>
  <c r="J998" i="20"/>
  <c r="J999" i="20"/>
  <c r="J1000" i="20"/>
  <c r="J1001" i="20"/>
  <c r="J1002" i="20"/>
  <c r="J1003" i="20"/>
  <c r="J1004" i="20"/>
  <c r="J1005" i="20"/>
  <c r="J1006" i="20"/>
  <c r="J1007" i="20"/>
  <c r="J1008" i="20"/>
  <c r="J1009" i="20"/>
  <c r="J1010" i="20"/>
  <c r="J1011" i="20"/>
  <c r="J1012" i="20"/>
  <c r="J1013" i="20"/>
  <c r="J1014" i="20"/>
  <c r="J1015" i="20"/>
  <c r="J1016" i="20"/>
  <c r="J1017" i="20"/>
  <c r="J1018" i="20"/>
  <c r="J1019" i="20"/>
  <c r="J1020" i="20"/>
  <c r="J1021" i="20"/>
  <c r="J1022" i="20"/>
  <c r="J1023" i="20"/>
  <c r="J1024" i="20"/>
  <c r="J1025" i="20"/>
  <c r="J1026" i="20"/>
  <c r="J1027" i="20"/>
  <c r="J1028" i="20"/>
  <c r="J1029" i="20"/>
  <c r="J1030" i="20"/>
  <c r="J1031" i="20"/>
  <c r="J1032" i="20"/>
  <c r="J1033" i="20"/>
  <c r="J1034" i="20"/>
  <c r="J1035" i="20"/>
  <c r="J1036" i="20"/>
  <c r="J1037" i="20"/>
  <c r="J1038" i="20"/>
  <c r="J1039" i="20"/>
  <c r="J1040" i="20"/>
  <c r="J1041" i="20"/>
  <c r="J1042" i="20"/>
  <c r="J1043" i="20"/>
  <c r="J1044" i="20"/>
  <c r="J1045" i="20"/>
  <c r="J1046" i="20"/>
  <c r="J1047" i="20"/>
  <c r="J1048" i="20"/>
  <c r="J1049" i="20"/>
  <c r="J1050" i="20"/>
  <c r="J1051" i="20"/>
  <c r="J1052" i="20"/>
  <c r="J1053" i="20"/>
  <c r="J1054" i="20"/>
  <c r="J1055" i="20"/>
  <c r="J1056" i="20"/>
  <c r="J1057" i="20"/>
  <c r="J1058" i="20"/>
  <c r="J1059" i="20"/>
  <c r="J1060" i="20"/>
  <c r="J1061" i="20"/>
  <c r="J1062" i="20"/>
  <c r="J1063" i="20"/>
  <c r="J1064" i="20"/>
  <c r="J1065" i="20"/>
  <c r="J1066" i="20"/>
  <c r="J1067" i="20"/>
  <c r="J1068" i="20"/>
  <c r="J1069" i="20"/>
  <c r="J1070" i="20"/>
  <c r="J1071" i="20"/>
  <c r="J1072" i="20"/>
  <c r="J1073" i="20"/>
  <c r="J1074" i="20"/>
  <c r="J1075" i="20"/>
  <c r="J1076" i="20"/>
  <c r="J1077" i="20"/>
  <c r="J1078" i="20"/>
  <c r="J1079" i="20"/>
  <c r="J1080" i="20"/>
  <c r="J1081" i="20"/>
  <c r="J1082" i="20"/>
  <c r="J1083" i="20"/>
  <c r="J1084" i="20"/>
  <c r="J1085" i="20"/>
  <c r="J1086" i="20"/>
  <c r="J1087" i="20"/>
  <c r="J1088" i="20"/>
  <c r="J1089" i="20"/>
  <c r="J1090" i="20"/>
  <c r="J1091" i="20"/>
  <c r="J1092" i="20"/>
  <c r="J1093" i="20"/>
  <c r="J1094" i="20"/>
  <c r="J1095" i="20"/>
  <c r="J1096" i="20"/>
  <c r="J1097" i="20"/>
  <c r="J1098" i="20"/>
  <c r="J1099" i="20"/>
  <c r="J1100" i="20"/>
  <c r="J1101" i="20"/>
  <c r="J1102" i="20"/>
  <c r="J1103" i="20"/>
  <c r="J1104" i="20"/>
  <c r="J1105" i="20"/>
  <c r="J1106" i="20"/>
  <c r="J1107" i="20"/>
  <c r="J1108" i="20"/>
  <c r="J1109" i="20"/>
  <c r="J1110" i="20"/>
  <c r="J1111" i="20"/>
  <c r="J1112" i="20"/>
  <c r="J1113" i="20"/>
  <c r="J1114" i="20"/>
  <c r="J1115" i="20"/>
  <c r="J1116" i="20"/>
  <c r="J1117" i="20"/>
  <c r="J1118" i="20"/>
  <c r="J1119" i="20"/>
  <c r="J1120" i="20"/>
  <c r="J1121" i="20"/>
  <c r="J1122" i="20"/>
  <c r="J1123" i="20"/>
  <c r="J1124" i="20"/>
  <c r="J1125" i="20"/>
  <c r="J1126" i="20"/>
  <c r="J1127" i="20"/>
  <c r="J1128" i="20"/>
  <c r="J1129" i="20"/>
  <c r="J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13" i="20"/>
  <c r="B14" i="20"/>
  <c r="B15" i="20"/>
  <c r="B13" i="20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17" i="19"/>
  <c r="B15" i="19"/>
  <c r="B16" i="19"/>
  <c r="B14" i="19"/>
  <c r="B9" i="19"/>
  <c r="B8" i="19"/>
  <c r="B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14" i="19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14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13" i="18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12" i="14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11" i="13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373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K12" i="12"/>
  <c r="B9" i="12"/>
  <c r="H10" i="11"/>
  <c r="H11" i="11"/>
  <c r="H12" i="11"/>
  <c r="H9" i="11"/>
  <c r="B9" i="11"/>
  <c r="B10" i="11"/>
  <c r="B11" i="11"/>
  <c r="B8" i="11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1" i="10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H3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H5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48" i="21"/>
  <c r="J249" i="21"/>
  <c r="J250" i="21"/>
  <c r="J251" i="21"/>
  <c r="J252" i="21"/>
  <c r="J253" i="21"/>
  <c r="J254" i="21"/>
  <c r="H4" i="21"/>
  <c r="H7" i="21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5" i="19"/>
  <c r="D37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H37" i="19"/>
  <c r="H38" i="19"/>
  <c r="J13" i="18"/>
  <c r="L13" i="18"/>
  <c r="M13" i="18"/>
  <c r="J14" i="18"/>
  <c r="L14" i="18"/>
  <c r="M14" i="18"/>
  <c r="J15" i="18"/>
  <c r="L15" i="18"/>
  <c r="M15" i="18"/>
  <c r="J16" i="18"/>
  <c r="L16" i="18"/>
  <c r="M16" i="18"/>
  <c r="J17" i="18"/>
  <c r="L17" i="18"/>
  <c r="M17" i="18"/>
  <c r="J18" i="18"/>
  <c r="L18" i="18"/>
  <c r="M18" i="18"/>
  <c r="J19" i="18"/>
  <c r="L19" i="18"/>
  <c r="M19" i="18"/>
  <c r="J20" i="18"/>
  <c r="L20" i="18"/>
  <c r="M20" i="18"/>
  <c r="J21" i="18"/>
  <c r="L21" i="18"/>
  <c r="M21" i="18"/>
  <c r="J22" i="18"/>
  <c r="L22" i="18"/>
  <c r="M22" i="18"/>
  <c r="L23" i="18"/>
  <c r="M23" i="18"/>
  <c r="L24" i="18"/>
  <c r="M24" i="18"/>
  <c r="L25" i="18"/>
  <c r="M25" i="18"/>
  <c r="L26" i="18"/>
  <c r="M26" i="18"/>
  <c r="L27" i="18"/>
  <c r="M27" i="18"/>
  <c r="L28" i="18"/>
  <c r="M28" i="18"/>
  <c r="L29" i="18"/>
  <c r="M29" i="18"/>
  <c r="L30" i="18"/>
  <c r="M30" i="18"/>
  <c r="L31" i="18"/>
  <c r="M31" i="18"/>
  <c r="L32" i="18"/>
  <c r="M32" i="18"/>
  <c r="L33" i="18"/>
  <c r="M33" i="18"/>
  <c r="L34" i="18"/>
  <c r="M34" i="18"/>
  <c r="L35" i="18"/>
  <c r="M35" i="18"/>
  <c r="L36" i="18"/>
  <c r="M36" i="18"/>
  <c r="L37" i="18"/>
  <c r="M37" i="18"/>
  <c r="L38" i="18"/>
  <c r="M38" i="18"/>
  <c r="L39" i="18"/>
  <c r="M39" i="18"/>
  <c r="L40" i="18"/>
  <c r="M40" i="18"/>
  <c r="L41" i="18"/>
  <c r="M41" i="18"/>
  <c r="L42" i="18"/>
  <c r="M42" i="18"/>
  <c r="L43" i="18"/>
  <c r="M43" i="18"/>
  <c r="L44" i="18"/>
  <c r="M44" i="18"/>
  <c r="L45" i="18"/>
  <c r="M45" i="18"/>
  <c r="L46" i="18"/>
  <c r="M46" i="18"/>
  <c r="L47" i="18"/>
  <c r="M47" i="18"/>
  <c r="L48" i="18"/>
  <c r="M48" i="18"/>
  <c r="L49" i="18"/>
  <c r="M49" i="18"/>
  <c r="L50" i="18"/>
  <c r="M50" i="18"/>
  <c r="L51" i="18"/>
  <c r="M51" i="18"/>
  <c r="L52" i="18"/>
  <c r="M52" i="18"/>
  <c r="L53" i="18"/>
  <c r="M53" i="18"/>
  <c r="L54" i="18"/>
  <c r="M54" i="18"/>
  <c r="L55" i="18"/>
  <c r="M55" i="18"/>
  <c r="L56" i="18"/>
  <c r="M56" i="18"/>
  <c r="L57" i="18"/>
  <c r="M57" i="18"/>
  <c r="L58" i="18"/>
  <c r="M58" i="18"/>
  <c r="L59" i="18"/>
  <c r="M59" i="18"/>
  <c r="L60" i="18"/>
  <c r="M60" i="18"/>
  <c r="L61" i="18"/>
  <c r="M61" i="18"/>
  <c r="L62" i="18"/>
  <c r="M62" i="18"/>
  <c r="L63" i="18"/>
  <c r="M63" i="18"/>
  <c r="L64" i="18"/>
  <c r="M64" i="18"/>
  <c r="L65" i="18"/>
  <c r="M65" i="18"/>
  <c r="L66" i="18"/>
  <c r="M66" i="18"/>
  <c r="L67" i="18"/>
  <c r="M67" i="18"/>
  <c r="L68" i="18"/>
  <c r="M68" i="18"/>
  <c r="L69" i="18"/>
  <c r="M69" i="18"/>
  <c r="L70" i="18"/>
  <c r="M70" i="18"/>
  <c r="L71" i="18"/>
  <c r="M71" i="18"/>
  <c r="L72" i="18"/>
  <c r="M72" i="18"/>
  <c r="L73" i="18"/>
  <c r="M73" i="18"/>
  <c r="L74" i="18"/>
  <c r="M74" i="18"/>
  <c r="L75" i="18"/>
  <c r="M75" i="18"/>
  <c r="L76" i="18"/>
  <c r="M76" i="18"/>
  <c r="L77" i="18"/>
  <c r="M77" i="18"/>
  <c r="L78" i="18"/>
  <c r="M78" i="18"/>
  <c r="L79" i="18"/>
  <c r="M79" i="18"/>
  <c r="L80" i="18"/>
  <c r="M80" i="18"/>
  <c r="L81" i="18"/>
  <c r="M81" i="18"/>
  <c r="L82" i="18"/>
  <c r="M82" i="18"/>
  <c r="L83" i="18"/>
  <c r="M83" i="18"/>
  <c r="L84" i="18"/>
  <c r="M84" i="18"/>
  <c r="L85" i="18"/>
  <c r="M85" i="18"/>
  <c r="L86" i="18"/>
  <c r="M86" i="18"/>
  <c r="L87" i="18"/>
  <c r="M87" i="18"/>
  <c r="L88" i="18"/>
  <c r="M88" i="18"/>
  <c r="M90" i="18"/>
  <c r="L90" i="18"/>
  <c r="B9" i="18"/>
  <c r="B4" i="18"/>
  <c r="B8" i="18"/>
  <c r="D13" i="18"/>
  <c r="E13" i="18"/>
  <c r="F13" i="18"/>
  <c r="D14" i="18"/>
  <c r="E14" i="18"/>
  <c r="F14" i="18"/>
  <c r="D15" i="18"/>
  <c r="E15" i="18"/>
  <c r="F15" i="18"/>
  <c r="D16" i="18"/>
  <c r="E16" i="18"/>
  <c r="F16" i="18"/>
  <c r="D17" i="18"/>
  <c r="E17" i="18"/>
  <c r="F17" i="18"/>
  <c r="D18" i="18"/>
  <c r="E18" i="18"/>
  <c r="F18" i="18"/>
  <c r="D19" i="18"/>
  <c r="E19" i="18"/>
  <c r="F19" i="18"/>
  <c r="D20" i="18"/>
  <c r="E20" i="18"/>
  <c r="F20" i="18"/>
  <c r="D21" i="18"/>
  <c r="E21" i="18"/>
  <c r="F21" i="18"/>
  <c r="D22" i="18"/>
  <c r="E22" i="18"/>
  <c r="F22" i="18"/>
  <c r="D23" i="18"/>
  <c r="E23" i="18"/>
  <c r="F23" i="18"/>
  <c r="D24" i="18"/>
  <c r="E24" i="18"/>
  <c r="F24" i="18"/>
  <c r="D25" i="18"/>
  <c r="E25" i="18"/>
  <c r="F25" i="18"/>
  <c r="D26" i="18"/>
  <c r="E26" i="18"/>
  <c r="F26" i="18"/>
  <c r="D27" i="18"/>
  <c r="E27" i="18"/>
  <c r="F27" i="18"/>
  <c r="D28" i="18"/>
  <c r="E28" i="18"/>
  <c r="F28" i="18"/>
  <c r="D29" i="18"/>
  <c r="E29" i="18"/>
  <c r="F29" i="18"/>
  <c r="D30" i="18"/>
  <c r="E30" i="18"/>
  <c r="F30" i="18"/>
  <c r="D31" i="18"/>
  <c r="E31" i="18"/>
  <c r="F31" i="18"/>
  <c r="D32" i="18"/>
  <c r="E32" i="18"/>
  <c r="F32" i="18"/>
  <c r="D33" i="18"/>
  <c r="E33" i="18"/>
  <c r="F33" i="18"/>
  <c r="D34" i="18"/>
  <c r="E34" i="18"/>
  <c r="F34" i="18"/>
  <c r="D35" i="18"/>
  <c r="E35" i="18"/>
  <c r="F35" i="18"/>
  <c r="D36" i="18"/>
  <c r="E36" i="18"/>
  <c r="F36" i="18"/>
  <c r="D37" i="18"/>
  <c r="E37" i="18"/>
  <c r="F37" i="18"/>
  <c r="D38" i="18"/>
  <c r="E38" i="18"/>
  <c r="F38" i="18"/>
  <c r="D39" i="18"/>
  <c r="E39" i="18"/>
  <c r="F39" i="18"/>
  <c r="D40" i="18"/>
  <c r="E40" i="18"/>
  <c r="F40" i="18"/>
  <c r="D41" i="18"/>
  <c r="E41" i="18"/>
  <c r="F41" i="18"/>
  <c r="D42" i="18"/>
  <c r="E42" i="18"/>
  <c r="F42" i="18"/>
  <c r="D43" i="18"/>
  <c r="E43" i="18"/>
  <c r="F43" i="18"/>
  <c r="D44" i="18"/>
  <c r="E44" i="18"/>
  <c r="F44" i="18"/>
  <c r="D45" i="18"/>
  <c r="E45" i="18"/>
  <c r="F45" i="18"/>
  <c r="D46" i="18"/>
  <c r="E46" i="18"/>
  <c r="F46" i="18"/>
  <c r="D47" i="18"/>
  <c r="E47" i="18"/>
  <c r="F47" i="18"/>
  <c r="D48" i="18"/>
  <c r="E48" i="18"/>
  <c r="F48" i="18"/>
  <c r="D49" i="18"/>
  <c r="E49" i="18"/>
  <c r="F49" i="18"/>
  <c r="D50" i="18"/>
  <c r="E50" i="18"/>
  <c r="F50" i="18"/>
  <c r="D51" i="18"/>
  <c r="E51" i="18"/>
  <c r="F51" i="18"/>
  <c r="D52" i="18"/>
  <c r="E52" i="18"/>
  <c r="F52" i="18"/>
  <c r="D53" i="18"/>
  <c r="E53" i="18"/>
  <c r="F53" i="18"/>
  <c r="D54" i="18"/>
  <c r="E54" i="18"/>
  <c r="F54" i="18"/>
  <c r="D55" i="18"/>
  <c r="E55" i="18"/>
  <c r="F55" i="18"/>
  <c r="D56" i="18"/>
  <c r="E56" i="18"/>
  <c r="F56" i="18"/>
  <c r="D57" i="18"/>
  <c r="E57" i="18"/>
  <c r="F57" i="18"/>
  <c r="D58" i="18"/>
  <c r="E58" i="18"/>
  <c r="F58" i="18"/>
  <c r="D59" i="18"/>
  <c r="E59" i="18"/>
  <c r="F59" i="18"/>
  <c r="D60" i="18"/>
  <c r="E60" i="18"/>
  <c r="F60" i="18"/>
  <c r="D61" i="18"/>
  <c r="E61" i="18"/>
  <c r="F61" i="18"/>
  <c r="D62" i="18"/>
  <c r="E62" i="18"/>
  <c r="F62" i="18"/>
  <c r="D63" i="18"/>
  <c r="E63" i="18"/>
  <c r="F63" i="18"/>
  <c r="D64" i="18"/>
  <c r="E64" i="18"/>
  <c r="F64" i="18"/>
  <c r="D65" i="18"/>
  <c r="E65" i="18"/>
  <c r="F65" i="18"/>
  <c r="D66" i="18"/>
  <c r="E66" i="18"/>
  <c r="F66" i="18"/>
  <c r="D67" i="18"/>
  <c r="E67" i="18"/>
  <c r="F67" i="18"/>
  <c r="D68" i="18"/>
  <c r="E68" i="18"/>
  <c r="F68" i="18"/>
  <c r="D69" i="18"/>
  <c r="E69" i="18"/>
  <c r="F69" i="18"/>
  <c r="D70" i="18"/>
  <c r="E70" i="18"/>
  <c r="F70" i="18"/>
  <c r="D71" i="18"/>
  <c r="E71" i="18"/>
  <c r="F71" i="18"/>
  <c r="D72" i="18"/>
  <c r="E72" i="18"/>
  <c r="F72" i="18"/>
  <c r="D73" i="18"/>
  <c r="E73" i="18"/>
  <c r="F73" i="18"/>
  <c r="D74" i="18"/>
  <c r="E74" i="18"/>
  <c r="F74" i="18"/>
  <c r="D75" i="18"/>
  <c r="E75" i="18"/>
  <c r="F75" i="18"/>
  <c r="D76" i="18"/>
  <c r="E76" i="18"/>
  <c r="F76" i="18"/>
  <c r="D77" i="18"/>
  <c r="E77" i="18"/>
  <c r="F77" i="18"/>
  <c r="D78" i="18"/>
  <c r="E78" i="18"/>
  <c r="F78" i="18"/>
  <c r="D79" i="18"/>
  <c r="E79" i="18"/>
  <c r="F79" i="18"/>
  <c r="D80" i="18"/>
  <c r="E80" i="18"/>
  <c r="F80" i="18"/>
  <c r="D81" i="18"/>
  <c r="E81" i="18"/>
  <c r="F81" i="18"/>
  <c r="D82" i="18"/>
  <c r="E82" i="18"/>
  <c r="F82" i="18"/>
  <c r="D83" i="18"/>
  <c r="E83" i="18"/>
  <c r="F83" i="18"/>
  <c r="D84" i="18"/>
  <c r="E84" i="18"/>
  <c r="F84" i="18"/>
  <c r="D85" i="18"/>
  <c r="E85" i="18"/>
  <c r="F85" i="18"/>
  <c r="D86" i="18"/>
  <c r="E86" i="18"/>
  <c r="F86" i="18"/>
  <c r="D87" i="18"/>
  <c r="E87" i="18"/>
  <c r="F87" i="18"/>
  <c r="D88" i="18"/>
  <c r="E88" i="18"/>
  <c r="F88" i="18"/>
  <c r="F90" i="18"/>
  <c r="E90" i="18"/>
  <c r="F84" i="16"/>
  <c r="E84" i="16"/>
  <c r="B8" i="16"/>
  <c r="B4" i="16"/>
  <c r="B7" i="16"/>
  <c r="B84" i="16"/>
  <c r="B83" i="16"/>
  <c r="C83" i="16"/>
  <c r="E83" i="16"/>
  <c r="B82" i="16"/>
  <c r="C82" i="16"/>
  <c r="E82" i="16"/>
  <c r="B81" i="16"/>
  <c r="C81" i="16"/>
  <c r="E81" i="16"/>
  <c r="B80" i="16"/>
  <c r="C80" i="16"/>
  <c r="E80" i="16"/>
  <c r="B79" i="16"/>
  <c r="C79" i="16"/>
  <c r="E79" i="16"/>
  <c r="B78" i="16"/>
  <c r="C78" i="16"/>
  <c r="E78" i="16"/>
  <c r="B77" i="16"/>
  <c r="C77" i="16"/>
  <c r="E77" i="16"/>
  <c r="B76" i="16"/>
  <c r="C76" i="16"/>
  <c r="E76" i="16"/>
  <c r="B75" i="16"/>
  <c r="C75" i="16"/>
  <c r="E75" i="16"/>
  <c r="B74" i="16"/>
  <c r="C74" i="16"/>
  <c r="E74" i="16"/>
  <c r="B73" i="16"/>
  <c r="C73" i="16"/>
  <c r="E73" i="16"/>
  <c r="B72" i="16"/>
  <c r="C72" i="16"/>
  <c r="E72" i="16"/>
  <c r="B71" i="16"/>
  <c r="C71" i="16"/>
  <c r="E71" i="16"/>
  <c r="B70" i="16"/>
  <c r="C70" i="16"/>
  <c r="E70" i="16"/>
  <c r="B69" i="16"/>
  <c r="C69" i="16"/>
  <c r="E69" i="16"/>
  <c r="B68" i="16"/>
  <c r="C68" i="16"/>
  <c r="E68" i="16"/>
  <c r="B67" i="16"/>
  <c r="C67" i="16"/>
  <c r="E67" i="16"/>
  <c r="B66" i="16"/>
  <c r="C66" i="16"/>
  <c r="E66" i="16"/>
  <c r="B65" i="16"/>
  <c r="C65" i="16"/>
  <c r="E65" i="16"/>
  <c r="B64" i="16"/>
  <c r="C64" i="16"/>
  <c r="E64" i="16"/>
  <c r="B63" i="16"/>
  <c r="C63" i="16"/>
  <c r="E63" i="16"/>
  <c r="B62" i="16"/>
  <c r="C62" i="16"/>
  <c r="E62" i="16"/>
  <c r="B61" i="16"/>
  <c r="C61" i="16"/>
  <c r="E61" i="16"/>
  <c r="B60" i="16"/>
  <c r="C60" i="16"/>
  <c r="E60" i="16"/>
  <c r="B59" i="16"/>
  <c r="C59" i="16"/>
  <c r="E59" i="16"/>
  <c r="B58" i="16"/>
  <c r="C58" i="16"/>
  <c r="E58" i="16"/>
  <c r="B57" i="16"/>
  <c r="C57" i="16"/>
  <c r="E57" i="16"/>
  <c r="B56" i="16"/>
  <c r="C56" i="16"/>
  <c r="E56" i="16"/>
  <c r="B55" i="16"/>
  <c r="C55" i="16"/>
  <c r="E55" i="16"/>
  <c r="B54" i="16"/>
  <c r="C54" i="16"/>
  <c r="E54" i="16"/>
  <c r="B53" i="16"/>
  <c r="C53" i="16"/>
  <c r="E53" i="16"/>
  <c r="B52" i="16"/>
  <c r="C52" i="16"/>
  <c r="E52" i="16"/>
  <c r="B51" i="16"/>
  <c r="C51" i="16"/>
  <c r="E51" i="16"/>
  <c r="B50" i="16"/>
  <c r="C50" i="16"/>
  <c r="E50" i="16"/>
  <c r="B49" i="16"/>
  <c r="C49" i="16"/>
  <c r="E49" i="16"/>
  <c r="B48" i="16"/>
  <c r="C48" i="16"/>
  <c r="E48" i="16"/>
  <c r="B47" i="16"/>
  <c r="C47" i="16"/>
  <c r="E47" i="16"/>
  <c r="B46" i="16"/>
  <c r="C46" i="16"/>
  <c r="E46" i="16"/>
  <c r="B45" i="16"/>
  <c r="C45" i="16"/>
  <c r="E45" i="16"/>
  <c r="B44" i="16"/>
  <c r="C44" i="16"/>
  <c r="E44" i="16"/>
  <c r="B43" i="16"/>
  <c r="C43" i="16"/>
  <c r="E43" i="16"/>
  <c r="B42" i="16"/>
  <c r="C42" i="16"/>
  <c r="E42" i="16"/>
  <c r="B41" i="16"/>
  <c r="C41" i="16"/>
  <c r="E41" i="16"/>
  <c r="B40" i="16"/>
  <c r="C40" i="16"/>
  <c r="E40" i="16"/>
  <c r="B39" i="16"/>
  <c r="C39" i="16"/>
  <c r="E39" i="16"/>
  <c r="B38" i="16"/>
  <c r="C38" i="16"/>
  <c r="E38" i="16"/>
  <c r="B37" i="16"/>
  <c r="C37" i="16"/>
  <c r="E37" i="16"/>
  <c r="B36" i="16"/>
  <c r="C36" i="16"/>
  <c r="E36" i="16"/>
  <c r="B35" i="16"/>
  <c r="C35" i="16"/>
  <c r="E35" i="16"/>
  <c r="B34" i="16"/>
  <c r="C34" i="16"/>
  <c r="E34" i="16"/>
  <c r="B33" i="16"/>
  <c r="C33" i="16"/>
  <c r="E33" i="16"/>
  <c r="B32" i="16"/>
  <c r="C32" i="16"/>
  <c r="E32" i="16"/>
  <c r="B31" i="16"/>
  <c r="C31" i="16"/>
  <c r="E31" i="16"/>
  <c r="B30" i="16"/>
  <c r="C30" i="16"/>
  <c r="E30" i="16"/>
  <c r="B29" i="16"/>
  <c r="C29" i="16"/>
  <c r="E29" i="16"/>
  <c r="B28" i="16"/>
  <c r="C28" i="16"/>
  <c r="E28" i="16"/>
  <c r="B27" i="16"/>
  <c r="C27" i="16"/>
  <c r="E27" i="16"/>
  <c r="B26" i="16"/>
  <c r="C26" i="16"/>
  <c r="E26" i="16"/>
  <c r="B25" i="16"/>
  <c r="C25" i="16"/>
  <c r="E25" i="16"/>
  <c r="B24" i="16"/>
  <c r="C24" i="16"/>
  <c r="E24" i="16"/>
  <c r="B23" i="16"/>
  <c r="C23" i="16"/>
  <c r="E23" i="16"/>
  <c r="B22" i="16"/>
  <c r="C22" i="16"/>
  <c r="E22" i="16"/>
  <c r="B21" i="16"/>
  <c r="C21" i="16"/>
  <c r="E21" i="16"/>
  <c r="B20" i="16"/>
  <c r="C20" i="16"/>
  <c r="E20" i="16"/>
  <c r="B19" i="16"/>
  <c r="C19" i="16"/>
  <c r="E19" i="16"/>
  <c r="B18" i="16"/>
  <c r="C18" i="16"/>
  <c r="E18" i="16"/>
  <c r="B17" i="16"/>
  <c r="C17" i="16"/>
  <c r="E17" i="16"/>
  <c r="B16" i="16"/>
  <c r="C16" i="16"/>
  <c r="E16" i="16"/>
  <c r="B15" i="16"/>
  <c r="C15" i="16"/>
  <c r="E15" i="16"/>
  <c r="B14" i="16"/>
  <c r="C14" i="16"/>
  <c r="E14" i="16"/>
  <c r="B9" i="16"/>
  <c r="H13" i="16"/>
  <c r="H24" i="16"/>
  <c r="H34" i="16"/>
  <c r="I2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I13" i="16"/>
  <c r="I24" i="16"/>
  <c r="I34" i="16"/>
  <c r="I4" i="16"/>
  <c r="I6" i="16"/>
  <c r="C13" i="14"/>
  <c r="H13" i="14"/>
  <c r="C14" i="14"/>
  <c r="H14" i="14"/>
  <c r="C15" i="14"/>
  <c r="H15" i="14"/>
  <c r="C16" i="14"/>
  <c r="H16" i="14"/>
  <c r="C17" i="14"/>
  <c r="H17" i="14"/>
  <c r="C18" i="14"/>
  <c r="H18" i="14"/>
  <c r="C19" i="14"/>
  <c r="H19" i="14"/>
  <c r="C20" i="14"/>
  <c r="H20" i="14"/>
  <c r="C21" i="14"/>
  <c r="H21" i="14"/>
  <c r="C22" i="14"/>
  <c r="H22" i="14"/>
  <c r="C23" i="14"/>
  <c r="H23" i="14"/>
  <c r="C24" i="14"/>
  <c r="H24" i="14"/>
  <c r="C25" i="14"/>
  <c r="H25" i="14"/>
  <c r="C26" i="14"/>
  <c r="H26" i="14"/>
  <c r="C27" i="14"/>
  <c r="H27" i="14"/>
  <c r="C28" i="14"/>
  <c r="H28" i="14"/>
  <c r="C29" i="14"/>
  <c r="H29" i="14"/>
  <c r="C30" i="14"/>
  <c r="H30" i="14"/>
  <c r="C31" i="14"/>
  <c r="H31" i="14"/>
  <c r="C32" i="14"/>
  <c r="H32" i="14"/>
  <c r="C33" i="14"/>
  <c r="H33" i="14"/>
  <c r="C34" i="14"/>
  <c r="H34" i="14"/>
  <c r="C35" i="14"/>
  <c r="H35" i="14"/>
  <c r="C36" i="14"/>
  <c r="H36" i="14"/>
  <c r="C37" i="14"/>
  <c r="H37" i="14"/>
  <c r="C38" i="14"/>
  <c r="H38" i="14"/>
  <c r="C39" i="14"/>
  <c r="H39" i="14"/>
  <c r="C40" i="14"/>
  <c r="H40" i="14"/>
  <c r="C41" i="14"/>
  <c r="H41" i="14"/>
  <c r="C42" i="14"/>
  <c r="H42" i="14"/>
  <c r="C43" i="14"/>
  <c r="H43" i="14"/>
  <c r="C44" i="14"/>
  <c r="H44" i="14"/>
  <c r="C45" i="14"/>
  <c r="H45" i="14"/>
  <c r="C46" i="14"/>
  <c r="H46" i="14"/>
  <c r="C47" i="14"/>
  <c r="H47" i="14"/>
  <c r="C48" i="14"/>
  <c r="H48" i="14"/>
  <c r="C49" i="14"/>
  <c r="H49" i="14"/>
  <c r="C50" i="14"/>
  <c r="H50" i="14"/>
  <c r="C51" i="14"/>
  <c r="H51" i="14"/>
  <c r="C52" i="14"/>
  <c r="H52" i="14"/>
  <c r="C53" i="14"/>
  <c r="H53" i="14"/>
  <c r="C54" i="14"/>
  <c r="H54" i="14"/>
  <c r="C55" i="14"/>
  <c r="H55" i="14"/>
  <c r="C56" i="14"/>
  <c r="H56" i="14"/>
  <c r="C57" i="14"/>
  <c r="H57" i="14"/>
  <c r="C58" i="14"/>
  <c r="H58" i="14"/>
  <c r="C59" i="14"/>
  <c r="H59" i="14"/>
  <c r="C60" i="14"/>
  <c r="H60" i="14"/>
  <c r="C61" i="14"/>
  <c r="H61" i="14"/>
  <c r="C62" i="14"/>
  <c r="H62" i="14"/>
  <c r="C63" i="14"/>
  <c r="H63" i="14"/>
  <c r="C64" i="14"/>
  <c r="H64" i="14"/>
  <c r="C65" i="14"/>
  <c r="H65" i="14"/>
  <c r="C66" i="14"/>
  <c r="H66" i="14"/>
  <c r="C67" i="14"/>
  <c r="H67" i="14"/>
  <c r="C68" i="14"/>
  <c r="H68" i="14"/>
  <c r="C69" i="14"/>
  <c r="H69" i="14"/>
  <c r="C70" i="14"/>
  <c r="H70" i="14"/>
  <c r="C71" i="14"/>
  <c r="H71" i="14"/>
  <c r="C72" i="14"/>
  <c r="H72" i="14"/>
  <c r="C73" i="14"/>
  <c r="H73" i="14"/>
  <c r="C74" i="14"/>
  <c r="H74" i="14"/>
  <c r="C75" i="14"/>
  <c r="H75" i="14"/>
  <c r="C76" i="14"/>
  <c r="H76" i="14"/>
  <c r="C77" i="14"/>
  <c r="H77" i="14"/>
  <c r="C78" i="14"/>
  <c r="H78" i="14"/>
  <c r="C79" i="14"/>
  <c r="H79" i="14"/>
  <c r="C80" i="14"/>
  <c r="H80" i="14"/>
  <c r="C81" i="14"/>
  <c r="H81" i="14"/>
  <c r="C82" i="14"/>
  <c r="H82" i="14"/>
  <c r="C83" i="14"/>
  <c r="H83" i="14"/>
  <c r="C84" i="14"/>
  <c r="H84" i="14"/>
  <c r="C85" i="14"/>
  <c r="H85" i="14"/>
  <c r="C86" i="14"/>
  <c r="H86" i="14"/>
  <c r="C87" i="14"/>
  <c r="H87" i="14"/>
  <c r="C88" i="14"/>
  <c r="H88" i="14"/>
  <c r="C89" i="14"/>
  <c r="H89" i="14"/>
  <c r="C90" i="14"/>
  <c r="H90" i="14"/>
  <c r="C91" i="14"/>
  <c r="H91" i="14"/>
  <c r="C92" i="14"/>
  <c r="H92" i="14"/>
  <c r="H12" i="14"/>
  <c r="H93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14" i="14"/>
  <c r="B102" i="12"/>
  <c r="B101" i="12"/>
  <c r="B100" i="12"/>
  <c r="B99" i="12"/>
  <c r="B98" i="12"/>
  <c r="B97" i="12"/>
  <c r="B96" i="12"/>
  <c r="B95" i="12"/>
  <c r="B94" i="12"/>
  <c r="B93" i="12"/>
  <c r="B92" i="12"/>
  <c r="B8" i="10"/>
  <c r="B4" i="10"/>
  <c r="B7" i="10"/>
  <c r="B11" i="10"/>
  <c r="B12" i="10"/>
  <c r="D11" i="10"/>
  <c r="E11" i="10"/>
  <c r="B13" i="10"/>
  <c r="D12" i="10"/>
  <c r="E12" i="10"/>
  <c r="B14" i="10"/>
  <c r="D13" i="10"/>
  <c r="E13" i="10"/>
  <c r="B15" i="10"/>
  <c r="D14" i="10"/>
  <c r="E14" i="10"/>
  <c r="B16" i="10"/>
  <c r="D15" i="10"/>
  <c r="E15" i="10"/>
  <c r="B17" i="10"/>
  <c r="D16" i="10"/>
  <c r="E16" i="10"/>
  <c r="B18" i="10"/>
  <c r="D17" i="10"/>
  <c r="E17" i="10"/>
  <c r="B19" i="10"/>
  <c r="D18" i="10"/>
  <c r="E18" i="10"/>
  <c r="B20" i="10"/>
  <c r="D19" i="10"/>
  <c r="E19" i="10"/>
  <c r="B21" i="10"/>
  <c r="D20" i="10"/>
  <c r="E20" i="10"/>
  <c r="B22" i="10"/>
  <c r="D21" i="10"/>
  <c r="E21" i="10"/>
  <c r="B23" i="10"/>
  <c r="D22" i="10"/>
  <c r="E22" i="10"/>
  <c r="B24" i="10"/>
  <c r="D23" i="10"/>
  <c r="E23" i="10"/>
  <c r="B25" i="10"/>
  <c r="D24" i="10"/>
  <c r="E24" i="10"/>
  <c r="B26" i="10"/>
  <c r="D25" i="10"/>
  <c r="E25" i="10"/>
  <c r="B27" i="10"/>
  <c r="D26" i="10"/>
  <c r="E26" i="10"/>
  <c r="B28" i="10"/>
  <c r="D27" i="10"/>
  <c r="E27" i="10"/>
  <c r="B29" i="10"/>
  <c r="D28" i="10"/>
  <c r="E28" i="10"/>
  <c r="B30" i="10"/>
  <c r="D29" i="10"/>
  <c r="E29" i="10"/>
  <c r="B31" i="10"/>
  <c r="D30" i="10"/>
  <c r="E30" i="10"/>
  <c r="B32" i="10"/>
  <c r="D31" i="10"/>
  <c r="E31" i="10"/>
  <c r="B33" i="10"/>
  <c r="D32" i="10"/>
  <c r="E32" i="10"/>
  <c r="B34" i="10"/>
  <c r="D33" i="10"/>
  <c r="E33" i="10"/>
  <c r="B35" i="10"/>
  <c r="D34" i="10"/>
  <c r="E34" i="10"/>
  <c r="B36" i="10"/>
  <c r="D35" i="10"/>
  <c r="E35" i="10"/>
  <c r="B37" i="10"/>
  <c r="D36" i="10"/>
  <c r="E36" i="10"/>
  <c r="B38" i="10"/>
  <c r="D37" i="10"/>
  <c r="E37" i="10"/>
  <c r="B39" i="10"/>
  <c r="D38" i="10"/>
  <c r="E38" i="10"/>
  <c r="B40" i="10"/>
  <c r="D39" i="10"/>
  <c r="E39" i="10"/>
  <c r="B41" i="10"/>
  <c r="D40" i="10"/>
  <c r="E40" i="10"/>
  <c r="B42" i="10"/>
  <c r="D41" i="10"/>
  <c r="E41" i="10"/>
  <c r="B43" i="10"/>
  <c r="D42" i="10"/>
  <c r="E42" i="10"/>
  <c r="B44" i="10"/>
  <c r="D43" i="10"/>
  <c r="E43" i="10"/>
  <c r="B45" i="10"/>
  <c r="D44" i="10"/>
  <c r="E44" i="10"/>
  <c r="B46" i="10"/>
  <c r="D45" i="10"/>
  <c r="E45" i="10"/>
  <c r="B47" i="10"/>
  <c r="D46" i="10"/>
  <c r="E46" i="10"/>
  <c r="B48" i="10"/>
  <c r="D47" i="10"/>
  <c r="E47" i="10"/>
  <c r="B49" i="10"/>
  <c r="D48" i="10"/>
  <c r="E48" i="10"/>
  <c r="B50" i="10"/>
  <c r="D49" i="10"/>
  <c r="E49" i="10"/>
  <c r="B51" i="10"/>
  <c r="D50" i="10"/>
  <c r="E50" i="10"/>
  <c r="B52" i="10"/>
  <c r="D51" i="10"/>
  <c r="E51" i="10"/>
  <c r="B53" i="10"/>
  <c r="D52" i="10"/>
  <c r="E52" i="10"/>
  <c r="B54" i="10"/>
  <c r="D53" i="10"/>
  <c r="E53" i="10"/>
  <c r="B55" i="10"/>
  <c r="D54" i="10"/>
  <c r="E54" i="10"/>
  <c r="B56" i="10"/>
  <c r="D55" i="10"/>
  <c r="E55" i="10"/>
  <c r="B57" i="10"/>
  <c r="D56" i="10"/>
  <c r="E56" i="10"/>
  <c r="B58" i="10"/>
  <c r="D57" i="10"/>
  <c r="E57" i="10"/>
  <c r="B59" i="10"/>
  <c r="D58" i="10"/>
  <c r="E58" i="10"/>
  <c r="B60" i="10"/>
  <c r="D59" i="10"/>
  <c r="E59" i="10"/>
  <c r="B61" i="10"/>
  <c r="D60" i="10"/>
  <c r="E60" i="10"/>
  <c r="B62" i="10"/>
  <c r="D61" i="10"/>
  <c r="E61" i="10"/>
  <c r="B63" i="10"/>
  <c r="D62" i="10"/>
  <c r="E62" i="10"/>
  <c r="B64" i="10"/>
  <c r="D63" i="10"/>
  <c r="E63" i="10"/>
  <c r="B65" i="10"/>
  <c r="D64" i="10"/>
  <c r="E64" i="10"/>
  <c r="B66" i="10"/>
  <c r="D65" i="10"/>
  <c r="E65" i="10"/>
  <c r="B67" i="10"/>
  <c r="D66" i="10"/>
  <c r="E66" i="10"/>
  <c r="B68" i="10"/>
  <c r="D67" i="10"/>
  <c r="E67" i="10"/>
  <c r="B69" i="10"/>
  <c r="D68" i="10"/>
  <c r="E68" i="10"/>
  <c r="B70" i="10"/>
  <c r="D69" i="10"/>
  <c r="E69" i="10"/>
  <c r="B71" i="10"/>
  <c r="D70" i="10"/>
  <c r="E70" i="10"/>
  <c r="B72" i="10"/>
  <c r="D71" i="10"/>
  <c r="E71" i="10"/>
  <c r="B73" i="10"/>
  <c r="D72" i="10"/>
  <c r="E72" i="10"/>
  <c r="B74" i="10"/>
  <c r="D73" i="10"/>
  <c r="E73" i="10"/>
  <c r="B75" i="10"/>
  <c r="D74" i="10"/>
  <c r="E74" i="10"/>
  <c r="B76" i="10"/>
  <c r="D75" i="10"/>
  <c r="E75" i="10"/>
  <c r="B77" i="10"/>
  <c r="D76" i="10"/>
  <c r="E76" i="10"/>
  <c r="B78" i="10"/>
  <c r="D77" i="10"/>
  <c r="E77" i="10"/>
  <c r="B79" i="10"/>
  <c r="D78" i="10"/>
  <c r="E78" i="10"/>
  <c r="B80" i="10"/>
  <c r="D79" i="10"/>
  <c r="E79" i="10"/>
  <c r="B81" i="10"/>
  <c r="D80" i="10"/>
  <c r="E80" i="10"/>
  <c r="B82" i="10"/>
  <c r="D81" i="10"/>
  <c r="E81" i="10"/>
  <c r="B83" i="10"/>
  <c r="D82" i="10"/>
  <c r="E82" i="10"/>
  <c r="B84" i="10"/>
  <c r="D83" i="10"/>
  <c r="E83" i="10"/>
  <c r="B85" i="10"/>
  <c r="D84" i="10"/>
  <c r="E84" i="10"/>
  <c r="B86" i="10"/>
  <c r="D85" i="10"/>
  <c r="E85" i="10"/>
  <c r="B87" i="10"/>
  <c r="D86" i="10"/>
  <c r="E86" i="10"/>
  <c r="B88" i="10"/>
  <c r="D87" i="10"/>
  <c r="E87" i="10"/>
  <c r="B89" i="10"/>
  <c r="D88" i="10"/>
  <c r="E88" i="10"/>
  <c r="B90" i="10"/>
  <c r="D89" i="10"/>
  <c r="E89" i="10"/>
  <c r="B91" i="10"/>
  <c r="D90" i="10"/>
  <c r="E90" i="10"/>
  <c r="B92" i="10"/>
  <c r="D91" i="10"/>
  <c r="E91" i="10"/>
  <c r="B93" i="10"/>
  <c r="D92" i="10"/>
  <c r="E92" i="10"/>
  <c r="B94" i="10"/>
  <c r="D93" i="10"/>
  <c r="E93" i="10"/>
  <c r="B95" i="10"/>
  <c r="D94" i="10"/>
  <c r="E94" i="10"/>
  <c r="B96" i="10"/>
  <c r="D95" i="10"/>
  <c r="E95" i="10"/>
  <c r="B97" i="10"/>
  <c r="D96" i="10"/>
  <c r="E96" i="10"/>
  <c r="B98" i="10"/>
  <c r="D97" i="10"/>
  <c r="E97" i="10"/>
  <c r="B99" i="10"/>
  <c r="D98" i="10"/>
  <c r="E98" i="10"/>
  <c r="B100" i="10"/>
  <c r="D99" i="10"/>
  <c r="E99" i="10"/>
  <c r="B101" i="10"/>
  <c r="D100" i="10"/>
  <c r="E100" i="10"/>
  <c r="B102" i="10"/>
  <c r="D101" i="10"/>
  <c r="E101" i="10"/>
  <c r="B103" i="10"/>
  <c r="D102" i="10"/>
  <c r="E102" i="10"/>
  <c r="B104" i="10"/>
  <c r="D103" i="10"/>
  <c r="E103" i="10"/>
  <c r="B105" i="10"/>
  <c r="D104" i="10"/>
  <c r="E104" i="10"/>
  <c r="B106" i="10"/>
  <c r="D105" i="10"/>
  <c r="E105" i="10"/>
  <c r="B107" i="10"/>
  <c r="D106" i="10"/>
  <c r="E106" i="10"/>
  <c r="B108" i="10"/>
  <c r="D107" i="10"/>
  <c r="E107" i="10"/>
  <c r="B109" i="10"/>
  <c r="D108" i="10"/>
  <c r="E108" i="10"/>
  <c r="B110" i="10"/>
  <c r="D109" i="10"/>
  <c r="E109" i="10"/>
  <c r="B111" i="10"/>
  <c r="D110" i="10"/>
  <c r="E110" i="10"/>
  <c r="B112" i="10"/>
  <c r="D111" i="10"/>
  <c r="E111" i="10"/>
  <c r="B113" i="10"/>
  <c r="D112" i="10"/>
  <c r="E112" i="10"/>
  <c r="B114" i="10"/>
  <c r="D113" i="10"/>
  <c r="E113" i="10"/>
  <c r="B115" i="10"/>
  <c r="D114" i="10"/>
  <c r="E114" i="10"/>
  <c r="B116" i="10"/>
  <c r="D115" i="10"/>
  <c r="E115" i="10"/>
  <c r="B117" i="10"/>
  <c r="D116" i="10"/>
  <c r="E116" i="10"/>
  <c r="B118" i="10"/>
  <c r="D117" i="10"/>
  <c r="E117" i="10"/>
  <c r="B119" i="10"/>
  <c r="D118" i="10"/>
  <c r="E118" i="10"/>
  <c r="B120" i="10"/>
  <c r="D119" i="10"/>
  <c r="E119" i="10"/>
  <c r="B121" i="10"/>
  <c r="D120" i="10"/>
  <c r="E120" i="10"/>
  <c r="B122" i="10"/>
  <c r="D121" i="10"/>
  <c r="E121" i="10"/>
  <c r="B123" i="10"/>
  <c r="D122" i="10"/>
  <c r="E122" i="10"/>
  <c r="B124" i="10"/>
  <c r="D123" i="10"/>
  <c r="E123" i="10"/>
  <c r="B125" i="10"/>
  <c r="D124" i="10"/>
  <c r="E124" i="10"/>
  <c r="B126" i="10"/>
  <c r="D125" i="10"/>
  <c r="E125" i="10"/>
  <c r="B127" i="10"/>
  <c r="D126" i="10"/>
  <c r="E126" i="10"/>
  <c r="B128" i="10"/>
  <c r="D127" i="10"/>
  <c r="E127" i="10"/>
  <c r="B129" i="10"/>
  <c r="D128" i="10"/>
  <c r="E128" i="10"/>
  <c r="B130" i="10"/>
  <c r="D129" i="10"/>
  <c r="E129" i="10"/>
  <c r="B131" i="10"/>
  <c r="D130" i="10"/>
  <c r="E130" i="10"/>
  <c r="E132" i="10"/>
  <c r="B9" i="22"/>
  <c r="B8" i="22"/>
  <c r="B14" i="22"/>
  <c r="E14" i="22"/>
  <c r="B15" i="22"/>
  <c r="C14" i="22"/>
  <c r="D14" i="22"/>
  <c r="E15" i="22"/>
  <c r="H14" i="22"/>
  <c r="B16" i="22"/>
  <c r="C15" i="22"/>
  <c r="D15" i="22"/>
  <c r="E16" i="22"/>
  <c r="H15" i="22"/>
  <c r="B17" i="22"/>
  <c r="C16" i="22"/>
  <c r="E17" i="22"/>
  <c r="H16" i="22"/>
  <c r="B18" i="22"/>
  <c r="C17" i="22"/>
  <c r="E18" i="22"/>
  <c r="H17" i="22"/>
  <c r="B19" i="22"/>
  <c r="C18" i="22"/>
  <c r="E19" i="22"/>
  <c r="H18" i="22"/>
  <c r="B20" i="22"/>
  <c r="C19" i="22"/>
  <c r="E20" i="22"/>
  <c r="H19" i="22"/>
  <c r="B21" i="22"/>
  <c r="C20" i="22"/>
  <c r="E21" i="22"/>
  <c r="H20" i="22"/>
  <c r="B22" i="22"/>
  <c r="C21" i="22"/>
  <c r="E22" i="22"/>
  <c r="H21" i="22"/>
  <c r="B23" i="22"/>
  <c r="C22" i="22"/>
  <c r="E23" i="22"/>
  <c r="H22" i="22"/>
  <c r="C23" i="22"/>
  <c r="E24" i="22"/>
  <c r="H23" i="22"/>
  <c r="B25" i="22"/>
  <c r="C24" i="22"/>
  <c r="E25" i="22"/>
  <c r="H24" i="22"/>
  <c r="B26" i="22"/>
  <c r="C25" i="22"/>
  <c r="E26" i="22"/>
  <c r="H25" i="22"/>
  <c r="B27" i="22"/>
  <c r="C26" i="22"/>
  <c r="E27" i="22"/>
  <c r="H26" i="22"/>
  <c r="B28" i="22"/>
  <c r="C27" i="22"/>
  <c r="E28" i="22"/>
  <c r="H27" i="22"/>
  <c r="B29" i="22"/>
  <c r="C28" i="22"/>
  <c r="E29" i="22"/>
  <c r="H28" i="22"/>
  <c r="B30" i="22"/>
  <c r="C29" i="22"/>
  <c r="E30" i="22"/>
  <c r="H29" i="22"/>
  <c r="B31" i="22"/>
  <c r="C30" i="22"/>
  <c r="E31" i="22"/>
  <c r="H30" i="22"/>
  <c r="B32" i="22"/>
  <c r="C31" i="22"/>
  <c r="E32" i="22"/>
  <c r="H31" i="22"/>
  <c r="B33" i="22"/>
  <c r="C32" i="22"/>
  <c r="E33" i="22"/>
  <c r="H32" i="22"/>
  <c r="B34" i="22"/>
  <c r="C33" i="22"/>
  <c r="E34" i="22"/>
  <c r="H33" i="22"/>
  <c r="B35" i="22"/>
  <c r="C34" i="22"/>
  <c r="E35" i="22"/>
  <c r="H34" i="22"/>
  <c r="B36" i="22"/>
  <c r="C35" i="22"/>
  <c r="E36" i="22"/>
  <c r="H35" i="22"/>
  <c r="B37" i="22"/>
  <c r="C36" i="22"/>
  <c r="E37" i="22"/>
  <c r="H36" i="22"/>
  <c r="B38" i="22"/>
  <c r="C37" i="22"/>
  <c r="E38" i="22"/>
  <c r="H37" i="22"/>
  <c r="B39" i="22"/>
  <c r="C38" i="22"/>
  <c r="E39" i="22"/>
  <c r="H38" i="22"/>
  <c r="B40" i="22"/>
  <c r="C39" i="22"/>
  <c r="E40" i="22"/>
  <c r="H39" i="22"/>
  <c r="B41" i="22"/>
  <c r="C40" i="22"/>
  <c r="E41" i="22"/>
  <c r="H40" i="22"/>
  <c r="B42" i="22"/>
  <c r="C41" i="22"/>
  <c r="E42" i="22"/>
  <c r="H41" i="22"/>
  <c r="B43" i="22"/>
  <c r="C42" i="22"/>
  <c r="E43" i="22"/>
  <c r="H42" i="22"/>
  <c r="B44" i="22"/>
  <c r="C43" i="22"/>
  <c r="E44" i="22"/>
  <c r="H43" i="22"/>
  <c r="B45" i="22"/>
  <c r="C44" i="22"/>
  <c r="E45" i="22"/>
  <c r="H44" i="22"/>
  <c r="B46" i="22"/>
  <c r="C45" i="22"/>
  <c r="E46" i="22"/>
  <c r="H45" i="22"/>
  <c r="B47" i="22"/>
  <c r="C46" i="22"/>
  <c r="E47" i="22"/>
  <c r="H46" i="22"/>
  <c r="B48" i="22"/>
  <c r="C47" i="22"/>
  <c r="E48" i="22"/>
  <c r="H47" i="22"/>
  <c r="B49" i="22"/>
  <c r="C48" i="22"/>
  <c r="E49" i="22"/>
  <c r="H48" i="22"/>
  <c r="B50" i="22"/>
  <c r="C49" i="22"/>
  <c r="E50" i="22"/>
  <c r="H49" i="22"/>
  <c r="B51" i="22"/>
  <c r="C50" i="22"/>
  <c r="E51" i="22"/>
  <c r="H50" i="22"/>
  <c r="B52" i="22"/>
  <c r="C51" i="22"/>
  <c r="E52" i="22"/>
  <c r="H51" i="22"/>
  <c r="B53" i="22"/>
  <c r="C52" i="22"/>
  <c r="E53" i="22"/>
  <c r="H52" i="22"/>
  <c r="B54" i="22"/>
  <c r="C53" i="22"/>
  <c r="E54" i="22"/>
  <c r="H53" i="22"/>
  <c r="B55" i="22"/>
  <c r="C54" i="22"/>
  <c r="E55" i="22"/>
  <c r="H54" i="22"/>
  <c r="B56" i="22"/>
  <c r="C55" i="22"/>
  <c r="E56" i="22"/>
  <c r="H55" i="22"/>
  <c r="B57" i="22"/>
  <c r="C56" i="22"/>
  <c r="E57" i="22"/>
  <c r="H56" i="22"/>
  <c r="B58" i="22"/>
  <c r="C57" i="22"/>
  <c r="E58" i="22"/>
  <c r="H57" i="22"/>
  <c r="B59" i="22"/>
  <c r="C58" i="22"/>
  <c r="E59" i="22"/>
  <c r="H58" i="22"/>
  <c r="B60" i="22"/>
  <c r="C59" i="22"/>
  <c r="E60" i="22"/>
  <c r="H59" i="22"/>
  <c r="B61" i="22"/>
  <c r="C60" i="22"/>
  <c r="E61" i="22"/>
  <c r="H60" i="22"/>
  <c r="B62" i="22"/>
  <c r="C61" i="22"/>
  <c r="E62" i="22"/>
  <c r="H61" i="22"/>
  <c r="B63" i="22"/>
  <c r="C62" i="22"/>
  <c r="E63" i="22"/>
  <c r="H62" i="22"/>
  <c r="B64" i="22"/>
  <c r="C63" i="22"/>
  <c r="E64" i="22"/>
  <c r="H63" i="22"/>
  <c r="B65" i="22"/>
  <c r="C64" i="22"/>
  <c r="E65" i="22"/>
  <c r="H64" i="22"/>
  <c r="B66" i="22"/>
  <c r="C65" i="22"/>
  <c r="E66" i="22"/>
  <c r="H65" i="22"/>
  <c r="B67" i="22"/>
  <c r="C66" i="22"/>
  <c r="E67" i="22"/>
  <c r="H66" i="22"/>
  <c r="B68" i="22"/>
  <c r="C67" i="22"/>
  <c r="E68" i="22"/>
  <c r="H67" i="22"/>
  <c r="B69" i="22"/>
  <c r="C68" i="22"/>
  <c r="E69" i="22"/>
  <c r="H68" i="22"/>
  <c r="B70" i="22"/>
  <c r="C69" i="22"/>
  <c r="E70" i="22"/>
  <c r="H69" i="22"/>
  <c r="B71" i="22"/>
  <c r="C70" i="22"/>
  <c r="E71" i="22"/>
  <c r="H70" i="22"/>
  <c r="B72" i="22"/>
  <c r="C71" i="22"/>
  <c r="E72" i="22"/>
  <c r="H71" i="22"/>
  <c r="B73" i="22"/>
  <c r="C72" i="22"/>
  <c r="E73" i="22"/>
  <c r="H72" i="22"/>
  <c r="B74" i="22"/>
  <c r="C73" i="22"/>
  <c r="E74" i="22"/>
  <c r="H73" i="22"/>
  <c r="B75" i="22"/>
  <c r="C74" i="22"/>
  <c r="E75" i="22"/>
  <c r="H74" i="22"/>
  <c r="B76" i="22"/>
  <c r="C75" i="22"/>
  <c r="E76" i="22"/>
  <c r="H75" i="22"/>
  <c r="B77" i="22"/>
  <c r="C76" i="22"/>
  <c r="E77" i="22"/>
  <c r="H76" i="22"/>
  <c r="B78" i="22"/>
  <c r="C77" i="22"/>
  <c r="E78" i="22"/>
  <c r="H77" i="22"/>
  <c r="B79" i="22"/>
  <c r="C78" i="22"/>
  <c r="E79" i="22"/>
  <c r="H78" i="22"/>
  <c r="B80" i="22"/>
  <c r="C79" i="22"/>
  <c r="E80" i="22"/>
  <c r="H79" i="22"/>
  <c r="B81" i="22"/>
  <c r="C80" i="22"/>
  <c r="E81" i="22"/>
  <c r="H80" i="22"/>
  <c r="B82" i="22"/>
  <c r="C81" i="22"/>
  <c r="E82" i="22"/>
  <c r="H81" i="22"/>
  <c r="B83" i="22"/>
  <c r="C82" i="22"/>
  <c r="E83" i="22"/>
  <c r="H82" i="22"/>
  <c r="B84" i="22"/>
  <c r="C83" i="22"/>
  <c r="E84" i="22"/>
  <c r="H83" i="22"/>
  <c r="B85" i="22"/>
  <c r="C84" i="22"/>
  <c r="E85" i="22"/>
  <c r="H84" i="22"/>
  <c r="B86" i="22"/>
  <c r="C85" i="22"/>
  <c r="E86" i="22"/>
  <c r="H85" i="22"/>
  <c r="B87" i="22"/>
  <c r="C86" i="22"/>
  <c r="E87" i="22"/>
  <c r="H86" i="22"/>
  <c r="B88" i="22"/>
  <c r="C87" i="22"/>
  <c r="E88" i="22"/>
  <c r="H87" i="22"/>
  <c r="B89" i="22"/>
  <c r="C88" i="22"/>
  <c r="E89" i="22"/>
  <c r="H88" i="22"/>
  <c r="B90" i="22"/>
  <c r="C89" i="22"/>
  <c r="E90" i="22"/>
  <c r="H89" i="22"/>
  <c r="B91" i="22"/>
  <c r="C90" i="22"/>
  <c r="E91" i="22"/>
  <c r="H90" i="22"/>
  <c r="B92" i="22"/>
  <c r="C91" i="22"/>
  <c r="E92" i="22"/>
  <c r="H91" i="22"/>
  <c r="B93" i="22"/>
  <c r="C92" i="22"/>
  <c r="E93" i="22"/>
  <c r="H92" i="22"/>
  <c r="B94" i="22"/>
  <c r="C93" i="22"/>
  <c r="E94" i="22"/>
  <c r="H93" i="22"/>
  <c r="B95" i="22"/>
  <c r="C94" i="22"/>
  <c r="E95" i="22"/>
  <c r="H94" i="22"/>
  <c r="B96" i="22"/>
  <c r="C95" i="22"/>
  <c r="E96" i="22"/>
  <c r="H95" i="22"/>
  <c r="B97" i="22"/>
  <c r="C96" i="22"/>
  <c r="E97" i="22"/>
  <c r="H96" i="22"/>
  <c r="B98" i="22"/>
  <c r="C97" i="22"/>
  <c r="E98" i="22"/>
  <c r="H97" i="22"/>
  <c r="B99" i="22"/>
  <c r="C98" i="22"/>
  <c r="H98" i="22"/>
  <c r="G102" i="22"/>
  <c r="I14" i="22"/>
  <c r="J14" i="22"/>
  <c r="I15" i="22"/>
  <c r="J15" i="22"/>
  <c r="I16" i="22"/>
  <c r="J16" i="22"/>
  <c r="I17" i="22"/>
  <c r="J17" i="22"/>
  <c r="I18" i="22"/>
  <c r="J18" i="22"/>
  <c r="I19" i="22"/>
  <c r="J19" i="22"/>
  <c r="I20" i="22"/>
  <c r="J20" i="22"/>
  <c r="I21" i="22"/>
  <c r="J21" i="22"/>
  <c r="I22" i="22"/>
  <c r="J22" i="22"/>
  <c r="I23" i="22"/>
  <c r="J23" i="22"/>
  <c r="I24" i="22"/>
  <c r="J24" i="22"/>
  <c r="I25" i="22"/>
  <c r="J25" i="22"/>
  <c r="I26" i="22"/>
  <c r="J26" i="22"/>
  <c r="I27" i="22"/>
  <c r="J27" i="22"/>
  <c r="I28" i="22"/>
  <c r="J28" i="22"/>
  <c r="I29" i="22"/>
  <c r="J29" i="22"/>
  <c r="I30" i="22"/>
  <c r="J30" i="22"/>
  <c r="I31" i="22"/>
  <c r="J31" i="22"/>
  <c r="I32" i="22"/>
  <c r="J32" i="22"/>
  <c r="I33" i="22"/>
  <c r="J33" i="22"/>
  <c r="G105" i="22"/>
  <c r="G101" i="22"/>
  <c r="G106" i="22"/>
  <c r="G103" i="22"/>
  <c r="H13" i="20"/>
  <c r="H14" i="20"/>
  <c r="K13" i="20"/>
  <c r="L13" i="20"/>
  <c r="M14" i="20"/>
  <c r="H15" i="20"/>
  <c r="K14" i="20"/>
  <c r="L14" i="20"/>
  <c r="M15" i="20"/>
  <c r="H16" i="20"/>
  <c r="K15" i="20"/>
  <c r="L15" i="20"/>
  <c r="M16" i="20"/>
  <c r="H17" i="20"/>
  <c r="K16" i="20"/>
  <c r="L16" i="20"/>
  <c r="M17" i="20"/>
  <c r="H18" i="20"/>
  <c r="K17" i="20"/>
  <c r="L17" i="20"/>
  <c r="M18" i="20"/>
  <c r="H19" i="20"/>
  <c r="K18" i="20"/>
  <c r="L18" i="20"/>
  <c r="M19" i="20"/>
  <c r="H20" i="20"/>
  <c r="K19" i="20"/>
  <c r="L19" i="20"/>
  <c r="M20" i="20"/>
  <c r="H21" i="20"/>
  <c r="K20" i="20"/>
  <c r="L20" i="20"/>
  <c r="M21" i="20"/>
  <c r="H22" i="20"/>
  <c r="K21" i="20"/>
  <c r="L21" i="20"/>
  <c r="M22" i="20"/>
  <c r="H23" i="20"/>
  <c r="K22" i="20"/>
  <c r="L22" i="20"/>
  <c r="M23" i="20"/>
  <c r="H24" i="20"/>
  <c r="K23" i="20"/>
  <c r="L23" i="20"/>
  <c r="M24" i="20"/>
  <c r="H25" i="20"/>
  <c r="K24" i="20"/>
  <c r="L24" i="20"/>
  <c r="M25" i="20"/>
  <c r="H26" i="20"/>
  <c r="K25" i="20"/>
  <c r="L25" i="20"/>
  <c r="M26" i="20"/>
  <c r="H27" i="20"/>
  <c r="K26" i="20"/>
  <c r="L26" i="20"/>
  <c r="M27" i="20"/>
  <c r="H28" i="20"/>
  <c r="K27" i="20"/>
  <c r="L27" i="20"/>
  <c r="M28" i="20"/>
  <c r="H29" i="20"/>
  <c r="K28" i="20"/>
  <c r="L28" i="20"/>
  <c r="M29" i="20"/>
  <c r="H30" i="20"/>
  <c r="K29" i="20"/>
  <c r="L29" i="20"/>
  <c r="M30" i="20"/>
  <c r="H31" i="20"/>
  <c r="K30" i="20"/>
  <c r="L30" i="20"/>
  <c r="M31" i="20"/>
  <c r="H32" i="20"/>
  <c r="K31" i="20"/>
  <c r="L31" i="20"/>
  <c r="M32" i="20"/>
  <c r="H33" i="20"/>
  <c r="K32" i="20"/>
  <c r="L32" i="20"/>
  <c r="M33" i="20"/>
  <c r="H34" i="20"/>
  <c r="K33" i="20"/>
  <c r="L33" i="20"/>
  <c r="M34" i="20"/>
  <c r="H35" i="20"/>
  <c r="K34" i="20"/>
  <c r="L34" i="20"/>
  <c r="M35" i="20"/>
  <c r="H36" i="20"/>
  <c r="K35" i="20"/>
  <c r="L35" i="20"/>
  <c r="M36" i="20"/>
  <c r="H37" i="20"/>
  <c r="K36" i="20"/>
  <c r="L36" i="20"/>
  <c r="M37" i="20"/>
  <c r="H38" i="20"/>
  <c r="K37" i="20"/>
  <c r="L37" i="20"/>
  <c r="M38" i="20"/>
  <c r="H39" i="20"/>
  <c r="K38" i="20"/>
  <c r="L38" i="20"/>
  <c r="M39" i="20"/>
  <c r="H40" i="20"/>
  <c r="K39" i="20"/>
  <c r="L39" i="20"/>
  <c r="M40" i="20"/>
  <c r="H41" i="20"/>
  <c r="K40" i="20"/>
  <c r="L40" i="20"/>
  <c r="M41" i="20"/>
  <c r="H42" i="20"/>
  <c r="K41" i="20"/>
  <c r="L41" i="20"/>
  <c r="M42" i="20"/>
  <c r="H43" i="20"/>
  <c r="K42" i="20"/>
  <c r="L42" i="20"/>
  <c r="M43" i="20"/>
  <c r="H44" i="20"/>
  <c r="K43" i="20"/>
  <c r="L43" i="20"/>
  <c r="M44" i="20"/>
  <c r="H45" i="20"/>
  <c r="K44" i="20"/>
  <c r="L44" i="20"/>
  <c r="M45" i="20"/>
  <c r="H46" i="20"/>
  <c r="K45" i="20"/>
  <c r="L45" i="20"/>
  <c r="M46" i="20"/>
  <c r="H47" i="20"/>
  <c r="K46" i="20"/>
  <c r="L46" i="20"/>
  <c r="M47" i="20"/>
  <c r="H48" i="20"/>
  <c r="K47" i="20"/>
  <c r="L47" i="20"/>
  <c r="M48" i="20"/>
  <c r="H49" i="20"/>
  <c r="K48" i="20"/>
  <c r="L48" i="20"/>
  <c r="M49" i="20"/>
  <c r="H50" i="20"/>
  <c r="K49" i="20"/>
  <c r="L49" i="20"/>
  <c r="M50" i="20"/>
  <c r="H51" i="20"/>
  <c r="K50" i="20"/>
  <c r="L50" i="20"/>
  <c r="M51" i="20"/>
  <c r="H52" i="20"/>
  <c r="K51" i="20"/>
  <c r="L51" i="20"/>
  <c r="M52" i="20"/>
  <c r="H53" i="20"/>
  <c r="K52" i="20"/>
  <c r="L52" i="20"/>
  <c r="M53" i="20"/>
  <c r="H54" i="20"/>
  <c r="K53" i="20"/>
  <c r="L53" i="20"/>
  <c r="M54" i="20"/>
  <c r="H55" i="20"/>
  <c r="K54" i="20"/>
  <c r="L54" i="20"/>
  <c r="M55" i="20"/>
  <c r="H56" i="20"/>
  <c r="K55" i="20"/>
  <c r="L55" i="20"/>
  <c r="M56" i="20"/>
  <c r="H57" i="20"/>
  <c r="K56" i="20"/>
  <c r="L56" i="20"/>
  <c r="M57" i="20"/>
  <c r="H58" i="20"/>
  <c r="K57" i="20"/>
  <c r="L57" i="20"/>
  <c r="M58" i="20"/>
  <c r="H59" i="20"/>
  <c r="K58" i="20"/>
  <c r="L58" i="20"/>
  <c r="M59" i="20"/>
  <c r="H60" i="20"/>
  <c r="K59" i="20"/>
  <c r="L59" i="20"/>
  <c r="M60" i="20"/>
  <c r="H61" i="20"/>
  <c r="K60" i="20"/>
  <c r="L60" i="20"/>
  <c r="M61" i="20"/>
  <c r="H62" i="20"/>
  <c r="K61" i="20"/>
  <c r="L61" i="20"/>
  <c r="M62" i="20"/>
  <c r="H63" i="20"/>
  <c r="K62" i="20"/>
  <c r="L62" i="20"/>
  <c r="M63" i="20"/>
  <c r="H64" i="20"/>
  <c r="K63" i="20"/>
  <c r="L63" i="20"/>
  <c r="M64" i="20"/>
  <c r="H65" i="20"/>
  <c r="K64" i="20"/>
  <c r="L64" i="20"/>
  <c r="M65" i="20"/>
  <c r="H66" i="20"/>
  <c r="K65" i="20"/>
  <c r="L65" i="20"/>
  <c r="M66" i="20"/>
  <c r="H67" i="20"/>
  <c r="K66" i="20"/>
  <c r="L66" i="20"/>
  <c r="M67" i="20"/>
  <c r="H68" i="20"/>
  <c r="K67" i="20"/>
  <c r="L67" i="20"/>
  <c r="M68" i="20"/>
  <c r="H69" i="20"/>
  <c r="K68" i="20"/>
  <c r="L68" i="20"/>
  <c r="M69" i="20"/>
  <c r="H70" i="20"/>
  <c r="K69" i="20"/>
  <c r="L69" i="20"/>
  <c r="M70" i="20"/>
  <c r="H71" i="20"/>
  <c r="K70" i="20"/>
  <c r="L70" i="20"/>
  <c r="M71" i="20"/>
  <c r="H72" i="20"/>
  <c r="K71" i="20"/>
  <c r="L71" i="20"/>
  <c r="M72" i="20"/>
  <c r="H73" i="20"/>
  <c r="K72" i="20"/>
  <c r="L72" i="20"/>
  <c r="M73" i="20"/>
  <c r="H74" i="20"/>
  <c r="K73" i="20"/>
  <c r="L73" i="20"/>
  <c r="M74" i="20"/>
  <c r="H75" i="20"/>
  <c r="K74" i="20"/>
  <c r="L74" i="20"/>
  <c r="M75" i="20"/>
  <c r="H76" i="20"/>
  <c r="K75" i="20"/>
  <c r="L75" i="20"/>
  <c r="M76" i="20"/>
  <c r="H77" i="20"/>
  <c r="K76" i="20"/>
  <c r="L76" i="20"/>
  <c r="M77" i="20"/>
  <c r="H78" i="20"/>
  <c r="K77" i="20"/>
  <c r="L77" i="20"/>
  <c r="M78" i="20"/>
  <c r="H79" i="20"/>
  <c r="K78" i="20"/>
  <c r="L78" i="20"/>
  <c r="M79" i="20"/>
  <c r="H80" i="20"/>
  <c r="K79" i="20"/>
  <c r="L79" i="20"/>
  <c r="M80" i="20"/>
  <c r="H81" i="20"/>
  <c r="K80" i="20"/>
  <c r="L80" i="20"/>
  <c r="M81" i="20"/>
  <c r="H82" i="20"/>
  <c r="K81" i="20"/>
  <c r="L81" i="20"/>
  <c r="M82" i="20"/>
  <c r="H83" i="20"/>
  <c r="K82" i="20"/>
  <c r="L82" i="20"/>
  <c r="M83" i="20"/>
  <c r="H84" i="20"/>
  <c r="K83" i="20"/>
  <c r="L83" i="20"/>
  <c r="M84" i="20"/>
  <c r="H85" i="20"/>
  <c r="K84" i="20"/>
  <c r="L84" i="20"/>
  <c r="M85" i="20"/>
  <c r="H86" i="20"/>
  <c r="K85" i="20"/>
  <c r="L85" i="20"/>
  <c r="M86" i="20"/>
  <c r="H87" i="20"/>
  <c r="K86" i="20"/>
  <c r="L86" i="20"/>
  <c r="M87" i="20"/>
  <c r="H88" i="20"/>
  <c r="K87" i="20"/>
  <c r="L87" i="20"/>
  <c r="M88" i="20"/>
  <c r="H89" i="20"/>
  <c r="K88" i="20"/>
  <c r="L88" i="20"/>
  <c r="M89" i="20"/>
  <c r="H90" i="20"/>
  <c r="K89" i="20"/>
  <c r="L89" i="20"/>
  <c r="M90" i="20"/>
  <c r="H91" i="20"/>
  <c r="K90" i="20"/>
  <c r="L90" i="20"/>
  <c r="M91" i="20"/>
  <c r="H92" i="20"/>
  <c r="K91" i="20"/>
  <c r="L91" i="20"/>
  <c r="M92" i="20"/>
  <c r="H93" i="20"/>
  <c r="K92" i="20"/>
  <c r="L92" i="20"/>
  <c r="M93" i="20"/>
  <c r="H94" i="20"/>
  <c r="K93" i="20"/>
  <c r="L93" i="20"/>
  <c r="M94" i="20"/>
  <c r="H95" i="20"/>
  <c r="K94" i="20"/>
  <c r="L94" i="20"/>
  <c r="M95" i="20"/>
  <c r="H96" i="20"/>
  <c r="K95" i="20"/>
  <c r="L95" i="20"/>
  <c r="M96" i="20"/>
  <c r="H97" i="20"/>
  <c r="K96" i="20"/>
  <c r="L96" i="20"/>
  <c r="M97" i="20"/>
  <c r="H98" i="20"/>
  <c r="K97" i="20"/>
  <c r="L97" i="20"/>
  <c r="M98" i="20"/>
  <c r="H99" i="20"/>
  <c r="K98" i="20"/>
  <c r="L98" i="20"/>
  <c r="M99" i="20"/>
  <c r="H100" i="20"/>
  <c r="K99" i="20"/>
  <c r="L99" i="20"/>
  <c r="M100" i="20"/>
  <c r="H101" i="20"/>
  <c r="K100" i="20"/>
  <c r="L100" i="20"/>
  <c r="M101" i="20"/>
  <c r="H102" i="20"/>
  <c r="K101" i="20"/>
  <c r="L101" i="20"/>
  <c r="M102" i="20"/>
  <c r="H103" i="20"/>
  <c r="K102" i="20"/>
  <c r="L102" i="20"/>
  <c r="M103" i="20"/>
  <c r="H104" i="20"/>
  <c r="K103" i="20"/>
  <c r="L103" i="20"/>
  <c r="M104" i="20"/>
  <c r="H105" i="20"/>
  <c r="K104" i="20"/>
  <c r="L104" i="20"/>
  <c r="M105" i="20"/>
  <c r="H106" i="20"/>
  <c r="K105" i="20"/>
  <c r="L105" i="20"/>
  <c r="M106" i="20"/>
  <c r="H107" i="20"/>
  <c r="K106" i="20"/>
  <c r="L106" i="20"/>
  <c r="M107" i="20"/>
  <c r="H108" i="20"/>
  <c r="K107" i="20"/>
  <c r="L107" i="20"/>
  <c r="M108" i="20"/>
  <c r="H109" i="20"/>
  <c r="K108" i="20"/>
  <c r="L108" i="20"/>
  <c r="M109" i="20"/>
  <c r="H110" i="20"/>
  <c r="K109" i="20"/>
  <c r="L109" i="20"/>
  <c r="M110" i="20"/>
  <c r="H111" i="20"/>
  <c r="K110" i="20"/>
  <c r="L110" i="20"/>
  <c r="M111" i="20"/>
  <c r="H112" i="20"/>
  <c r="K111" i="20"/>
  <c r="L111" i="20"/>
  <c r="M112" i="20"/>
  <c r="H113" i="20"/>
  <c r="K112" i="20"/>
  <c r="L112" i="20"/>
  <c r="M113" i="20"/>
  <c r="H114" i="20"/>
  <c r="K113" i="20"/>
  <c r="L113" i="20"/>
  <c r="M114" i="20"/>
  <c r="H115" i="20"/>
  <c r="K114" i="20"/>
  <c r="L114" i="20"/>
  <c r="M115" i="20"/>
  <c r="H116" i="20"/>
  <c r="K115" i="20"/>
  <c r="L115" i="20"/>
  <c r="M116" i="20"/>
  <c r="H117" i="20"/>
  <c r="K116" i="20"/>
  <c r="L116" i="20"/>
  <c r="M117" i="20"/>
  <c r="H118" i="20"/>
  <c r="K117" i="20"/>
  <c r="L117" i="20"/>
  <c r="M118" i="20"/>
  <c r="H119" i="20"/>
  <c r="K118" i="20"/>
  <c r="L118" i="20"/>
  <c r="M119" i="20"/>
  <c r="H120" i="20"/>
  <c r="K119" i="20"/>
  <c r="L119" i="20"/>
  <c r="M120" i="20"/>
  <c r="H121" i="20"/>
  <c r="K120" i="20"/>
  <c r="L120" i="20"/>
  <c r="M121" i="20"/>
  <c r="H122" i="20"/>
  <c r="K121" i="20"/>
  <c r="L121" i="20"/>
  <c r="M122" i="20"/>
  <c r="H123" i="20"/>
  <c r="K122" i="20"/>
  <c r="L122" i="20"/>
  <c r="M123" i="20"/>
  <c r="H124" i="20"/>
  <c r="K123" i="20"/>
  <c r="L123" i="20"/>
  <c r="M124" i="20"/>
  <c r="H125" i="20"/>
  <c r="K124" i="20"/>
  <c r="L124" i="20"/>
  <c r="M125" i="20"/>
  <c r="H126" i="20"/>
  <c r="K125" i="20"/>
  <c r="L125" i="20"/>
  <c r="M126" i="20"/>
  <c r="H127" i="20"/>
  <c r="K126" i="20"/>
  <c r="L126" i="20"/>
  <c r="M127" i="20"/>
  <c r="H128" i="20"/>
  <c r="K127" i="20"/>
  <c r="L127" i="20"/>
  <c r="M128" i="20"/>
  <c r="H129" i="20"/>
  <c r="K128" i="20"/>
  <c r="L128" i="20"/>
  <c r="M129" i="20"/>
  <c r="H130" i="20"/>
  <c r="K129" i="20"/>
  <c r="L129" i="20"/>
  <c r="M130" i="20"/>
  <c r="H131" i="20"/>
  <c r="K130" i="20"/>
  <c r="L130" i="20"/>
  <c r="M131" i="20"/>
  <c r="H132" i="20"/>
  <c r="K131" i="20"/>
  <c r="L131" i="20"/>
  <c r="M132" i="20"/>
  <c r="H133" i="20"/>
  <c r="K132" i="20"/>
  <c r="L132" i="20"/>
  <c r="M133" i="20"/>
  <c r="H134" i="20"/>
  <c r="K133" i="20"/>
  <c r="L133" i="20"/>
  <c r="M134" i="20"/>
  <c r="H135" i="20"/>
  <c r="K134" i="20"/>
  <c r="L134" i="20"/>
  <c r="M135" i="20"/>
  <c r="H136" i="20"/>
  <c r="K135" i="20"/>
  <c r="L135" i="20"/>
  <c r="M136" i="20"/>
  <c r="H137" i="20"/>
  <c r="K136" i="20"/>
  <c r="L136" i="20"/>
  <c r="M137" i="20"/>
  <c r="H138" i="20"/>
  <c r="K137" i="20"/>
  <c r="L137" i="20"/>
  <c r="M138" i="20"/>
  <c r="H139" i="20"/>
  <c r="K138" i="20"/>
  <c r="L138" i="20"/>
  <c r="M139" i="20"/>
  <c r="H140" i="20"/>
  <c r="K139" i="20"/>
  <c r="L139" i="20"/>
  <c r="M140" i="20"/>
  <c r="H141" i="20"/>
  <c r="K140" i="20"/>
  <c r="L140" i="20"/>
  <c r="M141" i="20"/>
  <c r="H142" i="20"/>
  <c r="K141" i="20"/>
  <c r="L141" i="20"/>
  <c r="M142" i="20"/>
  <c r="H143" i="20"/>
  <c r="K142" i="20"/>
  <c r="L142" i="20"/>
  <c r="M143" i="20"/>
  <c r="H144" i="20"/>
  <c r="K143" i="20"/>
  <c r="L143" i="20"/>
  <c r="M144" i="20"/>
  <c r="H145" i="20"/>
  <c r="K144" i="20"/>
  <c r="L144" i="20"/>
  <c r="M145" i="20"/>
  <c r="H146" i="20"/>
  <c r="K145" i="20"/>
  <c r="L145" i="20"/>
  <c r="M146" i="20"/>
  <c r="H147" i="20"/>
  <c r="K146" i="20"/>
  <c r="L146" i="20"/>
  <c r="M147" i="20"/>
  <c r="H148" i="20"/>
  <c r="K147" i="20"/>
  <c r="L147" i="20"/>
  <c r="M148" i="20"/>
  <c r="H149" i="20"/>
  <c r="K148" i="20"/>
  <c r="L148" i="20"/>
  <c r="M149" i="20"/>
  <c r="H150" i="20"/>
  <c r="K149" i="20"/>
  <c r="L149" i="20"/>
  <c r="M150" i="20"/>
  <c r="H151" i="20"/>
  <c r="K150" i="20"/>
  <c r="L150" i="20"/>
  <c r="M151" i="20"/>
  <c r="H152" i="20"/>
  <c r="K151" i="20"/>
  <c r="L151" i="20"/>
  <c r="M152" i="20"/>
  <c r="H153" i="20"/>
  <c r="K152" i="20"/>
  <c r="L152" i="20"/>
  <c r="M153" i="20"/>
  <c r="H154" i="20"/>
  <c r="K153" i="20"/>
  <c r="L153" i="20"/>
  <c r="M154" i="20"/>
  <c r="H155" i="20"/>
  <c r="K154" i="20"/>
  <c r="L154" i="20"/>
  <c r="M155" i="20"/>
  <c r="H156" i="20"/>
  <c r="K155" i="20"/>
  <c r="L155" i="20"/>
  <c r="M156" i="20"/>
  <c r="H157" i="20"/>
  <c r="K156" i="20"/>
  <c r="L156" i="20"/>
  <c r="M157" i="20"/>
  <c r="H158" i="20"/>
  <c r="K157" i="20"/>
  <c r="L157" i="20"/>
  <c r="M158" i="20"/>
  <c r="H159" i="20"/>
  <c r="K158" i="20"/>
  <c r="L158" i="20"/>
  <c r="M159" i="20"/>
  <c r="H160" i="20"/>
  <c r="K159" i="20"/>
  <c r="L159" i="20"/>
  <c r="M160" i="20"/>
  <c r="H161" i="20"/>
  <c r="K160" i="20"/>
  <c r="L160" i="20"/>
  <c r="M161" i="20"/>
  <c r="H162" i="20"/>
  <c r="K161" i="20"/>
  <c r="L161" i="20"/>
  <c r="M162" i="20"/>
  <c r="H163" i="20"/>
  <c r="K162" i="20"/>
  <c r="L162" i="20"/>
  <c r="M163" i="20"/>
  <c r="H164" i="20"/>
  <c r="K163" i="20"/>
  <c r="L163" i="20"/>
  <c r="M164" i="20"/>
  <c r="H165" i="20"/>
  <c r="K164" i="20"/>
  <c r="L164" i="20"/>
  <c r="M165" i="20"/>
  <c r="H166" i="20"/>
  <c r="K165" i="20"/>
  <c r="L165" i="20"/>
  <c r="M166" i="20"/>
  <c r="H167" i="20"/>
  <c r="K166" i="20"/>
  <c r="L166" i="20"/>
  <c r="M167" i="20"/>
  <c r="H168" i="20"/>
  <c r="K167" i="20"/>
  <c r="L167" i="20"/>
  <c r="M168" i="20"/>
  <c r="H169" i="20"/>
  <c r="K168" i="20"/>
  <c r="L168" i="20"/>
  <c r="M169" i="20"/>
  <c r="H170" i="20"/>
  <c r="K169" i="20"/>
  <c r="L169" i="20"/>
  <c r="M170" i="20"/>
  <c r="H171" i="20"/>
  <c r="K170" i="20"/>
  <c r="L170" i="20"/>
  <c r="M171" i="20"/>
  <c r="H172" i="20"/>
  <c r="K171" i="20"/>
  <c r="L171" i="20"/>
  <c r="M172" i="20"/>
  <c r="H173" i="20"/>
  <c r="K172" i="20"/>
  <c r="L172" i="20"/>
  <c r="M173" i="20"/>
  <c r="H174" i="20"/>
  <c r="K173" i="20"/>
  <c r="L173" i="20"/>
  <c r="M174" i="20"/>
  <c r="H175" i="20"/>
  <c r="K174" i="20"/>
  <c r="L174" i="20"/>
  <c r="M175" i="20"/>
  <c r="H176" i="20"/>
  <c r="K175" i="20"/>
  <c r="L175" i="20"/>
  <c r="M176" i="20"/>
  <c r="H177" i="20"/>
  <c r="K176" i="20"/>
  <c r="L176" i="20"/>
  <c r="M177" i="20"/>
  <c r="H178" i="20"/>
  <c r="K177" i="20"/>
  <c r="L177" i="20"/>
  <c r="M178" i="20"/>
  <c r="H179" i="20"/>
  <c r="K178" i="20"/>
  <c r="L178" i="20"/>
  <c r="M179" i="20"/>
  <c r="H180" i="20"/>
  <c r="K179" i="20"/>
  <c r="L179" i="20"/>
  <c r="M180" i="20"/>
  <c r="H181" i="20"/>
  <c r="K180" i="20"/>
  <c r="L180" i="20"/>
  <c r="M181" i="20"/>
  <c r="H182" i="20"/>
  <c r="K181" i="20"/>
  <c r="L181" i="20"/>
  <c r="M182" i="20"/>
  <c r="H183" i="20"/>
  <c r="K182" i="20"/>
  <c r="L182" i="20"/>
  <c r="M183" i="20"/>
  <c r="H184" i="20"/>
  <c r="K183" i="20"/>
  <c r="L183" i="20"/>
  <c r="M184" i="20"/>
  <c r="H185" i="20"/>
  <c r="K184" i="20"/>
  <c r="L184" i="20"/>
  <c r="M185" i="20"/>
  <c r="H186" i="20"/>
  <c r="K185" i="20"/>
  <c r="L185" i="20"/>
  <c r="M186" i="20"/>
  <c r="H187" i="20"/>
  <c r="K186" i="20"/>
  <c r="L186" i="20"/>
  <c r="M187" i="20"/>
  <c r="H188" i="20"/>
  <c r="K187" i="20"/>
  <c r="L187" i="20"/>
  <c r="M188" i="20"/>
  <c r="H189" i="20"/>
  <c r="K188" i="20"/>
  <c r="L188" i="20"/>
  <c r="M189" i="20"/>
  <c r="H190" i="20"/>
  <c r="K189" i="20"/>
  <c r="L189" i="20"/>
  <c r="M190" i="20"/>
  <c r="H191" i="20"/>
  <c r="K190" i="20"/>
  <c r="L190" i="20"/>
  <c r="M191" i="20"/>
  <c r="H192" i="20"/>
  <c r="K191" i="20"/>
  <c r="L191" i="20"/>
  <c r="M192" i="20"/>
  <c r="H193" i="20"/>
  <c r="K192" i="20"/>
  <c r="L192" i="20"/>
  <c r="M193" i="20"/>
  <c r="H194" i="20"/>
  <c r="K193" i="20"/>
  <c r="L193" i="20"/>
  <c r="M194" i="20"/>
  <c r="H195" i="20"/>
  <c r="K194" i="20"/>
  <c r="L194" i="20"/>
  <c r="M195" i="20"/>
  <c r="H196" i="20"/>
  <c r="K195" i="20"/>
  <c r="L195" i="20"/>
  <c r="M196" i="20"/>
  <c r="H197" i="20"/>
  <c r="K196" i="20"/>
  <c r="L196" i="20"/>
  <c r="M197" i="20"/>
  <c r="H198" i="20"/>
  <c r="K197" i="20"/>
  <c r="L197" i="20"/>
  <c r="M198" i="20"/>
  <c r="H199" i="20"/>
  <c r="K198" i="20"/>
  <c r="L198" i="20"/>
  <c r="M199" i="20"/>
  <c r="H200" i="20"/>
  <c r="K199" i="20"/>
  <c r="L199" i="20"/>
  <c r="M200" i="20"/>
  <c r="H201" i="20"/>
  <c r="K200" i="20"/>
  <c r="L200" i="20"/>
  <c r="M201" i="20"/>
  <c r="H202" i="20"/>
  <c r="K201" i="20"/>
  <c r="L201" i="20"/>
  <c r="M202" i="20"/>
  <c r="H203" i="20"/>
  <c r="K202" i="20"/>
  <c r="L202" i="20"/>
  <c r="M203" i="20"/>
  <c r="H204" i="20"/>
  <c r="K203" i="20"/>
  <c r="L203" i="20"/>
  <c r="M204" i="20"/>
  <c r="H205" i="20"/>
  <c r="K204" i="20"/>
  <c r="L204" i="20"/>
  <c r="M205" i="20"/>
  <c r="H206" i="20"/>
  <c r="K205" i="20"/>
  <c r="L205" i="20"/>
  <c r="M206" i="20"/>
  <c r="H207" i="20"/>
  <c r="K206" i="20"/>
  <c r="L206" i="20"/>
  <c r="M207" i="20"/>
  <c r="H208" i="20"/>
  <c r="K207" i="20"/>
  <c r="L207" i="20"/>
  <c r="M208" i="20"/>
  <c r="H209" i="20"/>
  <c r="K208" i="20"/>
  <c r="L208" i="20"/>
  <c r="M209" i="20"/>
  <c r="H210" i="20"/>
  <c r="K209" i="20"/>
  <c r="L209" i="20"/>
  <c r="M210" i="20"/>
  <c r="H211" i="20"/>
  <c r="K210" i="20"/>
  <c r="L210" i="20"/>
  <c r="M211" i="20"/>
  <c r="H212" i="20"/>
  <c r="K211" i="20"/>
  <c r="L211" i="20"/>
  <c r="M212" i="20"/>
  <c r="H213" i="20"/>
  <c r="K212" i="20"/>
  <c r="L212" i="20"/>
  <c r="M213" i="20"/>
  <c r="H214" i="20"/>
  <c r="K213" i="20"/>
  <c r="L213" i="20"/>
  <c r="M214" i="20"/>
  <c r="H215" i="20"/>
  <c r="K214" i="20"/>
  <c r="L214" i="20"/>
  <c r="M215" i="20"/>
  <c r="H216" i="20"/>
  <c r="K215" i="20"/>
  <c r="L215" i="20"/>
  <c r="M216" i="20"/>
  <c r="H217" i="20"/>
  <c r="K216" i="20"/>
  <c r="L216" i="20"/>
  <c r="M217" i="20"/>
  <c r="H218" i="20"/>
  <c r="K217" i="20"/>
  <c r="L217" i="20"/>
  <c r="M218" i="20"/>
  <c r="H219" i="20"/>
  <c r="K218" i="20"/>
  <c r="L218" i="20"/>
  <c r="M219" i="20"/>
  <c r="H220" i="20"/>
  <c r="K219" i="20"/>
  <c r="L219" i="20"/>
  <c r="M220" i="20"/>
  <c r="H221" i="20"/>
  <c r="K220" i="20"/>
  <c r="L220" i="20"/>
  <c r="M221" i="20"/>
  <c r="H222" i="20"/>
  <c r="K221" i="20"/>
  <c r="L221" i="20"/>
  <c r="M222" i="20"/>
  <c r="H223" i="20"/>
  <c r="K222" i="20"/>
  <c r="L222" i="20"/>
  <c r="M223" i="20"/>
  <c r="H224" i="20"/>
  <c r="K223" i="20"/>
  <c r="L223" i="20"/>
  <c r="M224" i="20"/>
  <c r="H225" i="20"/>
  <c r="K224" i="20"/>
  <c r="L224" i="20"/>
  <c r="M225" i="20"/>
  <c r="H226" i="20"/>
  <c r="K225" i="20"/>
  <c r="L225" i="20"/>
  <c r="M226" i="20"/>
  <c r="H227" i="20"/>
  <c r="K226" i="20"/>
  <c r="L226" i="20"/>
  <c r="M227" i="20"/>
  <c r="H228" i="20"/>
  <c r="K227" i="20"/>
  <c r="L227" i="20"/>
  <c r="M228" i="20"/>
  <c r="H229" i="20"/>
  <c r="K228" i="20"/>
  <c r="L228" i="20"/>
  <c r="M229" i="20"/>
  <c r="H230" i="20"/>
  <c r="K229" i="20"/>
  <c r="L229" i="20"/>
  <c r="M230" i="20"/>
  <c r="H231" i="20"/>
  <c r="K230" i="20"/>
  <c r="L230" i="20"/>
  <c r="M231" i="20"/>
  <c r="H232" i="20"/>
  <c r="K231" i="20"/>
  <c r="L231" i="20"/>
  <c r="M232" i="20"/>
  <c r="H233" i="20"/>
  <c r="K232" i="20"/>
  <c r="L232" i="20"/>
  <c r="M233" i="20"/>
  <c r="H234" i="20"/>
  <c r="K233" i="20"/>
  <c r="L233" i="20"/>
  <c r="M234" i="20"/>
  <c r="H235" i="20"/>
  <c r="K234" i="20"/>
  <c r="L234" i="20"/>
  <c r="M235" i="20"/>
  <c r="H236" i="20"/>
  <c r="K235" i="20"/>
  <c r="L235" i="20"/>
  <c r="M236" i="20"/>
  <c r="H237" i="20"/>
  <c r="K236" i="20"/>
  <c r="L236" i="20"/>
  <c r="M237" i="20"/>
  <c r="H238" i="20"/>
  <c r="K237" i="20"/>
  <c r="L237" i="20"/>
  <c r="M238" i="20"/>
  <c r="H239" i="20"/>
  <c r="K238" i="20"/>
  <c r="L238" i="20"/>
  <c r="M239" i="20"/>
  <c r="H240" i="20"/>
  <c r="K239" i="20"/>
  <c r="L239" i="20"/>
  <c r="M240" i="20"/>
  <c r="H241" i="20"/>
  <c r="K240" i="20"/>
  <c r="L240" i="20"/>
  <c r="M241" i="20"/>
  <c r="H242" i="20"/>
  <c r="K241" i="20"/>
  <c r="L241" i="20"/>
  <c r="M242" i="20"/>
  <c r="H243" i="20"/>
  <c r="K242" i="20"/>
  <c r="L242" i="20"/>
  <c r="M243" i="20"/>
  <c r="H244" i="20"/>
  <c r="K243" i="20"/>
  <c r="L243" i="20"/>
  <c r="M244" i="20"/>
  <c r="H245" i="20"/>
  <c r="K244" i="20"/>
  <c r="L244" i="20"/>
  <c r="M245" i="20"/>
  <c r="H246" i="20"/>
  <c r="K245" i="20"/>
  <c r="L245" i="20"/>
  <c r="M246" i="20"/>
  <c r="H247" i="20"/>
  <c r="K246" i="20"/>
  <c r="L246" i="20"/>
  <c r="M247" i="20"/>
  <c r="H248" i="20"/>
  <c r="K247" i="20"/>
  <c r="L247" i="20"/>
  <c r="M248" i="20"/>
  <c r="H249" i="20"/>
  <c r="K248" i="20"/>
  <c r="L248" i="20"/>
  <c r="M249" i="20"/>
  <c r="H250" i="20"/>
  <c r="K249" i="20"/>
  <c r="L249" i="20"/>
  <c r="M250" i="20"/>
  <c r="H251" i="20"/>
  <c r="K250" i="20"/>
  <c r="L250" i="20"/>
  <c r="M251" i="20"/>
  <c r="H252" i="20"/>
  <c r="K251" i="20"/>
  <c r="L251" i="20"/>
  <c r="M252" i="20"/>
  <c r="H253" i="20"/>
  <c r="K252" i="20"/>
  <c r="L252" i="20"/>
  <c r="M253" i="20"/>
  <c r="H254" i="20"/>
  <c r="K253" i="20"/>
  <c r="L253" i="20"/>
  <c r="M254" i="20"/>
  <c r="H255" i="20"/>
  <c r="K254" i="20"/>
  <c r="L254" i="20"/>
  <c r="M255" i="20"/>
  <c r="H256" i="20"/>
  <c r="K255" i="20"/>
  <c r="L255" i="20"/>
  <c r="M256" i="20"/>
  <c r="H257" i="20"/>
  <c r="K256" i="20"/>
  <c r="L256" i="20"/>
  <c r="M257" i="20"/>
  <c r="H258" i="20"/>
  <c r="K257" i="20"/>
  <c r="L257" i="20"/>
  <c r="M258" i="20"/>
  <c r="H259" i="20"/>
  <c r="K258" i="20"/>
  <c r="L258" i="20"/>
  <c r="M259" i="20"/>
  <c r="H260" i="20"/>
  <c r="K259" i="20"/>
  <c r="L259" i="20"/>
  <c r="M260" i="20"/>
  <c r="H261" i="20"/>
  <c r="K260" i="20"/>
  <c r="L260" i="20"/>
  <c r="M261" i="20"/>
  <c r="H262" i="20"/>
  <c r="K261" i="20"/>
  <c r="L261" i="20"/>
  <c r="M262" i="20"/>
  <c r="H263" i="20"/>
  <c r="K262" i="20"/>
  <c r="L262" i="20"/>
  <c r="M263" i="20"/>
  <c r="H264" i="20"/>
  <c r="K263" i="20"/>
  <c r="L263" i="20"/>
  <c r="M264" i="20"/>
  <c r="H265" i="20"/>
  <c r="K264" i="20"/>
  <c r="L264" i="20"/>
  <c r="M265" i="20"/>
  <c r="H266" i="20"/>
  <c r="K265" i="20"/>
  <c r="L265" i="20"/>
  <c r="M266" i="20"/>
  <c r="H267" i="20"/>
  <c r="K266" i="20"/>
  <c r="L266" i="20"/>
  <c r="M267" i="20"/>
  <c r="H268" i="20"/>
  <c r="K267" i="20"/>
  <c r="L267" i="20"/>
  <c r="M268" i="20"/>
  <c r="H269" i="20"/>
  <c r="K268" i="20"/>
  <c r="L268" i="20"/>
  <c r="M269" i="20"/>
  <c r="H270" i="20"/>
  <c r="K269" i="20"/>
  <c r="L269" i="20"/>
  <c r="M270" i="20"/>
  <c r="H271" i="20"/>
  <c r="K270" i="20"/>
  <c r="L270" i="20"/>
  <c r="M271" i="20"/>
  <c r="H272" i="20"/>
  <c r="K271" i="20"/>
  <c r="L271" i="20"/>
  <c r="M272" i="20"/>
  <c r="H273" i="20"/>
  <c r="K272" i="20"/>
  <c r="L272" i="20"/>
  <c r="M273" i="20"/>
  <c r="H274" i="20"/>
  <c r="K273" i="20"/>
  <c r="L273" i="20"/>
  <c r="M274" i="20"/>
  <c r="H275" i="20"/>
  <c r="K274" i="20"/>
  <c r="L274" i="20"/>
  <c r="M275" i="20"/>
  <c r="H276" i="20"/>
  <c r="K275" i="20"/>
  <c r="L275" i="20"/>
  <c r="M276" i="20"/>
  <c r="H277" i="20"/>
  <c r="K276" i="20"/>
  <c r="L276" i="20"/>
  <c r="M277" i="20"/>
  <c r="H278" i="20"/>
  <c r="K277" i="20"/>
  <c r="L277" i="20"/>
  <c r="M278" i="20"/>
  <c r="H279" i="20"/>
  <c r="K278" i="20"/>
  <c r="L278" i="20"/>
  <c r="M279" i="20"/>
  <c r="H280" i="20"/>
  <c r="K279" i="20"/>
  <c r="L279" i="20"/>
  <c r="M280" i="20"/>
  <c r="H281" i="20"/>
  <c r="K280" i="20"/>
  <c r="L280" i="20"/>
  <c r="M281" i="20"/>
  <c r="H282" i="20"/>
  <c r="K281" i="20"/>
  <c r="L281" i="20"/>
  <c r="M282" i="20"/>
  <c r="H283" i="20"/>
  <c r="K282" i="20"/>
  <c r="L282" i="20"/>
  <c r="M283" i="20"/>
  <c r="H284" i="20"/>
  <c r="K283" i="20"/>
  <c r="L283" i="20"/>
  <c r="M284" i="20"/>
  <c r="H285" i="20"/>
  <c r="K284" i="20"/>
  <c r="L284" i="20"/>
  <c r="M285" i="20"/>
  <c r="H286" i="20"/>
  <c r="K285" i="20"/>
  <c r="L285" i="20"/>
  <c r="M286" i="20"/>
  <c r="H287" i="20"/>
  <c r="K286" i="20"/>
  <c r="L286" i="20"/>
  <c r="M287" i="20"/>
  <c r="H288" i="20"/>
  <c r="K287" i="20"/>
  <c r="L287" i="20"/>
  <c r="M288" i="20"/>
  <c r="H289" i="20"/>
  <c r="K288" i="20"/>
  <c r="L288" i="20"/>
  <c r="M289" i="20"/>
  <c r="H290" i="20"/>
  <c r="K289" i="20"/>
  <c r="L289" i="20"/>
  <c r="M290" i="20"/>
  <c r="H291" i="20"/>
  <c r="K290" i="20"/>
  <c r="L290" i="20"/>
  <c r="M291" i="20"/>
  <c r="H292" i="20"/>
  <c r="K291" i="20"/>
  <c r="L291" i="20"/>
  <c r="M292" i="20"/>
  <c r="H293" i="20"/>
  <c r="K292" i="20"/>
  <c r="L292" i="20"/>
  <c r="M293" i="20"/>
  <c r="H294" i="20"/>
  <c r="K293" i="20"/>
  <c r="L293" i="20"/>
  <c r="M294" i="20"/>
  <c r="H295" i="20"/>
  <c r="K294" i="20"/>
  <c r="L294" i="20"/>
  <c r="M295" i="20"/>
  <c r="H296" i="20"/>
  <c r="K295" i="20"/>
  <c r="L295" i="20"/>
  <c r="M296" i="20"/>
  <c r="H297" i="20"/>
  <c r="K296" i="20"/>
  <c r="L296" i="20"/>
  <c r="M297" i="20"/>
  <c r="H298" i="20"/>
  <c r="K297" i="20"/>
  <c r="L297" i="20"/>
  <c r="M298" i="20"/>
  <c r="H299" i="20"/>
  <c r="K298" i="20"/>
  <c r="L298" i="20"/>
  <c r="M299" i="20"/>
  <c r="H300" i="20"/>
  <c r="K299" i="20"/>
  <c r="L299" i="20"/>
  <c r="M300" i="20"/>
  <c r="H301" i="20"/>
  <c r="K300" i="20"/>
  <c r="L300" i="20"/>
  <c r="M301" i="20"/>
  <c r="H302" i="20"/>
  <c r="K301" i="20"/>
  <c r="L301" i="20"/>
  <c r="M302" i="20"/>
  <c r="H303" i="20"/>
  <c r="K302" i="20"/>
  <c r="L302" i="20"/>
  <c r="M303" i="20"/>
  <c r="H304" i="20"/>
  <c r="K303" i="20"/>
  <c r="L303" i="20"/>
  <c r="M304" i="20"/>
  <c r="H305" i="20"/>
  <c r="K304" i="20"/>
  <c r="L304" i="20"/>
  <c r="M305" i="20"/>
  <c r="H306" i="20"/>
  <c r="K305" i="20"/>
  <c r="L305" i="20"/>
  <c r="M306" i="20"/>
  <c r="H307" i="20"/>
  <c r="K306" i="20"/>
  <c r="L306" i="20"/>
  <c r="M307" i="20"/>
  <c r="H308" i="20"/>
  <c r="K307" i="20"/>
  <c r="L307" i="20"/>
  <c r="M308" i="20"/>
  <c r="H309" i="20"/>
  <c r="K308" i="20"/>
  <c r="L308" i="20"/>
  <c r="M309" i="20"/>
  <c r="H310" i="20"/>
  <c r="K309" i="20"/>
  <c r="L309" i="20"/>
  <c r="M310" i="20"/>
  <c r="H311" i="20"/>
  <c r="K310" i="20"/>
  <c r="L310" i="20"/>
  <c r="M311" i="20"/>
  <c r="H312" i="20"/>
  <c r="K311" i="20"/>
  <c r="L311" i="20"/>
  <c r="M312" i="20"/>
  <c r="H313" i="20"/>
  <c r="K312" i="20"/>
  <c r="L312" i="20"/>
  <c r="M313" i="20"/>
  <c r="H314" i="20"/>
  <c r="K313" i="20"/>
  <c r="L313" i="20"/>
  <c r="M314" i="20"/>
  <c r="H315" i="20"/>
  <c r="K314" i="20"/>
  <c r="L314" i="20"/>
  <c r="M315" i="20"/>
  <c r="H316" i="20"/>
  <c r="K315" i="20"/>
  <c r="L315" i="20"/>
  <c r="M316" i="20"/>
  <c r="H317" i="20"/>
  <c r="K316" i="20"/>
  <c r="L316" i="20"/>
  <c r="M317" i="20"/>
  <c r="H318" i="20"/>
  <c r="K317" i="20"/>
  <c r="L317" i="20"/>
  <c r="M318" i="20"/>
  <c r="H319" i="20"/>
  <c r="K318" i="20"/>
  <c r="L318" i="20"/>
  <c r="M319" i="20"/>
  <c r="H320" i="20"/>
  <c r="K319" i="20"/>
  <c r="L319" i="20"/>
  <c r="M320" i="20"/>
  <c r="H321" i="20"/>
  <c r="K320" i="20"/>
  <c r="L320" i="20"/>
  <c r="M321" i="20"/>
  <c r="H322" i="20"/>
  <c r="K321" i="20"/>
  <c r="L321" i="20"/>
  <c r="M322" i="20"/>
  <c r="H323" i="20"/>
  <c r="K322" i="20"/>
  <c r="L322" i="20"/>
  <c r="M323" i="20"/>
  <c r="H324" i="20"/>
  <c r="K323" i="20"/>
  <c r="L323" i="20"/>
  <c r="M324" i="20"/>
  <c r="H325" i="20"/>
  <c r="K324" i="20"/>
  <c r="L324" i="20"/>
  <c r="M325" i="20"/>
  <c r="H326" i="20"/>
  <c r="K325" i="20"/>
  <c r="L325" i="20"/>
  <c r="M326" i="20"/>
  <c r="H327" i="20"/>
  <c r="K326" i="20"/>
  <c r="L326" i="20"/>
  <c r="M327" i="20"/>
  <c r="H328" i="20"/>
  <c r="K327" i="20"/>
  <c r="L327" i="20"/>
  <c r="M328" i="20"/>
  <c r="H329" i="20"/>
  <c r="K328" i="20"/>
  <c r="L328" i="20"/>
  <c r="M329" i="20"/>
  <c r="H330" i="20"/>
  <c r="K329" i="20"/>
  <c r="L329" i="20"/>
  <c r="M330" i="20"/>
  <c r="H331" i="20"/>
  <c r="K330" i="20"/>
  <c r="L330" i="20"/>
  <c r="M331" i="20"/>
  <c r="H332" i="20"/>
  <c r="K331" i="20"/>
  <c r="L331" i="20"/>
  <c r="M332" i="20"/>
  <c r="H333" i="20"/>
  <c r="K332" i="20"/>
  <c r="L332" i="20"/>
  <c r="M333" i="20"/>
  <c r="H334" i="20"/>
  <c r="K333" i="20"/>
  <c r="L333" i="20"/>
  <c r="M334" i="20"/>
  <c r="H335" i="20"/>
  <c r="K334" i="20"/>
  <c r="L334" i="20"/>
  <c r="M335" i="20"/>
  <c r="H336" i="20"/>
  <c r="K335" i="20"/>
  <c r="L335" i="20"/>
  <c r="M336" i="20"/>
  <c r="H337" i="20"/>
  <c r="K336" i="20"/>
  <c r="L336" i="20"/>
  <c r="M337" i="20"/>
  <c r="H338" i="20"/>
  <c r="K337" i="20"/>
  <c r="L337" i="20"/>
  <c r="M338" i="20"/>
  <c r="H339" i="20"/>
  <c r="K338" i="20"/>
  <c r="L338" i="20"/>
  <c r="M339" i="20"/>
  <c r="H340" i="20"/>
  <c r="K339" i="20"/>
  <c r="L339" i="20"/>
  <c r="M340" i="20"/>
  <c r="H341" i="20"/>
  <c r="K340" i="20"/>
  <c r="L340" i="20"/>
  <c r="M341" i="20"/>
  <c r="H342" i="20"/>
  <c r="K341" i="20"/>
  <c r="L341" i="20"/>
  <c r="M342" i="20"/>
  <c r="H343" i="20"/>
  <c r="K342" i="20"/>
  <c r="L342" i="20"/>
  <c r="M343" i="20"/>
  <c r="H344" i="20"/>
  <c r="K343" i="20"/>
  <c r="L343" i="20"/>
  <c r="M344" i="20"/>
  <c r="H345" i="20"/>
  <c r="K344" i="20"/>
  <c r="L344" i="20"/>
  <c r="M345" i="20"/>
  <c r="H346" i="20"/>
  <c r="K345" i="20"/>
  <c r="L345" i="20"/>
  <c r="M346" i="20"/>
  <c r="H347" i="20"/>
  <c r="K346" i="20"/>
  <c r="L346" i="20"/>
  <c r="M347" i="20"/>
  <c r="H348" i="20"/>
  <c r="K347" i="20"/>
  <c r="L347" i="20"/>
  <c r="M348" i="20"/>
  <c r="H349" i="20"/>
  <c r="K348" i="20"/>
  <c r="L348" i="20"/>
  <c r="M349" i="20"/>
  <c r="H350" i="20"/>
  <c r="K349" i="20"/>
  <c r="L349" i="20"/>
  <c r="M350" i="20"/>
  <c r="H351" i="20"/>
  <c r="K350" i="20"/>
  <c r="L350" i="20"/>
  <c r="M351" i="20"/>
  <c r="H352" i="20"/>
  <c r="K351" i="20"/>
  <c r="L351" i="20"/>
  <c r="M352" i="20"/>
  <c r="H353" i="20"/>
  <c r="K352" i="20"/>
  <c r="L352" i="20"/>
  <c r="M353" i="20"/>
  <c r="H354" i="20"/>
  <c r="K353" i="20"/>
  <c r="L353" i="20"/>
  <c r="M354" i="20"/>
  <c r="H355" i="20"/>
  <c r="K354" i="20"/>
  <c r="L354" i="20"/>
  <c r="M355" i="20"/>
  <c r="H356" i="20"/>
  <c r="K355" i="20"/>
  <c r="L355" i="20"/>
  <c r="M356" i="20"/>
  <c r="H357" i="20"/>
  <c r="K356" i="20"/>
  <c r="L356" i="20"/>
  <c r="M357" i="20"/>
  <c r="H358" i="20"/>
  <c r="K357" i="20"/>
  <c r="L357" i="20"/>
  <c r="M358" i="20"/>
  <c r="H359" i="20"/>
  <c r="K358" i="20"/>
  <c r="L358" i="20"/>
  <c r="M359" i="20"/>
  <c r="H360" i="20"/>
  <c r="K359" i="20"/>
  <c r="L359" i="20"/>
  <c r="M360" i="20"/>
  <c r="H361" i="20"/>
  <c r="K360" i="20"/>
  <c r="L360" i="20"/>
  <c r="M361" i="20"/>
  <c r="H362" i="20"/>
  <c r="K361" i="20"/>
  <c r="L361" i="20"/>
  <c r="M362" i="20"/>
  <c r="H363" i="20"/>
  <c r="K362" i="20"/>
  <c r="L362" i="20"/>
  <c r="M363" i="20"/>
  <c r="H364" i="20"/>
  <c r="K363" i="20"/>
  <c r="L363" i="20"/>
  <c r="M364" i="20"/>
  <c r="H365" i="20"/>
  <c r="K364" i="20"/>
  <c r="L364" i="20"/>
  <c r="M365" i="20"/>
  <c r="H366" i="20"/>
  <c r="K365" i="20"/>
  <c r="L365" i="20"/>
  <c r="M366" i="20"/>
  <c r="H367" i="20"/>
  <c r="K366" i="20"/>
  <c r="L366" i="20"/>
  <c r="M367" i="20"/>
  <c r="H368" i="20"/>
  <c r="K367" i="20"/>
  <c r="L367" i="20"/>
  <c r="M368" i="20"/>
  <c r="H369" i="20"/>
  <c r="K368" i="20"/>
  <c r="L368" i="20"/>
  <c r="M369" i="20"/>
  <c r="H370" i="20"/>
  <c r="K369" i="20"/>
  <c r="L369" i="20"/>
  <c r="M370" i="20"/>
  <c r="H371" i="20"/>
  <c r="K370" i="20"/>
  <c r="L370" i="20"/>
  <c r="M371" i="20"/>
  <c r="H372" i="20"/>
  <c r="K371" i="20"/>
  <c r="L371" i="20"/>
  <c r="M372" i="20"/>
  <c r="H373" i="20"/>
  <c r="K372" i="20"/>
  <c r="L372" i="20"/>
  <c r="M373" i="20"/>
  <c r="H374" i="20"/>
  <c r="K373" i="20"/>
  <c r="L373" i="20"/>
  <c r="M374" i="20"/>
  <c r="H375" i="20"/>
  <c r="K374" i="20"/>
  <c r="L374" i="20"/>
  <c r="M375" i="20"/>
  <c r="H376" i="20"/>
  <c r="K375" i="20"/>
  <c r="L375" i="20"/>
  <c r="M376" i="20"/>
  <c r="H377" i="20"/>
  <c r="K376" i="20"/>
  <c r="L376" i="20"/>
  <c r="M377" i="20"/>
  <c r="H378" i="20"/>
  <c r="K377" i="20"/>
  <c r="L377" i="20"/>
  <c r="M378" i="20"/>
  <c r="H379" i="20"/>
  <c r="K378" i="20"/>
  <c r="L378" i="20"/>
  <c r="M379" i="20"/>
  <c r="H380" i="20"/>
  <c r="K379" i="20"/>
  <c r="L379" i="20"/>
  <c r="M380" i="20"/>
  <c r="H381" i="20"/>
  <c r="K380" i="20"/>
  <c r="L380" i="20"/>
  <c r="M381" i="20"/>
  <c r="H382" i="20"/>
  <c r="K381" i="20"/>
  <c r="L381" i="20"/>
  <c r="M382" i="20"/>
  <c r="H383" i="20"/>
  <c r="K382" i="20"/>
  <c r="L382" i="20"/>
  <c r="M383" i="20"/>
  <c r="H384" i="20"/>
  <c r="K383" i="20"/>
  <c r="L383" i="20"/>
  <c r="M384" i="20"/>
  <c r="H385" i="20"/>
  <c r="K384" i="20"/>
  <c r="L384" i="20"/>
  <c r="M385" i="20"/>
  <c r="H386" i="20"/>
  <c r="K385" i="20"/>
  <c r="L385" i="20"/>
  <c r="M386" i="20"/>
  <c r="H387" i="20"/>
  <c r="K386" i="20"/>
  <c r="L386" i="20"/>
  <c r="M387" i="20"/>
  <c r="H388" i="20"/>
  <c r="K387" i="20"/>
  <c r="L387" i="20"/>
  <c r="M388" i="20"/>
  <c r="H389" i="20"/>
  <c r="K388" i="20"/>
  <c r="L388" i="20"/>
  <c r="M389" i="20"/>
  <c r="H390" i="20"/>
  <c r="K389" i="20"/>
  <c r="L389" i="20"/>
  <c r="M390" i="20"/>
  <c r="H391" i="20"/>
  <c r="K390" i="20"/>
  <c r="L390" i="20"/>
  <c r="M391" i="20"/>
  <c r="H392" i="20"/>
  <c r="K391" i="20"/>
  <c r="L391" i="20"/>
  <c r="M392" i="20"/>
  <c r="H393" i="20"/>
  <c r="K392" i="20"/>
  <c r="L392" i="20"/>
  <c r="M393" i="20"/>
  <c r="H394" i="20"/>
  <c r="K393" i="20"/>
  <c r="L393" i="20"/>
  <c r="M394" i="20"/>
  <c r="H395" i="20"/>
  <c r="K394" i="20"/>
  <c r="L394" i="20"/>
  <c r="M395" i="20"/>
  <c r="H396" i="20"/>
  <c r="K395" i="20"/>
  <c r="L395" i="20"/>
  <c r="M396" i="20"/>
  <c r="H397" i="20"/>
  <c r="K396" i="20"/>
  <c r="L396" i="20"/>
  <c r="M397" i="20"/>
  <c r="H398" i="20"/>
  <c r="K397" i="20"/>
  <c r="L397" i="20"/>
  <c r="M398" i="20"/>
  <c r="H399" i="20"/>
  <c r="K398" i="20"/>
  <c r="L398" i="20"/>
  <c r="M399" i="20"/>
  <c r="H400" i="20"/>
  <c r="K399" i="20"/>
  <c r="L399" i="20"/>
  <c r="M400" i="20"/>
  <c r="H401" i="20"/>
  <c r="K400" i="20"/>
  <c r="L400" i="20"/>
  <c r="M401" i="20"/>
  <c r="H402" i="20"/>
  <c r="K401" i="20"/>
  <c r="L401" i="20"/>
  <c r="M402" i="20"/>
  <c r="H403" i="20"/>
  <c r="K402" i="20"/>
  <c r="L402" i="20"/>
  <c r="M403" i="20"/>
  <c r="H404" i="20"/>
  <c r="K403" i="20"/>
  <c r="L403" i="20"/>
  <c r="M404" i="20"/>
  <c r="H405" i="20"/>
  <c r="K404" i="20"/>
  <c r="L404" i="20"/>
  <c r="M405" i="20"/>
  <c r="H406" i="20"/>
  <c r="K405" i="20"/>
  <c r="L405" i="20"/>
  <c r="M406" i="20"/>
  <c r="H407" i="20"/>
  <c r="K406" i="20"/>
  <c r="L406" i="20"/>
  <c r="M407" i="20"/>
  <c r="H408" i="20"/>
  <c r="K407" i="20"/>
  <c r="L407" i="20"/>
  <c r="M408" i="20"/>
  <c r="H409" i="20"/>
  <c r="K408" i="20"/>
  <c r="L408" i="20"/>
  <c r="M409" i="20"/>
  <c r="H410" i="20"/>
  <c r="K409" i="20"/>
  <c r="L409" i="20"/>
  <c r="M410" i="20"/>
  <c r="H411" i="20"/>
  <c r="K410" i="20"/>
  <c r="L410" i="20"/>
  <c r="M411" i="20"/>
  <c r="H412" i="20"/>
  <c r="K411" i="20"/>
  <c r="L411" i="20"/>
  <c r="M412" i="20"/>
  <c r="H413" i="20"/>
  <c r="K412" i="20"/>
  <c r="L412" i="20"/>
  <c r="M413" i="20"/>
  <c r="H414" i="20"/>
  <c r="K413" i="20"/>
  <c r="L413" i="20"/>
  <c r="M414" i="20"/>
  <c r="H415" i="20"/>
  <c r="K414" i="20"/>
  <c r="L414" i="20"/>
  <c r="M415" i="20"/>
  <c r="H416" i="20"/>
  <c r="K415" i="20"/>
  <c r="L415" i="20"/>
  <c r="M416" i="20"/>
  <c r="H417" i="20"/>
  <c r="K416" i="20"/>
  <c r="L416" i="20"/>
  <c r="M417" i="20"/>
  <c r="H418" i="20"/>
  <c r="K417" i="20"/>
  <c r="L417" i="20"/>
  <c r="M418" i="20"/>
  <c r="H419" i="20"/>
  <c r="K418" i="20"/>
  <c r="L418" i="20"/>
  <c r="M419" i="20"/>
  <c r="H420" i="20"/>
  <c r="K419" i="20"/>
  <c r="L419" i="20"/>
  <c r="M420" i="20"/>
  <c r="H421" i="20"/>
  <c r="K420" i="20"/>
  <c r="L420" i="20"/>
  <c r="M421" i="20"/>
  <c r="H422" i="20"/>
  <c r="K421" i="20"/>
  <c r="L421" i="20"/>
  <c r="M422" i="20"/>
  <c r="H423" i="20"/>
  <c r="K422" i="20"/>
  <c r="L422" i="20"/>
  <c r="M423" i="20"/>
  <c r="H424" i="20"/>
  <c r="K423" i="20"/>
  <c r="L423" i="20"/>
  <c r="M424" i="20"/>
  <c r="H425" i="20"/>
  <c r="K424" i="20"/>
  <c r="L424" i="20"/>
  <c r="M425" i="20"/>
  <c r="H426" i="20"/>
  <c r="K425" i="20"/>
  <c r="L425" i="20"/>
  <c r="M426" i="20"/>
  <c r="H427" i="20"/>
  <c r="K426" i="20"/>
  <c r="L426" i="20"/>
  <c r="M427" i="20"/>
  <c r="H428" i="20"/>
  <c r="K427" i="20"/>
  <c r="L427" i="20"/>
  <c r="M428" i="20"/>
  <c r="H429" i="20"/>
  <c r="K428" i="20"/>
  <c r="L428" i="20"/>
  <c r="M429" i="20"/>
  <c r="H430" i="20"/>
  <c r="K429" i="20"/>
  <c r="L429" i="20"/>
  <c r="M430" i="20"/>
  <c r="H431" i="20"/>
  <c r="K430" i="20"/>
  <c r="L430" i="20"/>
  <c r="M431" i="20"/>
  <c r="H432" i="20"/>
  <c r="K431" i="20"/>
  <c r="L431" i="20"/>
  <c r="M432" i="20"/>
  <c r="H433" i="20"/>
  <c r="K432" i="20"/>
  <c r="L432" i="20"/>
  <c r="M433" i="20"/>
  <c r="H434" i="20"/>
  <c r="K433" i="20"/>
  <c r="L433" i="20"/>
  <c r="M434" i="20"/>
  <c r="H435" i="20"/>
  <c r="K434" i="20"/>
  <c r="L434" i="20"/>
  <c r="M435" i="20"/>
  <c r="H436" i="20"/>
  <c r="K435" i="20"/>
  <c r="L435" i="20"/>
  <c r="M436" i="20"/>
  <c r="H437" i="20"/>
  <c r="K436" i="20"/>
  <c r="L436" i="20"/>
  <c r="M437" i="20"/>
  <c r="H438" i="20"/>
  <c r="K437" i="20"/>
  <c r="L437" i="20"/>
  <c r="M438" i="20"/>
  <c r="H439" i="20"/>
  <c r="K438" i="20"/>
  <c r="L438" i="20"/>
  <c r="M439" i="20"/>
  <c r="H440" i="20"/>
  <c r="K439" i="20"/>
  <c r="L439" i="20"/>
  <c r="M440" i="20"/>
  <c r="H441" i="20"/>
  <c r="K440" i="20"/>
  <c r="L440" i="20"/>
  <c r="M441" i="20"/>
  <c r="H442" i="20"/>
  <c r="K441" i="20"/>
  <c r="L441" i="20"/>
  <c r="M442" i="20"/>
  <c r="H443" i="20"/>
  <c r="K442" i="20"/>
  <c r="L442" i="20"/>
  <c r="M443" i="20"/>
  <c r="H444" i="20"/>
  <c r="K443" i="20"/>
  <c r="L443" i="20"/>
  <c r="M444" i="20"/>
  <c r="H445" i="20"/>
  <c r="K444" i="20"/>
  <c r="L444" i="20"/>
  <c r="M445" i="20"/>
  <c r="H446" i="20"/>
  <c r="K445" i="20"/>
  <c r="L445" i="20"/>
  <c r="M446" i="20"/>
  <c r="H447" i="20"/>
  <c r="K446" i="20"/>
  <c r="L446" i="20"/>
  <c r="M447" i="20"/>
  <c r="H448" i="20"/>
  <c r="K447" i="20"/>
  <c r="L447" i="20"/>
  <c r="M448" i="20"/>
  <c r="H449" i="20"/>
  <c r="K448" i="20"/>
  <c r="L448" i="20"/>
  <c r="M449" i="20"/>
  <c r="H450" i="20"/>
  <c r="K449" i="20"/>
  <c r="L449" i="20"/>
  <c r="M450" i="20"/>
  <c r="H451" i="20"/>
  <c r="K450" i="20"/>
  <c r="L450" i="20"/>
  <c r="M451" i="20"/>
  <c r="H452" i="20"/>
  <c r="K451" i="20"/>
  <c r="L451" i="20"/>
  <c r="M452" i="20"/>
  <c r="H453" i="20"/>
  <c r="K452" i="20"/>
  <c r="L452" i="20"/>
  <c r="M453" i="20"/>
  <c r="H454" i="20"/>
  <c r="K453" i="20"/>
  <c r="L453" i="20"/>
  <c r="M454" i="20"/>
  <c r="H455" i="20"/>
  <c r="K454" i="20"/>
  <c r="L454" i="20"/>
  <c r="M455" i="20"/>
  <c r="H456" i="20"/>
  <c r="K455" i="20"/>
  <c r="L455" i="20"/>
  <c r="M456" i="20"/>
  <c r="H457" i="20"/>
  <c r="K456" i="20"/>
  <c r="L456" i="20"/>
  <c r="M457" i="20"/>
  <c r="H458" i="20"/>
  <c r="K457" i="20"/>
  <c r="L457" i="20"/>
  <c r="M458" i="20"/>
  <c r="H459" i="20"/>
  <c r="K458" i="20"/>
  <c r="L458" i="20"/>
  <c r="M459" i="20"/>
  <c r="H460" i="20"/>
  <c r="K459" i="20"/>
  <c r="L459" i="20"/>
  <c r="M460" i="20"/>
  <c r="H461" i="20"/>
  <c r="K460" i="20"/>
  <c r="L460" i="20"/>
  <c r="M461" i="20"/>
  <c r="H462" i="20"/>
  <c r="K461" i="20"/>
  <c r="L461" i="20"/>
  <c r="M462" i="20"/>
  <c r="H463" i="20"/>
  <c r="K462" i="20"/>
  <c r="L462" i="20"/>
  <c r="M463" i="20"/>
  <c r="H464" i="20"/>
  <c r="K463" i="20"/>
  <c r="L463" i="20"/>
  <c r="M464" i="20"/>
  <c r="H465" i="20"/>
  <c r="K464" i="20"/>
  <c r="L464" i="20"/>
  <c r="M465" i="20"/>
  <c r="H466" i="20"/>
  <c r="K465" i="20"/>
  <c r="L465" i="20"/>
  <c r="M466" i="20"/>
  <c r="H467" i="20"/>
  <c r="K466" i="20"/>
  <c r="L466" i="20"/>
  <c r="M467" i="20"/>
  <c r="H468" i="20"/>
  <c r="K467" i="20"/>
  <c r="L467" i="20"/>
  <c r="M468" i="20"/>
  <c r="H469" i="20"/>
  <c r="K468" i="20"/>
  <c r="L468" i="20"/>
  <c r="M469" i="20"/>
  <c r="H470" i="20"/>
  <c r="K469" i="20"/>
  <c r="L469" i="20"/>
  <c r="M470" i="20"/>
  <c r="H471" i="20"/>
  <c r="K470" i="20"/>
  <c r="L470" i="20"/>
  <c r="M471" i="20"/>
  <c r="H472" i="20"/>
  <c r="K471" i="20"/>
  <c r="L471" i="20"/>
  <c r="M472" i="20"/>
  <c r="H473" i="20"/>
  <c r="K472" i="20"/>
  <c r="L472" i="20"/>
  <c r="M473" i="20"/>
  <c r="H474" i="20"/>
  <c r="K473" i="20"/>
  <c r="L473" i="20"/>
  <c r="M474" i="20"/>
  <c r="H475" i="20"/>
  <c r="K474" i="20"/>
  <c r="L474" i="20"/>
  <c r="M475" i="20"/>
  <c r="H476" i="20"/>
  <c r="K475" i="20"/>
  <c r="L475" i="20"/>
  <c r="M476" i="20"/>
  <c r="H477" i="20"/>
  <c r="K476" i="20"/>
  <c r="L476" i="20"/>
  <c r="M477" i="20"/>
  <c r="H478" i="20"/>
  <c r="K477" i="20"/>
  <c r="L477" i="20"/>
  <c r="M478" i="20"/>
  <c r="H479" i="20"/>
  <c r="K478" i="20"/>
  <c r="L478" i="20"/>
  <c r="M479" i="20"/>
  <c r="H480" i="20"/>
  <c r="K479" i="20"/>
  <c r="L479" i="20"/>
  <c r="M480" i="20"/>
  <c r="H481" i="20"/>
  <c r="K480" i="20"/>
  <c r="L480" i="20"/>
  <c r="M481" i="20"/>
  <c r="H482" i="20"/>
  <c r="K481" i="20"/>
  <c r="L481" i="20"/>
  <c r="M482" i="20"/>
  <c r="H483" i="20"/>
  <c r="K482" i="20"/>
  <c r="L482" i="20"/>
  <c r="M483" i="20"/>
  <c r="H484" i="20"/>
  <c r="K483" i="20"/>
  <c r="L483" i="20"/>
  <c r="M484" i="20"/>
  <c r="H485" i="20"/>
  <c r="K484" i="20"/>
  <c r="L484" i="20"/>
  <c r="M485" i="20"/>
  <c r="H486" i="20"/>
  <c r="K485" i="20"/>
  <c r="L485" i="20"/>
  <c r="M486" i="20"/>
  <c r="H487" i="20"/>
  <c r="K486" i="20"/>
  <c r="L486" i="20"/>
  <c r="M487" i="20"/>
  <c r="H488" i="20"/>
  <c r="K487" i="20"/>
  <c r="L487" i="20"/>
  <c r="M488" i="20"/>
  <c r="H489" i="20"/>
  <c r="K488" i="20"/>
  <c r="L488" i="20"/>
  <c r="M489" i="20"/>
  <c r="H490" i="20"/>
  <c r="K489" i="20"/>
  <c r="L489" i="20"/>
  <c r="M490" i="20"/>
  <c r="H491" i="20"/>
  <c r="K490" i="20"/>
  <c r="L490" i="20"/>
  <c r="M491" i="20"/>
  <c r="H492" i="20"/>
  <c r="K491" i="20"/>
  <c r="L491" i="20"/>
  <c r="M492" i="20"/>
  <c r="H493" i="20"/>
  <c r="K492" i="20"/>
  <c r="L492" i="20"/>
  <c r="M493" i="20"/>
  <c r="H494" i="20"/>
  <c r="K493" i="20"/>
  <c r="L493" i="20"/>
  <c r="M494" i="20"/>
  <c r="H495" i="20"/>
  <c r="K494" i="20"/>
  <c r="L494" i="20"/>
  <c r="M495" i="20"/>
  <c r="H496" i="20"/>
  <c r="K495" i="20"/>
  <c r="L495" i="20"/>
  <c r="M496" i="20"/>
  <c r="H497" i="20"/>
  <c r="K496" i="20"/>
  <c r="L496" i="20"/>
  <c r="M497" i="20"/>
  <c r="H498" i="20"/>
  <c r="K497" i="20"/>
  <c r="L497" i="20"/>
  <c r="M498" i="20"/>
  <c r="H499" i="20"/>
  <c r="K498" i="20"/>
  <c r="L498" i="20"/>
  <c r="M499" i="20"/>
  <c r="H500" i="20"/>
  <c r="K499" i="20"/>
  <c r="L499" i="20"/>
  <c r="M500" i="20"/>
  <c r="H501" i="20"/>
  <c r="K500" i="20"/>
  <c r="L500" i="20"/>
  <c r="M501" i="20"/>
  <c r="H502" i="20"/>
  <c r="K501" i="20"/>
  <c r="L501" i="20"/>
  <c r="M502" i="20"/>
  <c r="H503" i="20"/>
  <c r="K502" i="20"/>
  <c r="L502" i="20"/>
  <c r="M503" i="20"/>
  <c r="H504" i="20"/>
  <c r="K503" i="20"/>
  <c r="L503" i="20"/>
  <c r="M504" i="20"/>
  <c r="H505" i="20"/>
  <c r="K504" i="20"/>
  <c r="L504" i="20"/>
  <c r="M505" i="20"/>
  <c r="H506" i="20"/>
  <c r="K505" i="20"/>
  <c r="L505" i="20"/>
  <c r="M506" i="20"/>
  <c r="H507" i="20"/>
  <c r="K506" i="20"/>
  <c r="L506" i="20"/>
  <c r="M507" i="20"/>
  <c r="H508" i="20"/>
  <c r="K507" i="20"/>
  <c r="L507" i="20"/>
  <c r="M508" i="20"/>
  <c r="H509" i="20"/>
  <c r="K508" i="20"/>
  <c r="L508" i="20"/>
  <c r="M509" i="20"/>
  <c r="H510" i="20"/>
  <c r="K509" i="20"/>
  <c r="L509" i="20"/>
  <c r="M510" i="20"/>
  <c r="H511" i="20"/>
  <c r="K510" i="20"/>
  <c r="L510" i="20"/>
  <c r="M511" i="20"/>
  <c r="H512" i="20"/>
  <c r="K511" i="20"/>
  <c r="L511" i="20"/>
  <c r="M512" i="20"/>
  <c r="H513" i="20"/>
  <c r="K512" i="20"/>
  <c r="L512" i="20"/>
  <c r="M513" i="20"/>
  <c r="H514" i="20"/>
  <c r="K513" i="20"/>
  <c r="L513" i="20"/>
  <c r="M514" i="20"/>
  <c r="H515" i="20"/>
  <c r="K514" i="20"/>
  <c r="L514" i="20"/>
  <c r="M515" i="20"/>
  <c r="H516" i="20"/>
  <c r="K515" i="20"/>
  <c r="L515" i="20"/>
  <c r="M516" i="20"/>
  <c r="H517" i="20"/>
  <c r="K516" i="20"/>
  <c r="L516" i="20"/>
  <c r="M517" i="20"/>
  <c r="H518" i="20"/>
  <c r="K517" i="20"/>
  <c r="L517" i="20"/>
  <c r="M518" i="20"/>
  <c r="H519" i="20"/>
  <c r="K518" i="20"/>
  <c r="L518" i="20"/>
  <c r="M519" i="20"/>
  <c r="H520" i="20"/>
  <c r="K519" i="20"/>
  <c r="L519" i="20"/>
  <c r="M520" i="20"/>
  <c r="H521" i="20"/>
  <c r="K520" i="20"/>
  <c r="L520" i="20"/>
  <c r="M521" i="20"/>
  <c r="H522" i="20"/>
  <c r="K521" i="20"/>
  <c r="L521" i="20"/>
  <c r="M522" i="20"/>
  <c r="H523" i="20"/>
  <c r="K522" i="20"/>
  <c r="L522" i="20"/>
  <c r="M523" i="20"/>
  <c r="H524" i="20"/>
  <c r="K523" i="20"/>
  <c r="L523" i="20"/>
  <c r="M524" i="20"/>
  <c r="H525" i="20"/>
  <c r="K524" i="20"/>
  <c r="L524" i="20"/>
  <c r="M525" i="20"/>
  <c r="H526" i="20"/>
  <c r="K525" i="20"/>
  <c r="L525" i="20"/>
  <c r="M526" i="20"/>
  <c r="H527" i="20"/>
  <c r="K526" i="20"/>
  <c r="L526" i="20"/>
  <c r="M527" i="20"/>
  <c r="H528" i="20"/>
  <c r="K527" i="20"/>
  <c r="L527" i="20"/>
  <c r="M528" i="20"/>
  <c r="H529" i="20"/>
  <c r="K528" i="20"/>
  <c r="L528" i="20"/>
  <c r="M529" i="20"/>
  <c r="H530" i="20"/>
  <c r="K529" i="20"/>
  <c r="L529" i="20"/>
  <c r="M530" i="20"/>
  <c r="H531" i="20"/>
  <c r="K530" i="20"/>
  <c r="L530" i="20"/>
  <c r="M531" i="20"/>
  <c r="H532" i="20"/>
  <c r="K531" i="20"/>
  <c r="L531" i="20"/>
  <c r="M532" i="20"/>
  <c r="H533" i="20"/>
  <c r="K532" i="20"/>
  <c r="L532" i="20"/>
  <c r="M533" i="20"/>
  <c r="H534" i="20"/>
  <c r="K533" i="20"/>
  <c r="L533" i="20"/>
  <c r="M534" i="20"/>
  <c r="H535" i="20"/>
  <c r="K534" i="20"/>
  <c r="L534" i="20"/>
  <c r="M535" i="20"/>
  <c r="H536" i="20"/>
  <c r="K535" i="20"/>
  <c r="L535" i="20"/>
  <c r="M536" i="20"/>
  <c r="H537" i="20"/>
  <c r="K536" i="20"/>
  <c r="L536" i="20"/>
  <c r="M537" i="20"/>
  <c r="H538" i="20"/>
  <c r="K537" i="20"/>
  <c r="L537" i="20"/>
  <c r="M538" i="20"/>
  <c r="H539" i="20"/>
  <c r="K538" i="20"/>
  <c r="L538" i="20"/>
  <c r="M539" i="20"/>
  <c r="H540" i="20"/>
  <c r="K539" i="20"/>
  <c r="L539" i="20"/>
  <c r="M540" i="20"/>
  <c r="H541" i="20"/>
  <c r="K540" i="20"/>
  <c r="L540" i="20"/>
  <c r="M541" i="20"/>
  <c r="H542" i="20"/>
  <c r="K541" i="20"/>
  <c r="L541" i="20"/>
  <c r="M542" i="20"/>
  <c r="H543" i="20"/>
  <c r="K542" i="20"/>
  <c r="L542" i="20"/>
  <c r="M543" i="20"/>
  <c r="H544" i="20"/>
  <c r="K543" i="20"/>
  <c r="L543" i="20"/>
  <c r="M544" i="20"/>
  <c r="H545" i="20"/>
  <c r="K544" i="20"/>
  <c r="L544" i="20"/>
  <c r="M545" i="20"/>
  <c r="H546" i="20"/>
  <c r="K545" i="20"/>
  <c r="L545" i="20"/>
  <c r="M546" i="20"/>
  <c r="H547" i="20"/>
  <c r="K546" i="20"/>
  <c r="L546" i="20"/>
  <c r="M547" i="20"/>
  <c r="H548" i="20"/>
  <c r="K547" i="20"/>
  <c r="L547" i="20"/>
  <c r="M548" i="20"/>
  <c r="H549" i="20"/>
  <c r="K548" i="20"/>
  <c r="L548" i="20"/>
  <c r="M549" i="20"/>
  <c r="H550" i="20"/>
  <c r="K549" i="20"/>
  <c r="L549" i="20"/>
  <c r="M550" i="20"/>
  <c r="H551" i="20"/>
  <c r="K550" i="20"/>
  <c r="L550" i="20"/>
  <c r="M551" i="20"/>
  <c r="H552" i="20"/>
  <c r="K551" i="20"/>
  <c r="L551" i="20"/>
  <c r="M552" i="20"/>
  <c r="H553" i="20"/>
  <c r="K552" i="20"/>
  <c r="L552" i="20"/>
  <c r="M553" i="20"/>
  <c r="H554" i="20"/>
  <c r="K553" i="20"/>
  <c r="L553" i="20"/>
  <c r="M554" i="20"/>
  <c r="H555" i="20"/>
  <c r="K554" i="20"/>
  <c r="L554" i="20"/>
  <c r="M555" i="20"/>
  <c r="H556" i="20"/>
  <c r="K555" i="20"/>
  <c r="L555" i="20"/>
  <c r="M556" i="20"/>
  <c r="H557" i="20"/>
  <c r="K556" i="20"/>
  <c r="L556" i="20"/>
  <c r="M557" i="20"/>
  <c r="H558" i="20"/>
  <c r="K557" i="20"/>
  <c r="L557" i="20"/>
  <c r="M558" i="20"/>
  <c r="H559" i="20"/>
  <c r="K558" i="20"/>
  <c r="L558" i="20"/>
  <c r="M559" i="20"/>
  <c r="H560" i="20"/>
  <c r="K559" i="20"/>
  <c r="L559" i="20"/>
  <c r="M560" i="20"/>
  <c r="H561" i="20"/>
  <c r="K560" i="20"/>
  <c r="L560" i="20"/>
  <c r="M561" i="20"/>
  <c r="H562" i="20"/>
  <c r="K561" i="20"/>
  <c r="L561" i="20"/>
  <c r="M562" i="20"/>
  <c r="H563" i="20"/>
  <c r="K562" i="20"/>
  <c r="L562" i="20"/>
  <c r="M563" i="20"/>
  <c r="H564" i="20"/>
  <c r="K563" i="20"/>
  <c r="L563" i="20"/>
  <c r="M564" i="20"/>
  <c r="H565" i="20"/>
  <c r="K564" i="20"/>
  <c r="L564" i="20"/>
  <c r="M565" i="20"/>
  <c r="H566" i="20"/>
  <c r="K565" i="20"/>
  <c r="L565" i="20"/>
  <c r="M566" i="20"/>
  <c r="H567" i="20"/>
  <c r="K566" i="20"/>
  <c r="L566" i="20"/>
  <c r="M567" i="20"/>
  <c r="H568" i="20"/>
  <c r="K567" i="20"/>
  <c r="L567" i="20"/>
  <c r="M568" i="20"/>
  <c r="H569" i="20"/>
  <c r="K568" i="20"/>
  <c r="L568" i="20"/>
  <c r="M569" i="20"/>
  <c r="H570" i="20"/>
  <c r="K569" i="20"/>
  <c r="L569" i="20"/>
  <c r="M570" i="20"/>
  <c r="H571" i="20"/>
  <c r="K570" i="20"/>
  <c r="L570" i="20"/>
  <c r="M571" i="20"/>
  <c r="H572" i="20"/>
  <c r="K571" i="20"/>
  <c r="L571" i="20"/>
  <c r="M572" i="20"/>
  <c r="H573" i="20"/>
  <c r="K572" i="20"/>
  <c r="L572" i="20"/>
  <c r="M573" i="20"/>
  <c r="H574" i="20"/>
  <c r="K573" i="20"/>
  <c r="L573" i="20"/>
  <c r="M574" i="20"/>
  <c r="H575" i="20"/>
  <c r="K574" i="20"/>
  <c r="L574" i="20"/>
  <c r="M575" i="20"/>
  <c r="H576" i="20"/>
  <c r="K575" i="20"/>
  <c r="L575" i="20"/>
  <c r="M576" i="20"/>
  <c r="H577" i="20"/>
  <c r="K576" i="20"/>
  <c r="L576" i="20"/>
  <c r="M577" i="20"/>
  <c r="H578" i="20"/>
  <c r="K577" i="20"/>
  <c r="L577" i="20"/>
  <c r="M578" i="20"/>
  <c r="H579" i="20"/>
  <c r="K578" i="20"/>
  <c r="L578" i="20"/>
  <c r="M579" i="20"/>
  <c r="H580" i="20"/>
  <c r="K579" i="20"/>
  <c r="L579" i="20"/>
  <c r="M580" i="20"/>
  <c r="H581" i="20"/>
  <c r="K580" i="20"/>
  <c r="L580" i="20"/>
  <c r="M581" i="20"/>
  <c r="H582" i="20"/>
  <c r="K581" i="20"/>
  <c r="L581" i="20"/>
  <c r="M582" i="20"/>
  <c r="H583" i="20"/>
  <c r="K582" i="20"/>
  <c r="L582" i="20"/>
  <c r="M583" i="20"/>
  <c r="H584" i="20"/>
  <c r="K583" i="20"/>
  <c r="L583" i="20"/>
  <c r="M584" i="20"/>
  <c r="H585" i="20"/>
  <c r="K584" i="20"/>
  <c r="L584" i="20"/>
  <c r="M585" i="20"/>
  <c r="H586" i="20"/>
  <c r="K585" i="20"/>
  <c r="L585" i="20"/>
  <c r="M586" i="20"/>
  <c r="H587" i="20"/>
  <c r="K586" i="20"/>
  <c r="L586" i="20"/>
  <c r="M587" i="20"/>
  <c r="H588" i="20"/>
  <c r="K587" i="20"/>
  <c r="L587" i="20"/>
  <c r="M588" i="20"/>
  <c r="H589" i="20"/>
  <c r="K588" i="20"/>
  <c r="L588" i="20"/>
  <c r="M589" i="20"/>
  <c r="H590" i="20"/>
  <c r="K589" i="20"/>
  <c r="L589" i="20"/>
  <c r="M590" i="20"/>
  <c r="H591" i="20"/>
  <c r="K590" i="20"/>
  <c r="L590" i="20"/>
  <c r="M591" i="20"/>
  <c r="H592" i="20"/>
  <c r="K591" i="20"/>
  <c r="L591" i="20"/>
  <c r="M592" i="20"/>
  <c r="H593" i="20"/>
  <c r="K592" i="20"/>
  <c r="L592" i="20"/>
  <c r="M593" i="20"/>
  <c r="H594" i="20"/>
  <c r="K593" i="20"/>
  <c r="L593" i="20"/>
  <c r="M594" i="20"/>
  <c r="H595" i="20"/>
  <c r="K594" i="20"/>
  <c r="L594" i="20"/>
  <c r="M595" i="20"/>
  <c r="H596" i="20"/>
  <c r="K595" i="20"/>
  <c r="L595" i="20"/>
  <c r="M596" i="20"/>
  <c r="H597" i="20"/>
  <c r="K596" i="20"/>
  <c r="L596" i="20"/>
  <c r="M597" i="20"/>
  <c r="H598" i="20"/>
  <c r="K597" i="20"/>
  <c r="L597" i="20"/>
  <c r="M598" i="20"/>
  <c r="H599" i="20"/>
  <c r="K598" i="20"/>
  <c r="L598" i="20"/>
  <c r="M599" i="20"/>
  <c r="H600" i="20"/>
  <c r="K599" i="20"/>
  <c r="L599" i="20"/>
  <c r="M600" i="20"/>
  <c r="H601" i="20"/>
  <c r="K600" i="20"/>
  <c r="L600" i="20"/>
  <c r="M601" i="20"/>
  <c r="H602" i="20"/>
  <c r="K601" i="20"/>
  <c r="L601" i="20"/>
  <c r="M602" i="20"/>
  <c r="H603" i="20"/>
  <c r="K602" i="20"/>
  <c r="L602" i="20"/>
  <c r="M603" i="20"/>
  <c r="H604" i="20"/>
  <c r="K603" i="20"/>
  <c r="L603" i="20"/>
  <c r="M604" i="20"/>
  <c r="H605" i="20"/>
  <c r="K604" i="20"/>
  <c r="L604" i="20"/>
  <c r="M605" i="20"/>
  <c r="H606" i="20"/>
  <c r="K605" i="20"/>
  <c r="L605" i="20"/>
  <c r="M606" i="20"/>
  <c r="H607" i="20"/>
  <c r="K606" i="20"/>
  <c r="L606" i="20"/>
  <c r="M607" i="20"/>
  <c r="H608" i="20"/>
  <c r="K607" i="20"/>
  <c r="L607" i="20"/>
  <c r="M608" i="20"/>
  <c r="H609" i="20"/>
  <c r="K608" i="20"/>
  <c r="L608" i="20"/>
  <c r="M609" i="20"/>
  <c r="H610" i="20"/>
  <c r="K609" i="20"/>
  <c r="L609" i="20"/>
  <c r="M610" i="20"/>
  <c r="H611" i="20"/>
  <c r="K610" i="20"/>
  <c r="L610" i="20"/>
  <c r="M611" i="20"/>
  <c r="H612" i="20"/>
  <c r="K611" i="20"/>
  <c r="L611" i="20"/>
  <c r="M612" i="20"/>
  <c r="H613" i="20"/>
  <c r="K612" i="20"/>
  <c r="L612" i="20"/>
  <c r="M613" i="20"/>
  <c r="H614" i="20"/>
  <c r="K613" i="20"/>
  <c r="L613" i="20"/>
  <c r="M614" i="20"/>
  <c r="H615" i="20"/>
  <c r="K614" i="20"/>
  <c r="L614" i="20"/>
  <c r="M615" i="20"/>
  <c r="H616" i="20"/>
  <c r="K615" i="20"/>
  <c r="L615" i="20"/>
  <c r="M616" i="20"/>
  <c r="H617" i="20"/>
  <c r="K616" i="20"/>
  <c r="L616" i="20"/>
  <c r="M617" i="20"/>
  <c r="H618" i="20"/>
  <c r="K617" i="20"/>
  <c r="L617" i="20"/>
  <c r="M618" i="20"/>
  <c r="H619" i="20"/>
  <c r="K618" i="20"/>
  <c r="L618" i="20"/>
  <c r="M619" i="20"/>
  <c r="H620" i="20"/>
  <c r="K619" i="20"/>
  <c r="L619" i="20"/>
  <c r="M620" i="20"/>
  <c r="H621" i="20"/>
  <c r="K620" i="20"/>
  <c r="L620" i="20"/>
  <c r="M621" i="20"/>
  <c r="H622" i="20"/>
  <c r="K621" i="20"/>
  <c r="L621" i="20"/>
  <c r="M622" i="20"/>
  <c r="H623" i="20"/>
  <c r="K622" i="20"/>
  <c r="L622" i="20"/>
  <c r="M623" i="20"/>
  <c r="H624" i="20"/>
  <c r="K623" i="20"/>
  <c r="L623" i="20"/>
  <c r="M624" i="20"/>
  <c r="H625" i="20"/>
  <c r="K624" i="20"/>
  <c r="L624" i="20"/>
  <c r="M625" i="20"/>
  <c r="H626" i="20"/>
  <c r="K625" i="20"/>
  <c r="L625" i="20"/>
  <c r="M626" i="20"/>
  <c r="H627" i="20"/>
  <c r="K626" i="20"/>
  <c r="L626" i="20"/>
  <c r="M627" i="20"/>
  <c r="H628" i="20"/>
  <c r="K627" i="20"/>
  <c r="L627" i="20"/>
  <c r="M628" i="20"/>
  <c r="H629" i="20"/>
  <c r="K628" i="20"/>
  <c r="L628" i="20"/>
  <c r="M629" i="20"/>
  <c r="H630" i="20"/>
  <c r="K629" i="20"/>
  <c r="L629" i="20"/>
  <c r="M630" i="20"/>
  <c r="H631" i="20"/>
  <c r="K630" i="20"/>
  <c r="L630" i="20"/>
  <c r="M631" i="20"/>
  <c r="H632" i="20"/>
  <c r="K631" i="20"/>
  <c r="L631" i="20"/>
  <c r="M632" i="20"/>
  <c r="H633" i="20"/>
  <c r="K632" i="20"/>
  <c r="L632" i="20"/>
  <c r="M633" i="20"/>
  <c r="H634" i="20"/>
  <c r="K633" i="20"/>
  <c r="L633" i="20"/>
  <c r="M634" i="20"/>
  <c r="H635" i="20"/>
  <c r="K634" i="20"/>
  <c r="L634" i="20"/>
  <c r="M635" i="20"/>
  <c r="H636" i="20"/>
  <c r="K635" i="20"/>
  <c r="L635" i="20"/>
  <c r="M636" i="20"/>
  <c r="H637" i="20"/>
  <c r="K636" i="20"/>
  <c r="L636" i="20"/>
  <c r="M637" i="20"/>
  <c r="H638" i="20"/>
  <c r="K637" i="20"/>
  <c r="L637" i="20"/>
  <c r="M638" i="20"/>
  <c r="H639" i="20"/>
  <c r="K638" i="20"/>
  <c r="L638" i="20"/>
  <c r="M639" i="20"/>
  <c r="H640" i="20"/>
  <c r="K639" i="20"/>
  <c r="L639" i="20"/>
  <c r="M640" i="20"/>
  <c r="H641" i="20"/>
  <c r="K640" i="20"/>
  <c r="L640" i="20"/>
  <c r="M641" i="20"/>
  <c r="H642" i="20"/>
  <c r="K641" i="20"/>
  <c r="L641" i="20"/>
  <c r="M642" i="20"/>
  <c r="H643" i="20"/>
  <c r="K642" i="20"/>
  <c r="L642" i="20"/>
  <c r="M643" i="20"/>
  <c r="H644" i="20"/>
  <c r="K643" i="20"/>
  <c r="L643" i="20"/>
  <c r="M644" i="20"/>
  <c r="H645" i="20"/>
  <c r="K644" i="20"/>
  <c r="L644" i="20"/>
  <c r="M645" i="20"/>
  <c r="H646" i="20"/>
  <c r="K645" i="20"/>
  <c r="L645" i="20"/>
  <c r="M646" i="20"/>
  <c r="H647" i="20"/>
  <c r="K646" i="20"/>
  <c r="L646" i="20"/>
  <c r="M647" i="20"/>
  <c r="H648" i="20"/>
  <c r="K647" i="20"/>
  <c r="L647" i="20"/>
  <c r="M648" i="20"/>
  <c r="H649" i="20"/>
  <c r="K648" i="20"/>
  <c r="L648" i="20"/>
  <c r="M649" i="20"/>
  <c r="H650" i="20"/>
  <c r="K649" i="20"/>
  <c r="L649" i="20"/>
  <c r="M650" i="20"/>
  <c r="H651" i="20"/>
  <c r="K650" i="20"/>
  <c r="L650" i="20"/>
  <c r="M651" i="20"/>
  <c r="H652" i="20"/>
  <c r="K651" i="20"/>
  <c r="L651" i="20"/>
  <c r="M652" i="20"/>
  <c r="H653" i="20"/>
  <c r="K652" i="20"/>
  <c r="L652" i="20"/>
  <c r="M653" i="20"/>
  <c r="H654" i="20"/>
  <c r="K653" i="20"/>
  <c r="L653" i="20"/>
  <c r="M654" i="20"/>
  <c r="H655" i="20"/>
  <c r="K654" i="20"/>
  <c r="L654" i="20"/>
  <c r="M655" i="20"/>
  <c r="H656" i="20"/>
  <c r="K655" i="20"/>
  <c r="L655" i="20"/>
  <c r="M656" i="20"/>
  <c r="H657" i="20"/>
  <c r="K656" i="20"/>
  <c r="L656" i="20"/>
  <c r="M657" i="20"/>
  <c r="H658" i="20"/>
  <c r="K657" i="20"/>
  <c r="L657" i="20"/>
  <c r="M658" i="20"/>
  <c r="H659" i="20"/>
  <c r="K658" i="20"/>
  <c r="L658" i="20"/>
  <c r="M659" i="20"/>
  <c r="H660" i="20"/>
  <c r="K659" i="20"/>
  <c r="L659" i="20"/>
  <c r="M660" i="20"/>
  <c r="H661" i="20"/>
  <c r="K660" i="20"/>
  <c r="L660" i="20"/>
  <c r="M661" i="20"/>
  <c r="H662" i="20"/>
  <c r="K661" i="20"/>
  <c r="L661" i="20"/>
  <c r="M662" i="20"/>
  <c r="H663" i="20"/>
  <c r="K662" i="20"/>
  <c r="L662" i="20"/>
  <c r="M663" i="20"/>
  <c r="H664" i="20"/>
  <c r="K663" i="20"/>
  <c r="L663" i="20"/>
  <c r="M664" i="20"/>
  <c r="H665" i="20"/>
  <c r="K664" i="20"/>
  <c r="L664" i="20"/>
  <c r="M665" i="20"/>
  <c r="H666" i="20"/>
  <c r="K665" i="20"/>
  <c r="L665" i="20"/>
  <c r="M666" i="20"/>
  <c r="H667" i="20"/>
  <c r="K666" i="20"/>
  <c r="L666" i="20"/>
  <c r="M667" i="20"/>
  <c r="H668" i="20"/>
  <c r="K667" i="20"/>
  <c r="L667" i="20"/>
  <c r="M668" i="20"/>
  <c r="H669" i="20"/>
  <c r="K668" i="20"/>
  <c r="L668" i="20"/>
  <c r="M669" i="20"/>
  <c r="H670" i="20"/>
  <c r="K669" i="20"/>
  <c r="L669" i="20"/>
  <c r="M670" i="20"/>
  <c r="H671" i="20"/>
  <c r="K670" i="20"/>
  <c r="L670" i="20"/>
  <c r="M671" i="20"/>
  <c r="H672" i="20"/>
  <c r="K671" i="20"/>
  <c r="L671" i="20"/>
  <c r="M672" i="20"/>
  <c r="H673" i="20"/>
  <c r="K672" i="20"/>
  <c r="L672" i="20"/>
  <c r="M673" i="20"/>
  <c r="H674" i="20"/>
  <c r="K673" i="20"/>
  <c r="L673" i="20"/>
  <c r="M674" i="20"/>
  <c r="H675" i="20"/>
  <c r="K674" i="20"/>
  <c r="L674" i="20"/>
  <c r="M675" i="20"/>
  <c r="H676" i="20"/>
  <c r="K675" i="20"/>
  <c r="L675" i="20"/>
  <c r="M676" i="20"/>
  <c r="H677" i="20"/>
  <c r="K676" i="20"/>
  <c r="L676" i="20"/>
  <c r="M677" i="20"/>
  <c r="H678" i="20"/>
  <c r="K677" i="20"/>
  <c r="L677" i="20"/>
  <c r="M678" i="20"/>
  <c r="H679" i="20"/>
  <c r="K678" i="20"/>
  <c r="L678" i="20"/>
  <c r="M679" i="20"/>
  <c r="H680" i="20"/>
  <c r="K679" i="20"/>
  <c r="L679" i="20"/>
  <c r="M680" i="20"/>
  <c r="H681" i="20"/>
  <c r="K680" i="20"/>
  <c r="L680" i="20"/>
  <c r="M681" i="20"/>
  <c r="H682" i="20"/>
  <c r="K681" i="20"/>
  <c r="L681" i="20"/>
  <c r="M682" i="20"/>
  <c r="H683" i="20"/>
  <c r="K682" i="20"/>
  <c r="L682" i="20"/>
  <c r="M683" i="20"/>
  <c r="H684" i="20"/>
  <c r="K683" i="20"/>
  <c r="L683" i="20"/>
  <c r="M684" i="20"/>
  <c r="H685" i="20"/>
  <c r="K684" i="20"/>
  <c r="L684" i="20"/>
  <c r="M685" i="20"/>
  <c r="H686" i="20"/>
  <c r="K685" i="20"/>
  <c r="L685" i="20"/>
  <c r="M686" i="20"/>
  <c r="H687" i="20"/>
  <c r="K686" i="20"/>
  <c r="L686" i="20"/>
  <c r="M687" i="20"/>
  <c r="H688" i="20"/>
  <c r="K687" i="20"/>
  <c r="L687" i="20"/>
  <c r="M688" i="20"/>
  <c r="H689" i="20"/>
  <c r="K688" i="20"/>
  <c r="L688" i="20"/>
  <c r="M689" i="20"/>
  <c r="H690" i="20"/>
  <c r="K689" i="20"/>
  <c r="L689" i="20"/>
  <c r="M690" i="20"/>
  <c r="H691" i="20"/>
  <c r="K690" i="20"/>
  <c r="L690" i="20"/>
  <c r="M691" i="20"/>
  <c r="H692" i="20"/>
  <c r="K691" i="20"/>
  <c r="L691" i="20"/>
  <c r="M692" i="20"/>
  <c r="H693" i="20"/>
  <c r="K692" i="20"/>
  <c r="L692" i="20"/>
  <c r="M693" i="20"/>
  <c r="H694" i="20"/>
  <c r="K693" i="20"/>
  <c r="L693" i="20"/>
  <c r="M694" i="20"/>
  <c r="H695" i="20"/>
  <c r="K694" i="20"/>
  <c r="L694" i="20"/>
  <c r="M695" i="20"/>
  <c r="H696" i="20"/>
  <c r="K695" i="20"/>
  <c r="L695" i="20"/>
  <c r="M696" i="20"/>
  <c r="H697" i="20"/>
  <c r="K696" i="20"/>
  <c r="L696" i="20"/>
  <c r="M697" i="20"/>
  <c r="H698" i="20"/>
  <c r="K697" i="20"/>
  <c r="L697" i="20"/>
  <c r="M698" i="20"/>
  <c r="H699" i="20"/>
  <c r="K698" i="20"/>
  <c r="L698" i="20"/>
  <c r="M699" i="20"/>
  <c r="H700" i="20"/>
  <c r="K699" i="20"/>
  <c r="L699" i="20"/>
  <c r="M700" i="20"/>
  <c r="H701" i="20"/>
  <c r="K700" i="20"/>
  <c r="L700" i="20"/>
  <c r="M701" i="20"/>
  <c r="H702" i="20"/>
  <c r="K701" i="20"/>
  <c r="L701" i="20"/>
  <c r="M702" i="20"/>
  <c r="H703" i="20"/>
  <c r="K702" i="20"/>
  <c r="L702" i="20"/>
  <c r="M703" i="20"/>
  <c r="H704" i="20"/>
  <c r="K703" i="20"/>
  <c r="L703" i="20"/>
  <c r="M704" i="20"/>
  <c r="H705" i="20"/>
  <c r="K704" i="20"/>
  <c r="L704" i="20"/>
  <c r="M705" i="20"/>
  <c r="H706" i="20"/>
  <c r="K705" i="20"/>
  <c r="L705" i="20"/>
  <c r="M706" i="20"/>
  <c r="H707" i="20"/>
  <c r="K706" i="20"/>
  <c r="L706" i="20"/>
  <c r="M707" i="20"/>
  <c r="H708" i="20"/>
  <c r="K707" i="20"/>
  <c r="L707" i="20"/>
  <c r="M708" i="20"/>
  <c r="H709" i="20"/>
  <c r="K708" i="20"/>
  <c r="L708" i="20"/>
  <c r="M709" i="20"/>
  <c r="H710" i="20"/>
  <c r="K709" i="20"/>
  <c r="L709" i="20"/>
  <c r="M710" i="20"/>
  <c r="H711" i="20"/>
  <c r="K710" i="20"/>
  <c r="L710" i="20"/>
  <c r="M711" i="20"/>
  <c r="H712" i="20"/>
  <c r="K711" i="20"/>
  <c r="L711" i="20"/>
  <c r="M712" i="20"/>
  <c r="H713" i="20"/>
  <c r="K712" i="20"/>
  <c r="L712" i="20"/>
  <c r="M713" i="20"/>
  <c r="H714" i="20"/>
  <c r="K713" i="20"/>
  <c r="L713" i="20"/>
  <c r="M714" i="20"/>
  <c r="H715" i="20"/>
  <c r="K714" i="20"/>
  <c r="L714" i="20"/>
  <c r="M715" i="20"/>
  <c r="H716" i="20"/>
  <c r="K715" i="20"/>
  <c r="L715" i="20"/>
  <c r="M716" i="20"/>
  <c r="H717" i="20"/>
  <c r="K716" i="20"/>
  <c r="L716" i="20"/>
  <c r="M717" i="20"/>
  <c r="H718" i="20"/>
  <c r="K717" i="20"/>
  <c r="L717" i="20"/>
  <c r="M718" i="20"/>
  <c r="H719" i="20"/>
  <c r="K718" i="20"/>
  <c r="L718" i="20"/>
  <c r="M719" i="20"/>
  <c r="H720" i="20"/>
  <c r="K719" i="20"/>
  <c r="L719" i="20"/>
  <c r="M720" i="20"/>
  <c r="H721" i="20"/>
  <c r="K720" i="20"/>
  <c r="L720" i="20"/>
  <c r="M721" i="20"/>
  <c r="H722" i="20"/>
  <c r="K721" i="20"/>
  <c r="L721" i="20"/>
  <c r="M722" i="20"/>
  <c r="H723" i="20"/>
  <c r="K722" i="20"/>
  <c r="L722" i="20"/>
  <c r="M723" i="20"/>
  <c r="H724" i="20"/>
  <c r="K723" i="20"/>
  <c r="L723" i="20"/>
  <c r="M724" i="20"/>
  <c r="H725" i="20"/>
  <c r="K724" i="20"/>
  <c r="L724" i="20"/>
  <c r="M725" i="20"/>
  <c r="H726" i="20"/>
  <c r="K725" i="20"/>
  <c r="L725" i="20"/>
  <c r="M726" i="20"/>
  <c r="H727" i="20"/>
  <c r="K726" i="20"/>
  <c r="L726" i="20"/>
  <c r="M727" i="20"/>
  <c r="H728" i="20"/>
  <c r="K727" i="20"/>
  <c r="L727" i="20"/>
  <c r="M728" i="20"/>
  <c r="H729" i="20"/>
  <c r="K728" i="20"/>
  <c r="L728" i="20"/>
  <c r="M729" i="20"/>
  <c r="H730" i="20"/>
  <c r="K729" i="20"/>
  <c r="L729" i="20"/>
  <c r="M730" i="20"/>
  <c r="H731" i="20"/>
  <c r="K730" i="20"/>
  <c r="L730" i="20"/>
  <c r="M731" i="20"/>
  <c r="H732" i="20"/>
  <c r="K731" i="20"/>
  <c r="L731" i="20"/>
  <c r="M732" i="20"/>
  <c r="H733" i="20"/>
  <c r="K732" i="20"/>
  <c r="L732" i="20"/>
  <c r="M733" i="20"/>
  <c r="H734" i="20"/>
  <c r="K733" i="20"/>
  <c r="L733" i="20"/>
  <c r="M734" i="20"/>
  <c r="H735" i="20"/>
  <c r="K734" i="20"/>
  <c r="L734" i="20"/>
  <c r="M735" i="20"/>
  <c r="H736" i="20"/>
  <c r="K735" i="20"/>
  <c r="L735" i="20"/>
  <c r="M736" i="20"/>
  <c r="H737" i="20"/>
  <c r="K736" i="20"/>
  <c r="L736" i="20"/>
  <c r="M737" i="20"/>
  <c r="H738" i="20"/>
  <c r="K737" i="20"/>
  <c r="L737" i="20"/>
  <c r="M738" i="20"/>
  <c r="H739" i="20"/>
  <c r="K738" i="20"/>
  <c r="L738" i="20"/>
  <c r="M739" i="20"/>
  <c r="H740" i="20"/>
  <c r="K739" i="20"/>
  <c r="L739" i="20"/>
  <c r="M740" i="20"/>
  <c r="H741" i="20"/>
  <c r="K740" i="20"/>
  <c r="L740" i="20"/>
  <c r="M741" i="20"/>
  <c r="H742" i="20"/>
  <c r="K741" i="20"/>
  <c r="L741" i="20"/>
  <c r="M742" i="20"/>
  <c r="H743" i="20"/>
  <c r="K742" i="20"/>
  <c r="L742" i="20"/>
  <c r="M743" i="20"/>
  <c r="H744" i="20"/>
  <c r="K743" i="20"/>
  <c r="L743" i="20"/>
  <c r="M744" i="20"/>
  <c r="H745" i="20"/>
  <c r="K744" i="20"/>
  <c r="L744" i="20"/>
  <c r="M745" i="20"/>
  <c r="H746" i="20"/>
  <c r="K745" i="20"/>
  <c r="L745" i="20"/>
  <c r="M746" i="20"/>
  <c r="H747" i="20"/>
  <c r="K746" i="20"/>
  <c r="L746" i="20"/>
  <c r="M747" i="20"/>
  <c r="H748" i="20"/>
  <c r="K747" i="20"/>
  <c r="L747" i="20"/>
  <c r="M748" i="20"/>
  <c r="H749" i="20"/>
  <c r="K748" i="20"/>
  <c r="L748" i="20"/>
  <c r="M749" i="20"/>
  <c r="H750" i="20"/>
  <c r="K749" i="20"/>
  <c r="L749" i="20"/>
  <c r="M750" i="20"/>
  <c r="H751" i="20"/>
  <c r="K750" i="20"/>
  <c r="L750" i="20"/>
  <c r="M751" i="20"/>
  <c r="H752" i="20"/>
  <c r="K751" i="20"/>
  <c r="L751" i="20"/>
  <c r="M752" i="20"/>
  <c r="H753" i="20"/>
  <c r="K752" i="20"/>
  <c r="L752" i="20"/>
  <c r="M753" i="20"/>
  <c r="H754" i="20"/>
  <c r="K753" i="20"/>
  <c r="L753" i="20"/>
  <c r="M754" i="20"/>
  <c r="H755" i="20"/>
  <c r="K754" i="20"/>
  <c r="L754" i="20"/>
  <c r="M755" i="20"/>
  <c r="H756" i="20"/>
  <c r="K755" i="20"/>
  <c r="L755" i="20"/>
  <c r="M756" i="20"/>
  <c r="H757" i="20"/>
  <c r="K756" i="20"/>
  <c r="L756" i="20"/>
  <c r="M757" i="20"/>
  <c r="H758" i="20"/>
  <c r="K757" i="20"/>
  <c r="L757" i="20"/>
  <c r="M758" i="20"/>
  <c r="H759" i="20"/>
  <c r="K758" i="20"/>
  <c r="L758" i="20"/>
  <c r="M759" i="20"/>
  <c r="H760" i="20"/>
  <c r="K759" i="20"/>
  <c r="L759" i="20"/>
  <c r="M760" i="20"/>
  <c r="H761" i="20"/>
  <c r="K760" i="20"/>
  <c r="L760" i="20"/>
  <c r="M761" i="20"/>
  <c r="H762" i="20"/>
  <c r="K761" i="20"/>
  <c r="L761" i="20"/>
  <c r="M762" i="20"/>
  <c r="H763" i="20"/>
  <c r="K762" i="20"/>
  <c r="L762" i="20"/>
  <c r="M763" i="20"/>
  <c r="H764" i="20"/>
  <c r="K763" i="20"/>
  <c r="L763" i="20"/>
  <c r="M764" i="20"/>
  <c r="H765" i="20"/>
  <c r="K764" i="20"/>
  <c r="L764" i="20"/>
  <c r="M765" i="20"/>
  <c r="H766" i="20"/>
  <c r="K765" i="20"/>
  <c r="L765" i="20"/>
  <c r="M766" i="20"/>
  <c r="H767" i="20"/>
  <c r="K766" i="20"/>
  <c r="L766" i="20"/>
  <c r="M767" i="20"/>
  <c r="H768" i="20"/>
  <c r="K767" i="20"/>
  <c r="L767" i="20"/>
  <c r="M768" i="20"/>
  <c r="H769" i="20"/>
  <c r="K768" i="20"/>
  <c r="L768" i="20"/>
  <c r="M769" i="20"/>
  <c r="H770" i="20"/>
  <c r="K769" i="20"/>
  <c r="L769" i="20"/>
  <c r="M770" i="20"/>
  <c r="H771" i="20"/>
  <c r="K770" i="20"/>
  <c r="L770" i="20"/>
  <c r="M771" i="20"/>
  <c r="H772" i="20"/>
  <c r="K771" i="20"/>
  <c r="L771" i="20"/>
  <c r="M772" i="20"/>
  <c r="H773" i="20"/>
  <c r="K772" i="20"/>
  <c r="L772" i="20"/>
  <c r="M773" i="20"/>
  <c r="H774" i="20"/>
  <c r="K773" i="20"/>
  <c r="L773" i="20"/>
  <c r="M774" i="20"/>
  <c r="H775" i="20"/>
  <c r="K774" i="20"/>
  <c r="L774" i="20"/>
  <c r="M775" i="20"/>
  <c r="H776" i="20"/>
  <c r="K775" i="20"/>
  <c r="L775" i="20"/>
  <c r="M776" i="20"/>
  <c r="H777" i="20"/>
  <c r="K776" i="20"/>
  <c r="L776" i="20"/>
  <c r="M777" i="20"/>
  <c r="H778" i="20"/>
  <c r="K777" i="20"/>
  <c r="L777" i="20"/>
  <c r="M778" i="20"/>
  <c r="H779" i="20"/>
  <c r="K778" i="20"/>
  <c r="L778" i="20"/>
  <c r="M779" i="20"/>
  <c r="H780" i="20"/>
  <c r="K779" i="20"/>
  <c r="L779" i="20"/>
  <c r="M780" i="20"/>
  <c r="H781" i="20"/>
  <c r="K780" i="20"/>
  <c r="L780" i="20"/>
  <c r="M781" i="20"/>
  <c r="H782" i="20"/>
  <c r="K781" i="20"/>
  <c r="L781" i="20"/>
  <c r="M782" i="20"/>
  <c r="H783" i="20"/>
  <c r="K782" i="20"/>
  <c r="L782" i="20"/>
  <c r="M783" i="20"/>
  <c r="H784" i="20"/>
  <c r="K783" i="20"/>
  <c r="L783" i="20"/>
  <c r="M784" i="20"/>
  <c r="H785" i="20"/>
  <c r="K784" i="20"/>
  <c r="L784" i="20"/>
  <c r="M785" i="20"/>
  <c r="H786" i="20"/>
  <c r="K785" i="20"/>
  <c r="L785" i="20"/>
  <c r="M786" i="20"/>
  <c r="H787" i="20"/>
  <c r="K786" i="20"/>
  <c r="L786" i="20"/>
  <c r="M787" i="20"/>
  <c r="H788" i="20"/>
  <c r="K787" i="20"/>
  <c r="L787" i="20"/>
  <c r="M788" i="20"/>
  <c r="H789" i="20"/>
  <c r="K788" i="20"/>
  <c r="L788" i="20"/>
  <c r="M789" i="20"/>
  <c r="H790" i="20"/>
  <c r="K789" i="20"/>
  <c r="L789" i="20"/>
  <c r="M790" i="20"/>
  <c r="H791" i="20"/>
  <c r="K790" i="20"/>
  <c r="L790" i="20"/>
  <c r="M791" i="20"/>
  <c r="H792" i="20"/>
  <c r="K791" i="20"/>
  <c r="L791" i="20"/>
  <c r="M792" i="20"/>
  <c r="H793" i="20"/>
  <c r="K792" i="20"/>
  <c r="L792" i="20"/>
  <c r="M793" i="20"/>
  <c r="H794" i="20"/>
  <c r="K793" i="20"/>
  <c r="L793" i="20"/>
  <c r="M794" i="20"/>
  <c r="H795" i="20"/>
  <c r="K794" i="20"/>
  <c r="L794" i="20"/>
  <c r="M795" i="20"/>
  <c r="H796" i="20"/>
  <c r="K795" i="20"/>
  <c r="L795" i="20"/>
  <c r="M796" i="20"/>
  <c r="H797" i="20"/>
  <c r="K796" i="20"/>
  <c r="L796" i="20"/>
  <c r="M797" i="20"/>
  <c r="H798" i="20"/>
  <c r="K797" i="20"/>
  <c r="L797" i="20"/>
  <c r="M798" i="20"/>
  <c r="H799" i="20"/>
  <c r="K798" i="20"/>
  <c r="L798" i="20"/>
  <c r="M799" i="20"/>
  <c r="H800" i="20"/>
  <c r="K799" i="20"/>
  <c r="L799" i="20"/>
  <c r="M800" i="20"/>
  <c r="H801" i="20"/>
  <c r="K800" i="20"/>
  <c r="L800" i="20"/>
  <c r="M801" i="20"/>
  <c r="H802" i="20"/>
  <c r="K801" i="20"/>
  <c r="L801" i="20"/>
  <c r="M802" i="20"/>
  <c r="H803" i="20"/>
  <c r="K802" i="20"/>
  <c r="L802" i="20"/>
  <c r="M803" i="20"/>
  <c r="H804" i="20"/>
  <c r="K803" i="20"/>
  <c r="L803" i="20"/>
  <c r="M804" i="20"/>
  <c r="H805" i="20"/>
  <c r="K804" i="20"/>
  <c r="L804" i="20"/>
  <c r="M805" i="20"/>
  <c r="H806" i="20"/>
  <c r="K805" i="20"/>
  <c r="L805" i="20"/>
  <c r="M806" i="20"/>
  <c r="H807" i="20"/>
  <c r="K806" i="20"/>
  <c r="L806" i="20"/>
  <c r="M807" i="20"/>
  <c r="H808" i="20"/>
  <c r="K807" i="20"/>
  <c r="L807" i="20"/>
  <c r="M808" i="20"/>
  <c r="H809" i="20"/>
  <c r="K808" i="20"/>
  <c r="L808" i="20"/>
  <c r="M809" i="20"/>
  <c r="H810" i="20"/>
  <c r="K809" i="20"/>
  <c r="L809" i="20"/>
  <c r="M810" i="20"/>
  <c r="H811" i="20"/>
  <c r="K810" i="20"/>
  <c r="L810" i="20"/>
  <c r="M811" i="20"/>
  <c r="H812" i="20"/>
  <c r="K811" i="20"/>
  <c r="L811" i="20"/>
  <c r="M812" i="20"/>
  <c r="H813" i="20"/>
  <c r="K812" i="20"/>
  <c r="L812" i="20"/>
  <c r="M813" i="20"/>
  <c r="H814" i="20"/>
  <c r="K813" i="20"/>
  <c r="L813" i="20"/>
  <c r="M814" i="20"/>
  <c r="H815" i="20"/>
  <c r="K814" i="20"/>
  <c r="L814" i="20"/>
  <c r="M815" i="20"/>
  <c r="H816" i="20"/>
  <c r="K815" i="20"/>
  <c r="L815" i="20"/>
  <c r="M816" i="20"/>
  <c r="H817" i="20"/>
  <c r="K816" i="20"/>
  <c r="L816" i="20"/>
  <c r="M817" i="20"/>
  <c r="H818" i="20"/>
  <c r="K817" i="20"/>
  <c r="L817" i="20"/>
  <c r="M818" i="20"/>
  <c r="H819" i="20"/>
  <c r="K818" i="20"/>
  <c r="L818" i="20"/>
  <c r="M819" i="20"/>
  <c r="H820" i="20"/>
  <c r="K819" i="20"/>
  <c r="L819" i="20"/>
  <c r="M820" i="20"/>
  <c r="H821" i="20"/>
  <c r="K820" i="20"/>
  <c r="L820" i="20"/>
  <c r="M821" i="20"/>
  <c r="H822" i="20"/>
  <c r="K821" i="20"/>
  <c r="L821" i="20"/>
  <c r="M822" i="20"/>
  <c r="H823" i="20"/>
  <c r="K822" i="20"/>
  <c r="L822" i="20"/>
  <c r="M823" i="20"/>
  <c r="H824" i="20"/>
  <c r="K823" i="20"/>
  <c r="L823" i="20"/>
  <c r="M824" i="20"/>
  <c r="H825" i="20"/>
  <c r="K824" i="20"/>
  <c r="L824" i="20"/>
  <c r="M825" i="20"/>
  <c r="H826" i="20"/>
  <c r="K825" i="20"/>
  <c r="L825" i="20"/>
  <c r="M826" i="20"/>
  <c r="H827" i="20"/>
  <c r="K826" i="20"/>
  <c r="L826" i="20"/>
  <c r="M827" i="20"/>
  <c r="H828" i="20"/>
  <c r="K827" i="20"/>
  <c r="L827" i="20"/>
  <c r="M828" i="20"/>
  <c r="H829" i="20"/>
  <c r="K828" i="20"/>
  <c r="L828" i="20"/>
  <c r="M829" i="20"/>
  <c r="H830" i="20"/>
  <c r="K829" i="20"/>
  <c r="L829" i="20"/>
  <c r="M830" i="20"/>
  <c r="H831" i="20"/>
  <c r="K830" i="20"/>
  <c r="L830" i="20"/>
  <c r="M831" i="20"/>
  <c r="H832" i="20"/>
  <c r="K831" i="20"/>
  <c r="L831" i="20"/>
  <c r="M832" i="20"/>
  <c r="H833" i="20"/>
  <c r="K832" i="20"/>
  <c r="L832" i="20"/>
  <c r="M833" i="20"/>
  <c r="H834" i="20"/>
  <c r="K833" i="20"/>
  <c r="L833" i="20"/>
  <c r="M834" i="20"/>
  <c r="H835" i="20"/>
  <c r="K834" i="20"/>
  <c r="L834" i="20"/>
  <c r="M835" i="20"/>
  <c r="H836" i="20"/>
  <c r="K835" i="20"/>
  <c r="L835" i="20"/>
  <c r="M836" i="20"/>
  <c r="H837" i="20"/>
  <c r="K836" i="20"/>
  <c r="L836" i="20"/>
  <c r="M837" i="20"/>
  <c r="H838" i="20"/>
  <c r="K837" i="20"/>
  <c r="L837" i="20"/>
  <c r="M838" i="20"/>
  <c r="H839" i="20"/>
  <c r="K838" i="20"/>
  <c r="L838" i="20"/>
  <c r="M839" i="20"/>
  <c r="H840" i="20"/>
  <c r="K839" i="20"/>
  <c r="L839" i="20"/>
  <c r="M840" i="20"/>
  <c r="H841" i="20"/>
  <c r="K840" i="20"/>
  <c r="L840" i="20"/>
  <c r="M841" i="20"/>
  <c r="H842" i="20"/>
  <c r="K841" i="20"/>
  <c r="L841" i="20"/>
  <c r="M842" i="20"/>
  <c r="H843" i="20"/>
  <c r="K842" i="20"/>
  <c r="L842" i="20"/>
  <c r="M843" i="20"/>
  <c r="H844" i="20"/>
  <c r="K843" i="20"/>
  <c r="L843" i="20"/>
  <c r="M844" i="20"/>
  <c r="H845" i="20"/>
  <c r="K844" i="20"/>
  <c r="L844" i="20"/>
  <c r="M845" i="20"/>
  <c r="H846" i="20"/>
  <c r="K845" i="20"/>
  <c r="L845" i="20"/>
  <c r="M846" i="20"/>
  <c r="H847" i="20"/>
  <c r="K846" i="20"/>
  <c r="L846" i="20"/>
  <c r="M847" i="20"/>
  <c r="H848" i="20"/>
  <c r="K847" i="20"/>
  <c r="L847" i="20"/>
  <c r="M848" i="20"/>
  <c r="H849" i="20"/>
  <c r="K848" i="20"/>
  <c r="L848" i="20"/>
  <c r="M849" i="20"/>
  <c r="H850" i="20"/>
  <c r="K849" i="20"/>
  <c r="L849" i="20"/>
  <c r="M850" i="20"/>
  <c r="H851" i="20"/>
  <c r="K850" i="20"/>
  <c r="L850" i="20"/>
  <c r="M851" i="20"/>
  <c r="H852" i="20"/>
  <c r="K851" i="20"/>
  <c r="L851" i="20"/>
  <c r="M852" i="20"/>
  <c r="H853" i="20"/>
  <c r="K852" i="20"/>
  <c r="L852" i="20"/>
  <c r="M853" i="20"/>
  <c r="H854" i="20"/>
  <c r="K853" i="20"/>
  <c r="L853" i="20"/>
  <c r="M854" i="20"/>
  <c r="H855" i="20"/>
  <c r="K854" i="20"/>
  <c r="L854" i="20"/>
  <c r="M855" i="20"/>
  <c r="H856" i="20"/>
  <c r="K855" i="20"/>
  <c r="L855" i="20"/>
  <c r="M856" i="20"/>
  <c r="H857" i="20"/>
  <c r="K856" i="20"/>
  <c r="L856" i="20"/>
  <c r="M857" i="20"/>
  <c r="H858" i="20"/>
  <c r="K857" i="20"/>
  <c r="L857" i="20"/>
  <c r="M858" i="20"/>
  <c r="H859" i="20"/>
  <c r="K858" i="20"/>
  <c r="L858" i="20"/>
  <c r="M859" i="20"/>
  <c r="H860" i="20"/>
  <c r="K859" i="20"/>
  <c r="L859" i="20"/>
  <c r="M860" i="20"/>
  <c r="H861" i="20"/>
  <c r="K860" i="20"/>
  <c r="L860" i="20"/>
  <c r="M861" i="20"/>
  <c r="H862" i="20"/>
  <c r="K861" i="20"/>
  <c r="L861" i="20"/>
  <c r="M862" i="20"/>
  <c r="H863" i="20"/>
  <c r="K862" i="20"/>
  <c r="L862" i="20"/>
  <c r="M863" i="20"/>
  <c r="H864" i="20"/>
  <c r="K863" i="20"/>
  <c r="L863" i="20"/>
  <c r="M864" i="20"/>
  <c r="H865" i="20"/>
  <c r="K864" i="20"/>
  <c r="L864" i="20"/>
  <c r="M865" i="20"/>
  <c r="H866" i="20"/>
  <c r="K865" i="20"/>
  <c r="L865" i="20"/>
  <c r="M866" i="20"/>
  <c r="H867" i="20"/>
  <c r="K866" i="20"/>
  <c r="L866" i="20"/>
  <c r="M867" i="20"/>
  <c r="H868" i="20"/>
  <c r="K867" i="20"/>
  <c r="L867" i="20"/>
  <c r="M868" i="20"/>
  <c r="H869" i="20"/>
  <c r="K868" i="20"/>
  <c r="L868" i="20"/>
  <c r="M869" i="20"/>
  <c r="H870" i="20"/>
  <c r="K869" i="20"/>
  <c r="L869" i="20"/>
  <c r="M870" i="20"/>
  <c r="H871" i="20"/>
  <c r="K870" i="20"/>
  <c r="L870" i="20"/>
  <c r="M871" i="20"/>
  <c r="H872" i="20"/>
  <c r="K871" i="20"/>
  <c r="L871" i="20"/>
  <c r="M872" i="20"/>
  <c r="H873" i="20"/>
  <c r="K872" i="20"/>
  <c r="L872" i="20"/>
  <c r="M873" i="20"/>
  <c r="H874" i="20"/>
  <c r="K873" i="20"/>
  <c r="L873" i="20"/>
  <c r="M874" i="20"/>
  <c r="H875" i="20"/>
  <c r="K874" i="20"/>
  <c r="L874" i="20"/>
  <c r="M875" i="20"/>
  <c r="H876" i="20"/>
  <c r="K875" i="20"/>
  <c r="L875" i="20"/>
  <c r="M876" i="20"/>
  <c r="H877" i="20"/>
  <c r="K876" i="20"/>
  <c r="L876" i="20"/>
  <c r="M877" i="20"/>
  <c r="H878" i="20"/>
  <c r="K877" i="20"/>
  <c r="L877" i="20"/>
  <c r="M878" i="20"/>
  <c r="H879" i="20"/>
  <c r="K878" i="20"/>
  <c r="L878" i="20"/>
  <c r="M879" i="20"/>
  <c r="H880" i="20"/>
  <c r="K879" i="20"/>
  <c r="L879" i="20"/>
  <c r="M880" i="20"/>
  <c r="H881" i="20"/>
  <c r="K880" i="20"/>
  <c r="L880" i="20"/>
  <c r="M881" i="20"/>
  <c r="H882" i="20"/>
  <c r="K881" i="20"/>
  <c r="L881" i="20"/>
  <c r="M882" i="20"/>
  <c r="H883" i="20"/>
  <c r="K882" i="20"/>
  <c r="L882" i="20"/>
  <c r="M883" i="20"/>
  <c r="H884" i="20"/>
  <c r="K883" i="20"/>
  <c r="L883" i="20"/>
  <c r="M884" i="20"/>
  <c r="H885" i="20"/>
  <c r="K884" i="20"/>
  <c r="L884" i="20"/>
  <c r="M885" i="20"/>
  <c r="H886" i="20"/>
  <c r="K885" i="20"/>
  <c r="L885" i="20"/>
  <c r="M886" i="20"/>
  <c r="H887" i="20"/>
  <c r="K886" i="20"/>
  <c r="L886" i="20"/>
  <c r="M887" i="20"/>
  <c r="H888" i="20"/>
  <c r="K887" i="20"/>
  <c r="L887" i="20"/>
  <c r="M888" i="20"/>
  <c r="H889" i="20"/>
  <c r="K888" i="20"/>
  <c r="L888" i="20"/>
  <c r="M889" i="20"/>
  <c r="H890" i="20"/>
  <c r="K889" i="20"/>
  <c r="L889" i="20"/>
  <c r="M890" i="20"/>
  <c r="H891" i="20"/>
  <c r="K890" i="20"/>
  <c r="L890" i="20"/>
  <c r="M891" i="20"/>
  <c r="H892" i="20"/>
  <c r="K891" i="20"/>
  <c r="L891" i="20"/>
  <c r="M892" i="20"/>
  <c r="H893" i="20"/>
  <c r="K892" i="20"/>
  <c r="L892" i="20"/>
  <c r="M893" i="20"/>
  <c r="H894" i="20"/>
  <c r="K893" i="20"/>
  <c r="L893" i="20"/>
  <c r="M894" i="20"/>
  <c r="H895" i="20"/>
  <c r="K894" i="20"/>
  <c r="L894" i="20"/>
  <c r="M895" i="20"/>
  <c r="H896" i="20"/>
  <c r="K895" i="20"/>
  <c r="L895" i="20"/>
  <c r="M896" i="20"/>
  <c r="H897" i="20"/>
  <c r="K896" i="20"/>
  <c r="L896" i="20"/>
  <c r="M897" i="20"/>
  <c r="H898" i="20"/>
  <c r="K897" i="20"/>
  <c r="L897" i="20"/>
  <c r="M898" i="20"/>
  <c r="H899" i="20"/>
  <c r="K898" i="20"/>
  <c r="L898" i="20"/>
  <c r="M899" i="20"/>
  <c r="H900" i="20"/>
  <c r="K899" i="20"/>
  <c r="L899" i="20"/>
  <c r="M900" i="20"/>
  <c r="H901" i="20"/>
  <c r="K900" i="20"/>
  <c r="L900" i="20"/>
  <c r="M901" i="20"/>
  <c r="H902" i="20"/>
  <c r="K901" i="20"/>
  <c r="L901" i="20"/>
  <c r="M902" i="20"/>
  <c r="H903" i="20"/>
  <c r="K902" i="20"/>
  <c r="L902" i="20"/>
  <c r="M903" i="20"/>
  <c r="H904" i="20"/>
  <c r="K903" i="20"/>
  <c r="L903" i="20"/>
  <c r="M904" i="20"/>
  <c r="H905" i="20"/>
  <c r="K904" i="20"/>
  <c r="L904" i="20"/>
  <c r="M905" i="20"/>
  <c r="H906" i="20"/>
  <c r="K905" i="20"/>
  <c r="L905" i="20"/>
  <c r="M906" i="20"/>
  <c r="H907" i="20"/>
  <c r="K906" i="20"/>
  <c r="L906" i="20"/>
  <c r="M907" i="20"/>
  <c r="H908" i="20"/>
  <c r="K907" i="20"/>
  <c r="L907" i="20"/>
  <c r="M908" i="20"/>
  <c r="H909" i="20"/>
  <c r="K908" i="20"/>
  <c r="L908" i="20"/>
  <c r="M909" i="20"/>
  <c r="H910" i="20"/>
  <c r="K909" i="20"/>
  <c r="L909" i="20"/>
  <c r="M910" i="20"/>
  <c r="H911" i="20"/>
  <c r="K910" i="20"/>
  <c r="L910" i="20"/>
  <c r="M911" i="20"/>
  <c r="H912" i="20"/>
  <c r="K911" i="20"/>
  <c r="L911" i="20"/>
  <c r="M912" i="20"/>
  <c r="H913" i="20"/>
  <c r="K912" i="20"/>
  <c r="L912" i="20"/>
  <c r="M913" i="20"/>
  <c r="H914" i="20"/>
  <c r="K913" i="20"/>
  <c r="L913" i="20"/>
  <c r="M914" i="20"/>
  <c r="H915" i="20"/>
  <c r="K914" i="20"/>
  <c r="L914" i="20"/>
  <c r="M915" i="20"/>
  <c r="H916" i="20"/>
  <c r="K915" i="20"/>
  <c r="L915" i="20"/>
  <c r="M916" i="20"/>
  <c r="H917" i="20"/>
  <c r="K916" i="20"/>
  <c r="L916" i="20"/>
  <c r="M917" i="20"/>
  <c r="H918" i="20"/>
  <c r="K917" i="20"/>
  <c r="L917" i="20"/>
  <c r="M918" i="20"/>
  <c r="H919" i="20"/>
  <c r="K918" i="20"/>
  <c r="L918" i="20"/>
  <c r="M919" i="20"/>
  <c r="H920" i="20"/>
  <c r="K919" i="20"/>
  <c r="L919" i="20"/>
  <c r="M920" i="20"/>
  <c r="H921" i="20"/>
  <c r="K920" i="20"/>
  <c r="L920" i="20"/>
  <c r="M921" i="20"/>
  <c r="H922" i="20"/>
  <c r="K921" i="20"/>
  <c r="L921" i="20"/>
  <c r="M922" i="20"/>
  <c r="H923" i="20"/>
  <c r="K922" i="20"/>
  <c r="L922" i="20"/>
  <c r="M923" i="20"/>
  <c r="H924" i="20"/>
  <c r="K923" i="20"/>
  <c r="L923" i="20"/>
  <c r="M924" i="20"/>
  <c r="H925" i="20"/>
  <c r="K924" i="20"/>
  <c r="L924" i="20"/>
  <c r="M925" i="20"/>
  <c r="H926" i="20"/>
  <c r="K925" i="20"/>
  <c r="L925" i="20"/>
  <c r="M926" i="20"/>
  <c r="H927" i="20"/>
  <c r="K926" i="20"/>
  <c r="L926" i="20"/>
  <c r="M927" i="20"/>
  <c r="H928" i="20"/>
  <c r="K927" i="20"/>
  <c r="L927" i="20"/>
  <c r="M928" i="20"/>
  <c r="H929" i="20"/>
  <c r="K928" i="20"/>
  <c r="L928" i="20"/>
  <c r="M929" i="20"/>
  <c r="H930" i="20"/>
  <c r="K929" i="20"/>
  <c r="L929" i="20"/>
  <c r="M930" i="20"/>
  <c r="H931" i="20"/>
  <c r="K930" i="20"/>
  <c r="L930" i="20"/>
  <c r="M931" i="20"/>
  <c r="H932" i="20"/>
  <c r="K931" i="20"/>
  <c r="L931" i="20"/>
  <c r="M932" i="20"/>
  <c r="H933" i="20"/>
  <c r="K932" i="20"/>
  <c r="L932" i="20"/>
  <c r="M933" i="20"/>
  <c r="H934" i="20"/>
  <c r="K933" i="20"/>
  <c r="L933" i="20"/>
  <c r="M934" i="20"/>
  <c r="H935" i="20"/>
  <c r="K934" i="20"/>
  <c r="L934" i="20"/>
  <c r="M935" i="20"/>
  <c r="H936" i="20"/>
  <c r="K935" i="20"/>
  <c r="L935" i="20"/>
  <c r="M936" i="20"/>
  <c r="H937" i="20"/>
  <c r="K936" i="20"/>
  <c r="L936" i="20"/>
  <c r="M937" i="20"/>
  <c r="H938" i="20"/>
  <c r="K937" i="20"/>
  <c r="L937" i="20"/>
  <c r="M938" i="20"/>
  <c r="H939" i="20"/>
  <c r="K938" i="20"/>
  <c r="L938" i="20"/>
  <c r="M939" i="20"/>
  <c r="H940" i="20"/>
  <c r="K939" i="20"/>
  <c r="L939" i="20"/>
  <c r="M940" i="20"/>
  <c r="H941" i="20"/>
  <c r="K940" i="20"/>
  <c r="L940" i="20"/>
  <c r="M941" i="20"/>
  <c r="H942" i="20"/>
  <c r="K941" i="20"/>
  <c r="L941" i="20"/>
  <c r="M942" i="20"/>
  <c r="H943" i="20"/>
  <c r="K942" i="20"/>
  <c r="L942" i="20"/>
  <c r="M943" i="20"/>
  <c r="H944" i="20"/>
  <c r="K943" i="20"/>
  <c r="L943" i="20"/>
  <c r="M944" i="20"/>
  <c r="H945" i="20"/>
  <c r="K944" i="20"/>
  <c r="L944" i="20"/>
  <c r="M945" i="20"/>
  <c r="H946" i="20"/>
  <c r="K945" i="20"/>
  <c r="L945" i="20"/>
  <c r="M946" i="20"/>
  <c r="H947" i="20"/>
  <c r="K946" i="20"/>
  <c r="L946" i="20"/>
  <c r="M947" i="20"/>
  <c r="H948" i="20"/>
  <c r="K947" i="20"/>
  <c r="L947" i="20"/>
  <c r="M948" i="20"/>
  <c r="H949" i="20"/>
  <c r="K948" i="20"/>
  <c r="L948" i="20"/>
  <c r="M949" i="20"/>
  <c r="H950" i="20"/>
  <c r="K949" i="20"/>
  <c r="L949" i="20"/>
  <c r="M950" i="20"/>
  <c r="H951" i="20"/>
  <c r="K950" i="20"/>
  <c r="L950" i="20"/>
  <c r="M951" i="20"/>
  <c r="H952" i="20"/>
  <c r="K951" i="20"/>
  <c r="L951" i="20"/>
  <c r="M952" i="20"/>
  <c r="H953" i="20"/>
  <c r="K952" i="20"/>
  <c r="L952" i="20"/>
  <c r="M953" i="20"/>
  <c r="H954" i="20"/>
  <c r="K953" i="20"/>
  <c r="L953" i="20"/>
  <c r="M954" i="20"/>
  <c r="H955" i="20"/>
  <c r="K954" i="20"/>
  <c r="L954" i="20"/>
  <c r="M955" i="20"/>
  <c r="H956" i="20"/>
  <c r="K955" i="20"/>
  <c r="L955" i="20"/>
  <c r="M956" i="20"/>
  <c r="H957" i="20"/>
  <c r="K956" i="20"/>
  <c r="L956" i="20"/>
  <c r="M957" i="20"/>
  <c r="H958" i="20"/>
  <c r="K957" i="20"/>
  <c r="L957" i="20"/>
  <c r="M958" i="20"/>
  <c r="H959" i="20"/>
  <c r="K958" i="20"/>
  <c r="L958" i="20"/>
  <c r="M959" i="20"/>
  <c r="H960" i="20"/>
  <c r="K959" i="20"/>
  <c r="L959" i="20"/>
  <c r="M960" i="20"/>
  <c r="H961" i="20"/>
  <c r="K960" i="20"/>
  <c r="L960" i="20"/>
  <c r="M961" i="20"/>
  <c r="H962" i="20"/>
  <c r="K961" i="20"/>
  <c r="L961" i="20"/>
  <c r="M962" i="20"/>
  <c r="H963" i="20"/>
  <c r="K962" i="20"/>
  <c r="L962" i="20"/>
  <c r="M963" i="20"/>
  <c r="H964" i="20"/>
  <c r="K963" i="20"/>
  <c r="L963" i="20"/>
  <c r="M964" i="20"/>
  <c r="H965" i="20"/>
  <c r="K964" i="20"/>
  <c r="L964" i="20"/>
  <c r="M965" i="20"/>
  <c r="H966" i="20"/>
  <c r="K965" i="20"/>
  <c r="L965" i="20"/>
  <c r="M966" i="20"/>
  <c r="H967" i="20"/>
  <c r="K966" i="20"/>
  <c r="L966" i="20"/>
  <c r="M967" i="20"/>
  <c r="H968" i="20"/>
  <c r="K967" i="20"/>
  <c r="L967" i="20"/>
  <c r="M968" i="20"/>
  <c r="H969" i="20"/>
  <c r="K968" i="20"/>
  <c r="L968" i="20"/>
  <c r="M969" i="20"/>
  <c r="H970" i="20"/>
  <c r="K969" i="20"/>
  <c r="L969" i="20"/>
  <c r="M970" i="20"/>
  <c r="H971" i="20"/>
  <c r="K970" i="20"/>
  <c r="L970" i="20"/>
  <c r="M971" i="20"/>
  <c r="H972" i="20"/>
  <c r="K971" i="20"/>
  <c r="L971" i="20"/>
  <c r="M972" i="20"/>
  <c r="H973" i="20"/>
  <c r="K972" i="20"/>
  <c r="L972" i="20"/>
  <c r="M973" i="20"/>
  <c r="H974" i="20"/>
  <c r="K973" i="20"/>
  <c r="L973" i="20"/>
  <c r="M974" i="20"/>
  <c r="H975" i="20"/>
  <c r="K974" i="20"/>
  <c r="L974" i="20"/>
  <c r="M975" i="20"/>
  <c r="H976" i="20"/>
  <c r="K975" i="20"/>
  <c r="L975" i="20"/>
  <c r="M976" i="20"/>
  <c r="H977" i="20"/>
  <c r="K976" i="20"/>
  <c r="L976" i="20"/>
  <c r="M977" i="20"/>
  <c r="H978" i="20"/>
  <c r="K977" i="20"/>
  <c r="L977" i="20"/>
  <c r="M978" i="20"/>
  <c r="H979" i="20"/>
  <c r="K978" i="20"/>
  <c r="L978" i="20"/>
  <c r="M979" i="20"/>
  <c r="H980" i="20"/>
  <c r="K979" i="20"/>
  <c r="L979" i="20"/>
  <c r="M980" i="20"/>
  <c r="H981" i="20"/>
  <c r="K980" i="20"/>
  <c r="L980" i="20"/>
  <c r="M981" i="20"/>
  <c r="H982" i="20"/>
  <c r="K981" i="20"/>
  <c r="L981" i="20"/>
  <c r="M982" i="20"/>
  <c r="H983" i="20"/>
  <c r="K982" i="20"/>
  <c r="L982" i="20"/>
  <c r="M983" i="20"/>
  <c r="H984" i="20"/>
  <c r="K983" i="20"/>
  <c r="L983" i="20"/>
  <c r="M984" i="20"/>
  <c r="H985" i="20"/>
  <c r="K984" i="20"/>
  <c r="L984" i="20"/>
  <c r="M985" i="20"/>
  <c r="H986" i="20"/>
  <c r="K985" i="20"/>
  <c r="L985" i="20"/>
  <c r="M986" i="20"/>
  <c r="H987" i="20"/>
  <c r="K986" i="20"/>
  <c r="L986" i="20"/>
  <c r="M987" i="20"/>
  <c r="H988" i="20"/>
  <c r="K987" i="20"/>
  <c r="L987" i="20"/>
  <c r="M988" i="20"/>
  <c r="H989" i="20"/>
  <c r="K988" i="20"/>
  <c r="L988" i="20"/>
  <c r="M989" i="20"/>
  <c r="H990" i="20"/>
  <c r="K989" i="20"/>
  <c r="L989" i="20"/>
  <c r="M990" i="20"/>
  <c r="H991" i="20"/>
  <c r="K990" i="20"/>
  <c r="L990" i="20"/>
  <c r="M991" i="20"/>
  <c r="H992" i="20"/>
  <c r="K991" i="20"/>
  <c r="L991" i="20"/>
  <c r="M992" i="20"/>
  <c r="H993" i="20"/>
  <c r="K992" i="20"/>
  <c r="L992" i="20"/>
  <c r="M993" i="20"/>
  <c r="H994" i="20"/>
  <c r="K993" i="20"/>
  <c r="L993" i="20"/>
  <c r="M994" i="20"/>
  <c r="H995" i="20"/>
  <c r="K994" i="20"/>
  <c r="L994" i="20"/>
  <c r="M995" i="20"/>
  <c r="H996" i="20"/>
  <c r="K995" i="20"/>
  <c r="L995" i="20"/>
  <c r="M996" i="20"/>
  <c r="H997" i="20"/>
  <c r="K996" i="20"/>
  <c r="L996" i="20"/>
  <c r="M997" i="20"/>
  <c r="H998" i="20"/>
  <c r="K997" i="20"/>
  <c r="L997" i="20"/>
  <c r="M998" i="20"/>
  <c r="H999" i="20"/>
  <c r="K998" i="20"/>
  <c r="L998" i="20"/>
  <c r="M999" i="20"/>
  <c r="H1000" i="20"/>
  <c r="K999" i="20"/>
  <c r="L999" i="20"/>
  <c r="M1000" i="20"/>
  <c r="H1001" i="20"/>
  <c r="K1000" i="20"/>
  <c r="L1000" i="20"/>
  <c r="M1001" i="20"/>
  <c r="H1002" i="20"/>
  <c r="K1001" i="20"/>
  <c r="L1001" i="20"/>
  <c r="M1002" i="20"/>
  <c r="H1003" i="20"/>
  <c r="K1002" i="20"/>
  <c r="L1002" i="20"/>
  <c r="M1003" i="20"/>
  <c r="H1004" i="20"/>
  <c r="K1003" i="20"/>
  <c r="L1003" i="20"/>
  <c r="M1004" i="20"/>
  <c r="H1005" i="20"/>
  <c r="K1004" i="20"/>
  <c r="L1004" i="20"/>
  <c r="M1005" i="20"/>
  <c r="H1006" i="20"/>
  <c r="K1005" i="20"/>
  <c r="L1005" i="20"/>
  <c r="M1006" i="20"/>
  <c r="H1007" i="20"/>
  <c r="K1006" i="20"/>
  <c r="L1006" i="20"/>
  <c r="M1007" i="20"/>
  <c r="H1008" i="20"/>
  <c r="K1007" i="20"/>
  <c r="L1007" i="20"/>
  <c r="M1008" i="20"/>
  <c r="H1009" i="20"/>
  <c r="K1008" i="20"/>
  <c r="L1008" i="20"/>
  <c r="M1009" i="20"/>
  <c r="H1010" i="20"/>
  <c r="K1009" i="20"/>
  <c r="L1009" i="20"/>
  <c r="M1010" i="20"/>
  <c r="H1011" i="20"/>
  <c r="K1010" i="20"/>
  <c r="L1010" i="20"/>
  <c r="M1011" i="20"/>
  <c r="H1012" i="20"/>
  <c r="K1011" i="20"/>
  <c r="L1011" i="20"/>
  <c r="M1012" i="20"/>
  <c r="H1013" i="20"/>
  <c r="K1012" i="20"/>
  <c r="L1012" i="20"/>
  <c r="M1013" i="20"/>
  <c r="H1014" i="20"/>
  <c r="K1013" i="20"/>
  <c r="L1013" i="20"/>
  <c r="M1014" i="20"/>
  <c r="H1015" i="20"/>
  <c r="K1014" i="20"/>
  <c r="L1014" i="20"/>
  <c r="M1015" i="20"/>
  <c r="H1016" i="20"/>
  <c r="K1015" i="20"/>
  <c r="L1015" i="20"/>
  <c r="M1016" i="20"/>
  <c r="H1017" i="20"/>
  <c r="K1016" i="20"/>
  <c r="L1016" i="20"/>
  <c r="M1017" i="20"/>
  <c r="H1018" i="20"/>
  <c r="K1017" i="20"/>
  <c r="L1017" i="20"/>
  <c r="M1018" i="20"/>
  <c r="H1019" i="20"/>
  <c r="K1018" i="20"/>
  <c r="L1018" i="20"/>
  <c r="M1019" i="20"/>
  <c r="H1020" i="20"/>
  <c r="K1019" i="20"/>
  <c r="L1019" i="20"/>
  <c r="M1020" i="20"/>
  <c r="H1021" i="20"/>
  <c r="K1020" i="20"/>
  <c r="L1020" i="20"/>
  <c r="M1021" i="20"/>
  <c r="H1022" i="20"/>
  <c r="K1021" i="20"/>
  <c r="L1021" i="20"/>
  <c r="M1022" i="20"/>
  <c r="H1023" i="20"/>
  <c r="K1022" i="20"/>
  <c r="L1022" i="20"/>
  <c r="M1023" i="20"/>
  <c r="H1024" i="20"/>
  <c r="K1023" i="20"/>
  <c r="L1023" i="20"/>
  <c r="M1024" i="20"/>
  <c r="H1025" i="20"/>
  <c r="K1024" i="20"/>
  <c r="L1024" i="20"/>
  <c r="M1025" i="20"/>
  <c r="H1026" i="20"/>
  <c r="K1025" i="20"/>
  <c r="L1025" i="20"/>
  <c r="M1026" i="20"/>
  <c r="H1027" i="20"/>
  <c r="K1026" i="20"/>
  <c r="L1026" i="20"/>
  <c r="M1027" i="20"/>
  <c r="H1028" i="20"/>
  <c r="K1027" i="20"/>
  <c r="L1027" i="20"/>
  <c r="M1028" i="20"/>
  <c r="H1029" i="20"/>
  <c r="K1028" i="20"/>
  <c r="L1028" i="20"/>
  <c r="M1029" i="20"/>
  <c r="H1030" i="20"/>
  <c r="K1029" i="20"/>
  <c r="L1029" i="20"/>
  <c r="M1030" i="20"/>
  <c r="H1031" i="20"/>
  <c r="K1030" i="20"/>
  <c r="L1030" i="20"/>
  <c r="M1031" i="20"/>
  <c r="H1032" i="20"/>
  <c r="K1031" i="20"/>
  <c r="L1031" i="20"/>
  <c r="M1032" i="20"/>
  <c r="H1033" i="20"/>
  <c r="K1032" i="20"/>
  <c r="L1032" i="20"/>
  <c r="M1033" i="20"/>
  <c r="H1034" i="20"/>
  <c r="K1033" i="20"/>
  <c r="L1033" i="20"/>
  <c r="M1034" i="20"/>
  <c r="H1035" i="20"/>
  <c r="K1034" i="20"/>
  <c r="L1034" i="20"/>
  <c r="M1035" i="20"/>
  <c r="H1036" i="20"/>
  <c r="K1035" i="20"/>
  <c r="L1035" i="20"/>
  <c r="M1036" i="20"/>
  <c r="H1037" i="20"/>
  <c r="K1036" i="20"/>
  <c r="L1036" i="20"/>
  <c r="M1037" i="20"/>
  <c r="H1038" i="20"/>
  <c r="K1037" i="20"/>
  <c r="L1037" i="20"/>
  <c r="M1038" i="20"/>
  <c r="H1039" i="20"/>
  <c r="K1038" i="20"/>
  <c r="L1038" i="20"/>
  <c r="M1039" i="20"/>
  <c r="H1040" i="20"/>
  <c r="K1039" i="20"/>
  <c r="L1039" i="20"/>
  <c r="M1040" i="20"/>
  <c r="H1041" i="20"/>
  <c r="K1040" i="20"/>
  <c r="L1040" i="20"/>
  <c r="M1041" i="20"/>
  <c r="H1042" i="20"/>
  <c r="K1041" i="20"/>
  <c r="L1041" i="20"/>
  <c r="M1042" i="20"/>
  <c r="H1043" i="20"/>
  <c r="K1042" i="20"/>
  <c r="L1042" i="20"/>
  <c r="M1043" i="20"/>
  <c r="H1044" i="20"/>
  <c r="K1043" i="20"/>
  <c r="L1043" i="20"/>
  <c r="M1044" i="20"/>
  <c r="H1045" i="20"/>
  <c r="K1044" i="20"/>
  <c r="L1044" i="20"/>
  <c r="M1045" i="20"/>
  <c r="H1046" i="20"/>
  <c r="K1045" i="20"/>
  <c r="L1045" i="20"/>
  <c r="M1046" i="20"/>
  <c r="H1047" i="20"/>
  <c r="K1046" i="20"/>
  <c r="L1046" i="20"/>
  <c r="M1047" i="20"/>
  <c r="H1048" i="20"/>
  <c r="K1047" i="20"/>
  <c r="L1047" i="20"/>
  <c r="M1048" i="20"/>
  <c r="H1049" i="20"/>
  <c r="K1048" i="20"/>
  <c r="L1048" i="20"/>
  <c r="M1049" i="20"/>
  <c r="H1050" i="20"/>
  <c r="K1049" i="20"/>
  <c r="L1049" i="20"/>
  <c r="M1050" i="20"/>
  <c r="H1051" i="20"/>
  <c r="K1050" i="20"/>
  <c r="L1050" i="20"/>
  <c r="M1051" i="20"/>
  <c r="H1052" i="20"/>
  <c r="K1051" i="20"/>
  <c r="L1051" i="20"/>
  <c r="M1052" i="20"/>
  <c r="H1053" i="20"/>
  <c r="K1052" i="20"/>
  <c r="L1052" i="20"/>
  <c r="M1053" i="20"/>
  <c r="H1054" i="20"/>
  <c r="K1053" i="20"/>
  <c r="L1053" i="20"/>
  <c r="M1054" i="20"/>
  <c r="H1055" i="20"/>
  <c r="K1054" i="20"/>
  <c r="L1054" i="20"/>
  <c r="M1055" i="20"/>
  <c r="H1056" i="20"/>
  <c r="K1055" i="20"/>
  <c r="L1055" i="20"/>
  <c r="M1056" i="20"/>
  <c r="H1057" i="20"/>
  <c r="K1056" i="20"/>
  <c r="L1056" i="20"/>
  <c r="M1057" i="20"/>
  <c r="H1058" i="20"/>
  <c r="K1057" i="20"/>
  <c r="L1057" i="20"/>
  <c r="M1058" i="20"/>
  <c r="H1059" i="20"/>
  <c r="K1058" i="20"/>
  <c r="L1058" i="20"/>
  <c r="M1059" i="20"/>
  <c r="H1060" i="20"/>
  <c r="K1059" i="20"/>
  <c r="L1059" i="20"/>
  <c r="M1060" i="20"/>
  <c r="H1061" i="20"/>
  <c r="K1060" i="20"/>
  <c r="L1060" i="20"/>
  <c r="M1061" i="20"/>
  <c r="H1062" i="20"/>
  <c r="K1061" i="20"/>
  <c r="L1061" i="20"/>
  <c r="M1062" i="20"/>
  <c r="H1063" i="20"/>
  <c r="K1062" i="20"/>
  <c r="L1062" i="20"/>
  <c r="M1063" i="20"/>
  <c r="H1064" i="20"/>
  <c r="K1063" i="20"/>
  <c r="L1063" i="20"/>
  <c r="M1064" i="20"/>
  <c r="H1065" i="20"/>
  <c r="K1064" i="20"/>
  <c r="L1064" i="20"/>
  <c r="M1065" i="20"/>
  <c r="H1066" i="20"/>
  <c r="K1065" i="20"/>
  <c r="L1065" i="20"/>
  <c r="M1066" i="20"/>
  <c r="H1067" i="20"/>
  <c r="K1066" i="20"/>
  <c r="L1066" i="20"/>
  <c r="M1067" i="20"/>
  <c r="H1068" i="20"/>
  <c r="K1067" i="20"/>
  <c r="L1067" i="20"/>
  <c r="M1068" i="20"/>
  <c r="H1069" i="20"/>
  <c r="K1068" i="20"/>
  <c r="L1068" i="20"/>
  <c r="M1069" i="20"/>
  <c r="H1070" i="20"/>
  <c r="K1069" i="20"/>
  <c r="L1069" i="20"/>
  <c r="M1070" i="20"/>
  <c r="H1071" i="20"/>
  <c r="K1070" i="20"/>
  <c r="L1070" i="20"/>
  <c r="M1071" i="20"/>
  <c r="H1072" i="20"/>
  <c r="K1071" i="20"/>
  <c r="L1071" i="20"/>
  <c r="M1072" i="20"/>
  <c r="H1073" i="20"/>
  <c r="K1072" i="20"/>
  <c r="L1072" i="20"/>
  <c r="M1073" i="20"/>
  <c r="H1074" i="20"/>
  <c r="K1073" i="20"/>
  <c r="L1073" i="20"/>
  <c r="M1074" i="20"/>
  <c r="H1075" i="20"/>
  <c r="K1074" i="20"/>
  <c r="L1074" i="20"/>
  <c r="M1075" i="20"/>
  <c r="H1076" i="20"/>
  <c r="K1075" i="20"/>
  <c r="L1075" i="20"/>
  <c r="M1076" i="20"/>
  <c r="H1077" i="20"/>
  <c r="K1076" i="20"/>
  <c r="L1076" i="20"/>
  <c r="M1077" i="20"/>
  <c r="H1078" i="20"/>
  <c r="K1077" i="20"/>
  <c r="L1077" i="20"/>
  <c r="M1078" i="20"/>
  <c r="H1079" i="20"/>
  <c r="K1078" i="20"/>
  <c r="L1078" i="20"/>
  <c r="M1079" i="20"/>
  <c r="H1080" i="20"/>
  <c r="K1079" i="20"/>
  <c r="L1079" i="20"/>
  <c r="M1080" i="20"/>
  <c r="H1081" i="20"/>
  <c r="K1080" i="20"/>
  <c r="L1080" i="20"/>
  <c r="M1081" i="20"/>
  <c r="H1082" i="20"/>
  <c r="K1081" i="20"/>
  <c r="L1081" i="20"/>
  <c r="M1082" i="20"/>
  <c r="H1083" i="20"/>
  <c r="K1082" i="20"/>
  <c r="L1082" i="20"/>
  <c r="M1083" i="20"/>
  <c r="H1084" i="20"/>
  <c r="K1083" i="20"/>
  <c r="L1083" i="20"/>
  <c r="M1084" i="20"/>
  <c r="H1085" i="20"/>
  <c r="K1084" i="20"/>
  <c r="L1084" i="20"/>
  <c r="M1085" i="20"/>
  <c r="H1086" i="20"/>
  <c r="K1085" i="20"/>
  <c r="L1085" i="20"/>
  <c r="M1086" i="20"/>
  <c r="H1087" i="20"/>
  <c r="K1086" i="20"/>
  <c r="L1086" i="20"/>
  <c r="M1087" i="20"/>
  <c r="H1088" i="20"/>
  <c r="K1087" i="20"/>
  <c r="L1087" i="20"/>
  <c r="M1088" i="20"/>
  <c r="H1089" i="20"/>
  <c r="K1088" i="20"/>
  <c r="L1088" i="20"/>
  <c r="M1089" i="20"/>
  <c r="H1090" i="20"/>
  <c r="K1089" i="20"/>
  <c r="L1089" i="20"/>
  <c r="M1090" i="20"/>
  <c r="H1091" i="20"/>
  <c r="K1090" i="20"/>
  <c r="L1090" i="20"/>
  <c r="M1091" i="20"/>
  <c r="H1092" i="20"/>
  <c r="K1091" i="20"/>
  <c r="L1091" i="20"/>
  <c r="M1092" i="20"/>
  <c r="H1093" i="20"/>
  <c r="K1092" i="20"/>
  <c r="L1092" i="20"/>
  <c r="M1093" i="20"/>
  <c r="H1094" i="20"/>
  <c r="K1093" i="20"/>
  <c r="L1093" i="20"/>
  <c r="M1094" i="20"/>
  <c r="H1095" i="20"/>
  <c r="K1094" i="20"/>
  <c r="L1094" i="20"/>
  <c r="M1095" i="20"/>
  <c r="H1096" i="20"/>
  <c r="K1095" i="20"/>
  <c r="L1095" i="20"/>
  <c r="M1096" i="20"/>
  <c r="H1097" i="20"/>
  <c r="K1096" i="20"/>
  <c r="L1096" i="20"/>
  <c r="M1097" i="20"/>
  <c r="H1098" i="20"/>
  <c r="K1097" i="20"/>
  <c r="L1097" i="20"/>
  <c r="M1098" i="20"/>
  <c r="H1099" i="20"/>
  <c r="K1098" i="20"/>
  <c r="L1098" i="20"/>
  <c r="M1099" i="20"/>
  <c r="H1100" i="20"/>
  <c r="K1099" i="20"/>
  <c r="L1099" i="20"/>
  <c r="M1100" i="20"/>
  <c r="H1101" i="20"/>
  <c r="K1100" i="20"/>
  <c r="L1100" i="20"/>
  <c r="M1101" i="20"/>
  <c r="H1102" i="20"/>
  <c r="K1101" i="20"/>
  <c r="L1101" i="20"/>
  <c r="M1102" i="20"/>
  <c r="H1103" i="20"/>
  <c r="K1102" i="20"/>
  <c r="L1102" i="20"/>
  <c r="M1103" i="20"/>
  <c r="H1104" i="20"/>
  <c r="K1103" i="20"/>
  <c r="L1103" i="20"/>
  <c r="M1104" i="20"/>
  <c r="H1105" i="20"/>
  <c r="K1104" i="20"/>
  <c r="L1104" i="20"/>
  <c r="M1105" i="20"/>
  <c r="H1106" i="20"/>
  <c r="K1105" i="20"/>
  <c r="L1105" i="20"/>
  <c r="M1106" i="20"/>
  <c r="H1107" i="20"/>
  <c r="K1106" i="20"/>
  <c r="L1106" i="20"/>
  <c r="M1107" i="20"/>
  <c r="H1108" i="20"/>
  <c r="K1107" i="20"/>
  <c r="L1107" i="20"/>
  <c r="M1108" i="20"/>
  <c r="H1109" i="20"/>
  <c r="K1108" i="20"/>
  <c r="L1108" i="20"/>
  <c r="M1109" i="20"/>
  <c r="H1110" i="20"/>
  <c r="K1109" i="20"/>
  <c r="L1109" i="20"/>
  <c r="M1110" i="20"/>
  <c r="H1111" i="20"/>
  <c r="K1110" i="20"/>
  <c r="L1110" i="20"/>
  <c r="M1111" i="20"/>
  <c r="H1112" i="20"/>
  <c r="K1111" i="20"/>
  <c r="L1111" i="20"/>
  <c r="M1112" i="20"/>
  <c r="H1113" i="20"/>
  <c r="K1112" i="20"/>
  <c r="L1112" i="20"/>
  <c r="M1113" i="20"/>
  <c r="H1114" i="20"/>
  <c r="K1113" i="20"/>
  <c r="L1113" i="20"/>
  <c r="M1114" i="20"/>
  <c r="H1115" i="20"/>
  <c r="K1114" i="20"/>
  <c r="L1114" i="20"/>
  <c r="M1115" i="20"/>
  <c r="H1116" i="20"/>
  <c r="K1115" i="20"/>
  <c r="L1115" i="20"/>
  <c r="M1116" i="20"/>
  <c r="H1117" i="20"/>
  <c r="K1116" i="20"/>
  <c r="L1116" i="20"/>
  <c r="M1117" i="20"/>
  <c r="H1118" i="20"/>
  <c r="K1117" i="20"/>
  <c r="L1117" i="20"/>
  <c r="M1118" i="20"/>
  <c r="H1119" i="20"/>
  <c r="K1118" i="20"/>
  <c r="L1118" i="20"/>
  <c r="M1119" i="20"/>
  <c r="H1120" i="20"/>
  <c r="K1119" i="20"/>
  <c r="L1119" i="20"/>
  <c r="M1120" i="20"/>
  <c r="H1121" i="20"/>
  <c r="K1120" i="20"/>
  <c r="L1120" i="20"/>
  <c r="M1121" i="20"/>
  <c r="H1122" i="20"/>
  <c r="K1121" i="20"/>
  <c r="L1121" i="20"/>
  <c r="M1122" i="20"/>
  <c r="H1123" i="20"/>
  <c r="K1122" i="20"/>
  <c r="L1122" i="20"/>
  <c r="M1123" i="20"/>
  <c r="H1124" i="20"/>
  <c r="K1123" i="20"/>
  <c r="L1123" i="20"/>
  <c r="M1124" i="20"/>
  <c r="H1125" i="20"/>
  <c r="K1124" i="20"/>
  <c r="L1124" i="20"/>
  <c r="M1125" i="20"/>
  <c r="H1126" i="20"/>
  <c r="K1125" i="20"/>
  <c r="L1125" i="20"/>
  <c r="M1126" i="20"/>
  <c r="H1127" i="20"/>
  <c r="K1126" i="20"/>
  <c r="L1126" i="20"/>
  <c r="M1127" i="20"/>
  <c r="H1128" i="20"/>
  <c r="K1127" i="20"/>
  <c r="L1127" i="20"/>
  <c r="M1128" i="20"/>
  <c r="H1129" i="20"/>
  <c r="K1128" i="20"/>
  <c r="L1128" i="20"/>
  <c r="M1129" i="20"/>
  <c r="M1130" i="20"/>
  <c r="M1131" i="20"/>
  <c r="K1129" i="20"/>
  <c r="L1129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E38" i="20"/>
  <c r="D38" i="20"/>
  <c r="C41" i="20"/>
  <c r="B9" i="20"/>
  <c r="B4" i="20"/>
  <c r="B8" i="20"/>
  <c r="L92" i="18"/>
  <c r="E92" i="18"/>
  <c r="L13" i="17"/>
  <c r="M13" i="17"/>
  <c r="J14" i="17"/>
  <c r="L14" i="17"/>
  <c r="M14" i="17"/>
  <c r="J15" i="17"/>
  <c r="L15" i="17"/>
  <c r="M15" i="17"/>
  <c r="J16" i="17"/>
  <c r="L16" i="17"/>
  <c r="M16" i="17"/>
  <c r="J17" i="17"/>
  <c r="L17" i="17"/>
  <c r="M17" i="17"/>
  <c r="J18" i="17"/>
  <c r="L18" i="17"/>
  <c r="M18" i="17"/>
  <c r="J19" i="17"/>
  <c r="L19" i="17"/>
  <c r="M19" i="17"/>
  <c r="J20" i="17"/>
  <c r="L20" i="17"/>
  <c r="M20" i="17"/>
  <c r="J21" i="17"/>
  <c r="L21" i="17"/>
  <c r="M21" i="17"/>
  <c r="J22" i="17"/>
  <c r="L22" i="17"/>
  <c r="M22" i="17"/>
  <c r="M23" i="17"/>
  <c r="L23" i="17"/>
  <c r="M25" i="17"/>
  <c r="B9" i="17"/>
  <c r="B4" i="17"/>
  <c r="B8" i="17"/>
  <c r="B13" i="17"/>
  <c r="B14" i="17"/>
  <c r="D13" i="17"/>
  <c r="E13" i="17"/>
  <c r="F13" i="17"/>
  <c r="C14" i="17"/>
  <c r="B15" i="17"/>
  <c r="D14" i="17"/>
  <c r="E14" i="17"/>
  <c r="F14" i="17"/>
  <c r="C15" i="17"/>
  <c r="B16" i="17"/>
  <c r="D15" i="17"/>
  <c r="E15" i="17"/>
  <c r="F15" i="17"/>
  <c r="C16" i="17"/>
  <c r="B17" i="17"/>
  <c r="D16" i="17"/>
  <c r="E16" i="17"/>
  <c r="F16" i="17"/>
  <c r="C17" i="17"/>
  <c r="B18" i="17"/>
  <c r="D17" i="17"/>
  <c r="E17" i="17"/>
  <c r="F17" i="17"/>
  <c r="C18" i="17"/>
  <c r="B19" i="17"/>
  <c r="D18" i="17"/>
  <c r="E18" i="17"/>
  <c r="F18" i="17"/>
  <c r="C19" i="17"/>
  <c r="B20" i="17"/>
  <c r="D19" i="17"/>
  <c r="E19" i="17"/>
  <c r="F19" i="17"/>
  <c r="C20" i="17"/>
  <c r="B21" i="17"/>
  <c r="D20" i="17"/>
  <c r="E20" i="17"/>
  <c r="F20" i="17"/>
  <c r="C21" i="17"/>
  <c r="B22" i="17"/>
  <c r="D21" i="17"/>
  <c r="E21" i="17"/>
  <c r="F21" i="17"/>
  <c r="C22" i="17"/>
  <c r="D22" i="17"/>
  <c r="E22" i="17"/>
  <c r="F22" i="17"/>
  <c r="F23" i="17"/>
  <c r="E23" i="17"/>
  <c r="F25" i="17"/>
  <c r="B23" i="17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B3" i="14"/>
  <c r="B4" i="14"/>
  <c r="H711" i="15"/>
  <c r="G711" i="15"/>
  <c r="G709" i="15"/>
  <c r="H709" i="15"/>
  <c r="G9" i="15"/>
  <c r="H9" i="15"/>
  <c r="G10" i="15"/>
  <c r="H10" i="15"/>
  <c r="G11" i="15"/>
  <c r="H11" i="15"/>
  <c r="G12" i="15"/>
  <c r="H12" i="15"/>
  <c r="G13" i="15"/>
  <c r="H13" i="15"/>
  <c r="G14" i="15"/>
  <c r="H14" i="15"/>
  <c r="G15" i="15"/>
  <c r="H15" i="15"/>
  <c r="G16" i="15"/>
  <c r="H16" i="15"/>
  <c r="G17" i="15"/>
  <c r="H17" i="15"/>
  <c r="G18" i="15"/>
  <c r="H18" i="15"/>
  <c r="G19" i="15"/>
  <c r="H19" i="15"/>
  <c r="G20" i="15"/>
  <c r="H20" i="15"/>
  <c r="G21" i="15"/>
  <c r="H21" i="15"/>
  <c r="G22" i="15"/>
  <c r="H22" i="15"/>
  <c r="G23" i="15"/>
  <c r="H23" i="15"/>
  <c r="G24" i="15"/>
  <c r="H24" i="15"/>
  <c r="G25" i="15"/>
  <c r="H25" i="15"/>
  <c r="G26" i="15"/>
  <c r="H26" i="15"/>
  <c r="G27" i="15"/>
  <c r="H27" i="15"/>
  <c r="G28" i="15"/>
  <c r="H28" i="15"/>
  <c r="G29" i="15"/>
  <c r="H29" i="15"/>
  <c r="G30" i="15"/>
  <c r="H30" i="15"/>
  <c r="G31" i="15"/>
  <c r="H31" i="15"/>
  <c r="G32" i="15"/>
  <c r="H32" i="15"/>
  <c r="G33" i="15"/>
  <c r="H33" i="15"/>
  <c r="G34" i="15"/>
  <c r="H34" i="15"/>
  <c r="G35" i="15"/>
  <c r="H35" i="15"/>
  <c r="G36" i="15"/>
  <c r="H36" i="15"/>
  <c r="G37" i="15"/>
  <c r="H37" i="15"/>
  <c r="G38" i="15"/>
  <c r="H38" i="15"/>
  <c r="G39" i="15"/>
  <c r="H39" i="15"/>
  <c r="G40" i="15"/>
  <c r="H40" i="15"/>
  <c r="G41" i="15"/>
  <c r="H41" i="15"/>
  <c r="G42" i="15"/>
  <c r="H42" i="15"/>
  <c r="G43" i="15"/>
  <c r="H43" i="15"/>
  <c r="G44" i="15"/>
  <c r="H44" i="15"/>
  <c r="G45" i="15"/>
  <c r="H45" i="15"/>
  <c r="G46" i="15"/>
  <c r="H46" i="15"/>
  <c r="G47" i="15"/>
  <c r="H47" i="15"/>
  <c r="G48" i="15"/>
  <c r="H48" i="15"/>
  <c r="G49" i="15"/>
  <c r="H49" i="15"/>
  <c r="G50" i="15"/>
  <c r="H50" i="15"/>
  <c r="G51" i="15"/>
  <c r="H51" i="15"/>
  <c r="G52" i="15"/>
  <c r="H52" i="15"/>
  <c r="G53" i="15"/>
  <c r="H53" i="15"/>
  <c r="G54" i="15"/>
  <c r="H54" i="15"/>
  <c r="G55" i="15"/>
  <c r="H55" i="15"/>
  <c r="G56" i="15"/>
  <c r="H56" i="15"/>
  <c r="G57" i="15"/>
  <c r="H57" i="15"/>
  <c r="G58" i="15"/>
  <c r="H58" i="15"/>
  <c r="G59" i="15"/>
  <c r="H59" i="15"/>
  <c r="G60" i="15"/>
  <c r="H60" i="15"/>
  <c r="G61" i="15"/>
  <c r="H61" i="15"/>
  <c r="G62" i="15"/>
  <c r="H62" i="15"/>
  <c r="G63" i="15"/>
  <c r="H63" i="15"/>
  <c r="G64" i="15"/>
  <c r="H64" i="15"/>
  <c r="G65" i="15"/>
  <c r="H65" i="15"/>
  <c r="G66" i="15"/>
  <c r="H66" i="15"/>
  <c r="G67" i="15"/>
  <c r="H67" i="15"/>
  <c r="G68" i="15"/>
  <c r="H68" i="15"/>
  <c r="G69" i="15"/>
  <c r="H69" i="15"/>
  <c r="G70" i="15"/>
  <c r="H70" i="15"/>
  <c r="G71" i="15"/>
  <c r="H71" i="15"/>
  <c r="G72" i="15"/>
  <c r="H72" i="15"/>
  <c r="G73" i="15"/>
  <c r="H73" i="15"/>
  <c r="G74" i="15"/>
  <c r="H74" i="15"/>
  <c r="G75" i="15"/>
  <c r="H75" i="15"/>
  <c r="G76" i="15"/>
  <c r="H76" i="15"/>
  <c r="G77" i="15"/>
  <c r="H77" i="15"/>
  <c r="G78" i="15"/>
  <c r="H78" i="15"/>
  <c r="G79" i="15"/>
  <c r="H79" i="15"/>
  <c r="G80" i="15"/>
  <c r="H80" i="15"/>
  <c r="G81" i="15"/>
  <c r="H81" i="15"/>
  <c r="G82" i="15"/>
  <c r="H82" i="15"/>
  <c r="G83" i="15"/>
  <c r="H83" i="15"/>
  <c r="G84" i="15"/>
  <c r="H84" i="15"/>
  <c r="G85" i="15"/>
  <c r="H85" i="15"/>
  <c r="G86" i="15"/>
  <c r="H86" i="15"/>
  <c r="G87" i="15"/>
  <c r="H87" i="15"/>
  <c r="G88" i="15"/>
  <c r="H88" i="15"/>
  <c r="G89" i="15"/>
  <c r="H89" i="15"/>
  <c r="G90" i="15"/>
  <c r="H90" i="15"/>
  <c r="G91" i="15"/>
  <c r="H91" i="15"/>
  <c r="G92" i="15"/>
  <c r="H92" i="15"/>
  <c r="G93" i="15"/>
  <c r="H93" i="15"/>
  <c r="G94" i="15"/>
  <c r="H94" i="15"/>
  <c r="G95" i="15"/>
  <c r="H95" i="15"/>
  <c r="G96" i="15"/>
  <c r="H96" i="15"/>
  <c r="G97" i="15"/>
  <c r="H97" i="15"/>
  <c r="G98" i="15"/>
  <c r="H98" i="15"/>
  <c r="G99" i="15"/>
  <c r="H99" i="15"/>
  <c r="G100" i="15"/>
  <c r="H100" i="15"/>
  <c r="G101" i="15"/>
  <c r="H101" i="15"/>
  <c r="G102" i="15"/>
  <c r="H102" i="15"/>
  <c r="G103" i="15"/>
  <c r="H103" i="15"/>
  <c r="G104" i="15"/>
  <c r="H104" i="15"/>
  <c r="G105" i="15"/>
  <c r="H105" i="15"/>
  <c r="G106" i="15"/>
  <c r="H106" i="15"/>
  <c r="G107" i="15"/>
  <c r="H107" i="15"/>
  <c r="G108" i="15"/>
  <c r="H108" i="15"/>
  <c r="G109" i="15"/>
  <c r="H109" i="15"/>
  <c r="G110" i="15"/>
  <c r="H110" i="15"/>
  <c r="G111" i="15"/>
  <c r="H111" i="15"/>
  <c r="G112" i="15"/>
  <c r="H112" i="15"/>
  <c r="G113" i="15"/>
  <c r="H113" i="15"/>
  <c r="G114" i="15"/>
  <c r="H114" i="15"/>
  <c r="G115" i="15"/>
  <c r="H115" i="15"/>
  <c r="G116" i="15"/>
  <c r="H116" i="15"/>
  <c r="G117" i="15"/>
  <c r="H117" i="15"/>
  <c r="G118" i="15"/>
  <c r="H118" i="15"/>
  <c r="G119" i="15"/>
  <c r="H119" i="15"/>
  <c r="G120" i="15"/>
  <c r="H120" i="15"/>
  <c r="G121" i="15"/>
  <c r="H121" i="15"/>
  <c r="G122" i="15"/>
  <c r="H122" i="15"/>
  <c r="G123" i="15"/>
  <c r="H123" i="15"/>
  <c r="G124" i="15"/>
  <c r="H124" i="15"/>
  <c r="G125" i="15"/>
  <c r="H125" i="15"/>
  <c r="G126" i="15"/>
  <c r="H126" i="15"/>
  <c r="G127" i="15"/>
  <c r="H127" i="15"/>
  <c r="G128" i="15"/>
  <c r="H128" i="15"/>
  <c r="G129" i="15"/>
  <c r="H129" i="15"/>
  <c r="G130" i="15"/>
  <c r="H130" i="15"/>
  <c r="G131" i="15"/>
  <c r="H131" i="15"/>
  <c r="G132" i="15"/>
  <c r="H132" i="15"/>
  <c r="G133" i="15"/>
  <c r="H133" i="15"/>
  <c r="G134" i="15"/>
  <c r="H134" i="15"/>
  <c r="G135" i="15"/>
  <c r="H135" i="15"/>
  <c r="G136" i="15"/>
  <c r="H136" i="15"/>
  <c r="G137" i="15"/>
  <c r="H137" i="15"/>
  <c r="G138" i="15"/>
  <c r="H138" i="15"/>
  <c r="G139" i="15"/>
  <c r="H139" i="15"/>
  <c r="G140" i="15"/>
  <c r="H140" i="15"/>
  <c r="G141" i="15"/>
  <c r="H141" i="15"/>
  <c r="G142" i="15"/>
  <c r="H142" i="15"/>
  <c r="G143" i="15"/>
  <c r="H143" i="15"/>
  <c r="G144" i="15"/>
  <c r="H144" i="15"/>
  <c r="G145" i="15"/>
  <c r="H145" i="15"/>
  <c r="G146" i="15"/>
  <c r="H146" i="15"/>
  <c r="G147" i="15"/>
  <c r="H147" i="15"/>
  <c r="G148" i="15"/>
  <c r="H148" i="15"/>
  <c r="G149" i="15"/>
  <c r="H149" i="15"/>
  <c r="G150" i="15"/>
  <c r="H150" i="15"/>
  <c r="G151" i="15"/>
  <c r="H151" i="15"/>
  <c r="G152" i="15"/>
  <c r="H152" i="15"/>
  <c r="G153" i="15"/>
  <c r="H153" i="15"/>
  <c r="G154" i="15"/>
  <c r="H154" i="15"/>
  <c r="G155" i="15"/>
  <c r="H155" i="15"/>
  <c r="G156" i="15"/>
  <c r="H156" i="15"/>
  <c r="G157" i="15"/>
  <c r="H157" i="15"/>
  <c r="G158" i="15"/>
  <c r="H158" i="15"/>
  <c r="G159" i="15"/>
  <c r="H159" i="15"/>
  <c r="G160" i="15"/>
  <c r="H160" i="15"/>
  <c r="G161" i="15"/>
  <c r="H161" i="15"/>
  <c r="G162" i="15"/>
  <c r="H162" i="15"/>
  <c r="G163" i="15"/>
  <c r="H163" i="15"/>
  <c r="G164" i="15"/>
  <c r="H164" i="15"/>
  <c r="G165" i="15"/>
  <c r="H165" i="15"/>
  <c r="G166" i="15"/>
  <c r="H166" i="15"/>
  <c r="G167" i="15"/>
  <c r="H167" i="15"/>
  <c r="G168" i="15"/>
  <c r="H168" i="15"/>
  <c r="G169" i="15"/>
  <c r="H169" i="15"/>
  <c r="G170" i="15"/>
  <c r="H170" i="15"/>
  <c r="G171" i="15"/>
  <c r="H171" i="15"/>
  <c r="G172" i="15"/>
  <c r="H172" i="15"/>
  <c r="G173" i="15"/>
  <c r="H173" i="15"/>
  <c r="G174" i="15"/>
  <c r="H174" i="15"/>
  <c r="G175" i="15"/>
  <c r="H175" i="15"/>
  <c r="G176" i="15"/>
  <c r="H176" i="15"/>
  <c r="G177" i="15"/>
  <c r="H177" i="15"/>
  <c r="G178" i="15"/>
  <c r="H178" i="15"/>
  <c r="G179" i="15"/>
  <c r="H179" i="15"/>
  <c r="G180" i="15"/>
  <c r="H180" i="15"/>
  <c r="G181" i="15"/>
  <c r="H181" i="15"/>
  <c r="G182" i="15"/>
  <c r="H182" i="15"/>
  <c r="G183" i="15"/>
  <c r="H183" i="15"/>
  <c r="G184" i="15"/>
  <c r="H184" i="15"/>
  <c r="G185" i="15"/>
  <c r="H185" i="15"/>
  <c r="G186" i="15"/>
  <c r="H186" i="15"/>
  <c r="G187" i="15"/>
  <c r="H187" i="15"/>
  <c r="G188" i="15"/>
  <c r="H188" i="15"/>
  <c r="G189" i="15"/>
  <c r="H189" i="15"/>
  <c r="G190" i="15"/>
  <c r="H190" i="15"/>
  <c r="G191" i="15"/>
  <c r="H191" i="15"/>
  <c r="G192" i="15"/>
  <c r="H192" i="15"/>
  <c r="G193" i="15"/>
  <c r="H193" i="15"/>
  <c r="G194" i="15"/>
  <c r="H194" i="15"/>
  <c r="G195" i="15"/>
  <c r="H195" i="15"/>
  <c r="G196" i="15"/>
  <c r="H196" i="15"/>
  <c r="G197" i="15"/>
  <c r="H197" i="15"/>
  <c r="G198" i="15"/>
  <c r="H198" i="15"/>
  <c r="G199" i="15"/>
  <c r="H199" i="15"/>
  <c r="G200" i="15"/>
  <c r="H200" i="15"/>
  <c r="G201" i="15"/>
  <c r="H201" i="15"/>
  <c r="G202" i="15"/>
  <c r="H202" i="15"/>
  <c r="G203" i="15"/>
  <c r="H203" i="15"/>
  <c r="G204" i="15"/>
  <c r="H204" i="15"/>
  <c r="G205" i="15"/>
  <c r="H205" i="15"/>
  <c r="G206" i="15"/>
  <c r="H206" i="15"/>
  <c r="G207" i="15"/>
  <c r="H207" i="15"/>
  <c r="G208" i="15"/>
  <c r="H208" i="15"/>
  <c r="G209" i="15"/>
  <c r="H209" i="15"/>
  <c r="G210" i="15"/>
  <c r="H210" i="15"/>
  <c r="G211" i="15"/>
  <c r="H211" i="15"/>
  <c r="G212" i="15"/>
  <c r="H212" i="15"/>
  <c r="G213" i="15"/>
  <c r="H213" i="15"/>
  <c r="G214" i="15"/>
  <c r="H214" i="15"/>
  <c r="G215" i="15"/>
  <c r="H215" i="15"/>
  <c r="G216" i="15"/>
  <c r="H216" i="15"/>
  <c r="G217" i="15"/>
  <c r="H217" i="15"/>
  <c r="G218" i="15"/>
  <c r="H218" i="15"/>
  <c r="G219" i="15"/>
  <c r="H219" i="15"/>
  <c r="G220" i="15"/>
  <c r="H220" i="15"/>
  <c r="G221" i="15"/>
  <c r="H221" i="15"/>
  <c r="G222" i="15"/>
  <c r="H222" i="15"/>
  <c r="G223" i="15"/>
  <c r="H223" i="15"/>
  <c r="G224" i="15"/>
  <c r="H224" i="15"/>
  <c r="G225" i="15"/>
  <c r="H225" i="15"/>
  <c r="G226" i="15"/>
  <c r="H226" i="15"/>
  <c r="G227" i="15"/>
  <c r="H227" i="15"/>
  <c r="G228" i="15"/>
  <c r="H228" i="15"/>
  <c r="G229" i="15"/>
  <c r="H229" i="15"/>
  <c r="G230" i="15"/>
  <c r="H230" i="15"/>
  <c r="G231" i="15"/>
  <c r="H231" i="15"/>
  <c r="G232" i="15"/>
  <c r="H232" i="15"/>
  <c r="G233" i="15"/>
  <c r="H233" i="15"/>
  <c r="G234" i="15"/>
  <c r="H234" i="15"/>
  <c r="G235" i="15"/>
  <c r="H235" i="15"/>
  <c r="G236" i="15"/>
  <c r="H236" i="15"/>
  <c r="G237" i="15"/>
  <c r="H237" i="15"/>
  <c r="G238" i="15"/>
  <c r="H238" i="15"/>
  <c r="G239" i="15"/>
  <c r="H239" i="15"/>
  <c r="G240" i="15"/>
  <c r="H240" i="15"/>
  <c r="G241" i="15"/>
  <c r="H241" i="15"/>
  <c r="G242" i="15"/>
  <c r="H242" i="15"/>
  <c r="G243" i="15"/>
  <c r="H243" i="15"/>
  <c r="G244" i="15"/>
  <c r="H244" i="15"/>
  <c r="G245" i="15"/>
  <c r="H245" i="15"/>
  <c r="G246" i="15"/>
  <c r="H246" i="15"/>
  <c r="G247" i="15"/>
  <c r="H247" i="15"/>
  <c r="G248" i="15"/>
  <c r="H248" i="15"/>
  <c r="G249" i="15"/>
  <c r="H249" i="15"/>
  <c r="G250" i="15"/>
  <c r="H250" i="15"/>
  <c r="G251" i="15"/>
  <c r="H251" i="15"/>
  <c r="G252" i="15"/>
  <c r="H252" i="15"/>
  <c r="G253" i="15"/>
  <c r="H253" i="15"/>
  <c r="G254" i="15"/>
  <c r="H254" i="15"/>
  <c r="G255" i="15"/>
  <c r="H255" i="15"/>
  <c r="G256" i="15"/>
  <c r="H256" i="15"/>
  <c r="G257" i="15"/>
  <c r="H257" i="15"/>
  <c r="G258" i="15"/>
  <c r="H258" i="15"/>
  <c r="G259" i="15"/>
  <c r="H259" i="15"/>
  <c r="G260" i="15"/>
  <c r="H260" i="15"/>
  <c r="G261" i="15"/>
  <c r="H261" i="15"/>
  <c r="G262" i="15"/>
  <c r="H262" i="15"/>
  <c r="G263" i="15"/>
  <c r="H263" i="15"/>
  <c r="G264" i="15"/>
  <c r="H264" i="15"/>
  <c r="G265" i="15"/>
  <c r="H265" i="15"/>
  <c r="G266" i="15"/>
  <c r="H266" i="15"/>
  <c r="G267" i="15"/>
  <c r="H267" i="15"/>
  <c r="G268" i="15"/>
  <c r="H268" i="15"/>
  <c r="G269" i="15"/>
  <c r="H269" i="15"/>
  <c r="G270" i="15"/>
  <c r="H270" i="15"/>
  <c r="G271" i="15"/>
  <c r="H271" i="15"/>
  <c r="G272" i="15"/>
  <c r="H272" i="15"/>
  <c r="G273" i="15"/>
  <c r="H273" i="15"/>
  <c r="G274" i="15"/>
  <c r="H274" i="15"/>
  <c r="G275" i="15"/>
  <c r="H275" i="15"/>
  <c r="G276" i="15"/>
  <c r="H276" i="15"/>
  <c r="G277" i="15"/>
  <c r="H277" i="15"/>
  <c r="G278" i="15"/>
  <c r="H278" i="15"/>
  <c r="G279" i="15"/>
  <c r="H279" i="15"/>
  <c r="G280" i="15"/>
  <c r="H280" i="15"/>
  <c r="G281" i="15"/>
  <c r="H281" i="15"/>
  <c r="G282" i="15"/>
  <c r="H282" i="15"/>
  <c r="G283" i="15"/>
  <c r="H283" i="15"/>
  <c r="G284" i="15"/>
  <c r="H284" i="15"/>
  <c r="G285" i="15"/>
  <c r="H285" i="15"/>
  <c r="G286" i="15"/>
  <c r="H286" i="15"/>
  <c r="G287" i="15"/>
  <c r="H287" i="15"/>
  <c r="G288" i="15"/>
  <c r="H288" i="15"/>
  <c r="G289" i="15"/>
  <c r="H289" i="15"/>
  <c r="G290" i="15"/>
  <c r="H290" i="15"/>
  <c r="G291" i="15"/>
  <c r="H291" i="15"/>
  <c r="G292" i="15"/>
  <c r="H292" i="15"/>
  <c r="G293" i="15"/>
  <c r="H293" i="15"/>
  <c r="G294" i="15"/>
  <c r="H294" i="15"/>
  <c r="G295" i="15"/>
  <c r="H295" i="15"/>
  <c r="G296" i="15"/>
  <c r="H296" i="15"/>
  <c r="G297" i="15"/>
  <c r="H297" i="15"/>
  <c r="G298" i="15"/>
  <c r="H298" i="15"/>
  <c r="G299" i="15"/>
  <c r="H299" i="15"/>
  <c r="G300" i="15"/>
  <c r="H300" i="15"/>
  <c r="G301" i="15"/>
  <c r="H301" i="15"/>
  <c r="G302" i="15"/>
  <c r="H302" i="15"/>
  <c r="G303" i="15"/>
  <c r="H303" i="15"/>
  <c r="G304" i="15"/>
  <c r="H304" i="15"/>
  <c r="G305" i="15"/>
  <c r="H305" i="15"/>
  <c r="G306" i="15"/>
  <c r="H306" i="15"/>
  <c r="G307" i="15"/>
  <c r="H307" i="15"/>
  <c r="G308" i="15"/>
  <c r="H308" i="15"/>
  <c r="G309" i="15"/>
  <c r="H309" i="15"/>
  <c r="G310" i="15"/>
  <c r="H310" i="15"/>
  <c r="G311" i="15"/>
  <c r="H311" i="15"/>
  <c r="G312" i="15"/>
  <c r="H312" i="15"/>
  <c r="G313" i="15"/>
  <c r="H313" i="15"/>
  <c r="G314" i="15"/>
  <c r="H314" i="15"/>
  <c r="G315" i="15"/>
  <c r="H315" i="15"/>
  <c r="G316" i="15"/>
  <c r="H316" i="15"/>
  <c r="G317" i="15"/>
  <c r="H317" i="15"/>
  <c r="G318" i="15"/>
  <c r="H318" i="15"/>
  <c r="G319" i="15"/>
  <c r="H319" i="15"/>
  <c r="G320" i="15"/>
  <c r="H320" i="15"/>
  <c r="G321" i="15"/>
  <c r="H321" i="15"/>
  <c r="G322" i="15"/>
  <c r="H322" i="15"/>
  <c r="G323" i="15"/>
  <c r="H323" i="15"/>
  <c r="G324" i="15"/>
  <c r="H324" i="15"/>
  <c r="G325" i="15"/>
  <c r="H325" i="15"/>
  <c r="G326" i="15"/>
  <c r="H326" i="15"/>
  <c r="G327" i="15"/>
  <c r="H327" i="15"/>
  <c r="G328" i="15"/>
  <c r="H328" i="15"/>
  <c r="G329" i="15"/>
  <c r="H329" i="15"/>
  <c r="G330" i="15"/>
  <c r="H330" i="15"/>
  <c r="G331" i="15"/>
  <c r="H331" i="15"/>
  <c r="G332" i="15"/>
  <c r="H332" i="15"/>
  <c r="G333" i="15"/>
  <c r="H333" i="15"/>
  <c r="G334" i="15"/>
  <c r="H334" i="15"/>
  <c r="G335" i="15"/>
  <c r="H335" i="15"/>
  <c r="G336" i="15"/>
  <c r="H336" i="15"/>
  <c r="G337" i="15"/>
  <c r="H337" i="15"/>
  <c r="G338" i="15"/>
  <c r="H338" i="15"/>
  <c r="G339" i="15"/>
  <c r="H339" i="15"/>
  <c r="G340" i="15"/>
  <c r="H340" i="15"/>
  <c r="G341" i="15"/>
  <c r="H341" i="15"/>
  <c r="G342" i="15"/>
  <c r="H342" i="15"/>
  <c r="G343" i="15"/>
  <c r="H343" i="15"/>
  <c r="G344" i="15"/>
  <c r="H344" i="15"/>
  <c r="G345" i="15"/>
  <c r="H345" i="15"/>
  <c r="G346" i="15"/>
  <c r="H346" i="15"/>
  <c r="G347" i="15"/>
  <c r="H347" i="15"/>
  <c r="G348" i="15"/>
  <c r="H348" i="15"/>
  <c r="G349" i="15"/>
  <c r="H349" i="15"/>
  <c r="G350" i="15"/>
  <c r="H350" i="15"/>
  <c r="G351" i="15"/>
  <c r="H351" i="15"/>
  <c r="G352" i="15"/>
  <c r="H352" i="15"/>
  <c r="G353" i="15"/>
  <c r="H353" i="15"/>
  <c r="G354" i="15"/>
  <c r="H354" i="15"/>
  <c r="G355" i="15"/>
  <c r="H355" i="15"/>
  <c r="G356" i="15"/>
  <c r="H356" i="15"/>
  <c r="G357" i="15"/>
  <c r="H357" i="15"/>
  <c r="G358" i="15"/>
  <c r="H358" i="15"/>
  <c r="G359" i="15"/>
  <c r="H359" i="15"/>
  <c r="G360" i="15"/>
  <c r="H360" i="15"/>
  <c r="G361" i="15"/>
  <c r="H361" i="15"/>
  <c r="G362" i="15"/>
  <c r="H362" i="15"/>
  <c r="G363" i="15"/>
  <c r="H363" i="15"/>
  <c r="G364" i="15"/>
  <c r="H364" i="15"/>
  <c r="G365" i="15"/>
  <c r="H365" i="15"/>
  <c r="G366" i="15"/>
  <c r="H366" i="15"/>
  <c r="G367" i="15"/>
  <c r="H367" i="15"/>
  <c r="G368" i="15"/>
  <c r="H368" i="15"/>
  <c r="G369" i="15"/>
  <c r="H369" i="15"/>
  <c r="G370" i="15"/>
  <c r="H370" i="15"/>
  <c r="G371" i="15"/>
  <c r="H371" i="15"/>
  <c r="G372" i="15"/>
  <c r="H372" i="15"/>
  <c r="G373" i="15"/>
  <c r="H373" i="15"/>
  <c r="G374" i="15"/>
  <c r="H374" i="15"/>
  <c r="G375" i="15"/>
  <c r="H375" i="15"/>
  <c r="G376" i="15"/>
  <c r="H376" i="15"/>
  <c r="G377" i="15"/>
  <c r="H377" i="15"/>
  <c r="G378" i="15"/>
  <c r="H378" i="15"/>
  <c r="G379" i="15"/>
  <c r="H379" i="15"/>
  <c r="G380" i="15"/>
  <c r="H380" i="15"/>
  <c r="G381" i="15"/>
  <c r="H381" i="15"/>
  <c r="G382" i="15"/>
  <c r="H382" i="15"/>
  <c r="G383" i="15"/>
  <c r="H383" i="15"/>
  <c r="G384" i="15"/>
  <c r="H384" i="15"/>
  <c r="G385" i="15"/>
  <c r="H385" i="15"/>
  <c r="G386" i="15"/>
  <c r="H386" i="15"/>
  <c r="G387" i="15"/>
  <c r="H387" i="15"/>
  <c r="G388" i="15"/>
  <c r="H388" i="15"/>
  <c r="G389" i="15"/>
  <c r="H389" i="15"/>
  <c r="G390" i="15"/>
  <c r="H390" i="15"/>
  <c r="G391" i="15"/>
  <c r="H391" i="15"/>
  <c r="G392" i="15"/>
  <c r="H392" i="15"/>
  <c r="G393" i="15"/>
  <c r="H393" i="15"/>
  <c r="G394" i="15"/>
  <c r="H394" i="15"/>
  <c r="G395" i="15"/>
  <c r="H395" i="15"/>
  <c r="G396" i="15"/>
  <c r="H396" i="15"/>
  <c r="G397" i="15"/>
  <c r="H397" i="15"/>
  <c r="G398" i="15"/>
  <c r="H398" i="15"/>
  <c r="G399" i="15"/>
  <c r="H399" i="15"/>
  <c r="G400" i="15"/>
  <c r="H400" i="15"/>
  <c r="G401" i="15"/>
  <c r="H401" i="15"/>
  <c r="G402" i="15"/>
  <c r="H402" i="15"/>
  <c r="G403" i="15"/>
  <c r="H403" i="15"/>
  <c r="G404" i="15"/>
  <c r="H404" i="15"/>
  <c r="G405" i="15"/>
  <c r="H405" i="15"/>
  <c r="G406" i="15"/>
  <c r="H406" i="15"/>
  <c r="G407" i="15"/>
  <c r="H407" i="15"/>
  <c r="G408" i="15"/>
  <c r="H408" i="15"/>
  <c r="G409" i="15"/>
  <c r="H409" i="15"/>
  <c r="G410" i="15"/>
  <c r="H410" i="15"/>
  <c r="G411" i="15"/>
  <c r="H411" i="15"/>
  <c r="G412" i="15"/>
  <c r="H412" i="15"/>
  <c r="G413" i="15"/>
  <c r="H413" i="15"/>
  <c r="G414" i="15"/>
  <c r="H414" i="15"/>
  <c r="G415" i="15"/>
  <c r="H415" i="15"/>
  <c r="G416" i="15"/>
  <c r="H416" i="15"/>
  <c r="G417" i="15"/>
  <c r="H417" i="15"/>
  <c r="G418" i="15"/>
  <c r="H418" i="15"/>
  <c r="G419" i="15"/>
  <c r="H419" i="15"/>
  <c r="G420" i="15"/>
  <c r="H420" i="15"/>
  <c r="G421" i="15"/>
  <c r="H421" i="15"/>
  <c r="G422" i="15"/>
  <c r="H422" i="15"/>
  <c r="G423" i="15"/>
  <c r="H423" i="15"/>
  <c r="G424" i="15"/>
  <c r="H424" i="15"/>
  <c r="G425" i="15"/>
  <c r="H425" i="15"/>
  <c r="G426" i="15"/>
  <c r="H426" i="15"/>
  <c r="G427" i="15"/>
  <c r="H427" i="15"/>
  <c r="G428" i="15"/>
  <c r="H428" i="15"/>
  <c r="G429" i="15"/>
  <c r="H429" i="15"/>
  <c r="G430" i="15"/>
  <c r="H430" i="15"/>
  <c r="G431" i="15"/>
  <c r="H431" i="15"/>
  <c r="G432" i="15"/>
  <c r="H432" i="15"/>
  <c r="G433" i="15"/>
  <c r="H433" i="15"/>
  <c r="G434" i="15"/>
  <c r="H434" i="15"/>
  <c r="G435" i="15"/>
  <c r="H435" i="15"/>
  <c r="G436" i="15"/>
  <c r="H436" i="15"/>
  <c r="G437" i="15"/>
  <c r="H437" i="15"/>
  <c r="G438" i="15"/>
  <c r="H438" i="15"/>
  <c r="G439" i="15"/>
  <c r="H439" i="15"/>
  <c r="G440" i="15"/>
  <c r="H440" i="15"/>
  <c r="G441" i="15"/>
  <c r="H441" i="15"/>
  <c r="G442" i="15"/>
  <c r="H442" i="15"/>
  <c r="G443" i="15"/>
  <c r="H443" i="15"/>
  <c r="G444" i="15"/>
  <c r="H444" i="15"/>
  <c r="G445" i="15"/>
  <c r="H445" i="15"/>
  <c r="G446" i="15"/>
  <c r="H446" i="15"/>
  <c r="G447" i="15"/>
  <c r="H447" i="15"/>
  <c r="G448" i="15"/>
  <c r="H448" i="15"/>
  <c r="G449" i="15"/>
  <c r="H449" i="15"/>
  <c r="G450" i="15"/>
  <c r="H450" i="15"/>
  <c r="G451" i="15"/>
  <c r="H451" i="15"/>
  <c r="G452" i="15"/>
  <c r="H452" i="15"/>
  <c r="G453" i="15"/>
  <c r="H453" i="15"/>
  <c r="G454" i="15"/>
  <c r="H454" i="15"/>
  <c r="G455" i="15"/>
  <c r="H455" i="15"/>
  <c r="G456" i="15"/>
  <c r="H456" i="15"/>
  <c r="G457" i="15"/>
  <c r="H457" i="15"/>
  <c r="G458" i="15"/>
  <c r="H458" i="15"/>
  <c r="G459" i="15"/>
  <c r="H459" i="15"/>
  <c r="G460" i="15"/>
  <c r="H460" i="15"/>
  <c r="G461" i="15"/>
  <c r="H461" i="15"/>
  <c r="G462" i="15"/>
  <c r="H462" i="15"/>
  <c r="G463" i="15"/>
  <c r="H463" i="15"/>
  <c r="G464" i="15"/>
  <c r="H464" i="15"/>
  <c r="G465" i="15"/>
  <c r="H465" i="15"/>
  <c r="G466" i="15"/>
  <c r="H466" i="15"/>
  <c r="G467" i="15"/>
  <c r="H467" i="15"/>
  <c r="G468" i="15"/>
  <c r="H468" i="15"/>
  <c r="G469" i="15"/>
  <c r="H469" i="15"/>
  <c r="G470" i="15"/>
  <c r="H470" i="15"/>
  <c r="G471" i="15"/>
  <c r="H471" i="15"/>
  <c r="G472" i="15"/>
  <c r="H472" i="15"/>
  <c r="G473" i="15"/>
  <c r="H473" i="15"/>
  <c r="G474" i="15"/>
  <c r="H474" i="15"/>
  <c r="G475" i="15"/>
  <c r="H475" i="15"/>
  <c r="G476" i="15"/>
  <c r="H476" i="15"/>
  <c r="G477" i="15"/>
  <c r="H477" i="15"/>
  <c r="G478" i="15"/>
  <c r="H478" i="15"/>
  <c r="G479" i="15"/>
  <c r="H479" i="15"/>
  <c r="G480" i="15"/>
  <c r="H480" i="15"/>
  <c r="G481" i="15"/>
  <c r="H481" i="15"/>
  <c r="G482" i="15"/>
  <c r="H482" i="15"/>
  <c r="G483" i="15"/>
  <c r="H483" i="15"/>
  <c r="G484" i="15"/>
  <c r="H484" i="15"/>
  <c r="G485" i="15"/>
  <c r="H485" i="15"/>
  <c r="G486" i="15"/>
  <c r="H486" i="15"/>
  <c r="G487" i="15"/>
  <c r="H487" i="15"/>
  <c r="G488" i="15"/>
  <c r="H488" i="15"/>
  <c r="G489" i="15"/>
  <c r="H489" i="15"/>
  <c r="G490" i="15"/>
  <c r="H490" i="15"/>
  <c r="G491" i="15"/>
  <c r="H491" i="15"/>
  <c r="G492" i="15"/>
  <c r="H492" i="15"/>
  <c r="G493" i="15"/>
  <c r="H493" i="15"/>
  <c r="G494" i="15"/>
  <c r="H494" i="15"/>
  <c r="G495" i="15"/>
  <c r="H495" i="15"/>
  <c r="G496" i="15"/>
  <c r="H496" i="15"/>
  <c r="G497" i="15"/>
  <c r="H497" i="15"/>
  <c r="G498" i="15"/>
  <c r="H498" i="15"/>
  <c r="G499" i="15"/>
  <c r="H499" i="15"/>
  <c r="G500" i="15"/>
  <c r="H500" i="15"/>
  <c r="G501" i="15"/>
  <c r="H501" i="15"/>
  <c r="G502" i="15"/>
  <c r="H502" i="15"/>
  <c r="G503" i="15"/>
  <c r="H503" i="15"/>
  <c r="G504" i="15"/>
  <c r="H504" i="15"/>
  <c r="G505" i="15"/>
  <c r="H505" i="15"/>
  <c r="G506" i="15"/>
  <c r="H506" i="15"/>
  <c r="G507" i="15"/>
  <c r="H507" i="15"/>
  <c r="G508" i="15"/>
  <c r="H508" i="15"/>
  <c r="G509" i="15"/>
  <c r="H509" i="15"/>
  <c r="G510" i="15"/>
  <c r="H510" i="15"/>
  <c r="G511" i="15"/>
  <c r="H511" i="15"/>
  <c r="G512" i="15"/>
  <c r="H512" i="15"/>
  <c r="G513" i="15"/>
  <c r="H513" i="15"/>
  <c r="G514" i="15"/>
  <c r="H514" i="15"/>
  <c r="G515" i="15"/>
  <c r="H515" i="15"/>
  <c r="G516" i="15"/>
  <c r="H516" i="15"/>
  <c r="G517" i="15"/>
  <c r="H517" i="15"/>
  <c r="G518" i="15"/>
  <c r="H518" i="15"/>
  <c r="G519" i="15"/>
  <c r="H519" i="15"/>
  <c r="G520" i="15"/>
  <c r="H520" i="15"/>
  <c r="G521" i="15"/>
  <c r="H521" i="15"/>
  <c r="G522" i="15"/>
  <c r="H522" i="15"/>
  <c r="G523" i="15"/>
  <c r="H523" i="15"/>
  <c r="G524" i="15"/>
  <c r="H524" i="15"/>
  <c r="G525" i="15"/>
  <c r="H525" i="15"/>
  <c r="G526" i="15"/>
  <c r="H526" i="15"/>
  <c r="G527" i="15"/>
  <c r="H527" i="15"/>
  <c r="G528" i="15"/>
  <c r="H528" i="15"/>
  <c r="G529" i="15"/>
  <c r="H529" i="15"/>
  <c r="G530" i="15"/>
  <c r="H530" i="15"/>
  <c r="G531" i="15"/>
  <c r="H531" i="15"/>
  <c r="G532" i="15"/>
  <c r="H532" i="15"/>
  <c r="G533" i="15"/>
  <c r="H533" i="15"/>
  <c r="G534" i="15"/>
  <c r="H534" i="15"/>
  <c r="G535" i="15"/>
  <c r="H535" i="15"/>
  <c r="G536" i="15"/>
  <c r="H536" i="15"/>
  <c r="G537" i="15"/>
  <c r="H537" i="15"/>
  <c r="G538" i="15"/>
  <c r="H538" i="15"/>
  <c r="G539" i="15"/>
  <c r="H539" i="15"/>
  <c r="G540" i="15"/>
  <c r="H540" i="15"/>
  <c r="G541" i="15"/>
  <c r="H541" i="15"/>
  <c r="G542" i="15"/>
  <c r="H542" i="15"/>
  <c r="G543" i="15"/>
  <c r="H543" i="15"/>
  <c r="G544" i="15"/>
  <c r="H544" i="15"/>
  <c r="G545" i="15"/>
  <c r="H545" i="15"/>
  <c r="G546" i="15"/>
  <c r="H546" i="15"/>
  <c r="G547" i="15"/>
  <c r="H547" i="15"/>
  <c r="G548" i="15"/>
  <c r="H548" i="15"/>
  <c r="G549" i="15"/>
  <c r="H549" i="15"/>
  <c r="G550" i="15"/>
  <c r="H550" i="15"/>
  <c r="G551" i="15"/>
  <c r="H551" i="15"/>
  <c r="G552" i="15"/>
  <c r="H552" i="15"/>
  <c r="G553" i="15"/>
  <c r="H553" i="15"/>
  <c r="G554" i="15"/>
  <c r="H554" i="15"/>
  <c r="G555" i="15"/>
  <c r="H555" i="15"/>
  <c r="G556" i="15"/>
  <c r="H556" i="15"/>
  <c r="G557" i="15"/>
  <c r="H557" i="15"/>
  <c r="G558" i="15"/>
  <c r="H558" i="15"/>
  <c r="G559" i="15"/>
  <c r="H559" i="15"/>
  <c r="G560" i="15"/>
  <c r="H560" i="15"/>
  <c r="G561" i="15"/>
  <c r="H561" i="15"/>
  <c r="G562" i="15"/>
  <c r="H562" i="15"/>
  <c r="G563" i="15"/>
  <c r="H563" i="15"/>
  <c r="G564" i="15"/>
  <c r="H564" i="15"/>
  <c r="G565" i="15"/>
  <c r="H565" i="15"/>
  <c r="G566" i="15"/>
  <c r="H566" i="15"/>
  <c r="G567" i="15"/>
  <c r="H567" i="15"/>
  <c r="G568" i="15"/>
  <c r="H568" i="15"/>
  <c r="G569" i="15"/>
  <c r="H569" i="15"/>
  <c r="G570" i="15"/>
  <c r="H570" i="15"/>
  <c r="G571" i="15"/>
  <c r="H571" i="15"/>
  <c r="G572" i="15"/>
  <c r="H572" i="15"/>
  <c r="G573" i="15"/>
  <c r="H573" i="15"/>
  <c r="G574" i="15"/>
  <c r="H574" i="15"/>
  <c r="G575" i="15"/>
  <c r="H575" i="15"/>
  <c r="G576" i="15"/>
  <c r="H576" i="15"/>
  <c r="G577" i="15"/>
  <c r="H577" i="15"/>
  <c r="G578" i="15"/>
  <c r="H578" i="15"/>
  <c r="G579" i="15"/>
  <c r="H579" i="15"/>
  <c r="G580" i="15"/>
  <c r="H580" i="15"/>
  <c r="G581" i="15"/>
  <c r="H581" i="15"/>
  <c r="G582" i="15"/>
  <c r="H582" i="15"/>
  <c r="G583" i="15"/>
  <c r="H583" i="15"/>
  <c r="G584" i="15"/>
  <c r="H584" i="15"/>
  <c r="G585" i="15"/>
  <c r="H585" i="15"/>
  <c r="G586" i="15"/>
  <c r="H586" i="15"/>
  <c r="G587" i="15"/>
  <c r="H587" i="15"/>
  <c r="G588" i="15"/>
  <c r="H588" i="15"/>
  <c r="G589" i="15"/>
  <c r="H589" i="15"/>
  <c r="G590" i="15"/>
  <c r="H590" i="15"/>
  <c r="G591" i="15"/>
  <c r="H591" i="15"/>
  <c r="G592" i="15"/>
  <c r="H592" i="15"/>
  <c r="G593" i="15"/>
  <c r="H593" i="15"/>
  <c r="G594" i="15"/>
  <c r="H594" i="15"/>
  <c r="G595" i="15"/>
  <c r="H595" i="15"/>
  <c r="G596" i="15"/>
  <c r="H596" i="15"/>
  <c r="G597" i="15"/>
  <c r="H597" i="15"/>
  <c r="G598" i="15"/>
  <c r="H598" i="15"/>
  <c r="G599" i="15"/>
  <c r="H599" i="15"/>
  <c r="G600" i="15"/>
  <c r="H600" i="15"/>
  <c r="G601" i="15"/>
  <c r="H601" i="15"/>
  <c r="G602" i="15"/>
  <c r="H602" i="15"/>
  <c r="G603" i="15"/>
  <c r="H603" i="15"/>
  <c r="G604" i="15"/>
  <c r="H604" i="15"/>
  <c r="G605" i="15"/>
  <c r="H605" i="15"/>
  <c r="G606" i="15"/>
  <c r="H606" i="15"/>
  <c r="G607" i="15"/>
  <c r="H607" i="15"/>
  <c r="G608" i="15"/>
  <c r="H608" i="15"/>
  <c r="G609" i="15"/>
  <c r="H609" i="15"/>
  <c r="G610" i="15"/>
  <c r="H610" i="15"/>
  <c r="G611" i="15"/>
  <c r="H611" i="15"/>
  <c r="G612" i="15"/>
  <c r="H612" i="15"/>
  <c r="G613" i="15"/>
  <c r="H613" i="15"/>
  <c r="G614" i="15"/>
  <c r="H614" i="15"/>
  <c r="G615" i="15"/>
  <c r="H615" i="15"/>
  <c r="G616" i="15"/>
  <c r="H616" i="15"/>
  <c r="G617" i="15"/>
  <c r="H617" i="15"/>
  <c r="G618" i="15"/>
  <c r="H618" i="15"/>
  <c r="G619" i="15"/>
  <c r="H619" i="15"/>
  <c r="G620" i="15"/>
  <c r="H620" i="15"/>
  <c r="G621" i="15"/>
  <c r="H621" i="15"/>
  <c r="G622" i="15"/>
  <c r="H622" i="15"/>
  <c r="G623" i="15"/>
  <c r="H623" i="15"/>
  <c r="G624" i="15"/>
  <c r="H624" i="15"/>
  <c r="G625" i="15"/>
  <c r="H625" i="15"/>
  <c r="G626" i="15"/>
  <c r="H626" i="15"/>
  <c r="G627" i="15"/>
  <c r="H627" i="15"/>
  <c r="G628" i="15"/>
  <c r="H628" i="15"/>
  <c r="G629" i="15"/>
  <c r="H629" i="15"/>
  <c r="G630" i="15"/>
  <c r="H630" i="15"/>
  <c r="G631" i="15"/>
  <c r="H631" i="15"/>
  <c r="G632" i="15"/>
  <c r="H632" i="15"/>
  <c r="G633" i="15"/>
  <c r="H633" i="15"/>
  <c r="G634" i="15"/>
  <c r="H634" i="15"/>
  <c r="G635" i="15"/>
  <c r="H635" i="15"/>
  <c r="G636" i="15"/>
  <c r="H636" i="15"/>
  <c r="G637" i="15"/>
  <c r="H637" i="15"/>
  <c r="G638" i="15"/>
  <c r="H638" i="15"/>
  <c r="G639" i="15"/>
  <c r="H639" i="15"/>
  <c r="G640" i="15"/>
  <c r="H640" i="15"/>
  <c r="G641" i="15"/>
  <c r="H641" i="15"/>
  <c r="G642" i="15"/>
  <c r="H642" i="15"/>
  <c r="G643" i="15"/>
  <c r="H643" i="15"/>
  <c r="G644" i="15"/>
  <c r="H644" i="15"/>
  <c r="G645" i="15"/>
  <c r="H645" i="15"/>
  <c r="G646" i="15"/>
  <c r="H646" i="15"/>
  <c r="G647" i="15"/>
  <c r="H647" i="15"/>
  <c r="G648" i="15"/>
  <c r="H648" i="15"/>
  <c r="G649" i="15"/>
  <c r="H649" i="15"/>
  <c r="G650" i="15"/>
  <c r="H650" i="15"/>
  <c r="G651" i="15"/>
  <c r="H651" i="15"/>
  <c r="G652" i="15"/>
  <c r="H652" i="15"/>
  <c r="G653" i="15"/>
  <c r="H653" i="15"/>
  <c r="G654" i="15"/>
  <c r="H654" i="15"/>
  <c r="G655" i="15"/>
  <c r="H655" i="15"/>
  <c r="G656" i="15"/>
  <c r="H656" i="15"/>
  <c r="G657" i="15"/>
  <c r="H657" i="15"/>
  <c r="G658" i="15"/>
  <c r="H658" i="15"/>
  <c r="G659" i="15"/>
  <c r="H659" i="15"/>
  <c r="G660" i="15"/>
  <c r="H660" i="15"/>
  <c r="G661" i="15"/>
  <c r="H661" i="15"/>
  <c r="G662" i="15"/>
  <c r="H662" i="15"/>
  <c r="G663" i="15"/>
  <c r="H663" i="15"/>
  <c r="G664" i="15"/>
  <c r="H664" i="15"/>
  <c r="G665" i="15"/>
  <c r="H665" i="15"/>
  <c r="G666" i="15"/>
  <c r="H666" i="15"/>
  <c r="G667" i="15"/>
  <c r="H667" i="15"/>
  <c r="G668" i="15"/>
  <c r="H668" i="15"/>
  <c r="G669" i="15"/>
  <c r="H669" i="15"/>
  <c r="G670" i="15"/>
  <c r="H670" i="15"/>
  <c r="G671" i="15"/>
  <c r="H671" i="15"/>
  <c r="G672" i="15"/>
  <c r="H672" i="15"/>
  <c r="G673" i="15"/>
  <c r="H673" i="15"/>
  <c r="G674" i="15"/>
  <c r="H674" i="15"/>
  <c r="G675" i="15"/>
  <c r="H675" i="15"/>
  <c r="G676" i="15"/>
  <c r="H676" i="15"/>
  <c r="G677" i="15"/>
  <c r="H677" i="15"/>
  <c r="G678" i="15"/>
  <c r="H678" i="15"/>
  <c r="G679" i="15"/>
  <c r="H679" i="15"/>
  <c r="G680" i="15"/>
  <c r="H680" i="15"/>
  <c r="G681" i="15"/>
  <c r="H681" i="15"/>
  <c r="G682" i="15"/>
  <c r="H682" i="15"/>
  <c r="G683" i="15"/>
  <c r="H683" i="15"/>
  <c r="G684" i="15"/>
  <c r="H684" i="15"/>
  <c r="G685" i="15"/>
  <c r="H685" i="15"/>
  <c r="G686" i="15"/>
  <c r="H686" i="15"/>
  <c r="G687" i="15"/>
  <c r="H687" i="15"/>
  <c r="G688" i="15"/>
  <c r="H688" i="15"/>
  <c r="G689" i="15"/>
  <c r="H689" i="15"/>
  <c r="G690" i="15"/>
  <c r="H690" i="15"/>
  <c r="G691" i="15"/>
  <c r="H691" i="15"/>
  <c r="G692" i="15"/>
  <c r="H692" i="15"/>
  <c r="G693" i="15"/>
  <c r="H693" i="15"/>
  <c r="G694" i="15"/>
  <c r="H694" i="15"/>
  <c r="G695" i="15"/>
  <c r="H695" i="15"/>
  <c r="G696" i="15"/>
  <c r="H696" i="15"/>
  <c r="G697" i="15"/>
  <c r="H697" i="15"/>
  <c r="G698" i="15"/>
  <c r="H698" i="15"/>
  <c r="G699" i="15"/>
  <c r="H699" i="15"/>
  <c r="G700" i="15"/>
  <c r="H700" i="15"/>
  <c r="G701" i="15"/>
  <c r="H701" i="15"/>
  <c r="G702" i="15"/>
  <c r="H702" i="15"/>
  <c r="G703" i="15"/>
  <c r="H703" i="15"/>
  <c r="G704" i="15"/>
  <c r="H704" i="15"/>
  <c r="G705" i="15"/>
  <c r="H705" i="15"/>
  <c r="G706" i="15"/>
  <c r="H706" i="15"/>
  <c r="G707" i="15"/>
  <c r="H707" i="15"/>
  <c r="G708" i="15"/>
  <c r="H708" i="15"/>
  <c r="H8" i="15"/>
  <c r="G8" i="15"/>
  <c r="E710" i="15"/>
  <c r="F709" i="15"/>
  <c r="E709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F8" i="15"/>
  <c r="E8" i="15"/>
  <c r="B9" i="15"/>
  <c r="C9" i="15"/>
  <c r="B10" i="15"/>
  <c r="C10" i="15"/>
  <c r="B11" i="15"/>
  <c r="C11" i="15"/>
  <c r="B12" i="15"/>
  <c r="C12" i="15"/>
  <c r="B13" i="15"/>
  <c r="C13" i="15"/>
  <c r="B14" i="15"/>
  <c r="C14" i="15"/>
  <c r="B15" i="15"/>
  <c r="C15" i="15"/>
  <c r="B16" i="15"/>
  <c r="C16" i="15"/>
  <c r="B17" i="15"/>
  <c r="C17" i="15"/>
  <c r="B18" i="15"/>
  <c r="C18" i="15"/>
  <c r="B19" i="15"/>
  <c r="C19" i="15"/>
  <c r="B20" i="15"/>
  <c r="C20" i="15"/>
  <c r="B21" i="15"/>
  <c r="C21" i="15"/>
  <c r="B22" i="15"/>
  <c r="C22" i="15"/>
  <c r="B23" i="15"/>
  <c r="C23" i="15"/>
  <c r="B24" i="15"/>
  <c r="C24" i="15"/>
  <c r="B25" i="15"/>
  <c r="C25" i="15"/>
  <c r="B26" i="15"/>
  <c r="C26" i="15"/>
  <c r="B27" i="15"/>
  <c r="C27" i="15"/>
  <c r="B28" i="15"/>
  <c r="C28" i="15"/>
  <c r="B29" i="15"/>
  <c r="C29" i="15"/>
  <c r="B30" i="15"/>
  <c r="C30" i="15"/>
  <c r="B31" i="15"/>
  <c r="C31" i="15"/>
  <c r="B32" i="15"/>
  <c r="C32" i="15"/>
  <c r="B33" i="15"/>
  <c r="C33" i="15"/>
  <c r="B34" i="15"/>
  <c r="C34" i="15"/>
  <c r="B35" i="15"/>
  <c r="C35" i="15"/>
  <c r="B36" i="15"/>
  <c r="C36" i="15"/>
  <c r="B37" i="15"/>
  <c r="C37" i="15"/>
  <c r="B38" i="15"/>
  <c r="C38" i="15"/>
  <c r="B39" i="15"/>
  <c r="C39" i="15"/>
  <c r="B40" i="15"/>
  <c r="C40" i="15"/>
  <c r="B41" i="15"/>
  <c r="C41" i="15"/>
  <c r="B42" i="15"/>
  <c r="C42" i="15"/>
  <c r="B43" i="15"/>
  <c r="C43" i="15"/>
  <c r="B44" i="15"/>
  <c r="C44" i="15"/>
  <c r="B45" i="15"/>
  <c r="C45" i="15"/>
  <c r="B46" i="15"/>
  <c r="C46" i="15"/>
  <c r="B47" i="15"/>
  <c r="C47" i="15"/>
  <c r="B48" i="15"/>
  <c r="C48" i="15"/>
  <c r="B49" i="15"/>
  <c r="C49" i="15"/>
  <c r="B50" i="15"/>
  <c r="C50" i="15"/>
  <c r="B51" i="15"/>
  <c r="C51" i="15"/>
  <c r="B52" i="15"/>
  <c r="C52" i="15"/>
  <c r="B53" i="15"/>
  <c r="C53" i="15"/>
  <c r="B54" i="15"/>
  <c r="C54" i="15"/>
  <c r="B55" i="15"/>
  <c r="C55" i="15"/>
  <c r="B56" i="15"/>
  <c r="C56" i="15"/>
  <c r="B57" i="15"/>
  <c r="C57" i="15"/>
  <c r="B58" i="15"/>
  <c r="C58" i="15"/>
  <c r="B59" i="15"/>
  <c r="C59" i="15"/>
  <c r="B60" i="15"/>
  <c r="C60" i="15"/>
  <c r="B61" i="15"/>
  <c r="C61" i="15"/>
  <c r="B62" i="15"/>
  <c r="C62" i="15"/>
  <c r="B63" i="15"/>
  <c r="C63" i="15"/>
  <c r="B64" i="15"/>
  <c r="C64" i="15"/>
  <c r="B65" i="15"/>
  <c r="C65" i="15"/>
  <c r="B66" i="15"/>
  <c r="C66" i="15"/>
  <c r="B67" i="15"/>
  <c r="C67" i="15"/>
  <c r="B68" i="15"/>
  <c r="C68" i="15"/>
  <c r="B69" i="15"/>
  <c r="C69" i="15"/>
  <c r="B70" i="15"/>
  <c r="C70" i="15"/>
  <c r="B71" i="15"/>
  <c r="C71" i="15"/>
  <c r="B72" i="15"/>
  <c r="C72" i="15"/>
  <c r="B73" i="15"/>
  <c r="C73" i="15"/>
  <c r="B74" i="15"/>
  <c r="C74" i="15"/>
  <c r="B75" i="15"/>
  <c r="C75" i="15"/>
  <c r="B76" i="15"/>
  <c r="C76" i="15"/>
  <c r="B77" i="15"/>
  <c r="C77" i="15"/>
  <c r="B78" i="15"/>
  <c r="C78" i="15"/>
  <c r="B79" i="15"/>
  <c r="C79" i="15"/>
  <c r="B80" i="15"/>
  <c r="C80" i="15"/>
  <c r="B81" i="15"/>
  <c r="C81" i="15"/>
  <c r="B82" i="15"/>
  <c r="C82" i="15"/>
  <c r="B83" i="15"/>
  <c r="C83" i="15"/>
  <c r="B84" i="15"/>
  <c r="C84" i="15"/>
  <c r="B85" i="15"/>
  <c r="C85" i="15"/>
  <c r="B86" i="15"/>
  <c r="C86" i="15"/>
  <c r="B87" i="15"/>
  <c r="C87" i="15"/>
  <c r="B88" i="15"/>
  <c r="C88" i="15"/>
  <c r="B89" i="15"/>
  <c r="C89" i="15"/>
  <c r="B90" i="15"/>
  <c r="C90" i="15"/>
  <c r="B91" i="15"/>
  <c r="C91" i="15"/>
  <c r="B92" i="15"/>
  <c r="C92" i="15"/>
  <c r="B93" i="15"/>
  <c r="C93" i="15"/>
  <c r="B94" i="15"/>
  <c r="C94" i="15"/>
  <c r="B95" i="15"/>
  <c r="C95" i="15"/>
  <c r="B96" i="15"/>
  <c r="C96" i="15"/>
  <c r="B97" i="15"/>
  <c r="C97" i="15"/>
  <c r="B98" i="15"/>
  <c r="C98" i="15"/>
  <c r="B99" i="15"/>
  <c r="C99" i="15"/>
  <c r="B100" i="15"/>
  <c r="C100" i="15"/>
  <c r="B101" i="15"/>
  <c r="C101" i="15"/>
  <c r="B102" i="15"/>
  <c r="C102" i="15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11" i="15"/>
  <c r="C111" i="15"/>
  <c r="B112" i="15"/>
  <c r="C112" i="15"/>
  <c r="B113" i="15"/>
  <c r="C113" i="15"/>
  <c r="B114" i="15"/>
  <c r="C114" i="15"/>
  <c r="B115" i="15"/>
  <c r="C115" i="15"/>
  <c r="B116" i="15"/>
  <c r="C116" i="15"/>
  <c r="B117" i="15"/>
  <c r="C117" i="15"/>
  <c r="B118" i="15"/>
  <c r="C118" i="15"/>
  <c r="B119" i="15"/>
  <c r="C119" i="15"/>
  <c r="B120" i="15"/>
  <c r="C120" i="15"/>
  <c r="B121" i="15"/>
  <c r="C121" i="15"/>
  <c r="B122" i="15"/>
  <c r="C122" i="15"/>
  <c r="B123" i="15"/>
  <c r="C123" i="15"/>
  <c r="B124" i="15"/>
  <c r="C124" i="15"/>
  <c r="B125" i="15"/>
  <c r="C125" i="15"/>
  <c r="B126" i="15"/>
  <c r="C126" i="15"/>
  <c r="B127" i="15"/>
  <c r="C127" i="15"/>
  <c r="B128" i="15"/>
  <c r="C128" i="15"/>
  <c r="B129" i="15"/>
  <c r="C129" i="15"/>
  <c r="B130" i="15"/>
  <c r="C130" i="15"/>
  <c r="B131" i="15"/>
  <c r="C131" i="15"/>
  <c r="B132" i="15"/>
  <c r="C132" i="15"/>
  <c r="B133" i="15"/>
  <c r="C133" i="15"/>
  <c r="B134" i="15"/>
  <c r="C134" i="15"/>
  <c r="B135" i="15"/>
  <c r="C135" i="15"/>
  <c r="B136" i="15"/>
  <c r="C136" i="15"/>
  <c r="B137" i="15"/>
  <c r="C137" i="15"/>
  <c r="B138" i="15"/>
  <c r="C138" i="15"/>
  <c r="B139" i="15"/>
  <c r="C139" i="15"/>
  <c r="B140" i="15"/>
  <c r="C140" i="15"/>
  <c r="B141" i="15"/>
  <c r="C141" i="15"/>
  <c r="B142" i="15"/>
  <c r="C142" i="15"/>
  <c r="B143" i="15"/>
  <c r="C143" i="15"/>
  <c r="B144" i="15"/>
  <c r="C144" i="15"/>
  <c r="B145" i="15"/>
  <c r="C145" i="15"/>
  <c r="B146" i="15"/>
  <c r="C146" i="15"/>
  <c r="B147" i="15"/>
  <c r="C147" i="15"/>
  <c r="B148" i="15"/>
  <c r="C148" i="15"/>
  <c r="B149" i="15"/>
  <c r="C149" i="15"/>
  <c r="B150" i="15"/>
  <c r="C150" i="15"/>
  <c r="B151" i="15"/>
  <c r="C151" i="15"/>
  <c r="B152" i="15"/>
  <c r="C152" i="15"/>
  <c r="B153" i="15"/>
  <c r="C153" i="15"/>
  <c r="B154" i="15"/>
  <c r="C154" i="15"/>
  <c r="B155" i="15"/>
  <c r="C155" i="15"/>
  <c r="B156" i="15"/>
  <c r="C156" i="15"/>
  <c r="B157" i="15"/>
  <c r="C157" i="15"/>
  <c r="B158" i="15"/>
  <c r="C158" i="15"/>
  <c r="B159" i="15"/>
  <c r="C159" i="15"/>
  <c r="B160" i="15"/>
  <c r="C160" i="15"/>
  <c r="B161" i="15"/>
  <c r="C161" i="15"/>
  <c r="B162" i="15"/>
  <c r="C162" i="15"/>
  <c r="B163" i="15"/>
  <c r="C163" i="15"/>
  <c r="B164" i="15"/>
  <c r="C164" i="15"/>
  <c r="B165" i="15"/>
  <c r="C165" i="15"/>
  <c r="B166" i="15"/>
  <c r="C166" i="15"/>
  <c r="B167" i="15"/>
  <c r="C167" i="15"/>
  <c r="B168" i="15"/>
  <c r="C168" i="15"/>
  <c r="B169" i="15"/>
  <c r="C169" i="15"/>
  <c r="B170" i="15"/>
  <c r="C170" i="15"/>
  <c r="B171" i="15"/>
  <c r="C171" i="15"/>
  <c r="B172" i="15"/>
  <c r="C172" i="15"/>
  <c r="B173" i="15"/>
  <c r="C173" i="15"/>
  <c r="B174" i="15"/>
  <c r="C174" i="15"/>
  <c r="B175" i="15"/>
  <c r="C175" i="15"/>
  <c r="B176" i="15"/>
  <c r="C176" i="15"/>
  <c r="B177" i="15"/>
  <c r="C177" i="15"/>
  <c r="B178" i="15"/>
  <c r="C178" i="15"/>
  <c r="B179" i="15"/>
  <c r="C179" i="15"/>
  <c r="B180" i="15"/>
  <c r="C180" i="15"/>
  <c r="B181" i="15"/>
  <c r="C181" i="15"/>
  <c r="B182" i="15"/>
  <c r="C182" i="15"/>
  <c r="B183" i="15"/>
  <c r="C183" i="15"/>
  <c r="B184" i="15"/>
  <c r="C184" i="15"/>
  <c r="B185" i="15"/>
  <c r="C185" i="15"/>
  <c r="B186" i="15"/>
  <c r="C186" i="15"/>
  <c r="B187" i="15"/>
  <c r="C187" i="15"/>
  <c r="B188" i="15"/>
  <c r="C188" i="15"/>
  <c r="B189" i="15"/>
  <c r="C189" i="15"/>
  <c r="B190" i="15"/>
  <c r="C190" i="15"/>
  <c r="B191" i="15"/>
  <c r="C191" i="15"/>
  <c r="B192" i="15"/>
  <c r="C192" i="15"/>
  <c r="B193" i="15"/>
  <c r="C193" i="15"/>
  <c r="B194" i="15"/>
  <c r="C194" i="15"/>
  <c r="B195" i="15"/>
  <c r="C195" i="15"/>
  <c r="B196" i="15"/>
  <c r="C196" i="15"/>
  <c r="B197" i="15"/>
  <c r="C197" i="15"/>
  <c r="B198" i="15"/>
  <c r="C198" i="15"/>
  <c r="B199" i="15"/>
  <c r="C199" i="15"/>
  <c r="B200" i="15"/>
  <c r="C200" i="15"/>
  <c r="B201" i="15"/>
  <c r="C201" i="15"/>
  <c r="B202" i="15"/>
  <c r="C202" i="15"/>
  <c r="B203" i="15"/>
  <c r="C203" i="15"/>
  <c r="B204" i="15"/>
  <c r="C204" i="15"/>
  <c r="B205" i="15"/>
  <c r="C205" i="15"/>
  <c r="B206" i="15"/>
  <c r="C206" i="15"/>
  <c r="B207" i="15"/>
  <c r="C207" i="15"/>
  <c r="B208" i="15"/>
  <c r="C208" i="15"/>
  <c r="B209" i="15"/>
  <c r="C209" i="15"/>
  <c r="B210" i="15"/>
  <c r="C210" i="15"/>
  <c r="B211" i="15"/>
  <c r="C211" i="15"/>
  <c r="B212" i="15"/>
  <c r="C212" i="15"/>
  <c r="B213" i="15"/>
  <c r="C213" i="15"/>
  <c r="B214" i="15"/>
  <c r="C214" i="15"/>
  <c r="B215" i="15"/>
  <c r="C215" i="15"/>
  <c r="B216" i="15"/>
  <c r="C216" i="15"/>
  <c r="B217" i="15"/>
  <c r="C217" i="15"/>
  <c r="B218" i="15"/>
  <c r="C218" i="15"/>
  <c r="B219" i="15"/>
  <c r="C219" i="15"/>
  <c r="B220" i="15"/>
  <c r="C220" i="15"/>
  <c r="B221" i="15"/>
  <c r="C221" i="15"/>
  <c r="B222" i="15"/>
  <c r="C222" i="15"/>
  <c r="B223" i="15"/>
  <c r="C223" i="15"/>
  <c r="B224" i="15"/>
  <c r="C224" i="15"/>
  <c r="B225" i="15"/>
  <c r="C225" i="15"/>
  <c r="B226" i="15"/>
  <c r="C226" i="15"/>
  <c r="B227" i="15"/>
  <c r="C227" i="15"/>
  <c r="B228" i="15"/>
  <c r="C228" i="15"/>
  <c r="B229" i="15"/>
  <c r="C229" i="15"/>
  <c r="B230" i="15"/>
  <c r="C230" i="15"/>
  <c r="B231" i="15"/>
  <c r="C231" i="15"/>
  <c r="B232" i="15"/>
  <c r="C232" i="15"/>
  <c r="B233" i="15"/>
  <c r="C233" i="15"/>
  <c r="B234" i="15"/>
  <c r="C234" i="15"/>
  <c r="B235" i="15"/>
  <c r="C235" i="15"/>
  <c r="B236" i="15"/>
  <c r="C236" i="15"/>
  <c r="B237" i="15"/>
  <c r="C237" i="15"/>
  <c r="B238" i="15"/>
  <c r="C238" i="15"/>
  <c r="B239" i="15"/>
  <c r="C239" i="15"/>
  <c r="B240" i="15"/>
  <c r="C240" i="15"/>
  <c r="B241" i="15"/>
  <c r="C241" i="15"/>
  <c r="B242" i="15"/>
  <c r="C242" i="15"/>
  <c r="B243" i="15"/>
  <c r="C243" i="15"/>
  <c r="B244" i="15"/>
  <c r="C244" i="15"/>
  <c r="B245" i="15"/>
  <c r="C245" i="15"/>
  <c r="B246" i="15"/>
  <c r="C246" i="15"/>
  <c r="B247" i="15"/>
  <c r="C247" i="15"/>
  <c r="B248" i="15"/>
  <c r="C248" i="15"/>
  <c r="B249" i="15"/>
  <c r="C249" i="15"/>
  <c r="B250" i="15"/>
  <c r="C250" i="15"/>
  <c r="B251" i="15"/>
  <c r="C251" i="15"/>
  <c r="B252" i="15"/>
  <c r="C252" i="15"/>
  <c r="B253" i="15"/>
  <c r="C253" i="15"/>
  <c r="B254" i="15"/>
  <c r="C254" i="15"/>
  <c r="B255" i="15"/>
  <c r="C255" i="15"/>
  <c r="B256" i="15"/>
  <c r="C256" i="15"/>
  <c r="B257" i="15"/>
  <c r="C257" i="15"/>
  <c r="B258" i="15"/>
  <c r="C258" i="15"/>
  <c r="B259" i="15"/>
  <c r="C259" i="15"/>
  <c r="B260" i="15"/>
  <c r="C260" i="15"/>
  <c r="B261" i="15"/>
  <c r="C261" i="15"/>
  <c r="B262" i="15"/>
  <c r="C262" i="15"/>
  <c r="B263" i="15"/>
  <c r="C263" i="15"/>
  <c r="B264" i="15"/>
  <c r="C264" i="15"/>
  <c r="B265" i="15"/>
  <c r="C265" i="15"/>
  <c r="B266" i="15"/>
  <c r="C266" i="15"/>
  <c r="B267" i="15"/>
  <c r="C267" i="15"/>
  <c r="B268" i="15"/>
  <c r="C268" i="15"/>
  <c r="B269" i="15"/>
  <c r="C269" i="15"/>
  <c r="B270" i="15"/>
  <c r="C270" i="15"/>
  <c r="B271" i="15"/>
  <c r="C271" i="15"/>
  <c r="B272" i="15"/>
  <c r="C272" i="15"/>
  <c r="B273" i="15"/>
  <c r="C273" i="15"/>
  <c r="B274" i="15"/>
  <c r="C274" i="15"/>
  <c r="B275" i="15"/>
  <c r="C275" i="15"/>
  <c r="B276" i="15"/>
  <c r="C276" i="15"/>
  <c r="B277" i="15"/>
  <c r="C277" i="15"/>
  <c r="B278" i="15"/>
  <c r="C278" i="15"/>
  <c r="B279" i="15"/>
  <c r="C279" i="15"/>
  <c r="B280" i="15"/>
  <c r="C280" i="15"/>
  <c r="B281" i="15"/>
  <c r="C281" i="15"/>
  <c r="B282" i="15"/>
  <c r="C282" i="15"/>
  <c r="B283" i="15"/>
  <c r="C283" i="15"/>
  <c r="B284" i="15"/>
  <c r="C284" i="15"/>
  <c r="B285" i="15"/>
  <c r="C285" i="15"/>
  <c r="B286" i="15"/>
  <c r="C286" i="15"/>
  <c r="B287" i="15"/>
  <c r="C287" i="15"/>
  <c r="B288" i="15"/>
  <c r="C288" i="15"/>
  <c r="B289" i="15"/>
  <c r="C289" i="15"/>
  <c r="B290" i="15"/>
  <c r="C290" i="15"/>
  <c r="B291" i="15"/>
  <c r="C291" i="15"/>
  <c r="B292" i="15"/>
  <c r="C292" i="15"/>
  <c r="B293" i="15"/>
  <c r="C293" i="15"/>
  <c r="B294" i="15"/>
  <c r="C294" i="15"/>
  <c r="B295" i="15"/>
  <c r="C295" i="15"/>
  <c r="B296" i="15"/>
  <c r="C296" i="15"/>
  <c r="B297" i="15"/>
  <c r="C297" i="15"/>
  <c r="B298" i="15"/>
  <c r="C298" i="15"/>
  <c r="B299" i="15"/>
  <c r="C299" i="15"/>
  <c r="B300" i="15"/>
  <c r="C300" i="15"/>
  <c r="B301" i="15"/>
  <c r="C301" i="15"/>
  <c r="B302" i="15"/>
  <c r="C302" i="15"/>
  <c r="B303" i="15"/>
  <c r="C303" i="15"/>
  <c r="B304" i="15"/>
  <c r="C304" i="15"/>
  <c r="B305" i="15"/>
  <c r="C305" i="15"/>
  <c r="B306" i="15"/>
  <c r="C306" i="15"/>
  <c r="B307" i="15"/>
  <c r="C307" i="15"/>
  <c r="B308" i="15"/>
  <c r="C308" i="15"/>
  <c r="B309" i="15"/>
  <c r="C309" i="15"/>
  <c r="B310" i="15"/>
  <c r="C310" i="15"/>
  <c r="B311" i="15"/>
  <c r="C311" i="15"/>
  <c r="B312" i="15"/>
  <c r="C312" i="15"/>
  <c r="B313" i="15"/>
  <c r="C313" i="15"/>
  <c r="B314" i="15"/>
  <c r="C314" i="15"/>
  <c r="B315" i="15"/>
  <c r="C315" i="15"/>
  <c r="B316" i="15"/>
  <c r="C316" i="15"/>
  <c r="B317" i="15"/>
  <c r="C317" i="15"/>
  <c r="B318" i="15"/>
  <c r="C318" i="15"/>
  <c r="B319" i="15"/>
  <c r="C319" i="15"/>
  <c r="B320" i="15"/>
  <c r="C320" i="15"/>
  <c r="B321" i="15"/>
  <c r="C321" i="15"/>
  <c r="B322" i="15"/>
  <c r="C322" i="15"/>
  <c r="B323" i="15"/>
  <c r="C323" i="15"/>
  <c r="B324" i="15"/>
  <c r="C324" i="15"/>
  <c r="B325" i="15"/>
  <c r="C325" i="15"/>
  <c r="B326" i="15"/>
  <c r="C326" i="15"/>
  <c r="B327" i="15"/>
  <c r="C327" i="15"/>
  <c r="B328" i="15"/>
  <c r="C328" i="15"/>
  <c r="B329" i="15"/>
  <c r="C329" i="15"/>
  <c r="B330" i="15"/>
  <c r="C330" i="15"/>
  <c r="B331" i="15"/>
  <c r="C331" i="15"/>
  <c r="B332" i="15"/>
  <c r="C332" i="15"/>
  <c r="B333" i="15"/>
  <c r="C333" i="15"/>
  <c r="B334" i="15"/>
  <c r="C334" i="15"/>
  <c r="B335" i="15"/>
  <c r="C335" i="15"/>
  <c r="B336" i="15"/>
  <c r="C336" i="15"/>
  <c r="B337" i="15"/>
  <c r="C337" i="15"/>
  <c r="B338" i="15"/>
  <c r="C338" i="15"/>
  <c r="B339" i="15"/>
  <c r="C339" i="15"/>
  <c r="B340" i="15"/>
  <c r="C340" i="15"/>
  <c r="B341" i="15"/>
  <c r="C341" i="15"/>
  <c r="B342" i="15"/>
  <c r="C342" i="15"/>
  <c r="B343" i="15"/>
  <c r="C343" i="15"/>
  <c r="B344" i="15"/>
  <c r="C344" i="15"/>
  <c r="B345" i="15"/>
  <c r="C345" i="15"/>
  <c r="B346" i="15"/>
  <c r="C346" i="15"/>
  <c r="B347" i="15"/>
  <c r="C347" i="15"/>
  <c r="B348" i="15"/>
  <c r="C348" i="15"/>
  <c r="B349" i="15"/>
  <c r="C349" i="15"/>
  <c r="B350" i="15"/>
  <c r="C350" i="15"/>
  <c r="B351" i="15"/>
  <c r="C351" i="15"/>
  <c r="B352" i="15"/>
  <c r="C352" i="15"/>
  <c r="B353" i="15"/>
  <c r="C353" i="15"/>
  <c r="B354" i="15"/>
  <c r="C354" i="15"/>
  <c r="B355" i="15"/>
  <c r="C355" i="15"/>
  <c r="B356" i="15"/>
  <c r="C356" i="15"/>
  <c r="B357" i="15"/>
  <c r="C357" i="15"/>
  <c r="B358" i="15"/>
  <c r="C358" i="15"/>
  <c r="B359" i="15"/>
  <c r="C359" i="15"/>
  <c r="B360" i="15"/>
  <c r="C360" i="15"/>
  <c r="B361" i="15"/>
  <c r="C361" i="15"/>
  <c r="B362" i="15"/>
  <c r="C362" i="15"/>
  <c r="B363" i="15"/>
  <c r="C363" i="15"/>
  <c r="B364" i="15"/>
  <c r="C364" i="15"/>
  <c r="B365" i="15"/>
  <c r="C365" i="15"/>
  <c r="B366" i="15"/>
  <c r="C366" i="15"/>
  <c r="B367" i="15"/>
  <c r="C367" i="15"/>
  <c r="B368" i="15"/>
  <c r="C368" i="15"/>
  <c r="B369" i="15"/>
  <c r="C369" i="15"/>
  <c r="B370" i="15"/>
  <c r="C370" i="15"/>
  <c r="B371" i="15"/>
  <c r="C371" i="15"/>
  <c r="B372" i="15"/>
  <c r="C372" i="15"/>
  <c r="B373" i="15"/>
  <c r="C373" i="15"/>
  <c r="B374" i="15"/>
  <c r="C374" i="15"/>
  <c r="B375" i="15"/>
  <c r="C375" i="15"/>
  <c r="B376" i="15"/>
  <c r="C376" i="15"/>
  <c r="B377" i="15"/>
  <c r="C377" i="15"/>
  <c r="B378" i="15"/>
  <c r="C378" i="15"/>
  <c r="B379" i="15"/>
  <c r="C379" i="15"/>
  <c r="B380" i="15"/>
  <c r="C380" i="15"/>
  <c r="B381" i="15"/>
  <c r="C381" i="15"/>
  <c r="B382" i="15"/>
  <c r="C382" i="15"/>
  <c r="B383" i="15"/>
  <c r="C383" i="15"/>
  <c r="B384" i="15"/>
  <c r="C384" i="15"/>
  <c r="B385" i="15"/>
  <c r="C385" i="15"/>
  <c r="B386" i="15"/>
  <c r="C386" i="15"/>
  <c r="B387" i="15"/>
  <c r="C387" i="15"/>
  <c r="B388" i="15"/>
  <c r="C388" i="15"/>
  <c r="B389" i="15"/>
  <c r="C389" i="15"/>
  <c r="B390" i="15"/>
  <c r="C390" i="15"/>
  <c r="B391" i="15"/>
  <c r="C391" i="15"/>
  <c r="B392" i="15"/>
  <c r="C392" i="15"/>
  <c r="B393" i="15"/>
  <c r="C393" i="15"/>
  <c r="B394" i="15"/>
  <c r="C394" i="15"/>
  <c r="B395" i="15"/>
  <c r="C395" i="15"/>
  <c r="B396" i="15"/>
  <c r="C396" i="15"/>
  <c r="B397" i="15"/>
  <c r="C397" i="15"/>
  <c r="B398" i="15"/>
  <c r="C398" i="15"/>
  <c r="B399" i="15"/>
  <c r="C399" i="15"/>
  <c r="B400" i="15"/>
  <c r="C400" i="15"/>
  <c r="B401" i="15"/>
  <c r="C401" i="15"/>
  <c r="B402" i="15"/>
  <c r="C402" i="15"/>
  <c r="B403" i="15"/>
  <c r="C403" i="15"/>
  <c r="B404" i="15"/>
  <c r="C404" i="15"/>
  <c r="B405" i="15"/>
  <c r="C405" i="15"/>
  <c r="B406" i="15"/>
  <c r="C406" i="15"/>
  <c r="B407" i="15"/>
  <c r="C407" i="15"/>
  <c r="B408" i="15"/>
  <c r="C408" i="15"/>
  <c r="B409" i="15"/>
  <c r="C409" i="15"/>
  <c r="B410" i="15"/>
  <c r="C410" i="15"/>
  <c r="B411" i="15"/>
  <c r="C411" i="15"/>
  <c r="B412" i="15"/>
  <c r="C412" i="15"/>
  <c r="B413" i="15"/>
  <c r="C413" i="15"/>
  <c r="B414" i="15"/>
  <c r="C414" i="15"/>
  <c r="B415" i="15"/>
  <c r="C415" i="15"/>
  <c r="B416" i="15"/>
  <c r="C416" i="15"/>
  <c r="B417" i="15"/>
  <c r="C417" i="15"/>
  <c r="B418" i="15"/>
  <c r="C418" i="15"/>
  <c r="B419" i="15"/>
  <c r="C419" i="15"/>
  <c r="B420" i="15"/>
  <c r="C420" i="15"/>
  <c r="B421" i="15"/>
  <c r="C421" i="15"/>
  <c r="B422" i="15"/>
  <c r="C422" i="15"/>
  <c r="B423" i="15"/>
  <c r="C423" i="15"/>
  <c r="B424" i="15"/>
  <c r="C424" i="15"/>
  <c r="B425" i="15"/>
  <c r="C425" i="15"/>
  <c r="B426" i="15"/>
  <c r="C426" i="15"/>
  <c r="B427" i="15"/>
  <c r="C427" i="15"/>
  <c r="B428" i="15"/>
  <c r="C428" i="15"/>
  <c r="B429" i="15"/>
  <c r="C429" i="15"/>
  <c r="B430" i="15"/>
  <c r="C430" i="15"/>
  <c r="B431" i="15"/>
  <c r="C431" i="15"/>
  <c r="B432" i="15"/>
  <c r="C432" i="15"/>
  <c r="B433" i="15"/>
  <c r="C433" i="15"/>
  <c r="B434" i="15"/>
  <c r="C434" i="15"/>
  <c r="B435" i="15"/>
  <c r="C435" i="15"/>
  <c r="B436" i="15"/>
  <c r="C436" i="15"/>
  <c r="B437" i="15"/>
  <c r="C437" i="15"/>
  <c r="B438" i="15"/>
  <c r="C438" i="15"/>
  <c r="B439" i="15"/>
  <c r="C439" i="15"/>
  <c r="B440" i="15"/>
  <c r="C440" i="15"/>
  <c r="B441" i="15"/>
  <c r="C441" i="15"/>
  <c r="B442" i="15"/>
  <c r="C442" i="15"/>
  <c r="B443" i="15"/>
  <c r="C443" i="15"/>
  <c r="B444" i="15"/>
  <c r="C444" i="15"/>
  <c r="B445" i="15"/>
  <c r="C445" i="15"/>
  <c r="B446" i="15"/>
  <c r="C446" i="15"/>
  <c r="B447" i="15"/>
  <c r="C447" i="15"/>
  <c r="B448" i="15"/>
  <c r="C448" i="15"/>
  <c r="B449" i="15"/>
  <c r="C449" i="15"/>
  <c r="B450" i="15"/>
  <c r="C450" i="15"/>
  <c r="B451" i="15"/>
  <c r="C451" i="15"/>
  <c r="B452" i="15"/>
  <c r="C452" i="15"/>
  <c r="B453" i="15"/>
  <c r="C453" i="15"/>
  <c r="B454" i="15"/>
  <c r="C454" i="15"/>
  <c r="B455" i="15"/>
  <c r="C455" i="15"/>
  <c r="B456" i="15"/>
  <c r="C456" i="15"/>
  <c r="B457" i="15"/>
  <c r="C457" i="15"/>
  <c r="B458" i="15"/>
  <c r="C458" i="15"/>
  <c r="B459" i="15"/>
  <c r="C459" i="15"/>
  <c r="B460" i="15"/>
  <c r="C460" i="15"/>
  <c r="B461" i="15"/>
  <c r="C461" i="15"/>
  <c r="B462" i="15"/>
  <c r="C462" i="15"/>
  <c r="B463" i="15"/>
  <c r="C463" i="15"/>
  <c r="B464" i="15"/>
  <c r="C464" i="15"/>
  <c r="B465" i="15"/>
  <c r="C465" i="15"/>
  <c r="B466" i="15"/>
  <c r="C466" i="15"/>
  <c r="B467" i="15"/>
  <c r="C467" i="15"/>
  <c r="B468" i="15"/>
  <c r="C468" i="15"/>
  <c r="B469" i="15"/>
  <c r="C469" i="15"/>
  <c r="B470" i="15"/>
  <c r="C470" i="15"/>
  <c r="B471" i="15"/>
  <c r="C471" i="15"/>
  <c r="B472" i="15"/>
  <c r="C472" i="15"/>
  <c r="B473" i="15"/>
  <c r="C473" i="15"/>
  <c r="B474" i="15"/>
  <c r="C474" i="15"/>
  <c r="B475" i="15"/>
  <c r="C475" i="15"/>
  <c r="B476" i="15"/>
  <c r="C476" i="15"/>
  <c r="B477" i="15"/>
  <c r="C477" i="15"/>
  <c r="B478" i="15"/>
  <c r="C478" i="15"/>
  <c r="B479" i="15"/>
  <c r="C479" i="15"/>
  <c r="B480" i="15"/>
  <c r="C480" i="15"/>
  <c r="B481" i="15"/>
  <c r="C481" i="15"/>
  <c r="B482" i="15"/>
  <c r="C482" i="15"/>
  <c r="B483" i="15"/>
  <c r="C483" i="15"/>
  <c r="B484" i="15"/>
  <c r="C484" i="15"/>
  <c r="B485" i="15"/>
  <c r="C485" i="15"/>
  <c r="B486" i="15"/>
  <c r="C486" i="15"/>
  <c r="B487" i="15"/>
  <c r="C487" i="15"/>
  <c r="B488" i="15"/>
  <c r="C488" i="15"/>
  <c r="B489" i="15"/>
  <c r="C489" i="15"/>
  <c r="B490" i="15"/>
  <c r="C490" i="15"/>
  <c r="B491" i="15"/>
  <c r="C491" i="15"/>
  <c r="B492" i="15"/>
  <c r="C492" i="15"/>
  <c r="B493" i="15"/>
  <c r="C493" i="15"/>
  <c r="B494" i="15"/>
  <c r="C494" i="15"/>
  <c r="B495" i="15"/>
  <c r="C495" i="15"/>
  <c r="B496" i="15"/>
  <c r="C496" i="15"/>
  <c r="B497" i="15"/>
  <c r="C497" i="15"/>
  <c r="B498" i="15"/>
  <c r="C498" i="15"/>
  <c r="B499" i="15"/>
  <c r="C499" i="15"/>
  <c r="B500" i="15"/>
  <c r="C500" i="15"/>
  <c r="B501" i="15"/>
  <c r="C501" i="15"/>
  <c r="B502" i="15"/>
  <c r="C502" i="15"/>
  <c r="B503" i="15"/>
  <c r="C503" i="15"/>
  <c r="B504" i="15"/>
  <c r="C504" i="15"/>
  <c r="B505" i="15"/>
  <c r="C505" i="15"/>
  <c r="B506" i="15"/>
  <c r="C506" i="15"/>
  <c r="B507" i="15"/>
  <c r="C507" i="15"/>
  <c r="B508" i="15"/>
  <c r="C508" i="15"/>
  <c r="B509" i="15"/>
  <c r="C509" i="15"/>
  <c r="B510" i="15"/>
  <c r="C510" i="15"/>
  <c r="B511" i="15"/>
  <c r="C511" i="15"/>
  <c r="B512" i="15"/>
  <c r="C512" i="15"/>
  <c r="B513" i="15"/>
  <c r="C513" i="15"/>
  <c r="B514" i="15"/>
  <c r="C514" i="15"/>
  <c r="B515" i="15"/>
  <c r="C515" i="15"/>
  <c r="B516" i="15"/>
  <c r="C516" i="15"/>
  <c r="B517" i="15"/>
  <c r="C517" i="15"/>
  <c r="B518" i="15"/>
  <c r="C518" i="15"/>
  <c r="B519" i="15"/>
  <c r="C519" i="15"/>
  <c r="B520" i="15"/>
  <c r="C520" i="15"/>
  <c r="B521" i="15"/>
  <c r="C521" i="15"/>
  <c r="B522" i="15"/>
  <c r="C522" i="15"/>
  <c r="B523" i="15"/>
  <c r="C523" i="15"/>
  <c r="B524" i="15"/>
  <c r="C524" i="15"/>
  <c r="B525" i="15"/>
  <c r="C525" i="15"/>
  <c r="B526" i="15"/>
  <c r="C526" i="15"/>
  <c r="B527" i="15"/>
  <c r="C527" i="15"/>
  <c r="B528" i="15"/>
  <c r="C528" i="15"/>
  <c r="B529" i="15"/>
  <c r="C529" i="15"/>
  <c r="B530" i="15"/>
  <c r="C530" i="15"/>
  <c r="B531" i="15"/>
  <c r="C531" i="15"/>
  <c r="B532" i="15"/>
  <c r="C532" i="15"/>
  <c r="B533" i="15"/>
  <c r="C533" i="15"/>
  <c r="B534" i="15"/>
  <c r="C534" i="15"/>
  <c r="B535" i="15"/>
  <c r="C535" i="15"/>
  <c r="B536" i="15"/>
  <c r="C536" i="15"/>
  <c r="B537" i="15"/>
  <c r="C537" i="15"/>
  <c r="B538" i="15"/>
  <c r="C538" i="15"/>
  <c r="B539" i="15"/>
  <c r="C539" i="15"/>
  <c r="B540" i="15"/>
  <c r="C540" i="15"/>
  <c r="B541" i="15"/>
  <c r="C541" i="15"/>
  <c r="B542" i="15"/>
  <c r="C542" i="15"/>
  <c r="B543" i="15"/>
  <c r="C543" i="15"/>
  <c r="B544" i="15"/>
  <c r="C544" i="15"/>
  <c r="B545" i="15"/>
  <c r="C545" i="15"/>
  <c r="B546" i="15"/>
  <c r="C546" i="15"/>
  <c r="B547" i="15"/>
  <c r="C547" i="15"/>
  <c r="B548" i="15"/>
  <c r="C548" i="15"/>
  <c r="B549" i="15"/>
  <c r="C549" i="15"/>
  <c r="B550" i="15"/>
  <c r="C550" i="15"/>
  <c r="B551" i="15"/>
  <c r="C551" i="15"/>
  <c r="B552" i="15"/>
  <c r="C552" i="15"/>
  <c r="B553" i="15"/>
  <c r="C553" i="15"/>
  <c r="B554" i="15"/>
  <c r="C554" i="15"/>
  <c r="B555" i="15"/>
  <c r="C555" i="15"/>
  <c r="B556" i="15"/>
  <c r="C556" i="15"/>
  <c r="B557" i="15"/>
  <c r="C557" i="15"/>
  <c r="B558" i="15"/>
  <c r="C558" i="15"/>
  <c r="B559" i="15"/>
  <c r="C559" i="15"/>
  <c r="B560" i="15"/>
  <c r="C560" i="15"/>
  <c r="B561" i="15"/>
  <c r="C561" i="15"/>
  <c r="B562" i="15"/>
  <c r="C562" i="15"/>
  <c r="B563" i="15"/>
  <c r="C563" i="15"/>
  <c r="B564" i="15"/>
  <c r="C564" i="15"/>
  <c r="B565" i="15"/>
  <c r="C565" i="15"/>
  <c r="B566" i="15"/>
  <c r="C566" i="15"/>
  <c r="B567" i="15"/>
  <c r="C567" i="15"/>
  <c r="B568" i="15"/>
  <c r="C568" i="15"/>
  <c r="B569" i="15"/>
  <c r="C569" i="15"/>
  <c r="B570" i="15"/>
  <c r="C570" i="15"/>
  <c r="B571" i="15"/>
  <c r="C571" i="15"/>
  <c r="B572" i="15"/>
  <c r="C572" i="15"/>
  <c r="B573" i="15"/>
  <c r="C573" i="15"/>
  <c r="B574" i="15"/>
  <c r="C574" i="15"/>
  <c r="B575" i="15"/>
  <c r="C575" i="15"/>
  <c r="B576" i="15"/>
  <c r="C576" i="15"/>
  <c r="B577" i="15"/>
  <c r="C577" i="15"/>
  <c r="B578" i="15"/>
  <c r="C578" i="15"/>
  <c r="B579" i="15"/>
  <c r="C579" i="15"/>
  <c r="B580" i="15"/>
  <c r="C580" i="15"/>
  <c r="B581" i="15"/>
  <c r="C581" i="15"/>
  <c r="B582" i="15"/>
  <c r="C582" i="15"/>
  <c r="B583" i="15"/>
  <c r="C583" i="15"/>
  <c r="B584" i="15"/>
  <c r="C584" i="15"/>
  <c r="B585" i="15"/>
  <c r="C585" i="15"/>
  <c r="B586" i="15"/>
  <c r="C586" i="15"/>
  <c r="B587" i="15"/>
  <c r="C587" i="15"/>
  <c r="B588" i="15"/>
  <c r="C588" i="15"/>
  <c r="B589" i="15"/>
  <c r="C589" i="15"/>
  <c r="B590" i="15"/>
  <c r="C590" i="15"/>
  <c r="B591" i="15"/>
  <c r="C591" i="15"/>
  <c r="B592" i="15"/>
  <c r="C592" i="15"/>
  <c r="B593" i="15"/>
  <c r="C593" i="15"/>
  <c r="B594" i="15"/>
  <c r="C594" i="15"/>
  <c r="B595" i="15"/>
  <c r="C595" i="15"/>
  <c r="B596" i="15"/>
  <c r="C596" i="15"/>
  <c r="B597" i="15"/>
  <c r="C597" i="15"/>
  <c r="B598" i="15"/>
  <c r="C598" i="15"/>
  <c r="B599" i="15"/>
  <c r="C599" i="15"/>
  <c r="B600" i="15"/>
  <c r="C600" i="15"/>
  <c r="B601" i="15"/>
  <c r="C601" i="15"/>
  <c r="B602" i="15"/>
  <c r="C602" i="15"/>
  <c r="B603" i="15"/>
  <c r="C603" i="15"/>
  <c r="B604" i="15"/>
  <c r="C604" i="15"/>
  <c r="B605" i="15"/>
  <c r="C605" i="15"/>
  <c r="B606" i="15"/>
  <c r="C606" i="15"/>
  <c r="B607" i="15"/>
  <c r="C607" i="15"/>
  <c r="B608" i="15"/>
  <c r="C608" i="15"/>
  <c r="B609" i="15"/>
  <c r="C609" i="15"/>
  <c r="B610" i="15"/>
  <c r="C610" i="15"/>
  <c r="B611" i="15"/>
  <c r="C611" i="15"/>
  <c r="B612" i="15"/>
  <c r="C612" i="15"/>
  <c r="B613" i="15"/>
  <c r="C613" i="15"/>
  <c r="B614" i="15"/>
  <c r="C614" i="15"/>
  <c r="B615" i="15"/>
  <c r="C615" i="15"/>
  <c r="B616" i="15"/>
  <c r="C616" i="15"/>
  <c r="B617" i="15"/>
  <c r="C617" i="15"/>
  <c r="B618" i="15"/>
  <c r="C618" i="15"/>
  <c r="B619" i="15"/>
  <c r="C619" i="15"/>
  <c r="B620" i="15"/>
  <c r="C620" i="15"/>
  <c r="B621" i="15"/>
  <c r="C621" i="15"/>
  <c r="B622" i="15"/>
  <c r="C622" i="15"/>
  <c r="B623" i="15"/>
  <c r="C623" i="15"/>
  <c r="B624" i="15"/>
  <c r="C624" i="15"/>
  <c r="B625" i="15"/>
  <c r="C625" i="15"/>
  <c r="B626" i="15"/>
  <c r="C626" i="15"/>
  <c r="B627" i="15"/>
  <c r="C627" i="15"/>
  <c r="B628" i="15"/>
  <c r="C628" i="15"/>
  <c r="B629" i="15"/>
  <c r="C629" i="15"/>
  <c r="B630" i="15"/>
  <c r="C630" i="15"/>
  <c r="B631" i="15"/>
  <c r="C631" i="15"/>
  <c r="B632" i="15"/>
  <c r="C632" i="15"/>
  <c r="B633" i="15"/>
  <c r="C633" i="15"/>
  <c r="B634" i="15"/>
  <c r="C634" i="15"/>
  <c r="B635" i="15"/>
  <c r="C635" i="15"/>
  <c r="B636" i="15"/>
  <c r="C636" i="15"/>
  <c r="B637" i="15"/>
  <c r="C637" i="15"/>
  <c r="B638" i="15"/>
  <c r="C638" i="15"/>
  <c r="B639" i="15"/>
  <c r="C639" i="15"/>
  <c r="B640" i="15"/>
  <c r="C640" i="15"/>
  <c r="B641" i="15"/>
  <c r="C641" i="15"/>
  <c r="B642" i="15"/>
  <c r="C642" i="15"/>
  <c r="B643" i="15"/>
  <c r="C643" i="15"/>
  <c r="B644" i="15"/>
  <c r="C644" i="15"/>
  <c r="B645" i="15"/>
  <c r="C645" i="15"/>
  <c r="B646" i="15"/>
  <c r="C646" i="15"/>
  <c r="B647" i="15"/>
  <c r="C647" i="15"/>
  <c r="B648" i="15"/>
  <c r="C648" i="15"/>
  <c r="B649" i="15"/>
  <c r="C649" i="15"/>
  <c r="B650" i="15"/>
  <c r="C650" i="15"/>
  <c r="B651" i="15"/>
  <c r="C651" i="15"/>
  <c r="B652" i="15"/>
  <c r="C652" i="15"/>
  <c r="B653" i="15"/>
  <c r="C653" i="15"/>
  <c r="B654" i="15"/>
  <c r="C654" i="15"/>
  <c r="B655" i="15"/>
  <c r="C655" i="15"/>
  <c r="B656" i="15"/>
  <c r="C656" i="15"/>
  <c r="B657" i="15"/>
  <c r="C657" i="15"/>
  <c r="B658" i="15"/>
  <c r="C658" i="15"/>
  <c r="B659" i="15"/>
  <c r="C659" i="15"/>
  <c r="B660" i="15"/>
  <c r="C660" i="15"/>
  <c r="B661" i="15"/>
  <c r="C661" i="15"/>
  <c r="B662" i="15"/>
  <c r="C662" i="15"/>
  <c r="B663" i="15"/>
  <c r="C663" i="15"/>
  <c r="B664" i="15"/>
  <c r="C664" i="15"/>
  <c r="B665" i="15"/>
  <c r="C665" i="15"/>
  <c r="B666" i="15"/>
  <c r="C666" i="15"/>
  <c r="B667" i="15"/>
  <c r="C667" i="15"/>
  <c r="B668" i="15"/>
  <c r="C668" i="15"/>
  <c r="B669" i="15"/>
  <c r="C669" i="15"/>
  <c r="B670" i="15"/>
  <c r="C670" i="15"/>
  <c r="B671" i="15"/>
  <c r="C671" i="15"/>
  <c r="B672" i="15"/>
  <c r="C672" i="15"/>
  <c r="B673" i="15"/>
  <c r="C673" i="15"/>
  <c r="B674" i="15"/>
  <c r="C674" i="15"/>
  <c r="B675" i="15"/>
  <c r="C675" i="15"/>
  <c r="B676" i="15"/>
  <c r="C676" i="15"/>
  <c r="B677" i="15"/>
  <c r="C677" i="15"/>
  <c r="B678" i="15"/>
  <c r="C678" i="15"/>
  <c r="B679" i="15"/>
  <c r="C679" i="15"/>
  <c r="B680" i="15"/>
  <c r="C680" i="15"/>
  <c r="B681" i="15"/>
  <c r="C681" i="15"/>
  <c r="B682" i="15"/>
  <c r="C682" i="15"/>
  <c r="B683" i="15"/>
  <c r="C683" i="15"/>
  <c r="B684" i="15"/>
  <c r="C684" i="15"/>
  <c r="B685" i="15"/>
  <c r="C685" i="15"/>
  <c r="B686" i="15"/>
  <c r="C686" i="15"/>
  <c r="B687" i="15"/>
  <c r="C687" i="15"/>
  <c r="B688" i="15"/>
  <c r="C688" i="15"/>
  <c r="B689" i="15"/>
  <c r="C689" i="15"/>
  <c r="B690" i="15"/>
  <c r="C690" i="15"/>
  <c r="B691" i="15"/>
  <c r="C691" i="15"/>
  <c r="B692" i="15"/>
  <c r="C692" i="15"/>
  <c r="B693" i="15"/>
  <c r="C693" i="15"/>
  <c r="B694" i="15"/>
  <c r="C694" i="15"/>
  <c r="B695" i="15"/>
  <c r="C695" i="15"/>
  <c r="B696" i="15"/>
  <c r="C696" i="15"/>
  <c r="B697" i="15"/>
  <c r="C697" i="15"/>
  <c r="B698" i="15"/>
  <c r="C698" i="15"/>
  <c r="B699" i="15"/>
  <c r="C699" i="15"/>
  <c r="B700" i="15"/>
  <c r="C700" i="15"/>
  <c r="B701" i="15"/>
  <c r="C701" i="15"/>
  <c r="B702" i="15"/>
  <c r="C702" i="15"/>
  <c r="B703" i="15"/>
  <c r="C703" i="15"/>
  <c r="B704" i="15"/>
  <c r="C704" i="15"/>
  <c r="B705" i="15"/>
  <c r="C705" i="15"/>
  <c r="B706" i="15"/>
  <c r="C706" i="15"/>
  <c r="B707" i="15"/>
  <c r="C707" i="15"/>
  <c r="B708" i="15"/>
  <c r="C708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10" i="15"/>
  <c r="C8" i="15"/>
  <c r="B8" i="15"/>
  <c r="B5" i="15"/>
  <c r="B8" i="13"/>
  <c r="B4" i="13"/>
  <c r="B7" i="13"/>
  <c r="B11" i="13"/>
  <c r="B12" i="13"/>
  <c r="D11" i="13"/>
  <c r="E11" i="13"/>
  <c r="B13" i="13"/>
  <c r="D12" i="13"/>
  <c r="E12" i="13"/>
  <c r="B14" i="13"/>
  <c r="D13" i="13"/>
  <c r="E13" i="13"/>
  <c r="B15" i="13"/>
  <c r="D14" i="13"/>
  <c r="E14" i="13"/>
  <c r="B16" i="13"/>
  <c r="D15" i="13"/>
  <c r="E15" i="13"/>
  <c r="B17" i="13"/>
  <c r="D16" i="13"/>
  <c r="E16" i="13"/>
  <c r="B18" i="13"/>
  <c r="D17" i="13"/>
  <c r="E17" i="13"/>
  <c r="B19" i="13"/>
  <c r="D18" i="13"/>
  <c r="E18" i="13"/>
  <c r="B20" i="13"/>
  <c r="D19" i="13"/>
  <c r="E19" i="13"/>
  <c r="B21" i="13"/>
  <c r="D20" i="13"/>
  <c r="E20" i="13"/>
  <c r="B22" i="13"/>
  <c r="D21" i="13"/>
  <c r="E21" i="13"/>
  <c r="B23" i="13"/>
  <c r="D22" i="13"/>
  <c r="E22" i="13"/>
  <c r="B24" i="13"/>
  <c r="D23" i="13"/>
  <c r="E23" i="13"/>
  <c r="B25" i="13"/>
  <c r="D24" i="13"/>
  <c r="E24" i="13"/>
  <c r="B26" i="13"/>
  <c r="D25" i="13"/>
  <c r="E25" i="13"/>
  <c r="B27" i="13"/>
  <c r="D26" i="13"/>
  <c r="E26" i="13"/>
  <c r="B28" i="13"/>
  <c r="D27" i="13"/>
  <c r="E27" i="13"/>
  <c r="B29" i="13"/>
  <c r="D28" i="13"/>
  <c r="E28" i="13"/>
  <c r="B30" i="13"/>
  <c r="D29" i="13"/>
  <c r="E29" i="13"/>
  <c r="B31" i="13"/>
  <c r="D30" i="13"/>
  <c r="E30" i="13"/>
  <c r="B32" i="13"/>
  <c r="D31" i="13"/>
  <c r="E31" i="13"/>
  <c r="B33" i="13"/>
  <c r="D32" i="13"/>
  <c r="E32" i="13"/>
  <c r="B34" i="13"/>
  <c r="D33" i="13"/>
  <c r="E33" i="13"/>
  <c r="B35" i="13"/>
  <c r="D34" i="13"/>
  <c r="E34" i="13"/>
  <c r="B36" i="13"/>
  <c r="D35" i="13"/>
  <c r="E35" i="13"/>
  <c r="B37" i="13"/>
  <c r="D36" i="13"/>
  <c r="E36" i="13"/>
  <c r="B38" i="13"/>
  <c r="D37" i="13"/>
  <c r="E37" i="13"/>
  <c r="B39" i="13"/>
  <c r="D38" i="13"/>
  <c r="E38" i="13"/>
  <c r="B40" i="13"/>
  <c r="D39" i="13"/>
  <c r="E39" i="13"/>
  <c r="B41" i="13"/>
  <c r="D40" i="13"/>
  <c r="E40" i="13"/>
  <c r="B42" i="13"/>
  <c r="D41" i="13"/>
  <c r="E41" i="13"/>
  <c r="B43" i="13"/>
  <c r="D42" i="13"/>
  <c r="E42" i="13"/>
  <c r="B44" i="13"/>
  <c r="D43" i="13"/>
  <c r="E43" i="13"/>
  <c r="B45" i="13"/>
  <c r="D44" i="13"/>
  <c r="E44" i="13"/>
  <c r="B46" i="13"/>
  <c r="D45" i="13"/>
  <c r="E45" i="13"/>
  <c r="B47" i="13"/>
  <c r="D46" i="13"/>
  <c r="E46" i="13"/>
  <c r="B48" i="13"/>
  <c r="D47" i="13"/>
  <c r="E47" i="13"/>
  <c r="B49" i="13"/>
  <c r="D48" i="13"/>
  <c r="E48" i="13"/>
  <c r="B50" i="13"/>
  <c r="D49" i="13"/>
  <c r="E49" i="13"/>
  <c r="B51" i="13"/>
  <c r="D50" i="13"/>
  <c r="E50" i="13"/>
  <c r="B52" i="13"/>
  <c r="D51" i="13"/>
  <c r="E51" i="13"/>
  <c r="B53" i="13"/>
  <c r="D52" i="13"/>
  <c r="E52" i="13"/>
  <c r="B54" i="13"/>
  <c r="D53" i="13"/>
  <c r="E53" i="13"/>
  <c r="B55" i="13"/>
  <c r="D54" i="13"/>
  <c r="E54" i="13"/>
  <c r="B56" i="13"/>
  <c r="D55" i="13"/>
  <c r="E55" i="13"/>
  <c r="B57" i="13"/>
  <c r="D56" i="13"/>
  <c r="E56" i="13"/>
  <c r="B58" i="13"/>
  <c r="D57" i="13"/>
  <c r="E57" i="13"/>
  <c r="B59" i="13"/>
  <c r="D58" i="13"/>
  <c r="E58" i="13"/>
  <c r="B60" i="13"/>
  <c r="D59" i="13"/>
  <c r="E59" i="13"/>
  <c r="B61" i="13"/>
  <c r="D60" i="13"/>
  <c r="E60" i="13"/>
  <c r="B62" i="13"/>
  <c r="D61" i="13"/>
  <c r="E61" i="13"/>
  <c r="B63" i="13"/>
  <c r="D62" i="13"/>
  <c r="E62" i="13"/>
  <c r="B64" i="13"/>
  <c r="D63" i="13"/>
  <c r="E63" i="13"/>
  <c r="B65" i="13"/>
  <c r="D64" i="13"/>
  <c r="E64" i="13"/>
  <c r="B66" i="13"/>
  <c r="D65" i="13"/>
  <c r="E65" i="13"/>
  <c r="B67" i="13"/>
  <c r="D66" i="13"/>
  <c r="E66" i="13"/>
  <c r="B68" i="13"/>
  <c r="D67" i="13"/>
  <c r="E67" i="13"/>
  <c r="B69" i="13"/>
  <c r="D68" i="13"/>
  <c r="E68" i="13"/>
  <c r="B70" i="13"/>
  <c r="D69" i="13"/>
  <c r="E69" i="13"/>
  <c r="B71" i="13"/>
  <c r="D70" i="13"/>
  <c r="E70" i="13"/>
  <c r="B72" i="13"/>
  <c r="D71" i="13"/>
  <c r="E71" i="13"/>
  <c r="B73" i="13"/>
  <c r="D72" i="13"/>
  <c r="E72" i="13"/>
  <c r="B74" i="13"/>
  <c r="D73" i="13"/>
  <c r="E73" i="13"/>
  <c r="B75" i="13"/>
  <c r="D74" i="13"/>
  <c r="E74" i="13"/>
  <c r="B76" i="13"/>
  <c r="D75" i="13"/>
  <c r="E75" i="13"/>
  <c r="B77" i="13"/>
  <c r="D76" i="13"/>
  <c r="E76" i="13"/>
  <c r="B78" i="13"/>
  <c r="D77" i="13"/>
  <c r="E77" i="13"/>
  <c r="B79" i="13"/>
  <c r="D78" i="13"/>
  <c r="E78" i="13"/>
  <c r="B80" i="13"/>
  <c r="D79" i="13"/>
  <c r="E79" i="13"/>
  <c r="B81" i="13"/>
  <c r="D80" i="13"/>
  <c r="E80" i="13"/>
  <c r="B82" i="13"/>
  <c r="D81" i="13"/>
  <c r="E81" i="13"/>
  <c r="B83" i="13"/>
  <c r="D82" i="13"/>
  <c r="E82" i="13"/>
  <c r="B84" i="13"/>
  <c r="D83" i="13"/>
  <c r="E83" i="13"/>
  <c r="B85" i="13"/>
  <c r="D84" i="13"/>
  <c r="E84" i="13"/>
  <c r="B86" i="13"/>
  <c r="D85" i="13"/>
  <c r="E85" i="13"/>
  <c r="B87" i="13"/>
  <c r="D86" i="13"/>
  <c r="E86" i="13"/>
  <c r="B88" i="13"/>
  <c r="D87" i="13"/>
  <c r="E87" i="13"/>
  <c r="B89" i="13"/>
  <c r="D88" i="13"/>
  <c r="E88" i="13"/>
  <c r="B90" i="13"/>
  <c r="D89" i="13"/>
  <c r="E89" i="13"/>
  <c r="B91" i="13"/>
  <c r="D90" i="13"/>
  <c r="E90" i="13"/>
  <c r="B92" i="13"/>
  <c r="D91" i="13"/>
  <c r="E91" i="13"/>
  <c r="B93" i="13"/>
  <c r="D92" i="13"/>
  <c r="E92" i="13"/>
  <c r="B94" i="13"/>
  <c r="D93" i="13"/>
  <c r="E93" i="13"/>
  <c r="B95" i="13"/>
  <c r="D94" i="13"/>
  <c r="E94" i="13"/>
  <c r="B96" i="13"/>
  <c r="D95" i="13"/>
  <c r="E95" i="13"/>
  <c r="B97" i="13"/>
  <c r="D96" i="13"/>
  <c r="E96" i="13"/>
  <c r="B98" i="13"/>
  <c r="D97" i="13"/>
  <c r="E97" i="13"/>
  <c r="B99" i="13"/>
  <c r="D98" i="13"/>
  <c r="E98" i="13"/>
  <c r="B100" i="13"/>
  <c r="D99" i="13"/>
  <c r="E99" i="13"/>
  <c r="B101" i="13"/>
  <c r="D100" i="13"/>
  <c r="E100" i="13"/>
  <c r="B102" i="13"/>
  <c r="D101" i="13"/>
  <c r="E101" i="13"/>
  <c r="B103" i="13"/>
  <c r="D102" i="13"/>
  <c r="E102" i="13"/>
  <c r="B104" i="13"/>
  <c r="D103" i="13"/>
  <c r="E103" i="13"/>
  <c r="B105" i="13"/>
  <c r="D104" i="13"/>
  <c r="E104" i="13"/>
  <c r="B106" i="13"/>
  <c r="D105" i="13"/>
  <c r="E105" i="13"/>
  <c r="B107" i="13"/>
  <c r="D106" i="13"/>
  <c r="E106" i="13"/>
  <c r="B108" i="13"/>
  <c r="D107" i="13"/>
  <c r="E107" i="13"/>
  <c r="B109" i="13"/>
  <c r="D108" i="13"/>
  <c r="E108" i="13"/>
  <c r="B110" i="13"/>
  <c r="D109" i="13"/>
  <c r="E109" i="13"/>
  <c r="B111" i="13"/>
  <c r="D110" i="13"/>
  <c r="E110" i="13"/>
  <c r="B112" i="13"/>
  <c r="D111" i="13"/>
  <c r="E111" i="13"/>
  <c r="B113" i="13"/>
  <c r="D112" i="13"/>
  <c r="E112" i="13"/>
  <c r="B114" i="13"/>
  <c r="D113" i="13"/>
  <c r="E113" i="13"/>
  <c r="B115" i="13"/>
  <c r="D114" i="13"/>
  <c r="E114" i="13"/>
  <c r="B116" i="13"/>
  <c r="D115" i="13"/>
  <c r="E115" i="13"/>
  <c r="B117" i="13"/>
  <c r="D116" i="13"/>
  <c r="E116" i="13"/>
  <c r="B118" i="13"/>
  <c r="D117" i="13"/>
  <c r="E117" i="13"/>
  <c r="B119" i="13"/>
  <c r="D118" i="13"/>
  <c r="E118" i="13"/>
  <c r="B120" i="13"/>
  <c r="D119" i="13"/>
  <c r="E119" i="13"/>
  <c r="B121" i="13"/>
  <c r="D120" i="13"/>
  <c r="E120" i="13"/>
  <c r="B122" i="13"/>
  <c r="D121" i="13"/>
  <c r="E121" i="13"/>
  <c r="B123" i="13"/>
  <c r="D122" i="13"/>
  <c r="E122" i="13"/>
  <c r="B124" i="13"/>
  <c r="D123" i="13"/>
  <c r="E123" i="13"/>
  <c r="B125" i="13"/>
  <c r="D124" i="13"/>
  <c r="E124" i="13"/>
  <c r="B126" i="13"/>
  <c r="D125" i="13"/>
  <c r="E125" i="13"/>
  <c r="B127" i="13"/>
  <c r="D126" i="13"/>
  <c r="E126" i="13"/>
  <c r="B128" i="13"/>
  <c r="D127" i="13"/>
  <c r="E127" i="13"/>
  <c r="B129" i="13"/>
  <c r="D128" i="13"/>
  <c r="E128" i="13"/>
  <c r="B130" i="13"/>
  <c r="D129" i="13"/>
  <c r="E129" i="13"/>
  <c r="B131" i="13"/>
  <c r="D130" i="13"/>
  <c r="E130" i="13"/>
  <c r="B132" i="13"/>
  <c r="D131" i="13"/>
  <c r="E131" i="13"/>
  <c r="B133" i="13"/>
  <c r="D132" i="13"/>
  <c r="E132" i="13"/>
  <c r="B134" i="13"/>
  <c r="D133" i="13"/>
  <c r="E133" i="13"/>
  <c r="B135" i="13"/>
  <c r="D134" i="13"/>
  <c r="E134" i="13"/>
  <c r="B136" i="13"/>
  <c r="D135" i="13"/>
  <c r="E135" i="13"/>
  <c r="B137" i="13"/>
  <c r="D136" i="13"/>
  <c r="E136" i="13"/>
  <c r="B138" i="13"/>
  <c r="D137" i="13"/>
  <c r="E137" i="13"/>
  <c r="B139" i="13"/>
  <c r="D138" i="13"/>
  <c r="E138" i="13"/>
  <c r="B140" i="13"/>
  <c r="D139" i="13"/>
  <c r="E139" i="13"/>
  <c r="B141" i="13"/>
  <c r="D140" i="13"/>
  <c r="E140" i="13"/>
  <c r="B142" i="13"/>
  <c r="D141" i="13"/>
  <c r="E141" i="13"/>
  <c r="B143" i="13"/>
  <c r="D142" i="13"/>
  <c r="E142" i="13"/>
  <c r="B144" i="13"/>
  <c r="D143" i="13"/>
  <c r="E143" i="13"/>
  <c r="B145" i="13"/>
  <c r="D144" i="13"/>
  <c r="E144" i="13"/>
  <c r="B146" i="13"/>
  <c r="D145" i="13"/>
  <c r="E145" i="13"/>
  <c r="B147" i="13"/>
  <c r="D146" i="13"/>
  <c r="E146" i="13"/>
  <c r="B148" i="13"/>
  <c r="D147" i="13"/>
  <c r="E147" i="13"/>
  <c r="B149" i="13"/>
  <c r="D148" i="13"/>
  <c r="E148" i="13"/>
  <c r="B150" i="13"/>
  <c r="D149" i="13"/>
  <c r="E149" i="13"/>
  <c r="B151" i="13"/>
  <c r="D150" i="13"/>
  <c r="E150" i="13"/>
  <c r="B152" i="13"/>
  <c r="D151" i="13"/>
  <c r="E151" i="13"/>
  <c r="B153" i="13"/>
  <c r="D152" i="13"/>
  <c r="E152" i="13"/>
  <c r="B154" i="13"/>
  <c r="D153" i="13"/>
  <c r="E153" i="13"/>
  <c r="B155" i="13"/>
  <c r="D154" i="13"/>
  <c r="E154" i="13"/>
  <c r="B156" i="13"/>
  <c r="D155" i="13"/>
  <c r="E155" i="13"/>
  <c r="B157" i="13"/>
  <c r="D156" i="13"/>
  <c r="E156" i="13"/>
  <c r="B158" i="13"/>
  <c r="D157" i="13"/>
  <c r="E157" i="13"/>
  <c r="B159" i="13"/>
  <c r="D158" i="13"/>
  <c r="E158" i="13"/>
  <c r="B160" i="13"/>
  <c r="D159" i="13"/>
  <c r="E159" i="13"/>
  <c r="B161" i="13"/>
  <c r="D160" i="13"/>
  <c r="E160" i="13"/>
  <c r="B162" i="13"/>
  <c r="D161" i="13"/>
  <c r="E161" i="13"/>
  <c r="B163" i="13"/>
  <c r="D162" i="13"/>
  <c r="E162" i="13"/>
  <c r="B164" i="13"/>
  <c r="D163" i="13"/>
  <c r="E163" i="13"/>
  <c r="B165" i="13"/>
  <c r="D164" i="13"/>
  <c r="E164" i="13"/>
  <c r="B166" i="13"/>
  <c r="D165" i="13"/>
  <c r="E165" i="13"/>
  <c r="B167" i="13"/>
  <c r="D166" i="13"/>
  <c r="E166" i="13"/>
  <c r="B168" i="13"/>
  <c r="D167" i="13"/>
  <c r="E167" i="13"/>
  <c r="B169" i="13"/>
  <c r="D168" i="13"/>
  <c r="E168" i="13"/>
  <c r="B170" i="13"/>
  <c r="D169" i="13"/>
  <c r="E169" i="13"/>
  <c r="B171" i="13"/>
  <c r="D170" i="13"/>
  <c r="E170" i="13"/>
  <c r="B172" i="13"/>
  <c r="D171" i="13"/>
  <c r="E171" i="13"/>
  <c r="B173" i="13"/>
  <c r="D172" i="13"/>
  <c r="E172" i="13"/>
  <c r="B174" i="13"/>
  <c r="D173" i="13"/>
  <c r="E173" i="13"/>
  <c r="B175" i="13"/>
  <c r="D174" i="13"/>
  <c r="E174" i="13"/>
  <c r="B176" i="13"/>
  <c r="D175" i="13"/>
  <c r="E175" i="13"/>
  <c r="B177" i="13"/>
  <c r="D176" i="13"/>
  <c r="E176" i="13"/>
  <c r="B178" i="13"/>
  <c r="D177" i="13"/>
  <c r="E177" i="13"/>
  <c r="B179" i="13"/>
  <c r="D178" i="13"/>
  <c r="E178" i="13"/>
  <c r="B180" i="13"/>
  <c r="D179" i="13"/>
  <c r="E179" i="13"/>
  <c r="B181" i="13"/>
  <c r="D180" i="13"/>
  <c r="E180" i="13"/>
  <c r="B182" i="13"/>
  <c r="D181" i="13"/>
  <c r="E181" i="13"/>
  <c r="B183" i="13"/>
  <c r="D182" i="13"/>
  <c r="E182" i="13"/>
  <c r="B184" i="13"/>
  <c r="D183" i="13"/>
  <c r="E183" i="13"/>
  <c r="B185" i="13"/>
  <c r="D184" i="13"/>
  <c r="E184" i="13"/>
  <c r="B186" i="13"/>
  <c r="D185" i="13"/>
  <c r="E185" i="13"/>
  <c r="B187" i="13"/>
  <c r="D186" i="13"/>
  <c r="E186" i="13"/>
  <c r="B188" i="13"/>
  <c r="D187" i="13"/>
  <c r="E187" i="13"/>
  <c r="B189" i="13"/>
  <c r="D188" i="13"/>
  <c r="E188" i="13"/>
  <c r="B190" i="13"/>
  <c r="D189" i="13"/>
  <c r="E189" i="13"/>
  <c r="B191" i="13"/>
  <c r="D190" i="13"/>
  <c r="E190" i="13"/>
  <c r="B192" i="13"/>
  <c r="D191" i="13"/>
  <c r="E191" i="13"/>
  <c r="B193" i="13"/>
  <c r="D192" i="13"/>
  <c r="E192" i="13"/>
  <c r="B194" i="13"/>
  <c r="D193" i="13"/>
  <c r="E193" i="13"/>
  <c r="B195" i="13"/>
  <c r="D194" i="13"/>
  <c r="E194" i="13"/>
  <c r="B196" i="13"/>
  <c r="D195" i="13"/>
  <c r="E195" i="13"/>
  <c r="B197" i="13"/>
  <c r="D196" i="13"/>
  <c r="E196" i="13"/>
  <c r="B198" i="13"/>
  <c r="D197" i="13"/>
  <c r="E197" i="13"/>
  <c r="B199" i="13"/>
  <c r="D198" i="13"/>
  <c r="E198" i="13"/>
  <c r="B200" i="13"/>
  <c r="D199" i="13"/>
  <c r="E199" i="13"/>
  <c r="B201" i="13"/>
  <c r="D200" i="13"/>
  <c r="E200" i="13"/>
  <c r="B202" i="13"/>
  <c r="D201" i="13"/>
  <c r="E201" i="13"/>
  <c r="B203" i="13"/>
  <c r="D202" i="13"/>
  <c r="E202" i="13"/>
  <c r="B204" i="13"/>
  <c r="D203" i="13"/>
  <c r="E203" i="13"/>
  <c r="B205" i="13"/>
  <c r="D204" i="13"/>
  <c r="E204" i="13"/>
  <c r="B206" i="13"/>
  <c r="D205" i="13"/>
  <c r="E205" i="13"/>
  <c r="B207" i="13"/>
  <c r="D206" i="13"/>
  <c r="E206" i="13"/>
  <c r="B208" i="13"/>
  <c r="D207" i="13"/>
  <c r="E207" i="13"/>
  <c r="B209" i="13"/>
  <c r="D208" i="13"/>
  <c r="E208" i="13"/>
  <c r="B210" i="13"/>
  <c r="D209" i="13"/>
  <c r="E209" i="13"/>
  <c r="B211" i="13"/>
  <c r="D210" i="13"/>
  <c r="E210" i="13"/>
  <c r="B212" i="13"/>
  <c r="D211" i="13"/>
  <c r="E211" i="13"/>
  <c r="B213" i="13"/>
  <c r="D212" i="13"/>
  <c r="E212" i="13"/>
  <c r="B214" i="13"/>
  <c r="D213" i="13"/>
  <c r="E213" i="13"/>
  <c r="B215" i="13"/>
  <c r="D214" i="13"/>
  <c r="E214" i="13"/>
  <c r="B216" i="13"/>
  <c r="D215" i="13"/>
  <c r="E215" i="13"/>
  <c r="B217" i="13"/>
  <c r="D216" i="13"/>
  <c r="E216" i="13"/>
  <c r="B218" i="13"/>
  <c r="D217" i="13"/>
  <c r="E217" i="13"/>
  <c r="B219" i="13"/>
  <c r="D218" i="13"/>
  <c r="E218" i="13"/>
  <c r="B220" i="13"/>
  <c r="D219" i="13"/>
  <c r="E219" i="13"/>
  <c r="B221" i="13"/>
  <c r="D220" i="13"/>
  <c r="E220" i="13"/>
  <c r="B222" i="13"/>
  <c r="D221" i="13"/>
  <c r="E221" i="13"/>
  <c r="B223" i="13"/>
  <c r="D222" i="13"/>
  <c r="E222" i="13"/>
  <c r="B224" i="13"/>
  <c r="D223" i="13"/>
  <c r="E223" i="13"/>
  <c r="B225" i="13"/>
  <c r="D224" i="13"/>
  <c r="E224" i="13"/>
  <c r="B226" i="13"/>
  <c r="D225" i="13"/>
  <c r="E225" i="13"/>
  <c r="B227" i="13"/>
  <c r="D226" i="13"/>
  <c r="E226" i="13"/>
  <c r="B228" i="13"/>
  <c r="D227" i="13"/>
  <c r="E227" i="13"/>
  <c r="B229" i="13"/>
  <c r="D228" i="13"/>
  <c r="E228" i="13"/>
  <c r="B230" i="13"/>
  <c r="D229" i="13"/>
  <c r="E229" i="13"/>
  <c r="B231" i="13"/>
  <c r="D230" i="13"/>
  <c r="E230" i="13"/>
  <c r="B232" i="13"/>
  <c r="D231" i="13"/>
  <c r="E231" i="13"/>
  <c r="B233" i="13"/>
  <c r="D232" i="13"/>
  <c r="E232" i="13"/>
  <c r="B234" i="13"/>
  <c r="D233" i="13"/>
  <c r="E233" i="13"/>
  <c r="B235" i="13"/>
  <c r="D234" i="13"/>
  <c r="E234" i="13"/>
  <c r="B236" i="13"/>
  <c r="D235" i="13"/>
  <c r="E235" i="13"/>
  <c r="B237" i="13"/>
  <c r="D236" i="13"/>
  <c r="E236" i="13"/>
  <c r="B238" i="13"/>
  <c r="D237" i="13"/>
  <c r="E237" i="13"/>
  <c r="B239" i="13"/>
  <c r="D238" i="13"/>
  <c r="E238" i="13"/>
  <c r="B240" i="13"/>
  <c r="D239" i="13"/>
  <c r="E239" i="13"/>
  <c r="B241" i="13"/>
  <c r="D240" i="13"/>
  <c r="E240" i="13"/>
  <c r="B242" i="13"/>
  <c r="D241" i="13"/>
  <c r="E241" i="13"/>
  <c r="B243" i="13"/>
  <c r="D242" i="13"/>
  <c r="E242" i="13"/>
  <c r="B244" i="13"/>
  <c r="D243" i="13"/>
  <c r="E243" i="13"/>
  <c r="B245" i="13"/>
  <c r="D244" i="13"/>
  <c r="E244" i="13"/>
  <c r="B246" i="13"/>
  <c r="D245" i="13"/>
  <c r="E245" i="13"/>
  <c r="B247" i="13"/>
  <c r="D246" i="13"/>
  <c r="E246" i="13"/>
  <c r="B248" i="13"/>
  <c r="D247" i="13"/>
  <c r="E247" i="13"/>
  <c r="B249" i="13"/>
  <c r="D248" i="13"/>
  <c r="E248" i="13"/>
  <c r="B250" i="13"/>
  <c r="D249" i="13"/>
  <c r="E249" i="13"/>
  <c r="B251" i="13"/>
  <c r="D250" i="13"/>
  <c r="E250" i="13"/>
  <c r="B252" i="13"/>
  <c r="D251" i="13"/>
  <c r="E251" i="13"/>
  <c r="B253" i="13"/>
  <c r="D252" i="13"/>
  <c r="E252" i="13"/>
  <c r="B254" i="13"/>
  <c r="D253" i="13"/>
  <c r="E253" i="13"/>
  <c r="B255" i="13"/>
  <c r="D254" i="13"/>
  <c r="E254" i="13"/>
  <c r="B256" i="13"/>
  <c r="D255" i="13"/>
  <c r="E255" i="13"/>
  <c r="B257" i="13"/>
  <c r="D256" i="13"/>
  <c r="E256" i="13"/>
  <c r="B258" i="13"/>
  <c r="D257" i="13"/>
  <c r="E257" i="13"/>
  <c r="B259" i="13"/>
  <c r="D258" i="13"/>
  <c r="E258" i="13"/>
  <c r="B260" i="13"/>
  <c r="D259" i="13"/>
  <c r="E259" i="13"/>
  <c r="B261" i="13"/>
  <c r="D260" i="13"/>
  <c r="E260" i="13"/>
  <c r="B262" i="13"/>
  <c r="D261" i="13"/>
  <c r="E261" i="13"/>
  <c r="B263" i="13"/>
  <c r="D262" i="13"/>
  <c r="E262" i="13"/>
  <c r="B264" i="13"/>
  <c r="D263" i="13"/>
  <c r="E263" i="13"/>
  <c r="B265" i="13"/>
  <c r="D264" i="13"/>
  <c r="E264" i="13"/>
  <c r="B266" i="13"/>
  <c r="D265" i="13"/>
  <c r="E265" i="13"/>
  <c r="B267" i="13"/>
  <c r="D266" i="13"/>
  <c r="E266" i="13"/>
  <c r="B268" i="13"/>
  <c r="D267" i="13"/>
  <c r="E267" i="13"/>
  <c r="B269" i="13"/>
  <c r="D268" i="13"/>
  <c r="E268" i="13"/>
  <c r="B270" i="13"/>
  <c r="D269" i="13"/>
  <c r="E269" i="13"/>
  <c r="B271" i="13"/>
  <c r="D270" i="13"/>
  <c r="E270" i="13"/>
  <c r="B272" i="13"/>
  <c r="D271" i="13"/>
  <c r="E271" i="13"/>
  <c r="B273" i="13"/>
  <c r="D272" i="13"/>
  <c r="E272" i="13"/>
  <c r="B274" i="13"/>
  <c r="D273" i="13"/>
  <c r="E273" i="13"/>
  <c r="B275" i="13"/>
  <c r="D274" i="13"/>
  <c r="E274" i="13"/>
  <c r="B276" i="13"/>
  <c r="D275" i="13"/>
  <c r="E275" i="13"/>
  <c r="B277" i="13"/>
  <c r="D276" i="13"/>
  <c r="E276" i="13"/>
  <c r="B278" i="13"/>
  <c r="D277" i="13"/>
  <c r="E277" i="13"/>
  <c r="B279" i="13"/>
  <c r="D278" i="13"/>
  <c r="E278" i="13"/>
  <c r="B280" i="13"/>
  <c r="D279" i="13"/>
  <c r="E279" i="13"/>
  <c r="B281" i="13"/>
  <c r="D280" i="13"/>
  <c r="E280" i="13"/>
  <c r="B282" i="13"/>
  <c r="D281" i="13"/>
  <c r="E281" i="13"/>
  <c r="B283" i="13"/>
  <c r="D282" i="13"/>
  <c r="E282" i="13"/>
  <c r="B284" i="13"/>
  <c r="D283" i="13"/>
  <c r="E283" i="13"/>
  <c r="B285" i="13"/>
  <c r="D284" i="13"/>
  <c r="E284" i="13"/>
  <c r="B286" i="13"/>
  <c r="D285" i="13"/>
  <c r="E285" i="13"/>
  <c r="B287" i="13"/>
  <c r="D286" i="13"/>
  <c r="E286" i="13"/>
  <c r="B288" i="13"/>
  <c r="D287" i="13"/>
  <c r="E287" i="13"/>
  <c r="B289" i="13"/>
  <c r="D288" i="13"/>
  <c r="E288" i="13"/>
  <c r="B290" i="13"/>
  <c r="D289" i="13"/>
  <c r="E289" i="13"/>
  <c r="B291" i="13"/>
  <c r="D290" i="13"/>
  <c r="E290" i="13"/>
  <c r="B292" i="13"/>
  <c r="D291" i="13"/>
  <c r="E291" i="13"/>
  <c r="B293" i="13"/>
  <c r="D292" i="13"/>
  <c r="E292" i="13"/>
  <c r="B294" i="13"/>
  <c r="D293" i="13"/>
  <c r="E293" i="13"/>
  <c r="B295" i="13"/>
  <c r="D294" i="13"/>
  <c r="E294" i="13"/>
  <c r="B296" i="13"/>
  <c r="D295" i="13"/>
  <c r="E295" i="13"/>
  <c r="B297" i="13"/>
  <c r="D296" i="13"/>
  <c r="E296" i="13"/>
  <c r="B298" i="13"/>
  <c r="D297" i="13"/>
  <c r="E297" i="13"/>
  <c r="B299" i="13"/>
  <c r="D298" i="13"/>
  <c r="E298" i="13"/>
  <c r="B300" i="13"/>
  <c r="D299" i="13"/>
  <c r="E299" i="13"/>
  <c r="B301" i="13"/>
  <c r="D300" i="13"/>
  <c r="E300" i="13"/>
  <c r="B302" i="13"/>
  <c r="D301" i="13"/>
  <c r="E301" i="13"/>
  <c r="B303" i="13"/>
  <c r="D302" i="13"/>
  <c r="E302" i="13"/>
  <c r="B304" i="13"/>
  <c r="D303" i="13"/>
  <c r="E303" i="13"/>
  <c r="B305" i="13"/>
  <c r="D304" i="13"/>
  <c r="E304" i="13"/>
  <c r="B306" i="13"/>
  <c r="D305" i="13"/>
  <c r="E305" i="13"/>
  <c r="B307" i="13"/>
  <c r="D306" i="13"/>
  <c r="E306" i="13"/>
  <c r="B308" i="13"/>
  <c r="D307" i="13"/>
  <c r="E307" i="13"/>
  <c r="B309" i="13"/>
  <c r="D308" i="13"/>
  <c r="E308" i="13"/>
  <c r="B310" i="13"/>
  <c r="D309" i="13"/>
  <c r="E309" i="13"/>
  <c r="B311" i="13"/>
  <c r="D310" i="13"/>
  <c r="E310" i="13"/>
  <c r="B312" i="13"/>
  <c r="D311" i="13"/>
  <c r="E311" i="13"/>
  <c r="B313" i="13"/>
  <c r="D312" i="13"/>
  <c r="E312" i="13"/>
  <c r="B314" i="13"/>
  <c r="D313" i="13"/>
  <c r="E313" i="13"/>
  <c r="B315" i="13"/>
  <c r="D314" i="13"/>
  <c r="E314" i="13"/>
  <c r="B316" i="13"/>
  <c r="D315" i="13"/>
  <c r="E315" i="13"/>
  <c r="B317" i="13"/>
  <c r="D316" i="13"/>
  <c r="E316" i="13"/>
  <c r="B318" i="13"/>
  <c r="D317" i="13"/>
  <c r="E317" i="13"/>
  <c r="B319" i="13"/>
  <c r="D318" i="13"/>
  <c r="E318" i="13"/>
  <c r="B320" i="13"/>
  <c r="D319" i="13"/>
  <c r="E319" i="13"/>
  <c r="B321" i="13"/>
  <c r="D320" i="13"/>
  <c r="E320" i="13"/>
  <c r="B322" i="13"/>
  <c r="D321" i="13"/>
  <c r="E321" i="13"/>
  <c r="B323" i="13"/>
  <c r="D322" i="13"/>
  <c r="E322" i="13"/>
  <c r="B324" i="13"/>
  <c r="D323" i="13"/>
  <c r="E323" i="13"/>
  <c r="B325" i="13"/>
  <c r="D324" i="13"/>
  <c r="E324" i="13"/>
  <c r="B326" i="13"/>
  <c r="D325" i="13"/>
  <c r="E325" i="13"/>
  <c r="B327" i="13"/>
  <c r="D326" i="13"/>
  <c r="E326" i="13"/>
  <c r="B328" i="13"/>
  <c r="D327" i="13"/>
  <c r="E327" i="13"/>
  <c r="B329" i="13"/>
  <c r="D328" i="13"/>
  <c r="E328" i="13"/>
  <c r="B330" i="13"/>
  <c r="D329" i="13"/>
  <c r="E329" i="13"/>
  <c r="B331" i="13"/>
  <c r="D330" i="13"/>
  <c r="E330" i="13"/>
  <c r="E332" i="13"/>
  <c r="D332" i="13"/>
  <c r="E333" i="13"/>
  <c r="I11" i="13"/>
  <c r="B8" i="12"/>
  <c r="B7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B91" i="12"/>
  <c r="F90" i="12"/>
  <c r="B90" i="12"/>
  <c r="F89" i="12"/>
  <c r="B89" i="12"/>
  <c r="F88" i="12"/>
  <c r="B88" i="12"/>
  <c r="F87" i="12"/>
  <c r="B87" i="12"/>
  <c r="F86" i="12"/>
  <c r="B86" i="12"/>
  <c r="F85" i="12"/>
  <c r="B85" i="12"/>
  <c r="F84" i="12"/>
  <c r="B84" i="12"/>
  <c r="F83" i="12"/>
  <c r="B83" i="12"/>
  <c r="F82" i="12"/>
  <c r="B82" i="12"/>
  <c r="F81" i="12"/>
  <c r="B81" i="12"/>
  <c r="F80" i="12"/>
  <c r="B80" i="12"/>
  <c r="F79" i="12"/>
  <c r="B79" i="12"/>
  <c r="F78" i="12"/>
  <c r="B78" i="12"/>
  <c r="F77" i="12"/>
  <c r="B77" i="12"/>
  <c r="F76" i="12"/>
  <c r="B76" i="12"/>
  <c r="F75" i="12"/>
  <c r="B75" i="12"/>
  <c r="F74" i="12"/>
  <c r="B74" i="12"/>
  <c r="F73" i="12"/>
  <c r="B73" i="12"/>
  <c r="F72" i="12"/>
  <c r="B72" i="12"/>
  <c r="F71" i="12"/>
  <c r="B71" i="12"/>
  <c r="F70" i="12"/>
  <c r="B70" i="12"/>
  <c r="F69" i="12"/>
  <c r="B69" i="12"/>
  <c r="F68" i="12"/>
  <c r="B68" i="12"/>
  <c r="F67" i="12"/>
  <c r="B67" i="12"/>
  <c r="F66" i="12"/>
  <c r="B66" i="12"/>
  <c r="F65" i="12"/>
  <c r="B65" i="12"/>
  <c r="F64" i="12"/>
  <c r="B64" i="12"/>
  <c r="F63" i="12"/>
  <c r="B63" i="12"/>
  <c r="F62" i="12"/>
  <c r="B62" i="12"/>
  <c r="F61" i="12"/>
  <c r="B61" i="12"/>
  <c r="F60" i="12"/>
  <c r="B60" i="12"/>
  <c r="F59" i="12"/>
  <c r="B59" i="12"/>
  <c r="F58" i="12"/>
  <c r="B58" i="12"/>
  <c r="F57" i="12"/>
  <c r="B57" i="12"/>
  <c r="F56" i="12"/>
  <c r="B56" i="12"/>
  <c r="F55" i="12"/>
  <c r="B55" i="12"/>
  <c r="F54" i="12"/>
  <c r="B54" i="12"/>
  <c r="F53" i="12"/>
  <c r="B53" i="12"/>
  <c r="F52" i="12"/>
  <c r="B52" i="12"/>
  <c r="F51" i="12"/>
  <c r="B51" i="12"/>
  <c r="F50" i="12"/>
  <c r="B50" i="12"/>
  <c r="F49" i="12"/>
  <c r="B49" i="12"/>
  <c r="F48" i="12"/>
  <c r="B48" i="12"/>
  <c r="F47" i="12"/>
  <c r="B47" i="12"/>
  <c r="F46" i="12"/>
  <c r="B46" i="12"/>
  <c r="F45" i="12"/>
  <c r="B45" i="12"/>
  <c r="F44" i="12"/>
  <c r="B44" i="12"/>
  <c r="F43" i="12"/>
  <c r="B43" i="12"/>
  <c r="F42" i="12"/>
  <c r="B42" i="12"/>
  <c r="F41" i="12"/>
  <c r="B41" i="12"/>
  <c r="F40" i="12"/>
  <c r="B40" i="12"/>
  <c r="F39" i="12"/>
  <c r="B39" i="12"/>
  <c r="F38" i="12"/>
  <c r="B38" i="12"/>
  <c r="F37" i="12"/>
  <c r="B37" i="12"/>
  <c r="F36" i="12"/>
  <c r="B36" i="12"/>
  <c r="F35" i="12"/>
  <c r="B35" i="12"/>
  <c r="F34" i="12"/>
  <c r="B34" i="12"/>
  <c r="F33" i="12"/>
  <c r="B33" i="12"/>
  <c r="F32" i="12"/>
  <c r="B32" i="12"/>
  <c r="F31" i="12"/>
  <c r="B31" i="12"/>
  <c r="F30" i="12"/>
  <c r="B30" i="12"/>
  <c r="F29" i="12"/>
  <c r="B29" i="12"/>
  <c r="F28" i="12"/>
  <c r="B28" i="12"/>
  <c r="F27" i="12"/>
  <c r="B27" i="12"/>
  <c r="F26" i="12"/>
  <c r="B26" i="12"/>
  <c r="F25" i="12"/>
  <c r="B25" i="12"/>
  <c r="F24" i="12"/>
  <c r="B24" i="12"/>
  <c r="F23" i="12"/>
  <c r="B23" i="12"/>
  <c r="F22" i="12"/>
  <c r="B22" i="12"/>
  <c r="F21" i="12"/>
  <c r="B21" i="12"/>
  <c r="F20" i="12"/>
  <c r="B20" i="12"/>
  <c r="F19" i="12"/>
  <c r="B19" i="12"/>
  <c r="F18" i="12"/>
  <c r="B18" i="12"/>
  <c r="F17" i="12"/>
  <c r="B17" i="12"/>
  <c r="F16" i="12"/>
  <c r="B16" i="12"/>
  <c r="F15" i="12"/>
  <c r="B15" i="12"/>
  <c r="N14" i="12"/>
  <c r="B13" i="12"/>
  <c r="B14" i="12"/>
  <c r="K14" i="12"/>
  <c r="F14" i="12"/>
  <c r="F13" i="12"/>
  <c r="J8" i="11"/>
  <c r="K9" i="11"/>
  <c r="L9" i="11"/>
  <c r="J9" i="11"/>
  <c r="K10" i="11"/>
  <c r="L10" i="11"/>
  <c r="J10" i="11"/>
  <c r="K11" i="11"/>
  <c r="L11" i="11"/>
  <c r="J11" i="11"/>
  <c r="K12" i="11"/>
  <c r="L12" i="11"/>
  <c r="L13" i="11"/>
  <c r="K13" i="11"/>
  <c r="L15" i="11"/>
  <c r="D7" i="11"/>
  <c r="E7" i="11"/>
  <c r="D8" i="11"/>
  <c r="E8" i="11"/>
  <c r="D9" i="11"/>
  <c r="E9" i="11"/>
  <c r="D10" i="11"/>
  <c r="E10" i="11"/>
  <c r="E11" i="11"/>
  <c r="E12" i="11"/>
  <c r="O8" i="11"/>
  <c r="O7" i="11"/>
  <c r="J7" i="11"/>
  <c r="B6" i="8"/>
  <c r="B7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E12" i="8"/>
  <c r="B83" i="8"/>
  <c r="E13" i="8"/>
  <c r="B84" i="8"/>
  <c r="E14" i="8"/>
  <c r="B85" i="8"/>
  <c r="E15" i="8"/>
  <c r="B86" i="8"/>
  <c r="E16" i="8"/>
  <c r="B87" i="8"/>
  <c r="E17" i="8"/>
  <c r="B88" i="8"/>
  <c r="E18" i="8"/>
  <c r="B89" i="8"/>
  <c r="E19" i="8"/>
  <c r="B90" i="8"/>
  <c r="E20" i="8"/>
  <c r="B91" i="8"/>
  <c r="E21" i="8"/>
  <c r="B92" i="8"/>
  <c r="E22" i="8"/>
  <c r="B93" i="8"/>
  <c r="E23" i="8"/>
  <c r="B94" i="8"/>
  <c r="E24" i="8"/>
  <c r="B95" i="8"/>
  <c r="E25" i="8"/>
  <c r="B96" i="8"/>
  <c r="E26" i="8"/>
  <c r="B97" i="8"/>
  <c r="E27" i="8"/>
  <c r="B98" i="8"/>
  <c r="E28" i="8"/>
  <c r="B99" i="8"/>
  <c r="E29" i="8"/>
  <c r="B100" i="8"/>
  <c r="E30" i="8"/>
  <c r="B101" i="8"/>
  <c r="E31" i="8"/>
  <c r="B102" i="8"/>
  <c r="E32" i="8"/>
  <c r="B103" i="8"/>
  <c r="E33" i="8"/>
  <c r="B104" i="8"/>
  <c r="E34" i="8"/>
  <c r="B105" i="8"/>
  <c r="E35" i="8"/>
  <c r="B106" i="8"/>
  <c r="E36" i="8"/>
  <c r="B107" i="8"/>
  <c r="E37" i="8"/>
  <c r="B108" i="8"/>
  <c r="E38" i="8"/>
  <c r="B109" i="8"/>
  <c r="E39" i="8"/>
  <c r="B110" i="8"/>
  <c r="E40" i="8"/>
  <c r="B111" i="8"/>
  <c r="E41" i="8"/>
  <c r="B112" i="8"/>
  <c r="E42" i="8"/>
  <c r="B113" i="8"/>
  <c r="E43" i="8"/>
  <c r="B114" i="8"/>
  <c r="E44" i="8"/>
  <c r="B115" i="8"/>
  <c r="E45" i="8"/>
  <c r="B116" i="8"/>
  <c r="E46" i="8"/>
  <c r="B117" i="8"/>
  <c r="E47" i="8"/>
  <c r="B118" i="8"/>
  <c r="E48" i="8"/>
  <c r="B119" i="8"/>
  <c r="E49" i="8"/>
  <c r="B120" i="8"/>
  <c r="E50" i="8"/>
  <c r="B121" i="8"/>
  <c r="E51" i="8"/>
  <c r="B122" i="8"/>
  <c r="E52" i="8"/>
  <c r="B123" i="8"/>
  <c r="E53" i="8"/>
  <c r="B124" i="8"/>
  <c r="E54" i="8"/>
  <c r="B125" i="8"/>
  <c r="E55" i="8"/>
  <c r="B126" i="8"/>
  <c r="E56" i="8"/>
  <c r="B127" i="8"/>
  <c r="E57" i="8"/>
  <c r="B128" i="8"/>
  <c r="E58" i="8"/>
  <c r="B129" i="8"/>
  <c r="E59" i="8"/>
  <c r="B130" i="8"/>
  <c r="E60" i="8"/>
  <c r="B131" i="8"/>
  <c r="E61" i="8"/>
  <c r="E11" i="8"/>
  <c r="K11" i="8"/>
  <c r="M11" i="8"/>
  <c r="K12" i="8"/>
  <c r="M12" i="8"/>
  <c r="K13" i="8"/>
  <c r="L13" i="8"/>
  <c r="M13" i="8"/>
  <c r="K14" i="8"/>
  <c r="L14" i="8"/>
  <c r="M14" i="8"/>
  <c r="K15" i="8"/>
  <c r="L15" i="8"/>
  <c r="M15" i="8"/>
  <c r="K16" i="8"/>
  <c r="L16" i="8"/>
  <c r="M16" i="8"/>
  <c r="K17" i="8"/>
  <c r="L17" i="8"/>
  <c r="M17" i="8"/>
  <c r="K18" i="8"/>
  <c r="L18" i="8"/>
  <c r="M18" i="8"/>
  <c r="K19" i="8"/>
  <c r="L19" i="8"/>
  <c r="M19" i="8"/>
  <c r="K20" i="8"/>
  <c r="L20" i="8"/>
  <c r="M20" i="8"/>
  <c r="K21" i="8"/>
  <c r="L21" i="8"/>
  <c r="M21" i="8"/>
  <c r="K22" i="8"/>
  <c r="L22" i="8"/>
  <c r="M22" i="8"/>
  <c r="K23" i="8"/>
  <c r="L23" i="8"/>
  <c r="M23" i="8"/>
  <c r="K24" i="8"/>
  <c r="L24" i="8"/>
  <c r="M24" i="8"/>
  <c r="K25" i="8"/>
  <c r="L25" i="8"/>
  <c r="M25" i="8"/>
  <c r="K26" i="8"/>
  <c r="L26" i="8"/>
  <c r="M26" i="8"/>
  <c r="K27" i="8"/>
  <c r="L27" i="8"/>
  <c r="M27" i="8"/>
  <c r="K28" i="8"/>
  <c r="L28" i="8"/>
  <c r="M28" i="8"/>
  <c r="K29" i="8"/>
  <c r="L29" i="8"/>
  <c r="M29" i="8"/>
  <c r="K30" i="8"/>
  <c r="L30" i="8"/>
  <c r="M30" i="8"/>
  <c r="K31" i="8"/>
  <c r="L31" i="8"/>
  <c r="M31" i="8"/>
  <c r="K32" i="8"/>
  <c r="L32" i="8"/>
  <c r="M32" i="8"/>
  <c r="K33" i="8"/>
  <c r="L33" i="8"/>
  <c r="M33" i="8"/>
  <c r="K34" i="8"/>
  <c r="L34" i="8"/>
  <c r="M34" i="8"/>
  <c r="K35" i="8"/>
  <c r="L35" i="8"/>
  <c r="M35" i="8"/>
  <c r="K36" i="8"/>
  <c r="L36" i="8"/>
  <c r="M36" i="8"/>
  <c r="K37" i="8"/>
  <c r="L37" i="8"/>
  <c r="M37" i="8"/>
  <c r="K38" i="8"/>
  <c r="L38" i="8"/>
  <c r="M38" i="8"/>
  <c r="K39" i="8"/>
  <c r="L39" i="8"/>
  <c r="M39" i="8"/>
  <c r="K40" i="8"/>
  <c r="L40" i="8"/>
  <c r="M40" i="8"/>
  <c r="K41" i="8"/>
  <c r="L41" i="8"/>
  <c r="M41" i="8"/>
  <c r="K42" i="8"/>
  <c r="L42" i="8"/>
  <c r="M42" i="8"/>
  <c r="K43" i="8"/>
  <c r="L43" i="8"/>
  <c r="M43" i="8"/>
  <c r="K44" i="8"/>
  <c r="L44" i="8"/>
  <c r="M44" i="8"/>
  <c r="K45" i="8"/>
  <c r="L45" i="8"/>
  <c r="M45" i="8"/>
  <c r="K46" i="8"/>
  <c r="L46" i="8"/>
  <c r="M46" i="8"/>
  <c r="K47" i="8"/>
  <c r="L47" i="8"/>
  <c r="M47" i="8"/>
  <c r="K48" i="8"/>
  <c r="L48" i="8"/>
  <c r="M48" i="8"/>
  <c r="K49" i="8"/>
  <c r="L49" i="8"/>
  <c r="M49" i="8"/>
  <c r="K50" i="8"/>
  <c r="L50" i="8"/>
  <c r="M50" i="8"/>
  <c r="K51" i="8"/>
  <c r="L51" i="8"/>
  <c r="M51" i="8"/>
  <c r="K52" i="8"/>
  <c r="L52" i="8"/>
  <c r="M52" i="8"/>
  <c r="K53" i="8"/>
  <c r="L53" i="8"/>
  <c r="M53" i="8"/>
  <c r="K54" i="8"/>
  <c r="L54" i="8"/>
  <c r="M54" i="8"/>
  <c r="K55" i="8"/>
  <c r="L55" i="8"/>
  <c r="M55" i="8"/>
  <c r="K56" i="8"/>
  <c r="L56" i="8"/>
  <c r="M56" i="8"/>
  <c r="K57" i="8"/>
  <c r="L57" i="8"/>
  <c r="M57" i="8"/>
  <c r="K58" i="8"/>
  <c r="L58" i="8"/>
  <c r="M58" i="8"/>
  <c r="K59" i="8"/>
  <c r="L59" i="8"/>
  <c r="M59" i="8"/>
  <c r="K60" i="8"/>
  <c r="L60" i="8"/>
  <c r="M60" i="8"/>
  <c r="K61" i="8"/>
  <c r="L61" i="8"/>
  <c r="M61" i="8"/>
  <c r="K62" i="8"/>
  <c r="L62" i="8"/>
  <c r="M62" i="8"/>
  <c r="K63" i="8"/>
  <c r="L63" i="8"/>
  <c r="M63" i="8"/>
  <c r="K64" i="8"/>
  <c r="L64" i="8"/>
  <c r="M64" i="8"/>
  <c r="K65" i="8"/>
  <c r="L65" i="8"/>
  <c r="M65" i="8"/>
  <c r="K66" i="8"/>
  <c r="L66" i="8"/>
  <c r="M66" i="8"/>
  <c r="K67" i="8"/>
  <c r="L67" i="8"/>
  <c r="M67" i="8"/>
  <c r="K68" i="8"/>
  <c r="L68" i="8"/>
  <c r="M68" i="8"/>
  <c r="K69" i="8"/>
  <c r="L69" i="8"/>
  <c r="M69" i="8"/>
  <c r="K70" i="8"/>
  <c r="L70" i="8"/>
  <c r="M70" i="8"/>
  <c r="K71" i="8"/>
  <c r="L71" i="8"/>
  <c r="M71" i="8"/>
  <c r="K72" i="8"/>
  <c r="L72" i="8"/>
  <c r="M72" i="8"/>
  <c r="K73" i="8"/>
  <c r="L73" i="8"/>
  <c r="M73" i="8"/>
  <c r="K74" i="8"/>
  <c r="L74" i="8"/>
  <c r="M74" i="8"/>
  <c r="K75" i="8"/>
  <c r="L75" i="8"/>
  <c r="M75" i="8"/>
  <c r="K76" i="8"/>
  <c r="L76" i="8"/>
  <c r="M76" i="8"/>
  <c r="K77" i="8"/>
  <c r="L77" i="8"/>
  <c r="M77" i="8"/>
  <c r="K78" i="8"/>
  <c r="L78" i="8"/>
  <c r="M78" i="8"/>
  <c r="K79" i="8"/>
  <c r="L79" i="8"/>
  <c r="M79" i="8"/>
  <c r="K80" i="8"/>
  <c r="L80" i="8"/>
  <c r="M80" i="8"/>
  <c r="K81" i="8"/>
  <c r="L81" i="8"/>
  <c r="M81" i="8"/>
  <c r="K82" i="8"/>
  <c r="L82" i="8"/>
  <c r="M82" i="8"/>
  <c r="K83" i="8"/>
  <c r="L83" i="8"/>
  <c r="M83" i="8"/>
  <c r="K84" i="8"/>
  <c r="L84" i="8"/>
  <c r="M84" i="8"/>
  <c r="K85" i="8"/>
  <c r="L85" i="8"/>
  <c r="M85" i="8"/>
  <c r="K86" i="8"/>
  <c r="L86" i="8"/>
  <c r="M86" i="8"/>
  <c r="K87" i="8"/>
  <c r="L87" i="8"/>
  <c r="M87" i="8"/>
  <c r="K88" i="8"/>
  <c r="L88" i="8"/>
  <c r="M88" i="8"/>
  <c r="K89" i="8"/>
  <c r="L89" i="8"/>
  <c r="M89" i="8"/>
  <c r="K90" i="8"/>
  <c r="L90" i="8"/>
  <c r="M90" i="8"/>
  <c r="K91" i="8"/>
  <c r="L91" i="8"/>
  <c r="M91" i="8"/>
  <c r="K92" i="8"/>
  <c r="L92" i="8"/>
  <c r="M92" i="8"/>
  <c r="K93" i="8"/>
  <c r="L93" i="8"/>
  <c r="M93" i="8"/>
  <c r="K94" i="8"/>
  <c r="L94" i="8"/>
  <c r="M94" i="8"/>
  <c r="K95" i="8"/>
  <c r="L95" i="8"/>
  <c r="M95" i="8"/>
  <c r="K96" i="8"/>
  <c r="L96" i="8"/>
  <c r="M96" i="8"/>
  <c r="K97" i="8"/>
  <c r="L97" i="8"/>
  <c r="M97" i="8"/>
  <c r="K98" i="8"/>
  <c r="L98" i="8"/>
  <c r="M98" i="8"/>
  <c r="K99" i="8"/>
  <c r="L99" i="8"/>
  <c r="M99" i="8"/>
  <c r="K100" i="8"/>
  <c r="L100" i="8"/>
  <c r="M100" i="8"/>
  <c r="K101" i="8"/>
  <c r="L101" i="8"/>
  <c r="M101" i="8"/>
  <c r="K102" i="8"/>
  <c r="L102" i="8"/>
  <c r="M102" i="8"/>
  <c r="K103" i="8"/>
  <c r="L103" i="8"/>
  <c r="M103" i="8"/>
  <c r="K104" i="8"/>
  <c r="L104" i="8"/>
  <c r="M104" i="8"/>
  <c r="K105" i="8"/>
  <c r="L105" i="8"/>
  <c r="M105" i="8"/>
  <c r="K106" i="8"/>
  <c r="L106" i="8"/>
  <c r="M106" i="8"/>
  <c r="K107" i="8"/>
  <c r="L107" i="8"/>
  <c r="M107" i="8"/>
  <c r="K108" i="8"/>
  <c r="L108" i="8"/>
  <c r="M108" i="8"/>
  <c r="K109" i="8"/>
  <c r="L109" i="8"/>
  <c r="M109" i="8"/>
  <c r="K110" i="8"/>
  <c r="L110" i="8"/>
  <c r="M110" i="8"/>
  <c r="K111" i="8"/>
  <c r="L111" i="8"/>
  <c r="M111" i="8"/>
  <c r="K112" i="8"/>
  <c r="L112" i="8"/>
  <c r="M112" i="8"/>
  <c r="K113" i="8"/>
  <c r="L113" i="8"/>
  <c r="M113" i="8"/>
  <c r="K114" i="8"/>
  <c r="L114" i="8"/>
  <c r="M114" i="8"/>
  <c r="K115" i="8"/>
  <c r="L115" i="8"/>
  <c r="M115" i="8"/>
  <c r="K116" i="8"/>
  <c r="L116" i="8"/>
  <c r="M116" i="8"/>
  <c r="K117" i="8"/>
  <c r="L117" i="8"/>
  <c r="M117" i="8"/>
  <c r="K118" i="8"/>
  <c r="L118" i="8"/>
  <c r="M118" i="8"/>
  <c r="K119" i="8"/>
  <c r="L119" i="8"/>
  <c r="M119" i="8"/>
  <c r="K120" i="8"/>
  <c r="L120" i="8"/>
  <c r="M120" i="8"/>
  <c r="K121" i="8"/>
  <c r="L121" i="8"/>
  <c r="M121" i="8"/>
  <c r="K122" i="8"/>
  <c r="L122" i="8"/>
  <c r="M122" i="8"/>
  <c r="K123" i="8"/>
  <c r="L123" i="8"/>
  <c r="M123" i="8"/>
  <c r="K124" i="8"/>
  <c r="L124" i="8"/>
  <c r="M124" i="8"/>
  <c r="K125" i="8"/>
  <c r="L125" i="8"/>
  <c r="M125" i="8"/>
  <c r="K126" i="8"/>
  <c r="L126" i="8"/>
  <c r="M126" i="8"/>
  <c r="K127" i="8"/>
  <c r="L127" i="8"/>
  <c r="M127" i="8"/>
  <c r="K128" i="8"/>
  <c r="L128" i="8"/>
  <c r="M128" i="8"/>
  <c r="K129" i="8"/>
  <c r="L129" i="8"/>
  <c r="M129" i="8"/>
  <c r="K130" i="8"/>
  <c r="L130" i="8"/>
  <c r="M130" i="8"/>
  <c r="K131" i="8"/>
  <c r="L131" i="8"/>
  <c r="M131" i="8"/>
  <c r="K132" i="8"/>
  <c r="L132" i="8"/>
  <c r="M132" i="8"/>
  <c r="K133" i="8"/>
  <c r="L133" i="8"/>
  <c r="M133" i="8"/>
  <c r="K134" i="8"/>
  <c r="L134" i="8"/>
  <c r="M134" i="8"/>
  <c r="K135" i="8"/>
  <c r="L135" i="8"/>
  <c r="M135" i="8"/>
  <c r="K136" i="8"/>
  <c r="L136" i="8"/>
  <c r="M136" i="8"/>
  <c r="K137" i="8"/>
  <c r="L137" i="8"/>
  <c r="M137" i="8"/>
  <c r="K138" i="8"/>
  <c r="L138" i="8"/>
  <c r="M138" i="8"/>
  <c r="K139" i="8"/>
  <c r="L139" i="8"/>
  <c r="M139" i="8"/>
  <c r="K140" i="8"/>
  <c r="L140" i="8"/>
  <c r="M140" i="8"/>
  <c r="K141" i="8"/>
  <c r="L141" i="8"/>
  <c r="M141" i="8"/>
  <c r="K142" i="8"/>
  <c r="L142" i="8"/>
  <c r="M142" i="8"/>
  <c r="K143" i="8"/>
  <c r="L143" i="8"/>
  <c r="M143" i="8"/>
  <c r="K144" i="8"/>
  <c r="L144" i="8"/>
  <c r="M144" i="8"/>
  <c r="K145" i="8"/>
  <c r="L145" i="8"/>
  <c r="M145" i="8"/>
  <c r="K146" i="8"/>
  <c r="L146" i="8"/>
  <c r="M146" i="8"/>
  <c r="K147" i="8"/>
  <c r="L147" i="8"/>
  <c r="M147" i="8"/>
  <c r="K148" i="8"/>
  <c r="L148" i="8"/>
  <c r="M148" i="8"/>
  <c r="K149" i="8"/>
  <c r="L149" i="8"/>
  <c r="M149" i="8"/>
  <c r="K150" i="8"/>
  <c r="L150" i="8"/>
  <c r="M150" i="8"/>
  <c r="K151" i="8"/>
  <c r="L151" i="8"/>
  <c r="M151" i="8"/>
  <c r="K152" i="8"/>
  <c r="L152" i="8"/>
  <c r="M152" i="8"/>
  <c r="K153" i="8"/>
  <c r="L153" i="8"/>
  <c r="M153" i="8"/>
  <c r="K154" i="8"/>
  <c r="L154" i="8"/>
  <c r="M154" i="8"/>
  <c r="K155" i="8"/>
  <c r="L155" i="8"/>
  <c r="M155" i="8"/>
  <c r="K156" i="8"/>
  <c r="L156" i="8"/>
  <c r="M156" i="8"/>
  <c r="K157" i="8"/>
  <c r="L157" i="8"/>
  <c r="M157" i="8"/>
  <c r="K158" i="8"/>
  <c r="L158" i="8"/>
  <c r="M158" i="8"/>
  <c r="K159" i="8"/>
  <c r="L159" i="8"/>
  <c r="M159" i="8"/>
  <c r="K160" i="8"/>
  <c r="L160" i="8"/>
  <c r="M160" i="8"/>
  <c r="K161" i="8"/>
  <c r="L161" i="8"/>
  <c r="M161" i="8"/>
  <c r="K162" i="8"/>
  <c r="L162" i="8"/>
  <c r="M162" i="8"/>
  <c r="K163" i="8"/>
  <c r="L163" i="8"/>
  <c r="M163" i="8"/>
  <c r="K164" i="8"/>
  <c r="L164" i="8"/>
  <c r="M164" i="8"/>
  <c r="K165" i="8"/>
  <c r="L165" i="8"/>
  <c r="M165" i="8"/>
  <c r="K166" i="8"/>
  <c r="L166" i="8"/>
  <c r="M166" i="8"/>
  <c r="K167" i="8"/>
  <c r="L167" i="8"/>
  <c r="M167" i="8"/>
  <c r="K168" i="8"/>
  <c r="L168" i="8"/>
  <c r="M168" i="8"/>
  <c r="K169" i="8"/>
  <c r="L169" i="8"/>
  <c r="M169" i="8"/>
  <c r="K170" i="8"/>
  <c r="L170" i="8"/>
  <c r="M170" i="8"/>
  <c r="K171" i="8"/>
  <c r="L171" i="8"/>
  <c r="M171" i="8"/>
  <c r="K172" i="8"/>
  <c r="L172" i="8"/>
  <c r="M172" i="8"/>
  <c r="K173" i="8"/>
  <c r="L173" i="8"/>
  <c r="M173" i="8"/>
  <c r="K174" i="8"/>
  <c r="L174" i="8"/>
  <c r="M174" i="8"/>
  <c r="K175" i="8"/>
  <c r="L175" i="8"/>
  <c r="M175" i="8"/>
  <c r="K176" i="8"/>
  <c r="L176" i="8"/>
  <c r="M176" i="8"/>
  <c r="K177" i="8"/>
  <c r="L177" i="8"/>
  <c r="M177" i="8"/>
  <c r="K178" i="8"/>
  <c r="L178" i="8"/>
  <c r="M178" i="8"/>
  <c r="K179" i="8"/>
  <c r="L179" i="8"/>
  <c r="M179" i="8"/>
  <c r="K180" i="8"/>
  <c r="L180" i="8"/>
  <c r="M180" i="8"/>
  <c r="K181" i="8"/>
  <c r="L181" i="8"/>
  <c r="M181" i="8"/>
  <c r="K182" i="8"/>
  <c r="L182" i="8"/>
  <c r="M182" i="8"/>
  <c r="K183" i="8"/>
  <c r="L183" i="8"/>
  <c r="M183" i="8"/>
  <c r="K184" i="8"/>
  <c r="L184" i="8"/>
  <c r="M184" i="8"/>
  <c r="K185" i="8"/>
  <c r="L185" i="8"/>
  <c r="M185" i="8"/>
  <c r="K186" i="8"/>
  <c r="L186" i="8"/>
  <c r="M186" i="8"/>
  <c r="K187" i="8"/>
  <c r="L187" i="8"/>
  <c r="M187" i="8"/>
  <c r="K188" i="8"/>
  <c r="L188" i="8"/>
  <c r="M188" i="8"/>
  <c r="K189" i="8"/>
  <c r="L189" i="8"/>
  <c r="M189" i="8"/>
  <c r="K190" i="8"/>
  <c r="L190" i="8"/>
  <c r="M190" i="8"/>
  <c r="K191" i="8"/>
  <c r="L191" i="8"/>
  <c r="M191" i="8"/>
  <c r="K192" i="8"/>
  <c r="L192" i="8"/>
  <c r="M192" i="8"/>
  <c r="K193" i="8"/>
  <c r="L193" i="8"/>
  <c r="M193" i="8"/>
  <c r="K194" i="8"/>
  <c r="L194" i="8"/>
  <c r="M194" i="8"/>
  <c r="K195" i="8"/>
  <c r="L195" i="8"/>
  <c r="M195" i="8"/>
  <c r="K196" i="8"/>
  <c r="L196" i="8"/>
  <c r="M196" i="8"/>
  <c r="K197" i="8"/>
  <c r="L197" i="8"/>
  <c r="M197" i="8"/>
  <c r="K198" i="8"/>
  <c r="L198" i="8"/>
  <c r="M198" i="8"/>
  <c r="K199" i="8"/>
  <c r="L199" i="8"/>
  <c r="M199" i="8"/>
  <c r="K200" i="8"/>
  <c r="L200" i="8"/>
  <c r="M200" i="8"/>
  <c r="K201" i="8"/>
  <c r="L201" i="8"/>
  <c r="M201" i="8"/>
  <c r="K202" i="8"/>
  <c r="L202" i="8"/>
  <c r="M202" i="8"/>
  <c r="K203" i="8"/>
  <c r="L203" i="8"/>
  <c r="M203" i="8"/>
  <c r="K204" i="8"/>
  <c r="L204" i="8"/>
  <c r="M204" i="8"/>
  <c r="K205" i="8"/>
  <c r="L205" i="8"/>
  <c r="M205" i="8"/>
  <c r="K206" i="8"/>
  <c r="L206" i="8"/>
  <c r="M206" i="8"/>
  <c r="K207" i="8"/>
  <c r="L207" i="8"/>
  <c r="M207" i="8"/>
  <c r="K208" i="8"/>
  <c r="L208" i="8"/>
  <c r="M208" i="8"/>
  <c r="K209" i="8"/>
  <c r="L209" i="8"/>
  <c r="M209" i="8"/>
  <c r="K210" i="8"/>
  <c r="L210" i="8"/>
  <c r="M210" i="8"/>
  <c r="K211" i="8"/>
  <c r="L211" i="8"/>
  <c r="M211" i="8"/>
  <c r="K212" i="8"/>
  <c r="L212" i="8"/>
  <c r="M212" i="8"/>
  <c r="K213" i="8"/>
  <c r="L213" i="8"/>
  <c r="M213" i="8"/>
  <c r="K214" i="8"/>
  <c r="L214" i="8"/>
  <c r="M214" i="8"/>
  <c r="K215" i="8"/>
  <c r="L215" i="8"/>
  <c r="M215" i="8"/>
  <c r="K216" i="8"/>
  <c r="L216" i="8"/>
  <c r="M216" i="8"/>
  <c r="K217" i="8"/>
  <c r="L217" i="8"/>
  <c r="M217" i="8"/>
  <c r="K218" i="8"/>
  <c r="L218" i="8"/>
  <c r="M218" i="8"/>
  <c r="K219" i="8"/>
  <c r="L219" i="8"/>
  <c r="M219" i="8"/>
  <c r="K220" i="8"/>
  <c r="L220" i="8"/>
  <c r="M220" i="8"/>
  <c r="K221" i="8"/>
  <c r="L221" i="8"/>
  <c r="M221" i="8"/>
  <c r="K222" i="8"/>
  <c r="L222" i="8"/>
  <c r="M222" i="8"/>
  <c r="K223" i="8"/>
  <c r="L223" i="8"/>
  <c r="M223" i="8"/>
  <c r="K224" i="8"/>
  <c r="L224" i="8"/>
  <c r="M224" i="8"/>
  <c r="K225" i="8"/>
  <c r="L225" i="8"/>
  <c r="M225" i="8"/>
  <c r="K226" i="8"/>
  <c r="L226" i="8"/>
  <c r="M226" i="8"/>
  <c r="K227" i="8"/>
  <c r="L227" i="8"/>
  <c r="M227" i="8"/>
  <c r="K228" i="8"/>
  <c r="L228" i="8"/>
  <c r="M228" i="8"/>
  <c r="K229" i="8"/>
  <c r="L229" i="8"/>
  <c r="M229" i="8"/>
  <c r="K230" i="8"/>
  <c r="L230" i="8"/>
  <c r="M230" i="8"/>
  <c r="K231" i="8"/>
  <c r="L231" i="8"/>
  <c r="M231" i="8"/>
  <c r="K232" i="8"/>
  <c r="L232" i="8"/>
  <c r="M232" i="8"/>
  <c r="K233" i="8"/>
  <c r="L233" i="8"/>
  <c r="M233" i="8"/>
  <c r="K234" i="8"/>
  <c r="L234" i="8"/>
  <c r="M234" i="8"/>
  <c r="K235" i="8"/>
  <c r="L235" i="8"/>
  <c r="M235" i="8"/>
  <c r="K236" i="8"/>
  <c r="L236" i="8"/>
  <c r="M236" i="8"/>
  <c r="K237" i="8"/>
  <c r="L237" i="8"/>
  <c r="M237" i="8"/>
  <c r="K238" i="8"/>
  <c r="L238" i="8"/>
  <c r="M238" i="8"/>
  <c r="K239" i="8"/>
  <c r="L239" i="8"/>
  <c r="M239" i="8"/>
  <c r="K240" i="8"/>
  <c r="L240" i="8"/>
  <c r="M240" i="8"/>
  <c r="K241" i="8"/>
  <c r="L241" i="8"/>
  <c r="M241" i="8"/>
  <c r="K242" i="8"/>
  <c r="L242" i="8"/>
  <c r="M242" i="8"/>
  <c r="K243" i="8"/>
  <c r="L243" i="8"/>
  <c r="M243" i="8"/>
  <c r="K244" i="8"/>
  <c r="L244" i="8"/>
  <c r="M244" i="8"/>
  <c r="K245" i="8"/>
  <c r="L245" i="8"/>
  <c r="M245" i="8"/>
  <c r="K246" i="8"/>
  <c r="L246" i="8"/>
  <c r="M246" i="8"/>
  <c r="K247" i="8"/>
  <c r="L247" i="8"/>
  <c r="M247" i="8"/>
  <c r="K248" i="8"/>
  <c r="L248" i="8"/>
  <c r="M248" i="8"/>
  <c r="K249" i="8"/>
  <c r="L249" i="8"/>
  <c r="M249" i="8"/>
  <c r="K250" i="8"/>
  <c r="L250" i="8"/>
  <c r="M250" i="8"/>
  <c r="K251" i="8"/>
  <c r="L251" i="8"/>
  <c r="M251" i="8"/>
  <c r="K252" i="8"/>
  <c r="L252" i="8"/>
  <c r="M252" i="8"/>
  <c r="K253" i="8"/>
  <c r="L253" i="8"/>
  <c r="M253" i="8"/>
  <c r="K254" i="8"/>
  <c r="L254" i="8"/>
  <c r="M254" i="8"/>
  <c r="K255" i="8"/>
  <c r="L255" i="8"/>
  <c r="M255" i="8"/>
  <c r="K256" i="8"/>
  <c r="L256" i="8"/>
  <c r="M256" i="8"/>
  <c r="K257" i="8"/>
  <c r="L257" i="8"/>
  <c r="M257" i="8"/>
  <c r="K258" i="8"/>
  <c r="L258" i="8"/>
  <c r="M258" i="8"/>
  <c r="K259" i="8"/>
  <c r="L259" i="8"/>
  <c r="M259" i="8"/>
  <c r="K260" i="8"/>
  <c r="L260" i="8"/>
  <c r="M260" i="8"/>
  <c r="K261" i="8"/>
  <c r="L261" i="8"/>
  <c r="M261" i="8"/>
  <c r="K262" i="8"/>
  <c r="L262" i="8"/>
  <c r="M262" i="8"/>
  <c r="K263" i="8"/>
  <c r="L263" i="8"/>
  <c r="M263" i="8"/>
  <c r="K264" i="8"/>
  <c r="L264" i="8"/>
  <c r="M264" i="8"/>
  <c r="K265" i="8"/>
  <c r="L265" i="8"/>
  <c r="M265" i="8"/>
  <c r="K266" i="8"/>
  <c r="L266" i="8"/>
  <c r="M266" i="8"/>
  <c r="K267" i="8"/>
  <c r="L267" i="8"/>
  <c r="M267" i="8"/>
  <c r="K268" i="8"/>
  <c r="L268" i="8"/>
  <c r="M268" i="8"/>
  <c r="K269" i="8"/>
  <c r="L269" i="8"/>
  <c r="M269" i="8"/>
  <c r="K270" i="8"/>
  <c r="L270" i="8"/>
  <c r="M270" i="8"/>
  <c r="K271" i="8"/>
  <c r="L271" i="8"/>
  <c r="M271" i="8"/>
  <c r="K272" i="8"/>
  <c r="L272" i="8"/>
  <c r="M272" i="8"/>
  <c r="K273" i="8"/>
  <c r="L273" i="8"/>
  <c r="M273" i="8"/>
  <c r="K274" i="8"/>
  <c r="L274" i="8"/>
  <c r="M274" i="8"/>
  <c r="K275" i="8"/>
  <c r="L275" i="8"/>
  <c r="M275" i="8"/>
  <c r="K276" i="8"/>
  <c r="L276" i="8"/>
  <c r="M276" i="8"/>
  <c r="K277" i="8"/>
  <c r="L277" i="8"/>
  <c r="M277" i="8"/>
  <c r="K278" i="8"/>
  <c r="L278" i="8"/>
  <c r="M278" i="8"/>
  <c r="K279" i="8"/>
  <c r="L279" i="8"/>
  <c r="M279" i="8"/>
  <c r="K280" i="8"/>
  <c r="L280" i="8"/>
  <c r="M280" i="8"/>
  <c r="K281" i="8"/>
  <c r="L281" i="8"/>
  <c r="M281" i="8"/>
  <c r="K282" i="8"/>
  <c r="L282" i="8"/>
  <c r="M282" i="8"/>
  <c r="K283" i="8"/>
  <c r="L283" i="8"/>
  <c r="M283" i="8"/>
  <c r="K284" i="8"/>
  <c r="L284" i="8"/>
  <c r="M284" i="8"/>
  <c r="K285" i="8"/>
  <c r="L285" i="8"/>
  <c r="M285" i="8"/>
  <c r="K286" i="8"/>
  <c r="L286" i="8"/>
  <c r="M286" i="8"/>
  <c r="K287" i="8"/>
  <c r="L287" i="8"/>
  <c r="M287" i="8"/>
  <c r="K288" i="8"/>
  <c r="L288" i="8"/>
  <c r="M288" i="8"/>
  <c r="K289" i="8"/>
  <c r="L289" i="8"/>
  <c r="M289" i="8"/>
  <c r="K290" i="8"/>
  <c r="L290" i="8"/>
  <c r="M290" i="8"/>
  <c r="K291" i="8"/>
  <c r="L291" i="8"/>
  <c r="M291" i="8"/>
  <c r="K292" i="8"/>
  <c r="L292" i="8"/>
  <c r="M292" i="8"/>
  <c r="K293" i="8"/>
  <c r="L293" i="8"/>
  <c r="M293" i="8"/>
  <c r="K294" i="8"/>
  <c r="L294" i="8"/>
  <c r="M294" i="8"/>
  <c r="K295" i="8"/>
  <c r="L295" i="8"/>
  <c r="M295" i="8"/>
  <c r="K296" i="8"/>
  <c r="L296" i="8"/>
  <c r="M296" i="8"/>
  <c r="K297" i="8"/>
  <c r="L297" i="8"/>
  <c r="M297" i="8"/>
  <c r="K298" i="8"/>
  <c r="L298" i="8"/>
  <c r="M298" i="8"/>
  <c r="K299" i="8"/>
  <c r="L299" i="8"/>
  <c r="M299" i="8"/>
  <c r="K300" i="8"/>
  <c r="L300" i="8"/>
  <c r="M300" i="8"/>
  <c r="K301" i="8"/>
  <c r="L301" i="8"/>
  <c r="M301" i="8"/>
  <c r="K302" i="8"/>
  <c r="L302" i="8"/>
  <c r="M302" i="8"/>
  <c r="K303" i="8"/>
  <c r="L303" i="8"/>
  <c r="M303" i="8"/>
  <c r="K304" i="8"/>
  <c r="L304" i="8"/>
  <c r="M304" i="8"/>
  <c r="K305" i="8"/>
  <c r="L305" i="8"/>
  <c r="M305" i="8"/>
  <c r="K306" i="8"/>
  <c r="L306" i="8"/>
  <c r="M306" i="8"/>
  <c r="K307" i="8"/>
  <c r="L307" i="8"/>
  <c r="M307" i="8"/>
  <c r="K308" i="8"/>
  <c r="L308" i="8"/>
  <c r="M308" i="8"/>
  <c r="K309" i="8"/>
  <c r="L309" i="8"/>
  <c r="M309" i="8"/>
  <c r="K310" i="8"/>
  <c r="L310" i="8"/>
  <c r="M310" i="8"/>
  <c r="K311" i="8"/>
  <c r="L311" i="8"/>
  <c r="M311" i="8"/>
  <c r="K312" i="8"/>
  <c r="L312" i="8"/>
  <c r="M312" i="8"/>
  <c r="K313" i="8"/>
  <c r="L313" i="8"/>
  <c r="M313" i="8"/>
  <c r="K314" i="8"/>
  <c r="L314" i="8"/>
  <c r="M314" i="8"/>
  <c r="K315" i="8"/>
  <c r="L315" i="8"/>
  <c r="M315" i="8"/>
  <c r="K316" i="8"/>
  <c r="L316" i="8"/>
  <c r="M316" i="8"/>
  <c r="K317" i="8"/>
  <c r="L317" i="8"/>
  <c r="M317" i="8"/>
  <c r="K318" i="8"/>
  <c r="L318" i="8"/>
  <c r="M318" i="8"/>
  <c r="K319" i="8"/>
  <c r="L319" i="8"/>
  <c r="M319" i="8"/>
  <c r="K320" i="8"/>
  <c r="L320" i="8"/>
  <c r="M320" i="8"/>
  <c r="K321" i="8"/>
  <c r="L321" i="8"/>
  <c r="M321" i="8"/>
  <c r="K322" i="8"/>
  <c r="L322" i="8"/>
  <c r="M322" i="8"/>
  <c r="K323" i="8"/>
  <c r="L323" i="8"/>
  <c r="M323" i="8"/>
  <c r="K324" i="8"/>
  <c r="L324" i="8"/>
  <c r="M324" i="8"/>
  <c r="K325" i="8"/>
  <c r="L325" i="8"/>
  <c r="M325" i="8"/>
  <c r="K326" i="8"/>
  <c r="L326" i="8"/>
  <c r="M326" i="8"/>
  <c r="K327" i="8"/>
  <c r="L327" i="8"/>
  <c r="M327" i="8"/>
  <c r="K328" i="8"/>
  <c r="L328" i="8"/>
  <c r="M328" i="8"/>
  <c r="K329" i="8"/>
  <c r="L329" i="8"/>
  <c r="M329" i="8"/>
  <c r="K330" i="8"/>
  <c r="L330" i="8"/>
  <c r="M330" i="8"/>
  <c r="K331" i="8"/>
  <c r="L331" i="8"/>
  <c r="M331" i="8"/>
  <c r="K332" i="8"/>
  <c r="L332" i="8"/>
  <c r="M332" i="8"/>
  <c r="K333" i="8"/>
  <c r="L333" i="8"/>
  <c r="M333" i="8"/>
  <c r="K334" i="8"/>
  <c r="L334" i="8"/>
  <c r="M334" i="8"/>
  <c r="K335" i="8"/>
  <c r="L335" i="8"/>
  <c r="M335" i="8"/>
  <c r="K336" i="8"/>
  <c r="L336" i="8"/>
  <c r="M336" i="8"/>
  <c r="K337" i="8"/>
  <c r="L337" i="8"/>
  <c r="M337" i="8"/>
  <c r="K338" i="8"/>
  <c r="L338" i="8"/>
  <c r="M338" i="8"/>
  <c r="K339" i="8"/>
  <c r="L339" i="8"/>
  <c r="M339" i="8"/>
  <c r="K340" i="8"/>
  <c r="L340" i="8"/>
  <c r="M340" i="8"/>
  <c r="K341" i="8"/>
  <c r="L341" i="8"/>
  <c r="M341" i="8"/>
  <c r="K342" i="8"/>
  <c r="L342" i="8"/>
  <c r="M342" i="8"/>
  <c r="K343" i="8"/>
  <c r="L343" i="8"/>
  <c r="M343" i="8"/>
  <c r="K344" i="8"/>
  <c r="L344" i="8"/>
  <c r="M344" i="8"/>
  <c r="K345" i="8"/>
  <c r="L345" i="8"/>
  <c r="M345" i="8"/>
  <c r="K346" i="8"/>
  <c r="L346" i="8"/>
  <c r="M346" i="8"/>
  <c r="K347" i="8"/>
  <c r="L347" i="8"/>
  <c r="M347" i="8"/>
  <c r="K348" i="8"/>
  <c r="L348" i="8"/>
  <c r="M348" i="8"/>
  <c r="K349" i="8"/>
  <c r="L349" i="8"/>
  <c r="M349" i="8"/>
  <c r="K350" i="8"/>
  <c r="L350" i="8"/>
  <c r="M350" i="8"/>
  <c r="K351" i="8"/>
  <c r="L351" i="8"/>
  <c r="M351" i="8"/>
  <c r="K352" i="8"/>
  <c r="L352" i="8"/>
  <c r="M352" i="8"/>
  <c r="K353" i="8"/>
  <c r="L353" i="8"/>
  <c r="M353" i="8"/>
  <c r="K354" i="8"/>
  <c r="L354" i="8"/>
  <c r="M354" i="8"/>
  <c r="K355" i="8"/>
  <c r="L355" i="8"/>
  <c r="M355" i="8"/>
  <c r="K356" i="8"/>
  <c r="L356" i="8"/>
  <c r="M356" i="8"/>
  <c r="K357" i="8"/>
  <c r="L357" i="8"/>
  <c r="M357" i="8"/>
  <c r="K358" i="8"/>
  <c r="L358" i="8"/>
  <c r="M358" i="8"/>
  <c r="K359" i="8"/>
  <c r="L359" i="8"/>
  <c r="M359" i="8"/>
  <c r="K360" i="8"/>
  <c r="L360" i="8"/>
  <c r="M360" i="8"/>
  <c r="K361" i="8"/>
  <c r="L361" i="8"/>
  <c r="M361" i="8"/>
  <c r="K362" i="8"/>
  <c r="L362" i="8"/>
  <c r="M362" i="8"/>
  <c r="K363" i="8"/>
  <c r="L363" i="8"/>
  <c r="M363" i="8"/>
  <c r="K364" i="8"/>
  <c r="L364" i="8"/>
  <c r="M364" i="8"/>
  <c r="K365" i="8"/>
  <c r="L365" i="8"/>
  <c r="M365" i="8"/>
  <c r="K366" i="8"/>
  <c r="L366" i="8"/>
  <c r="M366" i="8"/>
  <c r="K367" i="8"/>
  <c r="L367" i="8"/>
  <c r="M367" i="8"/>
  <c r="K368" i="8"/>
  <c r="L368" i="8"/>
  <c r="M368" i="8"/>
  <c r="K369" i="8"/>
  <c r="L369" i="8"/>
  <c r="M369" i="8"/>
  <c r="K370" i="8"/>
  <c r="L370" i="8"/>
  <c r="M370" i="8"/>
  <c r="K371" i="8"/>
  <c r="L371" i="8"/>
  <c r="M371" i="8"/>
  <c r="K372" i="8"/>
  <c r="L372" i="8"/>
  <c r="M372" i="8"/>
  <c r="K373" i="8"/>
  <c r="L373" i="8"/>
  <c r="M373" i="8"/>
  <c r="K374" i="8"/>
  <c r="L374" i="8"/>
  <c r="M374" i="8"/>
  <c r="K375" i="8"/>
  <c r="L375" i="8"/>
  <c r="M375" i="8"/>
  <c r="K376" i="8"/>
  <c r="L376" i="8"/>
  <c r="M376" i="8"/>
  <c r="K377" i="8"/>
  <c r="L377" i="8"/>
  <c r="M377" i="8"/>
  <c r="K378" i="8"/>
  <c r="L378" i="8"/>
  <c r="M378" i="8"/>
  <c r="K379" i="8"/>
  <c r="L379" i="8"/>
  <c r="M379" i="8"/>
  <c r="K380" i="8"/>
  <c r="L380" i="8"/>
  <c r="M380" i="8"/>
  <c r="K381" i="8"/>
  <c r="L381" i="8"/>
  <c r="M381" i="8"/>
  <c r="K382" i="8"/>
  <c r="L382" i="8"/>
  <c r="M382" i="8"/>
  <c r="K383" i="8"/>
  <c r="L383" i="8"/>
  <c r="M383" i="8"/>
  <c r="K384" i="8"/>
  <c r="L384" i="8"/>
  <c r="M384" i="8"/>
  <c r="K385" i="8"/>
  <c r="L385" i="8"/>
  <c r="M385" i="8"/>
  <c r="K386" i="8"/>
  <c r="L386" i="8"/>
  <c r="M386" i="8"/>
  <c r="K387" i="8"/>
  <c r="L387" i="8"/>
  <c r="M387" i="8"/>
  <c r="K388" i="8"/>
  <c r="L388" i="8"/>
  <c r="M388" i="8"/>
  <c r="K389" i="8"/>
  <c r="L389" i="8"/>
  <c r="M389" i="8"/>
  <c r="K390" i="8"/>
  <c r="L390" i="8"/>
  <c r="M390" i="8"/>
  <c r="K391" i="8"/>
  <c r="L391" i="8"/>
  <c r="M391" i="8"/>
  <c r="K392" i="8"/>
  <c r="L392" i="8"/>
  <c r="M392" i="8"/>
  <c r="K393" i="8"/>
  <c r="L393" i="8"/>
  <c r="M393" i="8"/>
  <c r="K394" i="8"/>
  <c r="L394" i="8"/>
  <c r="M394" i="8"/>
  <c r="K395" i="8"/>
  <c r="L395" i="8"/>
  <c r="M395" i="8"/>
  <c r="K396" i="8"/>
  <c r="L396" i="8"/>
  <c r="M396" i="8"/>
  <c r="K397" i="8"/>
  <c r="L397" i="8"/>
  <c r="M397" i="8"/>
  <c r="K398" i="8"/>
  <c r="L398" i="8"/>
  <c r="M398" i="8"/>
  <c r="K399" i="8"/>
  <c r="L399" i="8"/>
  <c r="M399" i="8"/>
  <c r="K400" i="8"/>
  <c r="L400" i="8"/>
  <c r="M400" i="8"/>
  <c r="K401" i="8"/>
  <c r="L401" i="8"/>
  <c r="M401" i="8"/>
  <c r="K402" i="8"/>
  <c r="L402" i="8"/>
  <c r="M402" i="8"/>
  <c r="K403" i="8"/>
  <c r="L403" i="8"/>
  <c r="M403" i="8"/>
  <c r="K404" i="8"/>
  <c r="L404" i="8"/>
  <c r="M404" i="8"/>
  <c r="K405" i="8"/>
  <c r="L405" i="8"/>
  <c r="M405" i="8"/>
  <c r="K406" i="8"/>
  <c r="L406" i="8"/>
  <c r="M406" i="8"/>
  <c r="K407" i="8"/>
  <c r="L407" i="8"/>
  <c r="M407" i="8"/>
  <c r="K408" i="8"/>
  <c r="L408" i="8"/>
  <c r="M408" i="8"/>
  <c r="K409" i="8"/>
  <c r="L409" i="8"/>
  <c r="M409" i="8"/>
  <c r="K410" i="8"/>
  <c r="L410" i="8"/>
  <c r="M410" i="8"/>
  <c r="K411" i="8"/>
  <c r="L411" i="8"/>
  <c r="M411" i="8"/>
  <c r="K412" i="8"/>
  <c r="L412" i="8"/>
  <c r="M412" i="8"/>
  <c r="K413" i="8"/>
  <c r="L413" i="8"/>
  <c r="M413" i="8"/>
  <c r="K414" i="8"/>
  <c r="L414" i="8"/>
  <c r="M414" i="8"/>
  <c r="K415" i="8"/>
  <c r="L415" i="8"/>
  <c r="M415" i="8"/>
  <c r="K416" i="8"/>
  <c r="L416" i="8"/>
  <c r="M416" i="8"/>
  <c r="K417" i="8"/>
  <c r="L417" i="8"/>
  <c r="M417" i="8"/>
  <c r="K418" i="8"/>
  <c r="L418" i="8"/>
  <c r="M418" i="8"/>
  <c r="K419" i="8"/>
  <c r="L419" i="8"/>
  <c r="M419" i="8"/>
  <c r="K420" i="8"/>
  <c r="L420" i="8"/>
  <c r="M420" i="8"/>
  <c r="K421" i="8"/>
  <c r="L421" i="8"/>
  <c r="M421" i="8"/>
  <c r="K422" i="8"/>
  <c r="L422" i="8"/>
  <c r="M422" i="8"/>
  <c r="K423" i="8"/>
  <c r="L423" i="8"/>
  <c r="M423" i="8"/>
  <c r="K424" i="8"/>
  <c r="L424" i="8"/>
  <c r="M424" i="8"/>
  <c r="K425" i="8"/>
  <c r="L425" i="8"/>
  <c r="M425" i="8"/>
  <c r="K426" i="8"/>
  <c r="L426" i="8"/>
  <c r="M426" i="8"/>
  <c r="K427" i="8"/>
  <c r="L427" i="8"/>
  <c r="M427" i="8"/>
  <c r="K428" i="8"/>
  <c r="L428" i="8"/>
  <c r="M428" i="8"/>
  <c r="K429" i="8"/>
  <c r="L429" i="8"/>
  <c r="M429" i="8"/>
  <c r="K430" i="8"/>
  <c r="L430" i="8"/>
  <c r="M430" i="8"/>
  <c r="K431" i="8"/>
  <c r="L431" i="8"/>
  <c r="M431" i="8"/>
  <c r="K432" i="8"/>
  <c r="L432" i="8"/>
  <c r="M432" i="8"/>
  <c r="K433" i="8"/>
  <c r="L433" i="8"/>
  <c r="M433" i="8"/>
  <c r="K434" i="8"/>
  <c r="L434" i="8"/>
  <c r="M434" i="8"/>
  <c r="K435" i="8"/>
  <c r="L435" i="8"/>
  <c r="M435" i="8"/>
  <c r="K436" i="8"/>
  <c r="L436" i="8"/>
  <c r="M436" i="8"/>
  <c r="K437" i="8"/>
  <c r="L437" i="8"/>
  <c r="M437" i="8"/>
  <c r="K438" i="8"/>
  <c r="L438" i="8"/>
  <c r="M438" i="8"/>
  <c r="K439" i="8"/>
  <c r="L439" i="8"/>
  <c r="M439" i="8"/>
  <c r="K440" i="8"/>
  <c r="L440" i="8"/>
  <c r="M440" i="8"/>
  <c r="K441" i="8"/>
  <c r="L441" i="8"/>
  <c r="M441" i="8"/>
  <c r="K442" i="8"/>
  <c r="L442" i="8"/>
  <c r="M442" i="8"/>
  <c r="K443" i="8"/>
  <c r="L443" i="8"/>
  <c r="M443" i="8"/>
  <c r="K444" i="8"/>
  <c r="L444" i="8"/>
  <c r="M444" i="8"/>
  <c r="K445" i="8"/>
  <c r="L445" i="8"/>
  <c r="M445" i="8"/>
  <c r="K446" i="8"/>
  <c r="L446" i="8"/>
  <c r="M446" i="8"/>
  <c r="K447" i="8"/>
  <c r="L447" i="8"/>
  <c r="M447" i="8"/>
  <c r="K448" i="8"/>
  <c r="L448" i="8"/>
  <c r="M448" i="8"/>
  <c r="K449" i="8"/>
  <c r="L449" i="8"/>
  <c r="M449" i="8"/>
  <c r="K450" i="8"/>
  <c r="L450" i="8"/>
  <c r="M450" i="8"/>
  <c r="K451" i="8"/>
  <c r="L451" i="8"/>
  <c r="M451" i="8"/>
  <c r="K452" i="8"/>
  <c r="L452" i="8"/>
  <c r="M452" i="8"/>
  <c r="K453" i="8"/>
  <c r="L453" i="8"/>
  <c r="M453" i="8"/>
  <c r="K454" i="8"/>
  <c r="L454" i="8"/>
  <c r="M454" i="8"/>
  <c r="K455" i="8"/>
  <c r="L455" i="8"/>
  <c r="M455" i="8"/>
  <c r="K456" i="8"/>
  <c r="L456" i="8"/>
  <c r="M456" i="8"/>
  <c r="K457" i="8"/>
  <c r="L457" i="8"/>
  <c r="M457" i="8"/>
  <c r="K458" i="8"/>
  <c r="L458" i="8"/>
  <c r="M458" i="8"/>
  <c r="K459" i="8"/>
  <c r="L459" i="8"/>
  <c r="M459" i="8"/>
  <c r="K460" i="8"/>
  <c r="L460" i="8"/>
  <c r="M460" i="8"/>
  <c r="K461" i="8"/>
  <c r="L461" i="8"/>
  <c r="M461" i="8"/>
  <c r="K462" i="8"/>
  <c r="L462" i="8"/>
  <c r="M462" i="8"/>
  <c r="K463" i="8"/>
  <c r="L463" i="8"/>
  <c r="M463" i="8"/>
  <c r="K464" i="8"/>
  <c r="L464" i="8"/>
  <c r="M464" i="8"/>
  <c r="K465" i="8"/>
  <c r="L465" i="8"/>
  <c r="M465" i="8"/>
  <c r="K466" i="8"/>
  <c r="L466" i="8"/>
  <c r="M466" i="8"/>
  <c r="K467" i="8"/>
  <c r="L467" i="8"/>
  <c r="M467" i="8"/>
  <c r="K468" i="8"/>
  <c r="L468" i="8"/>
  <c r="M468" i="8"/>
  <c r="K469" i="8"/>
  <c r="L469" i="8"/>
  <c r="M469" i="8"/>
  <c r="K470" i="8"/>
  <c r="L470" i="8"/>
  <c r="M470" i="8"/>
  <c r="K471" i="8"/>
  <c r="L471" i="8"/>
  <c r="M471" i="8"/>
  <c r="K472" i="8"/>
  <c r="L472" i="8"/>
  <c r="M472" i="8"/>
  <c r="K473" i="8"/>
  <c r="L473" i="8"/>
  <c r="M473" i="8"/>
  <c r="K474" i="8"/>
  <c r="L474" i="8"/>
  <c r="M474" i="8"/>
  <c r="K475" i="8"/>
  <c r="L475" i="8"/>
  <c r="M475" i="8"/>
  <c r="K476" i="8"/>
  <c r="L476" i="8"/>
  <c r="M476" i="8"/>
  <c r="K477" i="8"/>
  <c r="L477" i="8"/>
  <c r="M477" i="8"/>
  <c r="K478" i="8"/>
  <c r="L478" i="8"/>
  <c r="M478" i="8"/>
  <c r="K479" i="8"/>
  <c r="L479" i="8"/>
  <c r="M479" i="8"/>
  <c r="K480" i="8"/>
  <c r="L480" i="8"/>
  <c r="M480" i="8"/>
  <c r="K481" i="8"/>
  <c r="L481" i="8"/>
  <c r="M481" i="8"/>
  <c r="K482" i="8"/>
  <c r="L482" i="8"/>
  <c r="M482" i="8"/>
  <c r="K483" i="8"/>
  <c r="L483" i="8"/>
  <c r="M483" i="8"/>
  <c r="K484" i="8"/>
  <c r="L484" i="8"/>
  <c r="M484" i="8"/>
  <c r="K485" i="8"/>
  <c r="L485" i="8"/>
  <c r="M485" i="8"/>
  <c r="K486" i="8"/>
  <c r="L486" i="8"/>
  <c r="M486" i="8"/>
  <c r="K487" i="8"/>
  <c r="L487" i="8"/>
  <c r="M487" i="8"/>
  <c r="K488" i="8"/>
  <c r="L488" i="8"/>
  <c r="M488" i="8"/>
  <c r="K489" i="8"/>
  <c r="L489" i="8"/>
  <c r="M489" i="8"/>
  <c r="K490" i="8"/>
  <c r="L490" i="8"/>
  <c r="M490" i="8"/>
  <c r="K491" i="8"/>
  <c r="L491" i="8"/>
  <c r="M491" i="8"/>
  <c r="K492" i="8"/>
  <c r="L492" i="8"/>
  <c r="M492" i="8"/>
  <c r="K493" i="8"/>
  <c r="L493" i="8"/>
  <c r="M493" i="8"/>
  <c r="K494" i="8"/>
  <c r="L494" i="8"/>
  <c r="M494" i="8"/>
  <c r="K495" i="8"/>
  <c r="L495" i="8"/>
  <c r="M495" i="8"/>
  <c r="K496" i="8"/>
  <c r="L496" i="8"/>
  <c r="M496" i="8"/>
  <c r="K497" i="8"/>
  <c r="L497" i="8"/>
  <c r="M497" i="8"/>
  <c r="K498" i="8"/>
  <c r="L498" i="8"/>
  <c r="M498" i="8"/>
  <c r="K499" i="8"/>
  <c r="L499" i="8"/>
  <c r="M499" i="8"/>
  <c r="K500" i="8"/>
  <c r="L500" i="8"/>
  <c r="M500" i="8"/>
  <c r="K501" i="8"/>
  <c r="L501" i="8"/>
  <c r="M501" i="8"/>
  <c r="K502" i="8"/>
  <c r="L502" i="8"/>
  <c r="M502" i="8"/>
  <c r="K503" i="8"/>
  <c r="L503" i="8"/>
  <c r="M503" i="8"/>
  <c r="K504" i="8"/>
  <c r="L504" i="8"/>
  <c r="M504" i="8"/>
  <c r="K505" i="8"/>
  <c r="L505" i="8"/>
  <c r="M505" i="8"/>
  <c r="K506" i="8"/>
  <c r="L506" i="8"/>
  <c r="M506" i="8"/>
  <c r="K507" i="8"/>
  <c r="L507" i="8"/>
  <c r="M507" i="8"/>
  <c r="K508" i="8"/>
  <c r="L508" i="8"/>
  <c r="M508" i="8"/>
  <c r="K509" i="8"/>
  <c r="L509" i="8"/>
  <c r="M509" i="8"/>
  <c r="K510" i="8"/>
  <c r="L510" i="8"/>
  <c r="M510" i="8"/>
  <c r="K511" i="8"/>
  <c r="L511" i="8"/>
  <c r="M511" i="8"/>
  <c r="K512" i="8"/>
  <c r="L512" i="8"/>
  <c r="M512" i="8"/>
  <c r="K513" i="8"/>
  <c r="L513" i="8"/>
  <c r="M513" i="8"/>
  <c r="K514" i="8"/>
  <c r="L514" i="8"/>
  <c r="M514" i="8"/>
  <c r="K515" i="8"/>
  <c r="L515" i="8"/>
  <c r="M515" i="8"/>
  <c r="K516" i="8"/>
  <c r="L516" i="8"/>
  <c r="M516" i="8"/>
  <c r="K517" i="8"/>
  <c r="L517" i="8"/>
  <c r="M517" i="8"/>
  <c r="K518" i="8"/>
  <c r="L518" i="8"/>
  <c r="M518" i="8"/>
  <c r="K519" i="8"/>
  <c r="L519" i="8"/>
  <c r="M519" i="8"/>
  <c r="K520" i="8"/>
  <c r="L520" i="8"/>
  <c r="M520" i="8"/>
  <c r="K521" i="8"/>
  <c r="L521" i="8"/>
  <c r="M521" i="8"/>
  <c r="K522" i="8"/>
  <c r="L522" i="8"/>
  <c r="M522" i="8"/>
  <c r="K523" i="8"/>
  <c r="L523" i="8"/>
  <c r="M523" i="8"/>
  <c r="K524" i="8"/>
  <c r="L524" i="8"/>
  <c r="M524" i="8"/>
  <c r="K525" i="8"/>
  <c r="L525" i="8"/>
  <c r="M525" i="8"/>
  <c r="K526" i="8"/>
  <c r="L526" i="8"/>
  <c r="M526" i="8"/>
  <c r="K527" i="8"/>
  <c r="L527" i="8"/>
  <c r="M527" i="8"/>
  <c r="K528" i="8"/>
  <c r="L528" i="8"/>
  <c r="M528" i="8"/>
  <c r="K529" i="8"/>
  <c r="L529" i="8"/>
  <c r="M529" i="8"/>
  <c r="K530" i="8"/>
  <c r="L530" i="8"/>
  <c r="M530" i="8"/>
  <c r="K531" i="8"/>
  <c r="L531" i="8"/>
  <c r="M531" i="8"/>
  <c r="K532" i="8"/>
  <c r="L532" i="8"/>
  <c r="M532" i="8"/>
  <c r="K533" i="8"/>
  <c r="L533" i="8"/>
  <c r="M533" i="8"/>
  <c r="K534" i="8"/>
  <c r="L534" i="8"/>
  <c r="M534" i="8"/>
  <c r="K535" i="8"/>
  <c r="L535" i="8"/>
  <c r="M535" i="8"/>
  <c r="K536" i="8"/>
  <c r="L536" i="8"/>
  <c r="M536" i="8"/>
  <c r="K537" i="8"/>
  <c r="L537" i="8"/>
  <c r="M537" i="8"/>
  <c r="K538" i="8"/>
  <c r="L538" i="8"/>
  <c r="M538" i="8"/>
  <c r="K539" i="8"/>
  <c r="L539" i="8"/>
  <c r="M539" i="8"/>
  <c r="K540" i="8"/>
  <c r="L540" i="8"/>
  <c r="M540" i="8"/>
  <c r="K541" i="8"/>
  <c r="L541" i="8"/>
  <c r="M541" i="8"/>
  <c r="K542" i="8"/>
  <c r="L542" i="8"/>
  <c r="M542" i="8"/>
  <c r="K543" i="8"/>
  <c r="L543" i="8"/>
  <c r="M543" i="8"/>
  <c r="K544" i="8"/>
  <c r="L544" i="8"/>
  <c r="M544" i="8"/>
  <c r="K545" i="8"/>
  <c r="L545" i="8"/>
  <c r="M545" i="8"/>
  <c r="K546" i="8"/>
  <c r="L546" i="8"/>
  <c r="M546" i="8"/>
  <c r="K547" i="8"/>
  <c r="L547" i="8"/>
  <c r="M547" i="8"/>
  <c r="K548" i="8"/>
  <c r="L548" i="8"/>
  <c r="M548" i="8"/>
  <c r="K549" i="8"/>
  <c r="L549" i="8"/>
  <c r="M549" i="8"/>
  <c r="K550" i="8"/>
  <c r="L550" i="8"/>
  <c r="M550" i="8"/>
  <c r="K551" i="8"/>
  <c r="L551" i="8"/>
  <c r="M551" i="8"/>
  <c r="K552" i="8"/>
  <c r="L552" i="8"/>
  <c r="M552" i="8"/>
  <c r="K553" i="8"/>
  <c r="L553" i="8"/>
  <c r="M553" i="8"/>
  <c r="K554" i="8"/>
  <c r="L554" i="8"/>
  <c r="M554" i="8"/>
  <c r="K555" i="8"/>
  <c r="L555" i="8"/>
  <c r="M555" i="8"/>
  <c r="K556" i="8"/>
  <c r="L556" i="8"/>
  <c r="M556" i="8"/>
  <c r="K557" i="8"/>
  <c r="L557" i="8"/>
  <c r="M557" i="8"/>
  <c r="K558" i="8"/>
  <c r="L558" i="8"/>
  <c r="M558" i="8"/>
  <c r="K559" i="8"/>
  <c r="L559" i="8"/>
  <c r="M559" i="8"/>
  <c r="K560" i="8"/>
  <c r="L560" i="8"/>
  <c r="M560" i="8"/>
  <c r="K561" i="8"/>
  <c r="L561" i="8"/>
  <c r="M561" i="8"/>
  <c r="K562" i="8"/>
  <c r="L562" i="8"/>
  <c r="M562" i="8"/>
  <c r="K563" i="8"/>
  <c r="L563" i="8"/>
  <c r="M563" i="8"/>
  <c r="K564" i="8"/>
  <c r="L564" i="8"/>
  <c r="M564" i="8"/>
  <c r="K565" i="8"/>
  <c r="L565" i="8"/>
  <c r="M565" i="8"/>
  <c r="K566" i="8"/>
  <c r="L566" i="8"/>
  <c r="M566" i="8"/>
  <c r="K567" i="8"/>
  <c r="L567" i="8"/>
  <c r="M567" i="8"/>
  <c r="K568" i="8"/>
  <c r="L568" i="8"/>
  <c r="M568" i="8"/>
  <c r="K569" i="8"/>
  <c r="L569" i="8"/>
  <c r="M569" i="8"/>
  <c r="K570" i="8"/>
  <c r="L570" i="8"/>
  <c r="M570" i="8"/>
  <c r="K571" i="8"/>
  <c r="L571" i="8"/>
  <c r="M571" i="8"/>
  <c r="K572" i="8"/>
  <c r="L572" i="8"/>
  <c r="M572" i="8"/>
  <c r="K573" i="8"/>
  <c r="L573" i="8"/>
  <c r="M573" i="8"/>
  <c r="K574" i="8"/>
  <c r="L574" i="8"/>
  <c r="M574" i="8"/>
  <c r="K575" i="8"/>
  <c r="L575" i="8"/>
  <c r="M575" i="8"/>
  <c r="K576" i="8"/>
  <c r="L576" i="8"/>
  <c r="M576" i="8"/>
  <c r="K577" i="8"/>
  <c r="L577" i="8"/>
  <c r="M577" i="8"/>
  <c r="K578" i="8"/>
  <c r="L578" i="8"/>
  <c r="M578" i="8"/>
  <c r="K579" i="8"/>
  <c r="L579" i="8"/>
  <c r="M579" i="8"/>
  <c r="K580" i="8"/>
  <c r="L580" i="8"/>
  <c r="M580" i="8"/>
  <c r="K581" i="8"/>
  <c r="L581" i="8"/>
  <c r="M581" i="8"/>
  <c r="K582" i="8"/>
  <c r="L582" i="8"/>
  <c r="M582" i="8"/>
  <c r="K583" i="8"/>
  <c r="L583" i="8"/>
  <c r="M583" i="8"/>
  <c r="K584" i="8"/>
  <c r="L584" i="8"/>
  <c r="M584" i="8"/>
  <c r="K585" i="8"/>
  <c r="L585" i="8"/>
  <c r="M585" i="8"/>
  <c r="K586" i="8"/>
  <c r="L586" i="8"/>
  <c r="M586" i="8"/>
  <c r="K587" i="8"/>
  <c r="L587" i="8"/>
  <c r="M587" i="8"/>
  <c r="K588" i="8"/>
  <c r="L588" i="8"/>
  <c r="M588" i="8"/>
  <c r="K589" i="8"/>
  <c r="L589" i="8"/>
  <c r="M589" i="8"/>
  <c r="K590" i="8"/>
  <c r="L590" i="8"/>
  <c r="M590" i="8"/>
  <c r="K591" i="8"/>
  <c r="L591" i="8"/>
  <c r="M591" i="8"/>
  <c r="K592" i="8"/>
  <c r="L592" i="8"/>
  <c r="M592" i="8"/>
  <c r="K593" i="8"/>
  <c r="L593" i="8"/>
  <c r="M593" i="8"/>
  <c r="K594" i="8"/>
  <c r="L594" i="8"/>
  <c r="M594" i="8"/>
  <c r="K595" i="8"/>
  <c r="L595" i="8"/>
  <c r="M595" i="8"/>
  <c r="K596" i="8"/>
  <c r="L596" i="8"/>
  <c r="M596" i="8"/>
  <c r="K597" i="8"/>
  <c r="L597" i="8"/>
  <c r="M597" i="8"/>
  <c r="K598" i="8"/>
  <c r="L598" i="8"/>
  <c r="M598" i="8"/>
  <c r="K599" i="8"/>
  <c r="L599" i="8"/>
  <c r="M599" i="8"/>
  <c r="K600" i="8"/>
  <c r="L600" i="8"/>
  <c r="M600" i="8"/>
  <c r="K601" i="8"/>
  <c r="L601" i="8"/>
  <c r="M601" i="8"/>
  <c r="K602" i="8"/>
  <c r="L602" i="8"/>
  <c r="M602" i="8"/>
  <c r="K603" i="8"/>
  <c r="L603" i="8"/>
  <c r="M603" i="8"/>
  <c r="K604" i="8"/>
  <c r="L604" i="8"/>
  <c r="M604" i="8"/>
  <c r="K605" i="8"/>
  <c r="L605" i="8"/>
  <c r="M605" i="8"/>
  <c r="K606" i="8"/>
  <c r="L606" i="8"/>
  <c r="M606" i="8"/>
  <c r="K607" i="8"/>
  <c r="L607" i="8"/>
  <c r="M607" i="8"/>
  <c r="K608" i="8"/>
  <c r="L608" i="8"/>
  <c r="M608" i="8"/>
  <c r="K609" i="8"/>
  <c r="L609" i="8"/>
  <c r="M609" i="8"/>
  <c r="K610" i="8"/>
  <c r="L610" i="8"/>
  <c r="M610" i="8"/>
  <c r="K611" i="8"/>
  <c r="L611" i="8"/>
  <c r="M611" i="8"/>
  <c r="K612" i="8"/>
  <c r="L612" i="8"/>
  <c r="M612" i="8"/>
  <c r="K613" i="8"/>
  <c r="L613" i="8"/>
  <c r="M613" i="8"/>
  <c r="K614" i="8"/>
  <c r="L614" i="8"/>
  <c r="M614" i="8"/>
  <c r="K615" i="8"/>
  <c r="L615" i="8"/>
  <c r="M615" i="8"/>
  <c r="K616" i="8"/>
  <c r="L616" i="8"/>
  <c r="M616" i="8"/>
  <c r="K617" i="8"/>
  <c r="L617" i="8"/>
  <c r="M617" i="8"/>
  <c r="K618" i="8"/>
  <c r="L618" i="8"/>
  <c r="M618" i="8"/>
  <c r="K619" i="8"/>
  <c r="L619" i="8"/>
  <c r="M619" i="8"/>
  <c r="K620" i="8"/>
  <c r="L620" i="8"/>
  <c r="M620" i="8"/>
  <c r="K621" i="8"/>
  <c r="L621" i="8"/>
  <c r="M621" i="8"/>
  <c r="K622" i="8"/>
  <c r="L622" i="8"/>
  <c r="M622" i="8"/>
  <c r="K623" i="8"/>
  <c r="L623" i="8"/>
  <c r="M623" i="8"/>
  <c r="K624" i="8"/>
  <c r="L624" i="8"/>
  <c r="M624" i="8"/>
  <c r="K625" i="8"/>
  <c r="L625" i="8"/>
  <c r="M625" i="8"/>
  <c r="K626" i="8"/>
  <c r="L626" i="8"/>
  <c r="M626" i="8"/>
  <c r="K627" i="8"/>
  <c r="L627" i="8"/>
  <c r="M627" i="8"/>
  <c r="K628" i="8"/>
  <c r="L628" i="8"/>
  <c r="M628" i="8"/>
  <c r="K629" i="8"/>
  <c r="L629" i="8"/>
  <c r="M629" i="8"/>
  <c r="K630" i="8"/>
  <c r="L630" i="8"/>
  <c r="M630" i="8"/>
  <c r="K631" i="8"/>
  <c r="L631" i="8"/>
  <c r="M631" i="8"/>
  <c r="K632" i="8"/>
  <c r="L632" i="8"/>
  <c r="M632" i="8"/>
  <c r="K633" i="8"/>
  <c r="L633" i="8"/>
  <c r="M633" i="8"/>
  <c r="K634" i="8"/>
  <c r="L634" i="8"/>
  <c r="M634" i="8"/>
  <c r="K635" i="8"/>
  <c r="L635" i="8"/>
  <c r="M635" i="8"/>
  <c r="K636" i="8"/>
  <c r="L636" i="8"/>
  <c r="M636" i="8"/>
  <c r="K637" i="8"/>
  <c r="L637" i="8"/>
  <c r="M637" i="8"/>
  <c r="K638" i="8"/>
  <c r="L638" i="8"/>
  <c r="M638" i="8"/>
  <c r="K639" i="8"/>
  <c r="L639" i="8"/>
  <c r="M639" i="8"/>
  <c r="K640" i="8"/>
  <c r="L640" i="8"/>
  <c r="M640" i="8"/>
  <c r="K641" i="8"/>
  <c r="L641" i="8"/>
  <c r="M641" i="8"/>
  <c r="K642" i="8"/>
  <c r="L642" i="8"/>
  <c r="M642" i="8"/>
  <c r="K643" i="8"/>
  <c r="L643" i="8"/>
  <c r="M643" i="8"/>
  <c r="K644" i="8"/>
  <c r="L644" i="8"/>
  <c r="M644" i="8"/>
  <c r="K645" i="8"/>
  <c r="L645" i="8"/>
  <c r="M645" i="8"/>
  <c r="K646" i="8"/>
  <c r="L646" i="8"/>
  <c r="M646" i="8"/>
  <c r="K647" i="8"/>
  <c r="L647" i="8"/>
  <c r="M647" i="8"/>
  <c r="K648" i="8"/>
  <c r="L648" i="8"/>
  <c r="M648" i="8"/>
  <c r="K649" i="8"/>
  <c r="L649" i="8"/>
  <c r="M649" i="8"/>
  <c r="K650" i="8"/>
  <c r="L650" i="8"/>
  <c r="M650" i="8"/>
  <c r="K651" i="8"/>
  <c r="L651" i="8"/>
  <c r="M651" i="8"/>
  <c r="K652" i="8"/>
  <c r="L652" i="8"/>
  <c r="M652" i="8"/>
  <c r="K653" i="8"/>
  <c r="L653" i="8"/>
  <c r="M653" i="8"/>
  <c r="K654" i="8"/>
  <c r="L654" i="8"/>
  <c r="M654" i="8"/>
  <c r="K655" i="8"/>
  <c r="L655" i="8"/>
  <c r="M655" i="8"/>
  <c r="K656" i="8"/>
  <c r="L656" i="8"/>
  <c r="M656" i="8"/>
  <c r="K657" i="8"/>
  <c r="L657" i="8"/>
  <c r="M657" i="8"/>
  <c r="K658" i="8"/>
  <c r="L658" i="8"/>
  <c r="M658" i="8"/>
  <c r="K659" i="8"/>
  <c r="L659" i="8"/>
  <c r="M659" i="8"/>
  <c r="K660" i="8"/>
  <c r="L660" i="8"/>
  <c r="M660" i="8"/>
  <c r="K661" i="8"/>
  <c r="L661" i="8"/>
  <c r="M661" i="8"/>
  <c r="K662" i="8"/>
  <c r="L662" i="8"/>
  <c r="M662" i="8"/>
  <c r="K663" i="8"/>
  <c r="L663" i="8"/>
  <c r="M663" i="8"/>
  <c r="K664" i="8"/>
  <c r="L664" i="8"/>
  <c r="M664" i="8"/>
  <c r="K665" i="8"/>
  <c r="L665" i="8"/>
  <c r="M665" i="8"/>
  <c r="K666" i="8"/>
  <c r="L666" i="8"/>
  <c r="M666" i="8"/>
  <c r="K667" i="8"/>
  <c r="L667" i="8"/>
  <c r="M667" i="8"/>
  <c r="K668" i="8"/>
  <c r="L668" i="8"/>
  <c r="M668" i="8"/>
  <c r="K669" i="8"/>
  <c r="L669" i="8"/>
  <c r="M669" i="8"/>
  <c r="K670" i="8"/>
  <c r="L670" i="8"/>
  <c r="M670" i="8"/>
  <c r="K671" i="8"/>
  <c r="L671" i="8"/>
  <c r="M671" i="8"/>
  <c r="K672" i="8"/>
  <c r="L672" i="8"/>
  <c r="M672" i="8"/>
  <c r="K673" i="8"/>
  <c r="L673" i="8"/>
  <c r="M673" i="8"/>
  <c r="K674" i="8"/>
  <c r="L674" i="8"/>
  <c r="M674" i="8"/>
  <c r="K675" i="8"/>
  <c r="L675" i="8"/>
  <c r="M675" i="8"/>
  <c r="K676" i="8"/>
  <c r="L676" i="8"/>
  <c r="M676" i="8"/>
  <c r="K677" i="8"/>
  <c r="L677" i="8"/>
  <c r="M677" i="8"/>
  <c r="K678" i="8"/>
  <c r="L678" i="8"/>
  <c r="M678" i="8"/>
  <c r="K679" i="8"/>
  <c r="L679" i="8"/>
  <c r="M679" i="8"/>
  <c r="K680" i="8"/>
  <c r="L680" i="8"/>
  <c r="M680" i="8"/>
  <c r="K681" i="8"/>
  <c r="L681" i="8"/>
  <c r="M681" i="8"/>
  <c r="K682" i="8"/>
  <c r="L682" i="8"/>
  <c r="M682" i="8"/>
  <c r="K683" i="8"/>
  <c r="L683" i="8"/>
  <c r="M683" i="8"/>
  <c r="K684" i="8"/>
  <c r="L684" i="8"/>
  <c r="M684" i="8"/>
  <c r="K685" i="8"/>
  <c r="L685" i="8"/>
  <c r="M685" i="8"/>
  <c r="K686" i="8"/>
  <c r="L686" i="8"/>
  <c r="M686" i="8"/>
  <c r="K687" i="8"/>
  <c r="L687" i="8"/>
  <c r="M687" i="8"/>
  <c r="K688" i="8"/>
  <c r="L688" i="8"/>
  <c r="M688" i="8"/>
  <c r="K689" i="8"/>
  <c r="L689" i="8"/>
  <c r="M689" i="8"/>
  <c r="K690" i="8"/>
  <c r="L690" i="8"/>
  <c r="M690" i="8"/>
  <c r="K691" i="8"/>
  <c r="L691" i="8"/>
  <c r="M691" i="8"/>
  <c r="K692" i="8"/>
  <c r="L692" i="8"/>
  <c r="M692" i="8"/>
  <c r="K693" i="8"/>
  <c r="L693" i="8"/>
  <c r="M693" i="8"/>
  <c r="K694" i="8"/>
  <c r="L694" i="8"/>
  <c r="M694" i="8"/>
  <c r="K695" i="8"/>
  <c r="L695" i="8"/>
  <c r="M695" i="8"/>
  <c r="K696" i="8"/>
  <c r="L696" i="8"/>
  <c r="M696" i="8"/>
  <c r="K697" i="8"/>
  <c r="L697" i="8"/>
  <c r="M697" i="8"/>
  <c r="K698" i="8"/>
  <c r="L698" i="8"/>
  <c r="M698" i="8"/>
  <c r="K699" i="8"/>
  <c r="L699" i="8"/>
  <c r="M699" i="8"/>
  <c r="K700" i="8"/>
  <c r="L700" i="8"/>
  <c r="M700" i="8"/>
  <c r="K701" i="8"/>
  <c r="L701" i="8"/>
  <c r="M701" i="8"/>
  <c r="K702" i="8"/>
  <c r="L702" i="8"/>
  <c r="M702" i="8"/>
  <c r="K703" i="8"/>
  <c r="L703" i="8"/>
  <c r="M703" i="8"/>
  <c r="K704" i="8"/>
  <c r="L704" i="8"/>
  <c r="M704" i="8"/>
  <c r="K705" i="8"/>
  <c r="L705" i="8"/>
  <c r="M705" i="8"/>
  <c r="K706" i="8"/>
  <c r="L706" i="8"/>
  <c r="M706" i="8"/>
  <c r="K707" i="8"/>
  <c r="L707" i="8"/>
  <c r="M707" i="8"/>
  <c r="K708" i="8"/>
  <c r="L708" i="8"/>
  <c r="M708" i="8"/>
  <c r="K709" i="8"/>
  <c r="L709" i="8"/>
  <c r="M709" i="8"/>
  <c r="K710" i="8"/>
  <c r="L710" i="8"/>
  <c r="M710" i="8"/>
  <c r="K711" i="8"/>
  <c r="L711" i="8"/>
  <c r="M711" i="8"/>
  <c r="K712" i="8"/>
  <c r="L712" i="8"/>
  <c r="M712" i="8"/>
  <c r="K713" i="8"/>
  <c r="L713" i="8"/>
  <c r="M713" i="8"/>
  <c r="K714" i="8"/>
  <c r="L714" i="8"/>
  <c r="M714" i="8"/>
  <c r="K715" i="8"/>
  <c r="L715" i="8"/>
  <c r="M715" i="8"/>
  <c r="K716" i="8"/>
  <c r="L716" i="8"/>
  <c r="M716" i="8"/>
  <c r="K717" i="8"/>
  <c r="L717" i="8"/>
  <c r="M717" i="8"/>
  <c r="K718" i="8"/>
  <c r="L718" i="8"/>
  <c r="M718" i="8"/>
  <c r="K719" i="8"/>
  <c r="L719" i="8"/>
  <c r="M719" i="8"/>
  <c r="K720" i="8"/>
  <c r="L720" i="8"/>
  <c r="M720" i="8"/>
  <c r="K721" i="8"/>
  <c r="L721" i="8"/>
  <c r="M721" i="8"/>
  <c r="K722" i="8"/>
  <c r="L722" i="8"/>
  <c r="M722" i="8"/>
  <c r="K723" i="8"/>
  <c r="L723" i="8"/>
  <c r="M723" i="8"/>
  <c r="K724" i="8"/>
  <c r="L724" i="8"/>
  <c r="M724" i="8"/>
  <c r="K725" i="8"/>
  <c r="L725" i="8"/>
  <c r="M725" i="8"/>
  <c r="K726" i="8"/>
  <c r="L726" i="8"/>
  <c r="M726" i="8"/>
  <c r="K727" i="8"/>
  <c r="L727" i="8"/>
  <c r="M727" i="8"/>
  <c r="K728" i="8"/>
  <c r="L728" i="8"/>
  <c r="M728" i="8"/>
  <c r="K729" i="8"/>
  <c r="L729" i="8"/>
  <c r="M729" i="8"/>
  <c r="K730" i="8"/>
  <c r="L730" i="8"/>
  <c r="M730" i="8"/>
  <c r="K731" i="8"/>
  <c r="L731" i="8"/>
  <c r="M731" i="8"/>
  <c r="K732" i="8"/>
  <c r="L732" i="8"/>
  <c r="M732" i="8"/>
  <c r="K733" i="8"/>
  <c r="L733" i="8"/>
  <c r="M733" i="8"/>
  <c r="K734" i="8"/>
  <c r="L734" i="8"/>
  <c r="M734" i="8"/>
  <c r="K735" i="8"/>
  <c r="L735" i="8"/>
  <c r="M735" i="8"/>
  <c r="K736" i="8"/>
  <c r="L736" i="8"/>
  <c r="M736" i="8"/>
  <c r="K737" i="8"/>
  <c r="L737" i="8"/>
  <c r="M737" i="8"/>
  <c r="K738" i="8"/>
  <c r="L738" i="8"/>
  <c r="M738" i="8"/>
  <c r="K739" i="8"/>
  <c r="L739" i="8"/>
  <c r="M739" i="8"/>
  <c r="K740" i="8"/>
  <c r="L740" i="8"/>
  <c r="M740" i="8"/>
  <c r="K741" i="8"/>
  <c r="L741" i="8"/>
  <c r="M741" i="8"/>
  <c r="K742" i="8"/>
  <c r="L742" i="8"/>
  <c r="M742" i="8"/>
  <c r="K743" i="8"/>
  <c r="L743" i="8"/>
  <c r="M743" i="8"/>
  <c r="K744" i="8"/>
  <c r="L744" i="8"/>
  <c r="M744" i="8"/>
  <c r="K745" i="8"/>
  <c r="L745" i="8"/>
  <c r="M745" i="8"/>
  <c r="K746" i="8"/>
  <c r="L746" i="8"/>
  <c r="M746" i="8"/>
  <c r="K747" i="8"/>
  <c r="L747" i="8"/>
  <c r="M747" i="8"/>
  <c r="K748" i="8"/>
  <c r="L748" i="8"/>
  <c r="M748" i="8"/>
  <c r="K749" i="8"/>
  <c r="L749" i="8"/>
  <c r="M749" i="8"/>
  <c r="K750" i="8"/>
  <c r="L750" i="8"/>
  <c r="M750" i="8"/>
  <c r="K751" i="8"/>
  <c r="L751" i="8"/>
  <c r="M751" i="8"/>
  <c r="K752" i="8"/>
  <c r="L752" i="8"/>
  <c r="M752" i="8"/>
  <c r="K753" i="8"/>
  <c r="L753" i="8"/>
  <c r="M753" i="8"/>
  <c r="K754" i="8"/>
  <c r="L754" i="8"/>
  <c r="M754" i="8"/>
  <c r="K755" i="8"/>
  <c r="L755" i="8"/>
  <c r="M755" i="8"/>
  <c r="K756" i="8"/>
  <c r="L756" i="8"/>
  <c r="M756" i="8"/>
  <c r="K757" i="8"/>
  <c r="L757" i="8"/>
  <c r="M757" i="8"/>
  <c r="K758" i="8"/>
  <c r="L758" i="8"/>
  <c r="M758" i="8"/>
  <c r="K759" i="8"/>
  <c r="L759" i="8"/>
  <c r="M759" i="8"/>
  <c r="K760" i="8"/>
  <c r="L760" i="8"/>
  <c r="M760" i="8"/>
  <c r="K761" i="8"/>
  <c r="L761" i="8"/>
  <c r="M761" i="8"/>
  <c r="K762" i="8"/>
  <c r="L762" i="8"/>
  <c r="M762" i="8"/>
  <c r="K763" i="8"/>
  <c r="L763" i="8"/>
  <c r="M763" i="8"/>
  <c r="K764" i="8"/>
  <c r="L764" i="8"/>
  <c r="M764" i="8"/>
  <c r="K765" i="8"/>
  <c r="L765" i="8"/>
  <c r="M765" i="8"/>
  <c r="K766" i="8"/>
  <c r="L766" i="8"/>
  <c r="M766" i="8"/>
  <c r="K767" i="8"/>
  <c r="L767" i="8"/>
  <c r="M767" i="8"/>
  <c r="K768" i="8"/>
  <c r="L768" i="8"/>
  <c r="M768" i="8"/>
  <c r="K769" i="8"/>
  <c r="L769" i="8"/>
  <c r="M769" i="8"/>
  <c r="K770" i="8"/>
  <c r="L770" i="8"/>
  <c r="M770" i="8"/>
  <c r="K771" i="8"/>
  <c r="L771" i="8"/>
  <c r="M771" i="8"/>
  <c r="K772" i="8"/>
  <c r="L772" i="8"/>
  <c r="M772" i="8"/>
  <c r="K773" i="8"/>
  <c r="L773" i="8"/>
  <c r="M773" i="8"/>
  <c r="K774" i="8"/>
  <c r="L774" i="8"/>
  <c r="M774" i="8"/>
  <c r="K775" i="8"/>
  <c r="L775" i="8"/>
  <c r="M775" i="8"/>
  <c r="K776" i="8"/>
  <c r="L776" i="8"/>
  <c r="M776" i="8"/>
  <c r="K777" i="8"/>
  <c r="L777" i="8"/>
  <c r="M777" i="8"/>
  <c r="K778" i="8"/>
  <c r="L778" i="8"/>
  <c r="M778" i="8"/>
  <c r="K779" i="8"/>
  <c r="L779" i="8"/>
  <c r="M779" i="8"/>
  <c r="K780" i="8"/>
  <c r="L780" i="8"/>
  <c r="M780" i="8"/>
  <c r="K781" i="8"/>
  <c r="L781" i="8"/>
  <c r="M781" i="8"/>
  <c r="K782" i="8"/>
  <c r="L782" i="8"/>
  <c r="M782" i="8"/>
  <c r="K783" i="8"/>
  <c r="L783" i="8"/>
  <c r="M783" i="8"/>
  <c r="K784" i="8"/>
  <c r="L784" i="8"/>
  <c r="M784" i="8"/>
  <c r="K785" i="8"/>
  <c r="L785" i="8"/>
  <c r="M785" i="8"/>
  <c r="K786" i="8"/>
  <c r="L786" i="8"/>
  <c r="M786" i="8"/>
  <c r="K787" i="8"/>
  <c r="L787" i="8"/>
  <c r="M787" i="8"/>
  <c r="K788" i="8"/>
  <c r="L788" i="8"/>
  <c r="M788" i="8"/>
  <c r="K789" i="8"/>
  <c r="L789" i="8"/>
  <c r="M789" i="8"/>
  <c r="K790" i="8"/>
  <c r="L790" i="8"/>
  <c r="M790" i="8"/>
  <c r="K791" i="8"/>
  <c r="L791" i="8"/>
  <c r="M791" i="8"/>
  <c r="K792" i="8"/>
  <c r="L792" i="8"/>
  <c r="M792" i="8"/>
  <c r="K793" i="8"/>
  <c r="L793" i="8"/>
  <c r="M793" i="8"/>
  <c r="K794" i="8"/>
  <c r="L794" i="8"/>
  <c r="M794" i="8"/>
  <c r="K795" i="8"/>
  <c r="L795" i="8"/>
  <c r="M795" i="8"/>
  <c r="K796" i="8"/>
  <c r="L796" i="8"/>
  <c r="M796" i="8"/>
  <c r="K797" i="8"/>
  <c r="L797" i="8"/>
  <c r="M797" i="8"/>
  <c r="K798" i="8"/>
  <c r="L798" i="8"/>
  <c r="M798" i="8"/>
  <c r="K799" i="8"/>
  <c r="L799" i="8"/>
  <c r="M799" i="8"/>
  <c r="K800" i="8"/>
  <c r="L800" i="8"/>
  <c r="M800" i="8"/>
  <c r="K801" i="8"/>
  <c r="L801" i="8"/>
  <c r="M801" i="8"/>
  <c r="K802" i="8"/>
  <c r="L802" i="8"/>
  <c r="M802" i="8"/>
  <c r="K803" i="8"/>
  <c r="L803" i="8"/>
  <c r="M803" i="8"/>
  <c r="K804" i="8"/>
  <c r="L804" i="8"/>
  <c r="M804" i="8"/>
  <c r="K805" i="8"/>
  <c r="L805" i="8"/>
  <c r="M805" i="8"/>
  <c r="K806" i="8"/>
  <c r="L806" i="8"/>
  <c r="M806" i="8"/>
  <c r="K807" i="8"/>
  <c r="L807" i="8"/>
  <c r="M807" i="8"/>
  <c r="K808" i="8"/>
  <c r="L808" i="8"/>
  <c r="M808" i="8"/>
  <c r="K809" i="8"/>
  <c r="L809" i="8"/>
  <c r="M809" i="8"/>
  <c r="K810" i="8"/>
  <c r="L810" i="8"/>
  <c r="M810" i="8"/>
  <c r="K811" i="8"/>
  <c r="L811" i="8"/>
  <c r="M811" i="8"/>
  <c r="K812" i="8"/>
  <c r="L812" i="8"/>
  <c r="M812" i="8"/>
  <c r="K813" i="8"/>
  <c r="L813" i="8"/>
  <c r="M813" i="8"/>
  <c r="K814" i="8"/>
  <c r="L814" i="8"/>
  <c r="M814" i="8"/>
  <c r="K815" i="8"/>
  <c r="L815" i="8"/>
  <c r="M815" i="8"/>
  <c r="K816" i="8"/>
  <c r="L816" i="8"/>
  <c r="M816" i="8"/>
  <c r="K817" i="8"/>
  <c r="L817" i="8"/>
  <c r="M817" i="8"/>
  <c r="K818" i="8"/>
  <c r="L818" i="8"/>
  <c r="M818" i="8"/>
  <c r="K819" i="8"/>
  <c r="L819" i="8"/>
  <c r="M819" i="8"/>
  <c r="K820" i="8"/>
  <c r="L820" i="8"/>
  <c r="M820" i="8"/>
  <c r="K821" i="8"/>
  <c r="L821" i="8"/>
  <c r="M821" i="8"/>
  <c r="K822" i="8"/>
  <c r="L822" i="8"/>
  <c r="M822" i="8"/>
  <c r="K823" i="8"/>
  <c r="L823" i="8"/>
  <c r="M823" i="8"/>
  <c r="K824" i="8"/>
  <c r="L824" i="8"/>
  <c r="M824" i="8"/>
  <c r="K825" i="8"/>
  <c r="L825" i="8"/>
  <c r="M825" i="8"/>
  <c r="K826" i="8"/>
  <c r="L826" i="8"/>
  <c r="M826" i="8"/>
  <c r="K827" i="8"/>
  <c r="L827" i="8"/>
  <c r="M827" i="8"/>
  <c r="K828" i="8"/>
  <c r="L828" i="8"/>
  <c r="M828" i="8"/>
  <c r="K829" i="8"/>
  <c r="L829" i="8"/>
  <c r="M829" i="8"/>
  <c r="K830" i="8"/>
  <c r="L830" i="8"/>
  <c r="M830" i="8"/>
  <c r="K831" i="8"/>
  <c r="L831" i="8"/>
  <c r="M831" i="8"/>
  <c r="K832" i="8"/>
  <c r="L832" i="8"/>
  <c r="M832" i="8"/>
  <c r="K833" i="8"/>
  <c r="L833" i="8"/>
  <c r="M833" i="8"/>
  <c r="K834" i="8"/>
  <c r="L834" i="8"/>
  <c r="M834" i="8"/>
  <c r="K835" i="8"/>
  <c r="L835" i="8"/>
  <c r="M835" i="8"/>
  <c r="K836" i="8"/>
  <c r="L836" i="8"/>
  <c r="M836" i="8"/>
  <c r="K837" i="8"/>
  <c r="L837" i="8"/>
  <c r="M837" i="8"/>
  <c r="K838" i="8"/>
  <c r="L838" i="8"/>
  <c r="M838" i="8"/>
  <c r="K839" i="8"/>
  <c r="L839" i="8"/>
  <c r="M839" i="8"/>
  <c r="K840" i="8"/>
  <c r="L840" i="8"/>
  <c r="M840" i="8"/>
  <c r="K841" i="8"/>
  <c r="L841" i="8"/>
  <c r="M841" i="8"/>
  <c r="K842" i="8"/>
  <c r="L842" i="8"/>
  <c r="M842" i="8"/>
  <c r="K843" i="8"/>
  <c r="L843" i="8"/>
  <c r="M843" i="8"/>
  <c r="K844" i="8"/>
  <c r="L844" i="8"/>
  <c r="M844" i="8"/>
  <c r="K845" i="8"/>
  <c r="L845" i="8"/>
  <c r="M845" i="8"/>
  <c r="K846" i="8"/>
  <c r="L846" i="8"/>
  <c r="M846" i="8"/>
  <c r="K847" i="8"/>
  <c r="L847" i="8"/>
  <c r="M847" i="8"/>
  <c r="K848" i="8"/>
  <c r="L848" i="8"/>
  <c r="M848" i="8"/>
  <c r="K849" i="8"/>
  <c r="L849" i="8"/>
  <c r="M849" i="8"/>
  <c r="K850" i="8"/>
  <c r="L850" i="8"/>
  <c r="M850" i="8"/>
  <c r="K851" i="8"/>
  <c r="L851" i="8"/>
  <c r="M851" i="8"/>
  <c r="K852" i="8"/>
  <c r="L852" i="8"/>
  <c r="M852" i="8"/>
  <c r="K853" i="8"/>
  <c r="L853" i="8"/>
  <c r="M853" i="8"/>
  <c r="K854" i="8"/>
  <c r="L854" i="8"/>
  <c r="M854" i="8"/>
  <c r="K855" i="8"/>
  <c r="L855" i="8"/>
  <c r="M855" i="8"/>
  <c r="K856" i="8"/>
  <c r="L856" i="8"/>
  <c r="M856" i="8"/>
  <c r="K857" i="8"/>
  <c r="L857" i="8"/>
  <c r="M857" i="8"/>
  <c r="K858" i="8"/>
  <c r="L858" i="8"/>
  <c r="M858" i="8"/>
  <c r="K859" i="8"/>
  <c r="L859" i="8"/>
  <c r="M859" i="8"/>
  <c r="K860" i="8"/>
  <c r="L860" i="8"/>
  <c r="M860" i="8"/>
  <c r="K861" i="8"/>
  <c r="L861" i="8"/>
  <c r="M861" i="8"/>
  <c r="K862" i="8"/>
  <c r="L862" i="8"/>
  <c r="M862" i="8"/>
  <c r="K863" i="8"/>
  <c r="L863" i="8"/>
  <c r="M863" i="8"/>
  <c r="K864" i="8"/>
  <c r="L864" i="8"/>
  <c r="M864" i="8"/>
  <c r="K865" i="8"/>
  <c r="L865" i="8"/>
  <c r="M865" i="8"/>
  <c r="K866" i="8"/>
  <c r="L866" i="8"/>
  <c r="M866" i="8"/>
  <c r="K867" i="8"/>
  <c r="L867" i="8"/>
  <c r="M867" i="8"/>
  <c r="K868" i="8"/>
  <c r="L868" i="8"/>
  <c r="M868" i="8"/>
  <c r="K869" i="8"/>
  <c r="L869" i="8"/>
  <c r="M869" i="8"/>
  <c r="K870" i="8"/>
  <c r="L870" i="8"/>
  <c r="M870" i="8"/>
  <c r="K871" i="8"/>
  <c r="L871" i="8"/>
  <c r="M871" i="8"/>
  <c r="K872" i="8"/>
  <c r="L872" i="8"/>
  <c r="M872" i="8"/>
  <c r="K873" i="8"/>
  <c r="L873" i="8"/>
  <c r="M873" i="8"/>
  <c r="K874" i="8"/>
  <c r="L874" i="8"/>
  <c r="M874" i="8"/>
  <c r="K875" i="8"/>
  <c r="L875" i="8"/>
  <c r="M875" i="8"/>
  <c r="K876" i="8"/>
  <c r="L876" i="8"/>
  <c r="M876" i="8"/>
  <c r="K877" i="8"/>
  <c r="L877" i="8"/>
  <c r="M877" i="8"/>
  <c r="K878" i="8"/>
  <c r="L878" i="8"/>
  <c r="M878" i="8"/>
  <c r="K879" i="8"/>
  <c r="L879" i="8"/>
  <c r="M879" i="8"/>
  <c r="K880" i="8"/>
  <c r="L880" i="8"/>
  <c r="M880" i="8"/>
  <c r="K881" i="8"/>
  <c r="L881" i="8"/>
  <c r="M881" i="8"/>
  <c r="K882" i="8"/>
  <c r="L882" i="8"/>
  <c r="M882" i="8"/>
  <c r="K883" i="8"/>
  <c r="L883" i="8"/>
  <c r="M883" i="8"/>
  <c r="K884" i="8"/>
  <c r="L884" i="8"/>
  <c r="M884" i="8"/>
  <c r="K885" i="8"/>
  <c r="L885" i="8"/>
  <c r="M885" i="8"/>
  <c r="K886" i="8"/>
  <c r="L886" i="8"/>
  <c r="M886" i="8"/>
  <c r="K887" i="8"/>
  <c r="L887" i="8"/>
  <c r="M887" i="8"/>
  <c r="K888" i="8"/>
  <c r="L888" i="8"/>
  <c r="M888" i="8"/>
  <c r="K889" i="8"/>
  <c r="L889" i="8"/>
  <c r="M889" i="8"/>
  <c r="K890" i="8"/>
  <c r="L890" i="8"/>
  <c r="M890" i="8"/>
  <c r="K891" i="8"/>
  <c r="L891" i="8"/>
  <c r="M891" i="8"/>
  <c r="K892" i="8"/>
  <c r="L892" i="8"/>
  <c r="M892" i="8"/>
  <c r="K893" i="8"/>
  <c r="L893" i="8"/>
  <c r="M893" i="8"/>
  <c r="K894" i="8"/>
  <c r="L894" i="8"/>
  <c r="M894" i="8"/>
  <c r="K895" i="8"/>
  <c r="L895" i="8"/>
  <c r="M895" i="8"/>
  <c r="K896" i="8"/>
  <c r="L896" i="8"/>
  <c r="M896" i="8"/>
  <c r="K897" i="8"/>
  <c r="L897" i="8"/>
  <c r="M897" i="8"/>
  <c r="K898" i="8"/>
  <c r="L898" i="8"/>
  <c r="M898" i="8"/>
  <c r="K899" i="8"/>
  <c r="L899" i="8"/>
  <c r="M899" i="8"/>
  <c r="K900" i="8"/>
  <c r="L900" i="8"/>
  <c r="M900" i="8"/>
  <c r="K901" i="8"/>
  <c r="L901" i="8"/>
  <c r="M901" i="8"/>
  <c r="K902" i="8"/>
  <c r="L902" i="8"/>
  <c r="M902" i="8"/>
  <c r="K903" i="8"/>
  <c r="L903" i="8"/>
  <c r="M903" i="8"/>
  <c r="K904" i="8"/>
  <c r="L904" i="8"/>
  <c r="M904" i="8"/>
  <c r="K905" i="8"/>
  <c r="L905" i="8"/>
  <c r="M905" i="8"/>
  <c r="K906" i="8"/>
  <c r="L906" i="8"/>
  <c r="M906" i="8"/>
  <c r="K907" i="8"/>
  <c r="L907" i="8"/>
  <c r="M907" i="8"/>
  <c r="K908" i="8"/>
  <c r="L908" i="8"/>
  <c r="M908" i="8"/>
  <c r="K909" i="8"/>
  <c r="L909" i="8"/>
  <c r="M909" i="8"/>
  <c r="K910" i="8"/>
  <c r="L910" i="8"/>
  <c r="M910" i="8"/>
  <c r="K911" i="8"/>
  <c r="L911" i="8"/>
  <c r="M911" i="8"/>
  <c r="K912" i="8"/>
  <c r="L912" i="8"/>
  <c r="M912" i="8"/>
  <c r="K913" i="8"/>
  <c r="L913" i="8"/>
  <c r="M913" i="8"/>
  <c r="K914" i="8"/>
  <c r="L914" i="8"/>
  <c r="M914" i="8"/>
  <c r="K915" i="8"/>
  <c r="L915" i="8"/>
  <c r="M915" i="8"/>
  <c r="K916" i="8"/>
  <c r="L916" i="8"/>
  <c r="M916" i="8"/>
  <c r="K917" i="8"/>
  <c r="L917" i="8"/>
  <c r="M917" i="8"/>
  <c r="K918" i="8"/>
  <c r="L918" i="8"/>
  <c r="M918" i="8"/>
  <c r="K919" i="8"/>
  <c r="L919" i="8"/>
  <c r="M919" i="8"/>
  <c r="K920" i="8"/>
  <c r="L920" i="8"/>
  <c r="M920" i="8"/>
  <c r="K921" i="8"/>
  <c r="L921" i="8"/>
  <c r="M921" i="8"/>
  <c r="K922" i="8"/>
  <c r="L922" i="8"/>
  <c r="M922" i="8"/>
  <c r="K923" i="8"/>
  <c r="L923" i="8"/>
  <c r="M923" i="8"/>
  <c r="K924" i="8"/>
  <c r="L924" i="8"/>
  <c r="M924" i="8"/>
  <c r="K925" i="8"/>
  <c r="L925" i="8"/>
  <c r="M925" i="8"/>
  <c r="K926" i="8"/>
  <c r="L926" i="8"/>
  <c r="M926" i="8"/>
  <c r="K927" i="8"/>
  <c r="L927" i="8"/>
  <c r="M927" i="8"/>
  <c r="K928" i="8"/>
  <c r="L928" i="8"/>
  <c r="M928" i="8"/>
  <c r="K929" i="8"/>
  <c r="L929" i="8"/>
  <c r="M929" i="8"/>
  <c r="K930" i="8"/>
  <c r="L930" i="8"/>
  <c r="M930" i="8"/>
  <c r="K931" i="8"/>
  <c r="L931" i="8"/>
  <c r="M931" i="8"/>
  <c r="K932" i="8"/>
  <c r="L932" i="8"/>
  <c r="M932" i="8"/>
  <c r="K933" i="8"/>
  <c r="L933" i="8"/>
  <c r="M933" i="8"/>
  <c r="K934" i="8"/>
  <c r="L934" i="8"/>
  <c r="M934" i="8"/>
  <c r="K935" i="8"/>
  <c r="L935" i="8"/>
  <c r="M935" i="8"/>
  <c r="K936" i="8"/>
  <c r="L936" i="8"/>
  <c r="M936" i="8"/>
  <c r="K937" i="8"/>
  <c r="L937" i="8"/>
  <c r="M937" i="8"/>
  <c r="K938" i="8"/>
  <c r="L938" i="8"/>
  <c r="M938" i="8"/>
  <c r="K939" i="8"/>
  <c r="L939" i="8"/>
  <c r="M939" i="8"/>
  <c r="K940" i="8"/>
  <c r="L940" i="8"/>
  <c r="M940" i="8"/>
  <c r="K941" i="8"/>
  <c r="L941" i="8"/>
  <c r="M941" i="8"/>
  <c r="K942" i="8"/>
  <c r="L942" i="8"/>
  <c r="M942" i="8"/>
  <c r="K943" i="8"/>
  <c r="L943" i="8"/>
  <c r="M943" i="8"/>
  <c r="K944" i="8"/>
  <c r="L944" i="8"/>
  <c r="M944" i="8"/>
  <c r="K945" i="8"/>
  <c r="L945" i="8"/>
  <c r="M945" i="8"/>
  <c r="K946" i="8"/>
  <c r="L946" i="8"/>
  <c r="M946" i="8"/>
  <c r="K947" i="8"/>
  <c r="L947" i="8"/>
  <c r="M947" i="8"/>
  <c r="K948" i="8"/>
  <c r="L948" i="8"/>
  <c r="M948" i="8"/>
  <c r="K949" i="8"/>
  <c r="L949" i="8"/>
  <c r="M949" i="8"/>
  <c r="K950" i="8"/>
  <c r="L950" i="8"/>
  <c r="M950" i="8"/>
  <c r="K951" i="8"/>
  <c r="L951" i="8"/>
  <c r="M951" i="8"/>
  <c r="K952" i="8"/>
  <c r="L952" i="8"/>
  <c r="M952" i="8"/>
  <c r="K953" i="8"/>
  <c r="L953" i="8"/>
  <c r="M953" i="8"/>
  <c r="K954" i="8"/>
  <c r="L954" i="8"/>
  <c r="M954" i="8"/>
  <c r="K955" i="8"/>
  <c r="L955" i="8"/>
  <c r="M955" i="8"/>
  <c r="K956" i="8"/>
  <c r="L956" i="8"/>
  <c r="M956" i="8"/>
  <c r="K957" i="8"/>
  <c r="L957" i="8"/>
  <c r="M957" i="8"/>
  <c r="K958" i="8"/>
  <c r="L958" i="8"/>
  <c r="M958" i="8"/>
  <c r="K959" i="8"/>
  <c r="L959" i="8"/>
  <c r="M959" i="8"/>
  <c r="K960" i="8"/>
  <c r="L960" i="8"/>
  <c r="M960" i="8"/>
  <c r="K961" i="8"/>
  <c r="L961" i="8"/>
  <c r="M961" i="8"/>
  <c r="K962" i="8"/>
  <c r="L962" i="8"/>
  <c r="M962" i="8"/>
  <c r="K963" i="8"/>
  <c r="L963" i="8"/>
  <c r="M963" i="8"/>
  <c r="K964" i="8"/>
  <c r="L964" i="8"/>
  <c r="M964" i="8"/>
  <c r="K965" i="8"/>
  <c r="L965" i="8"/>
  <c r="M965" i="8"/>
  <c r="K966" i="8"/>
  <c r="L966" i="8"/>
  <c r="M966" i="8"/>
  <c r="K967" i="8"/>
  <c r="L967" i="8"/>
  <c r="M967" i="8"/>
  <c r="K968" i="8"/>
  <c r="L968" i="8"/>
  <c r="M968" i="8"/>
  <c r="K969" i="8"/>
  <c r="L969" i="8"/>
  <c r="M969" i="8"/>
  <c r="K970" i="8"/>
  <c r="L970" i="8"/>
  <c r="M970" i="8"/>
  <c r="K971" i="8"/>
  <c r="L971" i="8"/>
  <c r="M971" i="8"/>
  <c r="K972" i="8"/>
  <c r="L972" i="8"/>
  <c r="M972" i="8"/>
  <c r="K973" i="8"/>
  <c r="L973" i="8"/>
  <c r="M973" i="8"/>
  <c r="K974" i="8"/>
  <c r="L974" i="8"/>
  <c r="M974" i="8"/>
  <c r="K975" i="8"/>
  <c r="L975" i="8"/>
  <c r="M975" i="8"/>
  <c r="K976" i="8"/>
  <c r="L976" i="8"/>
  <c r="M976" i="8"/>
  <c r="K977" i="8"/>
  <c r="L977" i="8"/>
  <c r="M977" i="8"/>
  <c r="K978" i="8"/>
  <c r="L978" i="8"/>
  <c r="M978" i="8"/>
  <c r="K979" i="8"/>
  <c r="L979" i="8"/>
  <c r="M979" i="8"/>
  <c r="K980" i="8"/>
  <c r="L980" i="8"/>
  <c r="M980" i="8"/>
  <c r="K981" i="8"/>
  <c r="L981" i="8"/>
  <c r="M981" i="8"/>
  <c r="K982" i="8"/>
  <c r="L982" i="8"/>
  <c r="M982" i="8"/>
  <c r="K983" i="8"/>
  <c r="L983" i="8"/>
  <c r="M983" i="8"/>
  <c r="K984" i="8"/>
  <c r="L984" i="8"/>
  <c r="M984" i="8"/>
  <c r="K985" i="8"/>
  <c r="L985" i="8"/>
  <c r="M985" i="8"/>
  <c r="K986" i="8"/>
  <c r="L986" i="8"/>
  <c r="M986" i="8"/>
  <c r="K987" i="8"/>
  <c r="L987" i="8"/>
  <c r="M987" i="8"/>
  <c r="K988" i="8"/>
  <c r="L988" i="8"/>
  <c r="M988" i="8"/>
  <c r="K989" i="8"/>
  <c r="L989" i="8"/>
  <c r="M989" i="8"/>
  <c r="K990" i="8"/>
  <c r="L990" i="8"/>
  <c r="M990" i="8"/>
  <c r="K991" i="8"/>
  <c r="L991" i="8"/>
  <c r="M991" i="8"/>
  <c r="K992" i="8"/>
  <c r="L992" i="8"/>
  <c r="M992" i="8"/>
  <c r="K993" i="8"/>
  <c r="L993" i="8"/>
  <c r="M993" i="8"/>
  <c r="K994" i="8"/>
  <c r="L994" i="8"/>
  <c r="M994" i="8"/>
  <c r="K995" i="8"/>
  <c r="L995" i="8"/>
  <c r="M995" i="8"/>
  <c r="K996" i="8"/>
  <c r="L996" i="8"/>
  <c r="M996" i="8"/>
  <c r="K997" i="8"/>
  <c r="L997" i="8"/>
  <c r="M997" i="8"/>
  <c r="K998" i="8"/>
  <c r="L998" i="8"/>
  <c r="M998" i="8"/>
  <c r="K999" i="8"/>
  <c r="L999" i="8"/>
  <c r="M999" i="8"/>
  <c r="K1000" i="8"/>
  <c r="L1000" i="8"/>
  <c r="M1000" i="8"/>
  <c r="K1001" i="8"/>
  <c r="L1001" i="8"/>
  <c r="M1001" i="8"/>
  <c r="K1002" i="8"/>
  <c r="L1002" i="8"/>
  <c r="M1002" i="8"/>
  <c r="K1003" i="8"/>
  <c r="L1003" i="8"/>
  <c r="M1003" i="8"/>
  <c r="K1004" i="8"/>
  <c r="L1004" i="8"/>
  <c r="M1004" i="8"/>
  <c r="K1005" i="8"/>
  <c r="L1005" i="8"/>
  <c r="M1005" i="8"/>
  <c r="K1006" i="8"/>
  <c r="L1006" i="8"/>
  <c r="M1006" i="8"/>
  <c r="K1007" i="8"/>
  <c r="L1007" i="8"/>
  <c r="M1007" i="8"/>
  <c r="K1008" i="8"/>
  <c r="L1008" i="8"/>
  <c r="M1008" i="8"/>
  <c r="K1009" i="8"/>
  <c r="L1009" i="8"/>
  <c r="M1009" i="8"/>
  <c r="K1010" i="8"/>
  <c r="L1010" i="8"/>
  <c r="M1010" i="8"/>
  <c r="K1011" i="8"/>
  <c r="L1011" i="8"/>
  <c r="M1011" i="8"/>
  <c r="K1012" i="8"/>
  <c r="L1012" i="8"/>
  <c r="M1012" i="8"/>
  <c r="K1013" i="8"/>
  <c r="L1013" i="8"/>
  <c r="M1013" i="8"/>
  <c r="K1014" i="8"/>
  <c r="L1014" i="8"/>
  <c r="M1014" i="8"/>
  <c r="K1015" i="8"/>
  <c r="L1015" i="8"/>
  <c r="M1015" i="8"/>
  <c r="K1016" i="8"/>
  <c r="L1016" i="8"/>
  <c r="M1016" i="8"/>
  <c r="K1017" i="8"/>
  <c r="L1017" i="8"/>
  <c r="M1017" i="8"/>
  <c r="K1018" i="8"/>
  <c r="L1018" i="8"/>
  <c r="M1018" i="8"/>
  <c r="K1019" i="8"/>
  <c r="L1019" i="8"/>
  <c r="M1019" i="8"/>
  <c r="K1020" i="8"/>
  <c r="L1020" i="8"/>
  <c r="M1020" i="8"/>
  <c r="K1021" i="8"/>
  <c r="L1021" i="8"/>
  <c r="M1021" i="8"/>
  <c r="K1022" i="8"/>
  <c r="L1022" i="8"/>
  <c r="M1022" i="8"/>
  <c r="K1023" i="8"/>
  <c r="L1023" i="8"/>
  <c r="M1023" i="8"/>
  <c r="K1024" i="8"/>
  <c r="L1024" i="8"/>
  <c r="M1024" i="8"/>
  <c r="K1025" i="8"/>
  <c r="L1025" i="8"/>
  <c r="M1025" i="8"/>
  <c r="K1026" i="8"/>
  <c r="L1026" i="8"/>
  <c r="M1026" i="8"/>
  <c r="K1027" i="8"/>
  <c r="L1027" i="8"/>
  <c r="M1027" i="8"/>
  <c r="K1028" i="8"/>
  <c r="L1028" i="8"/>
  <c r="M1028" i="8"/>
  <c r="K1029" i="8"/>
  <c r="L1029" i="8"/>
  <c r="M1029" i="8"/>
  <c r="K1030" i="8"/>
  <c r="L1030" i="8"/>
  <c r="M1030" i="8"/>
  <c r="K1031" i="8"/>
  <c r="L1031" i="8"/>
  <c r="M1031" i="8"/>
  <c r="K1032" i="8"/>
  <c r="L1032" i="8"/>
  <c r="M1032" i="8"/>
  <c r="K1033" i="8"/>
  <c r="L1033" i="8"/>
  <c r="M1033" i="8"/>
  <c r="K1034" i="8"/>
  <c r="L1034" i="8"/>
  <c r="M1034" i="8"/>
  <c r="K1035" i="8"/>
  <c r="L1035" i="8"/>
  <c r="M1035" i="8"/>
  <c r="K1036" i="8"/>
  <c r="L1036" i="8"/>
  <c r="M1036" i="8"/>
  <c r="K1037" i="8"/>
  <c r="L1037" i="8"/>
  <c r="M1037" i="8"/>
  <c r="K1038" i="8"/>
  <c r="L1038" i="8"/>
  <c r="M1038" i="8"/>
  <c r="K1039" i="8"/>
  <c r="L1039" i="8"/>
  <c r="M1039" i="8"/>
  <c r="K1040" i="8"/>
  <c r="L1040" i="8"/>
  <c r="M1040" i="8"/>
  <c r="K1041" i="8"/>
  <c r="L1041" i="8"/>
  <c r="M1041" i="8"/>
  <c r="K1042" i="8"/>
  <c r="L1042" i="8"/>
  <c r="M1042" i="8"/>
  <c r="K1043" i="8"/>
  <c r="L1043" i="8"/>
  <c r="M1043" i="8"/>
  <c r="K1044" i="8"/>
  <c r="L1044" i="8"/>
  <c r="M1044" i="8"/>
  <c r="K1045" i="8"/>
  <c r="L1045" i="8"/>
  <c r="M1045" i="8"/>
  <c r="K1046" i="8"/>
  <c r="L1046" i="8"/>
  <c r="M1046" i="8"/>
  <c r="K1047" i="8"/>
  <c r="L1047" i="8"/>
  <c r="M1047" i="8"/>
  <c r="K1048" i="8"/>
  <c r="L1048" i="8"/>
  <c r="M1048" i="8"/>
  <c r="K1049" i="8"/>
  <c r="L1049" i="8"/>
  <c r="M1049" i="8"/>
  <c r="K1050" i="8"/>
  <c r="L1050" i="8"/>
  <c r="M1050" i="8"/>
  <c r="K1051" i="8"/>
  <c r="L1051" i="8"/>
  <c r="M1051" i="8"/>
  <c r="K1052" i="8"/>
  <c r="L1052" i="8"/>
  <c r="M1052" i="8"/>
  <c r="K1053" i="8"/>
  <c r="L1053" i="8"/>
  <c r="M1053" i="8"/>
  <c r="K1054" i="8"/>
  <c r="L1054" i="8"/>
  <c r="M1054" i="8"/>
  <c r="K1055" i="8"/>
  <c r="L1055" i="8"/>
  <c r="M1055" i="8"/>
  <c r="K1056" i="8"/>
  <c r="L1056" i="8"/>
  <c r="M1056" i="8"/>
  <c r="K1057" i="8"/>
  <c r="L1057" i="8"/>
  <c r="M1057" i="8"/>
  <c r="K1058" i="8"/>
  <c r="L1058" i="8"/>
  <c r="M1058" i="8"/>
  <c r="K1059" i="8"/>
  <c r="L1059" i="8"/>
  <c r="M1059" i="8"/>
  <c r="K1060" i="8"/>
  <c r="L1060" i="8"/>
  <c r="M1060" i="8"/>
  <c r="K1061" i="8"/>
  <c r="L1061" i="8"/>
  <c r="M1061" i="8"/>
  <c r="K1062" i="8"/>
  <c r="L1062" i="8"/>
  <c r="M1062" i="8"/>
  <c r="K1063" i="8"/>
  <c r="L1063" i="8"/>
  <c r="M1063" i="8"/>
  <c r="K1064" i="8"/>
  <c r="L1064" i="8"/>
  <c r="M1064" i="8"/>
  <c r="K1065" i="8"/>
  <c r="L1065" i="8"/>
  <c r="M1065" i="8"/>
  <c r="K1066" i="8"/>
  <c r="L1066" i="8"/>
  <c r="M1066" i="8"/>
  <c r="K1067" i="8"/>
  <c r="L1067" i="8"/>
  <c r="M1067" i="8"/>
  <c r="K1068" i="8"/>
  <c r="L1068" i="8"/>
  <c r="M1068" i="8"/>
  <c r="K1069" i="8"/>
  <c r="L1069" i="8"/>
  <c r="M1069" i="8"/>
  <c r="K1070" i="8"/>
  <c r="L1070" i="8"/>
  <c r="M1070" i="8"/>
  <c r="K1071" i="8"/>
  <c r="L1071" i="8"/>
  <c r="M1071" i="8"/>
  <c r="K1072" i="8"/>
  <c r="L1072" i="8"/>
  <c r="M1072" i="8"/>
  <c r="K1073" i="8"/>
  <c r="L1073" i="8"/>
  <c r="M1073" i="8"/>
  <c r="K1074" i="8"/>
  <c r="L1074" i="8"/>
  <c r="M1074" i="8"/>
  <c r="K1075" i="8"/>
  <c r="L1075" i="8"/>
  <c r="M1075" i="8"/>
  <c r="K1076" i="8"/>
  <c r="L1076" i="8"/>
  <c r="M1076" i="8"/>
  <c r="K1077" i="8"/>
  <c r="L1077" i="8"/>
  <c r="M1077" i="8"/>
  <c r="K1078" i="8"/>
  <c r="L1078" i="8"/>
  <c r="M1078" i="8"/>
  <c r="K1079" i="8"/>
  <c r="L1079" i="8"/>
  <c r="M1079" i="8"/>
  <c r="K1080" i="8"/>
  <c r="L1080" i="8"/>
  <c r="M1080" i="8"/>
  <c r="K1081" i="8"/>
  <c r="L1081" i="8"/>
  <c r="M1081" i="8"/>
  <c r="K1082" i="8"/>
  <c r="L1082" i="8"/>
  <c r="M1082" i="8"/>
  <c r="K1083" i="8"/>
  <c r="L1083" i="8"/>
  <c r="M1083" i="8"/>
  <c r="K1084" i="8"/>
  <c r="L1084" i="8"/>
  <c r="M1084" i="8"/>
  <c r="K1085" i="8"/>
  <c r="L1085" i="8"/>
  <c r="M1085" i="8"/>
  <c r="K1086" i="8"/>
  <c r="L1086" i="8"/>
  <c r="M1086" i="8"/>
  <c r="K1087" i="8"/>
  <c r="L1087" i="8"/>
  <c r="M1087" i="8"/>
  <c r="K1088" i="8"/>
  <c r="L1088" i="8"/>
  <c r="M1088" i="8"/>
  <c r="K1089" i="8"/>
  <c r="L1089" i="8"/>
  <c r="M1089" i="8"/>
  <c r="K1090" i="8"/>
  <c r="L1090" i="8"/>
  <c r="M1090" i="8"/>
  <c r="K1091" i="8"/>
  <c r="L1091" i="8"/>
  <c r="M1091" i="8"/>
  <c r="K1092" i="8"/>
  <c r="L1092" i="8"/>
  <c r="M1092" i="8"/>
  <c r="K1093" i="8"/>
  <c r="L1093" i="8"/>
  <c r="M1093" i="8"/>
  <c r="K1094" i="8"/>
  <c r="L1094" i="8"/>
  <c r="M1094" i="8"/>
  <c r="K1095" i="8"/>
  <c r="L1095" i="8"/>
  <c r="M1095" i="8"/>
  <c r="K1096" i="8"/>
  <c r="L1096" i="8"/>
  <c r="M1096" i="8"/>
  <c r="K1097" i="8"/>
  <c r="L1097" i="8"/>
  <c r="M1097" i="8"/>
  <c r="K1098" i="8"/>
  <c r="L1098" i="8"/>
  <c r="M1098" i="8"/>
  <c r="K1099" i="8"/>
  <c r="L1099" i="8"/>
  <c r="M1099" i="8"/>
  <c r="K1100" i="8"/>
  <c r="L1100" i="8"/>
  <c r="M1100" i="8"/>
  <c r="K1101" i="8"/>
  <c r="L1101" i="8"/>
  <c r="M1101" i="8"/>
  <c r="K1102" i="8"/>
  <c r="L1102" i="8"/>
  <c r="M1102" i="8"/>
  <c r="K1103" i="8"/>
  <c r="L1103" i="8"/>
  <c r="M1103" i="8"/>
  <c r="K1104" i="8"/>
  <c r="L1104" i="8"/>
  <c r="M1104" i="8"/>
  <c r="K1105" i="8"/>
  <c r="L1105" i="8"/>
  <c r="M1105" i="8"/>
  <c r="K1106" i="8"/>
  <c r="L1106" i="8"/>
  <c r="M1106" i="8"/>
  <c r="K1107" i="8"/>
  <c r="L1107" i="8"/>
  <c r="M1107" i="8"/>
  <c r="K1108" i="8"/>
  <c r="L1108" i="8"/>
  <c r="M1108" i="8"/>
  <c r="K1109" i="8"/>
  <c r="L1109" i="8"/>
  <c r="M1109" i="8"/>
  <c r="K1110" i="8"/>
  <c r="L1110" i="8"/>
  <c r="M1110" i="8"/>
  <c r="K1111" i="8"/>
  <c r="L1111" i="8"/>
  <c r="M1111" i="8"/>
  <c r="K1112" i="8"/>
  <c r="L1112" i="8"/>
  <c r="M1112" i="8"/>
  <c r="K1113" i="8"/>
  <c r="L1113" i="8"/>
  <c r="M1113" i="8"/>
  <c r="K1114" i="8"/>
  <c r="L1114" i="8"/>
  <c r="M1114" i="8"/>
  <c r="K1115" i="8"/>
  <c r="L1115" i="8"/>
  <c r="M1115" i="8"/>
  <c r="K1116" i="8"/>
  <c r="L1116" i="8"/>
  <c r="M1116" i="8"/>
  <c r="K1117" i="8"/>
  <c r="L1117" i="8"/>
  <c r="M1117" i="8"/>
  <c r="K1118" i="8"/>
  <c r="L1118" i="8"/>
  <c r="M1118" i="8"/>
  <c r="K1119" i="8"/>
  <c r="L1119" i="8"/>
  <c r="M1119" i="8"/>
  <c r="K1120" i="8"/>
  <c r="L1120" i="8"/>
  <c r="M1120" i="8"/>
  <c r="K1121" i="8"/>
  <c r="L1121" i="8"/>
  <c r="M1121" i="8"/>
  <c r="K1122" i="8"/>
  <c r="L1122" i="8"/>
  <c r="M1122" i="8"/>
  <c r="K1123" i="8"/>
  <c r="L1123" i="8"/>
  <c r="M1123" i="8"/>
  <c r="K1124" i="8"/>
  <c r="L1124" i="8"/>
  <c r="M1124" i="8"/>
  <c r="K1125" i="8"/>
  <c r="L1125" i="8"/>
  <c r="M1125" i="8"/>
  <c r="K1126" i="8"/>
  <c r="L1126" i="8"/>
  <c r="M1126" i="8"/>
  <c r="K1127" i="8"/>
  <c r="L1127" i="8"/>
  <c r="M1127" i="8"/>
  <c r="K1128" i="8"/>
  <c r="L1128" i="8"/>
  <c r="M1128" i="8"/>
  <c r="K1129" i="8"/>
  <c r="L1129" i="8"/>
  <c r="M1129" i="8"/>
  <c r="K1130" i="8"/>
  <c r="L1130" i="8"/>
  <c r="M1130" i="8"/>
  <c r="K1131" i="8"/>
  <c r="L1131" i="8"/>
  <c r="M1131" i="8"/>
  <c r="K1132" i="8"/>
  <c r="L1132" i="8"/>
  <c r="M1132" i="8"/>
  <c r="K1133" i="8"/>
  <c r="L1133" i="8"/>
  <c r="M1133" i="8"/>
  <c r="K1134" i="8"/>
  <c r="L1134" i="8"/>
  <c r="M1134" i="8"/>
  <c r="K1135" i="8"/>
  <c r="L1135" i="8"/>
  <c r="M1135" i="8"/>
  <c r="K1136" i="8"/>
  <c r="L1136" i="8"/>
  <c r="M1136" i="8"/>
  <c r="K1137" i="8"/>
  <c r="L1137" i="8"/>
  <c r="M1137" i="8"/>
  <c r="K1138" i="8"/>
  <c r="L1138" i="8"/>
  <c r="M1138" i="8"/>
  <c r="K1139" i="8"/>
  <c r="L1139" i="8"/>
  <c r="M1139" i="8"/>
  <c r="K1140" i="8"/>
  <c r="L1140" i="8"/>
  <c r="M1140" i="8"/>
  <c r="K1141" i="8"/>
  <c r="L1141" i="8"/>
  <c r="M1141" i="8"/>
  <c r="K1142" i="8"/>
  <c r="L1142" i="8"/>
  <c r="M1142" i="8"/>
  <c r="K1143" i="8"/>
  <c r="L1143" i="8"/>
  <c r="M1143" i="8"/>
  <c r="K1144" i="8"/>
  <c r="L1144" i="8"/>
  <c r="M1144" i="8"/>
  <c r="K1145" i="8"/>
  <c r="L1145" i="8"/>
  <c r="M1145" i="8"/>
  <c r="K1146" i="8"/>
  <c r="L1146" i="8"/>
  <c r="M1146" i="8"/>
  <c r="K1147" i="8"/>
  <c r="L1147" i="8"/>
  <c r="M1147" i="8"/>
  <c r="K1148" i="8"/>
  <c r="L1148" i="8"/>
  <c r="M1148" i="8"/>
  <c r="K1149" i="8"/>
  <c r="L1149" i="8"/>
  <c r="M1149" i="8"/>
  <c r="K1150" i="8"/>
  <c r="L1150" i="8"/>
  <c r="M1150" i="8"/>
  <c r="K1151" i="8"/>
  <c r="L1151" i="8"/>
  <c r="M1151" i="8"/>
  <c r="K1152" i="8"/>
  <c r="L1152" i="8"/>
  <c r="M1152" i="8"/>
  <c r="K1153" i="8"/>
  <c r="L1153" i="8"/>
  <c r="M1153" i="8"/>
  <c r="K1154" i="8"/>
  <c r="L1154" i="8"/>
  <c r="M1154" i="8"/>
  <c r="K1155" i="8"/>
  <c r="L1155" i="8"/>
  <c r="M1155" i="8"/>
  <c r="K1156" i="8"/>
  <c r="L1156" i="8"/>
  <c r="M1156" i="8"/>
  <c r="K1157" i="8"/>
  <c r="L1157" i="8"/>
  <c r="M1157" i="8"/>
  <c r="K1158" i="8"/>
  <c r="L1158" i="8"/>
  <c r="M1158" i="8"/>
  <c r="K1159" i="8"/>
  <c r="L1159" i="8"/>
  <c r="M1159" i="8"/>
  <c r="K1160" i="8"/>
  <c r="L1160" i="8"/>
  <c r="M1160" i="8"/>
  <c r="K1161" i="8"/>
  <c r="L1161" i="8"/>
  <c r="M1161" i="8"/>
  <c r="K1162" i="8"/>
  <c r="L1162" i="8"/>
  <c r="M1162" i="8"/>
  <c r="K1163" i="8"/>
  <c r="L1163" i="8"/>
  <c r="M1163" i="8"/>
  <c r="K1164" i="8"/>
  <c r="L1164" i="8"/>
  <c r="M1164" i="8"/>
  <c r="K1165" i="8"/>
  <c r="L1165" i="8"/>
  <c r="M1165" i="8"/>
  <c r="K1166" i="8"/>
  <c r="L1166" i="8"/>
  <c r="M1166" i="8"/>
  <c r="K1167" i="8"/>
  <c r="L1167" i="8"/>
  <c r="M1167" i="8"/>
  <c r="K1168" i="8"/>
  <c r="L1168" i="8"/>
  <c r="M1168" i="8"/>
  <c r="K1169" i="8"/>
  <c r="L1169" i="8"/>
  <c r="M1169" i="8"/>
  <c r="K1170" i="8"/>
  <c r="L1170" i="8"/>
  <c r="M1170" i="8"/>
  <c r="K1171" i="8"/>
  <c r="L1171" i="8"/>
  <c r="M1171" i="8"/>
  <c r="K1172" i="8"/>
  <c r="L1172" i="8"/>
  <c r="M1172" i="8"/>
  <c r="K1173" i="8"/>
  <c r="L1173" i="8"/>
  <c r="M1173" i="8"/>
  <c r="K1174" i="8"/>
  <c r="L1174" i="8"/>
  <c r="M1174" i="8"/>
  <c r="K1175" i="8"/>
  <c r="L1175" i="8"/>
  <c r="M1175" i="8"/>
  <c r="K1176" i="8"/>
  <c r="L1176" i="8"/>
  <c r="M1176" i="8"/>
  <c r="K1177" i="8"/>
  <c r="L1177" i="8"/>
  <c r="M1177" i="8"/>
  <c r="K1178" i="8"/>
  <c r="L1178" i="8"/>
  <c r="M1178" i="8"/>
  <c r="K1179" i="8"/>
  <c r="L1179" i="8"/>
  <c r="M1179" i="8"/>
  <c r="K1180" i="8"/>
  <c r="L1180" i="8"/>
  <c r="M1180" i="8"/>
  <c r="K1181" i="8"/>
  <c r="L1181" i="8"/>
  <c r="M1181" i="8"/>
  <c r="K1182" i="8"/>
  <c r="L1182" i="8"/>
  <c r="M1182" i="8"/>
  <c r="K1183" i="8"/>
  <c r="L1183" i="8"/>
  <c r="M1183" i="8"/>
  <c r="K1184" i="8"/>
  <c r="L1184" i="8"/>
  <c r="M1184" i="8"/>
  <c r="K1185" i="8"/>
  <c r="L1185" i="8"/>
  <c r="M1185" i="8"/>
  <c r="K1186" i="8"/>
  <c r="L1186" i="8"/>
  <c r="M1186" i="8"/>
  <c r="K1187" i="8"/>
  <c r="L1187" i="8"/>
  <c r="M1187" i="8"/>
  <c r="K1188" i="8"/>
  <c r="L1188" i="8"/>
  <c r="M1188" i="8"/>
  <c r="K1189" i="8"/>
  <c r="L1189" i="8"/>
  <c r="M1189" i="8"/>
  <c r="K1190" i="8"/>
  <c r="L1190" i="8"/>
  <c r="M1190" i="8"/>
  <c r="K1191" i="8"/>
  <c r="L1191" i="8"/>
  <c r="M1191" i="8"/>
  <c r="K1192" i="8"/>
  <c r="L1192" i="8"/>
  <c r="M1192" i="8"/>
  <c r="K1193" i="8"/>
  <c r="L1193" i="8"/>
  <c r="M1193" i="8"/>
  <c r="K1194" i="8"/>
  <c r="L1194" i="8"/>
  <c r="M1194" i="8"/>
  <c r="K1195" i="8"/>
  <c r="L1195" i="8"/>
  <c r="M1195" i="8"/>
  <c r="K1196" i="8"/>
  <c r="L1196" i="8"/>
  <c r="M1196" i="8"/>
  <c r="K1197" i="8"/>
  <c r="L1197" i="8"/>
  <c r="M1197" i="8"/>
  <c r="K1198" i="8"/>
  <c r="L1198" i="8"/>
  <c r="M1198" i="8"/>
  <c r="K1199" i="8"/>
  <c r="L1199" i="8"/>
  <c r="M1199" i="8"/>
  <c r="K1200" i="8"/>
  <c r="L1200" i="8"/>
  <c r="M1200" i="8"/>
  <c r="K1201" i="8"/>
  <c r="L1201" i="8"/>
  <c r="M1201" i="8"/>
  <c r="K1202" i="8"/>
  <c r="L1202" i="8"/>
  <c r="M1202" i="8"/>
  <c r="K1203" i="8"/>
  <c r="L1203" i="8"/>
  <c r="M1203" i="8"/>
  <c r="K1204" i="8"/>
  <c r="L1204" i="8"/>
  <c r="M1204" i="8"/>
  <c r="K1205" i="8"/>
  <c r="L1205" i="8"/>
  <c r="M1205" i="8"/>
  <c r="K1206" i="8"/>
  <c r="L1206" i="8"/>
  <c r="M1206" i="8"/>
  <c r="K1207" i="8"/>
  <c r="L1207" i="8"/>
  <c r="M1207" i="8"/>
  <c r="K1208" i="8"/>
  <c r="L1208" i="8"/>
  <c r="M1208" i="8"/>
  <c r="K1209" i="8"/>
  <c r="L1209" i="8"/>
  <c r="M1209" i="8"/>
  <c r="K1210" i="8"/>
  <c r="L1210" i="8"/>
  <c r="M1210" i="8"/>
  <c r="K1211" i="8"/>
  <c r="M1211" i="8"/>
  <c r="P10" i="8"/>
  <c r="B132" i="8"/>
  <c r="B133" i="8"/>
  <c r="B134" i="8"/>
  <c r="B135" i="8"/>
  <c r="B136" i="8"/>
  <c r="B137" i="8"/>
  <c r="B138" i="8"/>
  <c r="B139" i="8"/>
  <c r="B140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B141" i="8"/>
  <c r="V110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X110" i="4"/>
  <c r="V111" i="4"/>
  <c r="W111" i="4"/>
  <c r="X111" i="4"/>
  <c r="V112" i="4"/>
  <c r="W112" i="4"/>
  <c r="X112" i="4"/>
  <c r="V113" i="4"/>
  <c r="W113" i="4"/>
  <c r="X113" i="4"/>
  <c r="V114" i="4"/>
  <c r="W114" i="4"/>
  <c r="X114" i="4"/>
  <c r="V115" i="4"/>
  <c r="W115" i="4"/>
  <c r="X115" i="4"/>
  <c r="V116" i="4"/>
  <c r="W116" i="4"/>
  <c r="X116" i="4"/>
  <c r="V117" i="4"/>
  <c r="W117" i="4"/>
  <c r="X117" i="4"/>
  <c r="V118" i="4"/>
  <c r="W118" i="4"/>
  <c r="X118" i="4"/>
  <c r="V119" i="4"/>
  <c r="W119" i="4"/>
  <c r="X119" i="4"/>
  <c r="V120" i="4"/>
  <c r="W120" i="4"/>
  <c r="X120" i="4"/>
  <c r="V121" i="4"/>
  <c r="W121" i="4"/>
  <c r="X121" i="4"/>
  <c r="V122" i="4"/>
  <c r="W122" i="4"/>
  <c r="X122" i="4"/>
  <c r="V123" i="4"/>
  <c r="W123" i="4"/>
  <c r="X123" i="4"/>
  <c r="V124" i="4"/>
  <c r="W124" i="4"/>
  <c r="X124" i="4"/>
  <c r="V125" i="4"/>
  <c r="W125" i="4"/>
  <c r="X125" i="4"/>
  <c r="V126" i="4"/>
  <c r="W126" i="4"/>
  <c r="X126" i="4"/>
  <c r="V127" i="4"/>
  <c r="W127" i="4"/>
  <c r="X127" i="4"/>
  <c r="V128" i="4"/>
  <c r="W128" i="4"/>
  <c r="X128" i="4"/>
  <c r="V129" i="4"/>
  <c r="W129" i="4"/>
  <c r="X129" i="4"/>
  <c r="V130" i="4"/>
  <c r="W130" i="4"/>
  <c r="X130" i="4"/>
  <c r="V131" i="4"/>
  <c r="W131" i="4"/>
  <c r="X131" i="4"/>
  <c r="V132" i="4"/>
  <c r="W132" i="4"/>
  <c r="X132" i="4"/>
  <c r="V133" i="4"/>
  <c r="W133" i="4"/>
  <c r="X133" i="4"/>
  <c r="V134" i="4"/>
  <c r="W134" i="4"/>
  <c r="X134" i="4"/>
  <c r="V135" i="4"/>
  <c r="W135" i="4"/>
  <c r="X135" i="4"/>
  <c r="V136" i="4"/>
  <c r="W136" i="4"/>
  <c r="X136" i="4"/>
  <c r="V137" i="4"/>
  <c r="W137" i="4"/>
  <c r="X137" i="4"/>
  <c r="V138" i="4"/>
  <c r="W138" i="4"/>
  <c r="X138" i="4"/>
  <c r="V139" i="4"/>
  <c r="W139" i="4"/>
  <c r="X139" i="4"/>
  <c r="V140" i="4"/>
  <c r="W140" i="4"/>
  <c r="X140" i="4"/>
  <c r="V141" i="4"/>
  <c r="W141" i="4"/>
  <c r="X141" i="4"/>
  <c r="V142" i="4"/>
  <c r="W142" i="4"/>
  <c r="X142" i="4"/>
  <c r="V143" i="4"/>
  <c r="W143" i="4"/>
  <c r="X143" i="4"/>
  <c r="V144" i="4"/>
  <c r="W144" i="4"/>
  <c r="X144" i="4"/>
  <c r="V145" i="4"/>
  <c r="W145" i="4"/>
  <c r="X145" i="4"/>
  <c r="V146" i="4"/>
  <c r="W146" i="4"/>
  <c r="X146" i="4"/>
  <c r="V147" i="4"/>
  <c r="W147" i="4"/>
  <c r="X147" i="4"/>
  <c r="V148" i="4"/>
  <c r="W148" i="4"/>
  <c r="X148" i="4"/>
  <c r="V149" i="4"/>
  <c r="W149" i="4"/>
  <c r="X149" i="4"/>
  <c r="V150" i="4"/>
  <c r="W150" i="4"/>
  <c r="X150" i="4"/>
  <c r="V151" i="4"/>
  <c r="W151" i="4"/>
  <c r="X151" i="4"/>
  <c r="V152" i="4"/>
  <c r="W152" i="4"/>
  <c r="X152" i="4"/>
  <c r="V153" i="4"/>
  <c r="W153" i="4"/>
  <c r="X153" i="4"/>
  <c r="V154" i="4"/>
  <c r="W154" i="4"/>
  <c r="X154" i="4"/>
  <c r="V155" i="4"/>
  <c r="W155" i="4"/>
  <c r="X155" i="4"/>
  <c r="V156" i="4"/>
  <c r="W156" i="4"/>
  <c r="X156" i="4"/>
  <c r="V157" i="4"/>
  <c r="W157" i="4"/>
  <c r="X157" i="4"/>
  <c r="V158" i="4"/>
  <c r="W158" i="4"/>
  <c r="X158" i="4"/>
  <c r="V159" i="4"/>
  <c r="W159" i="4"/>
  <c r="X159" i="4"/>
  <c r="V160" i="4"/>
  <c r="W160" i="4"/>
  <c r="X160" i="4"/>
  <c r="V161" i="4"/>
  <c r="W161" i="4"/>
  <c r="X161" i="4"/>
  <c r="V162" i="4"/>
  <c r="W162" i="4"/>
  <c r="X162" i="4"/>
  <c r="V163" i="4"/>
  <c r="W163" i="4"/>
  <c r="X163" i="4"/>
  <c r="V164" i="4"/>
  <c r="W164" i="4"/>
  <c r="X164" i="4"/>
  <c r="V165" i="4"/>
  <c r="W165" i="4"/>
  <c r="X165" i="4"/>
  <c r="V166" i="4"/>
  <c r="W166" i="4"/>
  <c r="X166" i="4"/>
  <c r="V167" i="4"/>
  <c r="W167" i="4"/>
  <c r="X167" i="4"/>
  <c r="V168" i="4"/>
  <c r="W168" i="4"/>
  <c r="X168" i="4"/>
  <c r="V169" i="4"/>
  <c r="W169" i="4"/>
  <c r="X169" i="4"/>
  <c r="V170" i="4"/>
  <c r="W170" i="4"/>
  <c r="X170" i="4"/>
  <c r="V171" i="4"/>
  <c r="W171" i="4"/>
  <c r="X171" i="4"/>
  <c r="V172" i="4"/>
  <c r="W172" i="4"/>
  <c r="X172" i="4"/>
  <c r="V173" i="4"/>
  <c r="W173" i="4"/>
  <c r="X173" i="4"/>
  <c r="V174" i="4"/>
  <c r="W174" i="4"/>
  <c r="X174" i="4"/>
  <c r="V175" i="4"/>
  <c r="W175" i="4"/>
  <c r="X175" i="4"/>
  <c r="V176" i="4"/>
  <c r="W176" i="4"/>
  <c r="X176" i="4"/>
  <c r="V177" i="4"/>
  <c r="W177" i="4"/>
  <c r="X177" i="4"/>
  <c r="V178" i="4"/>
  <c r="W178" i="4"/>
  <c r="X178" i="4"/>
  <c r="V179" i="4"/>
  <c r="W179" i="4"/>
  <c r="X179" i="4"/>
  <c r="V180" i="4"/>
  <c r="W180" i="4"/>
  <c r="X180" i="4"/>
  <c r="V181" i="4"/>
  <c r="W181" i="4"/>
  <c r="X181" i="4"/>
  <c r="V182" i="4"/>
  <c r="W182" i="4"/>
  <c r="X182" i="4"/>
  <c r="V183" i="4"/>
  <c r="W183" i="4"/>
  <c r="X183" i="4"/>
  <c r="V184" i="4"/>
  <c r="W184" i="4"/>
  <c r="X184" i="4"/>
  <c r="V185" i="4"/>
  <c r="W185" i="4"/>
  <c r="X185" i="4"/>
  <c r="V186" i="4"/>
  <c r="W186" i="4"/>
  <c r="X186" i="4"/>
  <c r="V187" i="4"/>
  <c r="W187" i="4"/>
  <c r="X187" i="4"/>
  <c r="V188" i="4"/>
  <c r="W188" i="4"/>
  <c r="X188" i="4"/>
  <c r="V189" i="4"/>
  <c r="W189" i="4"/>
  <c r="X189" i="4"/>
  <c r="V190" i="4"/>
  <c r="W190" i="4"/>
  <c r="X190" i="4"/>
  <c r="V191" i="4"/>
  <c r="W191" i="4"/>
  <c r="X191" i="4"/>
  <c r="V192" i="4"/>
  <c r="W192" i="4"/>
  <c r="X192" i="4"/>
  <c r="V193" i="4"/>
  <c r="W193" i="4"/>
  <c r="X193" i="4"/>
  <c r="V194" i="4"/>
  <c r="W194" i="4"/>
  <c r="X194" i="4"/>
  <c r="V195" i="4"/>
  <c r="W195" i="4"/>
  <c r="X195" i="4"/>
  <c r="V196" i="4"/>
  <c r="W196" i="4"/>
  <c r="X196" i="4"/>
  <c r="V197" i="4"/>
  <c r="W197" i="4"/>
  <c r="X197" i="4"/>
  <c r="V198" i="4"/>
  <c r="W198" i="4"/>
  <c r="X198" i="4"/>
  <c r="V199" i="4"/>
  <c r="W199" i="4"/>
  <c r="X199" i="4"/>
  <c r="V200" i="4"/>
  <c r="W200" i="4"/>
  <c r="X200" i="4"/>
  <c r="V201" i="4"/>
  <c r="W201" i="4"/>
  <c r="X201" i="4"/>
  <c r="V202" i="4"/>
  <c r="W202" i="4"/>
  <c r="X202" i="4"/>
  <c r="V203" i="4"/>
  <c r="W203" i="4"/>
  <c r="X203" i="4"/>
  <c r="V204" i="4"/>
  <c r="W204" i="4"/>
  <c r="X204" i="4"/>
  <c r="V205" i="4"/>
  <c r="W205" i="4"/>
  <c r="X205" i="4"/>
  <c r="V206" i="4"/>
  <c r="W206" i="4"/>
  <c r="X206" i="4"/>
  <c r="V207" i="4"/>
  <c r="W207" i="4"/>
  <c r="X207" i="4"/>
  <c r="V208" i="4"/>
  <c r="W208" i="4"/>
  <c r="X208" i="4"/>
  <c r="V209" i="4"/>
  <c r="W209" i="4"/>
  <c r="X209" i="4"/>
  <c r="V210" i="4"/>
  <c r="W210" i="4"/>
  <c r="X210" i="4"/>
  <c r="V211" i="4"/>
  <c r="W211" i="4"/>
  <c r="X211" i="4"/>
  <c r="V212" i="4"/>
  <c r="W212" i="4"/>
  <c r="X212" i="4"/>
  <c r="V213" i="4"/>
  <c r="W213" i="4"/>
  <c r="X213" i="4"/>
  <c r="V214" i="4"/>
  <c r="W214" i="4"/>
  <c r="X214" i="4"/>
  <c r="V215" i="4"/>
  <c r="W215" i="4"/>
  <c r="X215" i="4"/>
  <c r="V216" i="4"/>
  <c r="W216" i="4"/>
  <c r="X216" i="4"/>
  <c r="V217" i="4"/>
  <c r="W217" i="4"/>
  <c r="X217" i="4"/>
  <c r="V218" i="4"/>
  <c r="W218" i="4"/>
  <c r="X218" i="4"/>
  <c r="V219" i="4"/>
  <c r="W219" i="4"/>
  <c r="X219" i="4"/>
  <c r="V220" i="4"/>
  <c r="W220" i="4"/>
  <c r="X220" i="4"/>
  <c r="V221" i="4"/>
  <c r="W221" i="4"/>
  <c r="X221" i="4"/>
  <c r="V222" i="4"/>
  <c r="W222" i="4"/>
  <c r="X222" i="4"/>
  <c r="V223" i="4"/>
  <c r="W223" i="4"/>
  <c r="X223" i="4"/>
  <c r="V224" i="4"/>
  <c r="W224" i="4"/>
  <c r="X224" i="4"/>
  <c r="V225" i="4"/>
  <c r="W225" i="4"/>
  <c r="X225" i="4"/>
  <c r="V226" i="4"/>
  <c r="W226" i="4"/>
  <c r="X226" i="4"/>
  <c r="V227" i="4"/>
  <c r="W227" i="4"/>
  <c r="X227" i="4"/>
  <c r="V228" i="4"/>
  <c r="W228" i="4"/>
  <c r="X228" i="4"/>
  <c r="V229" i="4"/>
  <c r="W229" i="4"/>
  <c r="X229" i="4"/>
  <c r="V230" i="4"/>
  <c r="W230" i="4"/>
  <c r="X230" i="4"/>
  <c r="V231" i="4"/>
  <c r="W231" i="4"/>
  <c r="X231" i="4"/>
  <c r="V232" i="4"/>
  <c r="W232" i="4"/>
  <c r="X232" i="4"/>
  <c r="V233" i="4"/>
  <c r="W233" i="4"/>
  <c r="X233" i="4"/>
  <c r="V234" i="4"/>
  <c r="W234" i="4"/>
  <c r="X234" i="4"/>
  <c r="V235" i="4"/>
  <c r="W235" i="4"/>
  <c r="X235" i="4"/>
  <c r="V236" i="4"/>
  <c r="W236" i="4"/>
  <c r="X236" i="4"/>
  <c r="V237" i="4"/>
  <c r="W237" i="4"/>
  <c r="X237" i="4"/>
  <c r="V238" i="4"/>
  <c r="W238" i="4"/>
  <c r="X238" i="4"/>
  <c r="V239" i="4"/>
  <c r="W239" i="4"/>
  <c r="X239" i="4"/>
  <c r="V240" i="4"/>
  <c r="W240" i="4"/>
  <c r="X240" i="4"/>
  <c r="V241" i="4"/>
  <c r="W241" i="4"/>
  <c r="X241" i="4"/>
  <c r="V242" i="4"/>
  <c r="W242" i="4"/>
  <c r="X242" i="4"/>
  <c r="V243" i="4"/>
  <c r="W243" i="4"/>
  <c r="X243" i="4"/>
  <c r="V244" i="4"/>
  <c r="W244" i="4"/>
  <c r="X244" i="4"/>
  <c r="V245" i="4"/>
  <c r="W245" i="4"/>
  <c r="X245" i="4"/>
  <c r="V246" i="4"/>
  <c r="W246" i="4"/>
  <c r="X246" i="4"/>
  <c r="V247" i="4"/>
  <c r="W247" i="4"/>
  <c r="X247" i="4"/>
  <c r="V248" i="4"/>
  <c r="W248" i="4"/>
  <c r="X248" i="4"/>
  <c r="V249" i="4"/>
  <c r="W249" i="4"/>
  <c r="X249" i="4"/>
  <c r="V250" i="4"/>
  <c r="W250" i="4"/>
  <c r="X250" i="4"/>
  <c r="V251" i="4"/>
  <c r="W251" i="4"/>
  <c r="X251" i="4"/>
  <c r="V252" i="4"/>
  <c r="W252" i="4"/>
  <c r="X252" i="4"/>
  <c r="V253" i="4"/>
  <c r="W253" i="4"/>
  <c r="X253" i="4"/>
  <c r="V254" i="4"/>
  <c r="W254" i="4"/>
  <c r="X254" i="4"/>
  <c r="V255" i="4"/>
  <c r="W255" i="4"/>
  <c r="X255" i="4"/>
  <c r="V256" i="4"/>
  <c r="W256" i="4"/>
  <c r="X256" i="4"/>
  <c r="V257" i="4"/>
  <c r="W257" i="4"/>
  <c r="X257" i="4"/>
  <c r="V258" i="4"/>
  <c r="W258" i="4"/>
  <c r="X258" i="4"/>
  <c r="V259" i="4"/>
  <c r="W259" i="4"/>
  <c r="X259" i="4"/>
  <c r="V260" i="4"/>
  <c r="W260" i="4"/>
  <c r="X260" i="4"/>
  <c r="V261" i="4"/>
  <c r="W261" i="4"/>
  <c r="X261" i="4"/>
  <c r="V262" i="4"/>
  <c r="W262" i="4"/>
  <c r="X262" i="4"/>
  <c r="V263" i="4"/>
  <c r="W263" i="4"/>
  <c r="X263" i="4"/>
  <c r="V264" i="4"/>
  <c r="W264" i="4"/>
  <c r="X264" i="4"/>
  <c r="V265" i="4"/>
  <c r="W265" i="4"/>
  <c r="X265" i="4"/>
  <c r="V266" i="4"/>
  <c r="W266" i="4"/>
  <c r="X266" i="4"/>
  <c r="V267" i="4"/>
  <c r="W267" i="4"/>
  <c r="X267" i="4"/>
  <c r="V268" i="4"/>
  <c r="W268" i="4"/>
  <c r="X268" i="4"/>
  <c r="V269" i="4"/>
  <c r="W269" i="4"/>
  <c r="X269" i="4"/>
  <c r="V270" i="4"/>
  <c r="W270" i="4"/>
  <c r="X270" i="4"/>
  <c r="V271" i="4"/>
  <c r="W271" i="4"/>
  <c r="X271" i="4"/>
  <c r="V272" i="4"/>
  <c r="W272" i="4"/>
  <c r="X272" i="4"/>
  <c r="V273" i="4"/>
  <c r="W273" i="4"/>
  <c r="X273" i="4"/>
  <c r="V274" i="4"/>
  <c r="W274" i="4"/>
  <c r="X274" i="4"/>
  <c r="V275" i="4"/>
  <c r="W275" i="4"/>
  <c r="X275" i="4"/>
  <c r="V276" i="4"/>
  <c r="W276" i="4"/>
  <c r="X276" i="4"/>
  <c r="V277" i="4"/>
  <c r="W277" i="4"/>
  <c r="X277" i="4"/>
  <c r="V278" i="4"/>
  <c r="W278" i="4"/>
  <c r="X278" i="4"/>
  <c r="V279" i="4"/>
  <c r="W279" i="4"/>
  <c r="X279" i="4"/>
  <c r="V280" i="4"/>
  <c r="W280" i="4"/>
  <c r="X280" i="4"/>
  <c r="V281" i="4"/>
  <c r="W281" i="4"/>
  <c r="X281" i="4"/>
  <c r="V282" i="4"/>
  <c r="W282" i="4"/>
  <c r="X282" i="4"/>
  <c r="V283" i="4"/>
  <c r="W283" i="4"/>
  <c r="X283" i="4"/>
  <c r="V284" i="4"/>
  <c r="W284" i="4"/>
  <c r="X284" i="4"/>
  <c r="V285" i="4"/>
  <c r="W285" i="4"/>
  <c r="X285" i="4"/>
  <c r="V286" i="4"/>
  <c r="W286" i="4"/>
  <c r="X286" i="4"/>
  <c r="V287" i="4"/>
  <c r="W287" i="4"/>
  <c r="X287" i="4"/>
  <c r="V288" i="4"/>
  <c r="W288" i="4"/>
  <c r="X288" i="4"/>
  <c r="V289" i="4"/>
  <c r="W289" i="4"/>
  <c r="X289" i="4"/>
  <c r="V290" i="4"/>
  <c r="W290" i="4"/>
  <c r="X290" i="4"/>
  <c r="V291" i="4"/>
  <c r="W291" i="4"/>
  <c r="X291" i="4"/>
  <c r="V292" i="4"/>
  <c r="W292" i="4"/>
  <c r="X292" i="4"/>
  <c r="V293" i="4"/>
  <c r="W293" i="4"/>
  <c r="X293" i="4"/>
  <c r="V294" i="4"/>
  <c r="W294" i="4"/>
  <c r="X294" i="4"/>
  <c r="V295" i="4"/>
  <c r="W295" i="4"/>
  <c r="X295" i="4"/>
  <c r="V296" i="4"/>
  <c r="W296" i="4"/>
  <c r="X296" i="4"/>
  <c r="V297" i="4"/>
  <c r="W297" i="4"/>
  <c r="X297" i="4"/>
  <c r="V298" i="4"/>
  <c r="W298" i="4"/>
  <c r="X298" i="4"/>
  <c r="V299" i="4"/>
  <c r="W299" i="4"/>
  <c r="X299" i="4"/>
  <c r="V300" i="4"/>
  <c r="W300" i="4"/>
  <c r="X300" i="4"/>
  <c r="V301" i="4"/>
  <c r="W301" i="4"/>
  <c r="X301" i="4"/>
  <c r="V302" i="4"/>
  <c r="W302" i="4"/>
  <c r="X302" i="4"/>
  <c r="V303" i="4"/>
  <c r="W303" i="4"/>
  <c r="X303" i="4"/>
  <c r="V304" i="4"/>
  <c r="W304" i="4"/>
  <c r="X304" i="4"/>
  <c r="V305" i="4"/>
  <c r="W305" i="4"/>
  <c r="X305" i="4"/>
  <c r="V306" i="4"/>
  <c r="W306" i="4"/>
  <c r="X306" i="4"/>
  <c r="V307" i="4"/>
  <c r="W307" i="4"/>
  <c r="X307" i="4"/>
  <c r="V308" i="4"/>
  <c r="W308" i="4"/>
  <c r="X308" i="4"/>
  <c r="V309" i="4"/>
  <c r="W309" i="4"/>
  <c r="X309" i="4"/>
  <c r="V310" i="4"/>
  <c r="W310" i="4"/>
  <c r="X310" i="4"/>
  <c r="V311" i="4"/>
  <c r="W311" i="4"/>
  <c r="X311" i="4"/>
  <c r="V312" i="4"/>
  <c r="W312" i="4"/>
  <c r="X312" i="4"/>
  <c r="V313" i="4"/>
  <c r="W313" i="4"/>
  <c r="X313" i="4"/>
  <c r="V314" i="4"/>
  <c r="W314" i="4"/>
  <c r="X314" i="4"/>
  <c r="V315" i="4"/>
  <c r="W315" i="4"/>
  <c r="X315" i="4"/>
  <c r="V316" i="4"/>
  <c r="W316" i="4"/>
  <c r="X316" i="4"/>
  <c r="V317" i="4"/>
  <c r="W317" i="4"/>
  <c r="X317" i="4"/>
  <c r="V318" i="4"/>
  <c r="W318" i="4"/>
  <c r="X318" i="4"/>
  <c r="V319" i="4"/>
  <c r="W319" i="4"/>
  <c r="X319" i="4"/>
  <c r="V320" i="4"/>
  <c r="W320" i="4"/>
  <c r="X320" i="4"/>
  <c r="V321" i="4"/>
  <c r="W321" i="4"/>
  <c r="X321" i="4"/>
  <c r="V322" i="4"/>
  <c r="W322" i="4"/>
  <c r="X322" i="4"/>
  <c r="V323" i="4"/>
  <c r="W323" i="4"/>
  <c r="X323" i="4"/>
  <c r="V324" i="4"/>
  <c r="W324" i="4"/>
  <c r="X324" i="4"/>
  <c r="V325" i="4"/>
  <c r="W325" i="4"/>
  <c r="X325" i="4"/>
  <c r="V326" i="4"/>
  <c r="W326" i="4"/>
  <c r="X326" i="4"/>
  <c r="V327" i="4"/>
  <c r="W327" i="4"/>
  <c r="X327" i="4"/>
  <c r="V328" i="4"/>
  <c r="W328" i="4"/>
  <c r="X328" i="4"/>
  <c r="V329" i="4"/>
  <c r="W329" i="4"/>
  <c r="X329" i="4"/>
  <c r="V330" i="4"/>
  <c r="W330" i="4"/>
  <c r="X330" i="4"/>
  <c r="V331" i="4"/>
  <c r="W331" i="4"/>
  <c r="X331" i="4"/>
  <c r="V332" i="4"/>
  <c r="W332" i="4"/>
  <c r="X332" i="4"/>
  <c r="V333" i="4"/>
  <c r="W333" i="4"/>
  <c r="X333" i="4"/>
  <c r="V334" i="4"/>
  <c r="W334" i="4"/>
  <c r="X334" i="4"/>
  <c r="V335" i="4"/>
  <c r="W335" i="4"/>
  <c r="X335" i="4"/>
  <c r="V336" i="4"/>
  <c r="W336" i="4"/>
  <c r="X336" i="4"/>
  <c r="V337" i="4"/>
  <c r="W337" i="4"/>
  <c r="X337" i="4"/>
  <c r="V338" i="4"/>
  <c r="W338" i="4"/>
  <c r="X338" i="4"/>
  <c r="V339" i="4"/>
  <c r="W339" i="4"/>
  <c r="X339" i="4"/>
  <c r="V340" i="4"/>
  <c r="W340" i="4"/>
  <c r="X340" i="4"/>
  <c r="V341" i="4"/>
  <c r="W341" i="4"/>
  <c r="X341" i="4"/>
  <c r="V342" i="4"/>
  <c r="W342" i="4"/>
  <c r="X342" i="4"/>
  <c r="V343" i="4"/>
  <c r="W343" i="4"/>
  <c r="X343" i="4"/>
  <c r="V344" i="4"/>
  <c r="W344" i="4"/>
  <c r="X344" i="4"/>
  <c r="V345" i="4"/>
  <c r="W345" i="4"/>
  <c r="X345" i="4"/>
  <c r="V346" i="4"/>
  <c r="W346" i="4"/>
  <c r="X346" i="4"/>
  <c r="V347" i="4"/>
  <c r="W347" i="4"/>
  <c r="X347" i="4"/>
  <c r="V348" i="4"/>
  <c r="W348" i="4"/>
  <c r="X348" i="4"/>
  <c r="V349" i="4"/>
  <c r="W349" i="4"/>
  <c r="X349" i="4"/>
  <c r="V350" i="4"/>
  <c r="W350" i="4"/>
  <c r="X350" i="4"/>
  <c r="V351" i="4"/>
  <c r="W351" i="4"/>
  <c r="X351" i="4"/>
  <c r="V352" i="4"/>
  <c r="W352" i="4"/>
  <c r="X352" i="4"/>
  <c r="V353" i="4"/>
  <c r="W353" i="4"/>
  <c r="X353" i="4"/>
  <c r="V354" i="4"/>
  <c r="W354" i="4"/>
  <c r="X354" i="4"/>
  <c r="V355" i="4"/>
  <c r="W355" i="4"/>
  <c r="X355" i="4"/>
  <c r="V356" i="4"/>
  <c r="W356" i="4"/>
  <c r="X356" i="4"/>
  <c r="V357" i="4"/>
  <c r="W357" i="4"/>
  <c r="X357" i="4"/>
  <c r="V358" i="4"/>
  <c r="W358" i="4"/>
  <c r="X358" i="4"/>
  <c r="V359" i="4"/>
  <c r="W359" i="4"/>
  <c r="X359" i="4"/>
  <c r="V360" i="4"/>
  <c r="W360" i="4"/>
  <c r="X360" i="4"/>
  <c r="V361" i="4"/>
  <c r="W361" i="4"/>
  <c r="X361" i="4"/>
  <c r="V362" i="4"/>
  <c r="W362" i="4"/>
  <c r="X362" i="4"/>
  <c r="V363" i="4"/>
  <c r="W363" i="4"/>
  <c r="X363" i="4"/>
  <c r="V364" i="4"/>
  <c r="W364" i="4"/>
  <c r="X364" i="4"/>
  <c r="V365" i="4"/>
  <c r="W365" i="4"/>
  <c r="X365" i="4"/>
  <c r="V366" i="4"/>
  <c r="W366" i="4"/>
  <c r="X366" i="4"/>
  <c r="V367" i="4"/>
  <c r="W367" i="4"/>
  <c r="X367" i="4"/>
  <c r="V368" i="4"/>
  <c r="W368" i="4"/>
  <c r="X368" i="4"/>
  <c r="V369" i="4"/>
  <c r="W369" i="4"/>
  <c r="X369" i="4"/>
  <c r="V370" i="4"/>
  <c r="W370" i="4"/>
  <c r="X370" i="4"/>
  <c r="V371" i="4"/>
  <c r="W371" i="4"/>
  <c r="X371" i="4"/>
  <c r="V372" i="4"/>
  <c r="W372" i="4"/>
  <c r="X372" i="4"/>
  <c r="V373" i="4"/>
  <c r="W373" i="4"/>
  <c r="X373" i="4"/>
  <c r="V374" i="4"/>
  <c r="W374" i="4"/>
  <c r="X374" i="4"/>
  <c r="V375" i="4"/>
  <c r="W375" i="4"/>
  <c r="X375" i="4"/>
  <c r="V376" i="4"/>
  <c r="W376" i="4"/>
  <c r="X376" i="4"/>
  <c r="V377" i="4"/>
  <c r="W377" i="4"/>
  <c r="X377" i="4"/>
  <c r="V378" i="4"/>
  <c r="W378" i="4"/>
  <c r="X378" i="4"/>
  <c r="V379" i="4"/>
  <c r="W379" i="4"/>
  <c r="X379" i="4"/>
  <c r="V380" i="4"/>
  <c r="W380" i="4"/>
  <c r="X380" i="4"/>
  <c r="V381" i="4"/>
  <c r="W381" i="4"/>
  <c r="X381" i="4"/>
  <c r="V382" i="4"/>
  <c r="W382" i="4"/>
  <c r="X382" i="4"/>
  <c r="V383" i="4"/>
  <c r="W383" i="4"/>
  <c r="X383" i="4"/>
  <c r="V384" i="4"/>
  <c r="W384" i="4"/>
  <c r="X384" i="4"/>
  <c r="V385" i="4"/>
  <c r="W385" i="4"/>
  <c r="X385" i="4"/>
  <c r="V386" i="4"/>
  <c r="W386" i="4"/>
  <c r="X386" i="4"/>
  <c r="V387" i="4"/>
  <c r="W387" i="4"/>
  <c r="X387" i="4"/>
  <c r="V388" i="4"/>
  <c r="W388" i="4"/>
  <c r="X388" i="4"/>
  <c r="V389" i="4"/>
  <c r="W389" i="4"/>
  <c r="X389" i="4"/>
  <c r="V390" i="4"/>
  <c r="W390" i="4"/>
  <c r="X390" i="4"/>
  <c r="V391" i="4"/>
  <c r="W391" i="4"/>
  <c r="X391" i="4"/>
  <c r="V392" i="4"/>
  <c r="W392" i="4"/>
  <c r="X392" i="4"/>
  <c r="V393" i="4"/>
  <c r="W393" i="4"/>
  <c r="X393" i="4"/>
  <c r="V394" i="4"/>
  <c r="W394" i="4"/>
  <c r="X394" i="4"/>
  <c r="V395" i="4"/>
  <c r="W395" i="4"/>
  <c r="X395" i="4"/>
  <c r="V396" i="4"/>
  <c r="W396" i="4"/>
  <c r="X396" i="4"/>
  <c r="V397" i="4"/>
  <c r="W397" i="4"/>
  <c r="X397" i="4"/>
  <c r="V398" i="4"/>
  <c r="W398" i="4"/>
  <c r="X398" i="4"/>
  <c r="V399" i="4"/>
  <c r="W399" i="4"/>
  <c r="X399" i="4"/>
  <c r="V400" i="4"/>
  <c r="W400" i="4"/>
  <c r="X400" i="4"/>
  <c r="V401" i="4"/>
  <c r="W401" i="4"/>
  <c r="X401" i="4"/>
  <c r="V402" i="4"/>
  <c r="W402" i="4"/>
  <c r="X402" i="4"/>
  <c r="V403" i="4"/>
  <c r="W403" i="4"/>
  <c r="X403" i="4"/>
  <c r="V404" i="4"/>
  <c r="W404" i="4"/>
  <c r="X404" i="4"/>
  <c r="V405" i="4"/>
  <c r="W405" i="4"/>
  <c r="X405" i="4"/>
  <c r="V406" i="4"/>
  <c r="W406" i="4"/>
  <c r="X406" i="4"/>
  <c r="V407" i="4"/>
  <c r="W407" i="4"/>
  <c r="X407" i="4"/>
  <c r="V408" i="4"/>
  <c r="W408" i="4"/>
  <c r="X408" i="4"/>
  <c r="V409" i="4"/>
  <c r="W409" i="4"/>
  <c r="X409" i="4"/>
  <c r="V410" i="4"/>
  <c r="W410" i="4"/>
  <c r="X410" i="4"/>
  <c r="V411" i="4"/>
  <c r="W411" i="4"/>
  <c r="X411" i="4"/>
  <c r="V412" i="4"/>
  <c r="W412" i="4"/>
  <c r="X412" i="4"/>
  <c r="V413" i="4"/>
  <c r="W413" i="4"/>
  <c r="X413" i="4"/>
  <c r="V414" i="4"/>
  <c r="W414" i="4"/>
  <c r="X414" i="4"/>
  <c r="V415" i="4"/>
  <c r="W415" i="4"/>
  <c r="X415" i="4"/>
  <c r="V416" i="4"/>
  <c r="W416" i="4"/>
  <c r="X416" i="4"/>
  <c r="V417" i="4"/>
  <c r="W417" i="4"/>
  <c r="X417" i="4"/>
  <c r="V418" i="4"/>
  <c r="W418" i="4"/>
  <c r="X418" i="4"/>
  <c r="V419" i="4"/>
  <c r="W419" i="4"/>
  <c r="X419" i="4"/>
  <c r="V420" i="4"/>
  <c r="W420" i="4"/>
  <c r="X420" i="4"/>
  <c r="V421" i="4"/>
  <c r="W421" i="4"/>
  <c r="X421" i="4"/>
  <c r="V422" i="4"/>
  <c r="W422" i="4"/>
  <c r="X422" i="4"/>
  <c r="V423" i="4"/>
  <c r="W423" i="4"/>
  <c r="X423" i="4"/>
  <c r="V424" i="4"/>
  <c r="W424" i="4"/>
  <c r="X424" i="4"/>
  <c r="V425" i="4"/>
  <c r="W425" i="4"/>
  <c r="X425" i="4"/>
  <c r="V426" i="4"/>
  <c r="W426" i="4"/>
  <c r="X426" i="4"/>
  <c r="V427" i="4"/>
  <c r="W427" i="4"/>
  <c r="X427" i="4"/>
  <c r="V428" i="4"/>
  <c r="W428" i="4"/>
  <c r="X428" i="4"/>
  <c r="V429" i="4"/>
  <c r="W429" i="4"/>
  <c r="X429" i="4"/>
  <c r="V430" i="4"/>
  <c r="W430" i="4"/>
  <c r="X430" i="4"/>
  <c r="V431" i="4"/>
  <c r="W431" i="4"/>
  <c r="X431" i="4"/>
  <c r="V432" i="4"/>
  <c r="W432" i="4"/>
  <c r="X432" i="4"/>
  <c r="V433" i="4"/>
  <c r="W433" i="4"/>
  <c r="X433" i="4"/>
  <c r="V434" i="4"/>
  <c r="W434" i="4"/>
  <c r="X434" i="4"/>
  <c r="V435" i="4"/>
  <c r="W435" i="4"/>
  <c r="X435" i="4"/>
  <c r="V436" i="4"/>
  <c r="W436" i="4"/>
  <c r="X436" i="4"/>
  <c r="V437" i="4"/>
  <c r="W437" i="4"/>
  <c r="X437" i="4"/>
  <c r="V438" i="4"/>
  <c r="W438" i="4"/>
  <c r="X438" i="4"/>
  <c r="V439" i="4"/>
  <c r="W439" i="4"/>
  <c r="X439" i="4"/>
  <c r="V440" i="4"/>
  <c r="W440" i="4"/>
  <c r="X440" i="4"/>
  <c r="V441" i="4"/>
  <c r="W441" i="4"/>
  <c r="X441" i="4"/>
  <c r="V442" i="4"/>
  <c r="W442" i="4"/>
  <c r="X442" i="4"/>
  <c r="V443" i="4"/>
  <c r="W443" i="4"/>
  <c r="X443" i="4"/>
  <c r="V444" i="4"/>
  <c r="W444" i="4"/>
  <c r="X444" i="4"/>
  <c r="V445" i="4"/>
  <c r="W445" i="4"/>
  <c r="X445" i="4"/>
  <c r="V446" i="4"/>
  <c r="W446" i="4"/>
  <c r="X446" i="4"/>
  <c r="V447" i="4"/>
  <c r="W447" i="4"/>
  <c r="X447" i="4"/>
  <c r="V448" i="4"/>
  <c r="W448" i="4"/>
  <c r="X448" i="4"/>
  <c r="V449" i="4"/>
  <c r="W449" i="4"/>
  <c r="X449" i="4"/>
  <c r="V450" i="4"/>
  <c r="W450" i="4"/>
  <c r="X450" i="4"/>
  <c r="V451" i="4"/>
  <c r="W451" i="4"/>
  <c r="X451" i="4"/>
  <c r="V452" i="4"/>
  <c r="W452" i="4"/>
  <c r="X452" i="4"/>
  <c r="V453" i="4"/>
  <c r="W453" i="4"/>
  <c r="X453" i="4"/>
  <c r="V454" i="4"/>
  <c r="W454" i="4"/>
  <c r="X454" i="4"/>
  <c r="V455" i="4"/>
  <c r="W455" i="4"/>
  <c r="X455" i="4"/>
  <c r="V456" i="4"/>
  <c r="W456" i="4"/>
  <c r="X456" i="4"/>
  <c r="V457" i="4"/>
  <c r="W457" i="4"/>
  <c r="X457" i="4"/>
  <c r="V458" i="4"/>
  <c r="W458" i="4"/>
  <c r="X458" i="4"/>
  <c r="V459" i="4"/>
  <c r="W459" i="4"/>
  <c r="X459" i="4"/>
  <c r="V460" i="4"/>
  <c r="W460" i="4"/>
  <c r="X460" i="4"/>
  <c r="V461" i="4"/>
  <c r="W461" i="4"/>
  <c r="X461" i="4"/>
  <c r="V462" i="4"/>
  <c r="W462" i="4"/>
  <c r="X462" i="4"/>
  <c r="V463" i="4"/>
  <c r="W463" i="4"/>
  <c r="X463" i="4"/>
  <c r="V464" i="4"/>
  <c r="W464" i="4"/>
  <c r="X464" i="4"/>
  <c r="V465" i="4"/>
  <c r="W465" i="4"/>
  <c r="X465" i="4"/>
  <c r="V466" i="4"/>
  <c r="W466" i="4"/>
  <c r="X466" i="4"/>
  <c r="V467" i="4"/>
  <c r="W467" i="4"/>
  <c r="X467" i="4"/>
  <c r="V468" i="4"/>
  <c r="W468" i="4"/>
  <c r="X468" i="4"/>
  <c r="V469" i="4"/>
  <c r="W469" i="4"/>
  <c r="X469" i="4"/>
  <c r="V470" i="4"/>
  <c r="W470" i="4"/>
  <c r="X470" i="4"/>
  <c r="V471" i="4"/>
  <c r="W471" i="4"/>
  <c r="X471" i="4"/>
  <c r="V472" i="4"/>
  <c r="W472" i="4"/>
  <c r="X472" i="4"/>
  <c r="V473" i="4"/>
  <c r="W473" i="4"/>
  <c r="X473" i="4"/>
  <c r="V474" i="4"/>
  <c r="W474" i="4"/>
  <c r="X474" i="4"/>
  <c r="V475" i="4"/>
  <c r="W475" i="4"/>
  <c r="X475" i="4"/>
  <c r="V476" i="4"/>
  <c r="W476" i="4"/>
  <c r="X476" i="4"/>
  <c r="V477" i="4"/>
  <c r="W477" i="4"/>
  <c r="X477" i="4"/>
  <c r="V478" i="4"/>
  <c r="W478" i="4"/>
  <c r="X478" i="4"/>
  <c r="V479" i="4"/>
  <c r="W479" i="4"/>
  <c r="X479" i="4"/>
  <c r="V480" i="4"/>
  <c r="W480" i="4"/>
  <c r="X480" i="4"/>
  <c r="V481" i="4"/>
  <c r="W481" i="4"/>
  <c r="X481" i="4"/>
  <c r="V482" i="4"/>
  <c r="W482" i="4"/>
  <c r="X482" i="4"/>
  <c r="V483" i="4"/>
  <c r="W483" i="4"/>
  <c r="X483" i="4"/>
  <c r="V484" i="4"/>
  <c r="W484" i="4"/>
  <c r="X484" i="4"/>
  <c r="V485" i="4"/>
  <c r="W485" i="4"/>
  <c r="X485" i="4"/>
  <c r="V486" i="4"/>
  <c r="W486" i="4"/>
  <c r="X486" i="4"/>
  <c r="V487" i="4"/>
  <c r="W487" i="4"/>
  <c r="X487" i="4"/>
  <c r="V488" i="4"/>
  <c r="W488" i="4"/>
  <c r="X488" i="4"/>
  <c r="V489" i="4"/>
  <c r="W489" i="4"/>
  <c r="X489" i="4"/>
  <c r="V490" i="4"/>
  <c r="W490" i="4"/>
  <c r="X490" i="4"/>
  <c r="V491" i="4"/>
  <c r="W491" i="4"/>
  <c r="X491" i="4"/>
  <c r="V492" i="4"/>
  <c r="W492" i="4"/>
  <c r="X492" i="4"/>
  <c r="V493" i="4"/>
  <c r="W493" i="4"/>
  <c r="X493" i="4"/>
  <c r="V494" i="4"/>
  <c r="W494" i="4"/>
  <c r="X494" i="4"/>
  <c r="V495" i="4"/>
  <c r="W495" i="4"/>
  <c r="X495" i="4"/>
  <c r="V496" i="4"/>
  <c r="W496" i="4"/>
  <c r="X496" i="4"/>
  <c r="V497" i="4"/>
  <c r="W497" i="4"/>
  <c r="X497" i="4"/>
  <c r="V498" i="4"/>
  <c r="W498" i="4"/>
  <c r="X498" i="4"/>
  <c r="V499" i="4"/>
  <c r="W499" i="4"/>
  <c r="X499" i="4"/>
  <c r="V500" i="4"/>
  <c r="W500" i="4"/>
  <c r="X500" i="4"/>
  <c r="V501" i="4"/>
  <c r="W501" i="4"/>
  <c r="X501" i="4"/>
  <c r="V502" i="4"/>
  <c r="W502" i="4"/>
  <c r="X502" i="4"/>
  <c r="V503" i="4"/>
  <c r="W503" i="4"/>
  <c r="X503" i="4"/>
  <c r="V504" i="4"/>
  <c r="W504" i="4"/>
  <c r="X504" i="4"/>
  <c r="V505" i="4"/>
  <c r="W505" i="4"/>
  <c r="X505" i="4"/>
  <c r="V506" i="4"/>
  <c r="W506" i="4"/>
  <c r="X506" i="4"/>
  <c r="V507" i="4"/>
  <c r="W507" i="4"/>
  <c r="X507" i="4"/>
  <c r="V508" i="4"/>
  <c r="W508" i="4"/>
  <c r="X508" i="4"/>
  <c r="V509" i="4"/>
  <c r="W509" i="4"/>
  <c r="X509" i="4"/>
  <c r="V510" i="4"/>
  <c r="W510" i="4"/>
  <c r="X510" i="4"/>
  <c r="V511" i="4"/>
  <c r="W511" i="4"/>
  <c r="X511" i="4"/>
  <c r="V512" i="4"/>
  <c r="W512" i="4"/>
  <c r="X512" i="4"/>
  <c r="V513" i="4"/>
  <c r="W513" i="4"/>
  <c r="X513" i="4"/>
  <c r="V514" i="4"/>
  <c r="W514" i="4"/>
  <c r="X514" i="4"/>
  <c r="V515" i="4"/>
  <c r="W515" i="4"/>
  <c r="X515" i="4"/>
  <c r="V516" i="4"/>
  <c r="W516" i="4"/>
  <c r="X516" i="4"/>
  <c r="V517" i="4"/>
  <c r="W517" i="4"/>
  <c r="X517" i="4"/>
  <c r="V518" i="4"/>
  <c r="W518" i="4"/>
  <c r="X518" i="4"/>
  <c r="V519" i="4"/>
  <c r="W519" i="4"/>
  <c r="X519" i="4"/>
  <c r="V520" i="4"/>
  <c r="W520" i="4"/>
  <c r="X520" i="4"/>
  <c r="V521" i="4"/>
  <c r="W521" i="4"/>
  <c r="X521" i="4"/>
  <c r="V522" i="4"/>
  <c r="W522" i="4"/>
  <c r="X522" i="4"/>
  <c r="V523" i="4"/>
  <c r="W523" i="4"/>
  <c r="X523" i="4"/>
  <c r="V524" i="4"/>
  <c r="W524" i="4"/>
  <c r="X524" i="4"/>
  <c r="V525" i="4"/>
  <c r="W525" i="4"/>
  <c r="X525" i="4"/>
  <c r="V526" i="4"/>
  <c r="W526" i="4"/>
  <c r="X526" i="4"/>
  <c r="V527" i="4"/>
  <c r="W527" i="4"/>
  <c r="X527" i="4"/>
  <c r="V528" i="4"/>
  <c r="W528" i="4"/>
  <c r="X528" i="4"/>
  <c r="V529" i="4"/>
  <c r="W529" i="4"/>
  <c r="X529" i="4"/>
  <c r="V530" i="4"/>
  <c r="W530" i="4"/>
  <c r="X530" i="4"/>
  <c r="V531" i="4"/>
  <c r="W531" i="4"/>
  <c r="X531" i="4"/>
  <c r="V532" i="4"/>
  <c r="W532" i="4"/>
  <c r="X532" i="4"/>
  <c r="V533" i="4"/>
  <c r="W533" i="4"/>
  <c r="X533" i="4"/>
  <c r="V534" i="4"/>
  <c r="W534" i="4"/>
  <c r="X534" i="4"/>
  <c r="V535" i="4"/>
  <c r="W535" i="4"/>
  <c r="X535" i="4"/>
  <c r="V536" i="4"/>
  <c r="W536" i="4"/>
  <c r="X536" i="4"/>
  <c r="V537" i="4"/>
  <c r="W537" i="4"/>
  <c r="X537" i="4"/>
  <c r="V538" i="4"/>
  <c r="W538" i="4"/>
  <c r="X538" i="4"/>
  <c r="V539" i="4"/>
  <c r="W539" i="4"/>
  <c r="X539" i="4"/>
  <c r="V540" i="4"/>
  <c r="W540" i="4"/>
  <c r="X540" i="4"/>
  <c r="V541" i="4"/>
  <c r="W541" i="4"/>
  <c r="X541" i="4"/>
  <c r="V542" i="4"/>
  <c r="W542" i="4"/>
  <c r="X542" i="4"/>
  <c r="V543" i="4"/>
  <c r="W543" i="4"/>
  <c r="X543" i="4"/>
  <c r="V544" i="4"/>
  <c r="W544" i="4"/>
  <c r="X544" i="4"/>
  <c r="V545" i="4"/>
  <c r="W545" i="4"/>
  <c r="X545" i="4"/>
  <c r="V546" i="4"/>
  <c r="W546" i="4"/>
  <c r="X546" i="4"/>
  <c r="V547" i="4"/>
  <c r="W547" i="4"/>
  <c r="X547" i="4"/>
  <c r="V548" i="4"/>
  <c r="W548" i="4"/>
  <c r="X548" i="4"/>
  <c r="V549" i="4"/>
  <c r="W549" i="4"/>
  <c r="X549" i="4"/>
  <c r="V550" i="4"/>
  <c r="W550" i="4"/>
  <c r="X550" i="4"/>
  <c r="V551" i="4"/>
  <c r="W551" i="4"/>
  <c r="X551" i="4"/>
  <c r="V552" i="4"/>
  <c r="W552" i="4"/>
  <c r="X552" i="4"/>
  <c r="V553" i="4"/>
  <c r="W553" i="4"/>
  <c r="X553" i="4"/>
  <c r="V554" i="4"/>
  <c r="W554" i="4"/>
  <c r="X554" i="4"/>
  <c r="V555" i="4"/>
  <c r="W555" i="4"/>
  <c r="X555" i="4"/>
  <c r="V556" i="4"/>
  <c r="W556" i="4"/>
  <c r="X556" i="4"/>
  <c r="V557" i="4"/>
  <c r="W557" i="4"/>
  <c r="X557" i="4"/>
  <c r="V558" i="4"/>
  <c r="W558" i="4"/>
  <c r="X558" i="4"/>
  <c r="V559" i="4"/>
  <c r="W559" i="4"/>
  <c r="X559" i="4"/>
  <c r="V560" i="4"/>
  <c r="W560" i="4"/>
  <c r="X560" i="4"/>
  <c r="V561" i="4"/>
  <c r="W561" i="4"/>
  <c r="X561" i="4"/>
  <c r="V562" i="4"/>
  <c r="W562" i="4"/>
  <c r="X562" i="4"/>
  <c r="V563" i="4"/>
  <c r="W563" i="4"/>
  <c r="X563" i="4"/>
  <c r="V564" i="4"/>
  <c r="W564" i="4"/>
  <c r="X564" i="4"/>
  <c r="V565" i="4"/>
  <c r="W565" i="4"/>
  <c r="X565" i="4"/>
  <c r="V566" i="4"/>
  <c r="W566" i="4"/>
  <c r="X566" i="4"/>
  <c r="V567" i="4"/>
  <c r="W567" i="4"/>
  <c r="X567" i="4"/>
  <c r="V568" i="4"/>
  <c r="W568" i="4"/>
  <c r="X568" i="4"/>
  <c r="V569" i="4"/>
  <c r="W569" i="4"/>
  <c r="X569" i="4"/>
  <c r="V570" i="4"/>
  <c r="W570" i="4"/>
  <c r="X570" i="4"/>
  <c r="V571" i="4"/>
  <c r="W571" i="4"/>
  <c r="X571" i="4"/>
  <c r="V572" i="4"/>
  <c r="W572" i="4"/>
  <c r="X572" i="4"/>
  <c r="V573" i="4"/>
  <c r="W573" i="4"/>
  <c r="X573" i="4"/>
  <c r="V574" i="4"/>
  <c r="W574" i="4"/>
  <c r="X574" i="4"/>
  <c r="V575" i="4"/>
  <c r="W575" i="4"/>
  <c r="X575" i="4"/>
  <c r="V576" i="4"/>
  <c r="W576" i="4"/>
  <c r="X576" i="4"/>
  <c r="V577" i="4"/>
  <c r="W577" i="4"/>
  <c r="X577" i="4"/>
  <c r="V578" i="4"/>
  <c r="W578" i="4"/>
  <c r="X578" i="4"/>
  <c r="V579" i="4"/>
  <c r="W579" i="4"/>
  <c r="X579" i="4"/>
  <c r="V580" i="4"/>
  <c r="W580" i="4"/>
  <c r="X580" i="4"/>
  <c r="V581" i="4"/>
  <c r="W581" i="4"/>
  <c r="X581" i="4"/>
  <c r="V582" i="4"/>
  <c r="W582" i="4"/>
  <c r="X582" i="4"/>
  <c r="V583" i="4"/>
  <c r="W583" i="4"/>
  <c r="X583" i="4"/>
  <c r="V584" i="4"/>
  <c r="W584" i="4"/>
  <c r="X584" i="4"/>
  <c r="V585" i="4"/>
  <c r="W585" i="4"/>
  <c r="X585" i="4"/>
  <c r="V586" i="4"/>
  <c r="W586" i="4"/>
  <c r="X586" i="4"/>
  <c r="V587" i="4"/>
  <c r="W587" i="4"/>
  <c r="X587" i="4"/>
  <c r="V588" i="4"/>
  <c r="W588" i="4"/>
  <c r="X588" i="4"/>
  <c r="V589" i="4"/>
  <c r="W589" i="4"/>
  <c r="X589" i="4"/>
  <c r="V590" i="4"/>
  <c r="W590" i="4"/>
  <c r="X590" i="4"/>
  <c r="V591" i="4"/>
  <c r="W591" i="4"/>
  <c r="X591" i="4"/>
  <c r="V592" i="4"/>
  <c r="W592" i="4"/>
  <c r="X592" i="4"/>
  <c r="V593" i="4"/>
  <c r="W593" i="4"/>
  <c r="X593" i="4"/>
  <c r="V594" i="4"/>
  <c r="W594" i="4"/>
  <c r="X594" i="4"/>
  <c r="V595" i="4"/>
  <c r="W595" i="4"/>
  <c r="X595" i="4"/>
  <c r="V596" i="4"/>
  <c r="W596" i="4"/>
  <c r="X596" i="4"/>
  <c r="V597" i="4"/>
  <c r="W597" i="4"/>
  <c r="X597" i="4"/>
  <c r="V598" i="4"/>
  <c r="W598" i="4"/>
  <c r="X598" i="4"/>
  <c r="V599" i="4"/>
  <c r="W599" i="4"/>
  <c r="X599" i="4"/>
  <c r="V600" i="4"/>
  <c r="W600" i="4"/>
  <c r="X600" i="4"/>
  <c r="V601" i="4"/>
  <c r="W601" i="4"/>
  <c r="X601" i="4"/>
  <c r="V602" i="4"/>
  <c r="W602" i="4"/>
  <c r="X602" i="4"/>
  <c r="V603" i="4"/>
  <c r="W603" i="4"/>
  <c r="X603" i="4"/>
  <c r="V604" i="4"/>
  <c r="W604" i="4"/>
  <c r="X604" i="4"/>
  <c r="V605" i="4"/>
  <c r="W605" i="4"/>
  <c r="X605" i="4"/>
  <c r="V606" i="4"/>
  <c r="W606" i="4"/>
  <c r="X606" i="4"/>
  <c r="V607" i="4"/>
  <c r="W607" i="4"/>
  <c r="X607" i="4"/>
  <c r="V608" i="4"/>
  <c r="W608" i="4"/>
  <c r="X608" i="4"/>
  <c r="V609" i="4"/>
  <c r="W609" i="4"/>
  <c r="X609" i="4"/>
  <c r="V610" i="4"/>
  <c r="W610" i="4"/>
  <c r="X610" i="4"/>
  <c r="V611" i="4"/>
  <c r="W611" i="4"/>
  <c r="X611" i="4"/>
  <c r="V612" i="4"/>
  <c r="W612" i="4"/>
  <c r="X612" i="4"/>
  <c r="V613" i="4"/>
  <c r="W613" i="4"/>
  <c r="X613" i="4"/>
  <c r="V614" i="4"/>
  <c r="W614" i="4"/>
  <c r="X614" i="4"/>
  <c r="V615" i="4"/>
  <c r="W615" i="4"/>
  <c r="X615" i="4"/>
  <c r="V616" i="4"/>
  <c r="W616" i="4"/>
  <c r="X616" i="4"/>
  <c r="V617" i="4"/>
  <c r="W617" i="4"/>
  <c r="X617" i="4"/>
  <c r="V618" i="4"/>
  <c r="W618" i="4"/>
  <c r="X618" i="4"/>
  <c r="V619" i="4"/>
  <c r="W619" i="4"/>
  <c r="X619" i="4"/>
  <c r="V620" i="4"/>
  <c r="W620" i="4"/>
  <c r="X620" i="4"/>
  <c r="V621" i="4"/>
  <c r="W621" i="4"/>
  <c r="X621" i="4"/>
  <c r="V622" i="4"/>
  <c r="W622" i="4"/>
  <c r="X622" i="4"/>
  <c r="V623" i="4"/>
  <c r="W623" i="4"/>
  <c r="X623" i="4"/>
  <c r="V624" i="4"/>
  <c r="W624" i="4"/>
  <c r="X624" i="4"/>
  <c r="V625" i="4"/>
  <c r="W625" i="4"/>
  <c r="X625" i="4"/>
  <c r="V626" i="4"/>
  <c r="W626" i="4"/>
  <c r="X626" i="4"/>
  <c r="V627" i="4"/>
  <c r="W627" i="4"/>
  <c r="X627" i="4"/>
  <c r="V628" i="4"/>
  <c r="W628" i="4"/>
  <c r="X628" i="4"/>
  <c r="V629" i="4"/>
  <c r="W629" i="4"/>
  <c r="X629" i="4"/>
  <c r="V630" i="4"/>
  <c r="W630" i="4"/>
  <c r="X630" i="4"/>
  <c r="V631" i="4"/>
  <c r="W631" i="4"/>
  <c r="X631" i="4"/>
  <c r="V632" i="4"/>
  <c r="W632" i="4"/>
  <c r="X632" i="4"/>
  <c r="V633" i="4"/>
  <c r="W633" i="4"/>
  <c r="X633" i="4"/>
  <c r="V634" i="4"/>
  <c r="W634" i="4"/>
  <c r="X634" i="4"/>
  <c r="V635" i="4"/>
  <c r="W635" i="4"/>
  <c r="X635" i="4"/>
  <c r="V636" i="4"/>
  <c r="W636" i="4"/>
  <c r="X636" i="4"/>
  <c r="V637" i="4"/>
  <c r="W637" i="4"/>
  <c r="X637" i="4"/>
  <c r="V638" i="4"/>
  <c r="W638" i="4"/>
  <c r="X638" i="4"/>
  <c r="V639" i="4"/>
  <c r="W639" i="4"/>
  <c r="X639" i="4"/>
  <c r="V640" i="4"/>
  <c r="W640" i="4"/>
  <c r="X640" i="4"/>
  <c r="V641" i="4"/>
  <c r="W641" i="4"/>
  <c r="X641" i="4"/>
  <c r="V642" i="4"/>
  <c r="W642" i="4"/>
  <c r="X642" i="4"/>
  <c r="V643" i="4"/>
  <c r="W643" i="4"/>
  <c r="X643" i="4"/>
  <c r="V644" i="4"/>
  <c r="W644" i="4"/>
  <c r="X644" i="4"/>
  <c r="V645" i="4"/>
  <c r="W645" i="4"/>
  <c r="X645" i="4"/>
  <c r="V646" i="4"/>
  <c r="W646" i="4"/>
  <c r="X646" i="4"/>
  <c r="V647" i="4"/>
  <c r="W647" i="4"/>
  <c r="X647" i="4"/>
  <c r="V648" i="4"/>
  <c r="W648" i="4"/>
  <c r="X648" i="4"/>
  <c r="V649" i="4"/>
  <c r="W649" i="4"/>
  <c r="X649" i="4"/>
  <c r="V650" i="4"/>
  <c r="W650" i="4"/>
  <c r="X650" i="4"/>
  <c r="V651" i="4"/>
  <c r="W651" i="4"/>
  <c r="X651" i="4"/>
  <c r="V652" i="4"/>
  <c r="W652" i="4"/>
  <c r="X652" i="4"/>
  <c r="V653" i="4"/>
  <c r="W653" i="4"/>
  <c r="X653" i="4"/>
  <c r="V654" i="4"/>
  <c r="W654" i="4"/>
  <c r="X654" i="4"/>
  <c r="V655" i="4"/>
  <c r="W655" i="4"/>
  <c r="X655" i="4"/>
  <c r="V656" i="4"/>
  <c r="W656" i="4"/>
  <c r="X656" i="4"/>
  <c r="V657" i="4"/>
  <c r="W657" i="4"/>
  <c r="X657" i="4"/>
  <c r="V658" i="4"/>
  <c r="W658" i="4"/>
  <c r="X658" i="4"/>
  <c r="V659" i="4"/>
  <c r="W659" i="4"/>
  <c r="X659" i="4"/>
  <c r="V660" i="4"/>
  <c r="W660" i="4"/>
  <c r="X660" i="4"/>
  <c r="V661" i="4"/>
  <c r="W661" i="4"/>
  <c r="X661" i="4"/>
  <c r="V662" i="4"/>
  <c r="W662" i="4"/>
  <c r="X662" i="4"/>
  <c r="V663" i="4"/>
  <c r="W663" i="4"/>
  <c r="X663" i="4"/>
  <c r="V664" i="4"/>
  <c r="W664" i="4"/>
  <c r="X664" i="4"/>
  <c r="V665" i="4"/>
  <c r="W665" i="4"/>
  <c r="X665" i="4"/>
  <c r="V666" i="4"/>
  <c r="W666" i="4"/>
  <c r="X666" i="4"/>
  <c r="V667" i="4"/>
  <c r="W667" i="4"/>
  <c r="X667" i="4"/>
  <c r="V668" i="4"/>
  <c r="W668" i="4"/>
  <c r="X668" i="4"/>
  <c r="V669" i="4"/>
  <c r="W669" i="4"/>
  <c r="X669" i="4"/>
  <c r="V670" i="4"/>
  <c r="W670" i="4"/>
  <c r="X670" i="4"/>
  <c r="V671" i="4"/>
  <c r="W671" i="4"/>
  <c r="X671" i="4"/>
  <c r="V672" i="4"/>
  <c r="W672" i="4"/>
  <c r="X672" i="4"/>
  <c r="V673" i="4"/>
  <c r="W673" i="4"/>
  <c r="X673" i="4"/>
  <c r="V674" i="4"/>
  <c r="W674" i="4"/>
  <c r="X674" i="4"/>
  <c r="V675" i="4"/>
  <c r="W675" i="4"/>
  <c r="X675" i="4"/>
  <c r="V676" i="4"/>
  <c r="W676" i="4"/>
  <c r="X676" i="4"/>
  <c r="V677" i="4"/>
  <c r="W677" i="4"/>
  <c r="X677" i="4"/>
  <c r="V678" i="4"/>
  <c r="W678" i="4"/>
  <c r="X678" i="4"/>
  <c r="V679" i="4"/>
  <c r="W679" i="4"/>
  <c r="X679" i="4"/>
  <c r="V680" i="4"/>
  <c r="W680" i="4"/>
  <c r="X680" i="4"/>
  <c r="V681" i="4"/>
  <c r="W681" i="4"/>
  <c r="X681" i="4"/>
  <c r="V682" i="4"/>
  <c r="W682" i="4"/>
  <c r="X682" i="4"/>
  <c r="V683" i="4"/>
  <c r="W683" i="4"/>
  <c r="X683" i="4"/>
  <c r="V684" i="4"/>
  <c r="W684" i="4"/>
  <c r="X684" i="4"/>
  <c r="V685" i="4"/>
  <c r="W685" i="4"/>
  <c r="X685" i="4"/>
  <c r="V686" i="4"/>
  <c r="W686" i="4"/>
  <c r="X686" i="4"/>
  <c r="V687" i="4"/>
  <c r="W687" i="4"/>
  <c r="X687" i="4"/>
  <c r="V688" i="4"/>
  <c r="W688" i="4"/>
  <c r="X688" i="4"/>
  <c r="V689" i="4"/>
  <c r="W689" i="4"/>
  <c r="X689" i="4"/>
  <c r="V690" i="4"/>
  <c r="W690" i="4"/>
  <c r="X690" i="4"/>
  <c r="V691" i="4"/>
  <c r="W691" i="4"/>
  <c r="X691" i="4"/>
  <c r="V692" i="4"/>
  <c r="W692" i="4"/>
  <c r="X692" i="4"/>
  <c r="V693" i="4"/>
  <c r="W693" i="4"/>
  <c r="X693" i="4"/>
  <c r="V694" i="4"/>
  <c r="W694" i="4"/>
  <c r="X694" i="4"/>
  <c r="V695" i="4"/>
  <c r="W695" i="4"/>
  <c r="X695" i="4"/>
  <c r="V696" i="4"/>
  <c r="W696" i="4"/>
  <c r="X696" i="4"/>
  <c r="V697" i="4"/>
  <c r="W697" i="4"/>
  <c r="X697" i="4"/>
  <c r="V698" i="4"/>
  <c r="W698" i="4"/>
  <c r="X698" i="4"/>
  <c r="V699" i="4"/>
  <c r="W699" i="4"/>
  <c r="X699" i="4"/>
  <c r="V700" i="4"/>
  <c r="W700" i="4"/>
  <c r="X700" i="4"/>
  <c r="V701" i="4"/>
  <c r="W701" i="4"/>
  <c r="X701" i="4"/>
  <c r="V702" i="4"/>
  <c r="W702" i="4"/>
  <c r="X702" i="4"/>
  <c r="V703" i="4"/>
  <c r="W703" i="4"/>
  <c r="X703" i="4"/>
  <c r="V704" i="4"/>
  <c r="W704" i="4"/>
  <c r="X704" i="4"/>
  <c r="V705" i="4"/>
  <c r="W705" i="4"/>
  <c r="X705" i="4"/>
  <c r="V706" i="4"/>
  <c r="W706" i="4"/>
  <c r="X706" i="4"/>
  <c r="V707" i="4"/>
  <c r="W707" i="4"/>
  <c r="X707" i="4"/>
  <c r="V708" i="4"/>
  <c r="W708" i="4"/>
  <c r="X708" i="4"/>
  <c r="V709" i="4"/>
  <c r="W709" i="4"/>
  <c r="X709" i="4"/>
  <c r="V710" i="4"/>
  <c r="W710" i="4"/>
  <c r="X710" i="4"/>
  <c r="V711" i="4"/>
  <c r="W711" i="4"/>
  <c r="X711" i="4"/>
  <c r="V712" i="4"/>
  <c r="W712" i="4"/>
  <c r="X712" i="4"/>
  <c r="V713" i="4"/>
  <c r="W713" i="4"/>
  <c r="X713" i="4"/>
  <c r="V714" i="4"/>
  <c r="W714" i="4"/>
  <c r="X714" i="4"/>
  <c r="V715" i="4"/>
  <c r="W715" i="4"/>
  <c r="X715" i="4"/>
  <c r="V716" i="4"/>
  <c r="W716" i="4"/>
  <c r="X716" i="4"/>
  <c r="V717" i="4"/>
  <c r="W717" i="4"/>
  <c r="X717" i="4"/>
  <c r="V718" i="4"/>
  <c r="W718" i="4"/>
  <c r="X718" i="4"/>
  <c r="V719" i="4"/>
  <c r="W719" i="4"/>
  <c r="X719" i="4"/>
  <c r="V720" i="4"/>
  <c r="W720" i="4"/>
  <c r="X720" i="4"/>
  <c r="V721" i="4"/>
  <c r="W721" i="4"/>
  <c r="X721" i="4"/>
  <c r="V722" i="4"/>
  <c r="W722" i="4"/>
  <c r="X722" i="4"/>
  <c r="V723" i="4"/>
  <c r="W723" i="4"/>
  <c r="X723" i="4"/>
  <c r="V724" i="4"/>
  <c r="W724" i="4"/>
  <c r="X724" i="4"/>
  <c r="V725" i="4"/>
  <c r="W725" i="4"/>
  <c r="X725" i="4"/>
  <c r="V726" i="4"/>
  <c r="W726" i="4"/>
  <c r="X726" i="4"/>
  <c r="V727" i="4"/>
  <c r="W727" i="4"/>
  <c r="X727" i="4"/>
  <c r="V728" i="4"/>
  <c r="W728" i="4"/>
  <c r="X728" i="4"/>
  <c r="V729" i="4"/>
  <c r="W729" i="4"/>
  <c r="X729" i="4"/>
  <c r="V730" i="4"/>
  <c r="W730" i="4"/>
  <c r="X730" i="4"/>
  <c r="V731" i="4"/>
  <c r="W731" i="4"/>
  <c r="X731" i="4"/>
  <c r="V732" i="4"/>
  <c r="W732" i="4"/>
  <c r="X732" i="4"/>
  <c r="V733" i="4"/>
  <c r="W733" i="4"/>
  <c r="X733" i="4"/>
  <c r="V734" i="4"/>
  <c r="W734" i="4"/>
  <c r="X734" i="4"/>
  <c r="V735" i="4"/>
  <c r="W735" i="4"/>
  <c r="X735" i="4"/>
  <c r="V736" i="4"/>
  <c r="W736" i="4"/>
  <c r="X736" i="4"/>
  <c r="V737" i="4"/>
  <c r="W737" i="4"/>
  <c r="X737" i="4"/>
  <c r="V738" i="4"/>
  <c r="W738" i="4"/>
  <c r="X738" i="4"/>
  <c r="V739" i="4"/>
  <c r="W739" i="4"/>
  <c r="X739" i="4"/>
  <c r="V740" i="4"/>
  <c r="W740" i="4"/>
  <c r="X740" i="4"/>
  <c r="V741" i="4"/>
  <c r="W741" i="4"/>
  <c r="X741" i="4"/>
  <c r="V742" i="4"/>
  <c r="W742" i="4"/>
  <c r="X742" i="4"/>
  <c r="V743" i="4"/>
  <c r="W743" i="4"/>
  <c r="X743" i="4"/>
  <c r="V744" i="4"/>
  <c r="W744" i="4"/>
  <c r="X744" i="4"/>
  <c r="V745" i="4"/>
  <c r="W745" i="4"/>
  <c r="X745" i="4"/>
  <c r="V746" i="4"/>
  <c r="W746" i="4"/>
  <c r="X746" i="4"/>
  <c r="V747" i="4"/>
  <c r="W747" i="4"/>
  <c r="X747" i="4"/>
  <c r="V748" i="4"/>
  <c r="W748" i="4"/>
  <c r="X748" i="4"/>
  <c r="V749" i="4"/>
  <c r="W749" i="4"/>
  <c r="X749" i="4"/>
  <c r="V750" i="4"/>
  <c r="W750" i="4"/>
  <c r="X750" i="4"/>
  <c r="V751" i="4"/>
  <c r="W751" i="4"/>
  <c r="X751" i="4"/>
  <c r="V752" i="4"/>
  <c r="W752" i="4"/>
  <c r="X752" i="4"/>
  <c r="V753" i="4"/>
  <c r="W753" i="4"/>
  <c r="X753" i="4"/>
  <c r="V754" i="4"/>
  <c r="W754" i="4"/>
  <c r="X754" i="4"/>
  <c r="V755" i="4"/>
  <c r="W755" i="4"/>
  <c r="X755" i="4"/>
  <c r="V756" i="4"/>
  <c r="W756" i="4"/>
  <c r="X756" i="4"/>
  <c r="V757" i="4"/>
  <c r="W757" i="4"/>
  <c r="X757" i="4"/>
  <c r="V758" i="4"/>
  <c r="W758" i="4"/>
  <c r="X758" i="4"/>
  <c r="V759" i="4"/>
  <c r="W759" i="4"/>
  <c r="X759" i="4"/>
  <c r="V760" i="4"/>
  <c r="W760" i="4"/>
  <c r="X760" i="4"/>
  <c r="V761" i="4"/>
  <c r="W761" i="4"/>
  <c r="X761" i="4"/>
  <c r="V762" i="4"/>
  <c r="W762" i="4"/>
  <c r="X762" i="4"/>
  <c r="V763" i="4"/>
  <c r="W763" i="4"/>
  <c r="X763" i="4"/>
  <c r="V764" i="4"/>
  <c r="W764" i="4"/>
  <c r="X764" i="4"/>
  <c r="V765" i="4"/>
  <c r="W765" i="4"/>
  <c r="X765" i="4"/>
  <c r="V766" i="4"/>
  <c r="W766" i="4"/>
  <c r="X766" i="4"/>
  <c r="V767" i="4"/>
  <c r="W767" i="4"/>
  <c r="X767" i="4"/>
  <c r="V768" i="4"/>
  <c r="W768" i="4"/>
  <c r="X768" i="4"/>
  <c r="V769" i="4"/>
  <c r="W769" i="4"/>
  <c r="X769" i="4"/>
  <c r="V770" i="4"/>
  <c r="W770" i="4"/>
  <c r="X770" i="4"/>
  <c r="V771" i="4"/>
  <c r="W771" i="4"/>
  <c r="X771" i="4"/>
  <c r="V772" i="4"/>
  <c r="W772" i="4"/>
  <c r="X772" i="4"/>
  <c r="V773" i="4"/>
  <c r="W773" i="4"/>
  <c r="X773" i="4"/>
  <c r="V774" i="4"/>
  <c r="W774" i="4"/>
  <c r="X774" i="4"/>
  <c r="V775" i="4"/>
  <c r="W775" i="4"/>
  <c r="X775" i="4"/>
  <c r="V776" i="4"/>
  <c r="W776" i="4"/>
  <c r="X776" i="4"/>
  <c r="V777" i="4"/>
  <c r="W777" i="4"/>
  <c r="X777" i="4"/>
  <c r="V778" i="4"/>
  <c r="W778" i="4"/>
  <c r="X778" i="4"/>
  <c r="V779" i="4"/>
  <c r="W779" i="4"/>
  <c r="X779" i="4"/>
  <c r="V780" i="4"/>
  <c r="W780" i="4"/>
  <c r="X780" i="4"/>
  <c r="V781" i="4"/>
  <c r="W781" i="4"/>
  <c r="X781" i="4"/>
  <c r="V782" i="4"/>
  <c r="W782" i="4"/>
  <c r="X782" i="4"/>
  <c r="V783" i="4"/>
  <c r="W783" i="4"/>
  <c r="X783" i="4"/>
  <c r="V784" i="4"/>
  <c r="W784" i="4"/>
  <c r="X784" i="4"/>
  <c r="V785" i="4"/>
  <c r="W785" i="4"/>
  <c r="X785" i="4"/>
  <c r="V786" i="4"/>
  <c r="W786" i="4"/>
  <c r="X786" i="4"/>
  <c r="V787" i="4"/>
  <c r="W787" i="4"/>
  <c r="X787" i="4"/>
  <c r="V788" i="4"/>
  <c r="W788" i="4"/>
  <c r="X788" i="4"/>
  <c r="V789" i="4"/>
  <c r="W789" i="4"/>
  <c r="X789" i="4"/>
  <c r="V790" i="4"/>
  <c r="W790" i="4"/>
  <c r="X790" i="4"/>
  <c r="V791" i="4"/>
  <c r="W791" i="4"/>
  <c r="X791" i="4"/>
  <c r="V792" i="4"/>
  <c r="W792" i="4"/>
  <c r="X792" i="4"/>
  <c r="V793" i="4"/>
  <c r="W793" i="4"/>
  <c r="X793" i="4"/>
  <c r="V794" i="4"/>
  <c r="W794" i="4"/>
  <c r="X794" i="4"/>
  <c r="V795" i="4"/>
  <c r="W795" i="4"/>
  <c r="X795" i="4"/>
  <c r="V796" i="4"/>
  <c r="W796" i="4"/>
  <c r="X796" i="4"/>
  <c r="V797" i="4"/>
  <c r="W797" i="4"/>
  <c r="X797" i="4"/>
  <c r="V798" i="4"/>
  <c r="W798" i="4"/>
  <c r="X798" i="4"/>
  <c r="V799" i="4"/>
  <c r="W799" i="4"/>
  <c r="X799" i="4"/>
  <c r="V800" i="4"/>
  <c r="W800" i="4"/>
  <c r="X800" i="4"/>
  <c r="V801" i="4"/>
  <c r="W801" i="4"/>
  <c r="X801" i="4"/>
  <c r="V802" i="4"/>
  <c r="W802" i="4"/>
  <c r="X802" i="4"/>
  <c r="V803" i="4"/>
  <c r="W803" i="4"/>
  <c r="X803" i="4"/>
  <c r="V804" i="4"/>
  <c r="W804" i="4"/>
  <c r="X804" i="4"/>
  <c r="V805" i="4"/>
  <c r="W805" i="4"/>
  <c r="X805" i="4"/>
  <c r="V806" i="4"/>
  <c r="W806" i="4"/>
  <c r="X806" i="4"/>
  <c r="V807" i="4"/>
  <c r="W807" i="4"/>
  <c r="X807" i="4"/>
  <c r="V808" i="4"/>
  <c r="W808" i="4"/>
  <c r="X808" i="4"/>
  <c r="V809" i="4"/>
  <c r="W809" i="4"/>
  <c r="X809" i="4"/>
  <c r="V810" i="4"/>
  <c r="W810" i="4"/>
  <c r="X810" i="4"/>
  <c r="V811" i="4"/>
  <c r="W811" i="4"/>
  <c r="X811" i="4"/>
  <c r="V812" i="4"/>
  <c r="W812" i="4"/>
  <c r="X812" i="4"/>
  <c r="V813" i="4"/>
  <c r="W813" i="4"/>
  <c r="X813" i="4"/>
  <c r="V814" i="4"/>
  <c r="W814" i="4"/>
  <c r="X814" i="4"/>
  <c r="V815" i="4"/>
  <c r="W815" i="4"/>
  <c r="X815" i="4"/>
  <c r="V816" i="4"/>
  <c r="W816" i="4"/>
  <c r="X816" i="4"/>
  <c r="V817" i="4"/>
  <c r="W817" i="4"/>
  <c r="X817" i="4"/>
  <c r="V818" i="4"/>
  <c r="W818" i="4"/>
  <c r="X818" i="4"/>
  <c r="V819" i="4"/>
  <c r="W819" i="4"/>
  <c r="X819" i="4"/>
  <c r="V820" i="4"/>
  <c r="W820" i="4"/>
  <c r="X820" i="4"/>
  <c r="V821" i="4"/>
  <c r="W821" i="4"/>
  <c r="X821" i="4"/>
  <c r="V822" i="4"/>
  <c r="W822" i="4"/>
  <c r="X822" i="4"/>
  <c r="V823" i="4"/>
  <c r="W823" i="4"/>
  <c r="X823" i="4"/>
  <c r="V824" i="4"/>
  <c r="W824" i="4"/>
  <c r="X824" i="4"/>
  <c r="V825" i="4"/>
  <c r="W825" i="4"/>
  <c r="X825" i="4"/>
  <c r="V826" i="4"/>
  <c r="W826" i="4"/>
  <c r="X826" i="4"/>
  <c r="V827" i="4"/>
  <c r="W827" i="4"/>
  <c r="X827" i="4"/>
  <c r="V828" i="4"/>
  <c r="W828" i="4"/>
  <c r="X828" i="4"/>
  <c r="V829" i="4"/>
  <c r="W829" i="4"/>
  <c r="X829" i="4"/>
  <c r="V830" i="4"/>
  <c r="W830" i="4"/>
  <c r="X830" i="4"/>
  <c r="V831" i="4"/>
  <c r="W831" i="4"/>
  <c r="X831" i="4"/>
  <c r="V832" i="4"/>
  <c r="W832" i="4"/>
  <c r="X832" i="4"/>
  <c r="V833" i="4"/>
  <c r="W833" i="4"/>
  <c r="X833" i="4"/>
  <c r="V834" i="4"/>
  <c r="W834" i="4"/>
  <c r="X834" i="4"/>
  <c r="V835" i="4"/>
  <c r="W835" i="4"/>
  <c r="X835" i="4"/>
  <c r="V836" i="4"/>
  <c r="W836" i="4"/>
  <c r="X836" i="4"/>
  <c r="V837" i="4"/>
  <c r="W837" i="4"/>
  <c r="X837" i="4"/>
  <c r="V838" i="4"/>
  <c r="W838" i="4"/>
  <c r="X838" i="4"/>
  <c r="V839" i="4"/>
  <c r="W839" i="4"/>
  <c r="X839" i="4"/>
  <c r="V840" i="4"/>
  <c r="W840" i="4"/>
  <c r="X840" i="4"/>
  <c r="V841" i="4"/>
  <c r="W841" i="4"/>
  <c r="X841" i="4"/>
  <c r="V842" i="4"/>
  <c r="W842" i="4"/>
  <c r="X842" i="4"/>
  <c r="V843" i="4"/>
  <c r="W843" i="4"/>
  <c r="X843" i="4"/>
  <c r="V844" i="4"/>
  <c r="W844" i="4"/>
  <c r="X844" i="4"/>
  <c r="V845" i="4"/>
  <c r="W845" i="4"/>
  <c r="X845" i="4"/>
  <c r="V846" i="4"/>
  <c r="W846" i="4"/>
  <c r="X846" i="4"/>
  <c r="V847" i="4"/>
  <c r="W847" i="4"/>
  <c r="X847" i="4"/>
  <c r="V848" i="4"/>
  <c r="W848" i="4"/>
  <c r="X848" i="4"/>
  <c r="V849" i="4"/>
  <c r="W849" i="4"/>
  <c r="X849" i="4"/>
  <c r="V850" i="4"/>
  <c r="W850" i="4"/>
  <c r="X850" i="4"/>
  <c r="V851" i="4"/>
  <c r="W851" i="4"/>
  <c r="X851" i="4"/>
  <c r="V852" i="4"/>
  <c r="W852" i="4"/>
  <c r="X852" i="4"/>
  <c r="V853" i="4"/>
  <c r="W853" i="4"/>
  <c r="X853" i="4"/>
  <c r="V854" i="4"/>
  <c r="W854" i="4"/>
  <c r="X854" i="4"/>
  <c r="V855" i="4"/>
  <c r="W855" i="4"/>
  <c r="X855" i="4"/>
  <c r="V856" i="4"/>
  <c r="W856" i="4"/>
  <c r="X856" i="4"/>
  <c r="V857" i="4"/>
  <c r="W857" i="4"/>
  <c r="X857" i="4"/>
  <c r="V858" i="4"/>
  <c r="W858" i="4"/>
  <c r="X858" i="4"/>
  <c r="V859" i="4"/>
  <c r="W859" i="4"/>
  <c r="X859" i="4"/>
  <c r="V860" i="4"/>
  <c r="W860" i="4"/>
  <c r="X860" i="4"/>
  <c r="V861" i="4"/>
  <c r="W861" i="4"/>
  <c r="X861" i="4"/>
  <c r="V862" i="4"/>
  <c r="W862" i="4"/>
  <c r="X862" i="4"/>
  <c r="V863" i="4"/>
  <c r="W863" i="4"/>
  <c r="X863" i="4"/>
  <c r="V864" i="4"/>
  <c r="W864" i="4"/>
  <c r="X864" i="4"/>
  <c r="V865" i="4"/>
  <c r="W865" i="4"/>
  <c r="X865" i="4"/>
  <c r="V866" i="4"/>
  <c r="W866" i="4"/>
  <c r="X866" i="4"/>
  <c r="V867" i="4"/>
  <c r="W867" i="4"/>
  <c r="X867" i="4"/>
  <c r="V868" i="4"/>
  <c r="W868" i="4"/>
  <c r="X868" i="4"/>
  <c r="V869" i="4"/>
  <c r="W869" i="4"/>
  <c r="X869" i="4"/>
  <c r="V870" i="4"/>
  <c r="W870" i="4"/>
  <c r="X870" i="4"/>
  <c r="V871" i="4"/>
  <c r="W871" i="4"/>
  <c r="X871" i="4"/>
  <c r="V872" i="4"/>
  <c r="W872" i="4"/>
  <c r="X872" i="4"/>
  <c r="V873" i="4"/>
  <c r="W873" i="4"/>
  <c r="X873" i="4"/>
  <c r="V874" i="4"/>
  <c r="W874" i="4"/>
  <c r="X874" i="4"/>
  <c r="V875" i="4"/>
  <c r="W875" i="4"/>
  <c r="X875" i="4"/>
  <c r="V876" i="4"/>
  <c r="W876" i="4"/>
  <c r="X876" i="4"/>
  <c r="V877" i="4"/>
  <c r="W877" i="4"/>
  <c r="X877" i="4"/>
  <c r="V878" i="4"/>
  <c r="W878" i="4"/>
  <c r="X878" i="4"/>
  <c r="V879" i="4"/>
  <c r="W879" i="4"/>
  <c r="X879" i="4"/>
  <c r="V880" i="4"/>
  <c r="W880" i="4"/>
  <c r="X880" i="4"/>
  <c r="V881" i="4"/>
  <c r="W881" i="4"/>
  <c r="X881" i="4"/>
  <c r="V882" i="4"/>
  <c r="W882" i="4"/>
  <c r="X882" i="4"/>
  <c r="V883" i="4"/>
  <c r="W883" i="4"/>
  <c r="X883" i="4"/>
  <c r="V884" i="4"/>
  <c r="W884" i="4"/>
  <c r="X884" i="4"/>
  <c r="V885" i="4"/>
  <c r="W885" i="4"/>
  <c r="X885" i="4"/>
  <c r="V886" i="4"/>
  <c r="W886" i="4"/>
  <c r="X886" i="4"/>
  <c r="V887" i="4"/>
  <c r="W887" i="4"/>
  <c r="X887" i="4"/>
  <c r="V888" i="4"/>
  <c r="W888" i="4"/>
  <c r="X888" i="4"/>
  <c r="V889" i="4"/>
  <c r="W889" i="4"/>
  <c r="X889" i="4"/>
  <c r="V890" i="4"/>
  <c r="W890" i="4"/>
  <c r="X890" i="4"/>
  <c r="V891" i="4"/>
  <c r="W891" i="4"/>
  <c r="X891" i="4"/>
  <c r="V892" i="4"/>
  <c r="W892" i="4"/>
  <c r="X892" i="4"/>
  <c r="V893" i="4"/>
  <c r="W893" i="4"/>
  <c r="X893" i="4"/>
  <c r="V894" i="4"/>
  <c r="W894" i="4"/>
  <c r="X894" i="4"/>
  <c r="V895" i="4"/>
  <c r="W895" i="4"/>
  <c r="X895" i="4"/>
  <c r="V896" i="4"/>
  <c r="W896" i="4"/>
  <c r="X896" i="4"/>
  <c r="V897" i="4"/>
  <c r="W897" i="4"/>
  <c r="X897" i="4"/>
  <c r="V898" i="4"/>
  <c r="W898" i="4"/>
  <c r="X898" i="4"/>
  <c r="V899" i="4"/>
  <c r="W899" i="4"/>
  <c r="X899" i="4"/>
  <c r="V900" i="4"/>
  <c r="W900" i="4"/>
  <c r="X900" i="4"/>
  <c r="V901" i="4"/>
  <c r="W901" i="4"/>
  <c r="X901" i="4"/>
  <c r="V902" i="4"/>
  <c r="W902" i="4"/>
  <c r="X902" i="4"/>
  <c r="V903" i="4"/>
  <c r="W903" i="4"/>
  <c r="X903" i="4"/>
  <c r="V904" i="4"/>
  <c r="W904" i="4"/>
  <c r="X904" i="4"/>
  <c r="V905" i="4"/>
  <c r="W905" i="4"/>
  <c r="X905" i="4"/>
  <c r="V906" i="4"/>
  <c r="W906" i="4"/>
  <c r="X906" i="4"/>
  <c r="V907" i="4"/>
  <c r="W907" i="4"/>
  <c r="X907" i="4"/>
  <c r="V908" i="4"/>
  <c r="W908" i="4"/>
  <c r="X908" i="4"/>
  <c r="V909" i="4"/>
  <c r="W909" i="4"/>
  <c r="X909" i="4"/>
  <c r="V910" i="4"/>
  <c r="W910" i="4"/>
  <c r="X910" i="4"/>
  <c r="V911" i="4"/>
  <c r="W911" i="4"/>
  <c r="X911" i="4"/>
  <c r="V912" i="4"/>
  <c r="W912" i="4"/>
  <c r="X912" i="4"/>
  <c r="V913" i="4"/>
  <c r="W913" i="4"/>
  <c r="X913" i="4"/>
  <c r="V914" i="4"/>
  <c r="W914" i="4"/>
  <c r="X914" i="4"/>
  <c r="V915" i="4"/>
  <c r="W915" i="4"/>
  <c r="X915" i="4"/>
  <c r="V916" i="4"/>
  <c r="W916" i="4"/>
  <c r="X916" i="4"/>
  <c r="V917" i="4"/>
  <c r="W917" i="4"/>
  <c r="X917" i="4"/>
  <c r="V918" i="4"/>
  <c r="W918" i="4"/>
  <c r="X918" i="4"/>
  <c r="V919" i="4"/>
  <c r="W919" i="4"/>
  <c r="X919" i="4"/>
  <c r="V920" i="4"/>
  <c r="W920" i="4"/>
  <c r="X920" i="4"/>
  <c r="V921" i="4"/>
  <c r="W921" i="4"/>
  <c r="X921" i="4"/>
  <c r="V922" i="4"/>
  <c r="W922" i="4"/>
  <c r="X922" i="4"/>
  <c r="V923" i="4"/>
  <c r="W923" i="4"/>
  <c r="X923" i="4"/>
  <c r="V924" i="4"/>
  <c r="W924" i="4"/>
  <c r="X924" i="4"/>
  <c r="V925" i="4"/>
  <c r="W925" i="4"/>
  <c r="X925" i="4"/>
  <c r="V926" i="4"/>
  <c r="W926" i="4"/>
  <c r="X926" i="4"/>
  <c r="V927" i="4"/>
  <c r="W927" i="4"/>
  <c r="X927" i="4"/>
  <c r="V928" i="4"/>
  <c r="W928" i="4"/>
  <c r="X928" i="4"/>
  <c r="V929" i="4"/>
  <c r="W929" i="4"/>
  <c r="X929" i="4"/>
  <c r="V930" i="4"/>
  <c r="W930" i="4"/>
  <c r="X930" i="4"/>
  <c r="V931" i="4"/>
  <c r="W931" i="4"/>
  <c r="X931" i="4"/>
  <c r="V932" i="4"/>
  <c r="W932" i="4"/>
  <c r="X932" i="4"/>
  <c r="V933" i="4"/>
  <c r="W933" i="4"/>
  <c r="X933" i="4"/>
  <c r="V934" i="4"/>
  <c r="W934" i="4"/>
  <c r="X934" i="4"/>
  <c r="V935" i="4"/>
  <c r="W935" i="4"/>
  <c r="X935" i="4"/>
  <c r="V936" i="4"/>
  <c r="W936" i="4"/>
  <c r="X936" i="4"/>
  <c r="V937" i="4"/>
  <c r="W937" i="4"/>
  <c r="X937" i="4"/>
  <c r="V938" i="4"/>
  <c r="W938" i="4"/>
  <c r="X938" i="4"/>
  <c r="V939" i="4"/>
  <c r="W939" i="4"/>
  <c r="X939" i="4"/>
  <c r="V940" i="4"/>
  <c r="W940" i="4"/>
  <c r="X940" i="4"/>
  <c r="V941" i="4"/>
  <c r="W941" i="4"/>
  <c r="X941" i="4"/>
  <c r="V942" i="4"/>
  <c r="W942" i="4"/>
  <c r="X942" i="4"/>
  <c r="V943" i="4"/>
  <c r="W943" i="4"/>
  <c r="X943" i="4"/>
  <c r="V944" i="4"/>
  <c r="W944" i="4"/>
  <c r="X944" i="4"/>
  <c r="V945" i="4"/>
  <c r="W945" i="4"/>
  <c r="X945" i="4"/>
  <c r="V946" i="4"/>
  <c r="W946" i="4"/>
  <c r="X946" i="4"/>
  <c r="V947" i="4"/>
  <c r="W947" i="4"/>
  <c r="X947" i="4"/>
  <c r="V948" i="4"/>
  <c r="W948" i="4"/>
  <c r="X948" i="4"/>
  <c r="V949" i="4"/>
  <c r="W949" i="4"/>
  <c r="X949" i="4"/>
  <c r="V950" i="4"/>
  <c r="W950" i="4"/>
  <c r="X950" i="4"/>
  <c r="V951" i="4"/>
  <c r="W951" i="4"/>
  <c r="X951" i="4"/>
  <c r="V952" i="4"/>
  <c r="W952" i="4"/>
  <c r="X952" i="4"/>
  <c r="V953" i="4"/>
  <c r="W953" i="4"/>
  <c r="X953" i="4"/>
  <c r="V954" i="4"/>
  <c r="W954" i="4"/>
  <c r="X954" i="4"/>
  <c r="V955" i="4"/>
  <c r="W955" i="4"/>
  <c r="X955" i="4"/>
  <c r="V956" i="4"/>
  <c r="W956" i="4"/>
  <c r="X956" i="4"/>
  <c r="V957" i="4"/>
  <c r="W957" i="4"/>
  <c r="X957" i="4"/>
  <c r="V958" i="4"/>
  <c r="W958" i="4"/>
  <c r="X958" i="4"/>
  <c r="V959" i="4"/>
  <c r="W959" i="4"/>
  <c r="X959" i="4"/>
  <c r="V960" i="4"/>
  <c r="W960" i="4"/>
  <c r="X960" i="4"/>
  <c r="V961" i="4"/>
  <c r="W961" i="4"/>
  <c r="X961" i="4"/>
  <c r="V962" i="4"/>
  <c r="W962" i="4"/>
  <c r="X962" i="4"/>
  <c r="V963" i="4"/>
  <c r="W963" i="4"/>
  <c r="X963" i="4"/>
  <c r="V964" i="4"/>
  <c r="W964" i="4"/>
  <c r="X964" i="4"/>
  <c r="V965" i="4"/>
  <c r="W965" i="4"/>
  <c r="X965" i="4"/>
  <c r="V966" i="4"/>
  <c r="W966" i="4"/>
  <c r="X966" i="4"/>
  <c r="V967" i="4"/>
  <c r="W967" i="4"/>
  <c r="X967" i="4"/>
  <c r="V968" i="4"/>
  <c r="W968" i="4"/>
  <c r="X968" i="4"/>
  <c r="V969" i="4"/>
  <c r="W969" i="4"/>
  <c r="X969" i="4"/>
  <c r="V970" i="4"/>
  <c r="W970" i="4"/>
  <c r="X970" i="4"/>
  <c r="V971" i="4"/>
  <c r="W971" i="4"/>
  <c r="X971" i="4"/>
  <c r="V972" i="4"/>
  <c r="W972" i="4"/>
  <c r="X972" i="4"/>
  <c r="V973" i="4"/>
  <c r="W973" i="4"/>
  <c r="X973" i="4"/>
  <c r="V974" i="4"/>
  <c r="W974" i="4"/>
  <c r="X974" i="4"/>
  <c r="V975" i="4"/>
  <c r="W975" i="4"/>
  <c r="X975" i="4"/>
  <c r="V976" i="4"/>
  <c r="W976" i="4"/>
  <c r="X976" i="4"/>
  <c r="V977" i="4"/>
  <c r="W977" i="4"/>
  <c r="X977" i="4"/>
  <c r="V978" i="4"/>
  <c r="W978" i="4"/>
  <c r="X978" i="4"/>
  <c r="V979" i="4"/>
  <c r="W979" i="4"/>
  <c r="X979" i="4"/>
  <c r="V980" i="4"/>
  <c r="W980" i="4"/>
  <c r="X980" i="4"/>
  <c r="V981" i="4"/>
  <c r="W981" i="4"/>
  <c r="X981" i="4"/>
  <c r="V982" i="4"/>
  <c r="W982" i="4"/>
  <c r="X982" i="4"/>
  <c r="V983" i="4"/>
  <c r="W983" i="4"/>
  <c r="X983" i="4"/>
  <c r="V984" i="4"/>
  <c r="W984" i="4"/>
  <c r="X984" i="4"/>
  <c r="V985" i="4"/>
  <c r="W985" i="4"/>
  <c r="X985" i="4"/>
  <c r="V986" i="4"/>
  <c r="W986" i="4"/>
  <c r="X986" i="4"/>
  <c r="V987" i="4"/>
  <c r="W987" i="4"/>
  <c r="X987" i="4"/>
  <c r="V988" i="4"/>
  <c r="W988" i="4"/>
  <c r="X988" i="4"/>
  <c r="V989" i="4"/>
  <c r="W989" i="4"/>
  <c r="X989" i="4"/>
  <c r="V990" i="4"/>
  <c r="W990" i="4"/>
  <c r="X990" i="4"/>
  <c r="V991" i="4"/>
  <c r="W991" i="4"/>
  <c r="X991" i="4"/>
  <c r="V992" i="4"/>
  <c r="W992" i="4"/>
  <c r="X992" i="4"/>
  <c r="V993" i="4"/>
  <c r="W993" i="4"/>
  <c r="X993" i="4"/>
  <c r="V994" i="4"/>
  <c r="W994" i="4"/>
  <c r="X994" i="4"/>
  <c r="V995" i="4"/>
  <c r="W995" i="4"/>
  <c r="X995" i="4"/>
  <c r="V996" i="4"/>
  <c r="W996" i="4"/>
  <c r="X996" i="4"/>
  <c r="V997" i="4"/>
  <c r="W997" i="4"/>
  <c r="X997" i="4"/>
  <c r="V998" i="4"/>
  <c r="W998" i="4"/>
  <c r="X998" i="4"/>
  <c r="V999" i="4"/>
  <c r="W999" i="4"/>
  <c r="X999" i="4"/>
  <c r="V1000" i="4"/>
  <c r="W1000" i="4"/>
  <c r="X1000" i="4"/>
  <c r="V1001" i="4"/>
  <c r="W1001" i="4"/>
  <c r="X1001" i="4"/>
  <c r="V1002" i="4"/>
  <c r="W1002" i="4"/>
  <c r="X1002" i="4"/>
  <c r="V1003" i="4"/>
  <c r="W1003" i="4"/>
  <c r="X1003" i="4"/>
  <c r="V1004" i="4"/>
  <c r="W1004" i="4"/>
  <c r="X1004" i="4"/>
  <c r="V1005" i="4"/>
  <c r="W1005" i="4"/>
  <c r="X1005" i="4"/>
  <c r="V1006" i="4"/>
  <c r="W1006" i="4"/>
  <c r="X1006" i="4"/>
  <c r="V1007" i="4"/>
  <c r="W1007" i="4"/>
  <c r="X1007" i="4"/>
  <c r="V1008" i="4"/>
  <c r="W1008" i="4"/>
  <c r="X1008" i="4"/>
  <c r="V1009" i="4"/>
  <c r="W1009" i="4"/>
  <c r="X1009" i="4"/>
  <c r="V1010" i="4"/>
  <c r="W1010" i="4"/>
  <c r="X1010" i="4"/>
  <c r="V1011" i="4"/>
  <c r="W1011" i="4"/>
  <c r="X1011" i="4"/>
  <c r="V1012" i="4"/>
  <c r="W1012" i="4"/>
  <c r="X1012" i="4"/>
  <c r="V1013" i="4"/>
  <c r="W1013" i="4"/>
  <c r="X1013" i="4"/>
  <c r="V1014" i="4"/>
  <c r="W1014" i="4"/>
  <c r="X1014" i="4"/>
  <c r="V1015" i="4"/>
  <c r="W1015" i="4"/>
  <c r="X1015" i="4"/>
  <c r="V1016" i="4"/>
  <c r="W1016" i="4"/>
  <c r="X1016" i="4"/>
  <c r="V1017" i="4"/>
  <c r="W1017" i="4"/>
  <c r="X1017" i="4"/>
  <c r="V1018" i="4"/>
  <c r="W1018" i="4"/>
  <c r="X1018" i="4"/>
  <c r="V1019" i="4"/>
  <c r="W1019" i="4"/>
  <c r="X1019" i="4"/>
  <c r="V1020" i="4"/>
  <c r="W1020" i="4"/>
  <c r="X1020" i="4"/>
  <c r="V1021" i="4"/>
  <c r="W1021" i="4"/>
  <c r="X1021" i="4"/>
  <c r="V1022" i="4"/>
  <c r="W1022" i="4"/>
  <c r="X1022" i="4"/>
  <c r="V1023" i="4"/>
  <c r="W1023" i="4"/>
  <c r="X1023" i="4"/>
  <c r="V1024" i="4"/>
  <c r="W1024" i="4"/>
  <c r="X1024" i="4"/>
  <c r="V1025" i="4"/>
  <c r="W1025" i="4"/>
  <c r="X1025" i="4"/>
  <c r="V1026" i="4"/>
  <c r="W1026" i="4"/>
  <c r="X1026" i="4"/>
  <c r="V1027" i="4"/>
  <c r="W1027" i="4"/>
  <c r="X1027" i="4"/>
  <c r="V1028" i="4"/>
  <c r="W1028" i="4"/>
  <c r="X1028" i="4"/>
  <c r="V1029" i="4"/>
  <c r="W1029" i="4"/>
  <c r="X1029" i="4"/>
  <c r="V1030" i="4"/>
  <c r="W1030" i="4"/>
  <c r="X1030" i="4"/>
  <c r="V1031" i="4"/>
  <c r="W1031" i="4"/>
  <c r="X1031" i="4"/>
  <c r="V1032" i="4"/>
  <c r="W1032" i="4"/>
  <c r="X1032" i="4"/>
  <c r="V1033" i="4"/>
  <c r="W1033" i="4"/>
  <c r="X1033" i="4"/>
  <c r="V1034" i="4"/>
  <c r="W1034" i="4"/>
  <c r="X1034" i="4"/>
  <c r="V1035" i="4"/>
  <c r="W1035" i="4"/>
  <c r="X1035" i="4"/>
  <c r="V1036" i="4"/>
  <c r="W1036" i="4"/>
  <c r="X1036" i="4"/>
  <c r="V1037" i="4"/>
  <c r="W1037" i="4"/>
  <c r="X1037" i="4"/>
  <c r="V1038" i="4"/>
  <c r="W1038" i="4"/>
  <c r="X1038" i="4"/>
  <c r="V1039" i="4"/>
  <c r="W1039" i="4"/>
  <c r="X1039" i="4"/>
  <c r="V1040" i="4"/>
  <c r="W1040" i="4"/>
  <c r="X1040" i="4"/>
  <c r="V1041" i="4"/>
  <c r="W1041" i="4"/>
  <c r="X1041" i="4"/>
  <c r="V1042" i="4"/>
  <c r="W1042" i="4"/>
  <c r="X1042" i="4"/>
  <c r="V1043" i="4"/>
  <c r="W1043" i="4"/>
  <c r="X1043" i="4"/>
  <c r="V1044" i="4"/>
  <c r="W1044" i="4"/>
  <c r="X1044" i="4"/>
  <c r="V1045" i="4"/>
  <c r="W1045" i="4"/>
  <c r="X1045" i="4"/>
  <c r="V1046" i="4"/>
  <c r="W1046" i="4"/>
  <c r="X1046" i="4"/>
  <c r="V1047" i="4"/>
  <c r="W1047" i="4"/>
  <c r="X1047" i="4"/>
  <c r="V1048" i="4"/>
  <c r="W1048" i="4"/>
  <c r="X1048" i="4"/>
  <c r="V1049" i="4"/>
  <c r="W1049" i="4"/>
  <c r="X1049" i="4"/>
  <c r="V1050" i="4"/>
  <c r="W1050" i="4"/>
  <c r="X1050" i="4"/>
  <c r="V1051" i="4"/>
  <c r="W1051" i="4"/>
  <c r="X1051" i="4"/>
  <c r="V1052" i="4"/>
  <c r="W1052" i="4"/>
  <c r="X1052" i="4"/>
  <c r="V1053" i="4"/>
  <c r="W1053" i="4"/>
  <c r="X1053" i="4"/>
  <c r="V1054" i="4"/>
  <c r="W1054" i="4"/>
  <c r="X1054" i="4"/>
  <c r="V1055" i="4"/>
  <c r="W1055" i="4"/>
  <c r="X1055" i="4"/>
  <c r="V1056" i="4"/>
  <c r="W1056" i="4"/>
  <c r="X1056" i="4"/>
  <c r="V1057" i="4"/>
  <c r="W1057" i="4"/>
  <c r="X1057" i="4"/>
  <c r="V1058" i="4"/>
  <c r="W1058" i="4"/>
  <c r="X1058" i="4"/>
  <c r="V1059" i="4"/>
  <c r="W1059" i="4"/>
  <c r="X1059" i="4"/>
  <c r="V1060" i="4"/>
  <c r="W1060" i="4"/>
  <c r="X1060" i="4"/>
  <c r="V1061" i="4"/>
  <c r="W1061" i="4"/>
  <c r="X1061" i="4"/>
  <c r="V1062" i="4"/>
  <c r="W1062" i="4"/>
  <c r="X1062" i="4"/>
  <c r="V1063" i="4"/>
  <c r="W1063" i="4"/>
  <c r="X1063" i="4"/>
  <c r="V1064" i="4"/>
  <c r="W1064" i="4"/>
  <c r="X1064" i="4"/>
  <c r="V1065" i="4"/>
  <c r="W1065" i="4"/>
  <c r="X1065" i="4"/>
  <c r="V1066" i="4"/>
  <c r="W1066" i="4"/>
  <c r="X1066" i="4"/>
  <c r="V1067" i="4"/>
  <c r="W1067" i="4"/>
  <c r="X1067" i="4"/>
  <c r="V1068" i="4"/>
  <c r="W1068" i="4"/>
  <c r="X1068" i="4"/>
  <c r="V1069" i="4"/>
  <c r="W1069" i="4"/>
  <c r="X1069" i="4"/>
  <c r="V1070" i="4"/>
  <c r="W1070" i="4"/>
  <c r="X1070" i="4"/>
  <c r="V1071" i="4"/>
  <c r="W1071" i="4"/>
  <c r="X1071" i="4"/>
  <c r="V1072" i="4"/>
  <c r="W1072" i="4"/>
  <c r="X1072" i="4"/>
  <c r="V1073" i="4"/>
  <c r="W1073" i="4"/>
  <c r="X1073" i="4"/>
  <c r="V1074" i="4"/>
  <c r="W1074" i="4"/>
  <c r="X1074" i="4"/>
  <c r="V1075" i="4"/>
  <c r="W1075" i="4"/>
  <c r="X1075" i="4"/>
  <c r="V1076" i="4"/>
  <c r="W1076" i="4"/>
  <c r="X1076" i="4"/>
  <c r="V1077" i="4"/>
  <c r="W1077" i="4"/>
  <c r="X1077" i="4"/>
  <c r="V1078" i="4"/>
  <c r="W1078" i="4"/>
  <c r="X1078" i="4"/>
  <c r="V1079" i="4"/>
  <c r="W1079" i="4"/>
  <c r="X1079" i="4"/>
  <c r="V1080" i="4"/>
  <c r="W1080" i="4"/>
  <c r="X1080" i="4"/>
  <c r="V1081" i="4"/>
  <c r="W1081" i="4"/>
  <c r="X1081" i="4"/>
  <c r="V1082" i="4"/>
  <c r="W1082" i="4"/>
  <c r="X1082" i="4"/>
  <c r="V1083" i="4"/>
  <c r="W1083" i="4"/>
  <c r="X1083" i="4"/>
  <c r="V1084" i="4"/>
  <c r="W1084" i="4"/>
  <c r="X1084" i="4"/>
  <c r="V1085" i="4"/>
  <c r="W1085" i="4"/>
  <c r="X1085" i="4"/>
  <c r="V1086" i="4"/>
  <c r="W1086" i="4"/>
  <c r="X1086" i="4"/>
  <c r="V1087" i="4"/>
  <c r="W1087" i="4"/>
  <c r="X1087" i="4"/>
  <c r="V1088" i="4"/>
  <c r="W1088" i="4"/>
  <c r="X1088" i="4"/>
  <c r="V1089" i="4"/>
  <c r="W1089" i="4"/>
  <c r="X1089" i="4"/>
  <c r="V1090" i="4"/>
  <c r="W1090" i="4"/>
  <c r="X1090" i="4"/>
  <c r="V1091" i="4"/>
  <c r="W1091" i="4"/>
  <c r="X1091" i="4"/>
  <c r="V1092" i="4"/>
  <c r="W1092" i="4"/>
  <c r="X1092" i="4"/>
  <c r="V1093" i="4"/>
  <c r="W1093" i="4"/>
  <c r="X1093" i="4"/>
  <c r="V1094" i="4"/>
  <c r="W1094" i="4"/>
  <c r="X1094" i="4"/>
  <c r="V1095" i="4"/>
  <c r="W1095" i="4"/>
  <c r="X1095" i="4"/>
  <c r="V1096" i="4"/>
  <c r="W1096" i="4"/>
  <c r="X1096" i="4"/>
  <c r="V1097" i="4"/>
  <c r="W1097" i="4"/>
  <c r="X1097" i="4"/>
  <c r="V1098" i="4"/>
  <c r="W1098" i="4"/>
  <c r="X1098" i="4"/>
  <c r="V1099" i="4"/>
  <c r="W1099" i="4"/>
  <c r="X1099" i="4"/>
  <c r="V1100" i="4"/>
  <c r="W1100" i="4"/>
  <c r="X1100" i="4"/>
  <c r="V1101" i="4"/>
  <c r="W1101" i="4"/>
  <c r="X1101" i="4"/>
  <c r="V1102" i="4"/>
  <c r="W1102" i="4"/>
  <c r="X1102" i="4"/>
  <c r="V1103" i="4"/>
  <c r="W1103" i="4"/>
  <c r="X1103" i="4"/>
  <c r="V1104" i="4"/>
  <c r="W1104" i="4"/>
  <c r="X1104" i="4"/>
  <c r="V1105" i="4"/>
  <c r="W1105" i="4"/>
  <c r="X1105" i="4"/>
  <c r="V1106" i="4"/>
  <c r="W1106" i="4"/>
  <c r="X1106" i="4"/>
  <c r="V1107" i="4"/>
  <c r="W1107" i="4"/>
  <c r="X1107" i="4"/>
  <c r="V1108" i="4"/>
  <c r="W1108" i="4"/>
  <c r="X1108" i="4"/>
  <c r="V1109" i="4"/>
  <c r="W1109" i="4"/>
  <c r="X1109" i="4"/>
  <c r="V1110" i="4"/>
  <c r="W1110" i="4"/>
  <c r="X1110" i="4"/>
  <c r="V1111" i="4"/>
  <c r="W1111" i="4"/>
  <c r="X1111" i="4"/>
  <c r="V1112" i="4"/>
  <c r="W1112" i="4"/>
  <c r="X1112" i="4"/>
  <c r="V1113" i="4"/>
  <c r="W1113" i="4"/>
  <c r="X1113" i="4"/>
  <c r="V1114" i="4"/>
  <c r="W1114" i="4"/>
  <c r="X1114" i="4"/>
  <c r="V1115" i="4"/>
  <c r="W1115" i="4"/>
  <c r="X1115" i="4"/>
  <c r="V1116" i="4"/>
  <c r="W1116" i="4"/>
  <c r="X1116" i="4"/>
  <c r="V1117" i="4"/>
  <c r="W1117" i="4"/>
  <c r="X1117" i="4"/>
  <c r="V1118" i="4"/>
  <c r="W1118" i="4"/>
  <c r="X1118" i="4"/>
  <c r="V1119" i="4"/>
  <c r="W1119" i="4"/>
  <c r="X1119" i="4"/>
  <c r="V1120" i="4"/>
  <c r="W1120" i="4"/>
  <c r="X1120" i="4"/>
  <c r="V1121" i="4"/>
  <c r="W1121" i="4"/>
  <c r="X1121" i="4"/>
  <c r="V1122" i="4"/>
  <c r="W1122" i="4"/>
  <c r="X1122" i="4"/>
  <c r="V1123" i="4"/>
  <c r="W1123" i="4"/>
  <c r="X1123" i="4"/>
  <c r="V1124" i="4"/>
  <c r="W1124" i="4"/>
  <c r="X1124" i="4"/>
  <c r="V1125" i="4"/>
  <c r="W1125" i="4"/>
  <c r="X1125" i="4"/>
  <c r="V1126" i="4"/>
  <c r="W1126" i="4"/>
  <c r="X1126" i="4"/>
  <c r="V1127" i="4"/>
  <c r="W1127" i="4"/>
  <c r="X1127" i="4"/>
  <c r="V1128" i="4"/>
  <c r="W1128" i="4"/>
  <c r="X1128" i="4"/>
  <c r="V1129" i="4"/>
  <c r="W1129" i="4"/>
  <c r="X1129" i="4"/>
  <c r="V1130" i="4"/>
  <c r="W1130" i="4"/>
  <c r="X1130" i="4"/>
  <c r="V1131" i="4"/>
  <c r="W1131" i="4"/>
  <c r="X1131" i="4"/>
  <c r="V1132" i="4"/>
  <c r="W1132" i="4"/>
  <c r="X1132" i="4"/>
  <c r="V1133" i="4"/>
  <c r="W1133" i="4"/>
  <c r="X1133" i="4"/>
  <c r="V1134" i="4"/>
  <c r="W1134" i="4"/>
  <c r="X1134" i="4"/>
  <c r="V1135" i="4"/>
  <c r="W1135" i="4"/>
  <c r="X1135" i="4"/>
  <c r="V1136" i="4"/>
  <c r="W1136" i="4"/>
  <c r="X1136" i="4"/>
  <c r="V1137" i="4"/>
  <c r="W1137" i="4"/>
  <c r="X1137" i="4"/>
  <c r="V1138" i="4"/>
  <c r="W1138" i="4"/>
  <c r="X1138" i="4"/>
  <c r="V1139" i="4"/>
  <c r="W1139" i="4"/>
  <c r="X1139" i="4"/>
  <c r="V1140" i="4"/>
  <c r="W1140" i="4"/>
  <c r="X1140" i="4"/>
  <c r="V1141" i="4"/>
  <c r="W1141" i="4"/>
  <c r="X1141" i="4"/>
  <c r="V1142" i="4"/>
  <c r="W1142" i="4"/>
  <c r="X1142" i="4"/>
  <c r="V1143" i="4"/>
  <c r="W1143" i="4"/>
  <c r="X1143" i="4"/>
  <c r="V1144" i="4"/>
  <c r="W1144" i="4"/>
  <c r="X1144" i="4"/>
  <c r="V1145" i="4"/>
  <c r="W1145" i="4"/>
  <c r="X1145" i="4"/>
  <c r="V1146" i="4"/>
  <c r="W1146" i="4"/>
  <c r="X1146" i="4"/>
  <c r="V1147" i="4"/>
  <c r="W1147" i="4"/>
  <c r="X1147" i="4"/>
  <c r="V1148" i="4"/>
  <c r="W1148" i="4"/>
  <c r="X1148" i="4"/>
  <c r="V1149" i="4"/>
  <c r="W1149" i="4"/>
  <c r="X1149" i="4"/>
  <c r="V1150" i="4"/>
  <c r="W1150" i="4"/>
  <c r="X1150" i="4"/>
  <c r="V1151" i="4"/>
  <c r="W1151" i="4"/>
  <c r="X1151" i="4"/>
  <c r="V1152" i="4"/>
  <c r="W1152" i="4"/>
  <c r="X1152" i="4"/>
  <c r="V1153" i="4"/>
  <c r="W1153" i="4"/>
  <c r="X1153" i="4"/>
  <c r="V1154" i="4"/>
  <c r="W1154" i="4"/>
  <c r="X1154" i="4"/>
  <c r="V1155" i="4"/>
  <c r="W1155" i="4"/>
  <c r="X1155" i="4"/>
  <c r="V1156" i="4"/>
  <c r="W1156" i="4"/>
  <c r="X1156" i="4"/>
  <c r="V1157" i="4"/>
  <c r="W1157" i="4"/>
  <c r="X1157" i="4"/>
  <c r="V1158" i="4"/>
  <c r="W1158" i="4"/>
  <c r="X1158" i="4"/>
  <c r="V1159" i="4"/>
  <c r="W1159" i="4"/>
  <c r="X1159" i="4"/>
  <c r="V1160" i="4"/>
  <c r="W1160" i="4"/>
  <c r="X1160" i="4"/>
  <c r="V1161" i="4"/>
  <c r="W1161" i="4"/>
  <c r="X1161" i="4"/>
  <c r="V1162" i="4"/>
  <c r="W1162" i="4"/>
  <c r="X1162" i="4"/>
  <c r="V1163" i="4"/>
  <c r="W1163" i="4"/>
  <c r="X1163" i="4"/>
  <c r="V1164" i="4"/>
  <c r="W1164" i="4"/>
  <c r="X1164" i="4"/>
  <c r="V1165" i="4"/>
  <c r="W1165" i="4"/>
  <c r="X1165" i="4"/>
  <c r="V1166" i="4"/>
  <c r="W1166" i="4"/>
  <c r="X1166" i="4"/>
  <c r="V1167" i="4"/>
  <c r="W1167" i="4"/>
  <c r="X1167" i="4"/>
  <c r="V1168" i="4"/>
  <c r="W1168" i="4"/>
  <c r="X1168" i="4"/>
  <c r="V1169" i="4"/>
  <c r="W1169" i="4"/>
  <c r="X1169" i="4"/>
  <c r="V1170" i="4"/>
  <c r="W1170" i="4"/>
  <c r="X1170" i="4"/>
  <c r="V1171" i="4"/>
  <c r="W1171" i="4"/>
  <c r="X1171" i="4"/>
  <c r="V1172" i="4"/>
  <c r="W1172" i="4"/>
  <c r="X1172" i="4"/>
  <c r="V1173" i="4"/>
  <c r="W1173" i="4"/>
  <c r="X1173" i="4"/>
  <c r="V1174" i="4"/>
  <c r="W1174" i="4"/>
  <c r="X1174" i="4"/>
  <c r="V1175" i="4"/>
  <c r="W1175" i="4"/>
  <c r="X1175" i="4"/>
  <c r="V1176" i="4"/>
  <c r="W1176" i="4"/>
  <c r="X1176" i="4"/>
  <c r="V1177" i="4"/>
  <c r="W1177" i="4"/>
  <c r="X1177" i="4"/>
  <c r="V1178" i="4"/>
  <c r="W1178" i="4"/>
  <c r="X1178" i="4"/>
  <c r="V1179" i="4"/>
  <c r="W1179" i="4"/>
  <c r="X1179" i="4"/>
  <c r="V1180" i="4"/>
  <c r="W1180" i="4"/>
  <c r="X1180" i="4"/>
  <c r="V1181" i="4"/>
  <c r="W1181" i="4"/>
  <c r="X1181" i="4"/>
  <c r="V1182" i="4"/>
  <c r="W1182" i="4"/>
  <c r="X1182" i="4"/>
  <c r="V1183" i="4"/>
  <c r="W1183" i="4"/>
  <c r="X1183" i="4"/>
  <c r="V1184" i="4"/>
  <c r="W1184" i="4"/>
  <c r="X1184" i="4"/>
  <c r="V1185" i="4"/>
  <c r="W1185" i="4"/>
  <c r="X1185" i="4"/>
  <c r="V1186" i="4"/>
  <c r="W1186" i="4"/>
  <c r="X1186" i="4"/>
  <c r="V1187" i="4"/>
  <c r="W1187" i="4"/>
  <c r="X1187" i="4"/>
  <c r="V1188" i="4"/>
  <c r="W1188" i="4"/>
  <c r="X1188" i="4"/>
  <c r="V1189" i="4"/>
  <c r="W1189" i="4"/>
  <c r="X1189" i="4"/>
  <c r="V1190" i="4"/>
  <c r="W1190" i="4"/>
  <c r="X1190" i="4"/>
  <c r="V1191" i="4"/>
  <c r="W1191" i="4"/>
  <c r="X1191" i="4"/>
  <c r="V1192" i="4"/>
  <c r="W1192" i="4"/>
  <c r="X1192" i="4"/>
  <c r="V1193" i="4"/>
  <c r="W1193" i="4"/>
  <c r="X1193" i="4"/>
  <c r="V1194" i="4"/>
  <c r="W1194" i="4"/>
  <c r="X1194" i="4"/>
  <c r="V1195" i="4"/>
  <c r="W1195" i="4"/>
  <c r="X1195" i="4"/>
  <c r="V1196" i="4"/>
  <c r="W1196" i="4"/>
  <c r="X1196" i="4"/>
  <c r="V1197" i="4"/>
  <c r="W1197" i="4"/>
  <c r="X1197" i="4"/>
  <c r="V1198" i="4"/>
  <c r="W1198" i="4"/>
  <c r="X1198" i="4"/>
  <c r="V1199" i="4"/>
  <c r="W1199" i="4"/>
  <c r="X1199" i="4"/>
  <c r="V1200" i="4"/>
  <c r="W1200" i="4"/>
  <c r="X1200" i="4"/>
  <c r="V1201" i="4"/>
  <c r="W1201" i="4"/>
  <c r="X1201" i="4"/>
  <c r="V1202" i="4"/>
  <c r="W1202" i="4"/>
  <c r="X1202" i="4"/>
  <c r="V1203" i="4"/>
  <c r="W1203" i="4"/>
  <c r="X1203" i="4"/>
  <c r="V1204" i="4"/>
  <c r="W1204" i="4"/>
  <c r="X1204" i="4"/>
  <c r="V1205" i="4"/>
  <c r="W1205" i="4"/>
  <c r="X1205" i="4"/>
  <c r="V1206" i="4"/>
  <c r="W1206" i="4"/>
  <c r="X1206" i="4"/>
  <c r="V1207" i="4"/>
  <c r="W1207" i="4"/>
  <c r="X1207" i="4"/>
  <c r="V1208" i="4"/>
  <c r="W1208" i="4"/>
  <c r="X1208" i="4"/>
  <c r="V1209" i="4"/>
  <c r="W1209" i="4"/>
  <c r="X1209" i="4"/>
  <c r="V1210" i="4"/>
  <c r="X1210" i="4"/>
  <c r="AA15" i="4"/>
  <c r="V90" i="4"/>
  <c r="X90" i="4"/>
  <c r="V91" i="4"/>
  <c r="X91" i="4"/>
  <c r="V92" i="4"/>
  <c r="X92" i="4"/>
  <c r="V93" i="4"/>
  <c r="X93" i="4"/>
  <c r="V94" i="4"/>
  <c r="X94" i="4"/>
  <c r="V95" i="4"/>
  <c r="X95" i="4"/>
  <c r="V96" i="4"/>
  <c r="X96" i="4"/>
  <c r="V97" i="4"/>
  <c r="X97" i="4"/>
  <c r="V98" i="4"/>
  <c r="X98" i="4"/>
  <c r="V99" i="4"/>
  <c r="X99" i="4"/>
  <c r="V100" i="4"/>
  <c r="X100" i="4"/>
  <c r="V101" i="4"/>
  <c r="X101" i="4"/>
  <c r="V102" i="4"/>
  <c r="X102" i="4"/>
  <c r="V103" i="4"/>
  <c r="X103" i="4"/>
  <c r="V104" i="4"/>
  <c r="X104" i="4"/>
  <c r="V105" i="4"/>
  <c r="X105" i="4"/>
  <c r="V106" i="4"/>
  <c r="X106" i="4"/>
  <c r="V107" i="4"/>
  <c r="X107" i="4"/>
  <c r="V108" i="4"/>
  <c r="X108" i="4"/>
  <c r="V109" i="4"/>
  <c r="X109" i="4"/>
  <c r="AA14" i="4"/>
  <c r="V70" i="4"/>
  <c r="X70" i="4"/>
  <c r="V71" i="4"/>
  <c r="X71" i="4"/>
  <c r="V72" i="4"/>
  <c r="X72" i="4"/>
  <c r="V73" i="4"/>
  <c r="X73" i="4"/>
  <c r="V74" i="4"/>
  <c r="X74" i="4"/>
  <c r="V75" i="4"/>
  <c r="X75" i="4"/>
  <c r="V76" i="4"/>
  <c r="X76" i="4"/>
  <c r="V77" i="4"/>
  <c r="X77" i="4"/>
  <c r="V78" i="4"/>
  <c r="X78" i="4"/>
  <c r="V79" i="4"/>
  <c r="X79" i="4"/>
  <c r="V80" i="4"/>
  <c r="X80" i="4"/>
  <c r="V81" i="4"/>
  <c r="X81" i="4"/>
  <c r="V82" i="4"/>
  <c r="X82" i="4"/>
  <c r="V83" i="4"/>
  <c r="X83" i="4"/>
  <c r="V84" i="4"/>
  <c r="X84" i="4"/>
  <c r="V85" i="4"/>
  <c r="X85" i="4"/>
  <c r="V86" i="4"/>
  <c r="X86" i="4"/>
  <c r="V87" i="4"/>
  <c r="X87" i="4"/>
  <c r="V88" i="4"/>
  <c r="X88" i="4"/>
  <c r="V89" i="4"/>
  <c r="X89" i="4"/>
  <c r="AA13" i="4"/>
  <c r="V50" i="4"/>
  <c r="X50" i="4"/>
  <c r="V51" i="4"/>
  <c r="X51" i="4"/>
  <c r="V52" i="4"/>
  <c r="X52" i="4"/>
  <c r="V53" i="4"/>
  <c r="X53" i="4"/>
  <c r="V54" i="4"/>
  <c r="X54" i="4"/>
  <c r="V55" i="4"/>
  <c r="X55" i="4"/>
  <c r="V56" i="4"/>
  <c r="X56" i="4"/>
  <c r="V57" i="4"/>
  <c r="X57" i="4"/>
  <c r="V58" i="4"/>
  <c r="X58" i="4"/>
  <c r="V59" i="4"/>
  <c r="X59" i="4"/>
  <c r="V60" i="4"/>
  <c r="X60" i="4"/>
  <c r="V61" i="4"/>
  <c r="X61" i="4"/>
  <c r="V62" i="4"/>
  <c r="X62" i="4"/>
  <c r="V63" i="4"/>
  <c r="X63" i="4"/>
  <c r="V64" i="4"/>
  <c r="X64" i="4"/>
  <c r="V65" i="4"/>
  <c r="X65" i="4"/>
  <c r="V66" i="4"/>
  <c r="X66" i="4"/>
  <c r="V67" i="4"/>
  <c r="X67" i="4"/>
  <c r="V68" i="4"/>
  <c r="X68" i="4"/>
  <c r="V69" i="4"/>
  <c r="X69" i="4"/>
  <c r="AA12" i="4"/>
  <c r="V30" i="4"/>
  <c r="X30" i="4"/>
  <c r="V31" i="4"/>
  <c r="X31" i="4"/>
  <c r="V32" i="4"/>
  <c r="X32" i="4"/>
  <c r="V33" i="4"/>
  <c r="X33" i="4"/>
  <c r="V34" i="4"/>
  <c r="X34" i="4"/>
  <c r="V35" i="4"/>
  <c r="X35" i="4"/>
  <c r="V36" i="4"/>
  <c r="X36" i="4"/>
  <c r="V37" i="4"/>
  <c r="X37" i="4"/>
  <c r="V38" i="4"/>
  <c r="X38" i="4"/>
  <c r="V39" i="4"/>
  <c r="X39" i="4"/>
  <c r="V40" i="4"/>
  <c r="X40" i="4"/>
  <c r="V41" i="4"/>
  <c r="X41" i="4"/>
  <c r="V42" i="4"/>
  <c r="X42" i="4"/>
  <c r="V43" i="4"/>
  <c r="X43" i="4"/>
  <c r="V44" i="4"/>
  <c r="X44" i="4"/>
  <c r="V45" i="4"/>
  <c r="X45" i="4"/>
  <c r="V46" i="4"/>
  <c r="X46" i="4"/>
  <c r="V47" i="4"/>
  <c r="X47" i="4"/>
  <c r="V48" i="4"/>
  <c r="X48" i="4"/>
  <c r="V49" i="4"/>
  <c r="X49" i="4"/>
  <c r="AA11" i="4"/>
  <c r="V10" i="4"/>
  <c r="X10" i="4"/>
  <c r="V11" i="4"/>
  <c r="X11" i="4"/>
  <c r="V12" i="4"/>
  <c r="X12" i="4"/>
  <c r="V13" i="4"/>
  <c r="X13" i="4"/>
  <c r="V14" i="4"/>
  <c r="X14" i="4"/>
  <c r="V15" i="4"/>
  <c r="X15" i="4"/>
  <c r="V16" i="4"/>
  <c r="X16" i="4"/>
  <c r="V17" i="4"/>
  <c r="X17" i="4"/>
  <c r="V18" i="4"/>
  <c r="X18" i="4"/>
  <c r="V19" i="4"/>
  <c r="X19" i="4"/>
  <c r="V20" i="4"/>
  <c r="X20" i="4"/>
  <c r="V21" i="4"/>
  <c r="X21" i="4"/>
  <c r="V22" i="4"/>
  <c r="X22" i="4"/>
  <c r="V23" i="4"/>
  <c r="X23" i="4"/>
  <c r="V24" i="4"/>
  <c r="X24" i="4"/>
  <c r="V25" i="4"/>
  <c r="X25" i="4"/>
  <c r="V26" i="4"/>
  <c r="X26" i="4"/>
  <c r="V27" i="4"/>
  <c r="X27" i="4"/>
  <c r="V28" i="4"/>
  <c r="X28" i="4"/>
  <c r="V29" i="4"/>
  <c r="X29" i="4"/>
  <c r="AA10" i="4"/>
  <c r="N11" i="4"/>
  <c r="N10" i="4"/>
  <c r="P10" i="4"/>
  <c r="N12" i="4"/>
  <c r="P11" i="4"/>
  <c r="N13" i="4"/>
  <c r="P12" i="4"/>
  <c r="N14" i="4"/>
  <c r="P13" i="4"/>
  <c r="N15" i="4"/>
  <c r="P14" i="4"/>
  <c r="N16" i="4"/>
  <c r="P15" i="4"/>
  <c r="N17" i="4"/>
  <c r="P16" i="4"/>
  <c r="N18" i="4"/>
  <c r="P17" i="4"/>
  <c r="N19" i="4"/>
  <c r="P18" i="4"/>
  <c r="N20" i="4"/>
  <c r="P19" i="4"/>
  <c r="N21" i="4"/>
  <c r="P20" i="4"/>
  <c r="N22" i="4"/>
  <c r="P21" i="4"/>
  <c r="N23" i="4"/>
  <c r="P22" i="4"/>
  <c r="N24" i="4"/>
  <c r="P23" i="4"/>
  <c r="N25" i="4"/>
  <c r="P24" i="4"/>
  <c r="N26" i="4"/>
  <c r="P25" i="4"/>
  <c r="N27" i="4"/>
  <c r="P26" i="4"/>
  <c r="N28" i="4"/>
  <c r="P27" i="4"/>
  <c r="N29" i="4"/>
  <c r="P28" i="4"/>
  <c r="N30" i="4"/>
  <c r="P29" i="4"/>
  <c r="N31" i="4"/>
  <c r="P30" i="4"/>
  <c r="N32" i="4"/>
  <c r="P31" i="4"/>
  <c r="N33" i="4"/>
  <c r="P32" i="4"/>
  <c r="N34" i="4"/>
  <c r="P33" i="4"/>
  <c r="N35" i="4"/>
  <c r="P34" i="4"/>
  <c r="N36" i="4"/>
  <c r="P35" i="4"/>
  <c r="N37" i="4"/>
  <c r="P36" i="4"/>
  <c r="N38" i="4"/>
  <c r="P37" i="4"/>
  <c r="N39" i="4"/>
  <c r="P38" i="4"/>
  <c r="N40" i="4"/>
  <c r="P39" i="4"/>
  <c r="N41" i="4"/>
  <c r="P40" i="4"/>
  <c r="N42" i="4"/>
  <c r="P41" i="4"/>
  <c r="N43" i="4"/>
  <c r="P42" i="4"/>
  <c r="N44" i="4"/>
  <c r="P43" i="4"/>
  <c r="N45" i="4"/>
  <c r="P44" i="4"/>
  <c r="N46" i="4"/>
  <c r="P45" i="4"/>
  <c r="N47" i="4"/>
  <c r="P46" i="4"/>
  <c r="N48" i="4"/>
  <c r="P47" i="4"/>
  <c r="N49" i="4"/>
  <c r="P48" i="4"/>
  <c r="N50" i="4"/>
  <c r="P49" i="4"/>
  <c r="N51" i="4"/>
  <c r="P50" i="4"/>
  <c r="N52" i="4"/>
  <c r="P51" i="4"/>
  <c r="N53" i="4"/>
  <c r="P52" i="4"/>
  <c r="N54" i="4"/>
  <c r="P53" i="4"/>
  <c r="N55" i="4"/>
  <c r="P54" i="4"/>
  <c r="N56" i="4"/>
  <c r="P55" i="4"/>
  <c r="N57" i="4"/>
  <c r="P56" i="4"/>
  <c r="N58" i="4"/>
  <c r="P57" i="4"/>
  <c r="N59" i="4"/>
  <c r="P58" i="4"/>
  <c r="N60" i="4"/>
  <c r="P59" i="4"/>
  <c r="N61" i="4"/>
  <c r="P60" i="4"/>
  <c r="N62" i="4"/>
  <c r="P61" i="4"/>
  <c r="N63" i="4"/>
  <c r="P62" i="4"/>
  <c r="N64" i="4"/>
  <c r="P63" i="4"/>
  <c r="N65" i="4"/>
  <c r="P64" i="4"/>
  <c r="N66" i="4"/>
  <c r="P65" i="4"/>
  <c r="N67" i="4"/>
  <c r="P66" i="4"/>
  <c r="N68" i="4"/>
  <c r="P67" i="4"/>
  <c r="N69" i="4"/>
  <c r="P68" i="4"/>
  <c r="N70" i="4"/>
  <c r="P69" i="4"/>
  <c r="S10" i="4"/>
  <c r="S11" i="4"/>
  <c r="S12" i="4"/>
  <c r="S13" i="4"/>
  <c r="S14" i="4"/>
  <c r="S15" i="4"/>
  <c r="B14" i="4"/>
  <c r="B18" i="4"/>
  <c r="B10" i="4"/>
  <c r="K12" i="4"/>
  <c r="B13" i="4"/>
  <c r="K11" i="4"/>
  <c r="B11" i="4"/>
  <c r="B17" i="4"/>
  <c r="K10" i="4"/>
  <c r="B20" i="4"/>
  <c r="B19" i="4"/>
  <c r="H12" i="4"/>
  <c r="H11" i="4"/>
  <c r="H10" i="4"/>
  <c r="B12" i="4"/>
  <c r="E11" i="4"/>
  <c r="E12" i="4"/>
  <c r="E13" i="4"/>
  <c r="B15" i="4"/>
  <c r="E14" i="4"/>
  <c r="B16" i="4"/>
  <c r="E15" i="4"/>
  <c r="E10" i="4"/>
  <c r="L15" i="29"/>
  <c r="V20" i="31"/>
  <c r="U19" i="31"/>
  <c r="V19" i="31"/>
  <c r="K10" i="50"/>
  <c r="K11" i="50"/>
  <c r="K12" i="50"/>
  <c r="K13" i="50"/>
  <c r="K6" i="52"/>
  <c r="K7" i="52"/>
  <c r="M21" i="53"/>
  <c r="Q22" i="53"/>
  <c r="R22" i="53"/>
  <c r="S22" i="53"/>
  <c r="W22" i="53"/>
  <c r="N21" i="53"/>
  <c r="Y22" i="53"/>
  <c r="Z22" i="53"/>
  <c r="AA22" i="53"/>
  <c r="AD22" i="53"/>
  <c r="O22" i="53"/>
  <c r="M20" i="53"/>
  <c r="Q21" i="53"/>
  <c r="R21" i="53"/>
  <c r="S21" i="53"/>
  <c r="U21" i="53"/>
  <c r="V21" i="53"/>
  <c r="W21" i="53"/>
  <c r="N20" i="53"/>
  <c r="Y21" i="53"/>
  <c r="Z21" i="53"/>
  <c r="AA21" i="53"/>
  <c r="AC21" i="53"/>
  <c r="AD21" i="53"/>
  <c r="O21" i="53"/>
  <c r="M19" i="53"/>
  <c r="Q20" i="53"/>
  <c r="R20" i="53"/>
  <c r="S20" i="53"/>
  <c r="U20" i="53"/>
  <c r="V20" i="53"/>
  <c r="W20" i="53"/>
  <c r="N19" i="53"/>
  <c r="Y20" i="53"/>
  <c r="Z20" i="53"/>
  <c r="AA20" i="53"/>
  <c r="AC20" i="53"/>
  <c r="AD20" i="53"/>
  <c r="O20" i="53"/>
  <c r="M18" i="53"/>
  <c r="Q19" i="53"/>
  <c r="R19" i="53"/>
  <c r="S19" i="53"/>
  <c r="U19" i="53"/>
  <c r="V19" i="53"/>
  <c r="W19" i="53"/>
  <c r="N18" i="53"/>
  <c r="Y19" i="53"/>
  <c r="Z19" i="53"/>
  <c r="AA19" i="53"/>
  <c r="AC19" i="53"/>
  <c r="AD19" i="53"/>
  <c r="O19" i="53"/>
  <c r="M17" i="53"/>
  <c r="Q18" i="53"/>
  <c r="R18" i="53"/>
  <c r="S18" i="53"/>
  <c r="U18" i="53"/>
  <c r="V18" i="53"/>
  <c r="W18" i="53"/>
  <c r="N17" i="53"/>
  <c r="Y18" i="53"/>
  <c r="Z18" i="53"/>
  <c r="AA18" i="53"/>
  <c r="AC18" i="53"/>
  <c r="AD18" i="53"/>
  <c r="O18" i="53"/>
  <c r="M16" i="53"/>
  <c r="Q17" i="53"/>
  <c r="R17" i="53"/>
  <c r="S17" i="53"/>
  <c r="U17" i="53"/>
  <c r="V17" i="53"/>
  <c r="W17" i="53"/>
  <c r="N16" i="53"/>
  <c r="Y17" i="53"/>
  <c r="Z17" i="53"/>
  <c r="AA17" i="53"/>
  <c r="AC17" i="53"/>
  <c r="AD17" i="53"/>
  <c r="O17" i="53"/>
  <c r="M15" i="53"/>
  <c r="Q16" i="53"/>
  <c r="R16" i="53"/>
  <c r="S16" i="53"/>
  <c r="U16" i="53"/>
  <c r="V16" i="53"/>
  <c r="W16" i="53"/>
  <c r="N15" i="53"/>
  <c r="Y16" i="53"/>
  <c r="Z16" i="53"/>
  <c r="AA16" i="53"/>
  <c r="AC16" i="53"/>
  <c r="AD16" i="53"/>
  <c r="O16" i="53"/>
  <c r="M14" i="53"/>
  <c r="Q15" i="53"/>
  <c r="R15" i="53"/>
  <c r="S15" i="53"/>
  <c r="U15" i="53"/>
  <c r="V15" i="53"/>
  <c r="W15" i="53"/>
  <c r="N14" i="53"/>
  <c r="Y15" i="53"/>
  <c r="Z15" i="53"/>
  <c r="AA15" i="53"/>
  <c r="AC15" i="53"/>
  <c r="AD15" i="53"/>
  <c r="O15" i="53"/>
  <c r="M13" i="53"/>
  <c r="Q14" i="53"/>
  <c r="R14" i="53"/>
  <c r="S14" i="53"/>
  <c r="U14" i="53"/>
  <c r="V14" i="53"/>
  <c r="W14" i="53"/>
  <c r="N13" i="53"/>
  <c r="Y14" i="53"/>
  <c r="Z14" i="53"/>
  <c r="AA14" i="53"/>
  <c r="AC14" i="53"/>
  <c r="AD14" i="53"/>
  <c r="O14" i="53"/>
  <c r="M12" i="53"/>
  <c r="Q13" i="53"/>
  <c r="S13" i="53"/>
  <c r="U13" i="53"/>
  <c r="V13" i="53"/>
  <c r="W13" i="53"/>
  <c r="O13" i="53"/>
  <c r="R12" i="53"/>
  <c r="W12" i="53"/>
  <c r="O12" i="53"/>
  <c r="N12" i="53"/>
  <c r="E8" i="55"/>
  <c r="E9" i="55"/>
  <c r="H16" i="55"/>
  <c r="H15" i="55"/>
  <c r="H14" i="55"/>
  <c r="H13" i="55"/>
  <c r="H12" i="55"/>
  <c r="K13" i="55"/>
  <c r="L13" i="55"/>
  <c r="N13" i="55"/>
  <c r="P13" i="55"/>
  <c r="R13" i="55"/>
  <c r="X13" i="55"/>
  <c r="K14" i="55"/>
  <c r="N14" i="55"/>
  <c r="P14" i="55"/>
  <c r="R14" i="55"/>
  <c r="X14" i="55"/>
  <c r="X15" i="55"/>
  <c r="X16" i="55"/>
  <c r="X17" i="55"/>
  <c r="N18" i="55"/>
  <c r="R18" i="55"/>
  <c r="X18" i="55"/>
  <c r="N19" i="55"/>
  <c r="R19" i="55"/>
  <c r="X19" i="55"/>
  <c r="N20" i="55"/>
  <c r="R20" i="55"/>
  <c r="X20" i="55"/>
  <c r="N21" i="55"/>
  <c r="R21" i="55"/>
  <c r="X21" i="55"/>
  <c r="N22" i="55"/>
  <c r="R22" i="55"/>
  <c r="X22" i="55"/>
  <c r="N23" i="55"/>
  <c r="R23" i="55"/>
  <c r="X23" i="55"/>
  <c r="N24" i="55"/>
  <c r="R24" i="55"/>
  <c r="X24" i="55"/>
  <c r="N25" i="55"/>
  <c r="R25" i="55"/>
  <c r="X25" i="55"/>
  <c r="N26" i="55"/>
  <c r="R26" i="55"/>
  <c r="X26" i="55"/>
  <c r="N27" i="55"/>
  <c r="R27" i="55"/>
  <c r="X27" i="55"/>
  <c r="N28" i="55"/>
  <c r="R28" i="55"/>
  <c r="X28" i="55"/>
  <c r="N29" i="55"/>
  <c r="R29" i="55"/>
  <c r="X29" i="55"/>
  <c r="N30" i="55"/>
  <c r="R30" i="55"/>
  <c r="X30" i="55"/>
  <c r="N31" i="55"/>
  <c r="R31" i="55"/>
  <c r="X31" i="55"/>
  <c r="N32" i="55"/>
  <c r="R32" i="55"/>
  <c r="X32" i="55"/>
  <c r="K7" i="55"/>
  <c r="L14" i="55"/>
  <c r="K15" i="55"/>
  <c r="L15" i="55"/>
  <c r="N15" i="55"/>
  <c r="P15" i="55"/>
  <c r="R15" i="55"/>
  <c r="K16" i="55"/>
  <c r="L16" i="55"/>
  <c r="N16" i="55"/>
  <c r="P16" i="55"/>
  <c r="R16" i="55"/>
  <c r="K17" i="55"/>
  <c r="L17" i="55"/>
  <c r="N17" i="55"/>
  <c r="R17" i="55"/>
  <c r="B8" i="54"/>
  <c r="J3" i="54"/>
  <c r="G13" i="54"/>
  <c r="G14" i="54"/>
  <c r="G15" i="54"/>
  <c r="G16" i="54"/>
  <c r="G17" i="54"/>
  <c r="G18" i="54"/>
  <c r="G19" i="54"/>
  <c r="G20" i="54"/>
  <c r="G21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L67" i="54"/>
  <c r="M67" i="54"/>
  <c r="P67" i="54"/>
  <c r="Q67" i="54"/>
  <c r="L66" i="54"/>
  <c r="M66" i="54"/>
  <c r="O66" i="54"/>
  <c r="P66" i="54"/>
  <c r="Q66" i="54"/>
  <c r="L65" i="54"/>
  <c r="M65" i="54"/>
  <c r="O65" i="54"/>
  <c r="P65" i="54"/>
  <c r="Q65" i="54"/>
  <c r="L64" i="54"/>
  <c r="M64" i="54"/>
  <c r="O64" i="54"/>
  <c r="P64" i="54"/>
  <c r="Q64" i="54"/>
  <c r="L63" i="54"/>
  <c r="M63" i="54"/>
  <c r="O63" i="54"/>
  <c r="P63" i="54"/>
  <c r="Q63" i="54"/>
  <c r="L62" i="54"/>
  <c r="M62" i="54"/>
  <c r="O62" i="54"/>
  <c r="P62" i="54"/>
  <c r="Q62" i="54"/>
  <c r="L61" i="54"/>
  <c r="M61" i="54"/>
  <c r="O61" i="54"/>
  <c r="P61" i="54"/>
  <c r="Q61" i="54"/>
  <c r="L60" i="54"/>
  <c r="M60" i="54"/>
  <c r="O60" i="54"/>
  <c r="P60" i="54"/>
  <c r="Q60" i="54"/>
  <c r="L59" i="54"/>
  <c r="M59" i="54"/>
  <c r="O59" i="54"/>
  <c r="P59" i="54"/>
  <c r="Q59" i="54"/>
  <c r="L58" i="54"/>
  <c r="M58" i="54"/>
  <c r="O58" i="54"/>
  <c r="P58" i="54"/>
  <c r="Q58" i="54"/>
  <c r="L57" i="54"/>
  <c r="M57" i="54"/>
  <c r="O57" i="54"/>
  <c r="P57" i="54"/>
  <c r="Q57" i="54"/>
  <c r="L56" i="54"/>
  <c r="M56" i="54"/>
  <c r="O56" i="54"/>
  <c r="P56" i="54"/>
  <c r="Q56" i="54"/>
  <c r="L55" i="54"/>
  <c r="M55" i="54"/>
  <c r="O55" i="54"/>
  <c r="P55" i="54"/>
  <c r="Q55" i="54"/>
  <c r="L54" i="54"/>
  <c r="M54" i="54"/>
  <c r="O54" i="54"/>
  <c r="P54" i="54"/>
  <c r="Q54" i="54"/>
  <c r="L53" i="54"/>
  <c r="M53" i="54"/>
  <c r="O53" i="54"/>
  <c r="P53" i="54"/>
  <c r="Q53" i="54"/>
  <c r="L52" i="54"/>
  <c r="M52" i="54"/>
  <c r="O52" i="54"/>
  <c r="P52" i="54"/>
  <c r="Q52" i="54"/>
  <c r="L51" i="54"/>
  <c r="M51" i="54"/>
  <c r="O51" i="54"/>
  <c r="P51" i="54"/>
  <c r="Q51" i="54"/>
  <c r="L50" i="54"/>
  <c r="M50" i="54"/>
  <c r="O50" i="54"/>
  <c r="P50" i="54"/>
  <c r="Q50" i="54"/>
  <c r="L49" i="54"/>
  <c r="M49" i="54"/>
  <c r="O49" i="54"/>
  <c r="P49" i="54"/>
  <c r="Q49" i="54"/>
  <c r="L48" i="54"/>
  <c r="M48" i="54"/>
  <c r="O48" i="54"/>
  <c r="P48" i="54"/>
  <c r="Q48" i="54"/>
  <c r="L47" i="54"/>
  <c r="M47" i="54"/>
  <c r="O47" i="54"/>
  <c r="P47" i="54"/>
  <c r="Q47" i="54"/>
  <c r="L46" i="54"/>
  <c r="M46" i="54"/>
  <c r="O46" i="54"/>
  <c r="P46" i="54"/>
  <c r="Q46" i="54"/>
  <c r="L45" i="54"/>
  <c r="M45" i="54"/>
  <c r="O45" i="54"/>
  <c r="P45" i="54"/>
  <c r="Q45" i="54"/>
  <c r="L44" i="54"/>
  <c r="M44" i="54"/>
  <c r="O44" i="54"/>
  <c r="P44" i="54"/>
  <c r="Q44" i="54"/>
  <c r="L43" i="54"/>
  <c r="M43" i="54"/>
  <c r="O43" i="54"/>
  <c r="P43" i="54"/>
  <c r="Q43" i="54"/>
  <c r="L42" i="54"/>
  <c r="M42" i="54"/>
  <c r="O42" i="54"/>
  <c r="P42" i="54"/>
  <c r="Q42" i="54"/>
  <c r="L41" i="54"/>
  <c r="M41" i="54"/>
  <c r="O41" i="54"/>
  <c r="P41" i="54"/>
  <c r="Q41" i="54"/>
  <c r="L40" i="54"/>
  <c r="M40" i="54"/>
  <c r="O40" i="54"/>
  <c r="P40" i="54"/>
  <c r="Q40" i="54"/>
  <c r="L39" i="54"/>
  <c r="M39" i="54"/>
  <c r="O39" i="54"/>
  <c r="P39" i="54"/>
  <c r="Q39" i="54"/>
  <c r="L38" i="54"/>
  <c r="M38" i="54"/>
  <c r="O38" i="54"/>
  <c r="P38" i="54"/>
  <c r="Q38" i="54"/>
  <c r="L37" i="54"/>
  <c r="M37" i="54"/>
  <c r="O37" i="54"/>
  <c r="P37" i="54"/>
  <c r="Q37" i="54"/>
  <c r="L36" i="54"/>
  <c r="M36" i="54"/>
  <c r="O36" i="54"/>
  <c r="P36" i="54"/>
  <c r="Q36" i="54"/>
  <c r="L35" i="54"/>
  <c r="M35" i="54"/>
  <c r="O35" i="54"/>
  <c r="P35" i="54"/>
  <c r="Q35" i="54"/>
  <c r="L34" i="54"/>
  <c r="M34" i="54"/>
  <c r="O34" i="54"/>
  <c r="P34" i="54"/>
  <c r="Q34" i="54"/>
  <c r="L33" i="54"/>
  <c r="M33" i="54"/>
  <c r="O33" i="54"/>
  <c r="P33" i="54"/>
  <c r="Q33" i="54"/>
  <c r="L32" i="54"/>
  <c r="M32" i="54"/>
  <c r="O32" i="54"/>
  <c r="P32" i="54"/>
  <c r="Q32" i="54"/>
  <c r="L31" i="54"/>
  <c r="M31" i="54"/>
  <c r="O31" i="54"/>
  <c r="P31" i="54"/>
  <c r="Q31" i="54"/>
  <c r="L30" i="54"/>
  <c r="M30" i="54"/>
  <c r="O30" i="54"/>
  <c r="P30" i="54"/>
  <c r="Q30" i="54"/>
  <c r="L29" i="54"/>
  <c r="M29" i="54"/>
  <c r="O29" i="54"/>
  <c r="P29" i="54"/>
  <c r="Q29" i="54"/>
  <c r="L28" i="54"/>
  <c r="M28" i="54"/>
  <c r="O28" i="54"/>
  <c r="P28" i="54"/>
  <c r="Q28" i="54"/>
  <c r="L27" i="54"/>
  <c r="M27" i="54"/>
  <c r="O27" i="54"/>
  <c r="P27" i="54"/>
  <c r="Q27" i="54"/>
  <c r="L26" i="54"/>
  <c r="M26" i="54"/>
  <c r="O26" i="54"/>
  <c r="P26" i="54"/>
  <c r="Q26" i="54"/>
  <c r="L25" i="54"/>
  <c r="M25" i="54"/>
  <c r="O25" i="54"/>
  <c r="P25" i="54"/>
  <c r="Q25" i="54"/>
  <c r="L24" i="54"/>
  <c r="M24" i="54"/>
  <c r="O24" i="54"/>
  <c r="P24" i="54"/>
  <c r="Q24" i="54"/>
  <c r="L23" i="54"/>
  <c r="M23" i="54"/>
  <c r="O23" i="54"/>
  <c r="P23" i="54"/>
  <c r="Q23" i="54"/>
  <c r="L22" i="54"/>
  <c r="M22" i="54"/>
  <c r="O22" i="54"/>
  <c r="P22" i="54"/>
  <c r="Q22" i="54"/>
  <c r="L21" i="54"/>
  <c r="M21" i="54"/>
  <c r="O21" i="54"/>
  <c r="P21" i="54"/>
  <c r="Q21" i="54"/>
  <c r="L20" i="54"/>
  <c r="M20" i="54"/>
  <c r="O20" i="54"/>
  <c r="P20" i="54"/>
  <c r="Q20" i="54"/>
  <c r="L19" i="54"/>
  <c r="M19" i="54"/>
  <c r="O19" i="54"/>
  <c r="P19" i="54"/>
  <c r="Q19" i="54"/>
  <c r="L18" i="54"/>
  <c r="M18" i="54"/>
  <c r="N18" i="54"/>
  <c r="O18" i="54"/>
  <c r="P18" i="54"/>
  <c r="Q18" i="54"/>
  <c r="L17" i="54"/>
  <c r="M17" i="54"/>
  <c r="N17" i="54"/>
  <c r="O17" i="54"/>
  <c r="P17" i="54"/>
  <c r="Q17" i="54"/>
  <c r="L16" i="54"/>
  <c r="M16" i="54"/>
  <c r="N16" i="54"/>
  <c r="O16" i="54"/>
  <c r="P16" i="54"/>
  <c r="Q16" i="54"/>
  <c r="L15" i="54"/>
  <c r="M15" i="54"/>
  <c r="N15" i="54"/>
  <c r="O15" i="54"/>
  <c r="P15" i="54"/>
  <c r="Q15" i="54"/>
  <c r="L14" i="54"/>
  <c r="M14" i="54"/>
  <c r="N14" i="54"/>
  <c r="O14" i="54"/>
  <c r="P14" i="54"/>
  <c r="Q14" i="54"/>
  <c r="O13" i="54"/>
  <c r="L13" i="54"/>
  <c r="M13" i="54"/>
  <c r="N13" i="54"/>
  <c r="P13" i="54"/>
  <c r="Q13" i="54"/>
  <c r="M6" i="54"/>
  <c r="J5" i="54"/>
</calcChain>
</file>

<file path=xl/sharedStrings.xml><?xml version="1.0" encoding="utf-8"?>
<sst xmlns="http://schemas.openxmlformats.org/spreadsheetml/2006/main" count="2029" uniqueCount="873">
  <si>
    <t>t</t>
  </si>
  <si>
    <t>Part (a)</t>
  </si>
  <si>
    <t>Part (b)</t>
  </si>
  <si>
    <t>Part (c)</t>
  </si>
  <si>
    <t>Part (d)</t>
  </si>
  <si>
    <t>x</t>
  </si>
  <si>
    <r>
      <t>S</t>
    </r>
    <r>
      <rPr>
        <vertAlign val="subscript"/>
        <sz val="10"/>
        <rFont val="Arial"/>
        <family val="2"/>
      </rPr>
      <t>0</t>
    </r>
    <r>
      <rPr>
        <sz val="10"/>
        <rFont val="Arial"/>
      </rPr>
      <t>(x)</t>
    </r>
  </si>
  <si>
    <t>Exercise 2.4</t>
  </si>
  <si>
    <t>Part (d)(i)</t>
  </si>
  <si>
    <t xml:space="preserve">A = </t>
  </si>
  <si>
    <t xml:space="preserve">B = </t>
  </si>
  <si>
    <t xml:space="preserve">C = </t>
  </si>
  <si>
    <t xml:space="preserve">D = 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</si>
  <si>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30</t>
    </r>
  </si>
  <si>
    <t>Part (d)(ii)</t>
  </si>
  <si>
    <r>
      <t>t</t>
    </r>
    <r>
      <rPr>
        <sz val="10"/>
        <rFont val="Arial"/>
      </rPr>
      <t>q</t>
    </r>
    <r>
      <rPr>
        <vertAlign val="subscript"/>
        <sz val="10"/>
        <rFont val="Arial"/>
        <family val="2"/>
      </rPr>
      <t>40</t>
    </r>
  </si>
  <si>
    <t>Part (d)(iii)</t>
  </si>
  <si>
    <r>
      <t>t</t>
    </r>
    <r>
      <rPr>
        <sz val="10"/>
        <rFont val="Arial"/>
      </rPr>
      <t>|</t>
    </r>
    <r>
      <rPr>
        <vertAlign val="subscript"/>
        <sz val="10"/>
        <rFont val="Arial"/>
        <family val="2"/>
      </rPr>
      <t>10</t>
    </r>
    <r>
      <rPr>
        <sz val="10"/>
        <rFont val="Arial"/>
      </rPr>
      <t>q</t>
    </r>
    <r>
      <rPr>
        <vertAlign val="subscript"/>
        <sz val="10"/>
        <rFont val="Arial"/>
        <family val="2"/>
      </rPr>
      <t>30</t>
    </r>
  </si>
  <si>
    <t>Part (d)(iv)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</si>
  <si>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70</t>
    </r>
  </si>
  <si>
    <t>Part (d)(v)</t>
  </si>
  <si>
    <r>
      <t>S</t>
    </r>
    <r>
      <rPr>
        <vertAlign val="subscript"/>
        <sz val="10"/>
        <rFont val="Arial"/>
        <family val="2"/>
      </rPr>
      <t>0</t>
    </r>
    <r>
      <rPr>
        <sz val="10"/>
        <rFont val="Arial"/>
      </rPr>
      <t>(70+t)</t>
    </r>
  </si>
  <si>
    <t>Multiplier</t>
  </si>
  <si>
    <t>Product</t>
  </si>
  <si>
    <t xml:space="preserve">c = </t>
  </si>
  <si>
    <t xml:space="preserve">g = </t>
  </si>
  <si>
    <t>Exercise 2.12</t>
  </si>
  <si>
    <t xml:space="preserve">s = </t>
  </si>
  <si>
    <r>
      <t>p</t>
    </r>
    <r>
      <rPr>
        <vertAlign val="subscript"/>
        <sz val="10"/>
        <rFont val="Arial"/>
        <family val="2"/>
      </rPr>
      <t>x</t>
    </r>
  </si>
  <si>
    <r>
      <t>t</t>
    </r>
    <r>
      <rPr>
        <sz val="10"/>
        <rFont val="Arial"/>
      </rPr>
      <t>|q</t>
    </r>
    <r>
      <rPr>
        <vertAlign val="subscript"/>
        <sz val="10"/>
        <rFont val="Arial"/>
        <family val="2"/>
      </rPr>
      <t>70</t>
    </r>
  </si>
  <si>
    <r>
      <t>e</t>
    </r>
    <r>
      <rPr>
        <vertAlign val="subscript"/>
        <sz val="10"/>
        <rFont val="Arial"/>
        <family val="2"/>
      </rPr>
      <t>x</t>
    </r>
  </si>
  <si>
    <t>Exercise 2.13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</si>
  <si>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50</t>
    </r>
  </si>
  <si>
    <t>Mean</t>
  </si>
  <si>
    <t>Variance</t>
  </si>
  <si>
    <r>
      <t>1.03</t>
    </r>
    <r>
      <rPr>
        <vertAlign val="superscript"/>
        <sz val="10"/>
        <rFont val="Arial"/>
        <family val="2"/>
      </rPr>
      <t>t</t>
    </r>
  </si>
  <si>
    <r>
      <t>l</t>
    </r>
    <r>
      <rPr>
        <vertAlign val="subscript"/>
        <sz val="10"/>
        <rFont val="Arial"/>
        <family val="2"/>
      </rPr>
      <t>[40]+1+t</t>
    </r>
  </si>
  <si>
    <r>
      <t>d</t>
    </r>
    <r>
      <rPr>
        <vertAlign val="subscript"/>
        <sz val="10"/>
        <rFont val="Arial"/>
        <family val="2"/>
      </rPr>
      <t>[40]+1+t</t>
    </r>
  </si>
  <si>
    <r>
      <t>l</t>
    </r>
    <r>
      <rPr>
        <vertAlign val="subscript"/>
        <sz val="10"/>
        <rFont val="Arial"/>
        <family val="2"/>
      </rPr>
      <t>[40]+t</t>
    </r>
  </si>
  <si>
    <r>
      <t>d</t>
    </r>
    <r>
      <rPr>
        <vertAlign val="subscript"/>
        <sz val="10"/>
        <rFont val="Arial"/>
        <family val="2"/>
      </rPr>
      <t>[40]+t</t>
    </r>
  </si>
  <si>
    <t>E[PV]</t>
  </si>
  <si>
    <r>
      <t>E[PV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]</t>
    </r>
  </si>
  <si>
    <t xml:space="preserve">t = </t>
  </si>
  <si>
    <t>Probability</t>
  </si>
  <si>
    <t>Standard deviation is</t>
  </si>
  <si>
    <t>Exercise 4.16</t>
  </si>
  <si>
    <t>Part (a)(i)</t>
  </si>
  <si>
    <t>Part (a)(ii)</t>
  </si>
  <si>
    <r>
      <t>p</t>
    </r>
    <r>
      <rPr>
        <vertAlign val="subscript"/>
        <sz val="10"/>
        <rFont val="Arial"/>
        <family val="2"/>
      </rPr>
      <t>50+t</t>
    </r>
  </si>
  <si>
    <r>
      <t>A</t>
    </r>
    <r>
      <rPr>
        <vertAlign val="subscript"/>
        <sz val="10"/>
        <rFont val="Arial"/>
        <family val="2"/>
      </rPr>
      <t>50+t</t>
    </r>
  </si>
  <si>
    <r>
      <t>1/4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50+t</t>
    </r>
  </si>
  <si>
    <r>
      <t>A</t>
    </r>
    <r>
      <rPr>
        <vertAlign val="subscript"/>
        <sz val="10"/>
        <rFont val="Arial"/>
        <family val="2"/>
      </rPr>
      <t>50+t</t>
    </r>
    <r>
      <rPr>
        <vertAlign val="superscript"/>
        <sz val="10"/>
        <rFont val="Arial"/>
        <family val="2"/>
      </rPr>
      <t>(4)</t>
    </r>
  </si>
  <si>
    <r>
      <t>i/i</t>
    </r>
    <r>
      <rPr>
        <vertAlign val="superscript"/>
        <sz val="10"/>
        <rFont val="Arial"/>
        <family val="2"/>
      </rPr>
      <t>(4)</t>
    </r>
    <r>
      <rPr>
        <sz val="10"/>
        <rFont val="Arial"/>
      </rPr>
      <t xml:space="preserve"> = </t>
    </r>
  </si>
  <si>
    <t>Under UDD</t>
  </si>
  <si>
    <r>
      <t>v</t>
    </r>
    <r>
      <rPr>
        <vertAlign val="superscript"/>
        <sz val="10"/>
        <rFont val="Arial"/>
        <family val="2"/>
      </rPr>
      <t>t+0.25</t>
    </r>
  </si>
  <si>
    <t>Answer to (c) is</t>
  </si>
  <si>
    <t xml:space="preserve">EPV = </t>
  </si>
  <si>
    <t>SD[PV] =</t>
  </si>
  <si>
    <t>Expectation of life</t>
  </si>
  <si>
    <t>for 50</t>
  </si>
  <si>
    <t>for 50*</t>
  </si>
  <si>
    <r>
      <rPr>
        <vertAlign val="subscript"/>
        <sz val="10"/>
        <rFont val="Arial"/>
        <family val="2"/>
      </rP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50</t>
    </r>
  </si>
  <si>
    <r>
      <rPr>
        <vertAlign val="subscript"/>
        <sz val="10"/>
        <rFont val="Arial"/>
        <family val="2"/>
      </rP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50</t>
    </r>
    <r>
      <rPr>
        <sz val="10"/>
        <rFont val="Arial"/>
      </rPr>
      <t>*</t>
    </r>
  </si>
  <si>
    <t>Difference</t>
  </si>
  <si>
    <t>2nd moment</t>
  </si>
  <si>
    <r>
      <t>m</t>
    </r>
    <r>
      <rPr>
        <vertAlign val="subscript"/>
        <sz val="10"/>
        <rFont val="Arial"/>
        <family val="2"/>
      </rPr>
      <t>60+t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</si>
  <si>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60</t>
    </r>
  </si>
  <si>
    <t>A bar</t>
  </si>
  <si>
    <t xml:space="preserve">d = </t>
  </si>
  <si>
    <t xml:space="preserve">Number of </t>
  </si>
  <si>
    <r>
      <t>p</t>
    </r>
    <r>
      <rPr>
        <vertAlign val="subscript"/>
        <sz val="10"/>
        <rFont val="Arial"/>
        <family val="2"/>
      </rPr>
      <t>60+t</t>
    </r>
  </si>
  <si>
    <r>
      <t>A</t>
    </r>
    <r>
      <rPr>
        <vertAlign val="subscript"/>
        <sz val="10"/>
        <rFont val="Arial"/>
        <family val="2"/>
      </rPr>
      <t>x</t>
    </r>
  </si>
  <si>
    <r>
      <t>2</t>
    </r>
    <r>
      <rPr>
        <sz val="10"/>
        <rFont val="Arial"/>
      </rPr>
      <t>A</t>
    </r>
    <r>
      <rPr>
        <vertAlign val="subscript"/>
        <sz val="10"/>
        <rFont val="Arial"/>
        <family val="2"/>
      </rPr>
      <t>x</t>
    </r>
  </si>
  <si>
    <t>annuitants</t>
  </si>
  <si>
    <t xml:space="preserve">i = </t>
  </si>
  <si>
    <t>Annuity</t>
  </si>
  <si>
    <t>PV for t</t>
  </si>
  <si>
    <t xml:space="preserve">Variance = </t>
  </si>
  <si>
    <t>Exercise 5.14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</si>
  <si>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65</t>
    </r>
  </si>
  <si>
    <t>Mean is</t>
  </si>
  <si>
    <t>Variance is</t>
  </si>
  <si>
    <t xml:space="preserve">x = </t>
  </si>
  <si>
    <t>End Ins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</si>
  <si>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</t>
    </r>
  </si>
  <si>
    <r>
      <t>v</t>
    </r>
    <r>
      <rPr>
        <vertAlign val="superscript"/>
        <sz val="10"/>
        <rFont val="Arial"/>
        <family val="2"/>
      </rPr>
      <t>t</t>
    </r>
  </si>
  <si>
    <t>EPV</t>
  </si>
  <si>
    <t xml:space="preserve">Premium is </t>
  </si>
  <si>
    <t>Unit</t>
  </si>
  <si>
    <t>Expenses</t>
  </si>
  <si>
    <t>Time in</t>
  </si>
  <si>
    <t>Death</t>
  </si>
  <si>
    <t>Insurance</t>
  </si>
  <si>
    <t>months</t>
  </si>
  <si>
    <t>Benefit</t>
  </si>
  <si>
    <t>Premium is</t>
  </si>
  <si>
    <t>Exercise 6.5</t>
  </si>
  <si>
    <t>Deferred annuity EPV</t>
  </si>
  <si>
    <t>Terminal expenses EPV</t>
  </si>
  <si>
    <t>Deferred</t>
  </si>
  <si>
    <t>Terminal</t>
  </si>
  <si>
    <t>Premium</t>
  </si>
  <si>
    <t>Exercise 6.9</t>
  </si>
  <si>
    <r>
      <t>p</t>
    </r>
    <r>
      <rPr>
        <vertAlign val="subscript"/>
        <sz val="10"/>
        <rFont val="Arial"/>
        <family val="2"/>
      </rPr>
      <t>x+t</t>
    </r>
  </si>
  <si>
    <r>
      <t>p</t>
    </r>
    <r>
      <rPr>
        <vertAlign val="subscript"/>
        <sz val="10"/>
        <rFont val="Arial"/>
        <family val="2"/>
      </rPr>
      <t>[x]+t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</si>
  <si>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[x]</t>
    </r>
  </si>
  <si>
    <t>benefit</t>
  </si>
  <si>
    <t>EPV annuity</t>
  </si>
  <si>
    <t>EPV insurance</t>
  </si>
  <si>
    <t xml:space="preserve">Net premium is </t>
  </si>
  <si>
    <t>Gross premium is</t>
  </si>
  <si>
    <r>
      <t>Mean and second moment of Z</t>
    </r>
    <r>
      <rPr>
        <vertAlign val="subscript"/>
        <sz val="10"/>
        <rFont val="Arial"/>
        <family val="2"/>
      </rPr>
      <t>1</t>
    </r>
  </si>
  <si>
    <r>
      <t>Mean and second moment of Z</t>
    </r>
    <r>
      <rPr>
        <vertAlign val="subscript"/>
        <sz val="10"/>
        <rFont val="Arial"/>
        <family val="2"/>
      </rPr>
      <t>2</t>
    </r>
  </si>
  <si>
    <t>Covariance</t>
  </si>
  <si>
    <r>
      <t>v</t>
    </r>
    <r>
      <rPr>
        <vertAlign val="superscript"/>
        <sz val="10"/>
        <rFont val="Arial"/>
        <family val="2"/>
      </rPr>
      <t>t+1</t>
    </r>
  </si>
  <si>
    <r>
      <t>1.025</t>
    </r>
    <r>
      <rPr>
        <vertAlign val="superscript"/>
        <sz val="10"/>
        <rFont val="Arial"/>
        <family val="2"/>
      </rPr>
      <t>t</t>
    </r>
  </si>
  <si>
    <r>
      <t>v</t>
    </r>
    <r>
      <rPr>
        <vertAlign val="superscript"/>
        <sz val="10"/>
        <rFont val="Arial"/>
        <family val="2"/>
      </rPr>
      <t>2(t+1)</t>
    </r>
  </si>
  <si>
    <r>
      <t>1.025</t>
    </r>
    <r>
      <rPr>
        <vertAlign val="superscript"/>
        <sz val="10"/>
        <rFont val="Arial"/>
        <family val="2"/>
      </rPr>
      <t>2t</t>
    </r>
  </si>
  <si>
    <t>Survival</t>
  </si>
  <si>
    <t>Premium =</t>
  </si>
  <si>
    <t>Simpson's</t>
  </si>
  <si>
    <t>rule</t>
  </si>
  <si>
    <t>EPV is</t>
  </si>
  <si>
    <t>Calculate annuity values via insurance functions</t>
  </si>
  <si>
    <t>For annuities:</t>
  </si>
  <si>
    <t>EPV at 10.25%</t>
  </si>
  <si>
    <t>Premium less expenses EPV</t>
  </si>
  <si>
    <t>Total premium per year</t>
  </si>
  <si>
    <t>Initial expenses</t>
  </si>
  <si>
    <t>EPV non-premium expenses</t>
  </si>
  <si>
    <r>
      <t>t</t>
    </r>
    <r>
      <rPr>
        <sz val="10"/>
        <rFont val="Arial"/>
      </rPr>
      <t>|q</t>
    </r>
    <r>
      <rPr>
        <vertAlign val="subscript"/>
        <sz val="10"/>
        <rFont val="Arial"/>
        <family val="2"/>
      </rPr>
      <t>[x]</t>
    </r>
  </si>
  <si>
    <t>Notes</t>
  </si>
  <si>
    <t>2. Color keys</t>
  </si>
  <si>
    <t>On all worksheets, we use the following color  keys:</t>
  </si>
  <si>
    <t>indicates the cells containing answers</t>
  </si>
  <si>
    <r>
      <t>e</t>
    </r>
    <r>
      <rPr>
        <vertAlign val="subscript"/>
        <sz val="10"/>
        <rFont val="Arial"/>
        <family val="2"/>
      </rPr>
      <t>70</t>
    </r>
    <r>
      <rPr>
        <sz val="10"/>
        <rFont val="Arial"/>
      </rPr>
      <t xml:space="preserve"> = </t>
    </r>
  </si>
  <si>
    <r>
      <t>e</t>
    </r>
    <r>
      <rPr>
        <vertAlign val="subscript"/>
        <sz val="10"/>
        <rFont val="Arial"/>
        <family val="2"/>
      </rPr>
      <t>71</t>
    </r>
    <r>
      <rPr>
        <sz val="10"/>
        <rFont val="Arial"/>
      </rPr>
      <t xml:space="preserve"> = </t>
    </r>
  </si>
  <si>
    <r>
      <t>e</t>
    </r>
    <r>
      <rPr>
        <vertAlign val="subscript"/>
        <sz val="10"/>
        <rFont val="Arial"/>
        <family val="2"/>
      </rPr>
      <t>72</t>
    </r>
    <r>
      <rPr>
        <sz val="10"/>
        <rFont val="Arial"/>
      </rPr>
      <t xml:space="preserve"> = </t>
    </r>
  </si>
  <si>
    <r>
      <t>e</t>
    </r>
    <r>
      <rPr>
        <vertAlign val="subscript"/>
        <sz val="10"/>
        <rFont val="Arial"/>
        <family val="2"/>
      </rPr>
      <t>73</t>
    </r>
    <r>
      <rPr>
        <sz val="10"/>
        <rFont val="Arial"/>
      </rPr>
      <t xml:space="preserve"> = </t>
    </r>
  </si>
  <si>
    <r>
      <t>e</t>
    </r>
    <r>
      <rPr>
        <vertAlign val="subscript"/>
        <sz val="10"/>
        <rFont val="Arial"/>
        <family val="2"/>
      </rPr>
      <t>74</t>
    </r>
    <r>
      <rPr>
        <sz val="10"/>
        <rFont val="Arial"/>
      </rPr>
      <t xml:space="preserve"> = </t>
    </r>
  </si>
  <si>
    <r>
      <t>e</t>
    </r>
    <r>
      <rPr>
        <vertAlign val="subscript"/>
        <sz val="10"/>
        <rFont val="Arial"/>
        <family val="2"/>
      </rPr>
      <t>75</t>
    </r>
    <r>
      <rPr>
        <sz val="10"/>
        <rFont val="Arial"/>
      </rPr>
      <t xml:space="preserve"> = </t>
    </r>
  </si>
  <si>
    <r>
      <t>e</t>
    </r>
    <r>
      <rPr>
        <vertAlign val="superscript"/>
        <sz val="10"/>
        <rFont val="Arial"/>
        <family val="2"/>
      </rPr>
      <t>o</t>
    </r>
    <r>
      <rPr>
        <vertAlign val="subscript"/>
        <sz val="10"/>
        <rFont val="Arial"/>
        <family val="2"/>
      </rPr>
      <t>70</t>
    </r>
    <r>
      <rPr>
        <sz val="10"/>
        <rFont val="Arial"/>
      </rPr>
      <t xml:space="preserve"> = </t>
    </r>
  </si>
  <si>
    <r>
      <t>e</t>
    </r>
    <r>
      <rPr>
        <vertAlign val="superscript"/>
        <sz val="10"/>
        <rFont val="Arial"/>
        <family val="2"/>
      </rPr>
      <t>o</t>
    </r>
    <r>
      <rPr>
        <vertAlign val="subscript"/>
        <sz val="10"/>
        <rFont val="Arial"/>
        <family val="2"/>
      </rPr>
      <t>71</t>
    </r>
    <r>
      <rPr>
        <sz val="10"/>
        <rFont val="Arial"/>
      </rPr>
      <t xml:space="preserve"> = </t>
    </r>
  </si>
  <si>
    <r>
      <t>e</t>
    </r>
    <r>
      <rPr>
        <vertAlign val="superscript"/>
        <sz val="10"/>
        <rFont val="Arial"/>
        <family val="2"/>
      </rPr>
      <t>o</t>
    </r>
    <r>
      <rPr>
        <vertAlign val="subscript"/>
        <sz val="10"/>
        <rFont val="Arial"/>
        <family val="2"/>
      </rPr>
      <t>72</t>
    </r>
    <r>
      <rPr>
        <sz val="10"/>
        <rFont val="Arial"/>
      </rPr>
      <t xml:space="preserve"> = </t>
    </r>
  </si>
  <si>
    <r>
      <t>e</t>
    </r>
    <r>
      <rPr>
        <vertAlign val="superscript"/>
        <sz val="10"/>
        <rFont val="Arial"/>
        <family val="2"/>
      </rPr>
      <t>o</t>
    </r>
    <r>
      <rPr>
        <vertAlign val="subscript"/>
        <sz val="10"/>
        <rFont val="Arial"/>
        <family val="2"/>
      </rPr>
      <t>73</t>
    </r>
    <r>
      <rPr>
        <sz val="10"/>
        <rFont val="Arial"/>
      </rPr>
      <t xml:space="preserve"> = </t>
    </r>
  </si>
  <si>
    <r>
      <t>e</t>
    </r>
    <r>
      <rPr>
        <vertAlign val="superscript"/>
        <sz val="10"/>
        <rFont val="Arial"/>
        <family val="2"/>
      </rPr>
      <t>o</t>
    </r>
    <r>
      <rPr>
        <vertAlign val="subscript"/>
        <sz val="10"/>
        <rFont val="Arial"/>
        <family val="2"/>
      </rPr>
      <t>74</t>
    </r>
    <r>
      <rPr>
        <sz val="10"/>
        <rFont val="Arial"/>
      </rPr>
      <t xml:space="preserve"> = </t>
    </r>
  </si>
  <si>
    <r>
      <t>e</t>
    </r>
    <r>
      <rPr>
        <vertAlign val="superscript"/>
        <sz val="10"/>
        <rFont val="Arial"/>
        <family val="2"/>
      </rPr>
      <t>o</t>
    </r>
    <r>
      <rPr>
        <vertAlign val="subscript"/>
        <sz val="10"/>
        <rFont val="Arial"/>
        <family val="2"/>
      </rPr>
      <t>75</t>
    </r>
    <r>
      <rPr>
        <sz val="10"/>
        <rFont val="Arial"/>
      </rPr>
      <t xml:space="preserve"> = </t>
    </r>
  </si>
  <si>
    <r>
      <t>A</t>
    </r>
    <r>
      <rPr>
        <vertAlign val="subscript"/>
        <sz val="10"/>
        <rFont val="Arial"/>
        <family val="2"/>
      </rPr>
      <t>50</t>
    </r>
    <r>
      <rPr>
        <vertAlign val="superscript"/>
        <sz val="10"/>
        <rFont val="Arial"/>
        <family val="2"/>
      </rPr>
      <t xml:space="preserve">(4) </t>
    </r>
    <r>
      <rPr>
        <sz val="10"/>
        <rFont val="Arial"/>
      </rPr>
      <t>=</t>
    </r>
  </si>
  <si>
    <r>
      <t>A</t>
    </r>
    <r>
      <rPr>
        <vertAlign val="subscript"/>
        <sz val="10"/>
        <rFont val="Arial"/>
        <family val="2"/>
      </rPr>
      <t>100</t>
    </r>
    <r>
      <rPr>
        <vertAlign val="superscript"/>
        <sz val="10"/>
        <rFont val="Arial"/>
        <family val="2"/>
      </rPr>
      <t xml:space="preserve">(4) </t>
    </r>
    <r>
      <rPr>
        <sz val="10"/>
        <rFont val="Arial"/>
      </rPr>
      <t>=</t>
    </r>
  </si>
  <si>
    <r>
      <rPr>
        <sz val="10"/>
        <rFont val="Arial"/>
      </rPr>
      <t>v</t>
    </r>
    <r>
      <rPr>
        <vertAlign val="superscript"/>
        <sz val="10"/>
        <rFont val="Arial"/>
        <family val="2"/>
      </rPr>
      <t>(t+1)</t>
    </r>
  </si>
  <si>
    <r>
      <t>i</t>
    </r>
    <r>
      <rPr>
        <vertAlign val="superscript"/>
        <sz val="10"/>
        <rFont val="Arial"/>
        <family val="2"/>
      </rPr>
      <t>(4)</t>
    </r>
    <r>
      <rPr>
        <sz val="10"/>
        <rFont val="Arial"/>
      </rPr>
      <t xml:space="preserve"> = </t>
    </r>
  </si>
  <si>
    <t>standard actuarial insurance and annuity functions are required. The payment frequency and interest rate can be adjusted in the worksheet to calculate the required functions.</t>
  </si>
  <si>
    <t>be adjusted in the worksheet to calculate the required</t>
  </si>
  <si>
    <t>indicates the cells containing input parameters given in the question</t>
  </si>
  <si>
    <t>indicates calculation cells</t>
  </si>
  <si>
    <t>Calculate insurance functions recursively</t>
  </si>
  <si>
    <t xml:space="preserve">E[PV] = </t>
  </si>
  <si>
    <r>
      <t>V[L</t>
    </r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] = </t>
    </r>
  </si>
  <si>
    <r>
      <t>sd[L</t>
    </r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] = </t>
    </r>
  </si>
  <si>
    <r>
      <t>V[Z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] = </t>
    </r>
  </si>
  <si>
    <r>
      <t>V[Z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] = </t>
    </r>
  </si>
  <si>
    <r>
      <t>Cov(Z</t>
    </r>
    <r>
      <rPr>
        <vertAlign val="subscript"/>
        <sz val="10"/>
        <rFont val="Arial"/>
        <family val="2"/>
      </rPr>
      <t>1</t>
    </r>
    <r>
      <rPr>
        <sz val="10"/>
        <rFont val="Arial"/>
      </rPr>
      <t>,Z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) = </t>
    </r>
  </si>
  <si>
    <r>
      <t>E[Z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] = </t>
    </r>
  </si>
  <si>
    <r>
      <t>E[Z</t>
    </r>
    <r>
      <rPr>
        <vertAlign val="subscript"/>
        <sz val="10"/>
        <rFont val="Arial"/>
        <family val="2"/>
      </rPr>
      <t>1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 xml:space="preserve">] = </t>
    </r>
  </si>
  <si>
    <r>
      <t>E[Z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] = </t>
    </r>
  </si>
  <si>
    <r>
      <t>E[Z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 xml:space="preserve">] = </t>
    </r>
  </si>
  <si>
    <t>Policy value is</t>
  </si>
  <si>
    <t>premiums</t>
  </si>
  <si>
    <t>insurance</t>
  </si>
  <si>
    <r>
      <t>t</t>
    </r>
    <r>
      <rPr>
        <sz val="10"/>
        <rFont val="Arial"/>
      </rPr>
      <t>V</t>
    </r>
  </si>
  <si>
    <r>
      <t>t+</t>
    </r>
    <r>
      <rPr>
        <sz val="10"/>
        <rFont val="Arial"/>
      </rPr>
      <t>V</t>
    </r>
  </si>
  <si>
    <t xml:space="preserve">Annual premium is </t>
  </si>
  <si>
    <t>Parts (b) and (g)</t>
  </si>
  <si>
    <t>Alter cell B3, but set cell E417 to a number first</t>
  </si>
  <si>
    <t>EPV at 40+t</t>
  </si>
  <si>
    <t>Answer appears in cell I93</t>
  </si>
  <si>
    <t>Part (e)</t>
  </si>
  <si>
    <t>Part (g)</t>
  </si>
  <si>
    <t>Time, t</t>
  </si>
  <si>
    <t>PUSI</t>
  </si>
  <si>
    <t>Annuity EPV is</t>
  </si>
  <si>
    <t>End. Ins. EPV is</t>
  </si>
  <si>
    <t xml:space="preserve">Premium rate is </t>
  </si>
  <si>
    <t>Answer appears in cell I94</t>
  </si>
  <si>
    <t>Alter cell B6</t>
  </si>
  <si>
    <t>a due 51:19</t>
  </si>
  <si>
    <t>annuity</t>
  </si>
  <si>
    <t>A 51:19</t>
  </si>
  <si>
    <r>
      <t>1</t>
    </r>
    <r>
      <rPr>
        <sz val="10"/>
        <rFont val="Arial"/>
      </rPr>
      <t>V =</t>
    </r>
  </si>
  <si>
    <r>
      <t>1-t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x+t</t>
    </r>
  </si>
  <si>
    <t>a due 52:18</t>
  </si>
  <si>
    <t>A 52:18</t>
  </si>
  <si>
    <r>
      <t>2</t>
    </r>
    <r>
      <rPr>
        <sz val="10"/>
        <rFont val="Arial"/>
      </rPr>
      <t>V =</t>
    </r>
  </si>
  <si>
    <t>Premium EPV</t>
  </si>
  <si>
    <t>End Ins EPV</t>
  </si>
  <si>
    <t>Annual premium</t>
  </si>
  <si>
    <r>
      <t xml:space="preserve">Use Goal Seek to set this cell to make  </t>
    </r>
    <r>
      <rPr>
        <vertAlign val="subscript"/>
        <sz val="10"/>
        <rFont val="Arial"/>
        <family val="2"/>
      </rPr>
      <t>0</t>
    </r>
    <r>
      <rPr>
        <sz val="10"/>
        <rFont val="Arial"/>
      </rPr>
      <t>V = 0</t>
    </r>
  </si>
  <si>
    <r>
      <t>d</t>
    </r>
    <r>
      <rPr>
        <vertAlign val="subscript"/>
        <sz val="10"/>
        <rFont val="Arial"/>
        <family val="2"/>
      </rPr>
      <t>t</t>
    </r>
  </si>
  <si>
    <r>
      <t>m</t>
    </r>
    <r>
      <rPr>
        <vertAlign val="subscript"/>
        <sz val="10"/>
        <rFont val="Arial"/>
        <family val="2"/>
      </rPr>
      <t>[x]+t</t>
    </r>
  </si>
  <si>
    <t xml:space="preserve">Part (d) </t>
  </si>
  <si>
    <t>Year end dividend</t>
  </si>
  <si>
    <t>Insurance EPV is</t>
  </si>
  <si>
    <t xml:space="preserve"> c = </t>
  </si>
  <si>
    <t>Part (b)(i)</t>
  </si>
  <si>
    <t>DB</t>
  </si>
  <si>
    <t>Acc DB</t>
  </si>
  <si>
    <r>
      <t>1.05</t>
    </r>
    <r>
      <rPr>
        <vertAlign val="superscript"/>
        <sz val="10"/>
        <rFont val="Arial"/>
        <family val="2"/>
      </rPr>
      <t>-t</t>
    </r>
  </si>
  <si>
    <t>Part (b)(ii)</t>
  </si>
  <si>
    <t>At time 5:</t>
  </si>
  <si>
    <t>DB EPV is</t>
  </si>
  <si>
    <t>Acc DB EPV is</t>
  </si>
  <si>
    <r>
      <t>10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30</t>
    </r>
    <r>
      <rPr>
        <vertAlign val="superscript"/>
        <sz val="10"/>
        <rFont val="Arial"/>
        <family val="2"/>
      </rPr>
      <t>01</t>
    </r>
    <r>
      <rPr>
        <sz val="10"/>
        <rFont val="Arial"/>
      </rPr>
      <t xml:space="preserve"> =</t>
    </r>
  </si>
  <si>
    <r>
      <t>10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30</t>
    </r>
    <r>
      <rPr>
        <vertAlign val="superscript"/>
        <sz val="10"/>
        <rFont val="Arial"/>
        <family val="2"/>
      </rPr>
      <t>02</t>
    </r>
    <r>
      <rPr>
        <sz val="10"/>
        <rFont val="Arial"/>
      </rPr>
      <t xml:space="preserve"> =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</si>
  <si>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</t>
    </r>
    <r>
      <rPr>
        <vertAlign val="superscript"/>
        <sz val="10"/>
        <rFont val="Arial"/>
        <family val="2"/>
      </rPr>
      <t>00</t>
    </r>
  </si>
  <si>
    <r>
      <t>m</t>
    </r>
    <r>
      <rPr>
        <vertAlign val="subscript"/>
        <sz val="10"/>
        <rFont val="Arial"/>
        <family val="2"/>
      </rPr>
      <t>x+t</t>
    </r>
    <r>
      <rPr>
        <vertAlign val="superscript"/>
        <sz val="10"/>
        <rFont val="Arial"/>
        <family val="2"/>
      </rPr>
      <t>01</t>
    </r>
  </si>
  <si>
    <t xml:space="preserve">h = </t>
  </si>
  <si>
    <t xml:space="preserve">v = </t>
  </si>
  <si>
    <t>Critical illness</t>
  </si>
  <si>
    <t>Disability</t>
  </si>
  <si>
    <t>Use Goalseek to change this cell to make cell AB6 equal 0</t>
  </si>
  <si>
    <r>
      <t>a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 = </t>
    </r>
  </si>
  <si>
    <r>
      <t>b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 = </t>
    </r>
  </si>
  <si>
    <r>
      <t>c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 = </t>
    </r>
  </si>
  <si>
    <r>
      <t>a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 = </t>
    </r>
  </si>
  <si>
    <r>
      <t>b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 = </t>
    </r>
  </si>
  <si>
    <r>
      <t>c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 = </t>
    </r>
  </si>
  <si>
    <t xml:space="preserve">Annuity = </t>
  </si>
  <si>
    <t xml:space="preserve">Lump sum = </t>
  </si>
  <si>
    <r>
      <rPr>
        <sz val="10"/>
        <rFont val="Symbol"/>
        <family val="1"/>
      </rPr>
      <t>d</t>
    </r>
    <r>
      <rPr>
        <sz val="10"/>
        <rFont val="Arial"/>
      </rPr>
      <t xml:space="preserve"> = </t>
    </r>
  </si>
  <si>
    <r>
      <rPr>
        <sz val="10"/>
        <rFont val="Symbol"/>
        <family val="1"/>
      </rPr>
      <t>d</t>
    </r>
    <r>
      <rPr>
        <sz val="10"/>
        <rFont val="Arial"/>
      </rPr>
      <t xml:space="preserve"> =  </t>
    </r>
  </si>
  <si>
    <t>Monthly premium is</t>
  </si>
  <si>
    <t xml:space="preserve">Monthly premium is </t>
  </si>
  <si>
    <r>
      <rPr>
        <vertAlign val="subscript"/>
        <sz val="10"/>
        <rFont val="Arial"/>
        <family val="2"/>
      </rPr>
      <t>t</t>
    </r>
    <r>
      <rPr>
        <sz val="10"/>
        <rFont val="Arial"/>
      </rPr>
      <t>V</t>
    </r>
    <r>
      <rPr>
        <vertAlign val="superscript"/>
        <sz val="10"/>
        <rFont val="Arial"/>
        <family val="2"/>
      </rPr>
      <t>(0)</t>
    </r>
  </si>
  <si>
    <r>
      <rPr>
        <vertAlign val="subscript"/>
        <sz val="10"/>
        <rFont val="Arial"/>
        <family val="2"/>
      </rPr>
      <t>t</t>
    </r>
    <r>
      <rPr>
        <sz val="10"/>
        <rFont val="Arial"/>
      </rPr>
      <t>V</t>
    </r>
    <r>
      <rPr>
        <vertAlign val="superscript"/>
        <sz val="10"/>
        <rFont val="Arial"/>
        <family val="2"/>
      </rPr>
      <t>(1)</t>
    </r>
  </si>
  <si>
    <r>
      <t>m</t>
    </r>
    <r>
      <rPr>
        <vertAlign val="superscript"/>
        <sz val="10"/>
        <rFont val="Arial"/>
        <family val="2"/>
      </rPr>
      <t>01</t>
    </r>
    <r>
      <rPr>
        <vertAlign val="subscript"/>
        <sz val="10"/>
        <rFont val="Arial"/>
        <family val="2"/>
      </rPr>
      <t>x+t</t>
    </r>
  </si>
  <si>
    <r>
      <t>m</t>
    </r>
    <r>
      <rPr>
        <vertAlign val="superscript"/>
        <sz val="10"/>
        <rFont val="Arial"/>
        <family val="2"/>
      </rPr>
      <t>02</t>
    </r>
    <r>
      <rPr>
        <vertAlign val="subscript"/>
        <sz val="10"/>
        <rFont val="Arial"/>
        <family val="2"/>
      </rPr>
      <t>x+t</t>
    </r>
  </si>
  <si>
    <r>
      <t>m</t>
    </r>
    <r>
      <rPr>
        <vertAlign val="superscript"/>
        <sz val="10"/>
        <rFont val="Arial"/>
        <family val="2"/>
      </rPr>
      <t>03</t>
    </r>
    <r>
      <rPr>
        <vertAlign val="subscript"/>
        <sz val="10"/>
        <rFont val="Arial"/>
        <family val="2"/>
      </rPr>
      <t>x+t</t>
    </r>
  </si>
  <si>
    <r>
      <t>m</t>
    </r>
    <r>
      <rPr>
        <vertAlign val="superscript"/>
        <sz val="10"/>
        <rFont val="Arial"/>
        <family val="2"/>
      </rPr>
      <t>10</t>
    </r>
    <r>
      <rPr>
        <vertAlign val="subscript"/>
        <sz val="10"/>
        <rFont val="Arial"/>
        <family val="2"/>
      </rPr>
      <t>x+t</t>
    </r>
  </si>
  <si>
    <r>
      <t>m</t>
    </r>
    <r>
      <rPr>
        <vertAlign val="superscript"/>
        <sz val="10"/>
        <rFont val="Arial"/>
        <family val="2"/>
      </rPr>
      <t>12</t>
    </r>
    <r>
      <rPr>
        <vertAlign val="subscript"/>
        <sz val="10"/>
        <rFont val="Arial"/>
        <family val="2"/>
      </rPr>
      <t>x+t</t>
    </r>
  </si>
  <si>
    <r>
      <t>m</t>
    </r>
    <r>
      <rPr>
        <vertAlign val="superscript"/>
        <sz val="10"/>
        <rFont val="Arial"/>
        <family val="2"/>
      </rPr>
      <t>13</t>
    </r>
    <r>
      <rPr>
        <vertAlign val="subscript"/>
        <sz val="10"/>
        <rFont val="Arial"/>
        <family val="2"/>
      </rPr>
      <t>x+t</t>
    </r>
  </si>
  <si>
    <r>
      <t>m</t>
    </r>
    <r>
      <rPr>
        <vertAlign val="superscript"/>
        <sz val="10"/>
        <rFont val="Arial"/>
        <family val="2"/>
      </rPr>
      <t>32</t>
    </r>
    <r>
      <rPr>
        <vertAlign val="subscript"/>
        <sz val="10"/>
        <rFont val="Arial"/>
        <family val="2"/>
      </rPr>
      <t>x+t</t>
    </r>
  </si>
  <si>
    <r>
      <t>t</t>
    </r>
    <r>
      <rPr>
        <sz val="10"/>
        <rFont val="Arial"/>
      </rPr>
      <t>p</t>
    </r>
    <r>
      <rPr>
        <vertAlign val="superscript"/>
        <sz val="10"/>
        <rFont val="Symbol"/>
        <family val="1"/>
      </rPr>
      <t>00</t>
    </r>
    <r>
      <rPr>
        <vertAlign val="subscript"/>
        <sz val="10"/>
        <rFont val="Arial"/>
        <family val="2"/>
      </rPr>
      <t>x</t>
    </r>
  </si>
  <si>
    <r>
      <t>t</t>
    </r>
    <r>
      <rPr>
        <sz val="10"/>
        <rFont val="Arial"/>
      </rPr>
      <t>p</t>
    </r>
    <r>
      <rPr>
        <vertAlign val="superscript"/>
        <sz val="10"/>
        <rFont val="Symbol"/>
        <family val="1"/>
      </rPr>
      <t>01</t>
    </r>
    <r>
      <rPr>
        <vertAlign val="subscript"/>
        <sz val="10"/>
        <rFont val="Arial"/>
        <family val="2"/>
      </rPr>
      <t>x</t>
    </r>
  </si>
  <si>
    <r>
      <t>t</t>
    </r>
    <r>
      <rPr>
        <sz val="10"/>
        <rFont val="Arial"/>
      </rPr>
      <t>p</t>
    </r>
    <r>
      <rPr>
        <vertAlign val="superscript"/>
        <sz val="10"/>
        <rFont val="Symbol"/>
        <family val="1"/>
      </rPr>
      <t>02</t>
    </r>
    <r>
      <rPr>
        <vertAlign val="subscript"/>
        <sz val="10"/>
        <rFont val="Arial"/>
        <family val="2"/>
      </rPr>
      <t>x</t>
    </r>
  </si>
  <si>
    <r>
      <t>t</t>
    </r>
    <r>
      <rPr>
        <sz val="10"/>
        <rFont val="Arial"/>
      </rPr>
      <t>p</t>
    </r>
    <r>
      <rPr>
        <vertAlign val="superscript"/>
        <sz val="10"/>
        <rFont val="Symbol"/>
        <family val="1"/>
      </rPr>
      <t>03</t>
    </r>
    <r>
      <rPr>
        <vertAlign val="subscript"/>
        <sz val="10"/>
        <rFont val="Arial"/>
        <family val="2"/>
      </rPr>
      <t>x</t>
    </r>
  </si>
  <si>
    <t xml:space="preserve">gm = </t>
  </si>
  <si>
    <t xml:space="preserve">gf = </t>
  </si>
  <si>
    <t>m =</t>
  </si>
  <si>
    <r>
      <t>m</t>
    </r>
    <r>
      <rPr>
        <vertAlign val="superscript"/>
        <sz val="10"/>
        <rFont val="Arial"/>
        <family val="2"/>
      </rPr>
      <t>03</t>
    </r>
    <r>
      <rPr>
        <vertAlign val="subscript"/>
        <sz val="10"/>
        <rFont val="Arial"/>
        <family val="2"/>
      </rPr>
      <t xml:space="preserve">28+t:27+t </t>
    </r>
    <r>
      <rPr>
        <sz val="10"/>
        <rFont val="Arial"/>
      </rPr>
      <t>+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</si>
  <si>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28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</si>
  <si>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27</t>
    </r>
  </si>
  <si>
    <r>
      <t>m</t>
    </r>
    <r>
      <rPr>
        <vertAlign val="superscript"/>
        <sz val="10"/>
        <rFont val="Arial"/>
        <family val="2"/>
      </rPr>
      <t>02</t>
    </r>
    <r>
      <rPr>
        <vertAlign val="subscript"/>
        <sz val="10"/>
        <rFont val="Arial"/>
        <family val="2"/>
      </rPr>
      <t>28+t:27+t</t>
    </r>
  </si>
  <si>
    <t xml:space="preserve">xm = </t>
  </si>
  <si>
    <t xml:space="preserve">xf = </t>
  </si>
  <si>
    <r>
      <t>e</t>
    </r>
    <r>
      <rPr>
        <vertAlign val="superscript"/>
        <sz val="10"/>
        <rFont val="Arial"/>
        <family val="2"/>
      </rPr>
      <t>-mt</t>
    </r>
  </si>
  <si>
    <t>Simplson's</t>
  </si>
  <si>
    <t>CI</t>
  </si>
  <si>
    <t xml:space="preserve">Simpson's </t>
  </si>
  <si>
    <r>
      <t>m</t>
    </r>
    <r>
      <rPr>
        <vertAlign val="superscript"/>
        <sz val="10"/>
        <rFont val="Arial"/>
        <family val="2"/>
      </rPr>
      <t>01</t>
    </r>
    <r>
      <rPr>
        <vertAlign val="subscript"/>
        <sz val="10"/>
        <rFont val="Arial"/>
        <family val="2"/>
      </rPr>
      <t>x</t>
    </r>
    <r>
      <rPr>
        <sz val="10"/>
        <rFont val="Arial"/>
      </rPr>
      <t xml:space="preserve"> = </t>
    </r>
  </si>
  <si>
    <t>0.001x</t>
  </si>
  <si>
    <r>
      <t>m</t>
    </r>
    <r>
      <rPr>
        <vertAlign val="superscript"/>
        <sz val="10"/>
        <rFont val="Arial"/>
        <family val="2"/>
      </rPr>
      <t>02</t>
    </r>
    <r>
      <rPr>
        <vertAlign val="subscript"/>
        <sz val="10"/>
        <rFont val="Arial"/>
        <family val="2"/>
      </rPr>
      <t>x</t>
    </r>
    <r>
      <rPr>
        <sz val="10"/>
        <rFont val="Arial"/>
      </rPr>
      <t xml:space="preserve"> = </t>
    </r>
  </si>
  <si>
    <r>
      <t>m</t>
    </r>
    <r>
      <rPr>
        <vertAlign val="superscript"/>
        <sz val="10"/>
        <rFont val="Arial"/>
        <family val="2"/>
      </rPr>
      <t>03</t>
    </r>
    <r>
      <rPr>
        <vertAlign val="subscript"/>
        <sz val="10"/>
        <rFont val="Arial"/>
        <family val="2"/>
      </rPr>
      <t>x</t>
    </r>
    <r>
      <rPr>
        <sz val="10"/>
        <rFont val="Arial"/>
      </rPr>
      <t xml:space="preserve"> = </t>
    </r>
  </si>
  <si>
    <r>
      <t>A + Bc</t>
    </r>
    <r>
      <rPr>
        <vertAlign val="superscript"/>
        <sz val="10"/>
        <rFont val="Arial"/>
        <family val="2"/>
      </rPr>
      <t>x</t>
    </r>
  </si>
  <si>
    <t>Elite</t>
  </si>
  <si>
    <t>mortality</t>
  </si>
  <si>
    <t xml:space="preserve">Levy is </t>
  </si>
  <si>
    <t>This is the answer to (a)(iii)</t>
  </si>
  <si>
    <t xml:space="preserve">EPV of lump sum is </t>
  </si>
  <si>
    <t>EPV of one unit of income is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</si>
  <si>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</t>
    </r>
    <r>
      <rPr>
        <sz val="10"/>
        <rFont val="Arial"/>
      </rPr>
      <t>'</t>
    </r>
  </si>
  <si>
    <t>A =</t>
  </si>
  <si>
    <t>B =</t>
  </si>
  <si>
    <r>
      <t>m</t>
    </r>
    <r>
      <rPr>
        <vertAlign val="subscript"/>
        <sz val="10"/>
        <rFont val="Arial"/>
        <family val="2"/>
      </rPr>
      <t>30+t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</si>
  <si>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40</t>
    </r>
  </si>
  <si>
    <t>Exercise 8.12</t>
  </si>
  <si>
    <t>Smith</t>
  </si>
  <si>
    <t>Jones</t>
  </si>
  <si>
    <r>
      <t>m</t>
    </r>
    <r>
      <rPr>
        <vertAlign val="subscript"/>
        <sz val="10"/>
        <rFont val="Arial"/>
        <family val="2"/>
      </rPr>
      <t>x+t</t>
    </r>
  </si>
  <si>
    <t>Exercise 8.13</t>
  </si>
  <si>
    <t>Part (f)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</si>
  <si>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25</t>
    </r>
  </si>
  <si>
    <r>
      <t>m</t>
    </r>
    <r>
      <rPr>
        <vertAlign val="subscript"/>
        <sz val="10"/>
        <rFont val="Arial"/>
        <family val="2"/>
      </rPr>
      <t>25+t</t>
    </r>
  </si>
  <si>
    <t>Prob'y</t>
  </si>
  <si>
    <t>paying</t>
  </si>
  <si>
    <t>still a</t>
  </si>
  <si>
    <t>premium</t>
  </si>
  <si>
    <t>p/holder</t>
  </si>
  <si>
    <t>payable</t>
  </si>
  <si>
    <r>
      <t>d</t>
    </r>
    <r>
      <rPr>
        <sz val="10"/>
        <rFont val="Arial"/>
      </rPr>
      <t xml:space="preserve"> = </t>
    </r>
  </si>
  <si>
    <r>
      <t>i/</t>
    </r>
    <r>
      <rPr>
        <sz val="10"/>
        <rFont val="Symbol"/>
        <family val="1"/>
      </rPr>
      <t>d</t>
    </r>
    <r>
      <rPr>
        <sz val="10"/>
        <rFont val="Arial"/>
      </rPr>
      <t xml:space="preserve"> = </t>
    </r>
  </si>
  <si>
    <t>Age (last b/d)</t>
  </si>
  <si>
    <t>m</t>
  </si>
  <si>
    <t>Pr[survive sem]</t>
  </si>
  <si>
    <t>Pr[pass]</t>
  </si>
  <si>
    <t>Pr[student]</t>
  </si>
  <si>
    <t>Fee</t>
  </si>
  <si>
    <t>Probability of "Survival"</t>
  </si>
  <si>
    <t>Pr[employee]</t>
  </si>
  <si>
    <t>Withdrawal</t>
  </si>
  <si>
    <t>Retirement</t>
  </si>
  <si>
    <t xml:space="preserve">Bm = </t>
  </si>
  <si>
    <t xml:space="preserve">Bf = </t>
  </si>
  <si>
    <t xml:space="preserve">cm = </t>
  </si>
  <si>
    <t xml:space="preserve">cf = 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</si>
  <si>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24</t>
    </r>
  </si>
  <si>
    <r>
      <t>m</t>
    </r>
    <r>
      <rPr>
        <vertAlign val="subscript"/>
        <sz val="10"/>
        <rFont val="Arial"/>
        <family val="2"/>
      </rPr>
      <t>28+t</t>
    </r>
  </si>
  <si>
    <r>
      <t>m</t>
    </r>
    <r>
      <rPr>
        <vertAlign val="subscript"/>
        <sz val="10"/>
        <rFont val="Arial"/>
        <family val="2"/>
      </rPr>
      <t>24+t</t>
    </r>
  </si>
  <si>
    <t>EPV annuity is</t>
  </si>
  <si>
    <t>EPV insurance is</t>
  </si>
  <si>
    <t>Premium per year is</t>
  </si>
  <si>
    <t>Exercise 9.4</t>
  </si>
  <si>
    <t>Discount</t>
  </si>
  <si>
    <t>Final salary</t>
  </si>
  <si>
    <t>Service</t>
  </si>
  <si>
    <r>
      <t>s</t>
    </r>
    <r>
      <rPr>
        <vertAlign val="subscript"/>
        <sz val="10"/>
        <rFont val="Arial"/>
        <family val="2"/>
      </rPr>
      <t>x</t>
    </r>
  </si>
  <si>
    <r>
      <t>l</t>
    </r>
    <r>
      <rPr>
        <vertAlign val="subscript"/>
        <sz val="10"/>
        <rFont val="Arial"/>
        <family val="2"/>
      </rPr>
      <t>x</t>
    </r>
  </si>
  <si>
    <t>Cont'n of 1%</t>
  </si>
  <si>
    <r>
      <t>l</t>
    </r>
    <r>
      <rPr>
        <vertAlign val="subscript"/>
        <sz val="10"/>
        <rFont val="Arial"/>
        <family val="2"/>
      </rPr>
      <t>x+1/2</t>
    </r>
    <r>
      <rPr>
        <sz val="10"/>
        <rFont val="Arial"/>
      </rPr>
      <t>/l</t>
    </r>
    <r>
      <rPr>
        <vertAlign val="subscript"/>
        <sz val="10"/>
        <rFont val="Arial"/>
        <family val="2"/>
      </rPr>
      <t>35</t>
    </r>
  </si>
  <si>
    <t>factor</t>
  </si>
  <si>
    <r>
      <t>r</t>
    </r>
    <r>
      <rPr>
        <vertAlign val="subscript"/>
        <sz val="10"/>
        <rFont val="Arial"/>
        <family val="2"/>
      </rPr>
      <t>x</t>
    </r>
  </si>
  <si>
    <t>fraction</t>
  </si>
  <si>
    <t>s =</t>
  </si>
  <si>
    <t>g =</t>
  </si>
  <si>
    <t>c =</t>
  </si>
  <si>
    <r>
      <t>1/12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</t>
    </r>
  </si>
  <si>
    <r>
      <t>ä</t>
    </r>
    <r>
      <rPr>
        <vertAlign val="subscript"/>
        <sz val="10"/>
        <rFont val="Arial"/>
        <family val="2"/>
      </rPr>
      <t>x</t>
    </r>
    <r>
      <rPr>
        <vertAlign val="superscript"/>
        <sz val="10"/>
        <rFont val="Arial"/>
        <family val="2"/>
      </rPr>
      <t>(12)</t>
    </r>
  </si>
  <si>
    <t>60-</t>
  </si>
  <si>
    <t>Note that all calculations are per unit of salary at age 35.</t>
  </si>
  <si>
    <t xml:space="preserve">m = </t>
  </si>
  <si>
    <t>Annuity calculations (by recursion)</t>
  </si>
  <si>
    <t xml:space="preserve">Retirement </t>
  </si>
  <si>
    <t>age, x</t>
  </si>
  <si>
    <r>
      <t>l</t>
    </r>
    <r>
      <rPr>
        <vertAlign val="subscript"/>
        <sz val="10"/>
        <rFont val="Arial"/>
        <family val="2"/>
      </rPr>
      <t>35</t>
    </r>
    <r>
      <rPr>
        <sz val="10"/>
        <rFont val="Arial"/>
      </rPr>
      <t xml:space="preserve"> =</t>
    </r>
  </si>
  <si>
    <t xml:space="preserve">Normal contribution is </t>
  </si>
  <si>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V = </t>
    </r>
  </si>
  <si>
    <t>Exercise 9.10</t>
  </si>
  <si>
    <t>Annuity factors from Exercise 9.9</t>
  </si>
  <si>
    <r>
      <t>y</t>
    </r>
    <r>
      <rPr>
        <vertAlign val="subscript"/>
        <sz val="10"/>
        <rFont val="Arial"/>
        <family val="2"/>
      </rPr>
      <t>t</t>
    </r>
  </si>
  <si>
    <t>v(t)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</si>
  <si>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45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</si>
  <si>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48</t>
    </r>
  </si>
  <si>
    <t>Year</t>
  </si>
  <si>
    <t>At 5%</t>
  </si>
  <si>
    <r>
      <t>1.11</t>
    </r>
    <r>
      <rPr>
        <vertAlign val="superscript"/>
        <sz val="10"/>
        <rFont val="Arial"/>
        <family val="2"/>
      </rPr>
      <t>-t</t>
    </r>
  </si>
  <si>
    <t>At 11%</t>
  </si>
  <si>
    <t>i = 0.05</t>
  </si>
  <si>
    <t>i = 0.07</t>
  </si>
  <si>
    <t>i = 0.11</t>
  </si>
  <si>
    <t xml:space="preserve">Annuity EPV is </t>
  </si>
  <si>
    <t xml:space="preserve">End Ins EPV is </t>
  </si>
  <si>
    <t>End Ins EPV is</t>
  </si>
  <si>
    <t>EPVFL</t>
  </si>
  <si>
    <t>Overall EPVFL is</t>
  </si>
  <si>
    <t>Mean interest rate is</t>
  </si>
  <si>
    <t>Hence EPVFL is 0</t>
  </si>
  <si>
    <t>Sums:</t>
  </si>
  <si>
    <r>
      <t>2</t>
    </r>
    <r>
      <rPr>
        <sz val="10"/>
        <rFont val="Arial"/>
      </rPr>
      <t>A</t>
    </r>
  </si>
  <si>
    <r>
      <t>A</t>
    </r>
    <r>
      <rPr>
        <vertAlign val="superscript"/>
        <sz val="10"/>
        <rFont val="Arial"/>
        <family val="2"/>
      </rPr>
      <t>2</t>
    </r>
  </si>
  <si>
    <t>V(FL | i)</t>
  </si>
  <si>
    <t xml:space="preserve">E[V(FL | i)] = </t>
  </si>
  <si>
    <t xml:space="preserve">V[E(FL | i)] = </t>
  </si>
  <si>
    <t xml:space="preserve">V[FL] = </t>
  </si>
  <si>
    <t xml:space="preserve">stdev[FL] = </t>
  </si>
  <si>
    <r>
      <t>Calculate annuity EPVs at(1+i)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 xml:space="preserve"> - 1</t>
    </r>
  </si>
  <si>
    <t>St Dev</t>
  </si>
  <si>
    <t>90% CI Lower</t>
  </si>
  <si>
    <t>90% CI Upper</t>
  </si>
  <si>
    <t xml:space="preserve">E[Loss at issue] = </t>
  </si>
  <si>
    <t>Simulation</t>
  </si>
  <si>
    <t>from U(0,1)</t>
  </si>
  <si>
    <t>Simulated</t>
  </si>
  <si>
    <t>Sum insured</t>
  </si>
  <si>
    <t>lifetime</t>
  </si>
  <si>
    <t>future loss</t>
  </si>
  <si>
    <t>Parts (b) and (c )</t>
  </si>
  <si>
    <t>Term Insurance EPV is</t>
  </si>
  <si>
    <t>from N(0,1)</t>
  </si>
  <si>
    <t>interest rate</t>
  </si>
  <si>
    <t>Future loss</t>
  </si>
  <si>
    <t>Exercise 11.2</t>
  </si>
  <si>
    <t>A</t>
  </si>
  <si>
    <t>i</t>
  </si>
  <si>
    <t>B</t>
  </si>
  <si>
    <t>Profit Vector</t>
  </si>
  <si>
    <t>EDB</t>
  </si>
  <si>
    <t>Pr</t>
  </si>
  <si>
    <t>c</t>
  </si>
  <si>
    <t xml:space="preserve">S = </t>
  </si>
  <si>
    <t>Interest</t>
  </si>
  <si>
    <r>
      <rPr>
        <vertAlign val="subscript"/>
        <sz val="10"/>
        <rFont val="Arial"/>
        <family val="2"/>
      </rP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</t>
    </r>
  </si>
  <si>
    <t>(c)</t>
  </si>
  <si>
    <t>NPV</t>
  </si>
  <si>
    <t>(f)</t>
  </si>
  <si>
    <t>NPV at 50%</t>
  </si>
  <si>
    <t>(g)</t>
  </si>
  <si>
    <t>IRR</t>
  </si>
  <si>
    <t>(d)</t>
  </si>
  <si>
    <t>IRR &gt; 50%?</t>
  </si>
  <si>
    <t>NPV at IRR</t>
  </si>
  <si>
    <t>(e)</t>
  </si>
  <si>
    <t>DPP</t>
  </si>
  <si>
    <t>3 Years</t>
  </si>
  <si>
    <t>(a)</t>
  </si>
  <si>
    <t>(b)</t>
  </si>
  <si>
    <r>
      <rPr>
        <vertAlign val="subscript"/>
        <sz val="10"/>
        <color theme="1"/>
        <rFont val="Arial"/>
      </rPr>
      <t>t-1</t>
    </r>
    <r>
      <rPr>
        <sz val="10"/>
        <rFont val="Arial"/>
      </rPr>
      <t>V</t>
    </r>
  </si>
  <si>
    <r>
      <t>P</t>
    </r>
    <r>
      <rPr>
        <vertAlign val="subscript"/>
        <sz val="10"/>
        <color theme="1"/>
        <rFont val="Arial"/>
      </rPr>
      <t>t</t>
    </r>
  </si>
  <si>
    <r>
      <t>E</t>
    </r>
    <r>
      <rPr>
        <vertAlign val="subscript"/>
        <sz val="10"/>
        <color theme="1"/>
        <rFont val="Arial"/>
      </rPr>
      <t>t</t>
    </r>
  </si>
  <si>
    <r>
      <rPr>
        <sz val="10"/>
        <rFont val="Arial"/>
      </rPr>
      <t>I</t>
    </r>
    <r>
      <rPr>
        <vertAlign val="subscript"/>
        <sz val="10"/>
        <color theme="1"/>
        <rFont val="Arial"/>
      </rPr>
      <t>t</t>
    </r>
  </si>
  <si>
    <r>
      <t>EDB</t>
    </r>
    <r>
      <rPr>
        <vertAlign val="subscript"/>
        <sz val="10"/>
        <color theme="1"/>
        <rFont val="Arial"/>
      </rPr>
      <t>t</t>
    </r>
  </si>
  <si>
    <r>
      <t>EV</t>
    </r>
    <r>
      <rPr>
        <vertAlign val="subscript"/>
        <sz val="10"/>
        <color theme="1"/>
        <rFont val="Arial"/>
      </rPr>
      <t>t</t>
    </r>
  </si>
  <si>
    <r>
      <t>Pr</t>
    </r>
    <r>
      <rPr>
        <vertAlign val="subscript"/>
        <sz val="10"/>
        <color theme="1"/>
        <rFont val="Arial"/>
      </rPr>
      <t>t</t>
    </r>
  </si>
  <si>
    <r>
      <t>v</t>
    </r>
    <r>
      <rPr>
        <vertAlign val="superscript"/>
        <sz val="10"/>
        <color theme="1"/>
        <rFont val="Arial"/>
      </rPr>
      <t>t</t>
    </r>
  </si>
  <si>
    <r>
      <t>NPV</t>
    </r>
    <r>
      <rPr>
        <vertAlign val="subscript"/>
        <sz val="10"/>
        <color theme="1"/>
        <rFont val="Arial"/>
      </rPr>
      <t>t</t>
    </r>
  </si>
  <si>
    <r>
      <t>q</t>
    </r>
    <r>
      <rPr>
        <vertAlign val="subscript"/>
        <sz val="10"/>
        <color theme="1"/>
        <rFont val="Arial"/>
      </rPr>
      <t>60+t-1</t>
    </r>
  </si>
  <si>
    <r>
      <rPr>
        <vertAlign val="subscript"/>
        <sz val="10"/>
        <color theme="1"/>
        <rFont val="Arial"/>
      </rPr>
      <t>t-1</t>
    </r>
    <r>
      <rPr>
        <sz val="10"/>
        <rFont val="Arial"/>
      </rPr>
      <t>p</t>
    </r>
    <r>
      <rPr>
        <vertAlign val="subscript"/>
        <sz val="10"/>
        <color theme="1"/>
        <rFont val="Arial"/>
      </rPr>
      <t>60</t>
    </r>
  </si>
  <si>
    <r>
      <t>v</t>
    </r>
    <r>
      <rPr>
        <vertAlign val="superscript"/>
        <sz val="10"/>
        <color theme="1"/>
        <rFont val="Arial"/>
      </rPr>
      <t>t</t>
    </r>
    <r>
      <rPr>
        <sz val="10"/>
        <rFont val="Arial"/>
      </rPr>
      <t xml:space="preserve"> at 50%</t>
    </r>
  </si>
  <si>
    <r>
      <t>v</t>
    </r>
    <r>
      <rPr>
        <vertAlign val="superscript"/>
        <sz val="10"/>
        <color theme="1"/>
        <rFont val="Arial"/>
      </rPr>
      <t>t</t>
    </r>
    <r>
      <rPr>
        <sz val="10"/>
        <rFont val="Arial"/>
      </rPr>
      <t xml:space="preserve"> at IRR</t>
    </r>
  </si>
  <si>
    <t>S =</t>
  </si>
  <si>
    <t xml:space="preserve">P = </t>
  </si>
  <si>
    <t xml:space="preserve">RDR = </t>
  </si>
  <si>
    <t>Profit Margin</t>
  </si>
  <si>
    <t>Risk Discount Rate</t>
  </si>
  <si>
    <t>Found using solver</t>
  </si>
  <si>
    <t>EPV unit premium</t>
  </si>
  <si>
    <t>Reserves</t>
  </si>
  <si>
    <t>Net Premium</t>
  </si>
  <si>
    <t>Profit Test</t>
  </si>
  <si>
    <t>10-Years</t>
  </si>
  <si>
    <r>
      <t>p</t>
    </r>
    <r>
      <rPr>
        <vertAlign val="subscript"/>
        <sz val="10"/>
        <color theme="1"/>
        <rFont val="Arial"/>
      </rPr>
      <t>x+t</t>
    </r>
  </si>
  <si>
    <r>
      <t>ä</t>
    </r>
    <r>
      <rPr>
        <vertAlign val="subscript"/>
        <sz val="10"/>
        <color theme="1"/>
        <rFont val="Arial"/>
      </rPr>
      <t>x+t:(20-t)yrs</t>
    </r>
  </si>
  <si>
    <r>
      <t>A</t>
    </r>
    <r>
      <rPr>
        <vertAlign val="subscript"/>
        <sz val="10"/>
        <color theme="1"/>
        <rFont val="Arial"/>
      </rPr>
      <t>x+t:(20-t)yrs</t>
    </r>
  </si>
  <si>
    <r>
      <t>ä</t>
    </r>
    <r>
      <rPr>
        <vertAlign val="subscript"/>
        <sz val="10"/>
        <color theme="1"/>
        <rFont val="Arial"/>
      </rPr>
      <t>x+t:(10-t)yrs</t>
    </r>
  </si>
  <si>
    <r>
      <rPr>
        <vertAlign val="subscript"/>
        <sz val="10"/>
        <color theme="1"/>
        <rFont val="Arial"/>
      </rPr>
      <t>t</t>
    </r>
    <r>
      <rPr>
        <sz val="10"/>
        <rFont val="Arial"/>
      </rPr>
      <t>V</t>
    </r>
  </si>
  <si>
    <r>
      <t>I</t>
    </r>
    <r>
      <rPr>
        <vertAlign val="subscript"/>
        <sz val="10"/>
        <color theme="1"/>
        <rFont val="Arial"/>
      </rPr>
      <t>t</t>
    </r>
  </si>
  <si>
    <r>
      <t>EB</t>
    </r>
    <r>
      <rPr>
        <vertAlign val="subscript"/>
        <sz val="10"/>
        <color theme="1"/>
        <rFont val="Arial"/>
      </rPr>
      <t>t</t>
    </r>
  </si>
  <si>
    <r>
      <rPr>
        <vertAlign val="subscript"/>
        <sz val="10"/>
        <color theme="1"/>
        <rFont val="Arial"/>
      </rPr>
      <t>t-1</t>
    </r>
    <r>
      <rPr>
        <sz val="10"/>
        <rFont val="Arial"/>
      </rPr>
      <t>p</t>
    </r>
    <r>
      <rPr>
        <vertAlign val="subscript"/>
        <sz val="10"/>
        <color theme="1"/>
        <rFont val="Arial"/>
      </rPr>
      <t>x</t>
    </r>
  </si>
  <si>
    <r>
      <t>v</t>
    </r>
    <r>
      <rPr>
        <vertAlign val="superscript"/>
        <sz val="10"/>
        <color theme="1"/>
        <rFont val="Arial"/>
      </rPr>
      <t>t</t>
    </r>
    <r>
      <rPr>
        <vertAlign val="subscript"/>
        <sz val="10"/>
        <color theme="1"/>
        <rFont val="Arial"/>
      </rPr>
      <t xml:space="preserve"> rdr</t>
    </r>
  </si>
  <si>
    <t>Target Profit Margin</t>
  </si>
  <si>
    <t>for reserves</t>
  </si>
  <si>
    <t>Net Premium is</t>
  </si>
  <si>
    <r>
      <rPr>
        <sz val="10"/>
        <color theme="1"/>
        <rFont val="Symbol"/>
      </rPr>
      <t>P</t>
    </r>
    <r>
      <rPr>
        <vertAlign val="subscript"/>
        <sz val="10"/>
        <color theme="1"/>
        <rFont val="Arial"/>
      </rPr>
      <t>t</t>
    </r>
  </si>
  <si>
    <t>Exercise 11.5</t>
  </si>
  <si>
    <t>Calculate Reserves</t>
  </si>
  <si>
    <r>
      <rPr>
        <vertAlign val="subscript"/>
        <sz val="10"/>
        <color theme="1"/>
        <rFont val="Arial"/>
      </rPr>
      <t>1/12</t>
    </r>
    <r>
      <rPr>
        <sz val="10"/>
        <rFont val="Arial"/>
      </rPr>
      <t>p</t>
    </r>
    <r>
      <rPr>
        <vertAlign val="subscript"/>
        <sz val="10"/>
        <color theme="1"/>
        <rFont val="Arial"/>
      </rPr>
      <t>x+t</t>
    </r>
  </si>
  <si>
    <r>
      <t>ä</t>
    </r>
    <r>
      <rPr>
        <vertAlign val="superscript"/>
        <sz val="10"/>
        <color theme="1"/>
        <rFont val="Arial"/>
      </rPr>
      <t>(12)</t>
    </r>
    <r>
      <rPr>
        <vertAlign val="subscript"/>
        <sz val="10"/>
        <color theme="1"/>
        <rFont val="Arial"/>
      </rPr>
      <t>x+t:(20-t)yrs</t>
    </r>
  </si>
  <si>
    <r>
      <rPr>
        <vertAlign val="subscript"/>
        <sz val="10"/>
        <color theme="1"/>
        <rFont val="Arial"/>
      </rPr>
      <t>20-t</t>
    </r>
    <r>
      <rPr>
        <sz val="10"/>
        <rFont val="Arial"/>
      </rPr>
      <t>E</t>
    </r>
    <r>
      <rPr>
        <vertAlign val="subscript"/>
        <sz val="10"/>
        <color theme="1"/>
        <rFont val="Arial"/>
      </rPr>
      <t>x+t</t>
    </r>
  </si>
  <si>
    <r>
      <rPr>
        <sz val="10"/>
        <color theme="1"/>
        <rFont val="Arial"/>
      </rPr>
      <t>Ā</t>
    </r>
    <r>
      <rPr>
        <vertAlign val="subscript"/>
        <sz val="10"/>
        <color theme="1"/>
        <rFont val="Arial"/>
      </rPr>
      <t>x+t:(20-t)yrs</t>
    </r>
  </si>
  <si>
    <r>
      <t>ä</t>
    </r>
    <r>
      <rPr>
        <vertAlign val="superscript"/>
        <sz val="10"/>
        <color theme="1"/>
        <rFont val="Arial"/>
      </rPr>
      <t>(12)</t>
    </r>
    <r>
      <rPr>
        <vertAlign val="subscript"/>
        <sz val="10"/>
        <color theme="1"/>
        <rFont val="Arial"/>
      </rPr>
      <t>x+t:(10-t)yrs</t>
    </r>
  </si>
  <si>
    <r>
      <rPr>
        <vertAlign val="subscript"/>
        <sz val="10"/>
        <color theme="1"/>
        <rFont val="Arial"/>
      </rPr>
      <t>t-1/12</t>
    </r>
    <r>
      <rPr>
        <sz val="10"/>
        <rFont val="Arial"/>
      </rPr>
      <t>V</t>
    </r>
  </si>
  <si>
    <r>
      <rPr>
        <vertAlign val="subscript"/>
        <sz val="10"/>
        <color theme="1"/>
        <rFont val="Arial"/>
      </rPr>
      <t>t-1/12</t>
    </r>
    <r>
      <rPr>
        <sz val="10"/>
        <rFont val="Arial"/>
      </rPr>
      <t>p</t>
    </r>
    <r>
      <rPr>
        <vertAlign val="subscript"/>
        <sz val="10"/>
        <color theme="1"/>
        <rFont val="Arial"/>
      </rPr>
      <t>x</t>
    </r>
  </si>
  <si>
    <t>Risk discount rate</t>
  </si>
  <si>
    <t xml:space="preserve">δ = </t>
  </si>
  <si>
    <r>
      <t>d</t>
    </r>
    <r>
      <rPr>
        <vertAlign val="superscript"/>
        <sz val="10"/>
        <rFont val="Arial"/>
        <family val="2"/>
      </rPr>
      <t>(12)</t>
    </r>
    <r>
      <rPr>
        <sz val="10"/>
        <rFont val="Arial"/>
      </rPr>
      <t xml:space="preserve"> = </t>
    </r>
  </si>
  <si>
    <t>Exercise 11.6</t>
  </si>
  <si>
    <t>EPV Benefits</t>
  </si>
  <si>
    <t xml:space="preserve">EPV $1 expenses </t>
  </si>
  <si>
    <t>v</t>
  </si>
  <si>
    <t>In force at t</t>
  </si>
  <si>
    <t>Profit Signature</t>
  </si>
  <si>
    <t>Both alive at t-1</t>
  </si>
  <si>
    <r>
      <rPr>
        <vertAlign val="subscript"/>
        <sz val="10"/>
        <color theme="1"/>
        <rFont val="Arial"/>
      </rPr>
      <t>t-1</t>
    </r>
    <r>
      <rPr>
        <sz val="10"/>
        <rFont val="Arial"/>
      </rPr>
      <t>V</t>
    </r>
    <r>
      <rPr>
        <vertAlign val="superscript"/>
        <sz val="10"/>
        <color theme="1"/>
        <rFont val="Arial"/>
      </rPr>
      <t>(0)</t>
    </r>
  </si>
  <si>
    <r>
      <t>EV</t>
    </r>
    <r>
      <rPr>
        <vertAlign val="superscript"/>
        <sz val="10"/>
        <color theme="1"/>
        <rFont val="Arial"/>
      </rPr>
      <t>(0)</t>
    </r>
    <r>
      <rPr>
        <vertAlign val="subscript"/>
        <sz val="10"/>
        <color theme="1"/>
        <rFont val="Arial"/>
      </rPr>
      <t>t</t>
    </r>
  </si>
  <si>
    <r>
      <t>EV</t>
    </r>
    <r>
      <rPr>
        <vertAlign val="superscript"/>
        <sz val="10"/>
        <color theme="1"/>
        <rFont val="Arial"/>
      </rPr>
      <t>(1)</t>
    </r>
    <r>
      <rPr>
        <vertAlign val="subscript"/>
        <sz val="10"/>
        <color theme="1"/>
        <rFont val="Arial"/>
      </rPr>
      <t>t</t>
    </r>
  </si>
  <si>
    <r>
      <t>Pr</t>
    </r>
    <r>
      <rPr>
        <vertAlign val="superscript"/>
        <sz val="10"/>
        <color theme="1"/>
        <rFont val="Arial"/>
      </rPr>
      <t>(0)</t>
    </r>
    <r>
      <rPr>
        <vertAlign val="subscript"/>
        <sz val="10"/>
        <color theme="1"/>
        <rFont val="Arial"/>
      </rPr>
      <t>t</t>
    </r>
  </si>
  <si>
    <r>
      <rPr>
        <vertAlign val="subscript"/>
        <sz val="10"/>
        <color theme="1"/>
        <rFont val="Arial"/>
      </rPr>
      <t>t-1</t>
    </r>
    <r>
      <rPr>
        <sz val="10"/>
        <rFont val="Arial"/>
      </rPr>
      <t>V</t>
    </r>
    <r>
      <rPr>
        <vertAlign val="superscript"/>
        <sz val="10"/>
        <color theme="1"/>
        <rFont val="Arial"/>
      </rPr>
      <t>(1)</t>
    </r>
  </si>
  <si>
    <r>
      <t>Pr</t>
    </r>
    <r>
      <rPr>
        <vertAlign val="superscript"/>
        <sz val="10"/>
        <color theme="1"/>
        <rFont val="Arial"/>
      </rPr>
      <t>(1)</t>
    </r>
    <r>
      <rPr>
        <vertAlign val="subscript"/>
        <sz val="10"/>
        <color theme="1"/>
        <rFont val="Arial"/>
      </rPr>
      <t>t</t>
    </r>
  </si>
  <si>
    <r>
      <rPr>
        <vertAlign val="subscript"/>
        <sz val="10"/>
        <color theme="1"/>
        <rFont val="Arial"/>
      </rPr>
      <t>t</t>
    </r>
    <r>
      <rPr>
        <sz val="10"/>
        <color theme="1"/>
        <rFont val="Arial"/>
      </rPr>
      <t>p</t>
    </r>
    <r>
      <rPr>
        <vertAlign val="subscript"/>
        <sz val="10"/>
        <color theme="1"/>
        <rFont val="Arial"/>
      </rPr>
      <t>x</t>
    </r>
  </si>
  <si>
    <r>
      <t>q</t>
    </r>
    <r>
      <rPr>
        <vertAlign val="subscript"/>
        <sz val="10"/>
        <color theme="1"/>
        <rFont val="Arial"/>
      </rPr>
      <t>x+t</t>
    </r>
  </si>
  <si>
    <r>
      <rPr>
        <vertAlign val="subscript"/>
        <sz val="10"/>
        <color theme="1"/>
        <rFont val="Arial"/>
      </rPr>
      <t>t</t>
    </r>
    <r>
      <rPr>
        <sz val="10"/>
        <color theme="1"/>
        <rFont val="Arial"/>
      </rPr>
      <t>q</t>
    </r>
    <r>
      <rPr>
        <vertAlign val="subscript"/>
        <sz val="10"/>
        <color theme="1"/>
        <rFont val="Arial"/>
      </rPr>
      <t>x</t>
    </r>
  </si>
  <si>
    <t>1st death (only) in year t to t+1</t>
  </si>
  <si>
    <t>2nd death (only)  in year t to t+1</t>
  </si>
  <si>
    <t>Both deaths in year t to t+1</t>
  </si>
  <si>
    <t xml:space="preserve">Part (c) </t>
  </si>
  <si>
    <r>
      <rPr>
        <vertAlign val="subscript"/>
        <sz val="10"/>
        <color theme="1"/>
        <rFont val="Arial"/>
      </rPr>
      <t>t</t>
    </r>
    <r>
      <rPr>
        <sz val="10"/>
        <color theme="1"/>
        <rFont val="Arial"/>
      </rPr>
      <t>V</t>
    </r>
    <r>
      <rPr>
        <vertAlign val="superscript"/>
        <sz val="10"/>
        <color theme="1"/>
        <rFont val="Arial"/>
      </rPr>
      <t>(0)</t>
    </r>
  </si>
  <si>
    <r>
      <rPr>
        <vertAlign val="subscript"/>
        <sz val="10"/>
        <color theme="1"/>
        <rFont val="Arial"/>
      </rPr>
      <t>t</t>
    </r>
    <r>
      <rPr>
        <sz val="10"/>
        <color theme="1"/>
        <rFont val="Arial"/>
      </rPr>
      <t>V</t>
    </r>
    <r>
      <rPr>
        <vertAlign val="superscript"/>
        <sz val="10"/>
        <color theme="1"/>
        <rFont val="Arial"/>
      </rPr>
      <t>(1)</t>
    </r>
  </si>
  <si>
    <t>Only 1 alive at t-1</t>
  </si>
  <si>
    <r>
      <t>E</t>
    </r>
    <r>
      <rPr>
        <vertAlign val="subscript"/>
        <sz val="10"/>
        <rFont val="Arial"/>
        <family val="2"/>
      </rPr>
      <t>t</t>
    </r>
  </si>
  <si>
    <r>
      <t>I</t>
    </r>
    <r>
      <rPr>
        <vertAlign val="subscript"/>
        <sz val="10"/>
        <rFont val="Arial"/>
        <family val="2"/>
      </rPr>
      <t>t</t>
    </r>
  </si>
  <si>
    <r>
      <rPr>
        <vertAlign val="subscript"/>
        <sz val="10"/>
        <color theme="1"/>
        <rFont val="Arial"/>
      </rPr>
      <t>t-1</t>
    </r>
    <r>
      <rPr>
        <sz val="10"/>
        <rFont val="Arial"/>
      </rPr>
      <t>p</t>
    </r>
    <r>
      <rPr>
        <vertAlign val="subscript"/>
        <sz val="10"/>
        <color theme="1"/>
        <rFont val="Arial"/>
      </rPr>
      <t>xx</t>
    </r>
  </si>
  <si>
    <t>3% of premium</t>
  </si>
  <si>
    <t>Profit test: Both alive at t-1</t>
  </si>
  <si>
    <t>Profit Test: H alive at t-1, W died</t>
  </si>
  <si>
    <r>
      <rPr>
        <vertAlign val="subscript"/>
        <sz val="10"/>
        <color theme="1"/>
        <rFont val="Arial"/>
      </rPr>
      <t>t</t>
    </r>
    <r>
      <rPr>
        <sz val="10"/>
        <rFont val="Arial"/>
      </rPr>
      <t>p</t>
    </r>
    <r>
      <rPr>
        <vertAlign val="subscript"/>
        <sz val="10"/>
        <color theme="1"/>
        <rFont val="Arial"/>
      </rPr>
      <t>x</t>
    </r>
  </si>
  <si>
    <r>
      <rPr>
        <vertAlign val="subscript"/>
        <sz val="10"/>
        <color theme="1"/>
        <rFont val="Arial"/>
      </rPr>
      <t>t</t>
    </r>
    <r>
      <rPr>
        <sz val="10"/>
        <rFont val="Arial"/>
      </rPr>
      <t>V</t>
    </r>
    <r>
      <rPr>
        <vertAlign val="superscript"/>
        <sz val="10"/>
        <color theme="1"/>
        <rFont val="Arial"/>
      </rPr>
      <t>(0)</t>
    </r>
  </si>
  <si>
    <r>
      <rPr>
        <vertAlign val="subscript"/>
        <sz val="10"/>
        <color theme="1"/>
        <rFont val="Arial"/>
      </rPr>
      <t>t</t>
    </r>
    <r>
      <rPr>
        <sz val="10"/>
        <rFont val="Arial"/>
      </rPr>
      <t>V</t>
    </r>
    <r>
      <rPr>
        <vertAlign val="superscript"/>
        <sz val="10"/>
        <color theme="1"/>
        <rFont val="Arial"/>
      </rPr>
      <t>(1)</t>
    </r>
  </si>
  <si>
    <r>
      <t>v</t>
    </r>
    <r>
      <rPr>
        <vertAlign val="superscript"/>
        <sz val="10"/>
        <color theme="1"/>
        <rFont val="Arial"/>
      </rPr>
      <t>t</t>
    </r>
    <r>
      <rPr>
        <sz val="10"/>
        <rFont val="Arial"/>
      </rPr>
      <t xml:space="preserve"> </t>
    </r>
    <r>
      <rPr>
        <vertAlign val="subscript"/>
        <sz val="10"/>
        <color theme="1"/>
        <rFont val="Arial"/>
      </rPr>
      <t>rdr</t>
    </r>
  </si>
  <si>
    <t xml:space="preserve">X = </t>
  </si>
  <si>
    <r>
      <t>t</t>
    </r>
    <r>
      <rPr>
        <sz val="10"/>
        <rFont val="Arial"/>
      </rPr>
      <t>q</t>
    </r>
    <r>
      <rPr>
        <vertAlign val="subscript"/>
        <sz val="10"/>
        <rFont val="Arial"/>
        <family val="2"/>
      </rPr>
      <t>x</t>
    </r>
  </si>
  <si>
    <t>Interest rate</t>
  </si>
  <si>
    <r>
      <t>P</t>
    </r>
    <r>
      <rPr>
        <vertAlign val="subscript"/>
        <sz val="10"/>
        <rFont val="Arial"/>
        <family val="2"/>
      </rPr>
      <t>t</t>
    </r>
  </si>
  <si>
    <r>
      <t>EV</t>
    </r>
    <r>
      <rPr>
        <vertAlign val="subscript"/>
        <sz val="10"/>
        <rFont val="Arial"/>
        <family val="2"/>
      </rPr>
      <t>t</t>
    </r>
    <r>
      <rPr>
        <vertAlign val="superscript"/>
        <sz val="10"/>
        <color theme="1"/>
        <rFont val="Arial"/>
      </rPr>
      <t>(0)</t>
    </r>
  </si>
  <si>
    <r>
      <t>EV</t>
    </r>
    <r>
      <rPr>
        <vertAlign val="subscript"/>
        <sz val="10"/>
        <rFont val="Arial"/>
        <family val="2"/>
      </rPr>
      <t>t</t>
    </r>
    <r>
      <rPr>
        <vertAlign val="superscript"/>
        <sz val="10"/>
        <color theme="1"/>
        <rFont val="Arial"/>
      </rPr>
      <t>(1)</t>
    </r>
  </si>
  <si>
    <r>
      <t>Pr</t>
    </r>
    <r>
      <rPr>
        <vertAlign val="subscript"/>
        <sz val="10"/>
        <rFont val="Arial"/>
        <family val="2"/>
      </rPr>
      <t>t</t>
    </r>
    <r>
      <rPr>
        <vertAlign val="superscript"/>
        <sz val="10"/>
        <color theme="1"/>
        <rFont val="Arial"/>
      </rPr>
      <t>(0)</t>
    </r>
  </si>
  <si>
    <r>
      <t>Pr</t>
    </r>
    <r>
      <rPr>
        <vertAlign val="subscript"/>
        <sz val="10"/>
        <rFont val="Arial"/>
        <family val="2"/>
      </rPr>
      <t>t</t>
    </r>
    <r>
      <rPr>
        <vertAlign val="superscript"/>
        <sz val="10"/>
        <color theme="1"/>
        <rFont val="Arial"/>
      </rPr>
      <t>(1)</t>
    </r>
  </si>
  <si>
    <r>
      <rPr>
        <sz val="10"/>
        <color theme="1"/>
        <rFont val="Arial"/>
      </rPr>
      <t>ä</t>
    </r>
    <r>
      <rPr>
        <vertAlign val="subscript"/>
        <sz val="10"/>
        <color theme="1"/>
        <rFont val="Arial"/>
      </rPr>
      <t>xx:5yrs</t>
    </r>
  </si>
  <si>
    <r>
      <rPr>
        <sz val="10"/>
        <color theme="1"/>
        <rFont val="Arial"/>
      </rPr>
      <t>ä</t>
    </r>
    <r>
      <rPr>
        <vertAlign val="subscript"/>
        <sz val="10"/>
        <color theme="1"/>
        <rFont val="Arial"/>
      </rPr>
      <t>(x|x):20yrs</t>
    </r>
  </si>
  <si>
    <t xml:space="preserve">Profit Test </t>
  </si>
  <si>
    <t>EPV $1 SB</t>
  </si>
  <si>
    <t>EPV $1 DB</t>
  </si>
  <si>
    <t>Premiums</t>
  </si>
  <si>
    <t>DB multiple</t>
  </si>
  <si>
    <r>
      <t>v</t>
    </r>
    <r>
      <rPr>
        <vertAlign val="superscript"/>
        <sz val="10"/>
        <color theme="1"/>
        <rFont val="Arial"/>
      </rPr>
      <t xml:space="preserve">t </t>
    </r>
    <r>
      <rPr>
        <vertAlign val="subscript"/>
        <sz val="10"/>
        <color theme="1"/>
        <rFont val="Arial"/>
      </rPr>
      <t>rdr</t>
    </r>
  </si>
  <si>
    <t xml:space="preserve">Benefit = </t>
  </si>
  <si>
    <t>before vesting</t>
  </si>
  <si>
    <t>after vesting</t>
  </si>
  <si>
    <t xml:space="preserve">Profit margin </t>
  </si>
  <si>
    <t>NPV is</t>
  </si>
  <si>
    <t>Risk discount rate is</t>
  </si>
  <si>
    <t>Interest rate before vesting</t>
  </si>
  <si>
    <t>Interest rate after vesting</t>
  </si>
  <si>
    <r>
      <rPr>
        <vertAlign val="subscript"/>
        <sz val="10"/>
        <color theme="1"/>
        <rFont val="Arial"/>
      </rPr>
      <t>t-1</t>
    </r>
    <r>
      <rPr>
        <sz val="10"/>
        <rFont val="Arial"/>
      </rPr>
      <t>V+P</t>
    </r>
    <r>
      <rPr>
        <vertAlign val="subscript"/>
        <sz val="10"/>
        <rFont val="Arial"/>
        <family val="2"/>
      </rPr>
      <t>t</t>
    </r>
    <r>
      <rPr>
        <sz val="10"/>
        <rFont val="Arial"/>
      </rPr>
      <t>-E</t>
    </r>
    <r>
      <rPr>
        <vertAlign val="subscript"/>
        <sz val="10"/>
        <rFont val="Arial"/>
        <family val="2"/>
      </rPr>
      <t>t</t>
    </r>
  </si>
  <si>
    <t xml:space="preserve">K = </t>
  </si>
  <si>
    <t xml:space="preserve">r = </t>
  </si>
  <si>
    <t xml:space="preserve">Price = </t>
  </si>
  <si>
    <t>Stock</t>
  </si>
  <si>
    <t>Bonds</t>
  </si>
  <si>
    <t>Price</t>
  </si>
  <si>
    <r>
      <t>s</t>
    </r>
    <r>
      <rPr>
        <sz val="10"/>
        <rFont val="Arial"/>
      </rPr>
      <t xml:space="preserve"> = </t>
    </r>
  </si>
  <si>
    <r>
      <t>d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 = </t>
    </r>
  </si>
  <si>
    <r>
      <t>d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 = </t>
    </r>
  </si>
  <si>
    <t>Alter this cell until price in cell B13 is 41, or use Solver</t>
  </si>
  <si>
    <t>Female</t>
  </si>
  <si>
    <t>Male</t>
  </si>
  <si>
    <t>before</t>
  </si>
  <si>
    <t>after</t>
  </si>
  <si>
    <t xml:space="preserve">Annuity EPV 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</si>
  <si>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63</t>
    </r>
  </si>
  <si>
    <t>x=65, y= 63</t>
  </si>
  <si>
    <r>
      <rPr>
        <vertAlign val="subscript"/>
        <sz val="10"/>
        <rFont val="Arial"/>
        <family val="2"/>
      </rP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xy</t>
    </r>
    <r>
      <rPr>
        <vertAlign val="superscript"/>
        <sz val="10"/>
        <rFont val="Arial"/>
        <family val="2"/>
      </rPr>
      <t>00</t>
    </r>
  </si>
  <si>
    <r>
      <rPr>
        <vertAlign val="subscript"/>
        <sz val="10"/>
        <rFont val="Arial"/>
        <family val="2"/>
      </rP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xy</t>
    </r>
    <r>
      <rPr>
        <vertAlign val="superscript"/>
        <sz val="10"/>
        <rFont val="Arial"/>
        <family val="2"/>
      </rPr>
      <t>01</t>
    </r>
  </si>
  <si>
    <r>
      <rPr>
        <vertAlign val="subscript"/>
        <sz val="10"/>
        <rFont val="Arial"/>
        <family val="2"/>
      </rPr>
      <t>1/12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y+t</t>
    </r>
    <r>
      <rPr>
        <vertAlign val="superscript"/>
        <sz val="10"/>
        <rFont val="Arial"/>
        <family val="2"/>
      </rPr>
      <t>22</t>
    </r>
  </si>
  <si>
    <r>
      <rPr>
        <sz val="10"/>
        <rFont val="Symbol"/>
        <family val="1"/>
      </rPr>
      <t>m</t>
    </r>
    <r>
      <rPr>
        <vertAlign val="subscript"/>
        <sz val="10"/>
        <rFont val="Arial"/>
        <family val="2"/>
      </rPr>
      <t>x+t</t>
    </r>
  </si>
  <si>
    <r>
      <rPr>
        <vertAlign val="subscript"/>
        <sz val="10"/>
        <rFont val="Arial"/>
        <family val="2"/>
      </rPr>
      <t>1/12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x+t</t>
    </r>
  </si>
  <si>
    <r>
      <rPr>
        <vertAlign val="subscript"/>
        <sz val="10"/>
        <rFont val="Arial"/>
        <family val="2"/>
      </rPr>
      <t>1/12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x+t:y+t</t>
    </r>
    <r>
      <rPr>
        <vertAlign val="superscript"/>
        <sz val="10"/>
        <rFont val="Arial"/>
        <family val="2"/>
      </rPr>
      <t>02</t>
    </r>
  </si>
  <si>
    <r>
      <rPr>
        <vertAlign val="subscript"/>
        <sz val="10"/>
        <rFont val="Arial"/>
        <family val="2"/>
      </rP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xy</t>
    </r>
    <r>
      <rPr>
        <vertAlign val="superscript"/>
        <sz val="10"/>
        <rFont val="Arial"/>
        <family val="2"/>
      </rPr>
      <t>02</t>
    </r>
  </si>
  <si>
    <t>Annuity EPV calculations</t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</si>
  <si>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y</t>
    </r>
  </si>
  <si>
    <t>Widow's mortality</t>
  </si>
  <si>
    <r>
      <t xml:space="preserve"> a</t>
    </r>
    <r>
      <rPr>
        <vertAlign val="subscript"/>
        <sz val="10"/>
        <rFont val="Arial"/>
        <family val="2"/>
      </rPr>
      <t>xy</t>
    </r>
    <r>
      <rPr>
        <vertAlign val="superscript"/>
        <sz val="10"/>
        <rFont val="Arial"/>
        <family val="2"/>
      </rPr>
      <t>00 (12)</t>
    </r>
  </si>
  <si>
    <r>
      <t xml:space="preserve"> a</t>
    </r>
    <r>
      <rPr>
        <vertAlign val="subscript"/>
        <sz val="10"/>
        <rFont val="Arial"/>
        <family val="2"/>
      </rPr>
      <t>xy</t>
    </r>
    <r>
      <rPr>
        <vertAlign val="superscript"/>
        <sz val="10"/>
        <rFont val="Arial"/>
        <family val="2"/>
      </rPr>
      <t>01 (12)</t>
    </r>
  </si>
  <si>
    <r>
      <t xml:space="preserve"> a</t>
    </r>
    <r>
      <rPr>
        <vertAlign val="subscript"/>
        <sz val="10"/>
        <rFont val="Arial"/>
        <family val="2"/>
      </rPr>
      <t>xy</t>
    </r>
    <r>
      <rPr>
        <vertAlign val="superscript"/>
        <sz val="10"/>
        <rFont val="Arial"/>
        <family val="2"/>
      </rPr>
      <t>02 (12)</t>
    </r>
  </si>
  <si>
    <t>Parts (b) and (c)</t>
  </si>
  <si>
    <r>
      <t xml:space="preserve"> a</t>
    </r>
    <r>
      <rPr>
        <vertAlign val="subscript"/>
        <sz val="10"/>
        <rFont val="Arial"/>
        <family val="2"/>
      </rPr>
      <t>xy</t>
    </r>
    <r>
      <rPr>
        <vertAlign val="superscript"/>
        <sz val="10"/>
        <rFont val="Arial"/>
        <family val="2"/>
      </rPr>
      <t>00 (12)</t>
    </r>
    <r>
      <rPr>
        <sz val="10"/>
        <rFont val="Arial"/>
      </rPr>
      <t xml:space="preserve"> = </t>
    </r>
  </si>
  <si>
    <r>
      <t xml:space="preserve"> a</t>
    </r>
    <r>
      <rPr>
        <vertAlign val="subscript"/>
        <sz val="10"/>
        <rFont val="Arial"/>
        <family val="2"/>
      </rPr>
      <t>xy</t>
    </r>
    <r>
      <rPr>
        <vertAlign val="superscript"/>
        <sz val="10"/>
        <rFont val="Arial"/>
        <family val="2"/>
      </rPr>
      <t>01 (12)</t>
    </r>
    <r>
      <rPr>
        <sz val="10"/>
        <rFont val="Arial"/>
      </rPr>
      <t xml:space="preserve"> = </t>
    </r>
  </si>
  <si>
    <r>
      <t xml:space="preserve"> a</t>
    </r>
    <r>
      <rPr>
        <vertAlign val="subscript"/>
        <sz val="10"/>
        <rFont val="Arial"/>
        <family val="2"/>
      </rPr>
      <t>xy</t>
    </r>
    <r>
      <rPr>
        <vertAlign val="superscript"/>
        <sz val="10"/>
        <rFont val="Arial"/>
        <family val="2"/>
      </rPr>
      <t>02 (12)</t>
    </r>
    <r>
      <rPr>
        <sz val="10"/>
        <rFont val="Arial"/>
      </rPr>
      <t xml:space="preserve"> = </t>
    </r>
  </si>
  <si>
    <t>widowhood</t>
  </si>
  <si>
    <t>Annuity and Insurance Functions</t>
  </si>
  <si>
    <t>select factor</t>
  </si>
  <si>
    <t>d</t>
  </si>
  <si>
    <r>
      <t>p</t>
    </r>
    <r>
      <rPr>
        <vertAlign val="subscript"/>
        <sz val="10"/>
        <rFont val="Euclid"/>
        <family val="1"/>
      </rPr>
      <t>[x]</t>
    </r>
  </si>
  <si>
    <r>
      <t>p</t>
    </r>
    <r>
      <rPr>
        <vertAlign val="subscript"/>
        <sz val="10"/>
        <rFont val="Euclid"/>
        <family val="1"/>
      </rPr>
      <t>[x-1]+1</t>
    </r>
  </si>
  <si>
    <r>
      <t>p</t>
    </r>
    <r>
      <rPr>
        <vertAlign val="subscript"/>
        <sz val="10"/>
        <rFont val="Euclid"/>
        <family val="1"/>
      </rPr>
      <t>x</t>
    </r>
  </si>
  <si>
    <r>
      <rPr>
        <i/>
        <sz val="10"/>
        <rFont val="Euclid"/>
        <family val="1"/>
      </rPr>
      <t>l</t>
    </r>
    <r>
      <rPr>
        <vertAlign val="subscript"/>
        <sz val="10"/>
        <rFont val="Euclid"/>
        <family val="1"/>
      </rPr>
      <t>[x]</t>
    </r>
  </si>
  <si>
    <r>
      <rPr>
        <i/>
        <sz val="10"/>
        <rFont val="Euclid"/>
        <family val="1"/>
      </rPr>
      <t>l</t>
    </r>
    <r>
      <rPr>
        <vertAlign val="subscript"/>
        <sz val="10"/>
        <rFont val="Euclid"/>
        <family val="1"/>
      </rPr>
      <t>[x-1]+1</t>
    </r>
  </si>
  <si>
    <r>
      <rPr>
        <i/>
        <sz val="10"/>
        <rFont val="Euclid"/>
        <family val="1"/>
      </rPr>
      <t>l</t>
    </r>
    <r>
      <rPr>
        <vertAlign val="subscript"/>
        <sz val="10"/>
        <rFont val="Euclid"/>
        <family val="1"/>
      </rPr>
      <t>x</t>
    </r>
  </si>
  <si>
    <r>
      <t>ä</t>
    </r>
    <r>
      <rPr>
        <vertAlign val="subscript"/>
        <sz val="10"/>
        <rFont val="Euclid"/>
        <family val="1"/>
      </rPr>
      <t>[x]</t>
    </r>
  </si>
  <si>
    <r>
      <t>ä</t>
    </r>
    <r>
      <rPr>
        <vertAlign val="subscript"/>
        <sz val="10"/>
        <rFont val="Euclid"/>
        <family val="1"/>
      </rPr>
      <t>[x-1]+1</t>
    </r>
  </si>
  <si>
    <r>
      <t>ä</t>
    </r>
    <r>
      <rPr>
        <vertAlign val="subscript"/>
        <sz val="10"/>
        <rFont val="Euclid"/>
        <family val="1"/>
      </rPr>
      <t>x</t>
    </r>
  </si>
  <si>
    <r>
      <rPr>
        <vertAlign val="subscript"/>
        <sz val="10"/>
        <rFont val="Euclid"/>
        <family val="1"/>
      </rPr>
      <t>10</t>
    </r>
    <r>
      <rPr>
        <sz val="10"/>
        <rFont val="Euclid"/>
        <family val="1"/>
      </rPr>
      <t>E</t>
    </r>
    <r>
      <rPr>
        <vertAlign val="subscript"/>
        <sz val="10"/>
        <rFont val="Euclid"/>
        <family val="1"/>
      </rPr>
      <t>[x]</t>
    </r>
  </si>
  <si>
    <r>
      <t>ä</t>
    </r>
    <r>
      <rPr>
        <vertAlign val="subscript"/>
        <sz val="10"/>
        <rFont val="Euclid"/>
        <family val="1"/>
      </rPr>
      <t>[x]:10-yrs</t>
    </r>
  </si>
  <si>
    <r>
      <rPr>
        <vertAlign val="subscript"/>
        <sz val="10"/>
        <rFont val="Euclid"/>
        <family val="1"/>
      </rPr>
      <t>20</t>
    </r>
    <r>
      <rPr>
        <sz val="10"/>
        <rFont val="Euclid"/>
        <family val="1"/>
      </rPr>
      <t>E</t>
    </r>
    <r>
      <rPr>
        <vertAlign val="subscript"/>
        <sz val="10"/>
        <rFont val="Euclid"/>
        <family val="1"/>
      </rPr>
      <t>[x]</t>
    </r>
  </si>
  <si>
    <r>
      <t>ä</t>
    </r>
    <r>
      <rPr>
        <vertAlign val="subscript"/>
        <sz val="10"/>
        <rFont val="Euclid"/>
        <family val="1"/>
      </rPr>
      <t>[x]:20-yrs</t>
    </r>
  </si>
  <si>
    <r>
      <rPr>
        <vertAlign val="subscript"/>
        <sz val="10"/>
        <rFont val="Euclid"/>
        <family val="1"/>
      </rPr>
      <t>25</t>
    </r>
    <r>
      <rPr>
        <sz val="10"/>
        <rFont val="Euclid"/>
        <family val="1"/>
      </rPr>
      <t>E</t>
    </r>
    <r>
      <rPr>
        <vertAlign val="subscript"/>
        <sz val="10"/>
        <rFont val="Euclid"/>
        <family val="1"/>
      </rPr>
      <t>[x]</t>
    </r>
  </si>
  <si>
    <r>
      <t>ä</t>
    </r>
    <r>
      <rPr>
        <vertAlign val="subscript"/>
        <sz val="10"/>
        <rFont val="Euclid"/>
        <family val="1"/>
      </rPr>
      <t>[x]:25-yrs</t>
    </r>
  </si>
  <si>
    <r>
      <t>ä</t>
    </r>
    <r>
      <rPr>
        <vertAlign val="superscript"/>
        <sz val="10"/>
        <rFont val="Euclid"/>
        <family val="1"/>
      </rPr>
      <t>(m)</t>
    </r>
    <r>
      <rPr>
        <vertAlign val="subscript"/>
        <sz val="10"/>
        <rFont val="Euclid"/>
        <family val="1"/>
      </rPr>
      <t>[x]</t>
    </r>
  </si>
  <si>
    <r>
      <t>ä</t>
    </r>
    <r>
      <rPr>
        <vertAlign val="superscript"/>
        <sz val="10"/>
        <rFont val="Euclid"/>
        <family val="1"/>
      </rPr>
      <t>(m)</t>
    </r>
    <r>
      <rPr>
        <vertAlign val="subscript"/>
        <sz val="10"/>
        <rFont val="Euclid"/>
        <family val="1"/>
      </rPr>
      <t>[x-1]+1</t>
    </r>
  </si>
  <si>
    <r>
      <t>ä</t>
    </r>
    <r>
      <rPr>
        <vertAlign val="superscript"/>
        <sz val="10"/>
        <rFont val="Euclid"/>
        <family val="1"/>
      </rPr>
      <t>(12)</t>
    </r>
    <r>
      <rPr>
        <vertAlign val="subscript"/>
        <sz val="10"/>
        <rFont val="Euclid"/>
        <family val="1"/>
      </rPr>
      <t>x</t>
    </r>
  </si>
  <si>
    <r>
      <t>ä</t>
    </r>
    <r>
      <rPr>
        <vertAlign val="superscript"/>
        <sz val="10"/>
        <rFont val="Euclid"/>
        <family val="1"/>
      </rPr>
      <t>(12)</t>
    </r>
    <r>
      <rPr>
        <vertAlign val="subscript"/>
        <sz val="10"/>
        <rFont val="Euclid"/>
        <family val="1"/>
      </rPr>
      <t>[x]:10-yrs</t>
    </r>
  </si>
  <si>
    <r>
      <t>ä</t>
    </r>
    <r>
      <rPr>
        <vertAlign val="superscript"/>
        <sz val="10"/>
        <rFont val="Euclid"/>
        <family val="1"/>
      </rPr>
      <t>(12)</t>
    </r>
    <r>
      <rPr>
        <vertAlign val="subscript"/>
        <sz val="10"/>
        <rFont val="Euclid"/>
        <family val="1"/>
      </rPr>
      <t>[x]:20-yrs</t>
    </r>
  </si>
  <si>
    <r>
      <t>A</t>
    </r>
    <r>
      <rPr>
        <vertAlign val="subscript"/>
        <sz val="10"/>
        <rFont val="Euclid"/>
        <family val="1"/>
      </rPr>
      <t>[x]</t>
    </r>
  </si>
  <si>
    <r>
      <t>A</t>
    </r>
    <r>
      <rPr>
        <vertAlign val="subscript"/>
        <sz val="10"/>
        <rFont val="Euclid"/>
        <family val="1"/>
      </rPr>
      <t>[x-1]+1</t>
    </r>
  </si>
  <si>
    <r>
      <t>A</t>
    </r>
    <r>
      <rPr>
        <vertAlign val="subscript"/>
        <sz val="10"/>
        <rFont val="Euclid"/>
        <family val="1"/>
      </rPr>
      <t>x</t>
    </r>
  </si>
  <si>
    <t>functions. Note that Woolhouse's formula has been</t>
  </si>
  <si>
    <t>1. The SSSM Calculator  Worksheet</t>
  </si>
  <si>
    <t>SSSM Calculator</t>
  </si>
  <si>
    <t xml:space="preserve">This worksheet can be used for all questions where </t>
  </si>
  <si>
    <t>required. The payment frequency and interest rate can be adjusted in the worksheet to calculate the required functions.</t>
  </si>
  <si>
    <t>applied when m &gt; 1.</t>
  </si>
  <si>
    <t>(e)(i)</t>
  </si>
  <si>
    <t>(e)(ii)</t>
  </si>
  <si>
    <t>number</t>
  </si>
  <si>
    <t>value from</t>
  </si>
  <si>
    <t>N(0,1) distribution</t>
  </si>
  <si>
    <t>Simulated value</t>
  </si>
  <si>
    <t>of R</t>
  </si>
  <si>
    <r>
      <t>of F</t>
    </r>
    <r>
      <rPr>
        <vertAlign val="subscript"/>
        <sz val="10"/>
        <rFont val="Arial"/>
        <family val="2"/>
      </rPr>
      <t>1</t>
    </r>
  </si>
  <si>
    <t>values in order</t>
  </si>
  <si>
    <r>
      <t>of L</t>
    </r>
    <r>
      <rPr>
        <vertAlign val="subscript"/>
        <sz val="10"/>
        <rFont val="Arial"/>
        <family val="2"/>
      </rPr>
      <t>0</t>
    </r>
  </si>
  <si>
    <t>Column F</t>
  </si>
  <si>
    <t>Answers based on simulation</t>
  </si>
  <si>
    <t>Mortality</t>
  </si>
  <si>
    <t>rate</t>
  </si>
  <si>
    <r>
      <t>Pr</t>
    </r>
    <r>
      <rPr>
        <vertAlign val="subscript"/>
        <sz val="10"/>
        <rFont val="Arial"/>
        <family val="2"/>
      </rPr>
      <t>t</t>
    </r>
  </si>
  <si>
    <t>before charges</t>
  </si>
  <si>
    <r>
      <t>F</t>
    </r>
    <r>
      <rPr>
        <vertAlign val="subscript"/>
        <sz val="10"/>
        <rFont val="Arial"/>
        <family val="2"/>
      </rPr>
      <t>t-1</t>
    </r>
    <r>
      <rPr>
        <sz val="10"/>
        <rFont val="Arial"/>
      </rPr>
      <t xml:space="preserve"> + P</t>
    </r>
  </si>
  <si>
    <r>
      <t>MC</t>
    </r>
    <r>
      <rPr>
        <vertAlign val="subscript"/>
        <sz val="10"/>
        <rFont val="Arial"/>
        <family val="2"/>
      </rPr>
      <t>t</t>
    </r>
  </si>
  <si>
    <r>
      <t>F</t>
    </r>
    <r>
      <rPr>
        <vertAlign val="subscript"/>
        <sz val="10"/>
        <rFont val="Arial"/>
        <family val="2"/>
      </rPr>
      <t>t</t>
    </r>
  </si>
  <si>
    <r>
      <t>ADB</t>
    </r>
    <r>
      <rPr>
        <vertAlign val="subscript"/>
        <sz val="10"/>
        <rFont val="Arial"/>
        <family val="2"/>
      </rPr>
      <t>t</t>
    </r>
  </si>
  <si>
    <t>Pr[alive at t-1]</t>
  </si>
  <si>
    <r>
      <t>EB</t>
    </r>
    <r>
      <rPr>
        <vertAlign val="subscript"/>
        <sz val="10"/>
        <rFont val="Arial"/>
        <family val="2"/>
      </rPr>
      <t>t</t>
    </r>
  </si>
  <si>
    <t>Exercise 12.5</t>
  </si>
  <si>
    <t>Policyholder's Fund</t>
  </si>
  <si>
    <t>Insurer's Fund</t>
  </si>
  <si>
    <t>at 8.5%</t>
  </si>
  <si>
    <t>in force</t>
  </si>
  <si>
    <t>Insurer's Fund with Reserves</t>
  </si>
  <si>
    <t>Policyholder's Fund with Reserves and Random Returns</t>
  </si>
  <si>
    <t>Accumulation</t>
  </si>
  <si>
    <t>Random</t>
  </si>
  <si>
    <t>Insurer's Fund with Reserves and Random Returns</t>
  </si>
  <si>
    <r>
      <t>A</t>
    </r>
    <r>
      <rPr>
        <vertAlign val="subscript"/>
        <sz val="10"/>
        <rFont val="Arial"/>
        <family val="2"/>
      </rPr>
      <t>t</t>
    </r>
  </si>
  <si>
    <r>
      <t>F</t>
    </r>
    <r>
      <rPr>
        <vertAlign val="subscript"/>
        <sz val="10"/>
        <rFont val="Arial"/>
        <family val="2"/>
      </rPr>
      <t>t-1</t>
    </r>
  </si>
  <si>
    <r>
      <t>UP</t>
    </r>
    <r>
      <rPr>
        <vertAlign val="subscript"/>
        <sz val="10"/>
        <rFont val="Arial"/>
        <family val="2"/>
      </rPr>
      <t>t</t>
    </r>
  </si>
  <si>
    <r>
      <rPr>
        <vertAlign val="subscript"/>
        <sz val="10"/>
        <rFont val="Arial"/>
        <family val="2"/>
      </rPr>
      <t>t-1</t>
    </r>
    <r>
      <rPr>
        <sz val="10"/>
        <rFont val="Arial"/>
      </rPr>
      <t>V</t>
    </r>
  </si>
  <si>
    <r>
      <t>EV</t>
    </r>
    <r>
      <rPr>
        <vertAlign val="subscript"/>
        <sz val="10"/>
        <rFont val="Arial"/>
        <family val="2"/>
      </rPr>
      <t>t</t>
    </r>
  </si>
  <si>
    <t>Exercise 14.2</t>
  </si>
  <si>
    <r>
      <rPr>
        <sz val="10"/>
        <rFont val="Symbol"/>
        <family val="1"/>
      </rPr>
      <t>s</t>
    </r>
    <r>
      <rPr>
        <sz val="10"/>
        <rFont val="Arial"/>
      </rPr>
      <t xml:space="preserve"> = </t>
    </r>
  </si>
  <si>
    <t xml:space="preserve">MC = </t>
  </si>
  <si>
    <t>Amount needed at time 0</t>
  </si>
  <si>
    <t>to provide an</t>
  </si>
  <si>
    <t>extra 5% at time  t</t>
  </si>
  <si>
    <t>probability</t>
  </si>
  <si>
    <r>
      <t>d</t>
    </r>
    <r>
      <rPr>
        <vertAlign val="subscript"/>
        <sz val="10"/>
        <rFont val="Arial"/>
        <family val="2"/>
      </rPr>
      <t>1</t>
    </r>
    <r>
      <rPr>
        <sz val="10"/>
        <rFont val="Arial"/>
      </rPr>
      <t>(0,t)</t>
    </r>
  </si>
  <si>
    <r>
      <t>d</t>
    </r>
    <r>
      <rPr>
        <vertAlign val="subscript"/>
        <sz val="10"/>
        <rFont val="Arial"/>
        <family val="2"/>
      </rPr>
      <t>2</t>
    </r>
    <r>
      <rPr>
        <sz val="10"/>
        <rFont val="Arial"/>
      </rPr>
      <t>(0,t)</t>
    </r>
  </si>
  <si>
    <t>v(0,t)</t>
  </si>
  <si>
    <t>Price of first component of death benefit</t>
  </si>
  <si>
    <t>Price of second component of death benefit</t>
  </si>
  <si>
    <t>Price of death benefit is</t>
  </si>
  <si>
    <t>Continuous charge is</t>
  </si>
  <si>
    <t>Exercise 14.3</t>
  </si>
  <si>
    <r>
      <t>x</t>
    </r>
    <r>
      <rPr>
        <sz val="10"/>
        <rFont val="Arial"/>
      </rPr>
      <t xml:space="preserve"> = </t>
    </r>
  </si>
  <si>
    <r>
      <t>S</t>
    </r>
    <r>
      <rPr>
        <vertAlign val="subscript"/>
        <sz val="10"/>
        <rFont val="Arial"/>
        <family val="2"/>
      </rPr>
      <t>10</t>
    </r>
  </si>
  <si>
    <r>
      <t>F</t>
    </r>
    <r>
      <rPr>
        <vertAlign val="subscript"/>
        <sz val="10"/>
        <rFont val="Arial"/>
        <family val="2"/>
      </rPr>
      <t>10</t>
    </r>
  </si>
  <si>
    <t>Payoff</t>
  </si>
  <si>
    <t>Discounted average payoff is</t>
  </si>
  <si>
    <t>MC =</t>
  </si>
  <si>
    <t>Original guarantee</t>
  </si>
  <si>
    <t>Reset guarantee</t>
  </si>
  <si>
    <t xml:space="preserve">Growth = </t>
  </si>
  <si>
    <r>
      <t>S</t>
    </r>
    <r>
      <rPr>
        <vertAlign val="subscript"/>
        <sz val="10"/>
        <rFont val="Arial"/>
        <family val="2"/>
      </rPr>
      <t>5</t>
    </r>
    <r>
      <rPr>
        <sz val="10"/>
        <rFont val="Arial"/>
      </rPr>
      <t xml:space="preserve"> = </t>
    </r>
  </si>
  <si>
    <r>
      <t>as S</t>
    </r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 = 1</t>
    </r>
  </si>
  <si>
    <t>K =</t>
  </si>
  <si>
    <t xml:space="preserve">v(5) = </t>
  </si>
  <si>
    <t xml:space="preserve">v(10) = </t>
  </si>
  <si>
    <t>Guarantee is worth</t>
  </si>
  <si>
    <t>Growth =</t>
  </si>
  <si>
    <t>If the answer is not 0 (say to 6dp) manually adjust by trial and error.</t>
  </si>
  <si>
    <t>Difference in value of guarantees is</t>
  </si>
  <si>
    <t>Front-end-load</t>
  </si>
  <si>
    <t>Change this cell using Solver to make the difference between v(5) and v(10) zero</t>
  </si>
  <si>
    <r>
      <t>d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(5,10) = </t>
    </r>
  </si>
  <si>
    <r>
      <t>d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(5,10) = </t>
    </r>
  </si>
  <si>
    <r>
      <t>d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(5,15) = </t>
    </r>
  </si>
  <si>
    <r>
      <t>d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(5,15) = </t>
    </r>
  </si>
  <si>
    <t>Exercise 14.5</t>
  </si>
  <si>
    <r>
      <t>s</t>
    </r>
    <r>
      <rPr>
        <sz val="10"/>
        <rFont val="Arial"/>
      </rPr>
      <t xml:space="preserve"> =  </t>
    </r>
  </si>
  <si>
    <r>
      <t>d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(0) = </t>
    </r>
  </si>
  <si>
    <r>
      <t>d</t>
    </r>
    <r>
      <rPr>
        <vertAlign val="subscript"/>
        <sz val="10"/>
        <rFont val="Arial"/>
        <family val="2"/>
      </rPr>
      <t>2</t>
    </r>
    <r>
      <rPr>
        <sz val="10"/>
        <rFont val="Arial"/>
      </rPr>
      <t xml:space="preserve">(0) = </t>
    </r>
  </si>
  <si>
    <r>
      <t>5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60</t>
    </r>
    <r>
      <rPr>
        <sz val="10"/>
        <rFont val="Arial"/>
      </rPr>
      <t xml:space="preserve"> =</t>
    </r>
  </si>
  <si>
    <t>Note that these three columns</t>
  </si>
  <si>
    <t>Guarantee value is</t>
  </si>
  <si>
    <t>are in thousands, as in Table 14.6</t>
  </si>
  <si>
    <t>Monthly charge is</t>
  </si>
  <si>
    <t>Part (b)(iii)</t>
  </si>
  <si>
    <t>Option</t>
  </si>
  <si>
    <t>Bond</t>
  </si>
  <si>
    <t>Hedge</t>
  </si>
  <si>
    <t>Rebalancing</t>
  </si>
  <si>
    <t>Fund</t>
  </si>
  <si>
    <t>M'ment</t>
  </si>
  <si>
    <t>Initial hedge plus initial expenses as monthly outgo</t>
  </si>
  <si>
    <r>
      <t>(1-m)</t>
    </r>
    <r>
      <rPr>
        <vertAlign val="superscript"/>
        <sz val="10"/>
        <rFont val="Arial"/>
        <family val="2"/>
      </rPr>
      <t>12t</t>
    </r>
  </si>
  <si>
    <r>
      <t>S</t>
    </r>
    <r>
      <rPr>
        <vertAlign val="subscript"/>
        <sz val="10"/>
        <rFont val="Arial"/>
        <family val="2"/>
      </rPr>
      <t>t</t>
    </r>
  </si>
  <si>
    <r>
      <t>d</t>
    </r>
    <r>
      <rPr>
        <vertAlign val="subscript"/>
        <sz val="10"/>
        <rFont val="Arial"/>
        <family val="2"/>
      </rPr>
      <t>1</t>
    </r>
    <r>
      <rPr>
        <sz val="10"/>
        <rFont val="Arial"/>
      </rPr>
      <t>(t,5)</t>
    </r>
  </si>
  <si>
    <r>
      <t>d</t>
    </r>
    <r>
      <rPr>
        <vertAlign val="subscript"/>
        <sz val="10"/>
        <rFont val="Arial"/>
        <family val="2"/>
      </rPr>
      <t>2</t>
    </r>
    <r>
      <rPr>
        <sz val="10"/>
        <rFont val="Arial"/>
      </rPr>
      <t>(t,5)</t>
    </r>
  </si>
  <si>
    <t>price</t>
  </si>
  <si>
    <t>part</t>
  </si>
  <si>
    <t>b/f</t>
  </si>
  <si>
    <t>cost</t>
  </si>
  <si>
    <t>before MC</t>
  </si>
  <si>
    <t>charge</t>
  </si>
  <si>
    <r>
      <t>1.1</t>
    </r>
    <r>
      <rPr>
        <vertAlign val="superscript"/>
        <sz val="10"/>
        <rFont val="Arial"/>
        <family val="2"/>
      </rPr>
      <t>-t</t>
    </r>
  </si>
  <si>
    <t>Add incurred expenses</t>
  </si>
  <si>
    <t>Income</t>
  </si>
  <si>
    <t>Expenses exceed income, so not profitable.</t>
  </si>
  <si>
    <t>NPV of rebalancing costs is</t>
  </si>
  <si>
    <t>Profit margin is</t>
  </si>
  <si>
    <t>Divide by 12</t>
  </si>
  <si>
    <t>As percentage of fund</t>
  </si>
  <si>
    <r>
      <t>p</t>
    </r>
    <r>
      <rPr>
        <vertAlign val="subscript"/>
        <sz val="10"/>
        <rFont val="Arial"/>
        <family val="2"/>
      </rPr>
      <t>[50]+t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</si>
  <si>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[50]</t>
    </r>
  </si>
  <si>
    <t>Reserve</t>
  </si>
  <si>
    <t>E[Death]</t>
  </si>
  <si>
    <t>E[maturity]</t>
  </si>
  <si>
    <t>Set this cell to zero using Goal Seek to change cell C12</t>
  </si>
  <si>
    <t>Part(b)(iii)</t>
  </si>
  <si>
    <t>Estimated probability of loss is</t>
  </si>
  <si>
    <t xml:space="preserve">CI lower = </t>
  </si>
  <si>
    <t xml:space="preserve">CI upper = </t>
  </si>
  <si>
    <t>In force</t>
  </si>
  <si>
    <t>Terms in</t>
  </si>
  <si>
    <t>NPV - P/3</t>
  </si>
  <si>
    <r>
      <t>or 10</t>
    </r>
    <r>
      <rPr>
        <vertAlign val="superscript"/>
        <sz val="10"/>
        <rFont val="Arial"/>
        <family val="2"/>
      </rPr>
      <t>8</t>
    </r>
  </si>
  <si>
    <t>Cost of</t>
  </si>
  <si>
    <t>Estimated probability of meeting objective is</t>
  </si>
  <si>
    <t>Note that in columns P and R we have used an IF statement to produce an arbitary large number for all but the last row of each profit test.</t>
  </si>
  <si>
    <t>number from</t>
  </si>
  <si>
    <r>
      <t>N(0.17,0.13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)</t>
    </r>
  </si>
  <si>
    <t>For Part (b) we illustrate calculations using 10 simulations rather than 500.</t>
  </si>
  <si>
    <t>Year 5 profit</t>
  </si>
  <si>
    <r>
      <t xml:space="preserve">This workbook accompanies the Solutions Manual for </t>
    </r>
    <r>
      <rPr>
        <i/>
        <sz val="14"/>
        <rFont val="Arial"/>
      </rPr>
      <t>Actuarial Mathematics for Life Contingent Risks, 2nd edition</t>
    </r>
  </si>
  <si>
    <t>by David C. M. Dickson, Mary R. Hardy, and Howard R. Waters, Cambridge University Press, 2013</t>
  </si>
  <si>
    <t>This workbook is © David C. M. Dickson, Mary R. Hardy, and Howard R. Waters</t>
  </si>
  <si>
    <t>Solutions Manual ISBN 978-1-107-62026-1 (paperback)</t>
  </si>
  <si>
    <t>Textbook ISBN 978-1-107-04407-4 (hardback)</t>
  </si>
  <si>
    <t>Exercise 16.5</t>
  </si>
  <si>
    <t>Exercise 16.4</t>
  </si>
  <si>
    <t>Exercise 16.3</t>
  </si>
  <si>
    <t>Exercise 16.2</t>
  </si>
  <si>
    <t>Exercise 15.5</t>
  </si>
  <si>
    <t>Exercise 14.1</t>
  </si>
  <si>
    <t>Exercise 13.11</t>
  </si>
  <si>
    <t>Exercise 13.10</t>
  </si>
  <si>
    <t>Exercise 13.7</t>
  </si>
  <si>
    <t>Exercise 12.13</t>
  </si>
  <si>
    <t>Exercise 12.12</t>
  </si>
  <si>
    <t>Exercise 12.11</t>
  </si>
  <si>
    <t>Exercise 12.9</t>
  </si>
  <si>
    <t>Exercise 12.8</t>
  </si>
  <si>
    <t>Exercise 12.7</t>
  </si>
  <si>
    <t>Exercise 12.6</t>
  </si>
  <si>
    <t>Exercise 10.10</t>
  </si>
  <si>
    <t>Exercise 10.9</t>
  </si>
  <si>
    <t>Exercise 10.4</t>
  </si>
  <si>
    <t>Exercise 8.14</t>
  </si>
  <si>
    <t>Exercise 8.19</t>
  </si>
  <si>
    <t>Exercise 9.11</t>
  </si>
  <si>
    <t>Exercise 9.3</t>
  </si>
  <si>
    <t>Exercise 9.2</t>
  </si>
  <si>
    <t>Exercise 8.11</t>
  </si>
  <si>
    <t>Exercise 9.15</t>
  </si>
  <si>
    <t>Exercise 8.7</t>
  </si>
  <si>
    <t>Exercise 8.6</t>
  </si>
  <si>
    <t>Exercise 7.17</t>
  </si>
  <si>
    <t>Exercise 7.14</t>
  </si>
  <si>
    <t>Exercise 7.11</t>
  </si>
  <si>
    <t>Exercise 7.8</t>
  </si>
  <si>
    <t>Exercise 7.6</t>
  </si>
  <si>
    <t>Exercise 6.19</t>
  </si>
  <si>
    <t>Exercise 6.13</t>
  </si>
  <si>
    <t>Exercise 6.8</t>
  </si>
  <si>
    <t>Exercise 5.17</t>
  </si>
  <si>
    <t>Exercise 5.16</t>
  </si>
  <si>
    <t>Exercise 4.22</t>
  </si>
  <si>
    <t>Exercise 4.21</t>
  </si>
  <si>
    <t>Exercise 4.20</t>
  </si>
  <si>
    <t>Exercise 4.4</t>
  </si>
  <si>
    <t>Cost on death</t>
  </si>
  <si>
    <t>Part(b)</t>
  </si>
  <si>
    <t>GPPV t-</t>
  </si>
  <si>
    <t>GPPV t+</t>
  </si>
  <si>
    <t>P</t>
  </si>
  <si>
    <t>E</t>
  </si>
  <si>
    <t>I</t>
  </si>
  <si>
    <t>Bonus %</t>
  </si>
  <si>
    <t>q</t>
  </si>
  <si>
    <t>Part (c )</t>
  </si>
  <si>
    <t>Extra</t>
  </si>
  <si>
    <t>P-E</t>
  </si>
  <si>
    <t>Total</t>
  </si>
  <si>
    <t>reserve</t>
  </si>
  <si>
    <t>Net premium</t>
  </si>
  <si>
    <t>EPV premiums</t>
  </si>
  <si>
    <t>EPV benefits</t>
  </si>
  <si>
    <t>EPV expenses</t>
  </si>
  <si>
    <t>Greater of</t>
  </si>
  <si>
    <r>
      <t>A</t>
    </r>
    <r>
      <rPr>
        <vertAlign val="subscript"/>
        <sz val="12"/>
        <color rgb="FF000000"/>
        <rFont val="Calibri"/>
      </rPr>
      <t>x</t>
    </r>
  </si>
  <si>
    <r>
      <t>ä</t>
    </r>
    <r>
      <rPr>
        <vertAlign val="subscript"/>
        <sz val="12"/>
        <color rgb="FF000000"/>
        <rFont val="Calibri"/>
      </rPr>
      <t>x</t>
    </r>
  </si>
  <si>
    <t>GPPV t-, 0</t>
  </si>
  <si>
    <r>
      <t>E</t>
    </r>
    <r>
      <rPr>
        <vertAlign val="subscript"/>
        <sz val="12"/>
        <color rgb="FF000000"/>
        <rFont val="Calibri"/>
      </rPr>
      <t>t</t>
    </r>
    <r>
      <rPr>
        <sz val="12"/>
        <color rgb="FF000000"/>
        <rFont val="Calibri"/>
        <family val="2"/>
      </rPr>
      <t>V</t>
    </r>
  </si>
  <si>
    <r>
      <t>B</t>
    </r>
    <r>
      <rPr>
        <vertAlign val="subscript"/>
        <sz val="12"/>
        <color rgb="FF000000"/>
        <rFont val="Calibri"/>
      </rPr>
      <t>t</t>
    </r>
  </si>
  <si>
    <r>
      <t>RB</t>
    </r>
    <r>
      <rPr>
        <vertAlign val="subscript"/>
        <sz val="12"/>
        <color rgb="FF000000"/>
        <rFont val="Calibri"/>
      </rPr>
      <t>t</t>
    </r>
  </si>
  <si>
    <r>
      <rPr>
        <vertAlign val="subscript"/>
        <sz val="12"/>
        <color rgb="FF000000"/>
        <rFont val="Calibri"/>
      </rPr>
      <t>t-1</t>
    </r>
    <r>
      <rPr>
        <sz val="12"/>
        <color rgb="FF000000"/>
        <rFont val="Calibri"/>
        <family val="2"/>
      </rPr>
      <t>V</t>
    </r>
  </si>
  <si>
    <t>Projection of AV</t>
  </si>
  <si>
    <t>EC</t>
  </si>
  <si>
    <t>CoI</t>
  </si>
  <si>
    <t>Profit margin</t>
  </si>
  <si>
    <t>PV of 2 premiums is</t>
  </si>
  <si>
    <t>For profit margin of 3.38%, NPV is</t>
  </si>
  <si>
    <t xml:space="preserve">Pi_2 is </t>
  </si>
  <si>
    <r>
      <t>AV</t>
    </r>
    <r>
      <rPr>
        <vertAlign val="subscript"/>
        <sz val="10"/>
        <rFont val="Arial"/>
        <family val="2"/>
      </rPr>
      <t>t-1</t>
    </r>
  </si>
  <si>
    <r>
      <t>i</t>
    </r>
    <r>
      <rPr>
        <vertAlign val="superscript"/>
        <sz val="10"/>
        <rFont val="Arial"/>
        <family val="2"/>
      </rPr>
      <t>c</t>
    </r>
  </si>
  <si>
    <r>
      <t>AV</t>
    </r>
    <r>
      <rPr>
        <vertAlign val="subscript"/>
        <sz val="10"/>
        <rFont val="Arial"/>
        <family val="2"/>
      </rPr>
      <t>t</t>
    </r>
  </si>
  <si>
    <r>
      <t>DB</t>
    </r>
    <r>
      <rPr>
        <vertAlign val="subscript"/>
        <sz val="10"/>
        <rFont val="Arial"/>
        <family val="2"/>
      </rPr>
      <t>t</t>
    </r>
  </si>
  <si>
    <r>
      <t>EDB</t>
    </r>
    <r>
      <rPr>
        <vertAlign val="subscript"/>
        <sz val="10"/>
        <rFont val="Arial"/>
        <family val="2"/>
      </rPr>
      <t>t</t>
    </r>
  </si>
  <si>
    <r>
      <t>EAV</t>
    </r>
    <r>
      <rPr>
        <vertAlign val="subscript"/>
        <sz val="10"/>
        <rFont val="Arial"/>
        <family val="2"/>
      </rPr>
      <t>t</t>
    </r>
  </si>
  <si>
    <r>
      <t>q</t>
    </r>
    <r>
      <rPr>
        <vertAlign val="subscript"/>
        <sz val="10"/>
        <rFont val="Arial"/>
        <family val="2"/>
      </rPr>
      <t>65+t-1</t>
    </r>
  </si>
  <si>
    <r>
      <rPr>
        <sz val="10"/>
        <rFont val="Symbol"/>
        <family val="1"/>
      </rPr>
      <t>P</t>
    </r>
    <r>
      <rPr>
        <vertAlign val="subscript"/>
        <sz val="10"/>
        <rFont val="Arial"/>
        <family val="2"/>
      </rPr>
      <t>t</t>
    </r>
  </si>
  <si>
    <r>
      <t xml:space="preserve">1 - </t>
    </r>
    <r>
      <rPr>
        <sz val="10"/>
        <rFont val="Symbol"/>
        <family val="1"/>
      </rPr>
      <t>a</t>
    </r>
  </si>
  <si>
    <t>a</t>
  </si>
  <si>
    <t>Rate</t>
  </si>
  <si>
    <r>
      <t>t</t>
    </r>
    <r>
      <rPr>
        <sz val="10"/>
        <rFont val="Arial"/>
      </rPr>
      <t>p</t>
    </r>
    <r>
      <rPr>
        <vertAlign val="subscript"/>
        <sz val="12"/>
        <color theme="1"/>
        <rFont val="Calibri"/>
        <scheme val="minor"/>
      </rPr>
      <t>x</t>
    </r>
  </si>
  <si>
    <t>Insurance EPV</t>
  </si>
  <si>
    <r>
      <t>Pr</t>
    </r>
    <r>
      <rPr>
        <vertAlign val="subscript"/>
        <sz val="10"/>
        <rFont val="Arial"/>
        <family val="2"/>
      </rPr>
      <t>t-</t>
    </r>
  </si>
  <si>
    <r>
      <t>Pr</t>
    </r>
    <r>
      <rPr>
        <vertAlign val="subscript"/>
        <sz val="10"/>
        <rFont val="Arial"/>
        <family val="2"/>
      </rPr>
      <t>t+</t>
    </r>
  </si>
  <si>
    <r>
      <t>E</t>
    </r>
    <r>
      <rPr>
        <vertAlign val="subscript"/>
        <sz val="12"/>
        <color rgb="FF000000"/>
        <rFont val="Calibri"/>
      </rPr>
      <t>t-</t>
    </r>
    <r>
      <rPr>
        <sz val="12"/>
        <color rgb="FF000000"/>
        <rFont val="Calibri"/>
        <family val="2"/>
      </rPr>
      <t>V</t>
    </r>
  </si>
  <si>
    <r>
      <t>E</t>
    </r>
    <r>
      <rPr>
        <vertAlign val="subscript"/>
        <sz val="12"/>
        <color rgb="FF000000"/>
        <rFont val="Calibri"/>
      </rPr>
      <t>t+</t>
    </r>
    <r>
      <rPr>
        <sz val="12"/>
        <color rgb="FF000000"/>
        <rFont val="Calibri"/>
        <family val="2"/>
      </rPr>
      <t>V</t>
    </r>
  </si>
  <si>
    <r>
      <t>NPV</t>
    </r>
    <r>
      <rPr>
        <vertAlign val="subscript"/>
        <sz val="10"/>
        <rFont val="Arial"/>
        <family val="2"/>
      </rPr>
      <t>t</t>
    </r>
  </si>
  <si>
    <t>Premium related expenses</t>
  </si>
  <si>
    <t xml:space="preserve">Fixed expenses </t>
  </si>
  <si>
    <t>Bonus</t>
  </si>
  <si>
    <t>Product A</t>
  </si>
  <si>
    <t>Product B</t>
  </si>
  <si>
    <r>
      <t>t</t>
    </r>
    <r>
      <rPr>
        <sz val="10"/>
        <rFont val="Arial"/>
      </rPr>
      <t>V</t>
    </r>
    <r>
      <rPr>
        <vertAlign val="superscript"/>
        <sz val="10"/>
        <rFont val="Arial"/>
        <family val="2"/>
      </rPr>
      <t>(0)</t>
    </r>
  </si>
  <si>
    <r>
      <t>t</t>
    </r>
    <r>
      <rPr>
        <sz val="10"/>
        <rFont val="Arial"/>
      </rPr>
      <t>V</t>
    </r>
    <r>
      <rPr>
        <vertAlign val="superscript"/>
        <sz val="10"/>
        <rFont val="Arial"/>
        <family val="2"/>
      </rPr>
      <t>(1)</t>
    </r>
  </si>
  <si>
    <r>
      <t>p</t>
    </r>
    <r>
      <rPr>
        <vertAlign val="superscript"/>
        <sz val="10"/>
        <rFont val="Arial"/>
        <family val="2"/>
      </rPr>
      <t>00</t>
    </r>
    <r>
      <rPr>
        <sz val="10"/>
        <rFont val="Arial"/>
      </rPr>
      <t xml:space="preserve"> = </t>
    </r>
  </si>
  <si>
    <r>
      <t>p</t>
    </r>
    <r>
      <rPr>
        <vertAlign val="superscript"/>
        <sz val="10"/>
        <rFont val="Arial"/>
        <family val="2"/>
      </rPr>
      <t>01</t>
    </r>
    <r>
      <rPr>
        <sz val="10"/>
        <rFont val="Arial"/>
      </rPr>
      <t xml:space="preserve"> = </t>
    </r>
  </si>
  <si>
    <r>
      <t>p</t>
    </r>
    <r>
      <rPr>
        <vertAlign val="superscript"/>
        <sz val="10"/>
        <rFont val="Arial"/>
        <family val="2"/>
      </rPr>
      <t>02</t>
    </r>
    <r>
      <rPr>
        <sz val="10"/>
        <rFont val="Arial"/>
      </rPr>
      <t xml:space="preserve"> = </t>
    </r>
  </si>
  <si>
    <r>
      <t>p</t>
    </r>
    <r>
      <rPr>
        <vertAlign val="superscript"/>
        <sz val="10"/>
        <rFont val="Arial"/>
        <family val="2"/>
      </rPr>
      <t>11</t>
    </r>
    <r>
      <rPr>
        <sz val="10"/>
        <rFont val="Arial"/>
      </rPr>
      <t xml:space="preserve"> = </t>
    </r>
  </si>
  <si>
    <r>
      <t>p</t>
    </r>
    <r>
      <rPr>
        <vertAlign val="superscript"/>
        <sz val="10"/>
        <rFont val="Arial"/>
        <family val="2"/>
      </rPr>
      <t>12</t>
    </r>
    <r>
      <rPr>
        <sz val="10"/>
        <rFont val="Arial"/>
      </rPr>
      <t xml:space="preserve"> = </t>
    </r>
  </si>
  <si>
    <t>EPV death or disability</t>
  </si>
  <si>
    <t>EPV death &amp; disability</t>
  </si>
  <si>
    <t xml:space="preserve">P' = </t>
  </si>
  <si>
    <t>EPV survival benefit</t>
  </si>
  <si>
    <r>
      <t>t-1/12</t>
    </r>
    <r>
      <rPr>
        <sz val="10"/>
        <rFont val="Arial"/>
      </rPr>
      <t>V</t>
    </r>
    <r>
      <rPr>
        <vertAlign val="superscript"/>
        <sz val="10"/>
        <rFont val="Arial"/>
        <family val="2"/>
      </rPr>
      <t>(0)</t>
    </r>
  </si>
  <si>
    <t>Dis Ben</t>
  </si>
  <si>
    <t>Dis Res</t>
  </si>
  <si>
    <t>Death Ben</t>
  </si>
  <si>
    <t>Wdl Ben</t>
  </si>
  <si>
    <t>Healthy Res</t>
  </si>
  <si>
    <r>
      <t>Pr</t>
    </r>
    <r>
      <rPr>
        <vertAlign val="subscript"/>
        <sz val="10"/>
        <rFont val="Arial"/>
        <family val="2"/>
      </rPr>
      <t>t</t>
    </r>
    <r>
      <rPr>
        <vertAlign val="superscript"/>
        <sz val="10"/>
        <rFont val="Arial"/>
        <family val="2"/>
      </rPr>
      <t>(0)</t>
    </r>
  </si>
  <si>
    <r>
      <t>t-1/12</t>
    </r>
    <r>
      <rPr>
        <sz val="10"/>
        <rFont val="Arial"/>
      </rPr>
      <t>V</t>
    </r>
    <r>
      <rPr>
        <vertAlign val="superscript"/>
        <sz val="10"/>
        <rFont val="Arial"/>
        <family val="2"/>
      </rPr>
      <t>(1)</t>
    </r>
  </si>
  <si>
    <t xml:space="preserve">Product </t>
  </si>
  <si>
    <t>Calculation</t>
  </si>
  <si>
    <r>
      <t>t</t>
    </r>
    <r>
      <rPr>
        <sz val="10"/>
        <rFont val="Arial"/>
      </rPr>
      <t>V</t>
    </r>
    <r>
      <rPr>
        <vertAlign val="superscript"/>
        <sz val="10"/>
        <rFont val="Arial"/>
        <family val="2"/>
      </rPr>
      <t>(1)</t>
    </r>
  </si>
  <si>
    <r>
      <t>p</t>
    </r>
    <r>
      <rPr>
        <vertAlign val="superscript"/>
        <sz val="10"/>
        <rFont val="Arial"/>
        <family val="2"/>
      </rPr>
      <t>00*</t>
    </r>
  </si>
  <si>
    <r>
      <t>Pr</t>
    </r>
    <r>
      <rPr>
        <vertAlign val="subscript"/>
        <sz val="10"/>
        <rFont val="Arial"/>
        <family val="2"/>
      </rPr>
      <t>t</t>
    </r>
    <r>
      <rPr>
        <vertAlign val="superscript"/>
        <sz val="10"/>
        <rFont val="Arial"/>
        <family val="2"/>
      </rPr>
      <t>(1)</t>
    </r>
  </si>
  <si>
    <r>
      <t>p</t>
    </r>
    <r>
      <rPr>
        <vertAlign val="superscript"/>
        <sz val="10"/>
        <rFont val="Arial"/>
        <family val="2"/>
      </rPr>
      <t>01*</t>
    </r>
  </si>
  <si>
    <t>for NPV</t>
  </si>
  <si>
    <t>for premiums</t>
  </si>
  <si>
    <t>for DPP</t>
  </si>
  <si>
    <t>IRR per month</t>
  </si>
  <si>
    <t xml:space="preserve">NPV = </t>
  </si>
  <si>
    <t xml:space="preserve">Profit Margin = </t>
  </si>
  <si>
    <t xml:space="preserve">NPV/Acquisition costs = </t>
  </si>
  <si>
    <r>
      <t>p</t>
    </r>
    <r>
      <rPr>
        <vertAlign val="superscript"/>
        <sz val="10"/>
        <rFont val="Arial"/>
        <family val="2"/>
      </rPr>
      <t>11</t>
    </r>
    <r>
      <rPr>
        <sz val="10"/>
        <rFont val="Arial"/>
      </rPr>
      <t xml:space="preserve">* = </t>
    </r>
  </si>
  <si>
    <r>
      <t>p</t>
    </r>
    <r>
      <rPr>
        <vertAlign val="superscript"/>
        <sz val="10"/>
        <rFont val="Arial"/>
        <family val="2"/>
      </rPr>
      <t>12</t>
    </r>
    <r>
      <rPr>
        <sz val="10"/>
        <rFont val="Arial"/>
      </rPr>
      <t xml:space="preserve">* </t>
    </r>
    <r>
      <rPr>
        <sz val="10"/>
        <rFont val="Arial"/>
      </rPr>
      <t xml:space="preserve">= </t>
    </r>
  </si>
  <si>
    <r>
      <t>p</t>
    </r>
    <r>
      <rPr>
        <vertAlign val="superscript"/>
        <sz val="10"/>
        <rFont val="Arial"/>
        <family val="2"/>
      </rPr>
      <t>00</t>
    </r>
    <r>
      <rPr>
        <sz val="10"/>
        <rFont val="Arial"/>
      </rPr>
      <t xml:space="preserve">* = </t>
    </r>
  </si>
  <si>
    <r>
      <t>p</t>
    </r>
    <r>
      <rPr>
        <vertAlign val="superscript"/>
        <sz val="10"/>
        <rFont val="Arial"/>
        <family val="2"/>
      </rPr>
      <t>01</t>
    </r>
    <r>
      <rPr>
        <sz val="10"/>
        <rFont val="Arial"/>
      </rPr>
      <t xml:space="preserve">* = </t>
    </r>
  </si>
  <si>
    <r>
      <t>p</t>
    </r>
    <r>
      <rPr>
        <vertAlign val="superscript"/>
        <sz val="10"/>
        <rFont val="Arial"/>
        <family val="2"/>
      </rPr>
      <t>02</t>
    </r>
    <r>
      <rPr>
        <sz val="10"/>
        <rFont val="Arial"/>
      </rPr>
      <t xml:space="preserve">* = </t>
    </r>
  </si>
  <si>
    <r>
      <t>p</t>
    </r>
    <r>
      <rPr>
        <vertAlign val="superscript"/>
        <sz val="10"/>
        <rFont val="Arial"/>
        <family val="2"/>
      </rPr>
      <t>12</t>
    </r>
    <r>
      <rPr>
        <sz val="10"/>
        <rFont val="Arial"/>
      </rPr>
      <t xml:space="preserve">* = </t>
    </r>
  </si>
  <si>
    <r>
      <t>p</t>
    </r>
    <r>
      <rPr>
        <vertAlign val="superscript"/>
        <sz val="10"/>
        <rFont val="Arial"/>
        <family val="2"/>
      </rPr>
      <t>03</t>
    </r>
    <r>
      <rPr>
        <sz val="10"/>
        <rFont val="Arial"/>
      </rPr>
      <t xml:space="preserve">* = </t>
    </r>
  </si>
  <si>
    <t>Parts (e) and (f)</t>
  </si>
  <si>
    <t>IRR per year</t>
  </si>
  <si>
    <r>
      <t>ä</t>
    </r>
    <r>
      <rPr>
        <vertAlign val="subscript"/>
        <sz val="10"/>
        <color rgb="FF000000"/>
        <rFont val="Arial"/>
      </rPr>
      <t>[55]</t>
    </r>
  </si>
  <si>
    <r>
      <t>A</t>
    </r>
    <r>
      <rPr>
        <vertAlign val="subscript"/>
        <sz val="10"/>
        <color rgb="FF000000"/>
        <rFont val="Arial"/>
      </rPr>
      <t>[55]</t>
    </r>
  </si>
  <si>
    <r>
      <t>(IA)</t>
    </r>
    <r>
      <rPr>
        <vertAlign val="subscript"/>
        <sz val="10"/>
        <color rgb="FF000000"/>
        <rFont val="Arial"/>
      </rPr>
      <t>[55]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</si>
  <si>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x</t>
    </r>
  </si>
  <si>
    <r>
      <rPr>
        <vertAlign val="subscript"/>
        <sz val="10"/>
        <color rgb="FF000000"/>
        <rFont val="Arial"/>
      </rPr>
      <t>t</t>
    </r>
    <r>
      <rPr>
        <sz val="10"/>
        <color rgb="FF000000"/>
        <rFont val="Arial"/>
      </rPr>
      <t>V</t>
    </r>
  </si>
  <si>
    <r>
      <t>E</t>
    </r>
    <r>
      <rPr>
        <vertAlign val="subscript"/>
        <sz val="10"/>
        <color rgb="FF000000"/>
        <rFont val="Arial"/>
      </rPr>
      <t>t</t>
    </r>
    <r>
      <rPr>
        <sz val="10"/>
        <color rgb="FF000000"/>
        <rFont val="Arial"/>
      </rPr>
      <t>V</t>
    </r>
  </si>
  <si>
    <r>
      <t>Pr</t>
    </r>
    <r>
      <rPr>
        <vertAlign val="subscript"/>
        <sz val="10"/>
        <color rgb="FF000000"/>
        <rFont val="Arial"/>
      </rPr>
      <t>t-</t>
    </r>
  </si>
  <si>
    <r>
      <t>B</t>
    </r>
    <r>
      <rPr>
        <vertAlign val="subscript"/>
        <sz val="10"/>
        <color rgb="FF000000"/>
        <rFont val="Arial"/>
      </rPr>
      <t>t</t>
    </r>
  </si>
  <si>
    <r>
      <t>RB</t>
    </r>
    <r>
      <rPr>
        <vertAlign val="subscript"/>
        <sz val="10"/>
        <color rgb="FF000000"/>
        <rFont val="Arial"/>
      </rPr>
      <t>t</t>
    </r>
  </si>
  <si>
    <r>
      <t>ä</t>
    </r>
    <r>
      <rPr>
        <vertAlign val="subscript"/>
        <sz val="10"/>
        <color rgb="FF000000"/>
        <rFont val="Arial"/>
      </rPr>
      <t>x</t>
    </r>
  </si>
  <si>
    <r>
      <t>A</t>
    </r>
    <r>
      <rPr>
        <vertAlign val="subscript"/>
        <sz val="10"/>
        <color rgb="FF000000"/>
        <rFont val="Arial"/>
      </rPr>
      <t>x</t>
    </r>
  </si>
  <si>
    <r>
      <rPr>
        <vertAlign val="subscript"/>
        <sz val="10"/>
        <color rgb="FF000000"/>
        <rFont val="Arial"/>
      </rPr>
      <t>t-1</t>
    </r>
    <r>
      <rPr>
        <sz val="10"/>
        <color rgb="FF000000"/>
        <rFont val="Arial"/>
      </rPr>
      <t>V</t>
    </r>
  </si>
  <si>
    <r>
      <t>v</t>
    </r>
    <r>
      <rPr>
        <vertAlign val="superscript"/>
        <sz val="10"/>
        <rFont val="Arial"/>
        <family val="2"/>
      </rPr>
      <t xml:space="preserve">t </t>
    </r>
    <r>
      <rPr>
        <sz val="10"/>
        <rFont val="Arial"/>
      </rPr>
      <t>at 5%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</si>
  <si>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55</t>
    </r>
    <r>
      <rPr>
        <vertAlign val="superscript"/>
        <sz val="10"/>
        <rFont val="Arial"/>
        <family val="2"/>
      </rPr>
      <t>00</t>
    </r>
  </si>
  <si>
    <r>
      <t>t</t>
    </r>
    <r>
      <rPr>
        <sz val="10"/>
        <rFont val="Arial"/>
      </rPr>
      <t>p</t>
    </r>
    <r>
      <rPr>
        <vertAlign val="subscript"/>
        <sz val="10"/>
        <rFont val="Arial"/>
        <family val="2"/>
      </rPr>
      <t>55</t>
    </r>
    <r>
      <rPr>
        <vertAlign val="superscript"/>
        <sz val="10"/>
        <rFont val="Arial"/>
        <family val="2"/>
      </rPr>
      <t>01</t>
    </r>
  </si>
  <si>
    <r>
      <t>v</t>
    </r>
    <r>
      <rPr>
        <vertAlign val="superscript"/>
        <sz val="10"/>
        <rFont val="Arial"/>
        <family val="2"/>
      </rPr>
      <t xml:space="preserve">t </t>
    </r>
    <r>
      <rPr>
        <sz val="10"/>
        <rFont val="Arial"/>
      </rPr>
      <t>at 5.25%</t>
    </r>
  </si>
  <si>
    <t>Version at 14 August 2013</t>
  </si>
  <si>
    <t>In State 0</t>
  </si>
  <si>
    <t>In State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</si>
</sst>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-;\-* #,##0.00_-;_-* &quot;-&quot;??_-;_-@_-"/>
    <numFmt numFmtId="164" formatCode="0.000000"/>
    <numFmt numFmtId="165" formatCode="0.0000"/>
    <numFmt numFmtId="166" formatCode="0.000"/>
    <numFmt numFmtId="167" formatCode="0.00000"/>
    <numFmt numFmtId="168" formatCode="0.0E+00"/>
    <numFmt numFmtId="169" formatCode="0.0000000"/>
    <numFmt numFmtId="170" formatCode="0.0000%"/>
    <numFmt numFmtId="171" formatCode="0.000E+00"/>
    <numFmt numFmtId="172" formatCode="#,##0.0000"/>
    <numFmt numFmtId="173" formatCode="#,##0_ ;\-#,##0\ "/>
    <numFmt numFmtId="174" formatCode="#,##0.00000"/>
    <numFmt numFmtId="175" formatCode="#,##0.000"/>
    <numFmt numFmtId="176" formatCode="0.0"/>
    <numFmt numFmtId="177" formatCode="0.0%"/>
    <numFmt numFmtId="178" formatCode="0.000%"/>
    <numFmt numFmtId="179" formatCode="0.00000000"/>
    <numFmt numFmtId="180" formatCode="0.0000000E+00"/>
    <numFmt numFmtId="181" formatCode="0.000000000E+00"/>
    <numFmt numFmtId="182" formatCode="&quot;$&quot;#,##0.00"/>
  </numFmts>
  <fonts count="34" x14ac:knownFonts="1">
    <font>
      <sz val="10"/>
      <name val="Arial"/>
    </font>
    <font>
      <b/>
      <sz val="10"/>
      <name val="Arial"/>
      <family val="2"/>
    </font>
    <font>
      <b/>
      <sz val="12"/>
      <color indexed="12"/>
      <name val="Arial"/>
      <family val="2"/>
    </font>
    <font>
      <vertAlign val="subscript"/>
      <sz val="10"/>
      <name val="Arial"/>
      <family val="2"/>
    </font>
    <font>
      <sz val="8"/>
      <name val="Arial"/>
    </font>
    <font>
      <sz val="10"/>
      <name val="Arial"/>
      <family val="2"/>
    </font>
    <font>
      <sz val="10"/>
      <name val="Symbol"/>
      <family val="1"/>
    </font>
    <font>
      <vertAlign val="superscript"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0"/>
      <color indexed="12"/>
      <name val="Arial"/>
      <family val="2"/>
    </font>
    <font>
      <b/>
      <sz val="12"/>
      <name val="Arial"/>
    </font>
    <font>
      <vertAlign val="superscript"/>
      <sz val="10"/>
      <name val="Symbol"/>
      <family val="1"/>
    </font>
    <font>
      <sz val="10"/>
      <color indexed="8"/>
      <name val="Arial"/>
    </font>
    <font>
      <b/>
      <sz val="10"/>
      <color theme="1"/>
      <name val="Arial"/>
    </font>
    <font>
      <b/>
      <sz val="12"/>
      <color theme="1"/>
      <name val="Arial"/>
    </font>
    <font>
      <sz val="10"/>
      <color theme="1"/>
      <name val="Arial"/>
    </font>
    <font>
      <vertAlign val="subscript"/>
      <sz val="10"/>
      <color theme="1"/>
      <name val="Arial"/>
    </font>
    <font>
      <vertAlign val="superscript"/>
      <sz val="10"/>
      <color theme="1"/>
      <name val="Arial"/>
    </font>
    <font>
      <i/>
      <sz val="10"/>
      <color theme="1"/>
      <name val="Arial"/>
    </font>
    <font>
      <sz val="10"/>
      <color theme="1"/>
      <name val="Symbol"/>
    </font>
    <font>
      <sz val="10"/>
      <name val="Euclid"/>
      <family val="1"/>
    </font>
    <font>
      <vertAlign val="subscript"/>
      <sz val="10"/>
      <name val="Euclid"/>
      <family val="1"/>
    </font>
    <font>
      <i/>
      <sz val="10"/>
      <name val="Euclid"/>
      <family val="1"/>
    </font>
    <font>
      <vertAlign val="superscript"/>
      <sz val="10"/>
      <name val="Euclid"/>
      <family val="1"/>
    </font>
    <font>
      <sz val="14"/>
      <name val="Arial"/>
    </font>
    <font>
      <i/>
      <sz val="14"/>
      <name val="Arial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vertAlign val="subscript"/>
      <sz val="12"/>
      <color rgb="FF000000"/>
      <name val="Calibri"/>
    </font>
    <font>
      <vertAlign val="subscript"/>
      <sz val="12"/>
      <color theme="1"/>
      <name val="Calibri"/>
      <scheme val="minor"/>
    </font>
    <font>
      <sz val="10"/>
      <color rgb="FF000000"/>
      <name val="Arial"/>
    </font>
    <font>
      <vertAlign val="subscript"/>
      <sz val="10"/>
      <color rgb="FF000000"/>
      <name val="Arial"/>
    </font>
    <font>
      <b/>
      <sz val="10"/>
      <color rgb="FF000000"/>
      <name val="Arial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DE9D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8" tint="0.79998168889431442"/>
        <bgColor rgb="FF000000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562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40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167" fontId="0" fillId="0" borderId="0" xfId="0" applyNumberFormat="1"/>
    <xf numFmtId="0" fontId="0" fillId="0" borderId="0" xfId="0" applyAlignment="1">
      <alignment horizontal="right"/>
    </xf>
    <xf numFmtId="167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165" fontId="0" fillId="0" borderId="0" xfId="0" applyNumberFormat="1"/>
    <xf numFmtId="164" fontId="0" fillId="0" borderId="0" xfId="0" applyNumberFormat="1"/>
    <xf numFmtId="0" fontId="5" fillId="0" borderId="0" xfId="0" applyFont="1" applyAlignment="1">
      <alignment horizontal="center"/>
    </xf>
    <xf numFmtId="169" fontId="0" fillId="0" borderId="0" xfId="0" applyNumberFormat="1"/>
    <xf numFmtId="1" fontId="5" fillId="0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left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6" fontId="0" fillId="0" borderId="0" xfId="0" applyNumberFormat="1"/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167" fontId="3" fillId="0" borderId="0" xfId="0" applyNumberFormat="1" applyFont="1" applyAlignment="1">
      <alignment horizontal="center"/>
    </xf>
    <xf numFmtId="0" fontId="10" fillId="0" borderId="0" xfId="0" applyFont="1"/>
    <xf numFmtId="167" fontId="1" fillId="0" borderId="0" xfId="0" applyNumberFormat="1" applyFont="1"/>
    <xf numFmtId="167" fontId="7" fillId="0" borderId="0" xfId="0" applyNumberFormat="1" applyFont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164" fontId="0" fillId="0" borderId="2" xfId="0" applyNumberFormat="1" applyBorder="1" applyAlignment="1">
      <alignment horizontal="center"/>
    </xf>
    <xf numFmtId="0" fontId="0" fillId="0" borderId="2" xfId="0" applyBorder="1"/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right"/>
    </xf>
    <xf numFmtId="164" fontId="0" fillId="0" borderId="5" xfId="0" applyNumberFormat="1" applyBorder="1" applyAlignment="1">
      <alignment horizontal="center"/>
    </xf>
    <xf numFmtId="0" fontId="0" fillId="0" borderId="5" xfId="0" applyBorder="1"/>
    <xf numFmtId="164" fontId="0" fillId="0" borderId="6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2" borderId="7" xfId="0" applyFill="1" applyBorder="1"/>
    <xf numFmtId="0" fontId="0" fillId="3" borderId="7" xfId="0" applyFill="1" applyBorder="1"/>
    <xf numFmtId="0" fontId="0" fillId="0" borderId="7" xfId="0" applyBorder="1"/>
    <xf numFmtId="165" fontId="0" fillId="2" borderId="0" xfId="0" applyNumberFormat="1" applyFont="1" applyFill="1" applyAlignment="1">
      <alignment horizontal="center"/>
    </xf>
    <xf numFmtId="168" fontId="0" fillId="2" borderId="0" xfId="0" applyNumberFormat="1" applyFont="1" applyFill="1" applyAlignment="1">
      <alignment horizontal="center"/>
    </xf>
    <xf numFmtId="0" fontId="0" fillId="2" borderId="0" xfId="0" applyFont="1" applyFill="1" applyAlignment="1">
      <alignment horizontal="right"/>
    </xf>
    <xf numFmtId="166" fontId="0" fillId="2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right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167" fontId="0" fillId="2" borderId="0" xfId="0" applyNumberFormat="1" applyFont="1" applyFill="1" applyAlignment="1">
      <alignment horizontal="center"/>
    </xf>
    <xf numFmtId="0" fontId="0" fillId="2" borderId="0" xfId="0" applyFont="1" applyFill="1" applyAlignment="1">
      <alignment horizontal="center"/>
    </xf>
    <xf numFmtId="2" fontId="0" fillId="2" borderId="0" xfId="0" applyNumberFormat="1" applyFont="1" applyFill="1" applyAlignment="1">
      <alignment horizontal="center"/>
    </xf>
    <xf numFmtId="0" fontId="0" fillId="2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0" fillId="2" borderId="0" xfId="0" applyFont="1" applyFill="1"/>
    <xf numFmtId="9" fontId="0" fillId="3" borderId="0" xfId="39" applyFont="1" applyFill="1" applyAlignment="1">
      <alignment horizontal="left"/>
    </xf>
    <xf numFmtId="0" fontId="7" fillId="0" borderId="0" xfId="0" applyFont="1" applyAlignment="1">
      <alignment horizontal="center"/>
    </xf>
    <xf numFmtId="0" fontId="0" fillId="3" borderId="0" xfId="0" applyFont="1" applyFill="1" applyAlignment="1">
      <alignment horizontal="right"/>
    </xf>
    <xf numFmtId="170" fontId="0" fillId="0" borderId="0" xfId="39" applyNumberFormat="1" applyFont="1" applyAlignment="1">
      <alignment horizontal="left"/>
    </xf>
    <xf numFmtId="167" fontId="0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7" fontId="0" fillId="2" borderId="0" xfId="0" applyNumberFormat="1" applyFont="1" applyFill="1" applyAlignment="1">
      <alignment horizontal="right"/>
    </xf>
    <xf numFmtId="164" fontId="0" fillId="2" borderId="0" xfId="0" applyNumberFormat="1" applyFont="1" applyFill="1" applyAlignment="1">
      <alignment horizontal="center"/>
    </xf>
    <xf numFmtId="1" fontId="0" fillId="3" borderId="0" xfId="39" applyNumberFormat="1" applyFont="1" applyFill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0" fillId="4" borderId="0" xfId="0" applyFill="1" applyAlignment="1">
      <alignment horizontal="right"/>
    </xf>
    <xf numFmtId="9" fontId="0" fillId="4" borderId="0" xfId="0" applyNumberFormat="1" applyFill="1" applyAlignment="1">
      <alignment horizontal="left"/>
    </xf>
    <xf numFmtId="1" fontId="0" fillId="2" borderId="0" xfId="0" applyNumberFormat="1" applyFont="1" applyFill="1" applyAlignment="1">
      <alignment horizontal="center"/>
    </xf>
    <xf numFmtId="0" fontId="1" fillId="2" borderId="0" xfId="0" applyFont="1" applyFill="1"/>
    <xf numFmtId="0" fontId="0" fillId="2" borderId="0" xfId="0" applyFill="1" applyAlignment="1">
      <alignment horizontal="right"/>
    </xf>
    <xf numFmtId="164" fontId="0" fillId="0" borderId="0" xfId="0" applyNumberFormat="1" applyFill="1" applyAlignment="1">
      <alignment horizontal="left"/>
    </xf>
    <xf numFmtId="167" fontId="0" fillId="2" borderId="0" xfId="0" applyNumberFormat="1" applyFont="1" applyFill="1" applyAlignment="1">
      <alignment horizontal="left"/>
    </xf>
    <xf numFmtId="169" fontId="0" fillId="0" borderId="0" xfId="0" applyNumberFormat="1" applyAlignment="1">
      <alignment horizontal="left"/>
    </xf>
    <xf numFmtId="2" fontId="3" fillId="0" borderId="0" xfId="0" applyNumberFormat="1" applyFont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0" borderId="0" xfId="0" applyNumberFormat="1"/>
    <xf numFmtId="0" fontId="3" fillId="0" borderId="0" xfId="0" applyFont="1" applyAlignment="1">
      <alignment horizontal="right"/>
    </xf>
    <xf numFmtId="2" fontId="0" fillId="0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164" fontId="3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3" fillId="2" borderId="0" xfId="0" applyFont="1" applyFill="1" applyAlignment="1">
      <alignment horizontal="center"/>
    </xf>
    <xf numFmtId="165" fontId="0" fillId="3" borderId="0" xfId="0" applyNumberFormat="1" applyFill="1" applyAlignment="1">
      <alignment horizontal="left"/>
    </xf>
    <xf numFmtId="164" fontId="0" fillId="3" borderId="0" xfId="0" applyNumberFormat="1" applyFill="1" applyAlignment="1">
      <alignment horizontal="left"/>
    </xf>
    <xf numFmtId="2" fontId="0" fillId="3" borderId="0" xfId="0" applyNumberFormat="1" applyFill="1" applyAlignment="1">
      <alignment horizontal="left"/>
    </xf>
    <xf numFmtId="0" fontId="5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9" fontId="0" fillId="3" borderId="0" xfId="0" applyNumberFormat="1" applyFill="1" applyAlignment="1">
      <alignment horizontal="left"/>
    </xf>
    <xf numFmtId="167" fontId="0" fillId="3" borderId="0" xfId="0" applyNumberFormat="1" applyFill="1" applyAlignment="1">
      <alignment horizontal="left"/>
    </xf>
    <xf numFmtId="0" fontId="0" fillId="2" borderId="0" xfId="0" applyFill="1"/>
    <xf numFmtId="2" fontId="0" fillId="2" borderId="0" xfId="0" applyNumberFormat="1" applyFill="1" applyAlignment="1">
      <alignment horizontal="left"/>
    </xf>
    <xf numFmtId="0" fontId="6" fillId="0" borderId="0" xfId="0" applyFont="1"/>
    <xf numFmtId="164" fontId="0" fillId="2" borderId="0" xfId="0" applyNumberFormat="1" applyFill="1" applyAlignment="1">
      <alignment horizontal="center"/>
    </xf>
    <xf numFmtId="165" fontId="11" fillId="0" borderId="0" xfId="0" applyNumberFormat="1" applyFont="1"/>
    <xf numFmtId="165" fontId="0" fillId="0" borderId="0" xfId="0" applyNumberFormat="1" applyAlignment="1">
      <alignment horizontal="right"/>
    </xf>
    <xf numFmtId="165" fontId="0" fillId="3" borderId="0" xfId="0" applyNumberFormat="1" applyFill="1" applyAlignment="1">
      <alignment horizontal="right"/>
    </xf>
    <xf numFmtId="166" fontId="0" fillId="3" borderId="0" xfId="0" applyNumberFormat="1" applyFill="1" applyAlignment="1">
      <alignment horizontal="left"/>
    </xf>
    <xf numFmtId="0" fontId="6" fillId="0" borderId="0" xfId="0" applyFont="1" applyAlignment="1">
      <alignment horizontal="right"/>
    </xf>
    <xf numFmtId="171" fontId="0" fillId="0" borderId="0" xfId="0" applyNumberFormat="1" applyAlignment="1">
      <alignment horizontal="center"/>
    </xf>
    <xf numFmtId="0" fontId="6" fillId="3" borderId="0" xfId="0" applyFont="1" applyFill="1" applyAlignment="1">
      <alignment horizontal="right"/>
    </xf>
    <xf numFmtId="167" fontId="0" fillId="2" borderId="0" xfId="0" applyNumberFormat="1" applyFill="1" applyAlignment="1">
      <alignment horizontal="center"/>
    </xf>
    <xf numFmtId="0" fontId="1" fillId="0" borderId="1" xfId="0" applyFont="1" applyBorder="1" applyAlignment="1">
      <alignment horizontal="center"/>
    </xf>
    <xf numFmtId="167" fontId="0" fillId="0" borderId="3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167" fontId="0" fillId="0" borderId="9" xfId="0" applyNumberFormat="1" applyBorder="1" applyAlignment="1">
      <alignment horizontal="center"/>
    </xf>
    <xf numFmtId="0" fontId="6" fillId="0" borderId="8" xfId="0" applyFont="1" applyBorder="1" applyAlignment="1">
      <alignment horizontal="center"/>
    </xf>
    <xf numFmtId="167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2" borderId="6" xfId="0" applyNumberFormat="1" applyFont="1" applyFill="1" applyBorder="1" applyAlignment="1">
      <alignment horizontal="center"/>
    </xf>
    <xf numFmtId="0" fontId="1" fillId="0" borderId="1" xfId="0" applyFont="1" applyBorder="1"/>
    <xf numFmtId="0" fontId="0" fillId="0" borderId="3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0" xfId="0" applyBorder="1"/>
    <xf numFmtId="167" fontId="0" fillId="0" borderId="4" xfId="0" applyNumberFormat="1" applyBorder="1" applyAlignment="1">
      <alignment horizontal="center"/>
    </xf>
    <xf numFmtId="167" fontId="0" fillId="0" borderId="5" xfId="0" applyNumberFormat="1" applyBorder="1" applyAlignment="1">
      <alignment horizontal="center"/>
    </xf>
    <xf numFmtId="0" fontId="2" fillId="0" borderId="0" xfId="0" applyFont="1" applyAlignment="1">
      <alignment horizontal="left"/>
    </xf>
    <xf numFmtId="164" fontId="0" fillId="0" borderId="0" xfId="0" applyNumberFormat="1" applyFont="1" applyAlignment="1">
      <alignment horizontal="center"/>
    </xf>
    <xf numFmtId="2" fontId="0" fillId="2" borderId="0" xfId="0" applyNumberFormat="1" applyFont="1" applyFill="1" applyAlignment="1">
      <alignment horizontal="left"/>
    </xf>
    <xf numFmtId="165" fontId="0" fillId="0" borderId="0" xfId="0" applyNumberFormat="1" applyFont="1" applyFill="1" applyAlignment="1">
      <alignment horizontal="center"/>
    </xf>
    <xf numFmtId="167" fontId="0" fillId="3" borderId="0" xfId="0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166" fontId="0" fillId="0" borderId="0" xfId="0" applyNumberFormat="1" applyAlignment="1">
      <alignment horizontal="right"/>
    </xf>
    <xf numFmtId="0" fontId="5" fillId="0" borderId="0" xfId="0" applyFont="1" applyFill="1"/>
    <xf numFmtId="2" fontId="5" fillId="0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left"/>
    </xf>
    <xf numFmtId="166" fontId="0" fillId="3" borderId="0" xfId="0" applyNumberFormat="1" applyFill="1" applyAlignment="1">
      <alignment horizontal="right"/>
    </xf>
    <xf numFmtId="172" fontId="0" fillId="0" borderId="0" xfId="0" applyNumberFormat="1" applyAlignment="1">
      <alignment horizontal="center"/>
    </xf>
    <xf numFmtId="166" fontId="0" fillId="3" borderId="0" xfId="0" applyNumberFormat="1" applyFill="1" applyAlignment="1">
      <alignment horizontal="center"/>
    </xf>
    <xf numFmtId="2" fontId="0" fillId="2" borderId="0" xfId="0" applyNumberFormat="1" applyFont="1" applyFill="1" applyAlignment="1">
      <alignment horizontal="right"/>
    </xf>
    <xf numFmtId="1" fontId="0" fillId="3" borderId="0" xfId="0" applyNumberFormat="1" applyFill="1" applyAlignment="1">
      <alignment horizontal="center"/>
    </xf>
    <xf numFmtId="0" fontId="13" fillId="0" borderId="0" xfId="0" applyFont="1" applyFill="1"/>
    <xf numFmtId="0" fontId="13" fillId="0" borderId="0" xfId="0" applyFont="1" applyFill="1" applyAlignment="1">
      <alignment horizontal="left"/>
    </xf>
    <xf numFmtId="173" fontId="0" fillId="0" borderId="0" xfId="118" applyNumberFormat="1" applyFont="1" applyAlignment="1">
      <alignment horizontal="center"/>
    </xf>
    <xf numFmtId="0" fontId="5" fillId="3" borderId="0" xfId="0" applyFont="1" applyFill="1" applyAlignment="1">
      <alignment horizontal="left"/>
    </xf>
    <xf numFmtId="169" fontId="0" fillId="3" borderId="0" xfId="0" applyNumberFormat="1" applyFill="1" applyAlignment="1">
      <alignment horizontal="left"/>
    </xf>
    <xf numFmtId="164" fontId="0" fillId="0" borderId="0" xfId="0" applyNumberFormat="1" applyAlignment="1">
      <alignment horizontal="right"/>
    </xf>
    <xf numFmtId="174" fontId="0" fillId="0" borderId="0" xfId="0" applyNumberFormat="1" applyAlignment="1">
      <alignment horizontal="center"/>
    </xf>
    <xf numFmtId="175" fontId="0" fillId="0" borderId="0" xfId="0" applyNumberFormat="1" applyAlignment="1">
      <alignment horizontal="center"/>
    </xf>
    <xf numFmtId="1" fontId="0" fillId="0" borderId="0" xfId="0" applyNumberFormat="1" applyAlignment="1">
      <alignment horizontal="left"/>
    </xf>
    <xf numFmtId="164" fontId="1" fillId="0" borderId="0" xfId="0" applyNumberFormat="1" applyFont="1" applyAlignment="1">
      <alignment horizontal="left"/>
    </xf>
    <xf numFmtId="1" fontId="0" fillId="0" borderId="0" xfId="0" applyNumberFormat="1" applyAlignment="1">
      <alignment horizontal="right"/>
    </xf>
    <xf numFmtId="164" fontId="0" fillId="3" borderId="0" xfId="0" applyNumberFormat="1" applyFill="1" applyAlignment="1">
      <alignment horizontal="right"/>
    </xf>
    <xf numFmtId="1" fontId="0" fillId="3" borderId="0" xfId="0" applyNumberFormat="1" applyFill="1" applyAlignment="1">
      <alignment horizontal="left"/>
    </xf>
    <xf numFmtId="11" fontId="0" fillId="2" borderId="0" xfId="0" applyNumberFormat="1" applyFill="1" applyAlignment="1">
      <alignment horizontal="center"/>
    </xf>
    <xf numFmtId="0" fontId="0" fillId="0" borderId="0" xfId="0" applyFont="1" applyFill="1"/>
    <xf numFmtId="1" fontId="0" fillId="0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9" fontId="0" fillId="3" borderId="0" xfId="39" applyNumberFormat="1" applyFont="1" applyFill="1" applyAlignment="1">
      <alignment horizontal="left"/>
    </xf>
    <xf numFmtId="0" fontId="0" fillId="0" borderId="0" xfId="0" applyFill="1" applyAlignment="1">
      <alignment horizontal="center"/>
    </xf>
    <xf numFmtId="165" fontId="0" fillId="0" borderId="0" xfId="0" applyNumberFormat="1" applyFill="1" applyAlignment="1">
      <alignment horizontal="center"/>
    </xf>
    <xf numFmtId="165" fontId="1" fillId="0" borderId="0" xfId="0" applyNumberFormat="1" applyFont="1" applyAlignment="1">
      <alignment horizontal="left"/>
    </xf>
    <xf numFmtId="164" fontId="0" fillId="0" borderId="0" xfId="0" applyNumberFormat="1" applyFill="1" applyAlignment="1">
      <alignment horizontal="right"/>
    </xf>
    <xf numFmtId="0" fontId="0" fillId="0" borderId="0" xfId="0" applyFill="1"/>
    <xf numFmtId="11" fontId="0" fillId="0" borderId="0" xfId="0" applyNumberFormat="1" applyFill="1" applyAlignment="1">
      <alignment horizontal="center"/>
    </xf>
    <xf numFmtId="0" fontId="0" fillId="0" borderId="0" xfId="0" applyFont="1"/>
    <xf numFmtId="2" fontId="0" fillId="0" borderId="0" xfId="0" applyNumberFormat="1" applyFont="1" applyFill="1" applyBorder="1"/>
    <xf numFmtId="0" fontId="0" fillId="0" borderId="0" xfId="0" applyFont="1" applyBorder="1"/>
    <xf numFmtId="0" fontId="0" fillId="3" borderId="0" xfId="0" applyFont="1" applyFill="1" applyBorder="1"/>
    <xf numFmtId="169" fontId="0" fillId="3" borderId="0" xfId="243" applyNumberFormat="1" applyFont="1" applyFill="1" applyBorder="1" applyAlignment="1" applyProtection="1">
      <alignment horizontal="left"/>
      <protection locked="0"/>
    </xf>
    <xf numFmtId="166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14" fillId="0" borderId="0" xfId="0" applyFont="1" applyBorder="1" applyAlignment="1">
      <alignment horizontal="left"/>
    </xf>
    <xf numFmtId="0" fontId="0" fillId="3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3" borderId="0" xfId="0" applyFont="1" applyFill="1" applyBorder="1" applyAlignment="1">
      <alignment horizontal="left"/>
    </xf>
    <xf numFmtId="9" fontId="0" fillId="3" borderId="0" xfId="0" applyNumberFormat="1" applyFont="1" applyFill="1" applyBorder="1" applyAlignment="1">
      <alignment horizontal="left"/>
    </xf>
    <xf numFmtId="167" fontId="0" fillId="3" borderId="0" xfId="243" applyNumberFormat="1" applyFont="1" applyFill="1" applyBorder="1" applyAlignment="1" applyProtection="1">
      <alignment horizontal="left"/>
      <protection locked="0"/>
    </xf>
    <xf numFmtId="165" fontId="0" fillId="3" borderId="0" xfId="243" applyNumberFormat="1" applyFont="1" applyFill="1" applyBorder="1" applyAlignment="1" applyProtection="1">
      <alignment horizontal="left"/>
      <protection locked="0"/>
    </xf>
    <xf numFmtId="166" fontId="0" fillId="3" borderId="0" xfId="243" applyNumberFormat="1" applyFont="1" applyFill="1" applyBorder="1" applyAlignment="1" applyProtection="1">
      <alignment horizontal="left"/>
      <protection locked="0"/>
    </xf>
    <xf numFmtId="167" fontId="0" fillId="0" borderId="0" xfId="0" applyNumberFormat="1" applyFont="1" applyAlignment="1" applyProtection="1">
      <alignment horizontal="center"/>
    </xf>
    <xf numFmtId="2" fontId="0" fillId="2" borderId="0" xfId="0" applyNumberFormat="1" applyFont="1" applyFill="1" applyBorder="1"/>
    <xf numFmtId="2" fontId="0" fillId="2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10" fontId="0" fillId="0" borderId="0" xfId="0" applyNumberFormat="1" applyFont="1"/>
    <xf numFmtId="0" fontId="0" fillId="0" borderId="0" xfId="0" applyFont="1" applyAlignment="1">
      <alignment horizontal="center" vertical="center"/>
    </xf>
    <xf numFmtId="2" fontId="0" fillId="0" borderId="0" xfId="0" applyNumberFormat="1" applyFont="1"/>
    <xf numFmtId="167" fontId="0" fillId="0" borderId="0" xfId="0" applyNumberFormat="1" applyFont="1"/>
    <xf numFmtId="0" fontId="17" fillId="0" borderId="0" xfId="0" applyFont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/>
    <xf numFmtId="176" fontId="0" fillId="2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167" fontId="0" fillId="0" borderId="0" xfId="0" applyNumberFormat="1" applyFont="1" applyAlignment="1">
      <alignment horizontal="left"/>
    </xf>
    <xf numFmtId="167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15" fillId="0" borderId="0" xfId="0" applyFont="1" applyBorder="1" applyAlignment="1">
      <alignment horizontal="left"/>
    </xf>
    <xf numFmtId="0" fontId="0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165" fontId="0" fillId="3" borderId="0" xfId="0" applyNumberFormat="1" applyFont="1" applyFill="1" applyAlignment="1">
      <alignment horizontal="center"/>
    </xf>
    <xf numFmtId="177" fontId="0" fillId="2" borderId="0" xfId="0" applyNumberFormat="1" applyFont="1" applyFill="1" applyBorder="1" applyAlignment="1">
      <alignment horizontal="center"/>
    </xf>
    <xf numFmtId="177" fontId="0" fillId="2" borderId="0" xfId="39" applyNumberFormat="1" applyFont="1" applyFill="1" applyBorder="1" applyAlignment="1">
      <alignment horizontal="center"/>
    </xf>
    <xf numFmtId="10" fontId="0" fillId="0" borderId="0" xfId="39" applyNumberFormat="1" applyFont="1" applyAlignment="1">
      <alignment horizontal="center"/>
    </xf>
    <xf numFmtId="9" fontId="0" fillId="0" borderId="0" xfId="0" applyNumberFormat="1" applyFont="1"/>
    <xf numFmtId="0" fontId="14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0" fillId="3" borderId="0" xfId="0" applyFont="1" applyFill="1"/>
    <xf numFmtId="9" fontId="0" fillId="3" borderId="0" xfId="0" applyNumberFormat="1" applyFont="1" applyFill="1" applyBorder="1" applyAlignment="1">
      <alignment horizontal="center"/>
    </xf>
    <xf numFmtId="9" fontId="0" fillId="0" borderId="0" xfId="39" applyNumberFormat="1" applyFont="1" applyAlignment="1">
      <alignment horizontal="center"/>
    </xf>
    <xf numFmtId="43" fontId="0" fillId="0" borderId="0" xfId="118" applyFont="1" applyAlignment="1">
      <alignment horizontal="center"/>
    </xf>
    <xf numFmtId="2" fontId="0" fillId="0" borderId="0" xfId="0" applyNumberFormat="1" applyFont="1" applyAlignment="1">
      <alignment horizontal="center" vertical="center"/>
    </xf>
    <xf numFmtId="164" fontId="0" fillId="0" borderId="0" xfId="0" applyNumberFormat="1" applyFont="1"/>
    <xf numFmtId="0" fontId="14" fillId="0" borderId="10" xfId="0" applyFont="1" applyFill="1" applyBorder="1"/>
    <xf numFmtId="9" fontId="14" fillId="0" borderId="0" xfId="0" applyNumberFormat="1" applyFont="1"/>
    <xf numFmtId="2" fontId="16" fillId="0" borderId="0" xfId="0" applyNumberFormat="1" applyFont="1" applyAlignment="1">
      <alignment horizontal="center" vertical="center"/>
    </xf>
    <xf numFmtId="0" fontId="16" fillId="3" borderId="0" xfId="0" applyFont="1" applyFill="1" applyBorder="1" applyAlignment="1">
      <alignment horizontal="left"/>
    </xf>
    <xf numFmtId="9" fontId="16" fillId="3" borderId="0" xfId="0" applyNumberFormat="1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2" fontId="0" fillId="0" borderId="0" xfId="118" applyNumberFormat="1" applyFont="1" applyBorder="1" applyAlignment="1">
      <alignment horizontal="center"/>
    </xf>
    <xf numFmtId="0" fontId="16" fillId="0" borderId="0" xfId="0" applyFont="1" applyFill="1" applyBorder="1"/>
    <xf numFmtId="0" fontId="0" fillId="0" borderId="0" xfId="0" applyFont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176" fontId="0" fillId="0" borderId="0" xfId="0" applyNumberFormat="1" applyFont="1" applyAlignment="1">
      <alignment horizontal="center"/>
    </xf>
    <xf numFmtId="9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center" vertical="center"/>
    </xf>
    <xf numFmtId="167" fontId="0" fillId="0" borderId="0" xfId="0" applyNumberFormat="1" applyFont="1" applyBorder="1" applyAlignment="1">
      <alignment horizontal="left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0" xfId="0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6" fillId="0" borderId="0" xfId="0" applyFont="1" applyAlignment="1">
      <alignment horizontal="right"/>
    </xf>
    <xf numFmtId="167" fontId="16" fillId="0" borderId="0" xfId="0" applyNumberFormat="1" applyFont="1" applyAlignment="1">
      <alignment horizontal="left"/>
    </xf>
    <xf numFmtId="167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wrapText="1"/>
    </xf>
    <xf numFmtId="2" fontId="0" fillId="0" borderId="0" xfId="0" applyNumberFormat="1" applyFont="1" applyBorder="1" applyAlignment="1">
      <alignment horizontal="center"/>
    </xf>
    <xf numFmtId="167" fontId="0" fillId="0" borderId="15" xfId="0" applyNumberFormat="1" applyFont="1" applyBorder="1" applyAlignment="1">
      <alignment horizontal="center"/>
    </xf>
    <xf numFmtId="2" fontId="0" fillId="0" borderId="17" xfId="0" applyNumberFormat="1" applyFont="1" applyBorder="1" applyAlignment="1">
      <alignment horizontal="center"/>
    </xf>
    <xf numFmtId="167" fontId="0" fillId="0" borderId="18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0" fillId="0" borderId="16" xfId="0" applyNumberFormat="1" applyFont="1" applyBorder="1" applyAlignment="1">
      <alignment horizontal="center"/>
    </xf>
    <xf numFmtId="0" fontId="16" fillId="2" borderId="0" xfId="0" applyFont="1" applyFill="1" applyBorder="1"/>
    <xf numFmtId="9" fontId="0" fillId="3" borderId="0" xfId="0" applyNumberFormat="1" applyFont="1" applyFill="1" applyAlignment="1">
      <alignment horizontal="center"/>
    </xf>
    <xf numFmtId="165" fontId="0" fillId="0" borderId="15" xfId="0" applyNumberFormat="1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15" xfId="0" applyFont="1" applyBorder="1"/>
    <xf numFmtId="165" fontId="0" fillId="0" borderId="18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2" fontId="0" fillId="0" borderId="0" xfId="0" applyNumberFormat="1" applyFont="1" applyFill="1" applyBorder="1" applyAlignment="1">
      <alignment horizontal="center"/>
    </xf>
    <xf numFmtId="9" fontId="0" fillId="0" borderId="0" xfId="0" applyNumberFormat="1" applyFont="1" applyFill="1" applyBorder="1"/>
    <xf numFmtId="165" fontId="0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/>
    <xf numFmtId="0" fontId="14" fillId="0" borderId="0" xfId="0" applyFont="1" applyFill="1" applyBorder="1"/>
    <xf numFmtId="165" fontId="16" fillId="0" borderId="0" xfId="0" applyNumberFormat="1" applyFont="1"/>
    <xf numFmtId="165" fontId="0" fillId="3" borderId="0" xfId="0" applyNumberFormat="1" applyFont="1" applyFill="1" applyBorder="1"/>
    <xf numFmtId="0" fontId="14" fillId="0" borderId="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2" xfId="0" applyFont="1" applyFill="1" applyBorder="1"/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/>
    <xf numFmtId="0" fontId="0" fillId="0" borderId="14" xfId="0" applyFont="1" applyFill="1" applyBorder="1" applyAlignment="1">
      <alignment horizontal="center" vertical="center" wrapText="1"/>
    </xf>
    <xf numFmtId="0" fontId="0" fillId="0" borderId="15" xfId="0" applyFont="1" applyFill="1" applyBorder="1"/>
    <xf numFmtId="0" fontId="0" fillId="0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1" fontId="0" fillId="0" borderId="14" xfId="0" applyNumberFormat="1" applyFont="1" applyFill="1" applyBorder="1" applyAlignment="1">
      <alignment horizontal="center"/>
    </xf>
    <xf numFmtId="2" fontId="0" fillId="0" borderId="15" xfId="0" applyNumberFormat="1" applyFont="1" applyFill="1" applyBorder="1" applyAlignment="1">
      <alignment horizontal="center"/>
    </xf>
    <xf numFmtId="1" fontId="0" fillId="0" borderId="16" xfId="0" applyNumberFormat="1" applyFont="1" applyFill="1" applyBorder="1" applyAlignment="1">
      <alignment horizontal="center"/>
    </xf>
    <xf numFmtId="2" fontId="0" fillId="0" borderId="17" xfId="0" applyNumberFormat="1" applyFont="1" applyFill="1" applyBorder="1" applyAlignment="1">
      <alignment horizontal="center"/>
    </xf>
    <xf numFmtId="2" fontId="0" fillId="0" borderId="18" xfId="0" applyNumberFormat="1" applyFont="1" applyFill="1" applyBorder="1" applyAlignment="1">
      <alignment horizontal="center"/>
    </xf>
    <xf numFmtId="0" fontId="0" fillId="0" borderId="11" xfId="0" applyFont="1" applyFill="1" applyBorder="1"/>
    <xf numFmtId="0" fontId="0" fillId="0" borderId="14" xfId="0" applyFont="1" applyFill="1" applyBorder="1"/>
    <xf numFmtId="2" fontId="0" fillId="0" borderId="14" xfId="0" applyNumberFormat="1" applyFont="1" applyFill="1" applyBorder="1" applyAlignment="1">
      <alignment horizontal="right"/>
    </xf>
    <xf numFmtId="2" fontId="0" fillId="0" borderId="14" xfId="0" applyNumberFormat="1" applyFont="1" applyFill="1" applyBorder="1"/>
    <xf numFmtId="2" fontId="0" fillId="0" borderId="14" xfId="0" applyNumberFormat="1" applyFont="1" applyFill="1" applyBorder="1" applyAlignment="1">
      <alignment horizontal="center"/>
    </xf>
    <xf numFmtId="2" fontId="0" fillId="0" borderId="16" xfId="0" applyNumberFormat="1" applyFont="1" applyFill="1" applyBorder="1" applyAlignment="1">
      <alignment horizontal="center"/>
    </xf>
    <xf numFmtId="167" fontId="0" fillId="0" borderId="15" xfId="0" applyNumberFormat="1" applyFont="1" applyFill="1" applyBorder="1" applyAlignment="1">
      <alignment horizontal="center"/>
    </xf>
    <xf numFmtId="167" fontId="0" fillId="0" borderId="18" xfId="0" applyNumberFormat="1" applyFont="1" applyFill="1" applyBorder="1" applyAlignment="1">
      <alignment horizontal="center"/>
    </xf>
    <xf numFmtId="2" fontId="16" fillId="0" borderId="0" xfId="0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wrapText="1"/>
    </xf>
    <xf numFmtId="164" fontId="0" fillId="3" borderId="0" xfId="0" applyNumberFormat="1" applyFont="1" applyFill="1" applyBorder="1" applyAlignment="1">
      <alignment horizontal="left"/>
    </xf>
    <xf numFmtId="166" fontId="0" fillId="3" borderId="0" xfId="0" applyNumberFormat="1" applyFont="1" applyFill="1" applyBorder="1" applyAlignment="1">
      <alignment horizontal="left"/>
    </xf>
    <xf numFmtId="179" fontId="0" fillId="3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center"/>
    </xf>
    <xf numFmtId="2" fontId="16" fillId="2" borderId="0" xfId="0" applyNumberFormat="1" applyFont="1" applyFill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10" fontId="5" fillId="2" borderId="0" xfId="39" applyNumberFormat="1" applyFont="1" applyFill="1" applyAlignment="1">
      <alignment horizontal="center"/>
    </xf>
    <xf numFmtId="177" fontId="0" fillId="7" borderId="0" xfId="39" applyNumberFormat="1" applyFont="1" applyFill="1" applyBorder="1" applyAlignment="1">
      <alignment horizontal="left"/>
    </xf>
    <xf numFmtId="0" fontId="0" fillId="3" borderId="0" xfId="0" applyFont="1" applyFill="1" applyAlignment="1">
      <alignment horizontal="left"/>
    </xf>
    <xf numFmtId="2" fontId="0" fillId="3" borderId="0" xfId="0" applyNumberFormat="1" applyFont="1" applyFill="1" applyAlignment="1">
      <alignment horizontal="left"/>
    </xf>
    <xf numFmtId="0" fontId="0" fillId="5" borderId="0" xfId="0" applyFill="1"/>
    <xf numFmtId="0" fontId="3" fillId="5" borderId="0" xfId="0" applyFont="1" applyFill="1" applyAlignment="1">
      <alignment horizontal="center"/>
    </xf>
    <xf numFmtId="167" fontId="0" fillId="5" borderId="0" xfId="0" applyNumberFormat="1" applyFill="1" applyAlignment="1">
      <alignment horizontal="center"/>
    </xf>
    <xf numFmtId="1" fontId="0" fillId="2" borderId="0" xfId="0" applyNumberFormat="1" applyFill="1" applyAlignment="1">
      <alignment horizontal="left"/>
    </xf>
    <xf numFmtId="0" fontId="11" fillId="0" borderId="0" xfId="243" applyFont="1" applyFill="1" applyAlignment="1">
      <alignment horizontal="left"/>
    </xf>
    <xf numFmtId="164" fontId="5" fillId="0" borderId="0" xfId="243" applyNumberFormat="1" applyFill="1" applyAlignment="1">
      <alignment horizontal="center"/>
    </xf>
    <xf numFmtId="0" fontId="5" fillId="0" borderId="0" xfId="243" applyFill="1" applyAlignment="1">
      <alignment horizontal="center"/>
    </xf>
    <xf numFmtId="2" fontId="5" fillId="0" borderId="0" xfId="243" applyNumberFormat="1" applyFill="1" applyAlignment="1">
      <alignment horizontal="center"/>
    </xf>
    <xf numFmtId="167" fontId="5" fillId="0" borderId="0" xfId="243" applyNumberFormat="1" applyFill="1" applyAlignment="1">
      <alignment horizontal="center"/>
    </xf>
    <xf numFmtId="164" fontId="5" fillId="0" borderId="0" xfId="243" applyNumberFormat="1" applyFill="1"/>
    <xf numFmtId="0" fontId="5" fillId="0" borderId="7" xfId="243" applyFill="1" applyBorder="1" applyAlignment="1">
      <alignment horizontal="center"/>
    </xf>
    <xf numFmtId="169" fontId="5" fillId="0" borderId="7" xfId="243" applyNumberFormat="1" applyFill="1" applyBorder="1" applyAlignment="1">
      <alignment horizontal="center"/>
    </xf>
    <xf numFmtId="176" fontId="5" fillId="0" borderId="7" xfId="243" applyNumberFormat="1" applyFill="1" applyBorder="1" applyAlignment="1">
      <alignment horizontal="center"/>
    </xf>
    <xf numFmtId="178" fontId="5" fillId="0" borderId="7" xfId="243" applyNumberFormat="1" applyFill="1" applyBorder="1" applyAlignment="1">
      <alignment horizontal="center"/>
    </xf>
    <xf numFmtId="180" fontId="5" fillId="0" borderId="0" xfId="243" applyNumberFormat="1" applyFill="1" applyBorder="1" applyAlignment="1">
      <alignment horizontal="center"/>
    </xf>
    <xf numFmtId="181" fontId="5" fillId="0" borderId="0" xfId="243" applyNumberFormat="1" applyFill="1" applyBorder="1" applyAlignment="1">
      <alignment horizontal="center"/>
    </xf>
    <xf numFmtId="169" fontId="5" fillId="0" borderId="0" xfId="243" applyNumberFormat="1" applyFill="1" applyBorder="1" applyAlignment="1">
      <alignment horizontal="center"/>
    </xf>
    <xf numFmtId="0" fontId="21" fillId="0" borderId="0" xfId="243" applyFont="1" applyFill="1" applyAlignment="1">
      <alignment horizontal="center"/>
    </xf>
    <xf numFmtId="164" fontId="21" fillId="0" borderId="0" xfId="243" applyNumberFormat="1" applyFont="1" applyFill="1" applyAlignment="1">
      <alignment horizontal="center"/>
    </xf>
    <xf numFmtId="0" fontId="5" fillId="6" borderId="7" xfId="243" applyFill="1" applyBorder="1" applyAlignment="1">
      <alignment horizontal="center"/>
    </xf>
    <xf numFmtId="164" fontId="5" fillId="6" borderId="7" xfId="243" applyNumberFormat="1" applyFill="1" applyBorder="1" applyAlignment="1">
      <alignment horizontal="center"/>
    </xf>
    <xf numFmtId="2" fontId="5" fillId="6" borderId="7" xfId="243" applyNumberFormat="1" applyFill="1" applyBorder="1" applyAlignment="1">
      <alignment horizontal="center"/>
    </xf>
    <xf numFmtId="167" fontId="5" fillId="0" borderId="7" xfId="243" applyNumberFormat="1" applyFill="1" applyBorder="1" applyAlignment="1">
      <alignment horizontal="center"/>
    </xf>
    <xf numFmtId="166" fontId="5" fillId="0" borderId="7" xfId="243" applyNumberFormat="1" applyFill="1" applyBorder="1" applyAlignment="1">
      <alignment horizontal="center"/>
    </xf>
    <xf numFmtId="0" fontId="0" fillId="0" borderId="0" xfId="0" applyAlignment="1">
      <alignment horizontal="center" wrapText="1"/>
    </xf>
    <xf numFmtId="166" fontId="1" fillId="0" borderId="0" xfId="0" applyNumberFormat="1" applyFont="1" applyAlignment="1">
      <alignment horizontal="left"/>
    </xf>
    <xf numFmtId="0" fontId="0" fillId="2" borderId="0" xfId="0" applyFill="1" applyAlignment="1">
      <alignment horizontal="center"/>
    </xf>
    <xf numFmtId="165" fontId="0" fillId="3" borderId="0" xfId="0" applyNumberFormat="1" applyFill="1" applyAlignment="1">
      <alignment horizontal="center"/>
    </xf>
    <xf numFmtId="4" fontId="0" fillId="0" borderId="0" xfId="0" applyNumberFormat="1" applyAlignment="1">
      <alignment horizontal="center"/>
    </xf>
    <xf numFmtId="2" fontId="5" fillId="0" borderId="0" xfId="39" applyNumberFormat="1" applyFont="1" applyFill="1" applyAlignment="1">
      <alignment horizontal="center"/>
    </xf>
    <xf numFmtId="0" fontId="0" fillId="2" borderId="0" xfId="0" applyFill="1" applyAlignment="1">
      <alignment horizontal="left"/>
    </xf>
    <xf numFmtId="178" fontId="0" fillId="2" borderId="0" xfId="39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9" fontId="5" fillId="3" borderId="0" xfId="39" applyFont="1" applyFill="1" applyAlignment="1">
      <alignment horizontal="right"/>
    </xf>
    <xf numFmtId="2" fontId="0" fillId="0" borderId="0" xfId="0" applyNumberFormat="1" applyAlignment="1">
      <alignment horizontal="left"/>
    </xf>
    <xf numFmtId="167" fontId="5" fillId="7" borderId="0" xfId="0" applyNumberFormat="1" applyFont="1" applyFill="1" applyAlignment="1">
      <alignment horizontal="left"/>
    </xf>
    <xf numFmtId="2" fontId="6" fillId="0" borderId="0" xfId="0" applyNumberFormat="1" applyFont="1" applyAlignment="1">
      <alignment horizontal="center"/>
    </xf>
    <xf numFmtId="178" fontId="0" fillId="0" borderId="0" xfId="39" applyNumberFormat="1" applyFont="1"/>
    <xf numFmtId="10" fontId="0" fillId="0" borderId="0" xfId="39" applyNumberFormat="1" applyFont="1"/>
    <xf numFmtId="0" fontId="0" fillId="5" borderId="0" xfId="0" applyFont="1" applyFill="1"/>
    <xf numFmtId="10" fontId="0" fillId="3" borderId="0" xfId="39" applyNumberFormat="1" applyFont="1" applyFill="1" applyAlignment="1">
      <alignment horizontal="left"/>
    </xf>
    <xf numFmtId="165" fontId="0" fillId="2" borderId="0" xfId="0" applyNumberFormat="1" applyFont="1" applyFill="1" applyAlignment="1">
      <alignment horizontal="right"/>
    </xf>
    <xf numFmtId="10" fontId="0" fillId="2" borderId="0" xfId="39" applyNumberFormat="1" applyFont="1" applyFill="1" applyAlignment="1">
      <alignment horizontal="center"/>
    </xf>
    <xf numFmtId="164" fontId="5" fillId="0" borderId="0" xfId="243" applyNumberFormat="1" applyFont="1" applyFill="1" applyAlignment="1">
      <alignment horizontal="center"/>
    </xf>
    <xf numFmtId="164" fontId="5" fillId="6" borderId="7" xfId="243" applyNumberFormat="1" applyFont="1" applyFill="1" applyBorder="1" applyAlignment="1">
      <alignment horizontal="center"/>
    </xf>
    <xf numFmtId="1" fontId="5" fillId="0" borderId="7" xfId="243" applyNumberFormat="1" applyFill="1" applyBorder="1" applyAlignment="1">
      <alignment horizontal="center"/>
    </xf>
    <xf numFmtId="0" fontId="6" fillId="0" borderId="0" xfId="243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5" fillId="5" borderId="0" xfId="0" applyNumberFormat="1" applyFont="1" applyFill="1" applyAlignment="1">
      <alignment horizontal="center"/>
    </xf>
    <xf numFmtId="167" fontId="0" fillId="5" borderId="0" xfId="0" applyNumberFormat="1" applyFill="1" applyAlignment="1">
      <alignment horizontal="left"/>
    </xf>
    <xf numFmtId="0" fontId="25" fillId="0" borderId="0" xfId="0" applyFont="1"/>
    <xf numFmtId="0" fontId="27" fillId="0" borderId="0" xfId="0" applyFont="1"/>
    <xf numFmtId="0" fontId="2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2" fontId="28" fillId="0" borderId="0" xfId="0" applyNumberFormat="1" applyFont="1" applyFill="1" applyAlignment="1">
      <alignment horizontal="center"/>
    </xf>
    <xf numFmtId="0" fontId="28" fillId="3" borderId="0" xfId="0" applyFont="1" applyFill="1" applyAlignment="1">
      <alignment horizontal="right"/>
    </xf>
    <xf numFmtId="0" fontId="27" fillId="0" borderId="0" xfId="0" applyFont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0" xfId="0" applyNumberFormat="1" applyFill="1"/>
    <xf numFmtId="2" fontId="28" fillId="0" borderId="0" xfId="0" applyNumberFormat="1" applyFont="1" applyAlignment="1">
      <alignment horizontal="center"/>
    </xf>
    <xf numFmtId="10" fontId="0" fillId="2" borderId="0" xfId="0" applyNumberFormat="1" applyFill="1" applyAlignment="1">
      <alignment horizontal="center"/>
    </xf>
    <xf numFmtId="182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right"/>
    </xf>
    <xf numFmtId="177" fontId="0" fillId="2" borderId="0" xfId="39" applyNumberFormat="1" applyFon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6" fontId="0" fillId="2" borderId="0" xfId="0" applyNumberFormat="1" applyFill="1" applyAlignment="1">
      <alignment horizontal="center"/>
    </xf>
    <xf numFmtId="0" fontId="31" fillId="3" borderId="0" xfId="0" applyFont="1" applyFill="1" applyAlignment="1">
      <alignment horizontal="right"/>
    </xf>
    <xf numFmtId="0" fontId="31" fillId="3" borderId="0" xfId="0" applyFont="1" applyFill="1" applyAlignment="1">
      <alignment horizontal="left"/>
    </xf>
    <xf numFmtId="167" fontId="31" fillId="0" borderId="0" xfId="0" applyNumberFormat="1" applyFont="1" applyFill="1"/>
    <xf numFmtId="0" fontId="31" fillId="0" borderId="0" xfId="0" applyFont="1" applyFill="1"/>
    <xf numFmtId="165" fontId="31" fillId="0" borderId="0" xfId="0" applyNumberFormat="1" applyFont="1" applyFill="1" applyAlignment="1">
      <alignment horizontal="center"/>
    </xf>
    <xf numFmtId="167" fontId="31" fillId="0" borderId="0" xfId="0" applyNumberFormat="1" applyFont="1" applyFill="1" applyAlignment="1">
      <alignment horizontal="center"/>
    </xf>
    <xf numFmtId="167" fontId="31" fillId="3" borderId="0" xfId="0" applyNumberFormat="1" applyFont="1" applyFill="1" applyAlignment="1">
      <alignment horizontal="left"/>
    </xf>
    <xf numFmtId="0" fontId="31" fillId="3" borderId="0" xfId="0" applyFont="1" applyFill="1"/>
    <xf numFmtId="0" fontId="33" fillId="0" borderId="0" xfId="0" applyFont="1" applyFill="1"/>
    <xf numFmtId="0" fontId="31" fillId="0" borderId="0" xfId="0" applyFont="1" applyFill="1" applyAlignment="1">
      <alignment horizontal="center"/>
    </xf>
    <xf numFmtId="2" fontId="31" fillId="0" borderId="0" xfId="0" applyNumberFormat="1" applyFont="1" applyFill="1" applyAlignment="1">
      <alignment horizontal="center"/>
    </xf>
    <xf numFmtId="164" fontId="31" fillId="0" borderId="0" xfId="0" applyNumberFormat="1" applyFont="1" applyFill="1" applyAlignment="1">
      <alignment horizontal="center"/>
    </xf>
    <xf numFmtId="2" fontId="31" fillId="0" borderId="0" xfId="0" applyNumberFormat="1" applyFont="1" applyFill="1"/>
    <xf numFmtId="165" fontId="31" fillId="0" borderId="0" xfId="0" applyNumberFormat="1" applyFont="1" applyFill="1"/>
    <xf numFmtId="1" fontId="31" fillId="0" borderId="0" xfId="0" applyNumberFormat="1" applyFont="1" applyFill="1" applyAlignment="1">
      <alignment horizontal="center"/>
    </xf>
    <xf numFmtId="176" fontId="31" fillId="0" borderId="0" xfId="0" applyNumberFormat="1" applyFont="1" applyFill="1" applyAlignment="1">
      <alignment horizontal="center"/>
    </xf>
    <xf numFmtId="177" fontId="31" fillId="2" borderId="0" xfId="39" applyNumberFormat="1" applyFont="1" applyFill="1" applyAlignment="1">
      <alignment horizontal="center"/>
    </xf>
    <xf numFmtId="0" fontId="0" fillId="8" borderId="0" xfId="0" applyFont="1" applyFill="1"/>
    <xf numFmtId="2" fontId="0" fillId="8" borderId="0" xfId="0" applyNumberFormat="1" applyFont="1" applyFill="1"/>
    <xf numFmtId="0" fontId="0" fillId="0" borderId="0" xfId="0" applyAlignment="1">
      <alignment horizontal="left" wrapText="1"/>
    </xf>
    <xf numFmtId="0" fontId="15" fillId="0" borderId="0" xfId="0" applyFont="1" applyBorder="1" applyAlignment="1">
      <alignment horizontal="left"/>
    </xf>
    <xf numFmtId="0" fontId="19" fillId="5" borderId="0" xfId="0" applyFont="1" applyFill="1" applyBorder="1" applyAlignment="1">
      <alignment horizontal="left"/>
    </xf>
    <xf numFmtId="0" fontId="0" fillId="0" borderId="0" xfId="0" applyFont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/>
    </xf>
  </cellXfs>
  <cellStyles count="562">
    <cellStyle name="Comma" xfId="118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Normal" xfId="0" builtinId="0"/>
    <cellStyle name="Normal 2" xfId="243"/>
    <cellStyle name="Percent" xfId="39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externalLink" Target="externalLinks/externalLink1.xml"/><Relationship Id="rId64" Type="http://schemas.openxmlformats.org/officeDocument/2006/relationships/theme" Target="theme/theme1.xml"/><Relationship Id="rId65" Type="http://schemas.openxmlformats.org/officeDocument/2006/relationships/styles" Target="styles.xml"/><Relationship Id="rId66" Type="http://schemas.openxmlformats.org/officeDocument/2006/relationships/sharedStrings" Target="sharedStrings.xml"/><Relationship Id="rId67" Type="http://schemas.openxmlformats.org/officeDocument/2006/relationships/calcChain" Target="calcChain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md/Documents/AMLCR/Solutions/Chapter%206/Exercises_Ch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ercise 6.1"/>
      <sheetName val="Exercise 6.2"/>
      <sheetName val="Exercise 6.3"/>
      <sheetName val="Exercise 6.4"/>
      <sheetName val="Exercise 6.5"/>
      <sheetName val="Exercise 6.6"/>
      <sheetName val="Exercise 6.7"/>
      <sheetName val="Exercise 6.9"/>
      <sheetName val="Exercise 6.10"/>
      <sheetName val="Exercise 6.11"/>
      <sheetName val="Exercise 6.12"/>
      <sheetName val="Exercise 6.14"/>
      <sheetName val="Exercise 6.15"/>
    </sheetNames>
    <sheetDataSet>
      <sheetData sheetId="0"/>
      <sheetData sheetId="1">
        <row r="3">
          <cell r="B3">
            <v>2.2000000000000001E-4</v>
          </cell>
        </row>
        <row r="4">
          <cell r="B4">
            <v>2.7E-6</v>
          </cell>
        </row>
        <row r="5">
          <cell r="B5">
            <v>1.1240000000000001</v>
          </cell>
        </row>
        <row r="6">
          <cell r="B6">
            <v>0.99997690236831238</v>
          </cell>
        </row>
        <row r="7">
          <cell r="B7">
            <v>0.99978002419822543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zoomScale="125" zoomScaleNormal="125" zoomScalePageLayoutView="125" workbookViewId="0"/>
  </sheetViews>
  <sheetFormatPr baseColWidth="10" defaultRowHeight="12" x14ac:dyDescent="0"/>
  <sheetData>
    <row r="1" spans="1:4" ht="17">
      <c r="A1" s="357" t="s">
        <v>710</v>
      </c>
    </row>
    <row r="2" spans="1:4" ht="17">
      <c r="A2" s="357" t="s">
        <v>711</v>
      </c>
    </row>
    <row r="3" spans="1:4" ht="17">
      <c r="A3" s="357" t="s">
        <v>714</v>
      </c>
    </row>
    <row r="4" spans="1:4" ht="17">
      <c r="A4" s="357" t="s">
        <v>713</v>
      </c>
    </row>
    <row r="5" spans="1:4" ht="17">
      <c r="A5" s="357" t="s">
        <v>712</v>
      </c>
    </row>
    <row r="8" spans="1:4" ht="15">
      <c r="A8" s="70" t="s">
        <v>131</v>
      </c>
    </row>
    <row r="10" spans="1:4">
      <c r="A10" s="1" t="s">
        <v>573</v>
      </c>
    </row>
    <row r="11" spans="1:4">
      <c r="A11" s="6" t="s">
        <v>575</v>
      </c>
      <c r="B11" s="6"/>
      <c r="C11" s="6"/>
      <c r="D11" s="6"/>
    </row>
    <row r="12" spans="1:4">
      <c r="A12" s="392" t="s">
        <v>151</v>
      </c>
      <c r="B12" s="392"/>
      <c r="C12" s="392"/>
      <c r="D12" s="392"/>
    </row>
    <row r="13" spans="1:4">
      <c r="A13" s="392" t="s">
        <v>576</v>
      </c>
      <c r="B13" s="392"/>
      <c r="C13" s="392"/>
      <c r="D13" s="392"/>
    </row>
    <row r="14" spans="1:4">
      <c r="A14" s="392" t="s">
        <v>152</v>
      </c>
      <c r="B14" s="392"/>
      <c r="C14" s="392"/>
      <c r="D14" s="392"/>
    </row>
    <row r="15" spans="1:4">
      <c r="A15" s="6" t="s">
        <v>572</v>
      </c>
      <c r="B15" s="86"/>
      <c r="C15" s="86"/>
      <c r="D15" s="86"/>
    </row>
    <row r="16" spans="1:4">
      <c r="A16" s="6" t="s">
        <v>577</v>
      </c>
      <c r="B16" s="86"/>
      <c r="C16" s="86"/>
      <c r="D16" s="86"/>
    </row>
    <row r="17" spans="1:4">
      <c r="A17" s="330"/>
      <c r="B17" s="330"/>
      <c r="C17" s="330"/>
      <c r="D17" s="330"/>
    </row>
    <row r="18" spans="1:4">
      <c r="A18" s="1" t="s">
        <v>132</v>
      </c>
    </row>
    <row r="19" spans="1:4">
      <c r="A19" t="s">
        <v>133</v>
      </c>
    </row>
    <row r="20" spans="1:4">
      <c r="A20" s="43"/>
      <c r="B20" t="s">
        <v>134</v>
      </c>
    </row>
    <row r="21" spans="1:4">
      <c r="A21" s="44"/>
      <c r="B21" t="s">
        <v>153</v>
      </c>
    </row>
    <row r="22" spans="1:4">
      <c r="A22" s="45"/>
      <c r="B22" t="s">
        <v>154</v>
      </c>
    </row>
    <row r="24" spans="1:4">
      <c r="A24" t="s">
        <v>870</v>
      </c>
    </row>
  </sheetData>
  <mergeCells count="3">
    <mergeCell ref="A12:D12"/>
    <mergeCell ref="A13:D13"/>
    <mergeCell ref="A14:D14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3"/>
  <sheetViews>
    <sheetView zoomScale="125" zoomScaleNormal="125" zoomScalePageLayoutView="125" workbookViewId="0"/>
  </sheetViews>
  <sheetFormatPr baseColWidth="10" defaultRowHeight="12" x14ac:dyDescent="0"/>
  <cols>
    <col min="6" max="6" width="10.83203125" style="8"/>
  </cols>
  <sheetData>
    <row r="1" spans="1:8" ht="15">
      <c r="A1" s="70" t="s">
        <v>753</v>
      </c>
      <c r="C1" s="3"/>
      <c r="G1" s="3"/>
      <c r="H1" s="8"/>
    </row>
    <row r="2" spans="1:8">
      <c r="C2" s="3"/>
      <c r="G2" s="3"/>
      <c r="H2" s="8"/>
    </row>
    <row r="3" spans="1:8">
      <c r="A3" s="52" t="s">
        <v>9</v>
      </c>
      <c r="B3" s="51">
        <f>3.5/(10^4)</f>
        <v>3.5E-4</v>
      </c>
      <c r="C3" s="3"/>
      <c r="G3" s="3"/>
      <c r="H3" s="8"/>
    </row>
    <row r="4" spans="1:8">
      <c r="A4" s="52" t="s">
        <v>10</v>
      </c>
      <c r="B4" s="51">
        <f>5.5/(10^4)</f>
        <v>5.5000000000000003E-4</v>
      </c>
      <c r="C4" s="3"/>
      <c r="G4" s="3"/>
      <c r="H4" s="8"/>
    </row>
    <row r="5" spans="1:8">
      <c r="A5" s="52" t="s">
        <v>11</v>
      </c>
      <c r="B5" s="51">
        <v>1.00085</v>
      </c>
      <c r="C5" s="3"/>
      <c r="G5" s="3"/>
      <c r="H5" s="8"/>
    </row>
    <row r="6" spans="1:8">
      <c r="A6" s="52" t="s">
        <v>12</v>
      </c>
      <c r="B6" s="51">
        <v>1.0004999999999999</v>
      </c>
      <c r="C6" s="3"/>
      <c r="G6" s="3"/>
      <c r="H6" s="8"/>
    </row>
    <row r="7" spans="1:8">
      <c r="A7" s="52" t="s">
        <v>74</v>
      </c>
      <c r="B7" s="61">
        <v>0.05</v>
      </c>
      <c r="C7" s="42"/>
      <c r="G7" s="42"/>
      <c r="H7" s="8"/>
    </row>
    <row r="8" spans="1:8">
      <c r="A8" s="52" t="s">
        <v>82</v>
      </c>
      <c r="B8" s="69">
        <v>60</v>
      </c>
      <c r="C8" s="42"/>
      <c r="G8" s="42"/>
      <c r="H8" s="8"/>
    </row>
    <row r="9" spans="1:8">
      <c r="A9" s="9"/>
      <c r="B9" s="3"/>
      <c r="C9" s="3"/>
      <c r="G9" s="3" t="s">
        <v>120</v>
      </c>
      <c r="H9" s="8"/>
    </row>
    <row r="10" spans="1:8">
      <c r="A10" s="11" t="s">
        <v>1</v>
      </c>
      <c r="C10" s="3"/>
      <c r="F10" s="28" t="s">
        <v>2</v>
      </c>
      <c r="G10" s="3" t="s">
        <v>121</v>
      </c>
      <c r="H10" s="8"/>
    </row>
    <row r="11" spans="1:8">
      <c r="A11" s="3" t="s">
        <v>0</v>
      </c>
      <c r="B11" s="22" t="s">
        <v>65</v>
      </c>
      <c r="C11" s="7" t="s">
        <v>66</v>
      </c>
      <c r="F11" s="10" t="s">
        <v>85</v>
      </c>
      <c r="G11" s="3" t="s">
        <v>22</v>
      </c>
      <c r="H11" s="10" t="s">
        <v>67</v>
      </c>
    </row>
    <row r="12" spans="1:8">
      <c r="A12" s="3">
        <v>0</v>
      </c>
      <c r="B12" s="4">
        <f>B$3+B$4*(B$5^($B$8+A12))*(B$6^(($B$8+A12)^2))</f>
        <v>3.8497498218274962E-3</v>
      </c>
      <c r="C12" s="3">
        <v>1</v>
      </c>
      <c r="F12" s="10">
        <f>(1+$B$7)^-A12</f>
        <v>1</v>
      </c>
      <c r="G12" s="3">
        <v>1</v>
      </c>
      <c r="H12" s="10">
        <f t="shared" ref="H12:H43" si="0">(B12*C12*F12*G12)/120</f>
        <v>3.2081248515229134E-5</v>
      </c>
    </row>
    <row r="13" spans="1:8">
      <c r="A13" s="3">
        <v>2.5000000000000001E-2</v>
      </c>
      <c r="B13" s="4">
        <f t="shared" ref="B13:B76" si="1">B$3+B$4*(B$5^($B$8+A13))*(B$6^(($B$8+A13)^2))</f>
        <v>3.8550776173206622E-3</v>
      </c>
      <c r="C13" s="4">
        <f>C12*EXP(-0.5*(B12+B13)/40)</f>
        <v>0.99990369429470283</v>
      </c>
      <c r="F13" s="10">
        <f t="shared" ref="F13:F76" si="2">(1+$B$7)^-A13</f>
        <v>0.99878098949343541</v>
      </c>
      <c r="G13" s="3">
        <v>4</v>
      </c>
      <c r="H13" s="10">
        <f t="shared" si="0"/>
        <v>1.2833358079365772E-4</v>
      </c>
    </row>
    <row r="14" spans="1:8">
      <c r="A14" s="3">
        <v>0.05</v>
      </c>
      <c r="B14" s="4">
        <f t="shared" si="1"/>
        <v>3.8604157169704069E-3</v>
      </c>
      <c r="C14" s="4">
        <f t="shared" ref="C14:C77" si="3">C13*EXP(-0.5*(B13+B14)/40)</f>
        <v>0.99980726456619251</v>
      </c>
      <c r="F14" s="10">
        <f t="shared" si="2"/>
        <v>0.99756346497348591</v>
      </c>
      <c r="G14" s="3">
        <f>IF(G13=4,2,4)</f>
        <v>2</v>
      </c>
      <c r="H14" s="10">
        <f t="shared" si="0"/>
        <v>6.4171124213967528E-5</v>
      </c>
    </row>
    <row r="15" spans="1:8">
      <c r="A15" s="3">
        <v>7.5000000000000011E-2</v>
      </c>
      <c r="B15" s="4">
        <f t="shared" si="1"/>
        <v>3.8657641431452598E-3</v>
      </c>
      <c r="C15" s="4">
        <f t="shared" si="3"/>
        <v>0.99971071059433247</v>
      </c>
      <c r="F15" s="10">
        <f t="shared" si="2"/>
        <v>0.99634742462871839</v>
      </c>
      <c r="G15" s="3">
        <f t="shared" ref="G15:G78" si="4">IF(G14=4,2,4)</f>
        <v>4</v>
      </c>
      <c r="H15" s="10">
        <f t="shared" si="0"/>
        <v>1.2835099694661118E-4</v>
      </c>
    </row>
    <row r="16" spans="1:8">
      <c r="A16" s="3">
        <v>0.1</v>
      </c>
      <c r="B16" s="4">
        <f t="shared" si="1"/>
        <v>3.8711229182675391E-3</v>
      </c>
      <c r="C16" s="4">
        <f t="shared" si="3"/>
        <v>0.99961403215857181</v>
      </c>
      <c r="F16" s="10">
        <f t="shared" si="2"/>
        <v>0.99513286664990741</v>
      </c>
      <c r="G16" s="3">
        <f t="shared" si="4"/>
        <v>2</v>
      </c>
      <c r="H16" s="10">
        <f t="shared" si="0"/>
        <v>6.4179913166298975E-5</v>
      </c>
    </row>
    <row r="17" spans="1:8">
      <c r="A17" s="3">
        <v>0.125</v>
      </c>
      <c r="B17" s="4">
        <f t="shared" si="1"/>
        <v>3.8764920648131506E-3</v>
      </c>
      <c r="C17" s="4">
        <f t="shared" si="3"/>
        <v>0.99951722903794493</v>
      </c>
      <c r="F17" s="10">
        <f t="shared" si="2"/>
        <v>0.99391978923003355</v>
      </c>
      <c r="G17" s="3">
        <f t="shared" si="4"/>
        <v>4</v>
      </c>
      <c r="H17" s="10">
        <f t="shared" si="0"/>
        <v>1.2836873656884494E-4</v>
      </c>
    </row>
    <row r="18" spans="1:8">
      <c r="A18" s="3">
        <v>0.15000000000000002</v>
      </c>
      <c r="B18" s="4">
        <f t="shared" si="1"/>
        <v>3.8818716053117251E-3</v>
      </c>
      <c r="C18" s="4">
        <f t="shared" si="3"/>
        <v>0.99942030101107093</v>
      </c>
      <c r="F18" s="10">
        <f t="shared" si="2"/>
        <v>0.99270819056427972</v>
      </c>
      <c r="G18" s="3">
        <f t="shared" si="4"/>
        <v>2</v>
      </c>
      <c r="H18" s="10">
        <f t="shared" si="0"/>
        <v>6.418886381916945E-5</v>
      </c>
    </row>
    <row r="19" spans="1:8">
      <c r="A19" s="3">
        <v>0.17500000000000002</v>
      </c>
      <c r="B19" s="4">
        <f t="shared" si="1"/>
        <v>3.8872615623467459E-3</v>
      </c>
      <c r="C19" s="4">
        <f t="shared" si="3"/>
        <v>0.99932324785615256</v>
      </c>
      <c r="F19" s="10">
        <f t="shared" si="2"/>
        <v>0.99149806885002911</v>
      </c>
      <c r="G19" s="3">
        <f t="shared" si="4"/>
        <v>4</v>
      </c>
      <c r="H19" s="10">
        <f t="shared" si="0"/>
        <v>1.2838679952410328E-4</v>
      </c>
    </row>
    <row r="20" spans="1:8">
      <c r="A20" s="3">
        <v>0.2</v>
      </c>
      <c r="B20" s="4">
        <f t="shared" si="1"/>
        <v>3.8926619585557018E-3</v>
      </c>
      <c r="C20" s="4">
        <f t="shared" si="3"/>
        <v>0.99922606935097524</v>
      </c>
      <c r="F20" s="10">
        <f t="shared" si="2"/>
        <v>0.99028942228686234</v>
      </c>
      <c r="G20" s="3">
        <f t="shared" si="4"/>
        <v>2</v>
      </c>
      <c r="H20" s="10">
        <f t="shared" si="0"/>
        <v>6.4197976104599108E-5</v>
      </c>
    </row>
    <row r="21" spans="1:8">
      <c r="A21" s="3">
        <v>0.22500000000000001</v>
      </c>
      <c r="B21" s="4">
        <f t="shared" si="1"/>
        <v>3.8980728166302147E-3</v>
      </c>
      <c r="C21" s="4">
        <f t="shared" si="3"/>
        <v>0.99912876527290673</v>
      </c>
      <c r="F21" s="10">
        <f t="shared" si="2"/>
        <v>0.98908224907655506</v>
      </c>
      <c r="G21" s="3">
        <f t="shared" si="4"/>
        <v>4</v>
      </c>
      <c r="H21" s="10">
        <f t="shared" si="0"/>
        <v>1.284051856767199E-4</v>
      </c>
    </row>
    <row r="22" spans="1:8">
      <c r="A22" s="3">
        <v>0.25</v>
      </c>
      <c r="B22" s="4">
        <f t="shared" si="1"/>
        <v>3.9034941593161831E-3</v>
      </c>
      <c r="C22" s="68">
        <f t="shared" si="3"/>
        <v>0.9990313353988961</v>
      </c>
      <c r="F22" s="10">
        <f t="shared" si="2"/>
        <v>0.98787654742307407</v>
      </c>
      <c r="G22" s="3">
        <f t="shared" si="4"/>
        <v>2</v>
      </c>
      <c r="H22" s="10">
        <f t="shared" si="0"/>
        <v>6.4207249954900179E-5</v>
      </c>
    </row>
    <row r="23" spans="1:8">
      <c r="A23" s="3">
        <v>0.27500000000000002</v>
      </c>
      <c r="B23" s="4">
        <f t="shared" si="1"/>
        <v>3.9089260094139246E-3</v>
      </c>
      <c r="C23" s="4">
        <f t="shared" si="3"/>
        <v>0.99893377950547302</v>
      </c>
      <c r="F23" s="10">
        <f t="shared" si="2"/>
        <v>0.98667231553257673</v>
      </c>
      <c r="G23" s="3">
        <f t="shared" si="4"/>
        <v>4</v>
      </c>
      <c r="H23" s="10">
        <f t="shared" si="0"/>
        <v>1.284238948916072E-4</v>
      </c>
    </row>
    <row r="24" spans="1:8">
      <c r="A24" s="3">
        <v>0.30000000000000004</v>
      </c>
      <c r="B24" s="4">
        <f t="shared" si="1"/>
        <v>3.9143683897783126E-3</v>
      </c>
      <c r="C24" s="4">
        <f t="shared" si="3"/>
        <v>0.9988360973687469</v>
      </c>
      <c r="F24" s="10">
        <f t="shared" si="2"/>
        <v>0.98546955161340599</v>
      </c>
      <c r="G24" s="3">
        <f t="shared" si="4"/>
        <v>2</v>
      </c>
      <c r="H24" s="10">
        <f t="shared" si="0"/>
        <v>6.4216685302671581E-5</v>
      </c>
    </row>
    <row r="25" spans="1:8">
      <c r="A25" s="3">
        <v>0.32500000000000001</v>
      </c>
      <c r="B25" s="4">
        <f t="shared" si="1"/>
        <v>3.9198213233189181E-3</v>
      </c>
      <c r="C25" s="4">
        <f t="shared" si="3"/>
        <v>0.9987382887644064</v>
      </c>
      <c r="F25" s="10">
        <f t="shared" si="2"/>
        <v>0.98426825387608974</v>
      </c>
      <c r="G25" s="3">
        <f t="shared" si="4"/>
        <v>4</v>
      </c>
      <c r="H25" s="10">
        <f t="shared" si="0"/>
        <v>1.2844292703424593E-4</v>
      </c>
    </row>
    <row r="26" spans="1:8">
      <c r="A26" s="3">
        <v>0.35000000000000003</v>
      </c>
      <c r="B26" s="4">
        <f t="shared" si="1"/>
        <v>3.9252848330001491E-3</v>
      </c>
      <c r="C26" s="4">
        <f t="shared" si="3"/>
        <v>0.99864035346771818</v>
      </c>
      <c r="F26" s="10">
        <f t="shared" si="2"/>
        <v>0.98306842053333698</v>
      </c>
      <c r="G26" s="3">
        <f t="shared" si="4"/>
        <v>2</v>
      </c>
      <c r="H26" s="10">
        <f t="shared" si="0"/>
        <v>6.4226282080793773E-5</v>
      </c>
    </row>
    <row r="27" spans="1:8">
      <c r="A27" s="3">
        <v>0.375</v>
      </c>
      <c r="B27" s="4">
        <f t="shared" si="1"/>
        <v>3.9307589418413951E-3</v>
      </c>
      <c r="C27" s="4">
        <f t="shared" si="3"/>
        <v>0.99854229125352645</v>
      </c>
      <c r="F27" s="10">
        <f t="shared" si="2"/>
        <v>0.98187004980003489</v>
      </c>
      <c r="G27" s="3">
        <f t="shared" si="4"/>
        <v>4</v>
      </c>
      <c r="H27" s="10">
        <f t="shared" si="0"/>
        <v>1.284622819706743E-4</v>
      </c>
    </row>
    <row r="28" spans="1:8">
      <c r="A28" s="3">
        <v>0.4</v>
      </c>
      <c r="B28" s="4">
        <f t="shared" si="1"/>
        <v>3.9362436729171672E-3</v>
      </c>
      <c r="C28" s="4">
        <f t="shared" si="3"/>
        <v>0.99844410189625221</v>
      </c>
      <c r="F28" s="10">
        <f t="shared" si="2"/>
        <v>0.98067313989324767</v>
      </c>
      <c r="G28" s="3">
        <f t="shared" si="4"/>
        <v>2</v>
      </c>
      <c r="H28" s="10">
        <f t="shared" si="0"/>
        <v>6.423604022242317E-5</v>
      </c>
    </row>
    <row r="29" spans="1:8">
      <c r="A29" s="3">
        <v>0.42500000000000004</v>
      </c>
      <c r="B29" s="4">
        <f t="shared" si="1"/>
        <v>3.941739049357235E-3</v>
      </c>
      <c r="C29" s="4">
        <f t="shared" si="3"/>
        <v>0.99834578516989214</v>
      </c>
      <c r="F29" s="10">
        <f t="shared" si="2"/>
        <v>0.97947768903221211</v>
      </c>
      <c r="G29" s="3">
        <f t="shared" si="4"/>
        <v>4</v>
      </c>
      <c r="H29" s="10">
        <f t="shared" si="0"/>
        <v>1.2848195956747716E-4</v>
      </c>
    </row>
    <row r="30" spans="1:8">
      <c r="A30" s="3">
        <v>0.45</v>
      </c>
      <c r="B30" s="4">
        <f t="shared" si="1"/>
        <v>3.947245094346785E-3</v>
      </c>
      <c r="C30" s="4">
        <f t="shared" si="3"/>
        <v>0.99824734084801825</v>
      </c>
      <c r="F30" s="10">
        <f t="shared" si="2"/>
        <v>0.97828369543833626</v>
      </c>
      <c r="G30" s="3">
        <f t="shared" si="4"/>
        <v>2</v>
      </c>
      <c r="H30" s="10">
        <f t="shared" si="0"/>
        <v>6.4245959660986872E-5</v>
      </c>
    </row>
    <row r="31" spans="1:8">
      <c r="A31" s="3">
        <v>0.47500000000000003</v>
      </c>
      <c r="B31" s="4">
        <f t="shared" si="1"/>
        <v>3.9527618311265382E-3</v>
      </c>
      <c r="C31" s="4">
        <f t="shared" si="3"/>
        <v>0.99814876870377678</v>
      </c>
      <c r="F31" s="10">
        <f t="shared" si="2"/>
        <v>0.97709115733519614</v>
      </c>
      <c r="G31" s="3">
        <f t="shared" si="4"/>
        <v>4</v>
      </c>
      <c r="H31" s="10">
        <f t="shared" si="0"/>
        <v>1.285019596917754E-4</v>
      </c>
    </row>
    <row r="32" spans="1:8">
      <c r="A32" s="3">
        <v>0.5</v>
      </c>
      <c r="B32" s="4">
        <f t="shared" si="1"/>
        <v>3.9582892829929201E-3</v>
      </c>
      <c r="C32" s="4">
        <f t="shared" si="3"/>
        <v>0.99805006850988753</v>
      </c>
      <c r="F32" s="10">
        <f t="shared" si="2"/>
        <v>0.97590007294853309</v>
      </c>
      <c r="G32" s="3">
        <f t="shared" si="4"/>
        <v>2</v>
      </c>
      <c r="H32" s="10">
        <f t="shared" si="0"/>
        <v>6.4256040330177148E-5</v>
      </c>
    </row>
    <row r="33" spans="1:8">
      <c r="A33" s="3">
        <v>0.52500000000000002</v>
      </c>
      <c r="B33" s="4">
        <f t="shared" si="1"/>
        <v>3.9638274732981859E-3</v>
      </c>
      <c r="C33" s="4">
        <f t="shared" si="3"/>
        <v>0.99795124003864311</v>
      </c>
      <c r="F33" s="10">
        <f t="shared" si="2"/>
        <v>0.97471044050625177</v>
      </c>
      <c r="G33" s="3">
        <f t="shared" si="4"/>
        <v>4</v>
      </c>
      <c r="H33" s="10">
        <f t="shared" si="0"/>
        <v>1.285222822112146E-4</v>
      </c>
    </row>
    <row r="34" spans="1:8">
      <c r="A34" s="3">
        <v>0.55000000000000004</v>
      </c>
      <c r="B34" s="4">
        <f t="shared" si="1"/>
        <v>3.9693764254505716E-3</v>
      </c>
      <c r="C34" s="4">
        <f t="shared" si="3"/>
        <v>0.99785228306190787</v>
      </c>
      <c r="F34" s="10">
        <f t="shared" si="2"/>
        <v>0.97352225823841654</v>
      </c>
      <c r="G34" s="3">
        <f t="shared" si="4"/>
        <v>2</v>
      </c>
      <c r="H34" s="10">
        <f t="shared" si="0"/>
        <v>6.4266282163946136E-5</v>
      </c>
    </row>
    <row r="35" spans="1:8">
      <c r="A35" s="3">
        <v>0.57500000000000007</v>
      </c>
      <c r="B35" s="4">
        <f t="shared" si="1"/>
        <v>3.9749361629144407E-3</v>
      </c>
      <c r="C35" s="4">
        <f t="shared" si="3"/>
        <v>0.99775319735111767</v>
      </c>
      <c r="F35" s="10">
        <f t="shared" si="2"/>
        <v>0.97233552437724946</v>
      </c>
      <c r="G35" s="3">
        <f t="shared" si="4"/>
        <v>4</v>
      </c>
      <c r="H35" s="10">
        <f t="shared" si="0"/>
        <v>1.2854292699395473E-4</v>
      </c>
    </row>
    <row r="36" spans="1:8">
      <c r="A36" s="3">
        <v>0.60000000000000009</v>
      </c>
      <c r="B36" s="4">
        <f t="shared" si="1"/>
        <v>3.9805067092104195E-3</v>
      </c>
      <c r="C36" s="4">
        <f t="shared" si="3"/>
        <v>0.99765398267727856</v>
      </c>
      <c r="F36" s="10">
        <f t="shared" si="2"/>
        <v>0.97115023715712745</v>
      </c>
      <c r="G36" s="3">
        <f t="shared" si="4"/>
        <v>2</v>
      </c>
      <c r="H36" s="10">
        <f t="shared" si="0"/>
        <v>6.4276685096500166E-5</v>
      </c>
    </row>
    <row r="37" spans="1:8">
      <c r="A37" s="3">
        <v>0.625</v>
      </c>
      <c r="B37" s="4">
        <f t="shared" si="1"/>
        <v>3.9860880879155555E-3</v>
      </c>
      <c r="C37" s="4">
        <f t="shared" si="3"/>
        <v>0.99755463881096607</v>
      </c>
      <c r="F37" s="10">
        <f t="shared" si="2"/>
        <v>0.96996639481458036</v>
      </c>
      <c r="G37" s="3">
        <f t="shared" si="4"/>
        <v>4</v>
      </c>
      <c r="H37" s="10">
        <f t="shared" si="0"/>
        <v>1.2856389390865838E-4</v>
      </c>
    </row>
    <row r="38" spans="1:8">
      <c r="A38" s="3">
        <v>0.65</v>
      </c>
      <c r="B38" s="4">
        <f t="shared" si="1"/>
        <v>3.9916803226634516E-3</v>
      </c>
      <c r="C38" s="4">
        <f t="shared" si="3"/>
        <v>0.99745516552232472</v>
      </c>
      <c r="F38" s="10">
        <f t="shared" si="2"/>
        <v>0.96878399558828687</v>
      </c>
      <c r="G38" s="3">
        <f t="shared" si="4"/>
        <v>2</v>
      </c>
      <c r="H38" s="10">
        <f t="shared" si="0"/>
        <v>6.4287249062294243E-5</v>
      </c>
    </row>
    <row r="39" spans="1:8">
      <c r="A39" s="3">
        <v>0.67500000000000004</v>
      </c>
      <c r="B39" s="4">
        <f t="shared" si="1"/>
        <v>3.9972834371444221E-3</v>
      </c>
      <c r="C39" s="4">
        <f t="shared" si="3"/>
        <v>0.99735556258106683</v>
      </c>
      <c r="F39" s="10">
        <f t="shared" si="2"/>
        <v>0.96760303771907319</v>
      </c>
      <c r="G39" s="3">
        <f t="shared" si="4"/>
        <v>4</v>
      </c>
      <c r="H39" s="10">
        <f t="shared" si="0"/>
        <v>1.285851828244804E-4</v>
      </c>
    </row>
    <row r="40" spans="1:8">
      <c r="A40" s="3">
        <v>0.70000000000000007</v>
      </c>
      <c r="B40" s="4">
        <f t="shared" si="1"/>
        <v>4.0028974551056312E-3</v>
      </c>
      <c r="C40" s="4">
        <f t="shared" si="3"/>
        <v>0.9972558297564722</v>
      </c>
      <c r="F40" s="10">
        <f t="shared" si="2"/>
        <v>0.96642351944990967</v>
      </c>
      <c r="G40" s="3">
        <f t="shared" si="4"/>
        <v>2</v>
      </c>
      <c r="H40" s="10">
        <f t="shared" si="0"/>
        <v>6.4297973996026693E-5</v>
      </c>
    </row>
    <row r="41" spans="1:8">
      <c r="A41" s="3">
        <v>0.72500000000000009</v>
      </c>
      <c r="B41" s="4">
        <f t="shared" si="1"/>
        <v>4.0085224003512396E-3</v>
      </c>
      <c r="C41" s="4">
        <f t="shared" si="3"/>
        <v>0.99715596681738672</v>
      </c>
      <c r="F41" s="10">
        <f t="shared" si="2"/>
        <v>0.96524543902590909</v>
      </c>
      <c r="G41" s="3">
        <f t="shared" si="4"/>
        <v>4</v>
      </c>
      <c r="H41" s="10">
        <f t="shared" si="0"/>
        <v>1.2860679361105621E-4</v>
      </c>
    </row>
    <row r="42" spans="1:8">
      <c r="A42" s="3">
        <v>0.75</v>
      </c>
      <c r="B42" s="4">
        <f t="shared" si="1"/>
        <v>4.0141582967425579E-3</v>
      </c>
      <c r="C42" s="4">
        <f t="shared" si="3"/>
        <v>0.99705597353222208</v>
      </c>
      <c r="F42" s="10">
        <f t="shared" si="2"/>
        <v>0.96406879469432316</v>
      </c>
      <c r="G42" s="3">
        <f t="shared" si="4"/>
        <v>2</v>
      </c>
      <c r="H42" s="10">
        <f t="shared" si="0"/>
        <v>6.4308859832633256E-5</v>
      </c>
    </row>
    <row r="43" spans="1:8">
      <c r="A43" s="3">
        <v>0.77500000000000002</v>
      </c>
      <c r="B43" s="4">
        <f t="shared" si="1"/>
        <v>4.0198051681981936E-3</v>
      </c>
      <c r="C43" s="4">
        <f t="shared" si="3"/>
        <v>0.99695584966895467</v>
      </c>
      <c r="F43" s="10">
        <f t="shared" si="2"/>
        <v>0.96289358470453978</v>
      </c>
      <c r="G43" s="3">
        <f t="shared" si="4"/>
        <v>4</v>
      </c>
      <c r="H43" s="10">
        <f t="shared" si="0"/>
        <v>1.2862872613849072E-4</v>
      </c>
    </row>
    <row r="44" spans="1:8">
      <c r="A44" s="3">
        <v>0.8</v>
      </c>
      <c r="B44" s="4">
        <f t="shared" si="1"/>
        <v>4.0254630386941936E-3</v>
      </c>
      <c r="C44" s="4">
        <f t="shared" si="3"/>
        <v>0.99685559499512488</v>
      </c>
      <c r="F44" s="10">
        <f t="shared" si="2"/>
        <v>0.96171980730808126</v>
      </c>
      <c r="G44" s="3">
        <f t="shared" si="4"/>
        <v>2</v>
      </c>
      <c r="H44" s="10">
        <f t="shared" ref="H44:H75" si="5">(B44*C44*F44*G44)/120</f>
        <v>6.431990650728172E-5</v>
      </c>
    </row>
    <row r="45" spans="1:8">
      <c r="A45" s="3">
        <v>0.82500000000000007</v>
      </c>
      <c r="B45" s="4">
        <f t="shared" si="1"/>
        <v>4.0311319322641984E-3</v>
      </c>
      <c r="C45" s="4">
        <f t="shared" si="3"/>
        <v>0.99675520927783634</v>
      </c>
      <c r="F45" s="10">
        <f t="shared" si="2"/>
        <v>0.96054746075860142</v>
      </c>
      <c r="G45" s="3">
        <f t="shared" si="4"/>
        <v>4</v>
      </c>
      <c r="H45" s="10">
        <f t="shared" si="5"/>
        <v>1.2865098027734729E-4</v>
      </c>
    </row>
    <row r="46" spans="1:8">
      <c r="A46" s="3">
        <v>0.85000000000000009</v>
      </c>
      <c r="B46" s="4">
        <f t="shared" si="1"/>
        <v>4.0368118729995845E-3</v>
      </c>
      <c r="C46" s="4">
        <f t="shared" si="3"/>
        <v>0.99665469228375492</v>
      </c>
      <c r="F46" s="10">
        <f t="shared" si="2"/>
        <v>0.95937654331188271</v>
      </c>
      <c r="G46" s="3">
        <f t="shared" si="4"/>
        <v>2</v>
      </c>
      <c r="H46" s="10">
        <f t="shared" si="5"/>
        <v>6.4331113955366158E-5</v>
      </c>
    </row>
    <row r="47" spans="1:8">
      <c r="A47" s="3">
        <v>0.875</v>
      </c>
      <c r="B47" s="4">
        <f t="shared" si="1"/>
        <v>4.042502885049622E-3</v>
      </c>
      <c r="C47" s="4">
        <f t="shared" si="3"/>
        <v>0.99655404377910839</v>
      </c>
      <c r="F47" s="10">
        <f t="shared" si="2"/>
        <v>0.95820705322583388</v>
      </c>
      <c r="G47" s="3">
        <f t="shared" si="4"/>
        <v>4</v>
      </c>
      <c r="H47" s="10">
        <f t="shared" si="5"/>
        <v>1.2867355589863598E-4</v>
      </c>
    </row>
    <row r="48" spans="1:8">
      <c r="A48" s="3">
        <v>0.9</v>
      </c>
      <c r="B48" s="4">
        <f t="shared" si="1"/>
        <v>4.0482049926216174E-3</v>
      </c>
      <c r="C48" s="4">
        <f t="shared" si="3"/>
        <v>0.99645326352968489</v>
      </c>
      <c r="F48" s="10">
        <f t="shared" si="2"/>
        <v>0.95703898876048754</v>
      </c>
      <c r="G48" s="3">
        <f t="shared" si="4"/>
        <v>2</v>
      </c>
      <c r="H48" s="10">
        <f t="shared" si="5"/>
        <v>6.4342482112501222E-5</v>
      </c>
    </row>
    <row r="49" spans="1:8">
      <c r="A49" s="3">
        <v>0.92500000000000004</v>
      </c>
      <c r="B49" s="4">
        <f t="shared" si="1"/>
        <v>4.0539182199810682E-3</v>
      </c>
      <c r="C49" s="4">
        <f t="shared" si="3"/>
        <v>0.99635235130083288</v>
      </c>
      <c r="F49" s="10">
        <f t="shared" si="2"/>
        <v>0.95587234817799649</v>
      </c>
      <c r="G49" s="3">
        <f t="shared" si="4"/>
        <v>4</v>
      </c>
      <c r="H49" s="10">
        <f t="shared" si="5"/>
        <v>1.286964528738024E-4</v>
      </c>
    </row>
    <row r="50" spans="1:8">
      <c r="A50" s="3">
        <v>0.95000000000000007</v>
      </c>
      <c r="B50" s="4">
        <f t="shared" si="1"/>
        <v>4.0596425914518142E-3</v>
      </c>
      <c r="C50" s="4">
        <f t="shared" si="3"/>
        <v>0.99625130685745988</v>
      </c>
      <c r="F50" s="10">
        <f t="shared" si="2"/>
        <v>0.95470712974263294</v>
      </c>
      <c r="G50" s="3">
        <f t="shared" si="4"/>
        <v>2</v>
      </c>
      <c r="H50" s="10">
        <f t="shared" si="5"/>
        <v>6.435401091451647E-5</v>
      </c>
    </row>
    <row r="51" spans="1:8">
      <c r="A51" s="3">
        <v>0.97500000000000009</v>
      </c>
      <c r="B51" s="4">
        <f t="shared" si="1"/>
        <v>4.0653781314161789E-3</v>
      </c>
      <c r="C51" s="4">
        <f t="shared" si="3"/>
        <v>0.99615012996403152</v>
      </c>
      <c r="F51" s="10">
        <f t="shared" si="2"/>
        <v>0.95354333172078454</v>
      </c>
      <c r="G51" s="3">
        <f t="shared" si="4"/>
        <v>4</v>
      </c>
      <c r="H51" s="10">
        <f t="shared" si="5"/>
        <v>1.2871967107471648E-4</v>
      </c>
    </row>
    <row r="52" spans="1:8">
      <c r="A52" s="3">
        <v>1</v>
      </c>
      <c r="B52" s="4">
        <f t="shared" si="1"/>
        <v>4.0711248643155165E-3</v>
      </c>
      <c r="C52" s="68">
        <f t="shared" si="3"/>
        <v>0.99604882038457132</v>
      </c>
      <c r="F52" s="10">
        <f t="shared" si="2"/>
        <v>0.95238095238095233</v>
      </c>
      <c r="G52" s="3">
        <f t="shared" si="4"/>
        <v>2</v>
      </c>
      <c r="H52" s="10">
        <f t="shared" si="5"/>
        <v>6.4365700297456632E-5</v>
      </c>
    </row>
    <row r="53" spans="1:8">
      <c r="A53" s="3">
        <v>1.0250000000000001</v>
      </c>
      <c r="B53" s="4">
        <f t="shared" si="1"/>
        <v>4.0768828146484403E-3</v>
      </c>
      <c r="C53" s="4">
        <f t="shared" si="3"/>
        <v>0.9959473778826593</v>
      </c>
      <c r="F53" s="10">
        <f t="shared" si="2"/>
        <v>0.95121998999374802</v>
      </c>
      <c r="G53" s="3">
        <f t="shared" si="4"/>
        <v>4</v>
      </c>
      <c r="H53" s="10">
        <f t="shared" si="5"/>
        <v>1.2874321037366007E-4</v>
      </c>
    </row>
    <row r="54" spans="1:8">
      <c r="A54" s="3">
        <v>1.05</v>
      </c>
      <c r="B54" s="4">
        <f t="shared" si="1"/>
        <v>4.0826520069748122E-3</v>
      </c>
      <c r="C54" s="4">
        <f t="shared" si="3"/>
        <v>0.99584580222143149</v>
      </c>
      <c r="F54" s="10">
        <f t="shared" si="2"/>
        <v>0.95006044283189128</v>
      </c>
      <c r="G54" s="3">
        <f t="shared" si="4"/>
        <v>2</v>
      </c>
      <c r="H54" s="10">
        <f t="shared" si="5"/>
        <v>6.4377550197545547E-5</v>
      </c>
    </row>
    <row r="55" spans="1:8">
      <c r="A55" s="3">
        <v>1.075</v>
      </c>
      <c r="B55" s="4">
        <f t="shared" si="1"/>
        <v>4.0884324659120584E-3</v>
      </c>
      <c r="C55" s="4">
        <f t="shared" si="3"/>
        <v>0.99574409316357904</v>
      </c>
      <c r="F55" s="10">
        <f t="shared" si="2"/>
        <v>0.94890230917020801</v>
      </c>
      <c r="G55" s="3">
        <f t="shared" si="4"/>
        <v>4</v>
      </c>
      <c r="H55" s="10">
        <f t="shared" si="5"/>
        <v>1.2876707064331643E-4</v>
      </c>
    </row>
    <row r="56" spans="1:8">
      <c r="A56" s="3">
        <v>1.1000000000000001</v>
      </c>
      <c r="B56" s="4">
        <f t="shared" si="1"/>
        <v>4.0942242161372345E-3</v>
      </c>
      <c r="C56" s="4">
        <f t="shared" si="3"/>
        <v>0.99564225047134725</v>
      </c>
      <c r="F56" s="10">
        <f t="shared" si="2"/>
        <v>0.94774558728562597</v>
      </c>
      <c r="G56" s="3">
        <f t="shared" si="4"/>
        <v>2</v>
      </c>
      <c r="H56" s="10">
        <f t="shared" si="5"/>
        <v>6.4389560551240946E-5</v>
      </c>
    </row>
    <row r="57" spans="1:8">
      <c r="A57" s="3">
        <v>1.125</v>
      </c>
      <c r="B57" s="4">
        <f t="shared" si="1"/>
        <v>4.1000272823868093E-3</v>
      </c>
      <c r="C57" s="4">
        <f t="shared" si="3"/>
        <v>0.9955402739065351</v>
      </c>
      <c r="F57" s="10">
        <f t="shared" si="2"/>
        <v>0.94659027545717467</v>
      </c>
      <c r="G57" s="3">
        <f t="shared" si="4"/>
        <v>4</v>
      </c>
      <c r="H57" s="10">
        <f t="shared" si="5"/>
        <v>1.287912517567574E-4</v>
      </c>
    </row>
    <row r="58" spans="1:8">
      <c r="A58" s="3">
        <v>1.1500000000000001</v>
      </c>
      <c r="B58" s="4">
        <f t="shared" si="1"/>
        <v>4.1058416894568101E-3</v>
      </c>
      <c r="C58" s="4">
        <f t="shared" si="3"/>
        <v>0.99543816323049394</v>
      </c>
      <c r="F58" s="10">
        <f t="shared" si="2"/>
        <v>0.9454363719659804</v>
      </c>
      <c r="G58" s="3">
        <f t="shared" si="4"/>
        <v>2</v>
      </c>
      <c r="H58" s="10">
        <f t="shared" si="5"/>
        <v>6.4401731295167877E-5</v>
      </c>
    </row>
    <row r="59" spans="1:8">
      <c r="A59" s="3">
        <v>1.175</v>
      </c>
      <c r="B59" s="4">
        <f t="shared" si="1"/>
        <v>4.1116674622029741E-3</v>
      </c>
      <c r="C59" s="4">
        <f t="shared" si="3"/>
        <v>0.99533591820412715</v>
      </c>
      <c r="F59" s="10">
        <f t="shared" si="2"/>
        <v>0.94428387509526557</v>
      </c>
      <c r="G59" s="3">
        <f t="shared" si="4"/>
        <v>4</v>
      </c>
      <c r="H59" s="10">
        <f t="shared" si="5"/>
        <v>1.288157535874328E-4</v>
      </c>
    </row>
    <row r="60" spans="1:8">
      <c r="A60" s="3">
        <v>1.2000000000000002</v>
      </c>
      <c r="B60" s="4">
        <f t="shared" si="1"/>
        <v>4.1175046255409091E-3</v>
      </c>
      <c r="C60" s="4">
        <f t="shared" si="3"/>
        <v>0.99523353858788899</v>
      </c>
      <c r="F60" s="10">
        <f t="shared" si="2"/>
        <v>0.9431327831303451</v>
      </c>
      <c r="G60" s="3">
        <f t="shared" si="4"/>
        <v>2</v>
      </c>
      <c r="H60" s="10">
        <f t="shared" si="5"/>
        <v>6.4414062366143347E-5</v>
      </c>
    </row>
    <row r="61" spans="1:8">
      <c r="A61" s="3">
        <v>1.2250000000000001</v>
      </c>
      <c r="B61" s="4">
        <f t="shared" si="1"/>
        <v>4.1233532044462427E-3</v>
      </c>
      <c r="C61" s="4">
        <f t="shared" si="3"/>
        <v>0.99513102414178412</v>
      </c>
      <c r="F61" s="10">
        <f t="shared" si="2"/>
        <v>0.94198309435862371</v>
      </c>
      <c r="G61" s="3">
        <f t="shared" si="4"/>
        <v>4</v>
      </c>
      <c r="H61" s="10">
        <f t="shared" si="5"/>
        <v>1.2884057600915765E-4</v>
      </c>
    </row>
    <row r="62" spans="1:8">
      <c r="A62" s="3">
        <v>1.25</v>
      </c>
      <c r="B62" s="4">
        <f t="shared" si="1"/>
        <v>4.1292132239547901E-3</v>
      </c>
      <c r="C62" s="4">
        <f t="shared" si="3"/>
        <v>0.9950283746253662</v>
      </c>
      <c r="F62" s="10">
        <f t="shared" si="2"/>
        <v>0.94083480706959433</v>
      </c>
      <c r="G62" s="3">
        <f t="shared" si="4"/>
        <v>2</v>
      </c>
      <c r="H62" s="10">
        <f t="shared" si="5"/>
        <v>6.4426553701163949E-5</v>
      </c>
    </row>
    <row r="63" spans="1:8">
      <c r="A63" s="3">
        <v>1.2750000000000001</v>
      </c>
      <c r="B63" s="4">
        <f t="shared" si="1"/>
        <v>4.1350847091626928E-3</v>
      </c>
      <c r="C63" s="4">
        <f t="shared" si="3"/>
        <v>0.99492558979773771</v>
      </c>
      <c r="F63" s="10">
        <f t="shared" si="2"/>
        <v>0.93968791955483477</v>
      </c>
      <c r="G63" s="3">
        <f t="shared" si="4"/>
        <v>4</v>
      </c>
      <c r="H63" s="10">
        <f t="shared" si="5"/>
        <v>1.2886571889610078E-4</v>
      </c>
    </row>
    <row r="64" spans="1:8">
      <c r="A64" s="3">
        <v>1.3</v>
      </c>
      <c r="B64" s="4">
        <f t="shared" si="1"/>
        <v>4.1409676852265896E-3</v>
      </c>
      <c r="C64" s="4">
        <f t="shared" si="3"/>
        <v>0.99482266941754882</v>
      </c>
      <c r="F64" s="10">
        <f t="shared" si="2"/>
        <v>0.93854243010800564</v>
      </c>
      <c r="G64" s="3">
        <f t="shared" si="4"/>
        <v>2</v>
      </c>
      <c r="H64" s="10">
        <f t="shared" si="5"/>
        <v>6.4439205237400355E-5</v>
      </c>
    </row>
    <row r="65" spans="1:8">
      <c r="A65" s="3">
        <v>1.3250000000000002</v>
      </c>
      <c r="B65" s="4">
        <f t="shared" si="1"/>
        <v>4.1468621773637681E-3</v>
      </c>
      <c r="C65" s="4">
        <f t="shared" si="3"/>
        <v>0.99471961324299651</v>
      </c>
      <c r="F65" s="10">
        <f t="shared" si="2"/>
        <v>0.93739833702484743</v>
      </c>
      <c r="G65" s="3">
        <f t="shared" si="4"/>
        <v>4</v>
      </c>
      <c r="H65" s="10">
        <f t="shared" si="5"/>
        <v>1.2889118212277276E-4</v>
      </c>
    </row>
    <row r="66" spans="1:8">
      <c r="A66" s="3">
        <v>1.35</v>
      </c>
      <c r="B66" s="4">
        <f t="shared" si="1"/>
        <v>4.1527682108523159E-3</v>
      </c>
      <c r="C66" s="4">
        <f t="shared" si="3"/>
        <v>0.99461642103182379</v>
      </c>
      <c r="F66" s="10">
        <f t="shared" si="2"/>
        <v>0.93625563860317795</v>
      </c>
      <c r="G66" s="3">
        <f t="shared" si="4"/>
        <v>2</v>
      </c>
      <c r="H66" s="10">
        <f t="shared" si="5"/>
        <v>6.445201691219102E-5</v>
      </c>
    </row>
    <row r="67" spans="1:8">
      <c r="A67" s="3">
        <v>1.375</v>
      </c>
      <c r="B67" s="4">
        <f t="shared" si="1"/>
        <v>4.1586858110312895E-3</v>
      </c>
      <c r="C67" s="4">
        <f t="shared" si="3"/>
        <v>0.99451309254131903</v>
      </c>
      <c r="F67" s="10">
        <f t="shared" si="2"/>
        <v>0.93511433314289027</v>
      </c>
      <c r="G67" s="3">
        <f t="shared" si="4"/>
        <v>4</v>
      </c>
      <c r="H67" s="10">
        <f t="shared" si="5"/>
        <v>1.289169655640137E-4</v>
      </c>
    </row>
    <row r="68" spans="1:8">
      <c r="A68" s="3">
        <v>1.4000000000000001</v>
      </c>
      <c r="B68" s="4">
        <f t="shared" si="1"/>
        <v>4.1646150033008665E-3</v>
      </c>
      <c r="C68" s="4">
        <f t="shared" si="3"/>
        <v>0.99440962752831485</v>
      </c>
      <c r="F68" s="10">
        <f t="shared" si="2"/>
        <v>0.93397441894595001</v>
      </c>
      <c r="G68" s="3">
        <f t="shared" si="4"/>
        <v>2</v>
      </c>
      <c r="H68" s="10">
        <f t="shared" si="5"/>
        <v>6.4464988663036148E-5</v>
      </c>
    </row>
    <row r="69" spans="1:8">
      <c r="A69" s="3">
        <v>1.425</v>
      </c>
      <c r="B69" s="4">
        <f t="shared" si="1"/>
        <v>4.1705558131225045E-3</v>
      </c>
      <c r="C69" s="4">
        <f t="shared" si="3"/>
        <v>0.99430602574918747</v>
      </c>
      <c r="F69" s="10">
        <f t="shared" si="2"/>
        <v>0.93283589431639247</v>
      </c>
      <c r="G69" s="3">
        <f t="shared" si="4"/>
        <v>4</v>
      </c>
      <c r="H69" s="10">
        <f t="shared" si="5"/>
        <v>1.2894306909498143E-4</v>
      </c>
    </row>
    <row r="70" spans="1:8">
      <c r="A70" s="3">
        <v>1.4500000000000002</v>
      </c>
      <c r="B70" s="4">
        <f t="shared" si="1"/>
        <v>4.1765082660191024E-3</v>
      </c>
      <c r="C70" s="4">
        <f t="shared" si="3"/>
        <v>0.99420228695985602</v>
      </c>
      <c r="F70" s="10">
        <f t="shared" si="2"/>
        <v>0.93169875756032017</v>
      </c>
      <c r="G70" s="3">
        <f t="shared" si="4"/>
        <v>2</v>
      </c>
      <c r="H70" s="10">
        <f t="shared" si="5"/>
        <v>6.4478120427591756E-5</v>
      </c>
    </row>
    <row r="71" spans="1:8">
      <c r="A71" s="3">
        <v>1.4750000000000001</v>
      </c>
      <c r="B71" s="4">
        <f t="shared" si="1"/>
        <v>4.1824723875751538E-3</v>
      </c>
      <c r="C71" s="4">
        <f t="shared" si="3"/>
        <v>0.99409841091578133</v>
      </c>
      <c r="F71" s="10">
        <f t="shared" si="2"/>
        <v>0.930563006985901</v>
      </c>
      <c r="G71" s="3">
        <f t="shared" si="4"/>
        <v>4</v>
      </c>
      <c r="H71" s="10">
        <f t="shared" si="5"/>
        <v>1.2896949259113912E-4</v>
      </c>
    </row>
    <row r="72" spans="1:8">
      <c r="A72" s="3">
        <v>1.5</v>
      </c>
      <c r="B72" s="4">
        <f t="shared" si="1"/>
        <v>4.1884482034369149E-3</v>
      </c>
      <c r="C72" s="4">
        <f t="shared" si="3"/>
        <v>0.99399439737196538</v>
      </c>
      <c r="F72" s="10">
        <f t="shared" si="2"/>
        <v>0.92942864090336497</v>
      </c>
      <c r="G72" s="3">
        <f t="shared" si="4"/>
        <v>2</v>
      </c>
      <c r="H72" s="10">
        <f t="shared" si="5"/>
        <v>6.4491412143663439E-5</v>
      </c>
    </row>
    <row r="73" spans="1:8">
      <c r="A73" s="3">
        <v>1.5250000000000001</v>
      </c>
      <c r="B73" s="4">
        <f t="shared" si="1"/>
        <v>4.1944357393125633E-3</v>
      </c>
      <c r="C73" s="4">
        <f t="shared" si="3"/>
        <v>0.99389024608295029</v>
      </c>
      <c r="F73" s="10">
        <f t="shared" si="2"/>
        <v>0.92829565762500166</v>
      </c>
      <c r="G73" s="3">
        <f t="shared" si="4"/>
        <v>4</v>
      </c>
      <c r="H73" s="10">
        <f t="shared" si="5"/>
        <v>1.2899623592824291E-4</v>
      </c>
    </row>
    <row r="74" spans="1:8">
      <c r="A74" s="3">
        <v>1.55</v>
      </c>
      <c r="B74" s="4">
        <f t="shared" si="1"/>
        <v>4.200435020972353E-3</v>
      </c>
      <c r="C74" s="4">
        <f t="shared" si="3"/>
        <v>0.99378595680281767</v>
      </c>
      <c r="F74" s="10">
        <f t="shared" si="2"/>
        <v>0.92716405546515857</v>
      </c>
      <c r="G74" s="3">
        <f t="shared" si="4"/>
        <v>2</v>
      </c>
      <c r="H74" s="10">
        <f t="shared" si="5"/>
        <v>6.4504863749200288E-5</v>
      </c>
    </row>
    <row r="75" spans="1:8">
      <c r="A75" s="3">
        <v>1.5750000000000002</v>
      </c>
      <c r="B75" s="4">
        <f t="shared" si="1"/>
        <v>4.2064460742487833E-3</v>
      </c>
      <c r="C75" s="4">
        <f t="shared" si="3"/>
        <v>0.99368152928518771</v>
      </c>
      <c r="F75" s="10">
        <f t="shared" si="2"/>
        <v>0.92603383274023743</v>
      </c>
      <c r="G75" s="3">
        <f t="shared" si="4"/>
        <v>4</v>
      </c>
      <c r="H75" s="10">
        <f t="shared" si="5"/>
        <v>1.2902329898232997E-4</v>
      </c>
    </row>
    <row r="76" spans="1:8">
      <c r="A76" s="3">
        <v>1.6</v>
      </c>
      <c r="B76" s="4">
        <f t="shared" si="1"/>
        <v>4.2124689250367534E-3</v>
      </c>
      <c r="C76" s="4">
        <f t="shared" si="3"/>
        <v>0.99357696328321832</v>
      </c>
      <c r="F76" s="10">
        <f t="shared" si="2"/>
        <v>0.92490498776869279</v>
      </c>
      <c r="G76" s="3">
        <f t="shared" si="4"/>
        <v>2</v>
      </c>
      <c r="H76" s="10">
        <f t="shared" ref="H76:H92" si="6">(B76*C76*F76*G76)/120</f>
        <v>6.4518475182288748E-5</v>
      </c>
    </row>
    <row r="77" spans="1:8">
      <c r="A77" s="3">
        <v>1.625</v>
      </c>
      <c r="B77" s="4">
        <f t="shared" ref="B77:B92" si="7">B$3+B$4*(B$5^($B$8+A77))*(B$6^(($B$8+A77)^2))</f>
        <v>4.2185035992937285E-3</v>
      </c>
      <c r="C77" s="4">
        <f t="shared" si="3"/>
        <v>0.99347225854960419</v>
      </c>
      <c r="F77" s="10">
        <f t="shared" ref="F77:F92" si="8">(1+$B$7)^-A77</f>
        <v>0.92377751887102888</v>
      </c>
      <c r="G77" s="3">
        <f t="shared" si="4"/>
        <v>4</v>
      </c>
      <c r="H77" s="10">
        <f t="shared" si="6"/>
        <v>1.2905068162970563E-4</v>
      </c>
    </row>
    <row r="78" spans="1:8">
      <c r="A78" s="3">
        <v>1.6500000000000001</v>
      </c>
      <c r="B78" s="4">
        <f t="shared" si="7"/>
        <v>4.224550123039906E-3</v>
      </c>
      <c r="C78" s="4">
        <f t="shared" ref="C78:C92" si="9">C77*EXP(-0.5*(B77+B78)/40)</f>
        <v>0.99336741483657609</v>
      </c>
      <c r="F78" s="10">
        <f t="shared" si="8"/>
        <v>0.92265142436979686</v>
      </c>
      <c r="G78" s="3">
        <f t="shared" si="4"/>
        <v>2</v>
      </c>
      <c r="H78" s="10">
        <f t="shared" si="6"/>
        <v>6.453224638114621E-5</v>
      </c>
    </row>
    <row r="79" spans="1:8">
      <c r="A79" s="3">
        <v>1.675</v>
      </c>
      <c r="B79" s="4">
        <f t="shared" si="7"/>
        <v>4.2306085223583704E-3</v>
      </c>
      <c r="C79" s="4">
        <f t="shared" si="9"/>
        <v>0.99326243189590002</v>
      </c>
      <c r="F79" s="10">
        <f t="shared" si="8"/>
        <v>0.92152670258959346</v>
      </c>
      <c r="G79" s="3">
        <f t="shared" ref="G79:G91" si="10">IF(G78=4,2,4)</f>
        <v>4</v>
      </c>
      <c r="H79" s="10">
        <f t="shared" si="6"/>
        <v>1.290783837469312E-4</v>
      </c>
    </row>
    <row r="80" spans="1:8">
      <c r="A80" s="3">
        <v>1.7000000000000002</v>
      </c>
      <c r="B80" s="4">
        <f t="shared" si="7"/>
        <v>4.2366788233952658E-3</v>
      </c>
      <c r="C80" s="4">
        <f t="shared" si="9"/>
        <v>0.99315730947887626</v>
      </c>
      <c r="F80" s="10">
        <f t="shared" si="8"/>
        <v>0.9204033518570568</v>
      </c>
      <c r="G80" s="3">
        <f t="shared" si="10"/>
        <v>2</v>
      </c>
      <c r="H80" s="10">
        <f t="shared" si="6"/>
        <v>6.4546177284115016E-5</v>
      </c>
    </row>
    <row r="81" spans="1:8">
      <c r="A81" s="3">
        <v>1.7250000000000001</v>
      </c>
      <c r="B81" s="4">
        <f t="shared" si="7"/>
        <v>4.2427610523599482E-3</v>
      </c>
      <c r="C81" s="4">
        <f t="shared" si="9"/>
        <v>0.99305204733633867</v>
      </c>
      <c r="F81" s="10">
        <f t="shared" si="8"/>
        <v>0.91928137050086589</v>
      </c>
      <c r="G81" s="3">
        <f t="shared" si="10"/>
        <v>4</v>
      </c>
      <c r="H81" s="10">
        <f t="shared" si="6"/>
        <v>1.2910640521081142E-4</v>
      </c>
    </row>
    <row r="82" spans="1:8">
      <c r="A82" s="3">
        <v>1.75</v>
      </c>
      <c r="B82" s="4">
        <f t="shared" si="7"/>
        <v>4.2488552355251638E-3</v>
      </c>
      <c r="C82" s="4">
        <f t="shared" si="9"/>
        <v>0.99294664521865383</v>
      </c>
      <c r="F82" s="10">
        <f t="shared" si="8"/>
        <v>0.91816075685173626</v>
      </c>
      <c r="G82" s="3">
        <f t="shared" si="10"/>
        <v>2</v>
      </c>
      <c r="H82" s="10">
        <f t="shared" si="6"/>
        <v>6.456026782965592E-5</v>
      </c>
    </row>
    <row r="83" spans="1:8">
      <c r="A83" s="3">
        <v>1.7750000000000001</v>
      </c>
      <c r="B83" s="4">
        <f t="shared" si="7"/>
        <v>4.2549613992272023E-3</v>
      </c>
      <c r="C83" s="4">
        <f t="shared" si="9"/>
        <v>0.99284110287571992</v>
      </c>
      <c r="F83" s="10">
        <f t="shared" si="8"/>
        <v>0.91704150924241867</v>
      </c>
      <c r="G83" s="3">
        <f t="shared" si="10"/>
        <v>4</v>
      </c>
      <c r="H83" s="10">
        <f t="shared" si="6"/>
        <v>1.2913474589838149E-4</v>
      </c>
    </row>
    <row r="84" spans="1:8">
      <c r="A84" s="3">
        <v>1.8</v>
      </c>
      <c r="B84" s="4">
        <f t="shared" si="7"/>
        <v>4.2610795698660711E-3</v>
      </c>
      <c r="C84" s="4">
        <f t="shared" si="9"/>
        <v>0.99273542005696613</v>
      </c>
      <c r="F84" s="10">
        <f t="shared" si="8"/>
        <v>0.91592362600769639</v>
      </c>
      <c r="G84" s="3">
        <f t="shared" si="10"/>
        <v>2</v>
      </c>
      <c r="H84" s="10">
        <f t="shared" si="6"/>
        <v>6.4574517956341875E-5</v>
      </c>
    </row>
    <row r="85" spans="1:8">
      <c r="A85" s="3">
        <v>1.8250000000000002</v>
      </c>
      <c r="B85" s="4">
        <f t="shared" si="7"/>
        <v>4.2672097739056549E-3</v>
      </c>
      <c r="C85" s="4">
        <f t="shared" si="9"/>
        <v>0.99262959651135196</v>
      </c>
      <c r="F85" s="10">
        <f t="shared" si="8"/>
        <v>0.91480710548438227</v>
      </c>
      <c r="G85" s="3">
        <f t="shared" si="10"/>
        <v>4</v>
      </c>
      <c r="H85" s="10">
        <f t="shared" si="6"/>
        <v>1.2916340568689481E-4</v>
      </c>
    </row>
    <row r="86" spans="1:8">
      <c r="A86" s="3">
        <v>1.85</v>
      </c>
      <c r="B86" s="4">
        <f t="shared" si="7"/>
        <v>4.2733520378738822E-3</v>
      </c>
      <c r="C86" s="4">
        <f t="shared" si="9"/>
        <v>0.99252363198736615</v>
      </c>
      <c r="F86" s="10">
        <f t="shared" si="8"/>
        <v>0.91369194601131676</v>
      </c>
      <c r="G86" s="3">
        <f t="shared" si="10"/>
        <v>2</v>
      </c>
      <c r="H86" s="10">
        <f t="shared" si="6"/>
        <v>6.4588927602851626E-5</v>
      </c>
    </row>
    <row r="87" spans="1:8">
      <c r="A87" s="3">
        <v>1.875</v>
      </c>
      <c r="B87" s="4">
        <f t="shared" si="7"/>
        <v>4.2795063883628963E-3</v>
      </c>
      <c r="C87" s="4">
        <f t="shared" si="9"/>
        <v>0.99241752623302548</v>
      </c>
      <c r="F87" s="10">
        <f t="shared" si="8"/>
        <v>0.9125781459293657</v>
      </c>
      <c r="G87" s="3">
        <f t="shared" si="10"/>
        <v>4</v>
      </c>
      <c r="H87" s="10">
        <f t="shared" si="6"/>
        <v>1.2919238445380978E-4</v>
      </c>
    </row>
    <row r="88" spans="1:8">
      <c r="A88" s="3">
        <v>1.9000000000000001</v>
      </c>
      <c r="B88" s="4">
        <f t="shared" si="7"/>
        <v>4.2856728520292214E-3</v>
      </c>
      <c r="C88" s="4">
        <f t="shared" si="9"/>
        <v>0.99231127899587479</v>
      </c>
      <c r="F88" s="10">
        <f t="shared" si="8"/>
        <v>0.91146570358141654</v>
      </c>
      <c r="G88" s="3">
        <f t="shared" si="10"/>
        <v>2</v>
      </c>
      <c r="H88" s="10">
        <f t="shared" si="6"/>
        <v>6.4603496707963325E-5</v>
      </c>
    </row>
    <row r="89" spans="1:8">
      <c r="A89" s="3">
        <v>1.925</v>
      </c>
      <c r="B89" s="4">
        <f t="shared" si="7"/>
        <v>4.2918514555939265E-3</v>
      </c>
      <c r="C89" s="4">
        <f t="shared" si="9"/>
        <v>0.99220489002298529</v>
      </c>
      <c r="F89" s="10">
        <f t="shared" si="8"/>
        <v>0.91035461731237755</v>
      </c>
      <c r="G89" s="3">
        <f t="shared" si="10"/>
        <v>4</v>
      </c>
      <c r="H89" s="10">
        <f t="shared" si="6"/>
        <v>1.292216820767773E-4</v>
      </c>
    </row>
    <row r="90" spans="1:8">
      <c r="A90" s="3">
        <v>1.9500000000000002</v>
      </c>
      <c r="B90" s="4">
        <f t="shared" si="7"/>
        <v>4.2980422258427986E-3</v>
      </c>
      <c r="C90" s="4">
        <f t="shared" si="9"/>
        <v>0.99209835906095412</v>
      </c>
      <c r="F90" s="10">
        <f t="shared" si="8"/>
        <v>0.90924488546917404</v>
      </c>
      <c r="G90" s="3">
        <f t="shared" si="10"/>
        <v>2</v>
      </c>
      <c r="H90" s="10">
        <f t="shared" si="6"/>
        <v>6.4618225210548016E-5</v>
      </c>
    </row>
    <row r="91" spans="1:8">
      <c r="A91" s="3">
        <v>1.9750000000000001</v>
      </c>
      <c r="B91" s="4">
        <f t="shared" si="7"/>
        <v>4.3042451896265063E-3</v>
      </c>
      <c r="C91" s="4">
        <f t="shared" si="9"/>
        <v>0.99199168585590347</v>
      </c>
      <c r="F91" s="10">
        <f t="shared" si="8"/>
        <v>0.90813650640074717</v>
      </c>
      <c r="G91" s="3">
        <f t="shared" si="10"/>
        <v>4</v>
      </c>
      <c r="H91" s="10">
        <f t="shared" si="6"/>
        <v>1.2925129843362762E-4</v>
      </c>
    </row>
    <row r="92" spans="1:8">
      <c r="A92" s="3">
        <v>2</v>
      </c>
      <c r="B92" s="4">
        <f t="shared" si="7"/>
        <v>4.3104603738611923E-3</v>
      </c>
      <c r="C92" s="68">
        <f t="shared" si="9"/>
        <v>0.9918848701534797</v>
      </c>
      <c r="F92" s="10">
        <f t="shared" si="8"/>
        <v>0.90702947845804982</v>
      </c>
      <c r="G92" s="3">
        <v>1</v>
      </c>
      <c r="H92" s="10">
        <f t="shared" si="6"/>
        <v>3.2316556524784793E-5</v>
      </c>
    </row>
    <row r="93" spans="1:8">
      <c r="H93" s="68">
        <f>SUM(H12:H92)</f>
        <v>7.7251682043987021E-3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zoomScale="125" zoomScaleNormal="125" zoomScalePageLayoutView="125" workbookViewId="0"/>
  </sheetViews>
  <sheetFormatPr baseColWidth="10" defaultRowHeight="12" x14ac:dyDescent="0"/>
  <cols>
    <col min="5" max="6" width="10.83203125" style="8"/>
  </cols>
  <sheetData>
    <row r="1" spans="1:10" ht="15">
      <c r="A1" s="70" t="s">
        <v>78</v>
      </c>
      <c r="C1" s="3"/>
      <c r="D1" s="3"/>
      <c r="E1" s="10"/>
      <c r="F1" s="10"/>
    </row>
    <row r="2" spans="1:10">
      <c r="C2" s="3"/>
      <c r="D2" s="3"/>
      <c r="E2" s="10"/>
      <c r="F2" s="10"/>
      <c r="H2" s="75" t="s">
        <v>1</v>
      </c>
      <c r="I2" s="74">
        <f>((H13*J13)+(H24*J24)+(H34*J34))*10000</f>
        <v>10418961.320573706</v>
      </c>
    </row>
    <row r="3" spans="1:10">
      <c r="A3" s="52" t="s">
        <v>9</v>
      </c>
      <c r="B3" s="51">
        <v>2.2000000000000001E-4</v>
      </c>
      <c r="C3" s="3"/>
      <c r="D3" s="3"/>
      <c r="E3" s="10"/>
      <c r="F3" s="10"/>
    </row>
    <row r="4" spans="1:10">
      <c r="A4" s="52" t="s">
        <v>10</v>
      </c>
      <c r="B4" s="51">
        <f>2.7/1000000</f>
        <v>2.7E-6</v>
      </c>
      <c r="C4" s="3"/>
      <c r="D4" s="3"/>
      <c r="E4" s="10"/>
      <c r="F4" s="10"/>
      <c r="H4" s="75" t="s">
        <v>2</v>
      </c>
      <c r="I4" s="74">
        <f>SQRT(J13*I13+J24*I24+J34*I34)*10000</f>
        <v>311534.47292417567</v>
      </c>
    </row>
    <row r="5" spans="1:10">
      <c r="A5" s="52" t="s">
        <v>24</v>
      </c>
      <c r="B5" s="51">
        <v>1.1240000000000001</v>
      </c>
      <c r="C5" s="3"/>
      <c r="D5" s="3"/>
      <c r="E5" s="10"/>
      <c r="F5" s="10"/>
    </row>
    <row r="6" spans="1:10">
      <c r="A6" s="72" t="s">
        <v>74</v>
      </c>
      <c r="B6" s="73">
        <v>0.05</v>
      </c>
      <c r="C6" s="42"/>
      <c r="D6" s="42"/>
      <c r="E6" s="10"/>
      <c r="F6" s="10"/>
      <c r="H6" s="75" t="s">
        <v>3</v>
      </c>
      <c r="I6" s="74">
        <f>I2+NORMSINV(0.95)*I4</f>
        <v>10931389.928283451</v>
      </c>
    </row>
    <row r="7" spans="1:10">
      <c r="A7" s="9" t="s">
        <v>25</v>
      </c>
      <c r="B7" s="18">
        <f>EXP(-B4/LN(B5))</f>
        <v>0.99997690236831238</v>
      </c>
      <c r="C7" s="3"/>
      <c r="D7" s="3"/>
      <c r="E7" s="10"/>
      <c r="F7" s="10"/>
    </row>
    <row r="8" spans="1:10">
      <c r="A8" s="9" t="s">
        <v>27</v>
      </c>
      <c r="B8" s="18">
        <f>EXP(-B3)</f>
        <v>0.99978002419822543</v>
      </c>
      <c r="C8" s="3"/>
      <c r="D8" s="3"/>
      <c r="E8" s="10"/>
      <c r="F8" s="10"/>
    </row>
    <row r="9" spans="1:10">
      <c r="A9" s="9" t="s">
        <v>68</v>
      </c>
      <c r="B9" s="20">
        <f>0.05/1.05</f>
        <v>4.7619047619047616E-2</v>
      </c>
      <c r="C9" s="3"/>
      <c r="D9" s="3"/>
      <c r="E9" s="10"/>
      <c r="F9" s="10"/>
    </row>
    <row r="10" spans="1:10">
      <c r="A10" s="9"/>
      <c r="B10" s="18"/>
      <c r="C10" s="42"/>
      <c r="D10" s="42"/>
      <c r="E10" s="10"/>
      <c r="F10" s="10"/>
      <c r="H10" t="s">
        <v>124</v>
      </c>
    </row>
    <row r="11" spans="1:10">
      <c r="A11" t="s">
        <v>123</v>
      </c>
      <c r="B11" s="14"/>
      <c r="C11" s="3"/>
      <c r="D11" s="3"/>
      <c r="E11" s="10"/>
      <c r="F11" s="10"/>
      <c r="J11" s="3" t="s">
        <v>69</v>
      </c>
    </row>
    <row r="12" spans="1:10">
      <c r="A12" s="6" t="s">
        <v>155</v>
      </c>
      <c r="C12" s="3"/>
      <c r="D12" s="3"/>
      <c r="E12" s="10"/>
      <c r="F12" s="10"/>
      <c r="H12" s="3" t="s">
        <v>33</v>
      </c>
      <c r="I12" s="3" t="s">
        <v>34</v>
      </c>
      <c r="J12" s="3" t="s">
        <v>73</v>
      </c>
    </row>
    <row r="13" spans="1:10">
      <c r="A13" s="3" t="s">
        <v>0</v>
      </c>
      <c r="B13" s="7" t="s">
        <v>66</v>
      </c>
      <c r="C13" s="3" t="s">
        <v>70</v>
      </c>
      <c r="D13" s="3" t="s">
        <v>5</v>
      </c>
      <c r="E13" s="10" t="s">
        <v>71</v>
      </c>
      <c r="F13" s="29" t="s">
        <v>72</v>
      </c>
      <c r="H13" s="19">
        <f>(1-E14)/B$9</f>
        <v>14.904074300630846</v>
      </c>
      <c r="I13" s="19">
        <f>(F14-E14^2)/B$9^2</f>
        <v>10.617990513951757</v>
      </c>
      <c r="J13" s="3">
        <v>40</v>
      </c>
    </row>
    <row r="14" spans="1:10">
      <c r="A14" s="3">
        <v>0</v>
      </c>
      <c r="B14" s="10">
        <f t="shared" ref="B14:B45" si="0">(B$8^A14)*(B$7^((B$5^60)*(B$5^A14-1)))</f>
        <v>1</v>
      </c>
      <c r="C14" s="10">
        <f>B15/B14</f>
        <v>0.99660178873805627</v>
      </c>
      <c r="D14" s="3">
        <f>60+A14</f>
        <v>60</v>
      </c>
      <c r="E14" s="10">
        <f>(1-C14+C14*E15)/1.05</f>
        <v>0.290282176160436</v>
      </c>
      <c r="F14" s="10">
        <f>(1-C14+C14*F15)/1.05^2</f>
        <v>0.10834081779179386</v>
      </c>
      <c r="I14" s="19"/>
      <c r="J14" s="3"/>
    </row>
    <row r="15" spans="1:10">
      <c r="A15" s="3">
        <v>1</v>
      </c>
      <c r="B15" s="10">
        <f t="shared" si="0"/>
        <v>0.99660178873805627</v>
      </c>
      <c r="C15" s="10">
        <f t="shared" ref="C15:C78" si="1">B16/B15</f>
        <v>0.99620839228149705</v>
      </c>
      <c r="D15" s="3">
        <f t="shared" ref="D15:D78" si="2">60+A15</f>
        <v>61</v>
      </c>
      <c r="E15" s="10">
        <f t="shared" ref="E15:E78" si="3">(1-C15+C15*E16)/1.05</f>
        <v>0.30242578039936929</v>
      </c>
      <c r="F15" s="10">
        <f t="shared" ref="F15:F78" si="4">(1-C15+C15*F16)/1.05^2</f>
        <v>0.11644323907992762</v>
      </c>
      <c r="I15" s="19"/>
      <c r="J15" s="3"/>
    </row>
    <row r="16" spans="1:10">
      <c r="A16" s="3">
        <v>2</v>
      </c>
      <c r="B16" s="10">
        <f t="shared" si="0"/>
        <v>0.99282306570360324</v>
      </c>
      <c r="C16" s="10">
        <f t="shared" si="1"/>
        <v>0.99576640002728867</v>
      </c>
      <c r="D16" s="3">
        <f t="shared" si="2"/>
        <v>62</v>
      </c>
      <c r="E16" s="10">
        <f t="shared" si="3"/>
        <v>0.31494962713803099</v>
      </c>
      <c r="F16" s="10">
        <f t="shared" si="4"/>
        <v>0.12506124655484019</v>
      </c>
      <c r="I16" s="19"/>
      <c r="J16" s="3"/>
    </row>
    <row r="17" spans="1:10">
      <c r="A17" s="3">
        <v>3</v>
      </c>
      <c r="B17" s="10">
        <f t="shared" si="0"/>
        <v>0.98861984999973329</v>
      </c>
      <c r="C17" s="10">
        <f t="shared" si="1"/>
        <v>0.9952698348123058</v>
      </c>
      <c r="D17" s="3">
        <f t="shared" si="2"/>
        <v>63</v>
      </c>
      <c r="E17" s="10">
        <f t="shared" si="3"/>
        <v>0.32785150062632623</v>
      </c>
      <c r="F17" s="10">
        <f t="shared" si="4"/>
        <v>0.13421463543089771</v>
      </c>
      <c r="I17" s="19"/>
      <c r="J17" s="3"/>
    </row>
    <row r="18" spans="1:10">
      <c r="A18" s="3">
        <v>4</v>
      </c>
      <c r="B18" s="10">
        <f t="shared" si="0"/>
        <v>0.98394351480140108</v>
      </c>
      <c r="C18" s="10">
        <f t="shared" si="1"/>
        <v>0.99471199109199138</v>
      </c>
      <c r="D18" s="3">
        <f t="shared" si="2"/>
        <v>64</v>
      </c>
      <c r="E18" s="10">
        <f t="shared" si="3"/>
        <v>0.34112749989451452</v>
      </c>
      <c r="F18" s="10">
        <f t="shared" si="4"/>
        <v>0.14392224637440548</v>
      </c>
      <c r="I18" s="19"/>
      <c r="J18" s="3"/>
    </row>
    <row r="19" spans="1:10">
      <c r="A19" s="3">
        <v>5</v>
      </c>
      <c r="B19" s="10">
        <f t="shared" si="0"/>
        <v>0.978740412730154</v>
      </c>
      <c r="C19" s="10">
        <f t="shared" si="1"/>
        <v>0.99408534797045489</v>
      </c>
      <c r="D19" s="3">
        <f t="shared" si="2"/>
        <v>65</v>
      </c>
      <c r="E19" s="10">
        <f t="shared" si="3"/>
        <v>0.35477190296441863</v>
      </c>
      <c r="F19" s="10">
        <f t="shared" si="4"/>
        <v>0.15420168761752487</v>
      </c>
      <c r="I19" s="19"/>
      <c r="J19" s="3"/>
    </row>
    <row r="20" spans="1:10">
      <c r="A20" s="3">
        <v>6</v>
      </c>
      <c r="B20" s="10">
        <f t="shared" si="0"/>
        <v>0.97295150376160178</v>
      </c>
      <c r="C20" s="10">
        <f t="shared" si="1"/>
        <v>0.99338147232076635</v>
      </c>
      <c r="D20" s="3">
        <f t="shared" si="2"/>
        <v>66</v>
      </c>
      <c r="E20" s="10">
        <f t="shared" si="3"/>
        <v>0.36877703391519057</v>
      </c>
      <c r="F20" s="10">
        <f t="shared" si="4"/>
        <v>0.16506903446851029</v>
      </c>
      <c r="I20" s="19"/>
      <c r="J20" s="3"/>
    </row>
    <row r="21" spans="1:10">
      <c r="A21" s="3">
        <v>7</v>
      </c>
      <c r="B21" s="10">
        <f t="shared" si="0"/>
        <v>0.96651199730340365</v>
      </c>
      <c r="C21" s="10">
        <f t="shared" si="1"/>
        <v>0.99259091099374386</v>
      </c>
      <c r="D21" s="3">
        <f t="shared" si="2"/>
        <v>67</v>
      </c>
      <c r="E21" s="10">
        <f t="shared" si="3"/>
        <v>0.38313313519181502</v>
      </c>
      <c r="F21" s="10">
        <f t="shared" si="4"/>
        <v>0.17653850782277458</v>
      </c>
      <c r="I21" s="19"/>
      <c r="J21" s="42"/>
    </row>
    <row r="22" spans="1:10">
      <c r="A22" s="3">
        <v>8</v>
      </c>
      <c r="B22" s="10">
        <f t="shared" si="0"/>
        <v>0.95935102388976834</v>
      </c>
      <c r="C22" s="10">
        <f t="shared" si="1"/>
        <v>0.99170307104778022</v>
      </c>
      <c r="D22" s="3">
        <f t="shared" si="2"/>
        <v>68</v>
      </c>
      <c r="E22" s="10">
        <f t="shared" si="3"/>
        <v>0.39782824784261855</v>
      </c>
      <c r="F22" s="10">
        <f t="shared" si="4"/>
        <v>0.18862213404806494</v>
      </c>
      <c r="I22" s="19"/>
      <c r="J22" s="3"/>
    </row>
    <row r="23" spans="1:10">
      <c r="A23" s="3">
        <v>9</v>
      </c>
      <c r="B23" s="10">
        <f t="shared" si="0"/>
        <v>0.95139135660431562</v>
      </c>
      <c r="C23" s="10">
        <f t="shared" si="1"/>
        <v>0.99070608687320849</v>
      </c>
      <c r="D23" s="3">
        <f t="shared" si="2"/>
        <v>69</v>
      </c>
      <c r="E23" s="10">
        <f t="shared" si="3"/>
        <v>0.41284810265834471</v>
      </c>
      <c r="F23" s="10">
        <f t="shared" si="4"/>
        <v>0.20132938947625004</v>
      </c>
      <c r="I23" s="19"/>
      <c r="J23" s="3"/>
    </row>
    <row r="24" spans="1:10">
      <c r="A24" s="3">
        <v>10</v>
      </c>
      <c r="B24" s="10">
        <f t="shared" si="0"/>
        <v>0.94254920798645481</v>
      </c>
      <c r="C24" s="10">
        <f t="shared" si="1"/>
        <v>0.98958667303686954</v>
      </c>
      <c r="D24" s="3">
        <f t="shared" si="2"/>
        <v>70</v>
      </c>
      <c r="E24" s="10">
        <f t="shared" si="3"/>
        <v>0.42817602544795869</v>
      </c>
      <c r="F24" s="10">
        <f t="shared" si="4"/>
        <v>0.21466683367414507</v>
      </c>
      <c r="H24" s="19">
        <f>(1-E24)/B$9</f>
        <v>12.008303465592867</v>
      </c>
      <c r="I24" s="19">
        <f>(F24-E24^2)/B$9^2</f>
        <v>13.817467083428747</v>
      </c>
      <c r="J24" s="3">
        <v>30</v>
      </c>
    </row>
    <row r="25" spans="1:10">
      <c r="A25" s="3">
        <v>11</v>
      </c>
      <c r="B25" s="10">
        <f t="shared" si="0"/>
        <v>0.93273413490485224</v>
      </c>
      <c r="C25" s="10">
        <f t="shared" si="1"/>
        <v>0.98832996164181597</v>
      </c>
      <c r="D25" s="3">
        <f t="shared" si="2"/>
        <v>71</v>
      </c>
      <c r="E25" s="10">
        <f t="shared" si="3"/>
        <v>0.44379285991138623</v>
      </c>
      <c r="F25" s="10">
        <f t="shared" si="4"/>
        <v>0.22863773667067636</v>
      </c>
      <c r="I25" s="19"/>
      <c r="J25" s="3"/>
    </row>
    <row r="26" spans="1:10">
      <c r="A26" s="3">
        <v>12</v>
      </c>
      <c r="B26" s="10">
        <f t="shared" si="0"/>
        <v>0.92184909177252505</v>
      </c>
      <c r="C26" s="10">
        <f t="shared" si="1"/>
        <v>0.98691932299128393</v>
      </c>
      <c r="D26" s="3">
        <f t="shared" si="2"/>
        <v>72</v>
      </c>
      <c r="E26" s="10">
        <f t="shared" si="3"/>
        <v>0.45967691174116249</v>
      </c>
      <c r="F26" s="10">
        <f t="shared" si="4"/>
        <v>0.24324170636482431</v>
      </c>
      <c r="I26" s="19"/>
      <c r="J26" s="3"/>
    </row>
    <row r="27" spans="1:10">
      <c r="A27" s="3">
        <v>13</v>
      </c>
      <c r="B27" s="10">
        <f t="shared" si="0"/>
        <v>0.90979068155227039</v>
      </c>
      <c r="C27" s="10">
        <f t="shared" si="1"/>
        <v>0.98533616837508686</v>
      </c>
      <c r="D27" s="3">
        <f t="shared" si="2"/>
        <v>73</v>
      </c>
      <c r="E27" s="10">
        <f t="shared" si="3"/>
        <v>0.47580391768623997</v>
      </c>
      <c r="F27" s="10">
        <f t="shared" si="4"/>
        <v>0.25847432339791732</v>
      </c>
      <c r="I27" s="19"/>
      <c r="J27" s="3"/>
    </row>
    <row r="28" spans="1:10">
      <c r="A28" s="3">
        <v>14</v>
      </c>
      <c r="B28" s="10">
        <f t="shared" si="0"/>
        <v>0.8964496641840729</v>
      </c>
      <c r="C28" s="10">
        <f t="shared" si="1"/>
        <v>0.98355973387330853</v>
      </c>
      <c r="D28" s="3">
        <f t="shared" si="2"/>
        <v>74</v>
      </c>
      <c r="E28" s="10">
        <f t="shared" si="3"/>
        <v>0.49214704332363546</v>
      </c>
      <c r="F28" s="10">
        <f t="shared" si="4"/>
        <v>0.27432679180654451</v>
      </c>
      <c r="I28" s="19"/>
      <c r="J28" s="3"/>
    </row>
    <row r="29" spans="1:10">
      <c r="A29" s="3">
        <v>15</v>
      </c>
      <c r="B29" s="10">
        <f t="shared" si="0"/>
        <v>0.88171179313570358</v>
      </c>
      <c r="C29" s="10">
        <f t="shared" si="1"/>
        <v>0.98156684421275098</v>
      </c>
      <c r="D29" s="3">
        <f t="shared" si="2"/>
        <v>75</v>
      </c>
      <c r="E29" s="10">
        <f t="shared" si="3"/>
        <v>0.50867691318844788</v>
      </c>
      <c r="F29" s="10">
        <f t="shared" si="4"/>
        <v>0.29078561473203202</v>
      </c>
      <c r="I29" s="19"/>
      <c r="J29" s="3"/>
    </row>
    <row r="30" spans="1:10">
      <c r="A30" s="3">
        <v>16</v>
      </c>
      <c r="B30" s="10">
        <f t="shared" si="0"/>
        <v>0.86545906229337843</v>
      </c>
      <c r="C30" s="10">
        <f t="shared" si="1"/>
        <v>0.97933165593649085</v>
      </c>
      <c r="D30" s="3">
        <f t="shared" si="2"/>
        <v>76</v>
      </c>
      <c r="E30" s="10">
        <f t="shared" si="3"/>
        <v>0.52536167669173028</v>
      </c>
      <c r="F30" s="10">
        <f t="shared" si="4"/>
        <v>0.30783230529466077</v>
      </c>
      <c r="I30" s="19"/>
      <c r="J30" s="3"/>
    </row>
    <row r="31" spans="1:10">
      <c r="A31" s="3">
        <v>17</v>
      </c>
      <c r="B31" s="10">
        <f t="shared" si="0"/>
        <v>0.84757145662101685</v>
      </c>
      <c r="C31" s="10">
        <f t="shared" si="1"/>
        <v>0.9768253794816667</v>
      </c>
      <c r="D31" s="3">
        <f t="shared" si="2"/>
        <v>77</v>
      </c>
      <c r="E31" s="10">
        <f t="shared" si="3"/>
        <v>0.5421671128919785</v>
      </c>
      <c r="F31" s="10">
        <f t="shared" si="4"/>
        <v>0.32544314338443375</v>
      </c>
      <c r="I31" s="19"/>
      <c r="J31" s="3"/>
    </row>
    <row r="32" spans="1:10">
      <c r="A32" s="3">
        <v>18</v>
      </c>
      <c r="B32" s="10">
        <f t="shared" si="0"/>
        <v>0.8279293097516538</v>
      </c>
      <c r="C32" s="10">
        <f t="shared" si="1"/>
        <v>0.97401598023683944</v>
      </c>
      <c r="D32" s="3">
        <f t="shared" si="2"/>
        <v>78</v>
      </c>
      <c r="E32" s="10">
        <f t="shared" si="3"/>
        <v>0.55905677666567366</v>
      </c>
      <c r="F32" s="10">
        <f t="shared" si="4"/>
        <v>0.34358898950915723</v>
      </c>
      <c r="I32" s="19"/>
      <c r="J32" s="3"/>
    </row>
    <row r="33" spans="1:10">
      <c r="A33" s="3">
        <v>19</v>
      </c>
      <c r="B33" s="10">
        <f t="shared" si="0"/>
        <v>0.80641637820456691</v>
      </c>
      <c r="C33" s="10">
        <f t="shared" si="1"/>
        <v>0.97086785930691966</v>
      </c>
      <c r="D33" s="3">
        <f t="shared" si="2"/>
        <v>79</v>
      </c>
      <c r="E33" s="10">
        <f t="shared" si="3"/>
        <v>0.57599218813574204</v>
      </c>
      <c r="F33" s="10">
        <f t="shared" si="4"/>
        <v>0.36223516690649543</v>
      </c>
      <c r="I33" s="19"/>
      <c r="J33" s="3"/>
    </row>
    <row r="34" spans="1:10">
      <c r="A34" s="3">
        <v>20</v>
      </c>
      <c r="B34" s="10">
        <f t="shared" si="0"/>
        <v>0.78292374281750721</v>
      </c>
      <c r="C34" s="10">
        <f t="shared" si="1"/>
        <v>0.96734151559802961</v>
      </c>
      <c r="D34" s="3">
        <f t="shared" si="2"/>
        <v>80</v>
      </c>
      <c r="E34" s="10">
        <f t="shared" si="3"/>
        <v>0.5929330663602348</v>
      </c>
      <c r="F34" s="10">
        <f t="shared" si="4"/>
        <v>0.38134142280251315</v>
      </c>
      <c r="H34" s="19">
        <f>(1-E34)/B$9</f>
        <v>8.54840560643507</v>
      </c>
      <c r="I34" s="19">
        <f>(F34-E34^2)/B$9^2</f>
        <v>13.129364514050684</v>
      </c>
      <c r="J34" s="3">
        <v>10</v>
      </c>
    </row>
    <row r="35" spans="1:10">
      <c r="A35" s="3">
        <v>21</v>
      </c>
      <c r="B35" s="10">
        <f t="shared" si="0"/>
        <v>0.75735463997476937</v>
      </c>
      <c r="C35" s="10">
        <f t="shared" si="1"/>
        <v>0.96339319200389884</v>
      </c>
      <c r="D35" s="3">
        <f t="shared" si="2"/>
        <v>81</v>
      </c>
      <c r="E35" s="10">
        <f t="shared" si="3"/>
        <v>0.60983760726073588</v>
      </c>
      <c r="F35" s="10">
        <f t="shared" si="4"/>
        <v>0.40086197892382719</v>
      </c>
    </row>
    <row r="36" spans="1:10">
      <c r="A36" s="3">
        <v>22</v>
      </c>
      <c r="B36" s="10">
        <f t="shared" si="0"/>
        <v>0.72963030408425666</v>
      </c>
      <c r="C36" s="10">
        <f t="shared" si="1"/>
        <v>0.95897450999743139</v>
      </c>
      <c r="D36" s="3">
        <f t="shared" si="2"/>
        <v>82</v>
      </c>
      <c r="E36" s="10">
        <f t="shared" si="3"/>
        <v>0.62666280459373258</v>
      </c>
      <c r="F36" s="10">
        <f t="shared" si="4"/>
        <v>0.42074568009380109</v>
      </c>
    </row>
    <row r="37" spans="1:10">
      <c r="A37" s="3">
        <v>23</v>
      </c>
      <c r="B37" s="10">
        <f t="shared" si="0"/>
        <v>0.69969686333847692</v>
      </c>
      <c r="C37" s="10">
        <f t="shared" si="1"/>
        <v>0.95403209888572416</v>
      </c>
      <c r="D37" s="3">
        <f t="shared" si="2"/>
        <v>83</v>
      </c>
      <c r="E37" s="10">
        <f t="shared" si="3"/>
        <v>0.64336481146146751</v>
      </c>
      <c r="F37" s="10">
        <f t="shared" si="4"/>
        <v>0.44093624793215797</v>
      </c>
    </row>
    <row r="38" spans="1:10">
      <c r="A38" s="3">
        <v>24</v>
      </c>
      <c r="B38" s="10">
        <f t="shared" si="0"/>
        <v>0.66753326711456484</v>
      </c>
      <c r="C38" s="10">
        <f t="shared" si="1"/>
        <v>0.94850722846612923</v>
      </c>
      <c r="D38" s="3">
        <f t="shared" si="2"/>
        <v>84</v>
      </c>
      <c r="E38" s="10">
        <f t="shared" si="3"/>
        <v>0.65989933845577631</v>
      </c>
      <c r="F38" s="10">
        <f t="shared" si="4"/>
        <v>0.4613726443219518</v>
      </c>
    </row>
    <row r="39" spans="1:10">
      <c r="A39" s="3">
        <v>25</v>
      </c>
      <c r="B39" s="10">
        <f t="shared" si="0"/>
        <v>0.63316012909977626</v>
      </c>
      <c r="C39" s="10">
        <f t="shared" si="1"/>
        <v>0.94233545692875809</v>
      </c>
      <c r="D39" s="3">
        <f t="shared" si="2"/>
        <v>85</v>
      </c>
      <c r="E39" s="10">
        <f t="shared" si="3"/>
        <v>0.67622208307461362</v>
      </c>
      <c r="F39" s="10">
        <f t="shared" si="4"/>
        <v>0.48198954642695852</v>
      </c>
    </row>
    <row r="40" spans="1:10">
      <c r="A40" s="3">
        <v>26</v>
      </c>
      <c r="B40" s="10">
        <f t="shared" si="0"/>
        <v>0.59664923956430915</v>
      </c>
      <c r="C40" s="10">
        <f t="shared" si="1"/>
        <v>0.93544630970094111</v>
      </c>
      <c r="D40" s="3">
        <f t="shared" si="2"/>
        <v>86</v>
      </c>
      <c r="E40" s="10">
        <f t="shared" si="3"/>
        <v>0.69228918360271607</v>
      </c>
      <c r="F40" s="10">
        <f t="shared" si="4"/>
        <v>0.50271793168904866</v>
      </c>
    </row>
    <row r="41" spans="1:10">
      <c r="A41" s="3">
        <v>27</v>
      </c>
      <c r="B41" s="10">
        <f t="shared" si="0"/>
        <v>0.55813332933630577</v>
      </c>
      <c r="C41" s="10">
        <f t="shared" si="1"/>
        <v>0.92776300964111613</v>
      </c>
      <c r="D41" s="3">
        <f t="shared" si="2"/>
        <v>87</v>
      </c>
      <c r="E41" s="10">
        <f t="shared" si="3"/>
        <v>0.70805768927085078</v>
      </c>
      <c r="F41" s="10">
        <f t="shared" si="4"/>
        <v>0.52348576749922759</v>
      </c>
    </row>
    <row r="42" spans="1:10">
      <c r="A42" s="3">
        <v>28</v>
      </c>
      <c r="B42" s="10">
        <f t="shared" si="0"/>
        <v>0.51781545740606727</v>
      </c>
      <c r="C42" s="10">
        <f t="shared" si="1"/>
        <v>0.91920228468149845</v>
      </c>
      <c r="D42" s="3">
        <f t="shared" si="2"/>
        <v>88</v>
      </c>
      <c r="E42" s="10">
        <f t="shared" si="3"/>
        <v>0.72348603727492533</v>
      </c>
      <c r="F42" s="10">
        <f t="shared" si="4"/>
        <v>0.54421879624660396</v>
      </c>
    </row>
    <row r="43" spans="1:10">
      <c r="A43" s="3">
        <v>29</v>
      </c>
      <c r="B43" s="10">
        <f t="shared" si="0"/>
        <v>0.47597715149105219</v>
      </c>
      <c r="C43" s="10">
        <f t="shared" si="1"/>
        <v>0.90967428579499143</v>
      </c>
      <c r="D43" s="3">
        <f t="shared" si="2"/>
        <v>89</v>
      </c>
      <c r="E43" s="10">
        <f t="shared" si="3"/>
        <v>0.73853452622280469</v>
      </c>
      <c r="F43" s="10">
        <f t="shared" si="4"/>
        <v>0.5648414023723648</v>
      </c>
    </row>
    <row r="44" spans="1:10">
      <c r="A44" s="3">
        <v>30</v>
      </c>
      <c r="B44" s="10">
        <f t="shared" si="0"/>
        <v>0.43298417533735734</v>
      </c>
      <c r="C44" s="10">
        <f t="shared" si="1"/>
        <v>0.89908265609414029</v>
      </c>
      <c r="D44" s="3">
        <f t="shared" si="2"/>
        <v>90</v>
      </c>
      <c r="E44" s="10">
        <f t="shared" si="3"/>
        <v>0.75316577485772951</v>
      </c>
      <c r="F44" s="10">
        <f t="shared" si="4"/>
        <v>0.58527754408846788</v>
      </c>
    </row>
    <row r="45" spans="1:10">
      <c r="A45" s="3">
        <v>31</v>
      </c>
      <c r="B45" s="10">
        <f t="shared" si="0"/>
        <v>0.38928856240904219</v>
      </c>
      <c r="C45" s="10">
        <f t="shared" si="1"/>
        <v>0.88732480097055144</v>
      </c>
      <c r="D45" s="3">
        <f t="shared" si="2"/>
        <v>91</v>
      </c>
      <c r="E45" s="10">
        <f t="shared" si="3"/>
        <v>0.76734515455108299</v>
      </c>
      <c r="F45" s="10">
        <f t="shared" si="4"/>
        <v>0.60545172878374232</v>
      </c>
    </row>
    <row r="46" spans="1:10">
      <c r="A46" s="3">
        <v>32</v>
      </c>
      <c r="B46" s="10">
        <f t="shared" ref="B46:B77" si="5">(B$8^A46)*(B$7^((B$5^60)*(B$5^A46-1)))</f>
        <v>0.34542539615971546</v>
      </c>
      <c r="C46" s="10">
        <f t="shared" si="1"/>
        <v>0.87429241936491831</v>
      </c>
      <c r="D46" s="3">
        <f t="shared" si="2"/>
        <v>92</v>
      </c>
      <c r="E46" s="10">
        <f t="shared" si="3"/>
        <v>0.78104118412011925</v>
      </c>
      <c r="F46" s="10">
        <f t="shared" si="4"/>
        <v>0.62529000806441026</v>
      </c>
    </row>
    <row r="47" spans="1:10">
      <c r="A47" s="3">
        <v>33</v>
      </c>
      <c r="B47" s="10">
        <f t="shared" si="5"/>
        <v>0.30200280531856299</v>
      </c>
      <c r="C47" s="10">
        <f t="shared" si="1"/>
        <v>0.85987236728005767</v>
      </c>
      <c r="D47" s="3">
        <f t="shared" si="2"/>
        <v>93</v>
      </c>
      <c r="E47" s="10">
        <f t="shared" si="3"/>
        <v>0.79422587604664563</v>
      </c>
      <c r="F47" s="10">
        <f t="shared" si="4"/>
        <v>0.64472096608750329</v>
      </c>
    </row>
    <row r="48" spans="1:10">
      <c r="A48" s="3">
        <v>34</v>
      </c>
      <c r="B48" s="10">
        <f t="shared" si="5"/>
        <v>0.25968386713449115</v>
      </c>
      <c r="C48" s="10">
        <f t="shared" si="1"/>
        <v>0.8439479360461446</v>
      </c>
      <c r="D48" s="3">
        <f t="shared" si="2"/>
        <v>94</v>
      </c>
      <c r="E48" s="10">
        <f t="shared" si="3"/>
        <v>0.80687502416630641</v>
      </c>
      <c r="F48" s="10">
        <f t="shared" si="4"/>
        <v>0.66367667354713611</v>
      </c>
    </row>
    <row r="49" spans="1:6">
      <c r="A49" s="3">
        <v>35</v>
      </c>
      <c r="B49" s="10">
        <f t="shared" si="5"/>
        <v>0.21915966369263504</v>
      </c>
      <c r="C49" s="10">
        <f t="shared" si="1"/>
        <v>0.82640063883419257</v>
      </c>
      <c r="D49" s="3">
        <f t="shared" si="2"/>
        <v>95</v>
      </c>
      <c r="E49" s="10">
        <f t="shared" si="3"/>
        <v>0.81896842435429029</v>
      </c>
      <c r="F49" s="10">
        <f t="shared" si="4"/>
        <v>0.68209357952667271</v>
      </c>
    </row>
    <row r="50" spans="1:6">
      <c r="A50" s="3">
        <v>36</v>
      </c>
      <c r="B50" s="10">
        <f t="shared" si="5"/>
        <v>0.1811136860822804</v>
      </c>
      <c r="C50" s="10">
        <f t="shared" si="1"/>
        <v>0.80711260827373532</v>
      </c>
      <c r="D50" s="3">
        <f t="shared" si="2"/>
        <v>96</v>
      </c>
      <c r="E50" s="10">
        <f t="shared" si="3"/>
        <v>0.8304900216127481</v>
      </c>
      <c r="F50" s="10">
        <f t="shared" si="4"/>
        <v>0.6999133145375025</v>
      </c>
    </row>
    <row r="51" spans="1:6">
      <c r="A51" s="3">
        <v>37</v>
      </c>
      <c r="B51" s="10">
        <f t="shared" si="5"/>
        <v>0.14617913956793985</v>
      </c>
      <c r="C51" s="10">
        <f t="shared" si="1"/>
        <v>0.78596971397993154</v>
      </c>
      <c r="D51" s="3">
        <f t="shared" si="2"/>
        <v>97</v>
      </c>
      <c r="E51" s="10">
        <f t="shared" si="3"/>
        <v>0.8414279792006325</v>
      </c>
      <c r="F51" s="10">
        <f t="shared" si="4"/>
        <v>0.71708338045815889</v>
      </c>
    </row>
    <row r="52" spans="1:6">
      <c r="A52" s="3">
        <v>38</v>
      </c>
      <c r="B52" s="10">
        <f t="shared" si="5"/>
        <v>0.11489237651604617</v>
      </c>
      <c r="C52" s="10">
        <f t="shared" si="1"/>
        <v>0.76286550883992099</v>
      </c>
      <c r="D52" s="3">
        <f t="shared" si="2"/>
        <v>98</v>
      </c>
      <c r="E52" s="10">
        <f t="shared" si="3"/>
        <v>0.85177466794565249</v>
      </c>
      <c r="F52" s="10">
        <f t="shared" si="4"/>
        <v>0.7335577067156217</v>
      </c>
    </row>
    <row r="53" spans="1:6">
      <c r="A53" s="3">
        <v>39</v>
      </c>
      <c r="B53" s="10">
        <f t="shared" si="5"/>
        <v>8.7647431272741355E-2</v>
      </c>
      <c r="C53" s="10">
        <f t="shared" si="1"/>
        <v>0.73770610370689327</v>
      </c>
      <c r="D53" s="3">
        <f t="shared" si="2"/>
        <v>99</v>
      </c>
      <c r="E53" s="10">
        <f t="shared" si="3"/>
        <v>0.86152657652892839</v>
      </c>
      <c r="F53" s="10">
        <f t="shared" si="4"/>
        <v>0.74929705678152592</v>
      </c>
    </row>
    <row r="54" spans="1:6">
      <c r="A54" s="3">
        <v>40</v>
      </c>
      <c r="B54" s="10">
        <f t="shared" si="5"/>
        <v>6.4658045024131736E-2</v>
      </c>
      <c r="C54" s="10">
        <f t="shared" si="1"/>
        <v>0.71041604742072051</v>
      </c>
      <c r="D54" s="3">
        <f t="shared" si="2"/>
        <v>100</v>
      </c>
      <c r="E54" s="10">
        <f t="shared" si="3"/>
        <v>0.87068414621315304</v>
      </c>
      <c r="F54" s="10">
        <f t="shared" si="4"/>
        <v>0.76426927468196493</v>
      </c>
    </row>
    <row r="55" spans="1:6">
      <c r="A55" s="3">
        <v>41</v>
      </c>
      <c r="B55" s="10">
        <f t="shared" si="5"/>
        <v>4.5934112779994651E-2</v>
      </c>
      <c r="C55" s="10">
        <f t="shared" si="1"/>
        <v>0.68094524759518849</v>
      </c>
      <c r="D55" s="3">
        <f t="shared" si="2"/>
        <v>101</v>
      </c>
      <c r="E55" s="10">
        <f t="shared" si="3"/>
        <v>0.87925153607152706</v>
      </c>
      <c r="F55" s="10">
        <f t="shared" si="4"/>
        <v>0.77844936747336357</v>
      </c>
    </row>
    <row r="56" spans="1:6">
      <c r="A56" s="3">
        <v>42</v>
      </c>
      <c r="B56" s="10">
        <f t="shared" si="5"/>
        <v>3.1278615800038767E-2</v>
      </c>
      <c r="C56" s="10">
        <f t="shared" si="1"/>
        <v>0.64927690140937744</v>
      </c>
      <c r="D56" s="3">
        <f t="shared" si="2"/>
        <v>102</v>
      </c>
      <c r="E56" s="10">
        <f t="shared" si="3"/>
        <v>0.88723632715541834</v>
      </c>
      <c r="F56" s="10">
        <f t="shared" si="4"/>
        <v>0.79181942621488044</v>
      </c>
    </row>
    <row r="57" spans="1:6">
      <c r="A57" s="3">
        <v>43</v>
      </c>
      <c r="B57" s="10">
        <f t="shared" si="5"/>
        <v>2.0308482747023567E-2</v>
      </c>
      <c r="C57" s="10">
        <f t="shared" si="1"/>
        <v>0.61543630846851782</v>
      </c>
      <c r="D57" s="3">
        <f t="shared" si="2"/>
        <v>103</v>
      </c>
      <c r="E57" s="10">
        <f t="shared" si="3"/>
        <v>0.89464917612449846</v>
      </c>
      <c r="F57" s="10">
        <f t="shared" si="4"/>
        <v>0.80436839455958553</v>
      </c>
    </row>
    <row r="58" spans="1:6">
      <c r="A58" s="3">
        <v>44</v>
      </c>
      <c r="B58" s="10">
        <f t="shared" si="5"/>
        <v>1.2498577652424767E-2</v>
      </c>
      <c r="C58" s="10">
        <f t="shared" si="1"/>
        <v>0.57950030407304554</v>
      </c>
      <c r="D58" s="3">
        <f t="shared" si="2"/>
        <v>104</v>
      </c>
      <c r="E58" s="10">
        <f t="shared" si="3"/>
        <v>0.90150343059849314</v>
      </c>
      <c r="F58" s="10">
        <f t="shared" si="4"/>
        <v>0.81609170040729451</v>
      </c>
    </row>
    <row r="59" spans="1:6">
      <c r="A59" s="3">
        <v>45</v>
      </c>
      <c r="B59" s="10">
        <f t="shared" si="5"/>
        <v>7.2429295500607239E-3</v>
      </c>
      <c r="C59" s="10">
        <f t="shared" si="1"/>
        <v>0.54160687758025594</v>
      </c>
      <c r="D59" s="3">
        <f t="shared" si="2"/>
        <v>105</v>
      </c>
      <c r="E59" s="10">
        <f t="shared" si="3"/>
        <v>0.907814719861047</v>
      </c>
      <c r="F59" s="10">
        <f t="shared" si="4"/>
        <v>0.82699077188349479</v>
      </c>
    </row>
    <row r="60" spans="1:6">
      <c r="A60" s="3">
        <v>46</v>
      </c>
      <c r="B60" s="10">
        <f t="shared" si="5"/>
        <v>3.9228204581421566E-3</v>
      </c>
      <c r="C60" s="10">
        <f t="shared" si="1"/>
        <v>0.50196432812583824</v>
      </c>
      <c r="D60" s="3">
        <f t="shared" si="2"/>
        <v>106</v>
      </c>
      <c r="E60" s="10">
        <f t="shared" si="3"/>
        <v>0.91360053558594911</v>
      </c>
      <c r="F60" s="10">
        <f t="shared" si="4"/>
        <v>0.83707246408559288</v>
      </c>
    </row>
    <row r="61" spans="1:6">
      <c r="A61" s="3">
        <v>47</v>
      </c>
      <c r="B61" s="10">
        <f t="shared" si="5"/>
        <v>1.9691159356296207E-3</v>
      </c>
      <c r="C61" s="10">
        <f t="shared" si="1"/>
        <v>0.46085906766898976</v>
      </c>
      <c r="D61" s="3">
        <f t="shared" si="2"/>
        <v>107</v>
      </c>
      <c r="E61" s="10">
        <f t="shared" si="3"/>
        <v>0.91887981804048557</v>
      </c>
      <c r="F61" s="10">
        <f t="shared" si="4"/>
        <v>0.84634842751953765</v>
      </c>
    </row>
    <row r="62" spans="1:6">
      <c r="A62" s="3">
        <v>48</v>
      </c>
      <c r="B62" s="10">
        <f t="shared" si="5"/>
        <v>9.0748493422641743E-4</v>
      </c>
      <c r="C62" s="10">
        <f t="shared" si="1"/>
        <v>0.41866092961144274</v>
      </c>
      <c r="D62" s="3">
        <f t="shared" si="2"/>
        <v>108</v>
      </c>
      <c r="E62" s="10">
        <f t="shared" si="3"/>
        <v>0.9236725638590334</v>
      </c>
      <c r="F62" s="10">
        <f t="shared" si="4"/>
        <v>0.85483445297476268</v>
      </c>
    </row>
    <row r="63" spans="1:6">
      <c r="A63" s="3">
        <v>49</v>
      </c>
      <c r="B63" s="10">
        <f t="shared" si="5"/>
        <v>3.7992848617161092E-4</v>
      </c>
      <c r="C63" s="10">
        <f t="shared" si="1"/>
        <v>0.37582461629586256</v>
      </c>
      <c r="D63" s="3">
        <f t="shared" si="2"/>
        <v>109</v>
      </c>
      <c r="E63" s="10">
        <f t="shared" si="3"/>
        <v>0.92799947208832889</v>
      </c>
      <c r="F63" s="10">
        <f t="shared" si="4"/>
        <v>0.86254983084107872</v>
      </c>
    </row>
    <row r="64" spans="1:6">
      <c r="A64" s="3">
        <v>50</v>
      </c>
      <c r="B64" s="10">
        <f t="shared" si="5"/>
        <v>1.4278647753531359E-4</v>
      </c>
      <c r="C64" s="10">
        <f t="shared" si="1"/>
        <v>0.33288577560465449</v>
      </c>
      <c r="D64" s="3">
        <f t="shared" si="2"/>
        <v>110</v>
      </c>
      <c r="E64" s="10">
        <f t="shared" si="3"/>
        <v>0.93188164586031008</v>
      </c>
      <c r="F64" s="10">
        <f t="shared" si="4"/>
        <v>0.86951676560987767</v>
      </c>
    </row>
    <row r="65" spans="1:6">
      <c r="A65" s="3">
        <v>51</v>
      </c>
      <c r="B65" s="10">
        <f t="shared" si="5"/>
        <v>4.7531587320199435E-5</v>
      </c>
      <c r="C65" s="10">
        <f t="shared" si="1"/>
        <v>0.2904502100983225</v>
      </c>
      <c r="D65" s="3">
        <f t="shared" si="2"/>
        <v>111</v>
      </c>
      <c r="E65" s="10">
        <f t="shared" si="3"/>
        <v>0.93534036770547624</v>
      </c>
      <c r="F65" s="10">
        <f t="shared" si="4"/>
        <v>0.87575988838817886</v>
      </c>
    </row>
    <row r="66" spans="1:6">
      <c r="A66" s="3">
        <v>52</v>
      </c>
      <c r="B66" s="10">
        <f t="shared" si="5"/>
        <v>1.3805559523458689E-5</v>
      </c>
      <c r="C66" s="10">
        <f t="shared" si="1"/>
        <v>0.24917498035300253</v>
      </c>
      <c r="D66" s="3">
        <f t="shared" si="2"/>
        <v>112</v>
      </c>
      <c r="E66" s="10">
        <f t="shared" si="3"/>
        <v>0.9383969668908384</v>
      </c>
      <c r="F66" s="10">
        <f t="shared" si="4"/>
        <v>0.88130591112203904</v>
      </c>
    </row>
    <row r="67" spans="1:6">
      <c r="A67" s="3">
        <v>53</v>
      </c>
      <c r="B67" s="10">
        <f t="shared" si="5"/>
        <v>3.4400000230200258E-6</v>
      </c>
      <c r="C67" s="10">
        <f t="shared" si="1"/>
        <v>0.20974075640223602</v>
      </c>
      <c r="D67" s="3">
        <f t="shared" si="2"/>
        <v>113</v>
      </c>
      <c r="E67" s="10">
        <f t="shared" si="3"/>
        <v>0.94107279653913034</v>
      </c>
      <c r="F67" s="10">
        <f t="shared" si="4"/>
        <v>0.88618346453655006</v>
      </c>
    </row>
    <row r="68" spans="1:6">
      <c r="A68" s="3">
        <v>54</v>
      </c>
      <c r="B68" s="10">
        <f t="shared" si="5"/>
        <v>7.2150820685192955E-7</v>
      </c>
      <c r="C68" s="10">
        <f t="shared" si="1"/>
        <v>0.17281576109639718</v>
      </c>
      <c r="D68" s="3">
        <f t="shared" si="2"/>
        <v>114</v>
      </c>
      <c r="E68" s="10">
        <f t="shared" si="3"/>
        <v>0.94338933530332869</v>
      </c>
      <c r="F68" s="10">
        <f t="shared" si="4"/>
        <v>0.89042315502868774</v>
      </c>
    </row>
    <row r="69" spans="1:6">
      <c r="A69" s="3">
        <v>55</v>
      </c>
      <c r="B69" s="10">
        <f t="shared" si="5"/>
        <v>1.2468798990441297E-7</v>
      </c>
      <c r="C69" s="10">
        <f t="shared" si="1"/>
        <v>0.13901303690075215</v>
      </c>
      <c r="D69" s="3">
        <f t="shared" si="2"/>
        <v>115</v>
      </c>
      <c r="E69" s="10">
        <f t="shared" si="3"/>
        <v>0.94536842084537387</v>
      </c>
      <c r="F69" s="10">
        <f t="shared" si="4"/>
        <v>0.89405785985770647</v>
      </c>
    </row>
    <row r="70" spans="1:6">
      <c r="A70" s="3">
        <v>56</v>
      </c>
      <c r="B70" s="10">
        <f t="shared" si="5"/>
        <v>1.7333256141662772E-8</v>
      </c>
      <c r="C70" s="10">
        <f t="shared" si="1"/>
        <v>0.10884444381899645</v>
      </c>
      <c r="D70" s="3">
        <f t="shared" si="2"/>
        <v>116</v>
      </c>
      <c r="E70" s="10">
        <f t="shared" si="3"/>
        <v>0.94703260732578409</v>
      </c>
      <c r="F70" s="10">
        <f t="shared" si="4"/>
        <v>0.89712324954753053</v>
      </c>
    </row>
    <row r="71" spans="1:6">
      <c r="A71" s="3">
        <v>57</v>
      </c>
      <c r="B71" s="10">
        <f t="shared" si="5"/>
        <v>1.8866286243114889E-9</v>
      </c>
      <c r="C71" s="10">
        <f t="shared" si="1"/>
        <v>8.2676501105682615E-2</v>
      </c>
      <c r="D71" s="3">
        <f t="shared" si="2"/>
        <v>117</v>
      </c>
      <c r="E71" s="10">
        <f t="shared" si="3"/>
        <v>0.94840561345266772</v>
      </c>
      <c r="F71" s="10">
        <f t="shared" si="4"/>
        <v>0.89965847598054971</v>
      </c>
    </row>
    <row r="72" spans="1:6">
      <c r="A72" s="3">
        <v>58</v>
      </c>
      <c r="B72" s="10">
        <f t="shared" si="5"/>
        <v>1.5597985354390129E-10</v>
      </c>
      <c r="C72" s="10">
        <f t="shared" si="1"/>
        <v>6.0694496839102684E-2</v>
      </c>
      <c r="D72" s="3">
        <f t="shared" si="2"/>
        <v>118</v>
      </c>
      <c r="E72" s="10">
        <f t="shared" si="3"/>
        <v>0.9495127899841419</v>
      </c>
      <c r="F72" s="10">
        <f t="shared" si="4"/>
        <v>0.90170689225157175</v>
      </c>
    </row>
    <row r="73" spans="1:6">
      <c r="A73" s="3">
        <v>59</v>
      </c>
      <c r="B73" s="10">
        <f t="shared" si="5"/>
        <v>9.4671187278840159E-12</v>
      </c>
      <c r="C73" s="10">
        <f t="shared" si="1"/>
        <v>4.2881668792499834E-2</v>
      </c>
      <c r="D73" s="3">
        <f t="shared" si="2"/>
        <v>119</v>
      </c>
      <c r="E73" s="10">
        <f t="shared" si="3"/>
        <v>0.95038148969857283</v>
      </c>
      <c r="F73" s="10">
        <f t="shared" si="4"/>
        <v>0.90331658390383862</v>
      </c>
    </row>
    <row r="74" spans="1:6">
      <c r="A74" s="3">
        <v>60</v>
      </c>
      <c r="B74" s="10">
        <f t="shared" si="5"/>
        <v>4.0596584970839471E-13</v>
      </c>
      <c r="C74" s="10">
        <f t="shared" si="1"/>
        <v>2.9019185172639576E-2</v>
      </c>
      <c r="D74" s="3">
        <f t="shared" si="2"/>
        <v>120</v>
      </c>
      <c r="E74" s="10">
        <f t="shared" si="3"/>
        <v>0.95104118203380894</v>
      </c>
      <c r="F74" s="10">
        <f t="shared" si="4"/>
        <v>0.90454041642302219</v>
      </c>
    </row>
    <row r="75" spans="1:6">
      <c r="A75" s="3">
        <v>61</v>
      </c>
      <c r="B75" s="10">
        <f t="shared" si="5"/>
        <v>1.1780798166455875E-14</v>
      </c>
      <c r="C75" s="10">
        <f t="shared" si="1"/>
        <v>1.8709838028203606E-2</v>
      </c>
      <c r="D75" s="3">
        <f t="shared" si="2"/>
        <v>121</v>
      </c>
      <c r="E75" s="10">
        <f t="shared" si="3"/>
        <v>0.95152314387424775</v>
      </c>
      <c r="F75" s="10">
        <f t="shared" si="4"/>
        <v>0.90543528781761495</v>
      </c>
    </row>
    <row r="76" spans="1:6">
      <c r="A76" s="3">
        <v>62</v>
      </c>
      <c r="B76" s="10">
        <f t="shared" si="5"/>
        <v>2.2041682553734742E-16</v>
      </c>
      <c r="C76" s="10">
        <f t="shared" si="1"/>
        <v>1.1424009584977758E-2</v>
      </c>
      <c r="D76" s="3">
        <f t="shared" si="2"/>
        <v>122</v>
      </c>
      <c r="E76" s="10">
        <f t="shared" si="3"/>
        <v>0.95185960826159211</v>
      </c>
      <c r="F76" s="10">
        <f t="shared" si="4"/>
        <v>0.90606037431056474</v>
      </c>
    </row>
    <row r="77" spans="1:6">
      <c r="A77" s="3">
        <v>63</v>
      </c>
      <c r="B77" s="10">
        <f t="shared" si="5"/>
        <v>2.518043927629027E-18</v>
      </c>
      <c r="C77" s="10">
        <f t="shared" si="1"/>
        <v>6.5614512679379273E-3</v>
      </c>
      <c r="D77" s="3">
        <f t="shared" si="2"/>
        <v>123</v>
      </c>
      <c r="E77" s="10">
        <f t="shared" si="3"/>
        <v>0.95208238217446706</v>
      </c>
      <c r="F77" s="10">
        <f t="shared" si="4"/>
        <v>0.90647440247185651</v>
      </c>
    </row>
    <row r="78" spans="1:6">
      <c r="A78" s="3">
        <v>64</v>
      </c>
      <c r="B78" s="10">
        <f t="shared" ref="B78:B84" si="6">(B$8^A78)*(B$7^((B$5^60)*(B$5^A78-1)))</f>
        <v>1.6522022521664878E-20</v>
      </c>
      <c r="C78" s="10">
        <f t="shared" si="1"/>
        <v>3.5181936771553238E-3</v>
      </c>
      <c r="D78" s="3">
        <f t="shared" si="2"/>
        <v>124</v>
      </c>
      <c r="E78" s="10">
        <f t="shared" si="3"/>
        <v>0.95222113157475063</v>
      </c>
      <c r="F78" s="10">
        <f t="shared" si="4"/>
        <v>0.90673232951244609</v>
      </c>
    </row>
    <row r="79" spans="1:6">
      <c r="A79" s="3">
        <v>65</v>
      </c>
      <c r="B79" s="10">
        <f t="shared" si="6"/>
        <v>5.812767516953923E-23</v>
      </c>
      <c r="C79" s="10">
        <f t="shared" ref="C79:C83" si="7">B80/B79</f>
        <v>1.7461246348711441E-3</v>
      </c>
      <c r="D79" s="3">
        <f t="shared" ref="D79:D84" si="8">60+A79</f>
        <v>125</v>
      </c>
      <c r="E79" s="10">
        <f t="shared" ref="E79:E83" si="9">(1-C79+C79*E80)/1.05</f>
        <v>0.9523017031150196</v>
      </c>
      <c r="F79" s="10">
        <f t="shared" ref="F79:F83" si="10">(1-C79+C79*F80)/1.05^2</f>
        <v>0.90688212685521286</v>
      </c>
    </row>
    <row r="80" spans="1:6">
      <c r="A80" s="3">
        <v>66</v>
      </c>
      <c r="B80" s="10">
        <f t="shared" si="6"/>
        <v>1.0149816558132016E-25</v>
      </c>
      <c r="C80" s="10">
        <f t="shared" si="7"/>
        <v>7.9451923688600152E-4</v>
      </c>
      <c r="D80" s="3">
        <f t="shared" si="8"/>
        <v>126</v>
      </c>
      <c r="E80" s="10">
        <f t="shared" si="9"/>
        <v>0.9523449085090443</v>
      </c>
      <c r="F80" s="10">
        <f t="shared" si="10"/>
        <v>0.9069624591031844</v>
      </c>
    </row>
    <row r="81" spans="1:6">
      <c r="A81" s="3">
        <v>67</v>
      </c>
      <c r="B81" s="10">
        <f t="shared" si="6"/>
        <v>8.0642245062999514E-29</v>
      </c>
      <c r="C81" s="10">
        <f t="shared" si="7"/>
        <v>3.278907854173445E-4</v>
      </c>
      <c r="D81" s="3">
        <f t="shared" si="8"/>
        <v>127</v>
      </c>
      <c r="E81" s="10">
        <f t="shared" si="9"/>
        <v>0.95236608033327552</v>
      </c>
      <c r="F81" s="10">
        <f t="shared" si="10"/>
        <v>0.90700182536953011</v>
      </c>
    </row>
    <row r="82" spans="1:6">
      <c r="A82" s="3">
        <v>68</v>
      </c>
      <c r="B82" s="10">
        <f t="shared" si="6"/>
        <v>2.6441849071524883E-32</v>
      </c>
      <c r="C82" s="10">
        <f t="shared" si="7"/>
        <v>1.2125271782102129E-4</v>
      </c>
      <c r="D82" s="3">
        <f t="shared" si="8"/>
        <v>128</v>
      </c>
      <c r="E82" s="10">
        <f t="shared" si="9"/>
        <v>0.95237545318390715</v>
      </c>
      <c r="F82" s="10">
        <f t="shared" si="10"/>
        <v>0.90701925321208221</v>
      </c>
    </row>
    <row r="83" spans="1:6">
      <c r="A83" s="3">
        <v>69</v>
      </c>
      <c r="B83" s="10">
        <f t="shared" si="6"/>
        <v>3.2061460641356404E-36</v>
      </c>
      <c r="C83" s="10">
        <f t="shared" si="7"/>
        <v>3.9635201752055948E-5</v>
      </c>
      <c r="D83" s="3">
        <f t="shared" si="8"/>
        <v>129</v>
      </c>
      <c r="E83" s="10">
        <f t="shared" si="9"/>
        <v>0.95237915486613367</v>
      </c>
      <c r="F83" s="10">
        <f t="shared" si="10"/>
        <v>0.9070261361402463</v>
      </c>
    </row>
    <row r="84" spans="1:6">
      <c r="A84" s="3">
        <v>70</v>
      </c>
      <c r="B84" s="10">
        <f t="shared" si="6"/>
        <v>1.2707624609857623E-40</v>
      </c>
      <c r="C84" s="10">
        <v>0</v>
      </c>
      <c r="D84" s="3">
        <f t="shared" si="8"/>
        <v>130</v>
      </c>
      <c r="E84" s="10">
        <f>1/1.05</f>
        <v>0.95238095238095233</v>
      </c>
      <c r="F84" s="10">
        <f>1/1.05^2</f>
        <v>0.90702947845804982</v>
      </c>
    </row>
    <row r="85" spans="1:6">
      <c r="C85" s="3"/>
      <c r="D85" s="3"/>
      <c r="E85" s="10"/>
      <c r="F85" s="10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zoomScale="125" zoomScaleNormal="125" zoomScalePageLayoutView="125" workbookViewId="0"/>
  </sheetViews>
  <sheetFormatPr baseColWidth="10" defaultRowHeight="12" x14ac:dyDescent="0"/>
  <sheetData>
    <row r="1" spans="1:13" ht="15">
      <c r="A1" s="70" t="s">
        <v>752</v>
      </c>
      <c r="C1" s="3"/>
    </row>
    <row r="2" spans="1:13">
      <c r="C2" s="3"/>
    </row>
    <row r="3" spans="1:13">
      <c r="A3" s="52" t="s">
        <v>9</v>
      </c>
      <c r="B3" s="51">
        <v>2.2000000000000001E-4</v>
      </c>
      <c r="C3" s="3"/>
    </row>
    <row r="4" spans="1:13">
      <c r="A4" s="52" t="s">
        <v>10</v>
      </c>
      <c r="B4" s="51">
        <f>2.7/1000000</f>
        <v>2.7E-6</v>
      </c>
      <c r="C4" s="3"/>
    </row>
    <row r="5" spans="1:13">
      <c r="A5" s="52" t="s">
        <v>24</v>
      </c>
      <c r="B5" s="51">
        <v>1.1240000000000001</v>
      </c>
      <c r="C5" s="3"/>
    </row>
    <row r="6" spans="1:13">
      <c r="A6" s="52" t="s">
        <v>74</v>
      </c>
      <c r="B6" s="61">
        <v>0.05</v>
      </c>
      <c r="C6" s="42"/>
    </row>
    <row r="7" spans="1:13">
      <c r="A7" s="52" t="s">
        <v>82</v>
      </c>
      <c r="B7" s="51">
        <v>50</v>
      </c>
      <c r="C7" s="42"/>
    </row>
    <row r="8" spans="1:13">
      <c r="A8" s="9" t="s">
        <v>25</v>
      </c>
      <c r="B8" s="18">
        <f>EXP(-B4/LN(B5))</f>
        <v>0.99997690236831238</v>
      </c>
      <c r="C8" s="3"/>
    </row>
    <row r="9" spans="1:13">
      <c r="A9" s="9" t="s">
        <v>27</v>
      </c>
      <c r="B9" s="18">
        <f>EXP(-B3)</f>
        <v>0.99978002419822543</v>
      </c>
      <c r="C9" s="3"/>
    </row>
    <row r="10" spans="1:13">
      <c r="C10" s="3"/>
    </row>
    <row r="11" spans="1:13">
      <c r="A11" s="11" t="s">
        <v>1</v>
      </c>
      <c r="C11" s="3" t="s">
        <v>75</v>
      </c>
      <c r="H11" s="1" t="s">
        <v>2</v>
      </c>
      <c r="J11" s="3" t="s">
        <v>75</v>
      </c>
    </row>
    <row r="12" spans="1:13">
      <c r="A12" s="3" t="s">
        <v>0</v>
      </c>
      <c r="B12" s="7" t="s">
        <v>32</v>
      </c>
      <c r="C12" s="3" t="s">
        <v>76</v>
      </c>
      <c r="D12" s="3" t="s">
        <v>43</v>
      </c>
      <c r="E12" s="3" t="s">
        <v>40</v>
      </c>
      <c r="F12" s="3" t="s">
        <v>41</v>
      </c>
      <c r="H12" s="3" t="s">
        <v>0</v>
      </c>
      <c r="I12" s="7" t="s">
        <v>32</v>
      </c>
      <c r="J12" s="3" t="s">
        <v>76</v>
      </c>
      <c r="K12" s="3" t="s">
        <v>43</v>
      </c>
      <c r="L12" s="3" t="s">
        <v>40</v>
      </c>
      <c r="M12" s="3" t="s">
        <v>41</v>
      </c>
    </row>
    <row r="13" spans="1:13">
      <c r="A13" s="3">
        <v>0</v>
      </c>
      <c r="B13" s="10">
        <f t="shared" ref="B13:B23" si="0">(B$9^A13)*(B$8^((B$5^50)*(B$5^A13-1)))</f>
        <v>1</v>
      </c>
      <c r="C13" s="3">
        <v>1</v>
      </c>
      <c r="D13" s="10">
        <f>(B13-B14)</f>
        <v>1.2085274681187252E-3</v>
      </c>
      <c r="E13" s="19">
        <f>C13*D13</f>
        <v>1.2085274681187252E-3</v>
      </c>
      <c r="F13" s="19">
        <f>E13*C13</f>
        <v>1.2085274681187252E-3</v>
      </c>
      <c r="H13" s="3">
        <v>0</v>
      </c>
      <c r="I13" s="10">
        <v>1</v>
      </c>
      <c r="J13" s="3">
        <v>1</v>
      </c>
      <c r="K13">
        <v>1.2085274681187252E-3</v>
      </c>
      <c r="L13" s="19">
        <f>J13*K13</f>
        <v>1.2085274681187252E-3</v>
      </c>
      <c r="M13" s="19">
        <f>L13*J13</f>
        <v>1.2085274681187252E-3</v>
      </c>
    </row>
    <row r="14" spans="1:13">
      <c r="A14" s="3">
        <v>1</v>
      </c>
      <c r="B14" s="10">
        <f t="shared" si="0"/>
        <v>0.99879147253188127</v>
      </c>
      <c r="C14" s="5">
        <f>C13+A15/1.05^A14</f>
        <v>2.9047619047619047</v>
      </c>
      <c r="D14" s="10">
        <f t="shared" ref="D14:D21" si="1">(B14-B15)</f>
        <v>1.3294311404897785E-3</v>
      </c>
      <c r="E14" s="19">
        <f t="shared" ref="E14:E22" si="2">C14*D14</f>
        <v>3.8616809318988803E-3</v>
      </c>
      <c r="F14" s="19">
        <f t="shared" ref="F14:F22" si="3">E14*C14</f>
        <v>1.1217263659325318E-2</v>
      </c>
      <c r="H14" s="3">
        <v>1</v>
      </c>
      <c r="I14" s="10">
        <v>0.99879147253188127</v>
      </c>
      <c r="J14" s="5">
        <f>J13+(1.03^H14)/(1.05^H14)</f>
        <v>1.980952380952381</v>
      </c>
      <c r="K14">
        <v>1.3294311404897785E-3</v>
      </c>
      <c r="L14" s="19">
        <f t="shared" ref="L14:L22" si="4">J14*K14</f>
        <v>2.633539783065466E-3</v>
      </c>
      <c r="M14" s="19">
        <f t="shared" ref="M14:M22" si="5">L14*J14</f>
        <v>5.2169169035963516E-3</v>
      </c>
    </row>
    <row r="15" spans="1:13">
      <c r="A15" s="3">
        <v>2</v>
      </c>
      <c r="B15" s="10">
        <f t="shared" si="0"/>
        <v>0.9974620413913915</v>
      </c>
      <c r="C15" s="5">
        <f t="shared" ref="C15:C22" si="6">C14+A16/1.05^A15</f>
        <v>5.6258503401360542</v>
      </c>
      <c r="D15" s="10">
        <f t="shared" si="1"/>
        <v>1.4649980278494956E-3</v>
      </c>
      <c r="E15" s="19">
        <f t="shared" si="2"/>
        <v>8.2418596532757328E-3</v>
      </c>
      <c r="F15" s="19">
        <f t="shared" si="3"/>
        <v>4.6367468933734904E-2</v>
      </c>
      <c r="H15" s="3">
        <v>2</v>
      </c>
      <c r="I15" s="10">
        <v>0.9974620413913915</v>
      </c>
      <c r="J15" s="5">
        <f t="shared" ref="J15:J22" si="7">J14+(1.03^H15)/(1.05^H15)</f>
        <v>2.943219954648526</v>
      </c>
      <c r="K15">
        <v>1.4649980278494956E-3</v>
      </c>
      <c r="L15" s="19">
        <f t="shared" si="4"/>
        <v>4.3118114290873729E-3</v>
      </c>
      <c r="M15" s="19">
        <f t="shared" si="5"/>
        <v>1.2690609438771533E-2</v>
      </c>
    </row>
    <row r="16" spans="1:13">
      <c r="A16" s="3">
        <v>3</v>
      </c>
      <c r="B16" s="10">
        <f t="shared" si="0"/>
        <v>0.995997043363542</v>
      </c>
      <c r="C16" s="5">
        <f t="shared" si="6"/>
        <v>9.0812007342619587</v>
      </c>
      <c r="D16" s="10">
        <f t="shared" si="1"/>
        <v>1.6169631859820344E-3</v>
      </c>
      <c r="E16" s="19">
        <f t="shared" si="2"/>
        <v>1.4683967271814606E-2</v>
      </c>
      <c r="F16" s="19">
        <f t="shared" si="3"/>
        <v>0.13334805437068137</v>
      </c>
      <c r="H16" s="3">
        <v>3</v>
      </c>
      <c r="I16" s="10">
        <v>0.995997043363542</v>
      </c>
      <c r="J16" s="5">
        <f t="shared" si="7"/>
        <v>3.8871586221790304</v>
      </c>
      <c r="K16">
        <v>1.6169631859820344E-3</v>
      </c>
      <c r="L16" s="19">
        <f t="shared" si="4"/>
        <v>6.2853923901361403E-3</v>
      </c>
      <c r="M16" s="19">
        <f t="shared" si="5"/>
        <v>2.4432317223096162E-2</v>
      </c>
    </row>
    <row r="17" spans="1:13">
      <c r="A17" s="3">
        <v>4</v>
      </c>
      <c r="B17" s="10">
        <f t="shared" si="0"/>
        <v>0.99438008017755997</v>
      </c>
      <c r="C17" s="5">
        <f t="shared" si="6"/>
        <v>13.194713108221368</v>
      </c>
      <c r="D17" s="10">
        <f t="shared" si="1"/>
        <v>1.7872557443473491E-3</v>
      </c>
      <c r="E17" s="19">
        <f t="shared" si="2"/>
        <v>2.3582326797683906E-2</v>
      </c>
      <c r="F17" s="19">
        <f t="shared" si="3"/>
        <v>0.31116203651975988</v>
      </c>
      <c r="H17" s="3">
        <v>4</v>
      </c>
      <c r="I17" s="10">
        <v>0.99438008017755997</v>
      </c>
      <c r="J17" s="5">
        <f t="shared" si="7"/>
        <v>4.8131175055660966</v>
      </c>
      <c r="K17">
        <v>1.7872557443473491E-3</v>
      </c>
      <c r="L17" s="19">
        <f t="shared" si="4"/>
        <v>8.6022719100417901E-3</v>
      </c>
      <c r="M17" s="19">
        <f t="shared" si="5"/>
        <v>4.1403745517861641E-2</v>
      </c>
    </row>
    <row r="18" spans="1:13">
      <c r="A18" s="3">
        <v>5</v>
      </c>
      <c r="B18" s="10">
        <f t="shared" si="0"/>
        <v>0.99259282443321262</v>
      </c>
      <c r="C18" s="5">
        <f t="shared" si="6"/>
        <v>17.89587010703212</v>
      </c>
      <c r="D18" s="10">
        <f t="shared" si="1"/>
        <v>1.9780176111670045E-3</v>
      </c>
      <c r="E18" s="19">
        <f t="shared" si="2"/>
        <v>3.5398346238866681E-2</v>
      </c>
      <c r="F18" s="19">
        <f t="shared" si="3"/>
        <v>0.63348420629450708</v>
      </c>
      <c r="H18" s="3">
        <v>5</v>
      </c>
      <c r="I18" s="10">
        <v>0.99259282443321262</v>
      </c>
      <c r="J18" s="5">
        <f t="shared" si="7"/>
        <v>5.7214390768886467</v>
      </c>
      <c r="K18">
        <v>1.9780176111670045E-3</v>
      </c>
      <c r="L18" s="19">
        <f t="shared" si="4"/>
        <v>1.1317107255304833E-2</v>
      </c>
      <c r="M18" s="19">
        <f t="shared" si="5"/>
        <v>6.4750139687841088E-2</v>
      </c>
    </row>
    <row r="19" spans="1:13">
      <c r="A19" s="3">
        <v>6</v>
      </c>
      <c r="B19" s="10">
        <f t="shared" si="0"/>
        <v>0.99061480682204561</v>
      </c>
      <c r="C19" s="5">
        <f t="shared" si="6"/>
        <v>23.119377883488514</v>
      </c>
      <c r="D19" s="10">
        <f t="shared" si="1"/>
        <v>2.1916231452572266E-3</v>
      </c>
      <c r="E19" s="19">
        <f t="shared" si="2"/>
        <v>5.0668963673401457E-2</v>
      </c>
      <c r="F19" s="19">
        <f t="shared" si="3"/>
        <v>1.1714349181301207</v>
      </c>
      <c r="H19" s="3">
        <v>6</v>
      </c>
      <c r="I19" s="10">
        <v>0.99061480682204561</v>
      </c>
      <c r="J19" s="5">
        <f t="shared" si="7"/>
        <v>6.6124592849479109</v>
      </c>
      <c r="K19">
        <v>2.1916231452572266E-3</v>
      </c>
      <c r="L19" s="19">
        <f t="shared" si="4"/>
        <v>1.4492018815962892E-2</v>
      </c>
      <c r="M19" s="19">
        <f t="shared" si="5"/>
        <v>9.5827884377253647E-2</v>
      </c>
    </row>
    <row r="20" spans="1:13">
      <c r="A20" s="3">
        <v>7</v>
      </c>
      <c r="B20" s="10">
        <f t="shared" si="0"/>
        <v>0.98842318367678839</v>
      </c>
      <c r="C20" s="5">
        <f t="shared" si="6"/>
        <v>28.804828524529487</v>
      </c>
      <c r="D20" s="10">
        <f t="shared" si="1"/>
        <v>2.4306995800239539E-3</v>
      </c>
      <c r="E20" s="19">
        <f t="shared" si="2"/>
        <v>7.0015884597235831E-2</v>
      </c>
      <c r="F20" s="19">
        <f t="shared" si="3"/>
        <v>2.0167955498166235</v>
      </c>
      <c r="H20" s="3">
        <v>7</v>
      </c>
      <c r="I20" s="10">
        <v>0.98842318367678839</v>
      </c>
      <c r="J20" s="5">
        <f t="shared" si="7"/>
        <v>7.4865076795203311</v>
      </c>
      <c r="K20">
        <v>2.4306995800239539E-3</v>
      </c>
      <c r="L20" s="19">
        <f t="shared" si="4"/>
        <v>1.8197451072456176E-2</v>
      </c>
      <c r="M20" s="19">
        <f t="shared" si="5"/>
        <v>0.13623535720163865</v>
      </c>
    </row>
    <row r="21" spans="1:13">
      <c r="A21" s="3">
        <v>8</v>
      </c>
      <c r="B21" s="10">
        <f t="shared" si="0"/>
        <v>0.98599248409676443</v>
      </c>
      <c r="C21" s="5">
        <f t="shared" si="6"/>
        <v>34.896382782787668</v>
      </c>
      <c r="D21" s="10">
        <f t="shared" si="1"/>
        <v>2.6981478789266378E-3</v>
      </c>
      <c r="E21" s="19">
        <f t="shared" si="2"/>
        <v>9.4155601187590587E-2</v>
      </c>
      <c r="F21" s="19">
        <f t="shared" si="3"/>
        <v>3.2856899001856585</v>
      </c>
      <c r="H21" s="3">
        <v>8</v>
      </c>
      <c r="I21" s="10">
        <v>0.98599248409676443</v>
      </c>
      <c r="J21" s="5">
        <f t="shared" si="7"/>
        <v>8.3439075332437529</v>
      </c>
      <c r="K21">
        <v>2.6981478789266378E-3</v>
      </c>
      <c r="L21" s="19">
        <f t="shared" si="4"/>
        <v>2.2513096412781625E-2</v>
      </c>
      <c r="M21" s="19">
        <f t="shared" si="5"/>
        <v>0.1878471947552515</v>
      </c>
    </row>
    <row r="22" spans="1:13">
      <c r="A22" s="3">
        <v>9</v>
      </c>
      <c r="B22" s="10">
        <f t="shared" si="0"/>
        <v>0.98329433621783779</v>
      </c>
      <c r="C22" s="5">
        <f t="shared" si="6"/>
        <v>41.342471944965638</v>
      </c>
      <c r="D22" s="10">
        <f>B22</f>
        <v>0.98329433621783779</v>
      </c>
      <c r="E22" s="19">
        <f t="shared" si="2"/>
        <v>40.651818508729569</v>
      </c>
      <c r="F22" s="19">
        <f t="shared" si="3"/>
        <v>1680.646666208987</v>
      </c>
      <c r="H22" s="3">
        <v>9</v>
      </c>
      <c r="I22" s="10">
        <v>0.98329433621783779</v>
      </c>
      <c r="J22" s="5">
        <f t="shared" si="7"/>
        <v>9.1849759611819675</v>
      </c>
      <c r="K22">
        <v>0.98329433621783779</v>
      </c>
      <c r="L22" s="19">
        <f t="shared" si="4"/>
        <v>9.03153484092722</v>
      </c>
      <c r="M22" s="19">
        <f t="shared" si="5"/>
        <v>82.954430406493927</v>
      </c>
    </row>
    <row r="23" spans="1:13">
      <c r="A23" s="3">
        <v>10</v>
      </c>
      <c r="B23" s="10">
        <f t="shared" si="0"/>
        <v>0.98029717265288485</v>
      </c>
      <c r="C23" s="3"/>
      <c r="D23" s="76" t="s">
        <v>156</v>
      </c>
      <c r="E23" s="57">
        <f>SUM(E13:E22)</f>
        <v>40.953635666549452</v>
      </c>
      <c r="F23" s="19">
        <f>SUM(F13:F22)</f>
        <v>1688.2573741343656</v>
      </c>
      <c r="H23" s="3">
        <v>10</v>
      </c>
      <c r="I23" s="10">
        <v>0.98029717265288485</v>
      </c>
      <c r="K23" s="76" t="s">
        <v>156</v>
      </c>
      <c r="L23" s="49">
        <f>SUM(L13:L22)</f>
        <v>9.1210960574641753</v>
      </c>
      <c r="M23" s="19">
        <f>SUM(M13:M22)</f>
        <v>83.524043099067356</v>
      </c>
    </row>
    <row r="24" spans="1:13">
      <c r="A24" s="3"/>
      <c r="B24" s="10"/>
      <c r="C24" s="3"/>
    </row>
    <row r="25" spans="1:13">
      <c r="C25" s="3"/>
      <c r="E25" s="48" t="s">
        <v>77</v>
      </c>
      <c r="F25" s="49">
        <f>F23-E23^2</f>
        <v>11.057099825894284</v>
      </c>
      <c r="L25" s="48" t="s">
        <v>77</v>
      </c>
      <c r="M25" s="55">
        <f>M23-L23^2</f>
        <v>0.32964980957883938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"/>
  <sheetViews>
    <sheetView zoomScale="125" zoomScaleNormal="125" zoomScalePageLayoutView="125" workbookViewId="0"/>
  </sheetViews>
  <sheetFormatPr baseColWidth="10" defaultRowHeight="12" x14ac:dyDescent="0"/>
  <sheetData>
    <row r="1" spans="1:13" ht="15">
      <c r="A1" s="70" t="s">
        <v>751</v>
      </c>
      <c r="H1" s="3"/>
      <c r="I1" s="10"/>
      <c r="J1" s="19"/>
      <c r="K1" s="10"/>
    </row>
    <row r="2" spans="1:13">
      <c r="H2" s="3"/>
      <c r="I2" s="10"/>
      <c r="J2" s="19"/>
      <c r="K2" s="10"/>
    </row>
    <row r="3" spans="1:13">
      <c r="A3" s="52" t="s">
        <v>9</v>
      </c>
      <c r="B3" s="51">
        <v>2.2000000000000001E-4</v>
      </c>
      <c r="H3" s="3"/>
      <c r="I3" s="10"/>
      <c r="J3" s="19"/>
      <c r="K3" s="10"/>
    </row>
    <row r="4" spans="1:13">
      <c r="A4" s="52" t="s">
        <v>10</v>
      </c>
      <c r="B4" s="51">
        <f>2.7/1000000</f>
        <v>2.7E-6</v>
      </c>
      <c r="H4" s="3"/>
      <c r="I4" s="10"/>
      <c r="J4" s="19"/>
      <c r="K4" s="10"/>
    </row>
    <row r="5" spans="1:13">
      <c r="A5" s="52" t="s">
        <v>24</v>
      </c>
      <c r="B5" s="51">
        <v>1.1240000000000001</v>
      </c>
      <c r="H5" s="3"/>
      <c r="I5" s="10"/>
      <c r="J5" s="19"/>
      <c r="K5" s="10"/>
    </row>
    <row r="6" spans="1:13">
      <c r="A6" s="52" t="s">
        <v>74</v>
      </c>
      <c r="B6" s="61">
        <v>0.05</v>
      </c>
      <c r="H6" s="42"/>
      <c r="I6" s="10"/>
      <c r="J6" s="19"/>
      <c r="K6" s="10"/>
    </row>
    <row r="7" spans="1:13">
      <c r="A7" s="52" t="s">
        <v>82</v>
      </c>
      <c r="B7" s="51">
        <v>65</v>
      </c>
      <c r="H7" s="42"/>
      <c r="I7" s="10"/>
      <c r="J7" s="19"/>
      <c r="K7" s="10"/>
    </row>
    <row r="8" spans="1:13">
      <c r="A8" s="53" t="s">
        <v>25</v>
      </c>
      <c r="B8" s="77">
        <f>EXP(-B4/LN(B5))</f>
        <v>0.99997690236831238</v>
      </c>
      <c r="H8" s="3"/>
      <c r="I8" s="10"/>
      <c r="J8" s="19"/>
      <c r="K8" s="10"/>
    </row>
    <row r="9" spans="1:13">
      <c r="A9" s="53" t="s">
        <v>27</v>
      </c>
      <c r="B9" s="77">
        <f>EXP(-B3)</f>
        <v>0.99978002419822543</v>
      </c>
      <c r="H9" s="3"/>
      <c r="I9" s="10"/>
      <c r="J9" s="19"/>
      <c r="K9" s="10"/>
    </row>
    <row r="10" spans="1:13">
      <c r="H10" s="3"/>
      <c r="I10" s="10"/>
      <c r="J10" s="19"/>
      <c r="K10" s="10"/>
    </row>
    <row r="11" spans="1:13">
      <c r="A11" s="11" t="s">
        <v>1</v>
      </c>
      <c r="C11" s="3" t="s">
        <v>75</v>
      </c>
      <c r="H11" s="23" t="s">
        <v>2</v>
      </c>
      <c r="I11" s="10"/>
      <c r="J11" s="19" t="s">
        <v>75</v>
      </c>
      <c r="K11" s="10"/>
    </row>
    <row r="12" spans="1:13">
      <c r="A12" s="3" t="s">
        <v>0</v>
      </c>
      <c r="B12" s="7" t="s">
        <v>79</v>
      </c>
      <c r="C12" s="3" t="s">
        <v>76</v>
      </c>
      <c r="D12" s="3" t="s">
        <v>43</v>
      </c>
      <c r="E12" s="3" t="s">
        <v>40</v>
      </c>
      <c r="F12" s="3" t="s">
        <v>41</v>
      </c>
      <c r="H12" s="3" t="s">
        <v>0</v>
      </c>
      <c r="I12" s="7" t="s">
        <v>79</v>
      </c>
      <c r="J12" s="19" t="s">
        <v>76</v>
      </c>
      <c r="K12" s="3" t="s">
        <v>43</v>
      </c>
      <c r="L12" s="3" t="s">
        <v>40</v>
      </c>
      <c r="M12" s="3" t="s">
        <v>41</v>
      </c>
    </row>
    <row r="13" spans="1:13">
      <c r="A13" s="3">
        <v>0</v>
      </c>
      <c r="B13" s="10">
        <f>(B$9^A13)*(B$8^((B$5^$B$7)*(B$5^A13-1)))</f>
        <v>1</v>
      </c>
      <c r="C13" s="3">
        <v>1</v>
      </c>
      <c r="D13" s="10">
        <f>B13-B14</f>
        <v>5.9146520295451088E-3</v>
      </c>
      <c r="E13" s="10">
        <f>C13*D13</f>
        <v>5.9146520295451088E-3</v>
      </c>
      <c r="F13" s="10">
        <f>E13*C13</f>
        <v>5.9146520295451088E-3</v>
      </c>
      <c r="H13" s="3">
        <v>0</v>
      </c>
      <c r="I13" s="10">
        <v>1</v>
      </c>
      <c r="J13" s="19">
        <f>C$22</f>
        <v>8.1078216756440522</v>
      </c>
      <c r="K13" s="10">
        <v>5.9146520295451088E-3</v>
      </c>
      <c r="L13" s="10">
        <f>J13*K13</f>
        <v>4.7954943929037916E-2</v>
      </c>
      <c r="M13" s="10">
        <f>L13*J13</f>
        <v>0.38881013384214874</v>
      </c>
    </row>
    <row r="14" spans="1:13">
      <c r="A14" s="3">
        <v>1</v>
      </c>
      <c r="B14" s="10">
        <f t="shared" ref="B14:B77" si="0">(B$9^A14)*(B$8^((B$5^$B$7)*(B$5^A14-1)))</f>
        <v>0.99408534797045489</v>
      </c>
      <c r="C14" s="19">
        <f>C13+(1+B$6)^-A14</f>
        <v>1.9523809523809523</v>
      </c>
      <c r="D14" s="10">
        <f t="shared" ref="D14:D77" si="1">B14-B15</f>
        <v>6.5793813910631771E-3</v>
      </c>
      <c r="E14" s="10">
        <f t="shared" ref="E14:E77" si="2">C14*D14</f>
        <v>1.2845458906361441E-2</v>
      </c>
      <c r="F14" s="10">
        <f t="shared" ref="F14:F77" si="3">E14*C14</f>
        <v>2.5079229293372338E-2</v>
      </c>
      <c r="H14" s="3">
        <v>1</v>
      </c>
      <c r="I14" s="10">
        <v>0.99408534797045489</v>
      </c>
      <c r="J14" s="19">
        <f t="shared" ref="J14:J22" si="4">C$22</f>
        <v>8.1078216756440522</v>
      </c>
      <c r="K14" s="10">
        <v>6.5793813910631771E-3</v>
      </c>
      <c r="L14" s="10">
        <f t="shared" ref="L14:L77" si="5">J14*K14</f>
        <v>5.3344451054791145E-2</v>
      </c>
      <c r="M14" s="10">
        <f t="shared" ref="M14:M77" si="6">L14*J14</f>
        <v>0.43250729653736886</v>
      </c>
    </row>
    <row r="15" spans="1:13">
      <c r="A15" s="3">
        <v>2</v>
      </c>
      <c r="B15" s="10">
        <f t="shared" si="0"/>
        <v>0.98750596657939171</v>
      </c>
      <c r="C15" s="19">
        <f t="shared" ref="C15:C78" si="7">C14+(1+B$6)^-A15</f>
        <v>2.8594104308390023</v>
      </c>
      <c r="D15" s="10">
        <f t="shared" si="1"/>
        <v>7.3165196005956501E-3</v>
      </c>
      <c r="E15" s="10">
        <f t="shared" si="2"/>
        <v>2.0920932463381212E-2</v>
      </c>
      <c r="F15" s="10">
        <f t="shared" si="3"/>
        <v>5.982153250867054E-2</v>
      </c>
      <c r="H15" s="3">
        <v>2</v>
      </c>
      <c r="I15" s="10">
        <v>0.98750596657939171</v>
      </c>
      <c r="J15" s="19">
        <f t="shared" si="4"/>
        <v>8.1078216756440522</v>
      </c>
      <c r="K15" s="10">
        <v>7.3165196005956501E-3</v>
      </c>
      <c r="L15" s="10">
        <f t="shared" si="5"/>
        <v>5.9321036207983978E-2</v>
      </c>
      <c r="M15" s="10">
        <f t="shared" si="6"/>
        <v>0.48096438318875817</v>
      </c>
    </row>
    <row r="16" spans="1:13">
      <c r="A16" s="3">
        <v>3</v>
      </c>
      <c r="B16" s="10">
        <f t="shared" si="0"/>
        <v>0.98018944697879606</v>
      </c>
      <c r="C16" s="19">
        <f t="shared" si="7"/>
        <v>3.7232480293704784</v>
      </c>
      <c r="D16" s="10">
        <f t="shared" si="1"/>
        <v>8.1325622012986543E-3</v>
      </c>
      <c r="E16" s="10">
        <f t="shared" si="2"/>
        <v>3.0279546189718055E-2</v>
      </c>
      <c r="F16" s="10">
        <f t="shared" si="3"/>
        <v>0.11273826068110013</v>
      </c>
      <c r="H16" s="3">
        <v>3</v>
      </c>
      <c r="I16" s="10">
        <v>0.98018944697879606</v>
      </c>
      <c r="J16" s="19">
        <f t="shared" si="4"/>
        <v>8.1078216756440522</v>
      </c>
      <c r="K16" s="10">
        <v>8.1325622012986543E-3</v>
      </c>
      <c r="L16" s="10">
        <f t="shared" si="5"/>
        <v>6.5937364094212733E-2</v>
      </c>
      <c r="M16" s="10">
        <f t="shared" si="6"/>
        <v>0.53460838983789183</v>
      </c>
    </row>
    <row r="17" spans="1:13">
      <c r="A17" s="3">
        <v>4</v>
      </c>
      <c r="B17" s="10">
        <f t="shared" si="0"/>
        <v>0.97205688477749741</v>
      </c>
      <c r="C17" s="19">
        <f t="shared" si="7"/>
        <v>4.5459505041623602</v>
      </c>
      <c r="D17" s="10">
        <f t="shared" si="1"/>
        <v>9.0342122414215353E-3</v>
      </c>
      <c r="E17" s="10">
        <f t="shared" si="2"/>
        <v>4.1069081693599997E-2</v>
      </c>
      <c r="F17" s="10">
        <f t="shared" si="3"/>
        <v>0.18669801263050606</v>
      </c>
      <c r="H17" s="3">
        <v>4</v>
      </c>
      <c r="I17" s="10">
        <v>0.97205688477749741</v>
      </c>
      <c r="J17" s="19">
        <f t="shared" si="4"/>
        <v>8.1078216756440522</v>
      </c>
      <c r="K17" s="10">
        <v>9.0342122414215353E-3</v>
      </c>
      <c r="L17" s="10">
        <f t="shared" si="5"/>
        <v>7.324778183336636E-2</v>
      </c>
      <c r="M17" s="10">
        <f t="shared" si="6"/>
        <v>0.5938799532414144</v>
      </c>
    </row>
    <row r="18" spans="1:13">
      <c r="A18" s="3">
        <v>5</v>
      </c>
      <c r="B18" s="10">
        <f t="shared" si="0"/>
        <v>0.96302267253607587</v>
      </c>
      <c r="C18" s="19">
        <f t="shared" si="7"/>
        <v>5.329476670630819</v>
      </c>
      <c r="D18" s="10">
        <f t="shared" si="1"/>
        <v>1.0028269962025882E-2</v>
      </c>
      <c r="E18" s="10">
        <f t="shared" si="2"/>
        <v>5.3445430809404747E-2</v>
      </c>
      <c r="F18" s="10">
        <f t="shared" si="3"/>
        <v>0.28483617665053623</v>
      </c>
      <c r="H18" s="3">
        <v>5</v>
      </c>
      <c r="I18" s="10">
        <v>0.96302267253607587</v>
      </c>
      <c r="J18" s="19">
        <f t="shared" si="4"/>
        <v>8.1078216756440522</v>
      </c>
      <c r="K18" s="10">
        <v>1.0028269962025882E-2</v>
      </c>
      <c r="L18" s="10">
        <f t="shared" si="5"/>
        <v>8.1307424567323608E-2</v>
      </c>
      <c r="M18" s="10">
        <f t="shared" si="6"/>
        <v>0.65922609929774012</v>
      </c>
    </row>
    <row r="19" spans="1:13">
      <c r="A19" s="3">
        <v>6</v>
      </c>
      <c r="B19" s="10">
        <f t="shared" si="0"/>
        <v>0.95299440257404999</v>
      </c>
      <c r="C19" s="19">
        <f t="shared" si="7"/>
        <v>6.0756920672674468</v>
      </c>
      <c r="D19" s="10">
        <f t="shared" si="1"/>
        <v>1.1121481233173691E-2</v>
      </c>
      <c r="E19" s="10">
        <f t="shared" si="2"/>
        <v>6.7570695304657175E-2</v>
      </c>
      <c r="F19" s="10">
        <f t="shared" si="3"/>
        <v>0.41053873744225133</v>
      </c>
      <c r="H19" s="3">
        <v>6</v>
      </c>
      <c r="I19" s="10">
        <v>0.95299440257404999</v>
      </c>
      <c r="J19" s="19">
        <f t="shared" si="4"/>
        <v>8.1078216756440522</v>
      </c>
      <c r="K19" s="10">
        <v>1.1121481233173691E-2</v>
      </c>
      <c r="L19" s="10">
        <f t="shared" si="5"/>
        <v>9.0170986607594192E-2</v>
      </c>
      <c r="M19" s="10">
        <f t="shared" si="6"/>
        <v>0.73109027973126173</v>
      </c>
    </row>
    <row r="20" spans="1:13">
      <c r="A20" s="3">
        <v>7</v>
      </c>
      <c r="B20" s="10">
        <f t="shared" si="0"/>
        <v>0.9418729213408763</v>
      </c>
      <c r="C20" s="19">
        <f t="shared" si="7"/>
        <v>6.7863733973975684</v>
      </c>
      <c r="D20" s="10">
        <f t="shared" si="1"/>
        <v>1.2320335467315924E-2</v>
      </c>
      <c r="E20" s="10">
        <f t="shared" si="2"/>
        <v>8.3610396862406525E-2</v>
      </c>
      <c r="F20" s="10">
        <f t="shared" si="3"/>
        <v>0.5674113730128888</v>
      </c>
      <c r="H20" s="3">
        <v>7</v>
      </c>
      <c r="I20" s="10">
        <v>0.9418729213408763</v>
      </c>
      <c r="J20" s="19">
        <f t="shared" si="4"/>
        <v>8.1078216756440522</v>
      </c>
      <c r="K20" s="10">
        <v>1.2320335467315924E-2</v>
      </c>
      <c r="L20" s="10">
        <f t="shared" si="5"/>
        <v>9.9891082953110236E-2</v>
      </c>
      <c r="M20" s="10">
        <f t="shared" si="6"/>
        <v>0.80989908757078521</v>
      </c>
    </row>
    <row r="21" spans="1:13">
      <c r="A21" s="3">
        <v>8</v>
      </c>
      <c r="B21" s="10">
        <f t="shared" si="0"/>
        <v>0.92955258587356038</v>
      </c>
      <c r="C21" s="19">
        <f t="shared" si="7"/>
        <v>7.4632127594262556</v>
      </c>
      <c r="D21" s="10">
        <f t="shared" si="1"/>
        <v>1.3630802605752668E-2</v>
      </c>
      <c r="E21" s="10">
        <f t="shared" si="2"/>
        <v>0.10172957992847396</v>
      </c>
      <c r="F21" s="10">
        <f t="shared" si="3"/>
        <v>0.75922949893325997</v>
      </c>
      <c r="H21" s="3">
        <v>8</v>
      </c>
      <c r="I21" s="10">
        <v>0.92955258587356038</v>
      </c>
      <c r="J21" s="19">
        <f t="shared" si="4"/>
        <v>8.1078216756440522</v>
      </c>
      <c r="K21" s="10">
        <v>1.3630802605752668E-2</v>
      </c>
      <c r="L21" s="10">
        <f t="shared" si="5"/>
        <v>0.1105161168233469</v>
      </c>
      <c r="M21" s="10">
        <f t="shared" si="6"/>
        <v>0.89604496748834228</v>
      </c>
    </row>
    <row r="22" spans="1:13">
      <c r="A22" s="3">
        <v>9</v>
      </c>
      <c r="B22" s="10">
        <f t="shared" si="0"/>
        <v>0.91592178326780771</v>
      </c>
      <c r="C22" s="19">
        <f t="shared" si="7"/>
        <v>8.1078216756440522</v>
      </c>
      <c r="D22" s="10">
        <f t="shared" si="1"/>
        <v>1.5057997868156425E-2</v>
      </c>
      <c r="E22" s="10">
        <f t="shared" si="2"/>
        <v>0.12208756150724059</v>
      </c>
      <c r="F22" s="10">
        <f t="shared" si="3"/>
        <v>0.98986417751493172</v>
      </c>
      <c r="H22" s="3">
        <v>9</v>
      </c>
      <c r="I22" s="10">
        <v>0.91592178326780771</v>
      </c>
      <c r="J22" s="19">
        <f t="shared" si="4"/>
        <v>8.1078216756440522</v>
      </c>
      <c r="K22" s="10">
        <v>1.5057997868156425E-2</v>
      </c>
      <c r="L22" s="10">
        <f t="shared" si="5"/>
        <v>0.12208756150724059</v>
      </c>
      <c r="M22" s="10">
        <f t="shared" si="6"/>
        <v>0.98986417751493172</v>
      </c>
    </row>
    <row r="23" spans="1:13">
      <c r="A23" s="3">
        <v>10</v>
      </c>
      <c r="B23" s="10">
        <f t="shared" si="0"/>
        <v>0.90086378539965128</v>
      </c>
      <c r="C23" s="19">
        <f t="shared" si="7"/>
        <v>8.7217349291848123</v>
      </c>
      <c r="D23" s="10">
        <f t="shared" si="1"/>
        <v>1.6605762499362742E-2</v>
      </c>
      <c r="E23" s="10">
        <f t="shared" si="2"/>
        <v>0.14483105881643932</v>
      </c>
      <c r="F23" s="10">
        <f t="shared" si="3"/>
        <v>1.2631781045101587</v>
      </c>
      <c r="H23" s="3">
        <v>10</v>
      </c>
      <c r="I23" s="10">
        <v>0.90086378539965128</v>
      </c>
      <c r="J23" s="19">
        <v>8.7217349291848123</v>
      </c>
      <c r="K23" s="10">
        <v>1.6605762499362742E-2</v>
      </c>
      <c r="L23" s="10">
        <f t="shared" si="5"/>
        <v>0.14483105881643932</v>
      </c>
      <c r="M23" s="10">
        <f t="shared" si="6"/>
        <v>1.2631781045101587</v>
      </c>
    </row>
    <row r="24" spans="1:13">
      <c r="A24" s="3">
        <v>11</v>
      </c>
      <c r="B24" s="10">
        <f t="shared" si="0"/>
        <v>0.88425802290028854</v>
      </c>
      <c r="C24" s="19">
        <f t="shared" si="7"/>
        <v>9.3064142182712501</v>
      </c>
      <c r="D24" s="10">
        <f t="shared" si="1"/>
        <v>1.8276149058221391E-2</v>
      </c>
      <c r="E24" s="10">
        <f t="shared" si="2"/>
        <v>0.17008541345067626</v>
      </c>
      <c r="F24" s="10">
        <f t="shared" si="3"/>
        <v>1.5828853100579177</v>
      </c>
      <c r="H24" s="3">
        <v>11</v>
      </c>
      <c r="I24" s="10">
        <v>0.88425802290028854</v>
      </c>
      <c r="J24" s="19">
        <v>9.3064142182712501</v>
      </c>
      <c r="K24" s="10">
        <v>1.8276149058221391E-2</v>
      </c>
      <c r="L24" s="10">
        <f t="shared" si="5"/>
        <v>0.17008541345067626</v>
      </c>
      <c r="M24" s="10">
        <f t="shared" si="6"/>
        <v>1.5828853100579177</v>
      </c>
    </row>
    <row r="25" spans="1:13">
      <c r="A25" s="3">
        <v>12</v>
      </c>
      <c r="B25" s="10">
        <f t="shared" si="0"/>
        <v>0.86598187384206715</v>
      </c>
      <c r="C25" s="19">
        <f t="shared" si="7"/>
        <v>9.8632516364488101</v>
      </c>
      <c r="D25" s="10">
        <f t="shared" si="1"/>
        <v>2.0068801302045247E-2</v>
      </c>
      <c r="E25" s="10">
        <f t="shared" si="2"/>
        <v>0.1979436372839638</v>
      </c>
      <c r="F25" s="10">
        <f t="shared" si="3"/>
        <v>1.9523679043656856</v>
      </c>
      <c r="H25" s="3">
        <v>12</v>
      </c>
      <c r="I25" s="10">
        <v>0.86598187384206715</v>
      </c>
      <c r="J25" s="19">
        <v>9.8632516364488101</v>
      </c>
      <c r="K25" s="10">
        <v>2.0068801302045247E-2</v>
      </c>
      <c r="L25" s="10">
        <f t="shared" si="5"/>
        <v>0.1979436372839638</v>
      </c>
      <c r="M25" s="10">
        <f t="shared" si="6"/>
        <v>1.9523679043656856</v>
      </c>
    </row>
    <row r="26" spans="1:13">
      <c r="A26" s="3">
        <v>13</v>
      </c>
      <c r="B26" s="10">
        <f t="shared" si="0"/>
        <v>0.8459130725400219</v>
      </c>
      <c r="C26" s="19">
        <f t="shared" si="7"/>
        <v>10.393572987094105</v>
      </c>
      <c r="D26" s="10">
        <f t="shared" si="1"/>
        <v>2.1980221994795657E-2</v>
      </c>
      <c r="E26" s="10">
        <f t="shared" si="2"/>
        <v>0.22845304157543983</v>
      </c>
      <c r="F26" s="10">
        <f t="shared" si="3"/>
        <v>2.3744433617379781</v>
      </c>
      <c r="H26" s="3">
        <v>13</v>
      </c>
      <c r="I26" s="10">
        <v>0.8459130725400219</v>
      </c>
      <c r="J26" s="19">
        <v>10.393572987094105</v>
      </c>
      <c r="K26" s="10">
        <v>2.1980221994795657E-2</v>
      </c>
      <c r="L26" s="10">
        <f t="shared" si="5"/>
        <v>0.22845304157543983</v>
      </c>
      <c r="M26" s="10">
        <f t="shared" si="6"/>
        <v>2.3744433617379781</v>
      </c>
    </row>
    <row r="27" spans="1:13">
      <c r="A27" s="3">
        <v>14</v>
      </c>
      <c r="B27" s="10">
        <f t="shared" si="0"/>
        <v>0.82393285054522625</v>
      </c>
      <c r="C27" s="19">
        <f t="shared" si="7"/>
        <v>10.898640940089624</v>
      </c>
      <c r="D27" s="10">
        <f t="shared" si="1"/>
        <v>2.4002927723734357E-2</v>
      </c>
      <c r="E27" s="10">
        <f t="shared" si="2"/>
        <v>0.26159929077190353</v>
      </c>
      <c r="F27" s="10">
        <f t="shared" si="3"/>
        <v>2.8510767403050776</v>
      </c>
      <c r="H27" s="3">
        <v>14</v>
      </c>
      <c r="I27" s="10">
        <v>0.82393285054522625</v>
      </c>
      <c r="J27" s="19">
        <v>10.898640940089624</v>
      </c>
      <c r="K27" s="10">
        <v>2.4002927723734357E-2</v>
      </c>
      <c r="L27" s="10">
        <f t="shared" si="5"/>
        <v>0.26159929077190353</v>
      </c>
      <c r="M27" s="10">
        <f t="shared" si="6"/>
        <v>2.8510767403050776</v>
      </c>
    </row>
    <row r="28" spans="1:13">
      <c r="A28" s="3">
        <v>15</v>
      </c>
      <c r="B28" s="10">
        <f t="shared" si="0"/>
        <v>0.79992992282149189</v>
      </c>
      <c r="C28" s="19">
        <f t="shared" si="7"/>
        <v>11.379658038180594</v>
      </c>
      <c r="D28" s="10">
        <f t="shared" si="1"/>
        <v>2.6124498907135085E-2</v>
      </c>
      <c r="E28" s="10">
        <f t="shared" si="2"/>
        <v>0.2972878639820199</v>
      </c>
      <c r="F28" s="10">
        <f t="shared" si="3"/>
        <v>3.3830342310165316</v>
      </c>
      <c r="H28" s="3">
        <v>15</v>
      </c>
      <c r="I28" s="10">
        <v>0.79992992282149189</v>
      </c>
      <c r="J28" s="19">
        <v>11.379658038180594</v>
      </c>
      <c r="K28" s="10">
        <v>2.6124498907135085E-2</v>
      </c>
      <c r="L28" s="10">
        <f t="shared" si="5"/>
        <v>0.2972878639820199</v>
      </c>
      <c r="M28" s="10">
        <f t="shared" si="6"/>
        <v>3.3830342310165316</v>
      </c>
    </row>
    <row r="29" spans="1:13">
      <c r="A29" s="3">
        <v>16</v>
      </c>
      <c r="B29" s="10">
        <f t="shared" si="0"/>
        <v>0.7738054239143568</v>
      </c>
      <c r="C29" s="19">
        <f t="shared" si="7"/>
        <v>11.837769560171994</v>
      </c>
      <c r="D29" s="10">
        <f t="shared" si="1"/>
        <v>2.8326546579574563E-2</v>
      </c>
      <c r="E29" s="10">
        <f t="shared" si="2"/>
        <v>0.3353231308444819</v>
      </c>
      <c r="F29" s="10">
        <f t="shared" si="3"/>
        <v>3.9694779511323786</v>
      </c>
      <c r="H29" s="3">
        <v>16</v>
      </c>
      <c r="I29" s="10">
        <v>0.7738054239143568</v>
      </c>
      <c r="J29" s="19">
        <v>11.837769560171994</v>
      </c>
      <c r="K29" s="10">
        <v>2.8326546579574563E-2</v>
      </c>
      <c r="L29" s="10">
        <f t="shared" si="5"/>
        <v>0.3353231308444819</v>
      </c>
      <c r="M29" s="10">
        <f t="shared" si="6"/>
        <v>3.9694779511323786</v>
      </c>
    </row>
    <row r="30" spans="1:13">
      <c r="A30" s="3">
        <v>17</v>
      </c>
      <c r="B30" s="10">
        <f t="shared" si="0"/>
        <v>0.74547887733478224</v>
      </c>
      <c r="C30" s="19">
        <f t="shared" si="7"/>
        <v>12.274066247782851</v>
      </c>
      <c r="D30" s="10">
        <f t="shared" si="1"/>
        <v>3.058363622922422E-2</v>
      </c>
      <c r="E30" s="10">
        <f t="shared" si="2"/>
        <v>0.37538557717558979</v>
      </c>
      <c r="F30" s="10">
        <f t="shared" si="3"/>
        <v>4.6075074427153915</v>
      </c>
      <c r="H30" s="3">
        <v>17</v>
      </c>
      <c r="I30" s="10">
        <v>0.74547887733478224</v>
      </c>
      <c r="J30" s="19">
        <v>12.274066247782851</v>
      </c>
      <c r="K30" s="10">
        <v>3.058363622922422E-2</v>
      </c>
      <c r="L30" s="10">
        <f t="shared" si="5"/>
        <v>0.37538557717558979</v>
      </c>
      <c r="M30" s="10">
        <f t="shared" si="6"/>
        <v>4.6075074427153915</v>
      </c>
    </row>
    <row r="31" spans="1:13">
      <c r="A31" s="3">
        <v>18</v>
      </c>
      <c r="B31" s="10">
        <f t="shared" si="0"/>
        <v>0.71489524110555802</v>
      </c>
      <c r="C31" s="19">
        <f t="shared" si="7"/>
        <v>12.689586902650335</v>
      </c>
      <c r="D31" s="10">
        <f t="shared" si="1"/>
        <v>3.2862233750206471E-2</v>
      </c>
      <c r="E31" s="10">
        <f t="shared" si="2"/>
        <v>0.41700817098845383</v>
      </c>
      <c r="F31" s="10">
        <f t="shared" si="3"/>
        <v>5.2916614248732552</v>
      </c>
      <c r="H31" s="3">
        <v>18</v>
      </c>
      <c r="I31" s="10">
        <v>0.71489524110555802</v>
      </c>
      <c r="J31" s="19">
        <v>12.689586902650335</v>
      </c>
      <c r="K31" s="10">
        <v>3.2862233750206471E-2</v>
      </c>
      <c r="L31" s="10">
        <f t="shared" si="5"/>
        <v>0.41700817098845383</v>
      </c>
      <c r="M31" s="10">
        <f t="shared" si="6"/>
        <v>5.2916614248732552</v>
      </c>
    </row>
    <row r="32" spans="1:13">
      <c r="A32" s="3">
        <v>19</v>
      </c>
      <c r="B32" s="10">
        <f t="shared" si="0"/>
        <v>0.68203300735535155</v>
      </c>
      <c r="C32" s="19">
        <f t="shared" si="7"/>
        <v>13.085320859666986</v>
      </c>
      <c r="D32" s="10">
        <f t="shared" si="1"/>
        <v>3.5119769826307934E-2</v>
      </c>
      <c r="E32" s="10">
        <f t="shared" si="2"/>
        <v>0.45955345669489039</v>
      </c>
      <c r="F32" s="10">
        <f t="shared" si="3"/>
        <v>6.0134044330217185</v>
      </c>
      <c r="H32" s="3">
        <v>19</v>
      </c>
      <c r="I32" s="10">
        <v>0.68203300735535155</v>
      </c>
      <c r="J32" s="19">
        <v>13.085320859666986</v>
      </c>
      <c r="K32" s="10">
        <v>3.5119769826307934E-2</v>
      </c>
      <c r="L32" s="10">
        <f t="shared" si="5"/>
        <v>0.45955345669489039</v>
      </c>
      <c r="M32" s="10">
        <f t="shared" si="6"/>
        <v>6.0134044330217185</v>
      </c>
    </row>
    <row r="33" spans="1:13">
      <c r="A33" s="3">
        <v>20</v>
      </c>
      <c r="B33" s="10">
        <f t="shared" si="0"/>
        <v>0.64691323752904362</v>
      </c>
      <c r="C33" s="19">
        <f t="shared" si="7"/>
        <v>13.462210342539986</v>
      </c>
      <c r="D33" s="10">
        <f t="shared" si="1"/>
        <v>3.730395624885019E-2</v>
      </c>
      <c r="E33" s="10">
        <f t="shared" si="2"/>
        <v>0.50219370563093013</v>
      </c>
      <c r="F33" s="10">
        <f t="shared" si="3"/>
        <v>6.7606372979031892</v>
      </c>
      <c r="H33" s="3">
        <v>20</v>
      </c>
      <c r="I33" s="10">
        <v>0.64691323752904362</v>
      </c>
      <c r="J33" s="19">
        <v>13.462210342539986</v>
      </c>
      <c r="K33" s="10">
        <v>3.730395624885019E-2</v>
      </c>
      <c r="L33" s="10">
        <f t="shared" si="5"/>
        <v>0.50219370563093013</v>
      </c>
      <c r="M33" s="10">
        <f t="shared" si="6"/>
        <v>6.7606372979031892</v>
      </c>
    </row>
    <row r="34" spans="1:13">
      <c r="A34" s="3">
        <v>21</v>
      </c>
      <c r="B34" s="10">
        <f t="shared" si="0"/>
        <v>0.60960928128019343</v>
      </c>
      <c r="C34" s="19">
        <f t="shared" si="7"/>
        <v>13.821152707180939</v>
      </c>
      <c r="D34" s="10">
        <f t="shared" si="1"/>
        <v>3.9352528747193416E-2</v>
      </c>
      <c r="E34" s="10">
        <f t="shared" si="2"/>
        <v>0.54389730922868806</v>
      </c>
      <c r="F34" s="10">
        <f t="shared" si="3"/>
        <v>7.5172877678745103</v>
      </c>
      <c r="H34" s="3">
        <v>21</v>
      </c>
      <c r="I34" s="10">
        <v>0.60960928128019343</v>
      </c>
      <c r="J34" s="19">
        <v>13.821152707180939</v>
      </c>
      <c r="K34" s="10">
        <v>3.9352528747193416E-2</v>
      </c>
      <c r="L34" s="10">
        <f t="shared" si="5"/>
        <v>0.54389730922868806</v>
      </c>
      <c r="M34" s="10">
        <f t="shared" si="6"/>
        <v>7.5172877678745103</v>
      </c>
    </row>
    <row r="35" spans="1:13">
      <c r="A35" s="3">
        <v>22</v>
      </c>
      <c r="B35" s="10">
        <f t="shared" si="0"/>
        <v>0.57025675253300001</v>
      </c>
      <c r="C35" s="19">
        <f t="shared" si="7"/>
        <v>14.163002578267561</v>
      </c>
      <c r="D35" s="10">
        <f t="shared" si="1"/>
        <v>4.119363153481459E-2</v>
      </c>
      <c r="E35" s="10">
        <f t="shared" si="2"/>
        <v>0.58342550963578288</v>
      </c>
      <c r="F35" s="10">
        <f t="shared" si="3"/>
        <v>8.2630569971986585</v>
      </c>
      <c r="H35" s="3">
        <v>22</v>
      </c>
      <c r="I35" s="10">
        <v>0.57025675253300001</v>
      </c>
      <c r="J35" s="19">
        <v>14.163002578267561</v>
      </c>
      <c r="K35" s="10">
        <v>4.119363153481459E-2</v>
      </c>
      <c r="L35" s="10">
        <f t="shared" si="5"/>
        <v>0.58342550963578288</v>
      </c>
      <c r="M35" s="10">
        <f t="shared" si="6"/>
        <v>8.2630569971986585</v>
      </c>
    </row>
    <row r="36" spans="1:13">
      <c r="A36" s="3">
        <v>23</v>
      </c>
      <c r="B36" s="10">
        <f t="shared" si="0"/>
        <v>0.52906312099818542</v>
      </c>
      <c r="C36" s="19">
        <f t="shared" si="7"/>
        <v>14.488573884064344</v>
      </c>
      <c r="D36" s="10">
        <f t="shared" si="1"/>
        <v>4.274709143592953E-2</v>
      </c>
      <c r="E36" s="10">
        <f t="shared" si="2"/>
        <v>0.61934439259831919</v>
      </c>
      <c r="F36" s="10">
        <f t="shared" si="3"/>
        <v>8.9734169918417024</v>
      </c>
      <c r="H36" s="3">
        <v>23</v>
      </c>
      <c r="I36" s="10">
        <v>0.52906312099818542</v>
      </c>
      <c r="J36" s="19">
        <v>14.488573884064344</v>
      </c>
      <c r="K36" s="10">
        <v>4.274709143592953E-2</v>
      </c>
      <c r="L36" s="10">
        <f t="shared" si="5"/>
        <v>0.61934439259831919</v>
      </c>
      <c r="M36" s="10">
        <f t="shared" si="6"/>
        <v>8.9734169918417024</v>
      </c>
    </row>
    <row r="37" spans="1:13">
      <c r="A37" s="3">
        <v>24</v>
      </c>
      <c r="B37" s="10">
        <f t="shared" si="0"/>
        <v>0.48631602956225589</v>
      </c>
      <c r="C37" s="19">
        <f t="shared" si="7"/>
        <v>14.798641794346995</v>
      </c>
      <c r="D37" s="10">
        <f t="shared" si="1"/>
        <v>4.392684269955488E-2</v>
      </c>
      <c r="E37" s="10">
        <f t="shared" si="2"/>
        <v>0.65005761026733899</v>
      </c>
      <c r="F37" s="10">
        <f t="shared" si="3"/>
        <v>9.6199697200355736</v>
      </c>
      <c r="H37" s="3">
        <v>24</v>
      </c>
      <c r="I37" s="10">
        <v>0.48631602956225589</v>
      </c>
      <c r="J37" s="19">
        <v>14.798641794346995</v>
      </c>
      <c r="K37" s="10">
        <v>4.392684269955488E-2</v>
      </c>
      <c r="L37" s="10">
        <f t="shared" si="5"/>
        <v>0.65005761026733899</v>
      </c>
      <c r="M37" s="10">
        <f t="shared" si="6"/>
        <v>9.6199697200355736</v>
      </c>
    </row>
    <row r="38" spans="1:13">
      <c r="A38" s="3">
        <v>25</v>
      </c>
      <c r="B38" s="10">
        <f t="shared" si="0"/>
        <v>0.44238918686270101</v>
      </c>
      <c r="C38" s="19">
        <f t="shared" si="7"/>
        <v>15.093944566044758</v>
      </c>
      <c r="D38" s="10">
        <f t="shared" si="1"/>
        <v>4.4644741710856806E-2</v>
      </c>
      <c r="E38" s="10">
        <f t="shared" si="2"/>
        <v>0.67386525654905882</v>
      </c>
      <c r="F38" s="10">
        <f t="shared" si="3"/>
        <v>10.171284827335024</v>
      </c>
      <c r="H38" s="3">
        <v>25</v>
      </c>
      <c r="I38" s="10">
        <v>0.44238918686270101</v>
      </c>
      <c r="J38" s="19">
        <v>15.093944566044758</v>
      </c>
      <c r="K38" s="10">
        <v>4.4644741710856806E-2</v>
      </c>
      <c r="L38" s="10">
        <f t="shared" si="5"/>
        <v>0.67386525654905882</v>
      </c>
      <c r="M38" s="10">
        <f t="shared" si="6"/>
        <v>10.171284827335024</v>
      </c>
    </row>
    <row r="39" spans="1:13">
      <c r="A39" s="3">
        <v>26</v>
      </c>
      <c r="B39" s="10">
        <f t="shared" si="0"/>
        <v>0.39774444515184421</v>
      </c>
      <c r="C39" s="19">
        <f t="shared" si="7"/>
        <v>15.375185300995009</v>
      </c>
      <c r="D39" s="10">
        <f t="shared" si="1"/>
        <v>4.4815934520341494E-2</v>
      </c>
      <c r="E39" s="10">
        <f t="shared" si="2"/>
        <v>0.68905329768750934</v>
      </c>
      <c r="F39" s="10">
        <f t="shared" si="3"/>
        <v>10.594322134207131</v>
      </c>
      <c r="H39" s="3">
        <v>26</v>
      </c>
      <c r="I39" s="10">
        <v>0.39774444515184421</v>
      </c>
      <c r="J39" s="19">
        <v>15.375185300995009</v>
      </c>
      <c r="K39" s="10">
        <v>4.4815934520341494E-2</v>
      </c>
      <c r="L39" s="10">
        <f t="shared" si="5"/>
        <v>0.68905329768750934</v>
      </c>
      <c r="M39" s="10">
        <f t="shared" si="6"/>
        <v>10.594322134207131</v>
      </c>
    </row>
    <row r="40" spans="1:13">
      <c r="A40" s="3">
        <v>27</v>
      </c>
      <c r="B40" s="10">
        <f t="shared" si="0"/>
        <v>0.35292851063150271</v>
      </c>
      <c r="C40" s="19">
        <f t="shared" si="7"/>
        <v>15.643033619995247</v>
      </c>
      <c r="D40" s="10">
        <f t="shared" si="1"/>
        <v>4.4365789208628992E-2</v>
      </c>
      <c r="E40" s="10">
        <f t="shared" si="2"/>
        <v>0.69401553216820566</v>
      </c>
      <c r="F40" s="10">
        <f t="shared" si="3"/>
        <v>10.856508302506134</v>
      </c>
      <c r="H40" s="3">
        <v>27</v>
      </c>
      <c r="I40" s="10">
        <v>0.35292851063150271</v>
      </c>
      <c r="J40" s="19">
        <v>15.643033619995247</v>
      </c>
      <c r="K40" s="10">
        <v>4.4365789208628992E-2</v>
      </c>
      <c r="L40" s="10">
        <f t="shared" si="5"/>
        <v>0.69401553216820566</v>
      </c>
      <c r="M40" s="10">
        <f t="shared" si="6"/>
        <v>10.856508302506134</v>
      </c>
    </row>
    <row r="41" spans="1:13">
      <c r="A41" s="3">
        <v>28</v>
      </c>
      <c r="B41" s="10">
        <f t="shared" si="0"/>
        <v>0.30856272142287372</v>
      </c>
      <c r="C41" s="19">
        <f t="shared" si="7"/>
        <v>15.898127257138331</v>
      </c>
      <c r="D41" s="10">
        <f t="shared" si="1"/>
        <v>4.3238163698610277E-2</v>
      </c>
      <c r="E41" s="10">
        <f t="shared" si="2"/>
        <v>0.68740582884548518</v>
      </c>
      <c r="F41" s="10">
        <f t="shared" si="3"/>
        <v>10.928465344284174</v>
      </c>
      <c r="H41" s="3">
        <v>28</v>
      </c>
      <c r="I41" s="10">
        <v>0.30856272142287372</v>
      </c>
      <c r="J41" s="19">
        <v>15.898127257138331</v>
      </c>
      <c r="K41" s="10">
        <v>4.3238163698610277E-2</v>
      </c>
      <c r="L41" s="10">
        <f t="shared" si="5"/>
        <v>0.68740582884548518</v>
      </c>
      <c r="M41" s="10">
        <f t="shared" si="6"/>
        <v>10.928465344284174</v>
      </c>
    </row>
    <row r="42" spans="1:13">
      <c r="A42" s="3">
        <v>29</v>
      </c>
      <c r="B42" s="10">
        <f t="shared" si="0"/>
        <v>0.26532455772426344</v>
      </c>
      <c r="C42" s="19">
        <f t="shared" si="7"/>
        <v>16.141073578226983</v>
      </c>
      <c r="D42" s="10">
        <f t="shared" si="1"/>
        <v>4.1404444850515171E-2</v>
      </c>
      <c r="E42" s="10">
        <f t="shared" si="2"/>
        <v>0.66831219079780668</v>
      </c>
      <c r="F42" s="10">
        <f t="shared" si="3"/>
        <v>10.787276244893468</v>
      </c>
      <c r="H42" s="3">
        <v>29</v>
      </c>
      <c r="I42" s="10">
        <v>0.26532455772426344</v>
      </c>
      <c r="J42" s="19">
        <v>16.141073578226983</v>
      </c>
      <c r="K42" s="10">
        <v>4.1404444850515171E-2</v>
      </c>
      <c r="L42" s="10">
        <f t="shared" si="5"/>
        <v>0.66831219079780668</v>
      </c>
      <c r="M42" s="10">
        <f t="shared" si="6"/>
        <v>10.787276244893468</v>
      </c>
    </row>
    <row r="43" spans="1:13">
      <c r="A43" s="3">
        <v>30</v>
      </c>
      <c r="B43" s="10">
        <f t="shared" si="0"/>
        <v>0.22392011287374827</v>
      </c>
      <c r="C43" s="19">
        <f t="shared" si="7"/>
        <v>16.372451026882842</v>
      </c>
      <c r="D43" s="10">
        <f t="shared" si="1"/>
        <v>3.8872388547058101E-2</v>
      </c>
      <c r="E43" s="10">
        <f t="shared" si="2"/>
        <v>0.63643627778467027</v>
      </c>
      <c r="F43" s="10">
        <f t="shared" si="3"/>
        <v>10.420021789761119</v>
      </c>
      <c r="H43" s="3">
        <v>30</v>
      </c>
      <c r="I43" s="10">
        <v>0.22392011287374827</v>
      </c>
      <c r="J43" s="19">
        <v>16.372451026882842</v>
      </c>
      <c r="K43" s="10">
        <v>3.8872388547058101E-2</v>
      </c>
      <c r="L43" s="10">
        <f t="shared" si="5"/>
        <v>0.63643627778467027</v>
      </c>
      <c r="M43" s="10">
        <f t="shared" si="6"/>
        <v>10.420021789761119</v>
      </c>
    </row>
    <row r="44" spans="1:13">
      <c r="A44" s="3">
        <v>31</v>
      </c>
      <c r="B44" s="10">
        <f t="shared" si="0"/>
        <v>0.18504772432669017</v>
      </c>
      <c r="C44" s="19">
        <f t="shared" si="7"/>
        <v>16.592810501793185</v>
      </c>
      <c r="D44" s="10">
        <f t="shared" si="1"/>
        <v>3.5693372890256259E-2</v>
      </c>
      <c r="E44" s="10">
        <f t="shared" si="2"/>
        <v>0.59225337253786425</v>
      </c>
      <c r="F44" s="10">
        <f t="shared" si="3"/>
        <v>9.8271479795687053</v>
      </c>
      <c r="H44" s="3">
        <v>31</v>
      </c>
      <c r="I44" s="10">
        <v>0.18504772432669017</v>
      </c>
      <c r="J44" s="19">
        <v>16.592810501793185</v>
      </c>
      <c r="K44" s="10">
        <v>3.5693372890256259E-2</v>
      </c>
      <c r="L44" s="10">
        <f t="shared" si="5"/>
        <v>0.59225337253786425</v>
      </c>
      <c r="M44" s="10">
        <f t="shared" si="6"/>
        <v>9.8271479795687053</v>
      </c>
    </row>
    <row r="45" spans="1:13">
      <c r="A45" s="3">
        <v>32</v>
      </c>
      <c r="B45" s="10">
        <f t="shared" si="0"/>
        <v>0.14935435143643391</v>
      </c>
      <c r="C45" s="19">
        <f t="shared" si="7"/>
        <v>16.802676668374463</v>
      </c>
      <c r="D45" s="10">
        <f t="shared" si="1"/>
        <v>3.1966354556281773E-2</v>
      </c>
      <c r="E45" s="10">
        <f t="shared" si="2"/>
        <v>0.53712031987582143</v>
      </c>
      <c r="F45" s="10">
        <f t="shared" si="3"/>
        <v>9.0250590668872928</v>
      </c>
      <c r="H45" s="3">
        <v>32</v>
      </c>
      <c r="I45" s="10">
        <v>0.14935435143643391</v>
      </c>
      <c r="J45" s="19">
        <v>16.802676668374463</v>
      </c>
      <c r="K45" s="10">
        <v>3.1966354556281773E-2</v>
      </c>
      <c r="L45" s="10">
        <f t="shared" si="5"/>
        <v>0.53712031987582143</v>
      </c>
      <c r="M45" s="10">
        <f t="shared" si="6"/>
        <v>9.0250590668872928</v>
      </c>
    </row>
    <row r="46" spans="1:13">
      <c r="A46" s="3">
        <v>33</v>
      </c>
      <c r="B46" s="10">
        <f t="shared" si="0"/>
        <v>0.11738799688015214</v>
      </c>
      <c r="C46" s="19">
        <f t="shared" si="7"/>
        <v>17.002549207975679</v>
      </c>
      <c r="D46" s="10">
        <f t="shared" si="1"/>
        <v>2.7836742908475862E-2</v>
      </c>
      <c r="E46" s="10">
        <f t="shared" si="2"/>
        <v>0.4732955910911289</v>
      </c>
      <c r="F46" s="10">
        <f t="shared" si="3"/>
        <v>8.0472315774448546</v>
      </c>
      <c r="H46" s="3">
        <v>33</v>
      </c>
      <c r="I46" s="10">
        <v>0.11738799688015214</v>
      </c>
      <c r="J46" s="19">
        <v>17.002549207975679</v>
      </c>
      <c r="K46" s="10">
        <v>2.7836742908475862E-2</v>
      </c>
      <c r="L46" s="10">
        <f t="shared" si="5"/>
        <v>0.4732955910911289</v>
      </c>
      <c r="M46" s="10">
        <f t="shared" si="6"/>
        <v>8.0472315774448546</v>
      </c>
    </row>
    <row r="47" spans="1:13">
      <c r="A47" s="3">
        <v>34</v>
      </c>
      <c r="B47" s="10">
        <f t="shared" si="0"/>
        <v>8.9551253971676278E-2</v>
      </c>
      <c r="C47" s="19">
        <f t="shared" si="7"/>
        <v>17.192904007595885</v>
      </c>
      <c r="D47" s="10">
        <f t="shared" si="1"/>
        <v>2.3488747322164424E-2</v>
      </c>
      <c r="E47" s="10">
        <f t="shared" si="2"/>
        <v>0.40383977796864784</v>
      </c>
      <c r="F47" s="10">
        <f t="shared" si="3"/>
        <v>6.9431785370637975</v>
      </c>
      <c r="H47" s="3">
        <v>34</v>
      </c>
      <c r="I47" s="10">
        <v>8.9551253971676278E-2</v>
      </c>
      <c r="J47" s="19">
        <v>17.192904007595885</v>
      </c>
      <c r="K47" s="10">
        <v>2.3488747322164424E-2</v>
      </c>
      <c r="L47" s="10">
        <f t="shared" si="5"/>
        <v>0.40383977796864784</v>
      </c>
      <c r="M47" s="10">
        <f t="shared" si="6"/>
        <v>6.9431785370637975</v>
      </c>
    </row>
    <row r="48" spans="1:13">
      <c r="A48" s="3">
        <v>35</v>
      </c>
      <c r="B48" s="10">
        <f t="shared" si="0"/>
        <v>6.6062506649511854E-2</v>
      </c>
      <c r="C48" s="19">
        <f t="shared" si="7"/>
        <v>17.374194292948463</v>
      </c>
      <c r="D48" s="10">
        <f t="shared" si="1"/>
        <v>1.9130641792860587E-2</v>
      </c>
      <c r="E48" s="10">
        <f t="shared" si="2"/>
        <v>0.33237948745795975</v>
      </c>
      <c r="F48" s="10">
        <f t="shared" si="3"/>
        <v>5.7748257940852197</v>
      </c>
      <c r="H48" s="3">
        <v>35</v>
      </c>
      <c r="I48" s="10">
        <v>6.6062506649511854E-2</v>
      </c>
      <c r="J48" s="19">
        <v>17.374194292948463</v>
      </c>
      <c r="K48" s="10">
        <v>1.9130641792860587E-2</v>
      </c>
      <c r="L48" s="10">
        <f t="shared" si="5"/>
        <v>0.33237948745795975</v>
      </c>
      <c r="M48" s="10">
        <f t="shared" si="6"/>
        <v>5.7748257940852197</v>
      </c>
    </row>
    <row r="49" spans="1:13">
      <c r="A49" s="3">
        <v>36</v>
      </c>
      <c r="B49" s="10">
        <f t="shared" si="0"/>
        <v>4.6931864856651268E-2</v>
      </c>
      <c r="C49" s="19">
        <f t="shared" si="7"/>
        <v>17.546851707569964</v>
      </c>
      <c r="D49" s="10">
        <f t="shared" si="1"/>
        <v>1.4973834521734938E-2</v>
      </c>
      <c r="E49" s="10">
        <f t="shared" si="2"/>
        <v>0.26274365384657478</v>
      </c>
      <c r="F49" s="10">
        <f t="shared" si="3"/>
        <v>4.6103239311509423</v>
      </c>
      <c r="H49" s="3">
        <v>36</v>
      </c>
      <c r="I49" s="10">
        <v>4.6931864856651268E-2</v>
      </c>
      <c r="J49" s="19">
        <v>17.546851707569964</v>
      </c>
      <c r="K49" s="10">
        <v>1.4973834521734938E-2</v>
      </c>
      <c r="L49" s="10">
        <f t="shared" si="5"/>
        <v>0.26274365384657478</v>
      </c>
      <c r="M49" s="10">
        <f t="shared" si="6"/>
        <v>4.6103239311509423</v>
      </c>
    </row>
    <row r="50" spans="1:13">
      <c r="A50" s="3">
        <v>37</v>
      </c>
      <c r="B50" s="10">
        <f t="shared" si="0"/>
        <v>3.1958030334916329E-2</v>
      </c>
      <c r="C50" s="19">
        <f t="shared" si="7"/>
        <v>17.711287340542821</v>
      </c>
      <c r="D50" s="10">
        <f t="shared" si="1"/>
        <v>1.120841942391497E-2</v>
      </c>
      <c r="E50" s="10">
        <f t="shared" si="2"/>
        <v>0.19851553705027947</v>
      </c>
      <c r="F50" s="10">
        <f t="shared" si="3"/>
        <v>3.515965718259674</v>
      </c>
      <c r="H50" s="3">
        <v>37</v>
      </c>
      <c r="I50" s="10">
        <v>3.1958030334916329E-2</v>
      </c>
      <c r="J50" s="19">
        <v>17.711287340542821</v>
      </c>
      <c r="K50" s="10">
        <v>1.120841942391497E-2</v>
      </c>
      <c r="L50" s="10">
        <f t="shared" si="5"/>
        <v>0.19851553705027947</v>
      </c>
      <c r="M50" s="10">
        <f t="shared" si="6"/>
        <v>3.515965718259674</v>
      </c>
    </row>
    <row r="51" spans="1:13">
      <c r="A51" s="3">
        <v>38</v>
      </c>
      <c r="B51" s="10">
        <f t="shared" si="0"/>
        <v>2.0749610911001359E-2</v>
      </c>
      <c r="C51" s="19">
        <f t="shared" si="7"/>
        <v>17.867892705278877</v>
      </c>
      <c r="D51" s="10">
        <f t="shared" si="1"/>
        <v>7.9795469697766137E-3</v>
      </c>
      <c r="E51" s="10">
        <f t="shared" si="2"/>
        <v>0.14257768909270171</v>
      </c>
      <c r="F51" s="10">
        <f t="shared" si="3"/>
        <v>2.5475628508750048</v>
      </c>
      <c r="H51" s="3">
        <v>38</v>
      </c>
      <c r="I51" s="10">
        <v>2.0749610911001359E-2</v>
      </c>
      <c r="J51" s="19">
        <v>17.867892705278877</v>
      </c>
      <c r="K51" s="10">
        <v>7.9795469697766137E-3</v>
      </c>
      <c r="L51" s="10">
        <f t="shared" si="5"/>
        <v>0.14257768909270171</v>
      </c>
      <c r="M51" s="10">
        <f t="shared" si="6"/>
        <v>2.5475628508750048</v>
      </c>
    </row>
    <row r="52" spans="1:13">
      <c r="A52" s="3">
        <v>39</v>
      </c>
      <c r="B52" s="10">
        <f t="shared" si="0"/>
        <v>1.2770063941224746E-2</v>
      </c>
      <c r="C52" s="19">
        <f t="shared" si="7"/>
        <v>18.017040671694168</v>
      </c>
      <c r="D52" s="10">
        <f t="shared" si="1"/>
        <v>5.3698080042527694E-3</v>
      </c>
      <c r="E52" s="10">
        <f t="shared" si="2"/>
        <v>9.6748049211811044E-2</v>
      </c>
      <c r="F52" s="10">
        <f t="shared" si="3"/>
        <v>1.7431135375562685</v>
      </c>
      <c r="H52" s="3">
        <v>39</v>
      </c>
      <c r="I52" s="10">
        <v>1.2770063941224746E-2</v>
      </c>
      <c r="J52" s="19">
        <v>18.017040671694168</v>
      </c>
      <c r="K52" s="10">
        <v>5.3698080042527694E-3</v>
      </c>
      <c r="L52" s="10">
        <f t="shared" si="5"/>
        <v>9.6748049211811044E-2</v>
      </c>
      <c r="M52" s="10">
        <f t="shared" si="6"/>
        <v>1.7431135375562685</v>
      </c>
    </row>
    <row r="53" spans="1:13">
      <c r="A53" s="3">
        <v>40</v>
      </c>
      <c r="B53" s="10">
        <f t="shared" si="0"/>
        <v>7.4002559369719762E-3</v>
      </c>
      <c r="C53" s="19">
        <f t="shared" si="7"/>
        <v>18.159086353994446</v>
      </c>
      <c r="D53" s="10">
        <f t="shared" si="1"/>
        <v>3.392226425653835E-3</v>
      </c>
      <c r="E53" s="10">
        <f t="shared" si="2"/>
        <v>6.1599732595749912E-2</v>
      </c>
      <c r="F53" s="10">
        <f t="shared" si="3"/>
        <v>1.1185948635891891</v>
      </c>
      <c r="H53" s="3">
        <v>40</v>
      </c>
      <c r="I53" s="10">
        <v>7.4002559369719762E-3</v>
      </c>
      <c r="J53" s="19">
        <v>18.159086353994446</v>
      </c>
      <c r="K53" s="10">
        <v>3.392226425653835E-3</v>
      </c>
      <c r="L53" s="10">
        <f t="shared" si="5"/>
        <v>6.1599732595749912E-2</v>
      </c>
      <c r="M53" s="10">
        <f t="shared" si="6"/>
        <v>1.1185948635891891</v>
      </c>
    </row>
    <row r="54" spans="1:13">
      <c r="A54" s="3">
        <v>41</v>
      </c>
      <c r="B54" s="10">
        <f t="shared" si="0"/>
        <v>4.0080295113181412E-3</v>
      </c>
      <c r="C54" s="19">
        <f t="shared" si="7"/>
        <v>18.294367956185187</v>
      </c>
      <c r="D54" s="10">
        <f t="shared" si="1"/>
        <v>1.9961416705608012E-3</v>
      </c>
      <c r="E54" s="10">
        <f t="shared" si="2"/>
        <v>3.651815021391349E-2</v>
      </c>
      <c r="F54" s="10">
        <f t="shared" si="3"/>
        <v>0.66807647709257623</v>
      </c>
      <c r="H54" s="3">
        <v>41</v>
      </c>
      <c r="I54" s="10">
        <v>4.0080295113181412E-3</v>
      </c>
      <c r="J54" s="19">
        <v>18.294367956185187</v>
      </c>
      <c r="K54" s="10">
        <v>1.9961416705608012E-3</v>
      </c>
      <c r="L54" s="10">
        <f t="shared" si="5"/>
        <v>3.651815021391349E-2</v>
      </c>
      <c r="M54" s="10">
        <f t="shared" si="6"/>
        <v>0.66807647709257623</v>
      </c>
    </row>
    <row r="55" spans="1:13">
      <c r="A55" s="3">
        <v>42</v>
      </c>
      <c r="B55" s="10">
        <f t="shared" si="0"/>
        <v>2.01188784075734E-3</v>
      </c>
      <c r="C55" s="19">
        <f t="shared" si="7"/>
        <v>18.423207577319225</v>
      </c>
      <c r="D55" s="10">
        <f t="shared" si="1"/>
        <v>1.084691086211333E-3</v>
      </c>
      <c r="E55" s="10">
        <f t="shared" si="2"/>
        <v>1.9983489038539252E-2</v>
      </c>
      <c r="F55" s="10">
        <f t="shared" si="3"/>
        <v>0.36815996667609202</v>
      </c>
      <c r="H55" s="3">
        <v>42</v>
      </c>
      <c r="I55" s="10">
        <v>2.01188784075734E-3</v>
      </c>
      <c r="J55" s="19">
        <v>18.423207577319225</v>
      </c>
      <c r="K55" s="10">
        <v>1.084691086211333E-3</v>
      </c>
      <c r="L55" s="10">
        <f t="shared" si="5"/>
        <v>1.9983489038539252E-2</v>
      </c>
      <c r="M55" s="10">
        <f t="shared" si="6"/>
        <v>0.36815996667609202</v>
      </c>
    </row>
    <row r="56" spans="1:13">
      <c r="A56" s="3">
        <v>43</v>
      </c>
      <c r="B56" s="10">
        <f t="shared" si="0"/>
        <v>9.2719675454600698E-4</v>
      </c>
      <c r="C56" s="19">
        <f t="shared" si="7"/>
        <v>18.545911978399261</v>
      </c>
      <c r="D56" s="10">
        <f t="shared" si="1"/>
        <v>5.3901569935506269E-4</v>
      </c>
      <c r="E56" s="10">
        <f t="shared" si="2"/>
        <v>9.9965377152143112E-3</v>
      </c>
      <c r="F56" s="10">
        <f t="shared" si="3"/>
        <v>0.18539490855511306</v>
      </c>
      <c r="H56" s="3">
        <v>43</v>
      </c>
      <c r="I56" s="10">
        <v>9.2719675454600698E-4</v>
      </c>
      <c r="J56" s="19">
        <v>18.545911978399261</v>
      </c>
      <c r="K56" s="10">
        <v>5.3901569935506269E-4</v>
      </c>
      <c r="L56" s="10">
        <f t="shared" si="5"/>
        <v>9.9965377152143112E-3</v>
      </c>
      <c r="M56" s="10">
        <f t="shared" si="6"/>
        <v>0.18539490855511306</v>
      </c>
    </row>
    <row r="57" spans="1:13">
      <c r="A57" s="3">
        <v>44</v>
      </c>
      <c r="B57" s="10">
        <f t="shared" si="0"/>
        <v>3.8818105519094429E-4</v>
      </c>
      <c r="C57" s="19">
        <f t="shared" si="7"/>
        <v>18.6627733127612</v>
      </c>
      <c r="D57" s="10">
        <f t="shared" si="1"/>
        <v>2.4229305907048489E-4</v>
      </c>
      <c r="E57" s="10">
        <f t="shared" si="2"/>
        <v>4.5218604366879184E-3</v>
      </c>
      <c r="F57" s="10">
        <f t="shared" si="3"/>
        <v>8.439045628184999E-2</v>
      </c>
      <c r="H57" s="3">
        <v>44</v>
      </c>
      <c r="I57" s="10">
        <v>3.8818105519094429E-4</v>
      </c>
      <c r="J57" s="19">
        <v>18.6627733127612</v>
      </c>
      <c r="K57" s="10">
        <v>2.4229305907048489E-4</v>
      </c>
      <c r="L57" s="10">
        <f t="shared" si="5"/>
        <v>4.5218604366879184E-3</v>
      </c>
      <c r="M57" s="10">
        <f t="shared" si="6"/>
        <v>8.439045628184999E-2</v>
      </c>
    </row>
    <row r="58" spans="1:13">
      <c r="A58" s="3">
        <v>45</v>
      </c>
      <c r="B58" s="10">
        <f t="shared" si="0"/>
        <v>1.458879961204594E-4</v>
      </c>
      <c r="C58" s="19">
        <f t="shared" si="7"/>
        <v>18.774069821677333</v>
      </c>
      <c r="D58" s="10">
        <f t="shared" si="1"/>
        <v>9.7323957380491334E-5</v>
      </c>
      <c r="E58" s="10">
        <f t="shared" si="2"/>
        <v>1.8271667711832933E-3</v>
      </c>
      <c r="F58" s="10">
        <f t="shared" si="3"/>
        <v>3.430335653804388E-2</v>
      </c>
      <c r="H58" s="3">
        <v>45</v>
      </c>
      <c r="I58" s="10">
        <v>1.458879961204594E-4</v>
      </c>
      <c r="J58" s="19">
        <v>18.774069821677333</v>
      </c>
      <c r="K58" s="10">
        <v>9.7323957380491334E-5</v>
      </c>
      <c r="L58" s="10">
        <f t="shared" si="5"/>
        <v>1.8271667711832933E-3</v>
      </c>
      <c r="M58" s="10">
        <f t="shared" si="6"/>
        <v>3.430335653804388E-2</v>
      </c>
    </row>
    <row r="59" spans="1:13">
      <c r="A59" s="3">
        <v>46</v>
      </c>
      <c r="B59" s="10">
        <f t="shared" si="0"/>
        <v>4.8564038739968059E-5</v>
      </c>
      <c r="C59" s="19">
        <f t="shared" si="7"/>
        <v>18.880066496835557</v>
      </c>
      <c r="D59" s="10">
        <f t="shared" si="1"/>
        <v>3.4458603484721235E-5</v>
      </c>
      <c r="E59" s="10">
        <f t="shared" si="2"/>
        <v>6.5058072517962641E-4</v>
      </c>
      <c r="F59" s="10">
        <f t="shared" si="3"/>
        <v>1.2283007352950846E-2</v>
      </c>
      <c r="H59" s="3">
        <v>46</v>
      </c>
      <c r="I59" s="10">
        <v>4.8564038739968059E-5</v>
      </c>
      <c r="J59" s="19">
        <v>18.880066496835557</v>
      </c>
      <c r="K59" s="10">
        <v>3.4458603484721235E-5</v>
      </c>
      <c r="L59" s="10">
        <f t="shared" si="5"/>
        <v>6.5058072517962641E-4</v>
      </c>
      <c r="M59" s="10">
        <f t="shared" si="6"/>
        <v>1.2283007352950846E-2</v>
      </c>
    </row>
    <row r="60" spans="1:13">
      <c r="A60" s="3">
        <v>47</v>
      </c>
      <c r="B60" s="10">
        <f t="shared" si="0"/>
        <v>1.410543525524682E-5</v>
      </c>
      <c r="C60" s="19">
        <f t="shared" si="7"/>
        <v>18.981015711271958</v>
      </c>
      <c r="D60" s="10">
        <f t="shared" si="1"/>
        <v>1.0590713702650151E-5</v>
      </c>
      <c r="E60" s="10">
        <f t="shared" si="2"/>
        <v>2.0102250318358573E-4</v>
      </c>
      <c r="F60" s="10">
        <f t="shared" si="3"/>
        <v>3.8156112912468578E-3</v>
      </c>
      <c r="H60" s="3">
        <v>47</v>
      </c>
      <c r="I60" s="10">
        <v>1.410543525524682E-5</v>
      </c>
      <c r="J60" s="19">
        <v>18.981015711271958</v>
      </c>
      <c r="K60" s="10">
        <v>1.0590713702650151E-5</v>
      </c>
      <c r="L60" s="10">
        <f t="shared" si="5"/>
        <v>2.0102250318358573E-4</v>
      </c>
      <c r="M60" s="10">
        <f t="shared" si="6"/>
        <v>3.8156112912468578E-3</v>
      </c>
    </row>
    <row r="61" spans="1:13">
      <c r="A61" s="3">
        <v>48</v>
      </c>
      <c r="B61" s="10">
        <f t="shared" si="0"/>
        <v>3.5147215525966689E-6</v>
      </c>
      <c r="C61" s="19">
        <f t="shared" si="7"/>
        <v>19.077157820259007</v>
      </c>
      <c r="D61" s="10">
        <f t="shared" si="1"/>
        <v>2.7775411956118031E-6</v>
      </c>
      <c r="E61" s="10">
        <f t="shared" si="2"/>
        <v>5.2987591740957266E-5</v>
      </c>
      <c r="F61" s="10">
        <f t="shared" si="3"/>
        <v>1.0108526501576944E-3</v>
      </c>
      <c r="H61" s="3">
        <v>48</v>
      </c>
      <c r="I61" s="10">
        <v>3.5147215525966689E-6</v>
      </c>
      <c r="J61" s="19">
        <v>19.077157820259007</v>
      </c>
      <c r="K61" s="10">
        <v>2.7775411956118031E-6</v>
      </c>
      <c r="L61" s="10">
        <f t="shared" si="5"/>
        <v>5.2987591740957266E-5</v>
      </c>
      <c r="M61" s="10">
        <f t="shared" si="6"/>
        <v>1.0108526501576944E-3</v>
      </c>
    </row>
    <row r="62" spans="1:13">
      <c r="A62" s="3">
        <v>49</v>
      </c>
      <c r="B62" s="10">
        <f t="shared" si="0"/>
        <v>7.3718035698486554E-7</v>
      </c>
      <c r="C62" s="19">
        <f t="shared" si="7"/>
        <v>19.168721733580007</v>
      </c>
      <c r="D62" s="10">
        <f t="shared" si="1"/>
        <v>6.0978397252721232E-7</v>
      </c>
      <c r="E62" s="10">
        <f t="shared" si="2"/>
        <v>1.1688779286971129E-5</v>
      </c>
      <c r="F62" s="10">
        <f t="shared" si="3"/>
        <v>2.240589575571833E-4</v>
      </c>
      <c r="H62" s="3">
        <v>49</v>
      </c>
      <c r="I62" s="10">
        <v>7.3718035698486554E-7</v>
      </c>
      <c r="J62" s="19">
        <v>19.168721733580007</v>
      </c>
      <c r="K62" s="10">
        <v>6.0978397252721232E-7</v>
      </c>
      <c r="L62" s="10">
        <f t="shared" si="5"/>
        <v>1.1688779286971129E-5</v>
      </c>
      <c r="M62" s="10">
        <f t="shared" si="6"/>
        <v>2.240589575571833E-4</v>
      </c>
    </row>
    <row r="63" spans="1:13">
      <c r="A63" s="3">
        <v>50</v>
      </c>
      <c r="B63" s="10">
        <f t="shared" si="0"/>
        <v>1.2739638445765328E-7</v>
      </c>
      <c r="C63" s="19">
        <f t="shared" si="7"/>
        <v>19.255925460552387</v>
      </c>
      <c r="D63" s="10">
        <f t="shared" si="1"/>
        <v>1.0968662616401914E-7</v>
      </c>
      <c r="E63" s="10">
        <f t="shared" si="2"/>
        <v>2.1121174974338277E-6</v>
      </c>
      <c r="F63" s="10">
        <f t="shared" si="3"/>
        <v>4.0670777094514234E-5</v>
      </c>
      <c r="H63" s="3">
        <v>50</v>
      </c>
      <c r="I63" s="10">
        <v>1.2739638445765328E-7</v>
      </c>
      <c r="J63" s="19">
        <v>19.255925460552387</v>
      </c>
      <c r="K63" s="10">
        <v>1.0968662616401914E-7</v>
      </c>
      <c r="L63" s="10">
        <f t="shared" si="5"/>
        <v>2.1121174974338277E-6</v>
      </c>
      <c r="M63" s="10">
        <f t="shared" si="6"/>
        <v>4.0670777094514234E-5</v>
      </c>
    </row>
    <row r="64" spans="1:13">
      <c r="A64" s="3">
        <v>51</v>
      </c>
      <c r="B64" s="10">
        <f t="shared" si="0"/>
        <v>1.7709758293634136E-8</v>
      </c>
      <c r="C64" s="19">
        <f t="shared" si="7"/>
        <v>19.338976629097512</v>
      </c>
      <c r="D64" s="10">
        <f t="shared" si="1"/>
        <v>1.5782149501994662E-8</v>
      </c>
      <c r="E64" s="10">
        <f t="shared" si="2"/>
        <v>3.052106203759977E-7</v>
      </c>
      <c r="F64" s="10">
        <f t="shared" si="3"/>
        <v>5.9024610544037723E-6</v>
      </c>
      <c r="H64" s="3">
        <v>51</v>
      </c>
      <c r="I64" s="10">
        <v>1.7709758293634136E-8</v>
      </c>
      <c r="J64" s="19">
        <v>19.338976629097512</v>
      </c>
      <c r="K64" s="10">
        <v>1.5782149501994662E-8</v>
      </c>
      <c r="L64" s="10">
        <f t="shared" si="5"/>
        <v>3.052106203759977E-7</v>
      </c>
      <c r="M64" s="10">
        <f t="shared" si="6"/>
        <v>5.9024610544037723E-6</v>
      </c>
    </row>
    <row r="65" spans="1:13">
      <c r="A65" s="3">
        <v>52</v>
      </c>
      <c r="B65" s="10">
        <f t="shared" si="0"/>
        <v>1.9276087916394735E-9</v>
      </c>
      <c r="C65" s="19">
        <f t="shared" si="7"/>
        <v>19.41807298009287</v>
      </c>
      <c r="D65" s="10">
        <f t="shared" si="1"/>
        <v>1.768240841246169E-9</v>
      </c>
      <c r="E65" s="10">
        <f t="shared" si="2"/>
        <v>3.4335829701698921E-8</v>
      </c>
      <c r="F65" s="10">
        <f t="shared" si="3"/>
        <v>6.6673564697963006E-7</v>
      </c>
      <c r="H65" s="3">
        <v>52</v>
      </c>
      <c r="I65" s="10">
        <v>1.9276087916394735E-9</v>
      </c>
      <c r="J65" s="19">
        <v>19.41807298009287</v>
      </c>
      <c r="K65" s="10">
        <v>1.768240841246169E-9</v>
      </c>
      <c r="L65" s="10">
        <f t="shared" si="5"/>
        <v>3.4335829701698921E-8</v>
      </c>
      <c r="M65" s="10">
        <f t="shared" si="6"/>
        <v>6.6673564697963006E-7</v>
      </c>
    </row>
    <row r="66" spans="1:13">
      <c r="A66" s="3">
        <v>53</v>
      </c>
      <c r="B66" s="10">
        <f t="shared" si="0"/>
        <v>1.5936795039330448E-10</v>
      </c>
      <c r="C66" s="19">
        <f t="shared" si="7"/>
        <v>19.493402838183684</v>
      </c>
      <c r="D66" s="10">
        <f t="shared" si="1"/>
        <v>1.4969519283190379E-10</v>
      </c>
      <c r="E66" s="10">
        <f t="shared" si="2"/>
        <v>2.9180686968118871E-9</v>
      </c>
      <c r="F66" s="10">
        <f t="shared" si="3"/>
        <v>5.6883088616447804E-8</v>
      </c>
      <c r="H66" s="3">
        <v>53</v>
      </c>
      <c r="I66" s="10">
        <v>1.5936795039330448E-10</v>
      </c>
      <c r="J66" s="19">
        <v>19.493402838183684</v>
      </c>
      <c r="K66" s="10">
        <v>1.4969519283190379E-10</v>
      </c>
      <c r="L66" s="10">
        <f t="shared" si="5"/>
        <v>2.9180686968118871E-9</v>
      </c>
      <c r="M66" s="10">
        <f t="shared" si="6"/>
        <v>5.6883088616447804E-8</v>
      </c>
    </row>
    <row r="67" spans="1:13">
      <c r="A67" s="3">
        <v>54</v>
      </c>
      <c r="B67" s="10">
        <f t="shared" si="0"/>
        <v>9.6727575614006922E-12</v>
      </c>
      <c r="C67" s="19">
        <f t="shared" si="7"/>
        <v>19.565145560174937</v>
      </c>
      <c r="D67" s="10">
        <f t="shared" si="1"/>
        <v>9.257973575342559E-12</v>
      </c>
      <c r="E67" s="10">
        <f t="shared" si="2"/>
        <v>1.8113360059383036E-10</v>
      </c>
      <c r="F67" s="10">
        <f t="shared" si="3"/>
        <v>3.5439052614568805E-9</v>
      </c>
      <c r="H67" s="3">
        <v>54</v>
      </c>
      <c r="I67" s="10">
        <v>9.6727575614006922E-12</v>
      </c>
      <c r="J67" s="19">
        <v>19.565145560174937</v>
      </c>
      <c r="K67" s="10">
        <v>9.257973575342559E-12</v>
      </c>
      <c r="L67" s="10">
        <f t="shared" si="5"/>
        <v>1.8113360059383036E-10</v>
      </c>
      <c r="M67" s="10">
        <f t="shared" si="6"/>
        <v>3.5439052614568805E-9</v>
      </c>
    </row>
    <row r="68" spans="1:13">
      <c r="A68" s="3">
        <v>55</v>
      </c>
      <c r="B68" s="10">
        <f t="shared" si="0"/>
        <v>4.1478398605813292E-13</v>
      </c>
      <c r="C68" s="19">
        <f t="shared" si="7"/>
        <v>19.633471962071368</v>
      </c>
      <c r="D68" s="10">
        <f t="shared" si="1"/>
        <v>4.0274729276006643E-13</v>
      </c>
      <c r="E68" s="10">
        <f t="shared" si="2"/>
        <v>7.9073276802049139E-12</v>
      </c>
      <c r="F68" s="10">
        <f t="shared" si="3"/>
        <v>1.55248296304214E-10</v>
      </c>
      <c r="H68" s="3">
        <v>55</v>
      </c>
      <c r="I68" s="10">
        <v>4.1478398605813292E-13</v>
      </c>
      <c r="J68" s="19">
        <v>19.633471962071368</v>
      </c>
      <c r="K68" s="10">
        <v>4.0274729276006643E-13</v>
      </c>
      <c r="L68" s="10">
        <f t="shared" si="5"/>
        <v>7.9073276802049139E-12</v>
      </c>
      <c r="M68" s="10">
        <f t="shared" si="6"/>
        <v>1.55248296304214E-10</v>
      </c>
    </row>
    <row r="69" spans="1:13">
      <c r="A69" s="3">
        <v>56</v>
      </c>
      <c r="B69" s="10">
        <f t="shared" si="0"/>
        <v>1.2036693298066509E-14</v>
      </c>
      <c r="C69" s="19">
        <f t="shared" si="7"/>
        <v>19.698544725782256</v>
      </c>
      <c r="D69" s="10">
        <f t="shared" si="1"/>
        <v>1.181148871606452E-14</v>
      </c>
      <c r="E69" s="10">
        <f t="shared" si="2"/>
        <v>2.326691387514694E-13</v>
      </c>
      <c r="F69" s="10">
        <f t="shared" si="3"/>
        <v>4.5832434360050574E-12</v>
      </c>
      <c r="H69" s="3">
        <v>56</v>
      </c>
      <c r="I69" s="10">
        <v>1.2036693298066509E-14</v>
      </c>
      <c r="J69" s="19">
        <v>19.698544725782256</v>
      </c>
      <c r="K69" s="10">
        <v>1.181148871606452E-14</v>
      </c>
      <c r="L69" s="10">
        <f t="shared" si="5"/>
        <v>2.326691387514694E-13</v>
      </c>
      <c r="M69" s="10">
        <f t="shared" si="6"/>
        <v>4.5832434360050574E-12</v>
      </c>
    </row>
    <row r="70" spans="1:13">
      <c r="A70" s="3">
        <v>57</v>
      </c>
      <c r="B70" s="10">
        <f t="shared" si="0"/>
        <v>2.2520458200198817E-16</v>
      </c>
      <c r="C70" s="19">
        <f t="shared" si="7"/>
        <v>19.76051878645929</v>
      </c>
      <c r="D70" s="10">
        <f t="shared" si="1"/>
        <v>2.2263184269861658E-16</v>
      </c>
      <c r="E70" s="10">
        <f t="shared" si="2"/>
        <v>4.3993207101100624E-15</v>
      </c>
      <c r="F70" s="10">
        <f t="shared" si="3"/>
        <v>8.6932859539789306E-14</v>
      </c>
      <c r="H70" s="3">
        <v>57</v>
      </c>
      <c r="I70" s="10">
        <v>2.2520458200198817E-16</v>
      </c>
      <c r="J70" s="19">
        <v>19.76051878645929</v>
      </c>
      <c r="K70" s="10">
        <v>2.2263184269861658E-16</v>
      </c>
      <c r="L70" s="10">
        <f t="shared" si="5"/>
        <v>4.3993207101100624E-15</v>
      </c>
      <c r="M70" s="10">
        <f t="shared" si="6"/>
        <v>8.6932859539789306E-14</v>
      </c>
    </row>
    <row r="71" spans="1:13">
      <c r="A71" s="3">
        <v>58</v>
      </c>
      <c r="B71" s="10">
        <f t="shared" si="0"/>
        <v>2.5727393033715866E-18</v>
      </c>
      <c r="C71" s="19">
        <f t="shared" si="7"/>
        <v>19.819541701389799</v>
      </c>
      <c r="D71" s="10">
        <f t="shared" si="1"/>
        <v>2.5558583998074053E-18</v>
      </c>
      <c r="E71" s="10">
        <f t="shared" si="2"/>
        <v>5.065594213783027E-17</v>
      </c>
      <c r="F71" s="10">
        <f t="shared" si="3"/>
        <v>1.0039775576239157E-15</v>
      </c>
      <c r="H71" s="3">
        <v>58</v>
      </c>
      <c r="I71" s="10">
        <v>2.5727393033715866E-18</v>
      </c>
      <c r="J71" s="19">
        <v>19.819541701389799</v>
      </c>
      <c r="K71" s="10">
        <v>2.5558583998074053E-18</v>
      </c>
      <c r="L71" s="10">
        <f t="shared" si="5"/>
        <v>5.065594213783027E-17</v>
      </c>
      <c r="M71" s="10">
        <f t="shared" si="6"/>
        <v>1.0039775576239157E-15</v>
      </c>
    </row>
    <row r="72" spans="1:13">
      <c r="A72" s="3">
        <v>59</v>
      </c>
      <c r="B72" s="10">
        <f t="shared" si="0"/>
        <v>1.6880903564181477E-20</v>
      </c>
      <c r="C72" s="19">
        <f t="shared" si="7"/>
        <v>19.875754001323617</v>
      </c>
      <c r="D72" s="10">
        <f t="shared" si="1"/>
        <v>1.6821513275997305E-20</v>
      </c>
      <c r="E72" s="10">
        <f t="shared" si="2"/>
        <v>3.3434025980372179E-19</v>
      </c>
      <c r="F72" s="10">
        <f t="shared" si="3"/>
        <v>6.6452647565974012E-18</v>
      </c>
      <c r="H72" s="3">
        <v>59</v>
      </c>
      <c r="I72" s="10">
        <v>1.6880903564181477E-20</v>
      </c>
      <c r="J72" s="19">
        <v>19.875754001323617</v>
      </c>
      <c r="K72" s="10">
        <v>1.6821513275997305E-20</v>
      </c>
      <c r="L72" s="10">
        <f t="shared" si="5"/>
        <v>3.3434025980372179E-19</v>
      </c>
      <c r="M72" s="10">
        <f t="shared" si="6"/>
        <v>6.6452647565974012E-18</v>
      </c>
    </row>
    <row r="73" spans="1:13">
      <c r="A73" s="3">
        <v>60</v>
      </c>
      <c r="B73" s="10">
        <f t="shared" si="0"/>
        <v>5.939028818417161E-23</v>
      </c>
      <c r="C73" s="19">
        <f t="shared" si="7"/>
        <v>19.929289525070111</v>
      </c>
      <c r="D73" s="10">
        <f t="shared" si="1"/>
        <v>5.9286585338901127E-23</v>
      </c>
      <c r="E73" s="10">
        <f t="shared" si="2"/>
        <v>1.1815395241717375E-21</v>
      </c>
      <c r="F73" s="10">
        <f t="shared" si="3"/>
        <v>2.3547243262532131E-20</v>
      </c>
      <c r="H73" s="3">
        <v>60</v>
      </c>
      <c r="I73" s="10">
        <v>5.939028818417161E-23</v>
      </c>
      <c r="J73" s="19">
        <v>19.929289525070111</v>
      </c>
      <c r="K73" s="10">
        <v>5.9286585338901127E-23</v>
      </c>
      <c r="L73" s="10">
        <f t="shared" si="5"/>
        <v>1.1815395241717375E-21</v>
      </c>
      <c r="M73" s="10">
        <f t="shared" si="6"/>
        <v>2.3547243262532131E-20</v>
      </c>
    </row>
    <row r="74" spans="1:13">
      <c r="A74" s="3">
        <v>61</v>
      </c>
      <c r="B74" s="10">
        <f t="shared" si="0"/>
        <v>1.0370284527048015E-25</v>
      </c>
      <c r="C74" s="19">
        <f t="shared" si="7"/>
        <v>19.98027573816201</v>
      </c>
      <c r="D74" s="10">
        <f t="shared" si="1"/>
        <v>1.0362045136499295E-25</v>
      </c>
      <c r="E74" s="10">
        <f t="shared" si="2"/>
        <v>2.0703651903853653E-24</v>
      </c>
      <c r="F74" s="10">
        <f t="shared" si="3"/>
        <v>4.1366467382591889E-23</v>
      </c>
      <c r="H74" s="3">
        <v>61</v>
      </c>
      <c r="I74" s="10">
        <v>1.0370284527048015E-25</v>
      </c>
      <c r="J74" s="19">
        <v>19.98027573816201</v>
      </c>
      <c r="K74" s="10">
        <v>1.0362045136499295E-25</v>
      </c>
      <c r="L74" s="10">
        <f t="shared" si="5"/>
        <v>2.0703651903853653E-24</v>
      </c>
      <c r="M74" s="10">
        <f t="shared" si="6"/>
        <v>4.1366467382591889E-23</v>
      </c>
    </row>
    <row r="75" spans="1:13">
      <c r="A75" s="3">
        <v>62</v>
      </c>
      <c r="B75" s="10">
        <f t="shared" si="0"/>
        <v>8.2393905487207831E-29</v>
      </c>
      <c r="C75" s="19">
        <f t="shared" si="7"/>
        <v>20.028834036344772</v>
      </c>
      <c r="D75" s="10">
        <f t="shared" si="1"/>
        <v>8.2366889284824022E-29</v>
      </c>
      <c r="E75" s="10">
        <f t="shared" si="2"/>
        <v>1.649712755575725E-27</v>
      </c>
      <c r="F75" s="10">
        <f t="shared" si="3"/>
        <v>3.3041822989067206E-26</v>
      </c>
      <c r="H75" s="3">
        <v>62</v>
      </c>
      <c r="I75" s="10">
        <v>8.2393905487207831E-29</v>
      </c>
      <c r="J75" s="19">
        <v>20.028834036344772</v>
      </c>
      <c r="K75" s="10">
        <v>8.2366889284824022E-29</v>
      </c>
      <c r="L75" s="10">
        <f t="shared" si="5"/>
        <v>1.649712755575725E-27</v>
      </c>
      <c r="M75" s="10">
        <f t="shared" si="6"/>
        <v>3.3041822989067206E-26</v>
      </c>
    </row>
    <row r="76" spans="1:13">
      <c r="A76" s="3">
        <v>63</v>
      </c>
      <c r="B76" s="10">
        <f t="shared" si="0"/>
        <v>2.7016202383803017E-32</v>
      </c>
      <c r="C76" s="19">
        <f t="shared" si="7"/>
        <v>20.075080034614068</v>
      </c>
      <c r="D76" s="10">
        <f t="shared" si="1"/>
        <v>2.7012926595838781E-32</v>
      </c>
      <c r="E76" s="10">
        <f t="shared" si="2"/>
        <v>5.4228666338061846E-31</v>
      </c>
      <c r="F76" s="10">
        <f t="shared" si="3"/>
        <v>1.0886448169069733E-29</v>
      </c>
      <c r="H76" s="3">
        <v>63</v>
      </c>
      <c r="I76" s="10">
        <v>2.7016202383803017E-32</v>
      </c>
      <c r="J76" s="19">
        <v>20.075080034614068</v>
      </c>
      <c r="K76" s="10">
        <v>2.7012926595838781E-32</v>
      </c>
      <c r="L76" s="10">
        <f t="shared" si="5"/>
        <v>5.4228666338061846E-31</v>
      </c>
      <c r="M76" s="10">
        <f t="shared" si="6"/>
        <v>1.0886448169069733E-29</v>
      </c>
    </row>
    <row r="77" spans="1:13">
      <c r="A77" s="3">
        <v>64</v>
      </c>
      <c r="B77" s="10">
        <f t="shared" si="0"/>
        <v>3.2757879642388706E-36</v>
      </c>
      <c r="C77" s="19">
        <f t="shared" si="7"/>
        <v>20.119123842489589</v>
      </c>
      <c r="D77" s="10">
        <f t="shared" si="1"/>
        <v>3.275658127722011E-36</v>
      </c>
      <c r="E77" s="10">
        <f t="shared" si="2"/>
        <v>6.5903371537296722E-35</v>
      </c>
      <c r="F77" s="10">
        <f t="shared" si="3"/>
        <v>1.3259180935964763E-33</v>
      </c>
      <c r="H77" s="3">
        <v>64</v>
      </c>
      <c r="I77" s="10">
        <v>3.2757879642388706E-36</v>
      </c>
      <c r="J77" s="19">
        <v>20.119123842489589</v>
      </c>
      <c r="K77" s="10">
        <v>3.275658127722011E-36</v>
      </c>
      <c r="L77" s="10">
        <f t="shared" si="5"/>
        <v>6.5903371537296722E-35</v>
      </c>
      <c r="M77" s="10">
        <f t="shared" si="6"/>
        <v>1.3259180935964763E-33</v>
      </c>
    </row>
    <row r="78" spans="1:13">
      <c r="A78" s="3">
        <v>65</v>
      </c>
      <c r="B78" s="10">
        <f t="shared" ref="B78:B89" si="8">(B$9^A78)*(B$8^((B$5^$B$7)*(B$5^A78-1)))</f>
        <v>1.298365168595661E-40</v>
      </c>
      <c r="C78" s="19">
        <f t="shared" si="7"/>
        <v>20.16107032618056</v>
      </c>
      <c r="D78" s="10">
        <f t="shared" ref="D78:D88" si="9">B78-B79</f>
        <v>1.2983505248617116E-40</v>
      </c>
      <c r="E78" s="10">
        <f t="shared" ref="E78:E88" si="10">C78*D78</f>
        <v>2.6176136239770411E-39</v>
      </c>
      <c r="F78" s="10">
        <f t="shared" ref="F78:F88" si="11">E78*C78</f>
        <v>5.2773892359769485E-38</v>
      </c>
      <c r="H78" s="3">
        <v>65</v>
      </c>
      <c r="I78" s="10">
        <v>1.298365168595661E-40</v>
      </c>
      <c r="J78" s="19">
        <v>20.16107032618056</v>
      </c>
      <c r="K78" s="10">
        <v>1.2983505248617116E-40</v>
      </c>
      <c r="L78" s="10">
        <f t="shared" ref="L78:L88" si="12">J78*K78</f>
        <v>2.6176136239770411E-39</v>
      </c>
      <c r="M78" s="10">
        <f t="shared" ref="M78:M88" si="13">L78*J78</f>
        <v>5.2773892359769485E-38</v>
      </c>
    </row>
    <row r="79" spans="1:13">
      <c r="A79" s="3">
        <v>66</v>
      </c>
      <c r="B79" s="10">
        <f t="shared" si="8"/>
        <v>1.464373394939186E-45</v>
      </c>
      <c r="C79" s="19">
        <f t="shared" ref="C79:C88" si="14">C78+(1+B$6)^-A79</f>
        <v>20.2010193582672</v>
      </c>
      <c r="D79" s="10">
        <f t="shared" si="9"/>
        <v>1.4643693733447807E-45</v>
      </c>
      <c r="E79" s="10">
        <f t="shared" si="10"/>
        <v>2.9581754058591524E-44</v>
      </c>
      <c r="F79" s="10">
        <f t="shared" si="11"/>
        <v>5.9758158638910664E-43</v>
      </c>
      <c r="H79" s="3">
        <v>66</v>
      </c>
      <c r="I79" s="10">
        <v>1.464373394939186E-45</v>
      </c>
      <c r="J79" s="19">
        <v>20.2010193582672</v>
      </c>
      <c r="K79" s="10">
        <v>1.4643693733447807E-45</v>
      </c>
      <c r="L79" s="10">
        <f t="shared" si="12"/>
        <v>2.9581754058591524E-44</v>
      </c>
      <c r="M79" s="10">
        <f t="shared" si="13"/>
        <v>5.9758158638910664E-43</v>
      </c>
    </row>
    <row r="80" spans="1:13">
      <c r="A80" s="3">
        <v>67</v>
      </c>
      <c r="B80" s="10">
        <f t="shared" si="8"/>
        <v>4.0215944053460089E-51</v>
      </c>
      <c r="C80" s="19">
        <f t="shared" si="14"/>
        <v>20.239066055492572</v>
      </c>
      <c r="D80" s="10">
        <f t="shared" si="9"/>
        <v>4.0215921481924185E-51</v>
      </c>
      <c r="E80" s="10">
        <f t="shared" si="10"/>
        <v>8.1393269135516632E-50</v>
      </c>
      <c r="F80" s="10">
        <f t="shared" si="11"/>
        <v>1.6473237505062058E-48</v>
      </c>
      <c r="H80" s="3">
        <v>67</v>
      </c>
      <c r="I80" s="10">
        <v>4.0215944053460089E-51</v>
      </c>
      <c r="J80" s="19">
        <v>20.239066055492572</v>
      </c>
      <c r="K80" s="10">
        <v>4.0215921481924185E-51</v>
      </c>
      <c r="L80" s="10">
        <f t="shared" si="12"/>
        <v>8.1393269135516632E-50</v>
      </c>
      <c r="M80" s="10">
        <f t="shared" si="13"/>
        <v>1.6473237505062058E-48</v>
      </c>
    </row>
    <row r="81" spans="1:13">
      <c r="A81" s="3">
        <v>68</v>
      </c>
      <c r="B81" s="10">
        <f t="shared" si="8"/>
        <v>2.2571535901361551E-57</v>
      </c>
      <c r="C81" s="19">
        <f t="shared" si="14"/>
        <v>20.275301005231022</v>
      </c>
      <c r="D81" s="10">
        <f t="shared" si="9"/>
        <v>2.2571533775025042E-57</v>
      </c>
      <c r="E81" s="10">
        <f t="shared" si="10"/>
        <v>4.5764464143837116E-56</v>
      </c>
      <c r="F81" s="10">
        <f t="shared" si="11"/>
        <v>9.2788828585939967E-55</v>
      </c>
      <c r="H81" s="3">
        <v>68</v>
      </c>
      <c r="I81" s="10">
        <v>2.2571535901361551E-57</v>
      </c>
      <c r="J81" s="19">
        <v>20.275301005231022</v>
      </c>
      <c r="K81" s="10">
        <v>2.2571533775025042E-57</v>
      </c>
      <c r="L81" s="10">
        <f t="shared" si="12"/>
        <v>4.5764464143837116E-56</v>
      </c>
      <c r="M81" s="10">
        <f t="shared" si="13"/>
        <v>9.2788828585939967E-55</v>
      </c>
    </row>
    <row r="82" spans="1:13">
      <c r="A82" s="3">
        <v>69</v>
      </c>
      <c r="B82" s="10">
        <f t="shared" si="8"/>
        <v>2.1263365101361863E-64</v>
      </c>
      <c r="C82" s="19">
        <f t="shared" si="14"/>
        <v>20.309810481172402</v>
      </c>
      <c r="D82" s="10">
        <f t="shared" si="9"/>
        <v>2.1263364831898628E-64</v>
      </c>
      <c r="E82" s="10">
        <f t="shared" si="10"/>
        <v>4.3185490992788742E-63</v>
      </c>
      <c r="F82" s="10">
        <f t="shared" si="11"/>
        <v>8.7708913759991706E-62</v>
      </c>
      <c r="H82" s="3">
        <v>69</v>
      </c>
      <c r="I82" s="10">
        <v>2.1263365101361863E-64</v>
      </c>
      <c r="J82" s="19">
        <v>20.309810481172402</v>
      </c>
      <c r="K82" s="10">
        <v>2.1263364831898628E-64</v>
      </c>
      <c r="L82" s="10">
        <f t="shared" si="12"/>
        <v>4.3185490992788742E-63</v>
      </c>
      <c r="M82" s="10">
        <f t="shared" si="13"/>
        <v>8.7708913759991706E-62</v>
      </c>
    </row>
    <row r="83" spans="1:13">
      <c r="A83" s="3">
        <v>70</v>
      </c>
      <c r="B83" s="10">
        <f t="shared" si="8"/>
        <v>2.694632339828654E-72</v>
      </c>
      <c r="C83" s="19">
        <f t="shared" si="14"/>
        <v>20.342676648735623</v>
      </c>
      <c r="D83" s="10">
        <f t="shared" si="9"/>
        <v>2.6946323362465808E-72</v>
      </c>
      <c r="E83" s="10">
        <f t="shared" si="10"/>
        <v>5.481603430349124E-71</v>
      </c>
      <c r="F83" s="10">
        <f t="shared" si="11"/>
        <v>1.115104861001922E-69</v>
      </c>
      <c r="H83" s="3">
        <v>70</v>
      </c>
      <c r="I83" s="10">
        <v>2.694632339828654E-72</v>
      </c>
      <c r="J83" s="19">
        <v>20.342676648735623</v>
      </c>
      <c r="K83" s="10">
        <v>2.6946323362465808E-72</v>
      </c>
      <c r="L83" s="10">
        <f t="shared" si="12"/>
        <v>5.481603430349124E-71</v>
      </c>
      <c r="M83" s="10">
        <f t="shared" si="13"/>
        <v>1.115104861001922E-69</v>
      </c>
    </row>
    <row r="84" spans="1:13">
      <c r="A84" s="3">
        <v>71</v>
      </c>
      <c r="B84" s="10">
        <f t="shared" si="8"/>
        <v>3.5820732236569782E-81</v>
      </c>
      <c r="C84" s="19">
        <f t="shared" si="14"/>
        <v>20.373977760700594</v>
      </c>
      <c r="D84" s="10">
        <f t="shared" si="9"/>
        <v>3.5820732232793087E-81</v>
      </c>
      <c r="E84" s="10">
        <f t="shared" si="10"/>
        <v>7.2981080188293729E-80</v>
      </c>
      <c r="F84" s="10">
        <f t="shared" si="11"/>
        <v>1.486914904708203E-78</v>
      </c>
      <c r="H84" s="3">
        <v>71</v>
      </c>
      <c r="I84" s="10">
        <v>3.5820732236569782E-81</v>
      </c>
      <c r="J84" s="19">
        <v>20.373977760700594</v>
      </c>
      <c r="K84" s="10">
        <v>3.5820732232793087E-81</v>
      </c>
      <c r="L84" s="10">
        <f t="shared" si="12"/>
        <v>7.2981080188293729E-80</v>
      </c>
      <c r="M84" s="10">
        <f t="shared" si="13"/>
        <v>1.486914904708203E-78</v>
      </c>
    </row>
    <row r="85" spans="1:13">
      <c r="A85" s="3">
        <v>72</v>
      </c>
      <c r="B85" s="10">
        <f t="shared" si="8"/>
        <v>3.7766955910082177E-91</v>
      </c>
      <c r="C85" s="19">
        <f t="shared" si="14"/>
        <v>20.403788343524376</v>
      </c>
      <c r="D85" s="10">
        <f t="shared" si="9"/>
        <v>3.7766955909851531E-91</v>
      </c>
      <c r="E85" s="10">
        <f t="shared" si="10"/>
        <v>7.7058897476382771E-90</v>
      </c>
      <c r="F85" s="10">
        <f t="shared" si="11"/>
        <v>1.5722934340934587E-88</v>
      </c>
      <c r="H85" s="3">
        <v>72</v>
      </c>
      <c r="I85" s="10">
        <v>3.7766955910082177E-91</v>
      </c>
      <c r="J85" s="19">
        <v>20.403788343524376</v>
      </c>
      <c r="K85" s="10">
        <v>3.7766955909851531E-91</v>
      </c>
      <c r="L85" s="10">
        <f t="shared" si="12"/>
        <v>7.7058897476382771E-90</v>
      </c>
      <c r="M85" s="10">
        <f t="shared" si="13"/>
        <v>1.5722934340934587E-88</v>
      </c>
    </row>
    <row r="86" spans="1:13">
      <c r="A86" s="3">
        <v>73</v>
      </c>
      <c r="B86" s="10">
        <f t="shared" si="8"/>
        <v>2.3064846224654213E-102</v>
      </c>
      <c r="C86" s="19">
        <f t="shared" si="14"/>
        <v>20.432179374785118</v>
      </c>
      <c r="D86" s="10">
        <f t="shared" si="9"/>
        <v>2.3064846224648482E-102</v>
      </c>
      <c r="E86" s="10">
        <f t="shared" si="10"/>
        <v>4.7126507531385314E-101</v>
      </c>
      <c r="F86" s="10">
        <f t="shared" si="11"/>
        <v>9.6289725518842647E-100</v>
      </c>
      <c r="H86" s="3">
        <v>73</v>
      </c>
      <c r="I86" s="10">
        <v>2.3064846224654213E-102</v>
      </c>
      <c r="J86" s="19">
        <v>20.432179374785118</v>
      </c>
      <c r="K86" s="10">
        <v>2.3064846224648482E-102</v>
      </c>
      <c r="L86" s="10">
        <f t="shared" si="12"/>
        <v>4.7126507531385314E-101</v>
      </c>
      <c r="M86" s="10">
        <f t="shared" si="13"/>
        <v>9.6289725518842647E-100</v>
      </c>
    </row>
    <row r="87" spans="1:13">
      <c r="A87" s="3">
        <v>74</v>
      </c>
      <c r="B87" s="10">
        <f t="shared" si="8"/>
        <v>5.7311922571534613E-115</v>
      </c>
      <c r="C87" s="19">
        <f t="shared" si="14"/>
        <v>20.459218452176302</v>
      </c>
      <c r="D87" s="10">
        <f t="shared" si="9"/>
        <v>5.7311922571534225E-115</v>
      </c>
      <c r="E87" s="10">
        <f t="shared" si="10"/>
        <v>1.1725571438052325E-113</v>
      </c>
      <c r="F87" s="10">
        <f t="shared" si="11"/>
        <v>2.3989602752771153E-112</v>
      </c>
      <c r="H87" s="3">
        <v>74</v>
      </c>
      <c r="I87" s="10">
        <v>5.7311922571534613E-115</v>
      </c>
      <c r="J87" s="19">
        <v>20.459218452176302</v>
      </c>
      <c r="K87" s="10">
        <v>5.7311922571534225E-115</v>
      </c>
      <c r="L87" s="10">
        <f t="shared" si="12"/>
        <v>1.1725571438052325E-113</v>
      </c>
      <c r="M87" s="10">
        <f t="shared" si="13"/>
        <v>2.3989602752771153E-112</v>
      </c>
    </row>
    <row r="88" spans="1:13">
      <c r="A88" s="3">
        <v>75</v>
      </c>
      <c r="B88" s="10">
        <f t="shared" si="8"/>
        <v>3.8955407012078373E-129</v>
      </c>
      <c r="C88" s="19">
        <f t="shared" si="14"/>
        <v>20.484969954453621</v>
      </c>
      <c r="D88" s="10">
        <f t="shared" si="9"/>
        <v>3.8955407012078367E-129</v>
      </c>
      <c r="E88" s="10">
        <f t="shared" si="10"/>
        <v>7.9800034220593722E-128</v>
      </c>
      <c r="F88" s="10">
        <f t="shared" si="11"/>
        <v>1.6347013033732331E-126</v>
      </c>
      <c r="H88" s="3">
        <v>75</v>
      </c>
      <c r="I88" s="10">
        <v>3.8955407012078373E-129</v>
      </c>
      <c r="J88" s="19">
        <v>20.484969954453621</v>
      </c>
      <c r="K88" s="10">
        <v>3.8955407012078367E-129</v>
      </c>
      <c r="L88" s="10">
        <f t="shared" si="12"/>
        <v>7.9800034220593722E-128</v>
      </c>
      <c r="M88" s="10">
        <f t="shared" si="13"/>
        <v>1.6347013033732331E-126</v>
      </c>
    </row>
    <row r="89" spans="1:13">
      <c r="A89" s="3">
        <v>76</v>
      </c>
      <c r="B89" s="10">
        <f t="shared" si="8"/>
        <v>4.6356473049830051E-145</v>
      </c>
      <c r="H89" s="3">
        <v>76</v>
      </c>
      <c r="I89" s="10">
        <v>4.6356473049830051E-145</v>
      </c>
      <c r="J89" s="19"/>
      <c r="K89" s="10"/>
    </row>
    <row r="90" spans="1:13">
      <c r="D90" s="48" t="s">
        <v>80</v>
      </c>
      <c r="E90" s="49">
        <f>SUM(E13:E88)</f>
        <v>13.549790037747206</v>
      </c>
      <c r="F90" s="19">
        <f>SUM(F13:F88)</f>
        <v>196.09412582471103</v>
      </c>
      <c r="H90" s="3"/>
      <c r="I90" s="10"/>
      <c r="K90" s="48" t="s">
        <v>80</v>
      </c>
      <c r="L90" s="49">
        <f>SUM(L13:L88)</f>
        <v>13.814095451630426</v>
      </c>
      <c r="M90" s="19">
        <f>SUM(M13:M88)</f>
        <v>199.20888894226462</v>
      </c>
    </row>
    <row r="91" spans="1:13">
      <c r="H91" s="3"/>
      <c r="I91" s="10"/>
    </row>
    <row r="92" spans="1:13">
      <c r="D92" s="48" t="s">
        <v>81</v>
      </c>
      <c r="E92" s="49">
        <f>F90-E90^2</f>
        <v>12.497315757677598</v>
      </c>
      <c r="H92" s="3"/>
      <c r="I92" s="10"/>
      <c r="K92" s="48" t="s">
        <v>81</v>
      </c>
      <c r="L92" s="49">
        <f>M90-L90^2</f>
        <v>8.3796557955081994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zoomScale="125" zoomScaleNormal="125" zoomScalePageLayoutView="125" workbookViewId="0"/>
  </sheetViews>
  <sheetFormatPr baseColWidth="10" defaultRowHeight="12" x14ac:dyDescent="0"/>
  <cols>
    <col min="2" max="2" width="10.83203125" customWidth="1"/>
    <col min="7" max="7" width="13.6640625" bestFit="1" customWidth="1"/>
  </cols>
  <sheetData>
    <row r="1" spans="1:7" ht="15">
      <c r="A1" s="70" t="s">
        <v>96</v>
      </c>
    </row>
    <row r="3" spans="1:7">
      <c r="A3" s="52" t="s">
        <v>9</v>
      </c>
      <c r="B3" s="51">
        <v>2.2000000000000001E-4</v>
      </c>
    </row>
    <row r="4" spans="1:7">
      <c r="A4" s="52" t="s">
        <v>10</v>
      </c>
      <c r="B4" s="51">
        <f>2.7/1000000</f>
        <v>2.7E-6</v>
      </c>
    </row>
    <row r="5" spans="1:7">
      <c r="A5" s="52" t="s">
        <v>24</v>
      </c>
      <c r="B5" s="51">
        <v>1.1240000000000001</v>
      </c>
    </row>
    <row r="6" spans="1:7">
      <c r="A6" s="52" t="s">
        <v>74</v>
      </c>
      <c r="B6" s="61">
        <v>0.05</v>
      </c>
    </row>
    <row r="7" spans="1:7">
      <c r="A7" s="52" t="s">
        <v>82</v>
      </c>
      <c r="B7" s="51">
        <v>35</v>
      </c>
    </row>
    <row r="8" spans="1:7">
      <c r="A8" s="53" t="s">
        <v>25</v>
      </c>
      <c r="B8" s="77">
        <f>EXP(-B4/LN(B5))</f>
        <v>0.99997690236831238</v>
      </c>
    </row>
    <row r="9" spans="1:7">
      <c r="A9" s="53" t="s">
        <v>27</v>
      </c>
      <c r="B9" s="77">
        <f>EXP(-B3)</f>
        <v>0.99978002419822543</v>
      </c>
    </row>
    <row r="11" spans="1:7">
      <c r="A11" s="1" t="s">
        <v>2</v>
      </c>
      <c r="G11" s="1" t="s">
        <v>3</v>
      </c>
    </row>
    <row r="12" spans="1:7">
      <c r="D12" s="3" t="s">
        <v>75</v>
      </c>
      <c r="E12" s="3" t="s">
        <v>83</v>
      </c>
      <c r="G12" s="3" t="s">
        <v>83</v>
      </c>
    </row>
    <row r="13" spans="1:7">
      <c r="A13" s="3" t="s">
        <v>0</v>
      </c>
      <c r="B13" s="7" t="s">
        <v>105</v>
      </c>
      <c r="C13" s="3" t="s">
        <v>85</v>
      </c>
      <c r="D13" s="3" t="s">
        <v>86</v>
      </c>
      <c r="E13" s="3" t="s">
        <v>86</v>
      </c>
      <c r="G13" s="3" t="s">
        <v>125</v>
      </c>
    </row>
    <row r="14" spans="1:7">
      <c r="A14" s="3">
        <v>0</v>
      </c>
      <c r="B14" s="10">
        <f>EXP(-(0.9^(2-A14))*(B$3*((0.9^A14 - 1)/LN(0.9)) +B$4*(B$5^B$7)*((0.9^A14 -B$5^A14)/LN(0.9/B$5))))</f>
        <v>1</v>
      </c>
      <c r="C14" s="3">
        <f>(1+B$6)^-A14</f>
        <v>1</v>
      </c>
      <c r="D14" s="10">
        <f>B14*C14</f>
        <v>1</v>
      </c>
      <c r="E14" s="10">
        <f>(B14-B15)*C15</f>
        <v>3.1844384947769875E-4</v>
      </c>
      <c r="G14" s="10">
        <f>(B14-B15)*(C15^2)</f>
        <v>3.0327985664542739E-4</v>
      </c>
    </row>
    <row r="15" spans="1:7">
      <c r="A15" s="3">
        <v>1</v>
      </c>
      <c r="B15" s="10">
        <f t="shared" ref="B15:B16" si="0">EXP(-(0.9^(2-A15))*(B$3*((0.9^A15 - 1)/LN(0.9)) +B$4*(B$5^B$7)*((0.9^A15 -B$5^A15)/LN(0.9/B$5))))</f>
        <v>0.99966563395804842</v>
      </c>
      <c r="C15" s="10">
        <f t="shared" ref="C15:C34" si="1">(1+B$6)^-A15</f>
        <v>0.95238095238095233</v>
      </c>
      <c r="D15" s="10">
        <f>B15*C15</f>
        <v>0.95206250853147467</v>
      </c>
      <c r="E15" s="10">
        <f t="shared" ref="E15:E33" si="2">(B15-B16)*C16</f>
        <v>3.551529385234288E-4</v>
      </c>
      <c r="G15" s="10">
        <f t="shared" ref="G15:G33" si="3">(B15-B16)*(C16^2)</f>
        <v>3.2213418460174948E-4</v>
      </c>
    </row>
    <row r="16" spans="1:7">
      <c r="A16" s="3">
        <v>2</v>
      </c>
      <c r="B16" s="10">
        <f t="shared" si="0"/>
        <v>0.99927407784332634</v>
      </c>
      <c r="C16" s="10">
        <f t="shared" si="1"/>
        <v>0.90702947845804982</v>
      </c>
      <c r="D16" s="10">
        <f t="shared" ref="D16:D33" si="4">B16*C16</f>
        <v>0.90637104566288096</v>
      </c>
      <c r="E16" s="10">
        <f t="shared" si="2"/>
        <v>3.7666176071796088E-4</v>
      </c>
      <c r="G16" s="10">
        <f t="shared" si="3"/>
        <v>3.2537459083724075E-4</v>
      </c>
    </row>
    <row r="17" spans="1:7">
      <c r="A17" s="3">
        <v>3</v>
      </c>
      <c r="B17" s="10">
        <f>B16*(B$9)*B$8^((B$5^(B$7+A16))*(B$5-1))</f>
        <v>0.99883804477257521</v>
      </c>
      <c r="C17" s="10">
        <f t="shared" si="1"/>
        <v>0.86383759853147601</v>
      </c>
      <c r="D17" s="10">
        <f t="shared" si="4"/>
        <v>0.86283385791821632</v>
      </c>
      <c r="E17" s="10">
        <f t="shared" si="2"/>
        <v>3.8061404573603262E-4</v>
      </c>
      <c r="G17" s="10">
        <f t="shared" si="3"/>
        <v>3.131321173675846E-4</v>
      </c>
    </row>
    <row r="18" spans="1:7">
      <c r="A18" s="3">
        <v>4</v>
      </c>
      <c r="B18" s="10">
        <f t="shared" ref="B18:B34" si="5">B17*(B$9)*B$8^((B$5^(B$7+A17))*(B$5-1))</f>
        <v>0.99837540602114527</v>
      </c>
      <c r="C18" s="10">
        <f t="shared" si="1"/>
        <v>0.82270247479188197</v>
      </c>
      <c r="D18" s="10">
        <f t="shared" si="4"/>
        <v>0.82136591730494624</v>
      </c>
      <c r="E18" s="10">
        <f t="shared" si="2"/>
        <v>3.8590881088897795E-4</v>
      </c>
      <c r="G18" s="10">
        <f t="shared" si="3"/>
        <v>3.0236965120224239E-4</v>
      </c>
    </row>
    <row r="19" spans="1:7">
      <c r="A19" s="3">
        <v>5</v>
      </c>
      <c r="B19" s="10">
        <f t="shared" si="5"/>
        <v>0.99788287772100137</v>
      </c>
      <c r="C19" s="10">
        <f t="shared" si="1"/>
        <v>0.78352616646845896</v>
      </c>
      <c r="D19" s="10">
        <f t="shared" si="4"/>
        <v>0.78186734576525019</v>
      </c>
      <c r="E19" s="10">
        <f t="shared" si="2"/>
        <v>3.9258709356267851E-4</v>
      </c>
      <c r="G19" s="10">
        <f t="shared" si="3"/>
        <v>2.9295453373729503E-4</v>
      </c>
    </row>
    <row r="20" spans="1:7">
      <c r="A20" s="3">
        <v>6</v>
      </c>
      <c r="B20" s="10">
        <f t="shared" si="5"/>
        <v>0.99735677346835239</v>
      </c>
      <c r="C20" s="10">
        <f t="shared" si="1"/>
        <v>0.74621539663662761</v>
      </c>
      <c r="D20" s="10">
        <f t="shared" si="4"/>
        <v>0.74424298030191371</v>
      </c>
      <c r="E20" s="10">
        <f t="shared" si="2"/>
        <v>4.0069489033527344E-4</v>
      </c>
      <c r="G20" s="10">
        <f t="shared" si="3"/>
        <v>2.8476637763981524E-4</v>
      </c>
    </row>
    <row r="21" spans="1:7">
      <c r="A21" s="3">
        <v>7</v>
      </c>
      <c r="B21" s="10">
        <f t="shared" si="5"/>
        <v>0.99679295551880542</v>
      </c>
      <c r="C21" s="10">
        <f t="shared" si="1"/>
        <v>0.71068133013012147</v>
      </c>
      <c r="D21" s="10">
        <f t="shared" si="4"/>
        <v>0.70840214349243968</v>
      </c>
      <c r="E21" s="10">
        <f t="shared" si="2"/>
        <v>4.1028331114129052E-4</v>
      </c>
      <c r="G21" s="10">
        <f t="shared" si="3"/>
        <v>2.7769589456388846E-4</v>
      </c>
    </row>
    <row r="22" spans="1:7">
      <c r="A22" s="3">
        <v>8</v>
      </c>
      <c r="B22" s="10">
        <f t="shared" si="5"/>
        <v>0.99618678020726392</v>
      </c>
      <c r="C22" s="10">
        <f t="shared" si="1"/>
        <v>0.67683936202868722</v>
      </c>
      <c r="D22" s="10">
        <f t="shared" si="4"/>
        <v>0.67425842477689657</v>
      </c>
      <c r="E22" s="10">
        <f t="shared" si="2"/>
        <v>4.2140873453851157E-4</v>
      </c>
      <c r="G22" s="10">
        <f t="shared" si="3"/>
        <v>2.7164382765558341E-4</v>
      </c>
    </row>
    <row r="23" spans="1:7">
      <c r="A23" s="3">
        <v>9</v>
      </c>
      <c r="B23" s="10">
        <f t="shared" si="5"/>
        <v>0.99553303694691453</v>
      </c>
      <c r="C23" s="10">
        <f t="shared" si="1"/>
        <v>0.64460891621779726</v>
      </c>
      <c r="D23" s="10">
        <f t="shared" si="4"/>
        <v>0.6417294720053629</v>
      </c>
      <c r="E23" s="10">
        <f t="shared" si="2"/>
        <v>4.3413296083868558E-4</v>
      </c>
      <c r="G23" s="10">
        <f t="shared" si="3"/>
        <v>2.6651997845776051E-4</v>
      </c>
    </row>
    <row r="24" spans="1:7">
      <c r="A24" s="3">
        <v>10</v>
      </c>
      <c r="B24" s="10">
        <f t="shared" si="5"/>
        <v>0.99482588009969741</v>
      </c>
      <c r="C24" s="10">
        <f t="shared" si="1"/>
        <v>0.61391325354075932</v>
      </c>
      <c r="D24" s="10">
        <f t="shared" si="4"/>
        <v>0.61073679275855453</v>
      </c>
      <c r="E24" s="10">
        <f t="shared" si="2"/>
        <v>4.4852335906374487E-4</v>
      </c>
      <c r="G24" s="10">
        <f t="shared" si="3"/>
        <v>2.6224231871605126E-4</v>
      </c>
    </row>
    <row r="25" spans="1:7">
      <c r="A25" s="3">
        <v>11</v>
      </c>
      <c r="B25" s="10">
        <f t="shared" si="5"/>
        <v>0.99405875294565615</v>
      </c>
      <c r="C25" s="10">
        <f t="shared" si="1"/>
        <v>0.5846792890864374</v>
      </c>
      <c r="D25" s="10">
        <f t="shared" si="4"/>
        <v>0.58120556498241671</v>
      </c>
      <c r="E25" s="10">
        <f t="shared" si="2"/>
        <v>4.6465300270956151E-4</v>
      </c>
      <c r="G25" s="10">
        <f t="shared" si="3"/>
        <v>2.587361783772428E-4</v>
      </c>
    </row>
    <row r="26" spans="1:7">
      <c r="A26" s="3">
        <v>12</v>
      </c>
      <c r="B26" s="10">
        <f t="shared" si="5"/>
        <v>0.99322430291133501</v>
      </c>
      <c r="C26" s="10">
        <f t="shared" si="1"/>
        <v>0.5568374181775595</v>
      </c>
      <c r="D26" s="10">
        <f t="shared" si="4"/>
        <v>0.5530644565043541</v>
      </c>
      <c r="E26" s="10">
        <f t="shared" si="2"/>
        <v>4.826007881258065E-4</v>
      </c>
      <c r="G26" s="10">
        <f t="shared" si="3"/>
        <v>2.5593350178136138E-4</v>
      </c>
    </row>
    <row r="27" spans="1:7">
      <c r="A27" s="3">
        <v>13</v>
      </c>
      <c r="B27" s="10">
        <f t="shared" si="5"/>
        <v>0.99231428714912107</v>
      </c>
      <c r="C27" s="10">
        <f t="shared" si="1"/>
        <v>0.53032135064529462</v>
      </c>
      <c r="D27" s="10">
        <f t="shared" si="4"/>
        <v>0.5262454530255446</v>
      </c>
      <c r="E27" s="10">
        <f t="shared" si="2"/>
        <v>5.0245152790670544E-4</v>
      </c>
      <c r="G27" s="10">
        <f t="shared" si="3"/>
        <v>2.5377216467931048E-4</v>
      </c>
    </row>
    <row r="28" spans="1:7">
      <c r="A28" s="3">
        <v>14</v>
      </c>
      <c r="B28" s="10">
        <f t="shared" si="5"/>
        <v>0.99131946749183197</v>
      </c>
      <c r="C28" s="10">
        <f t="shared" si="1"/>
        <v>0.50506795299551888</v>
      </c>
      <c r="D28" s="10">
        <f t="shared" si="4"/>
        <v>0.50068369421070735</v>
      </c>
      <c r="E28" s="10">
        <f t="shared" si="2"/>
        <v>5.2429600999832069E-4</v>
      </c>
      <c r="G28" s="10">
        <f t="shared" si="3"/>
        <v>2.5219534527006653E-4</v>
      </c>
    </row>
    <row r="29" spans="1:7">
      <c r="A29" s="3">
        <v>15</v>
      </c>
      <c r="B29" s="10">
        <f t="shared" si="5"/>
        <v>0.99022949374229352</v>
      </c>
      <c r="C29" s="10">
        <f t="shared" si="1"/>
        <v>0.48101709809097021</v>
      </c>
      <c r="D29" s="10">
        <f t="shared" si="4"/>
        <v>0.47631731752400858</v>
      </c>
      <c r="E29" s="10">
        <f t="shared" si="2"/>
        <v>5.4823101120800256E-4</v>
      </c>
      <c r="G29" s="10">
        <f t="shared" si="3"/>
        <v>2.5115094294738245E-4</v>
      </c>
    </row>
    <row r="30" spans="1:7">
      <c r="A30" s="3">
        <v>16</v>
      </c>
      <c r="B30" s="10">
        <f t="shared" si="5"/>
        <v>0.98903277419936464</v>
      </c>
      <c r="C30" s="10">
        <f t="shared" si="1"/>
        <v>0.45811152199140021</v>
      </c>
      <c r="D30" s="10">
        <f t="shared" si="4"/>
        <v>0.45308730948784781</v>
      </c>
      <c r="E30" s="10">
        <f t="shared" si="2"/>
        <v>5.7435925140223365E-4</v>
      </c>
      <c r="G30" s="10">
        <f t="shared" si="3"/>
        <v>2.5059103888544617E-4</v>
      </c>
    </row>
    <row r="31" spans="1:7">
      <c r="A31" s="3">
        <v>17</v>
      </c>
      <c r="B31" s="10">
        <f t="shared" si="5"/>
        <v>0.98771633227415223</v>
      </c>
      <c r="C31" s="10">
        <f t="shared" si="1"/>
        <v>0.43629668761085727</v>
      </c>
      <c r="D31" s="10">
        <f t="shared" si="4"/>
        <v>0.43093736407035749</v>
      </c>
      <c r="E31" s="10">
        <f t="shared" si="2"/>
        <v>6.0278927183086658E-4</v>
      </c>
      <c r="G31" s="10">
        <f t="shared" si="3"/>
        <v>2.5047139297825497E-4</v>
      </c>
    </row>
    <row r="32" spans="1:7">
      <c r="A32" s="3">
        <v>18</v>
      </c>
      <c r="B32" s="10">
        <f t="shared" si="5"/>
        <v>0.98626564801870142</v>
      </c>
      <c r="C32" s="10">
        <f t="shared" si="1"/>
        <v>0.41552065486748313</v>
      </c>
      <c r="D32" s="10">
        <f t="shared" si="4"/>
        <v>0.40981374793803343</v>
      </c>
      <c r="E32" s="10">
        <f t="shared" si="2"/>
        <v>6.3363521765684167E-4</v>
      </c>
      <c r="G32" s="10">
        <f t="shared" si="3"/>
        <v>2.507509719884486E-4</v>
      </c>
    </row>
    <row r="33" spans="1:8">
      <c r="A33" s="3">
        <v>19</v>
      </c>
      <c r="B33" s="10">
        <f t="shared" si="5"/>
        <v>0.98466448338164658</v>
      </c>
      <c r="C33" s="10">
        <f t="shared" si="1"/>
        <v>0.39573395701665059</v>
      </c>
      <c r="D33" s="10">
        <f t="shared" si="4"/>
        <v>0.38966517234237497</v>
      </c>
      <c r="E33" s="10">
        <f t="shared" si="2"/>
        <v>6.6701650081771161E-4</v>
      </c>
      <c r="G33" s="10">
        <f t="shared" si="3"/>
        <v>2.5139150406094577E-4</v>
      </c>
    </row>
    <row r="34" spans="1:8">
      <c r="A34" s="3">
        <v>20</v>
      </c>
      <c r="B34" s="10">
        <f t="shared" si="5"/>
        <v>0.98289469003073349</v>
      </c>
      <c r="C34" s="10">
        <f t="shared" si="1"/>
        <v>0.37688948287300061</v>
      </c>
      <c r="D34" s="10"/>
      <c r="E34" s="10">
        <f>B34*C34</f>
        <v>0.37044267144430137</v>
      </c>
      <c r="G34" s="10">
        <f>B34*(C34^2)</f>
        <v>0.13961594687473564</v>
      </c>
    </row>
    <row r="35" spans="1:8">
      <c r="D35" s="10">
        <f>SUM(D14:D33)</f>
        <v>13.024890568603581</v>
      </c>
      <c r="E35" s="10">
        <f>SUM(E14:E34)</f>
        <v>0.37976711578078171</v>
      </c>
      <c r="G35" s="10">
        <f>SUM(G14:G34)</f>
        <v>0.14511305324712873</v>
      </c>
    </row>
    <row r="36" spans="1:8">
      <c r="G36" s="10"/>
    </row>
    <row r="37" spans="1:8">
      <c r="C37" s="48" t="s">
        <v>87</v>
      </c>
      <c r="D37" s="57">
        <f>(3000+100000*E35)/(0.97*D35-0.17)</f>
        <v>3287.5672862999986</v>
      </c>
      <c r="G37" s="48" t="s">
        <v>157</v>
      </c>
      <c r="H37" s="74">
        <f>((100000+0.97*D37*1.05/0.05)^2)*(G35-E35^2)</f>
        <v>24811372.606057275</v>
      </c>
    </row>
    <row r="38" spans="1:8">
      <c r="G38" s="48" t="s">
        <v>158</v>
      </c>
      <c r="H38" s="57">
        <f>SQRT(H37)</f>
        <v>4981.101545447279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1"/>
  <sheetViews>
    <sheetView zoomScale="125" zoomScaleNormal="125" zoomScalePageLayoutView="125" workbookViewId="0"/>
  </sheetViews>
  <sheetFormatPr baseColWidth="10" defaultRowHeight="12" x14ac:dyDescent="0"/>
  <sheetData>
    <row r="1" spans="1:13" ht="15">
      <c r="A1" s="70" t="s">
        <v>750</v>
      </c>
      <c r="G1" s="3"/>
      <c r="H1" s="5"/>
      <c r="I1" s="3"/>
      <c r="L1" s="3"/>
      <c r="M1" s="3"/>
    </row>
    <row r="2" spans="1:13">
      <c r="G2" s="3"/>
      <c r="H2" s="5"/>
      <c r="I2" s="3"/>
      <c r="L2" s="3"/>
      <c r="M2" s="3"/>
    </row>
    <row r="3" spans="1:13">
      <c r="A3" s="52" t="s">
        <v>9</v>
      </c>
      <c r="B3" s="51">
        <v>2.2000000000000001E-4</v>
      </c>
      <c r="G3" s="3"/>
      <c r="H3" s="5"/>
      <c r="I3" s="3"/>
      <c r="L3" s="3"/>
      <c r="M3" s="3"/>
    </row>
    <row r="4" spans="1:13">
      <c r="A4" s="52" t="s">
        <v>10</v>
      </c>
      <c r="B4" s="51">
        <f>2.7/1000000</f>
        <v>2.7E-6</v>
      </c>
      <c r="G4" s="3"/>
      <c r="H4" s="5"/>
      <c r="I4" s="3"/>
      <c r="L4" s="3"/>
      <c r="M4" s="3"/>
    </row>
    <row r="5" spans="1:13">
      <c r="A5" s="52" t="s">
        <v>24</v>
      </c>
      <c r="B5" s="51">
        <v>1.1240000000000001</v>
      </c>
      <c r="G5" s="3"/>
      <c r="H5" s="5"/>
      <c r="I5" s="3"/>
      <c r="L5" s="3"/>
      <c r="M5" s="3"/>
    </row>
    <row r="6" spans="1:13">
      <c r="A6" s="52" t="s">
        <v>74</v>
      </c>
      <c r="B6" s="61">
        <v>0.05</v>
      </c>
      <c r="G6" s="42"/>
      <c r="H6" s="5"/>
      <c r="I6" s="42"/>
      <c r="L6" s="42"/>
      <c r="M6" s="42"/>
    </row>
    <row r="7" spans="1:13">
      <c r="A7" s="52" t="s">
        <v>82</v>
      </c>
      <c r="B7" s="51">
        <v>40</v>
      </c>
      <c r="G7" s="42"/>
      <c r="H7" s="5"/>
      <c r="I7" s="42"/>
      <c r="L7" s="42"/>
      <c r="M7" s="42"/>
    </row>
    <row r="8" spans="1:13">
      <c r="A8" s="9" t="s">
        <v>25</v>
      </c>
      <c r="B8" s="18">
        <f>EXP(-B4/LN(B5))</f>
        <v>0.99997690236831238</v>
      </c>
      <c r="G8" s="3"/>
      <c r="H8" s="5"/>
      <c r="I8" s="3"/>
      <c r="L8" s="3"/>
      <c r="M8" s="3"/>
    </row>
    <row r="9" spans="1:13">
      <c r="A9" s="9" t="s">
        <v>27</v>
      </c>
      <c r="B9" s="18">
        <f>EXP(-B3)</f>
        <v>0.99978002419822543</v>
      </c>
      <c r="G9" s="3"/>
      <c r="H9" s="5"/>
      <c r="I9" s="3"/>
      <c r="L9" s="3"/>
      <c r="M9" s="3"/>
    </row>
    <row r="10" spans="1:13">
      <c r="G10" s="3"/>
      <c r="H10" s="5"/>
      <c r="I10" s="3"/>
      <c r="L10" s="15" t="s">
        <v>88</v>
      </c>
      <c r="M10" s="3"/>
    </row>
    <row r="11" spans="1:13">
      <c r="D11" s="3" t="s">
        <v>75</v>
      </c>
      <c r="E11" s="3" t="s">
        <v>89</v>
      </c>
      <c r="G11" s="3" t="s">
        <v>90</v>
      </c>
      <c r="H11" s="5"/>
      <c r="I11" s="3"/>
      <c r="L11" s="3" t="s">
        <v>91</v>
      </c>
      <c r="M11" s="3" t="s">
        <v>92</v>
      </c>
    </row>
    <row r="12" spans="1:13">
      <c r="A12" s="3" t="s">
        <v>0</v>
      </c>
      <c r="B12" s="7" t="s">
        <v>105</v>
      </c>
      <c r="C12" s="3" t="s">
        <v>85</v>
      </c>
      <c r="D12" s="3" t="s">
        <v>86</v>
      </c>
      <c r="E12" s="3" t="s">
        <v>86</v>
      </c>
      <c r="G12" s="3" t="s">
        <v>93</v>
      </c>
      <c r="H12" s="5" t="s">
        <v>0</v>
      </c>
      <c r="I12" s="7" t="s">
        <v>105</v>
      </c>
      <c r="J12" s="3" t="s">
        <v>85</v>
      </c>
      <c r="K12" s="3"/>
      <c r="L12" s="3" t="s">
        <v>94</v>
      </c>
      <c r="M12" s="3" t="s">
        <v>86</v>
      </c>
    </row>
    <row r="13" spans="1:13">
      <c r="A13" s="3">
        <v>0</v>
      </c>
      <c r="B13" s="4">
        <f>EXP(-(0.9^(2-A13))*(B$3*((0.9^A13 - 1)/LN(0.9)) +B$4*(B$5^B$7)*((0.9^A13 -B$5^A13)/LN(0.9/B$5))))</f>
        <v>1</v>
      </c>
      <c r="C13" s="10">
        <f>(1+B$6)^-A13</f>
        <v>1</v>
      </c>
      <c r="D13" s="10">
        <f>B13*C13</f>
        <v>1</v>
      </c>
      <c r="E13" s="10">
        <f>D13*1.06^A13</f>
        <v>1</v>
      </c>
      <c r="G13" s="3">
        <v>0</v>
      </c>
      <c r="H13" s="5">
        <f>G13/12</f>
        <v>0</v>
      </c>
      <c r="I13" s="4">
        <f>EXP(-(0.9^(2-H13))*(B$3*((0.9^H13 - 1)/LN(0.9)) +B$4*(B$5^B$7)*((0.9^H13 -B$5^H13)/LN(0.9/B$5))))</f>
        <v>1</v>
      </c>
      <c r="J13" s="10">
        <f>(1+B$6)^-H13</f>
        <v>1</v>
      </c>
      <c r="K13" s="24">
        <f>INT(H13+0.000001)</f>
        <v>0</v>
      </c>
      <c r="L13" s="19">
        <f>1.015^K13</f>
        <v>1</v>
      </c>
      <c r="M13" s="3"/>
    </row>
    <row r="14" spans="1:13">
      <c r="A14" s="3">
        <v>1</v>
      </c>
      <c r="B14" s="4">
        <f t="shared" ref="B14:B15" si="0">EXP(-(0.9^(2-A14))*(B$3*((0.9^A14 - 1)/LN(0.9)) +B$4*(B$5^B$7)*((0.9^A14 -B$5^A14)/LN(0.9/B$5))))</f>
        <v>0.99954935645874254</v>
      </c>
      <c r="C14" s="10">
        <f t="shared" ref="C14:C37" si="1">(1+B$6)^-A14</f>
        <v>0.95238095238095233</v>
      </c>
      <c r="D14" s="10">
        <f>B14*C14</f>
        <v>0.95195176805594528</v>
      </c>
      <c r="E14" s="10">
        <f t="shared" ref="E14:E37" si="2">D14*1.06^A14</f>
        <v>1.0090688741393021</v>
      </c>
      <c r="G14" s="3">
        <v>1</v>
      </c>
      <c r="H14" s="5">
        <f t="shared" ref="H14:H77" si="3">G14/12</f>
        <v>8.3333333333333329E-2</v>
      </c>
      <c r="I14" s="4">
        <f t="shared" ref="I14:I37" si="4">EXP(-(0.9^(2-H14))*(B$3*((0.9^H14 - 1)/LN(0.9)) +B$4*(B$5^B$7)*((0.9^H14 -B$5^H14)/LN(0.9/B$5))))</f>
        <v>0.99996534517789337</v>
      </c>
      <c r="J14" s="10">
        <f t="shared" ref="J14:J77" si="5">(1+B$6)^-H14</f>
        <v>0.99594240735106698</v>
      </c>
      <c r="K14" s="24">
        <f t="shared" ref="K14:K77" si="6">INT(H14+0.000001)</f>
        <v>0</v>
      </c>
      <c r="L14" s="19">
        <f t="shared" ref="L14:L77" si="7">1.015^K14</f>
        <v>1</v>
      </c>
      <c r="M14" s="19">
        <f>(I13-I14)*J14*L13</f>
        <v>3.4514206955197915E-5</v>
      </c>
    </row>
    <row r="15" spans="1:13">
      <c r="A15" s="3">
        <v>2</v>
      </c>
      <c r="B15" s="4">
        <f t="shared" si="0"/>
        <v>0.99901270407698106</v>
      </c>
      <c r="C15" s="10">
        <f t="shared" si="1"/>
        <v>0.90702947845804982</v>
      </c>
      <c r="D15" s="10">
        <f t="shared" ref="D15:D37" si="8">B15*C15</f>
        <v>0.90613397195191014</v>
      </c>
      <c r="E15" s="10">
        <f t="shared" si="2"/>
        <v>1.0181321308851663</v>
      </c>
      <c r="G15" s="3">
        <v>2</v>
      </c>
      <c r="H15" s="5">
        <f t="shared" si="3"/>
        <v>0.16666666666666666</v>
      </c>
      <c r="I15" s="4">
        <f t="shared" si="4"/>
        <v>0.99993019104150482</v>
      </c>
      <c r="J15" s="10">
        <f t="shared" si="5"/>
        <v>0.99190127876023881</v>
      </c>
      <c r="K15" s="24">
        <f t="shared" si="6"/>
        <v>0</v>
      </c>
      <c r="L15" s="19">
        <f t="shared" si="7"/>
        <v>1</v>
      </c>
      <c r="M15" s="19">
        <f t="shared" ref="M15:M78" si="9">(I14-I15)*J15*L14</f>
        <v>3.4869432837513404E-5</v>
      </c>
    </row>
    <row r="16" spans="1:13">
      <c r="A16" s="3">
        <v>3</v>
      </c>
      <c r="B16" s="4">
        <f>B15*(B$9)*B$8^((B$5^(B$7+A15))*((B$5-1)))</f>
        <v>0.99840517887952152</v>
      </c>
      <c r="C16" s="10">
        <f t="shared" si="1"/>
        <v>0.86383759853147601</v>
      </c>
      <c r="D16" s="10">
        <f t="shared" si="8"/>
        <v>0.86245993208467464</v>
      </c>
      <c r="E16" s="10">
        <f t="shared" si="2"/>
        <v>1.027203578471761</v>
      </c>
      <c r="G16" s="3">
        <v>3</v>
      </c>
      <c r="H16" s="5">
        <f t="shared" si="3"/>
        <v>0.25</v>
      </c>
      <c r="I16" s="4">
        <f t="shared" si="4"/>
        <v>0.99989452958617264</v>
      </c>
      <c r="J16" s="10">
        <f t="shared" si="5"/>
        <v>0.98787654742307407</v>
      </c>
      <c r="K16" s="24">
        <f t="shared" si="6"/>
        <v>0</v>
      </c>
      <c r="L16" s="19">
        <f t="shared" si="7"/>
        <v>1</v>
      </c>
      <c r="M16" s="19">
        <f t="shared" si="9"/>
        <v>3.5229115369637154E-5</v>
      </c>
    </row>
    <row r="17" spans="1:13">
      <c r="A17" s="3">
        <v>4</v>
      </c>
      <c r="B17" s="4">
        <f t="shared" ref="B17:B37" si="10">B16*(B$9)*B$8^((B$5^(B$7+A16))*((B$5-1)))</f>
        <v>0.99774997980465052</v>
      </c>
      <c r="C17" s="10">
        <f t="shared" si="1"/>
        <v>0.82270247479188197</v>
      </c>
      <c r="D17" s="10">
        <f t="shared" si="8"/>
        <v>0.8208513776088362</v>
      </c>
      <c r="E17" s="10">
        <f t="shared" si="2"/>
        <v>1.0363059518154158</v>
      </c>
      <c r="G17" s="3">
        <v>4</v>
      </c>
      <c r="H17" s="5">
        <f t="shared" si="3"/>
        <v>0.33333333333333331</v>
      </c>
      <c r="I17" s="4">
        <f t="shared" si="4"/>
        <v>0.99985835266998413</v>
      </c>
      <c r="J17" s="10">
        <f t="shared" si="5"/>
        <v>0.98386814680619694</v>
      </c>
      <c r="K17" s="24">
        <f t="shared" si="6"/>
        <v>0</v>
      </c>
      <c r="L17" s="19">
        <f t="shared" si="7"/>
        <v>1</v>
      </c>
      <c r="M17" s="19">
        <f t="shared" si="9"/>
        <v>3.5593315487555212E-5</v>
      </c>
    </row>
    <row r="18" spans="1:13">
      <c r="A18" s="3">
        <v>5</v>
      </c>
      <c r="B18" s="4">
        <f t="shared" si="10"/>
        <v>0.99704124819671358</v>
      </c>
      <c r="C18" s="10">
        <f t="shared" si="1"/>
        <v>0.78352616646845896</v>
      </c>
      <c r="D18" s="10">
        <f t="shared" si="8"/>
        <v>0.78120790701049836</v>
      </c>
      <c r="E18" s="10">
        <f t="shared" si="2"/>
        <v>1.0454324025848116</v>
      </c>
      <c r="G18" s="3">
        <v>5</v>
      </c>
      <c r="H18" s="5">
        <f t="shared" si="3"/>
        <v>0.41666666666666669</v>
      </c>
      <c r="I18" s="4">
        <f t="shared" si="4"/>
        <v>0.99982165201134099</v>
      </c>
      <c r="J18" s="10">
        <f t="shared" si="5"/>
        <v>0.97987601064619689</v>
      </c>
      <c r="K18" s="24">
        <f t="shared" si="6"/>
        <v>0</v>
      </c>
      <c r="L18" s="19">
        <f t="shared" si="7"/>
        <v>1</v>
      </c>
      <c r="M18" s="19">
        <f t="shared" si="9"/>
        <v>3.5962094979328526E-5</v>
      </c>
    </row>
    <row r="19" spans="1:13">
      <c r="A19" s="3">
        <v>6</v>
      </c>
      <c r="B19" s="4">
        <f t="shared" si="10"/>
        <v>0.9962724127346585</v>
      </c>
      <c r="C19" s="10">
        <f t="shared" si="1"/>
        <v>0.74621539663662761</v>
      </c>
      <c r="D19" s="10">
        <f t="shared" si="8"/>
        <v>0.74343381362692318</v>
      </c>
      <c r="E19" s="10">
        <f t="shared" si="2"/>
        <v>1.0545750733271562</v>
      </c>
      <c r="G19" s="3">
        <v>6</v>
      </c>
      <c r="H19" s="5">
        <f t="shared" si="3"/>
        <v>0.5</v>
      </c>
      <c r="I19" s="4">
        <f t="shared" si="4"/>
        <v>0.99978441918648298</v>
      </c>
      <c r="J19" s="10">
        <f t="shared" si="5"/>
        <v>0.97590007294853309</v>
      </c>
      <c r="K19" s="24">
        <f t="shared" si="6"/>
        <v>0</v>
      </c>
      <c r="L19" s="19">
        <f t="shared" si="7"/>
        <v>1</v>
      </c>
      <c r="M19" s="19">
        <f t="shared" si="9"/>
        <v>3.6335516495015211E-5</v>
      </c>
    </row>
    <row r="20" spans="1:13">
      <c r="A20" s="3">
        <v>7</v>
      </c>
      <c r="B20" s="4">
        <f t="shared" si="10"/>
        <v>0.99543610447165476</v>
      </c>
      <c r="C20" s="10">
        <f t="shared" si="1"/>
        <v>0.71068133013012147</v>
      </c>
      <c r="D20" s="10">
        <f t="shared" si="8"/>
        <v>0.70743785478546217</v>
      </c>
      <c r="E20" s="10">
        <f t="shared" si="2"/>
        <v>1.0637249648113571</v>
      </c>
      <c r="G20" s="3">
        <v>7</v>
      </c>
      <c r="H20" s="5">
        <f t="shared" si="3"/>
        <v>0.58333333333333337</v>
      </c>
      <c r="I20" s="4">
        <f t="shared" si="4"/>
        <v>0.99974664562696558</v>
      </c>
      <c r="J20" s="10">
        <f t="shared" si="5"/>
        <v>0.97194026798644406</v>
      </c>
      <c r="K20" s="24">
        <f t="shared" si="6"/>
        <v>0</v>
      </c>
      <c r="L20" s="19">
        <f t="shared" si="7"/>
        <v>1</v>
      </c>
      <c r="M20" s="19">
        <f t="shared" si="9"/>
        <v>3.6713643560139355E-5</v>
      </c>
    </row>
    <row r="21" spans="1:13">
      <c r="A21" s="3">
        <v>8</v>
      </c>
      <c r="B21" s="4">
        <f t="shared" si="10"/>
        <v>0.99452406220417222</v>
      </c>
      <c r="C21" s="10">
        <f t="shared" si="1"/>
        <v>0.67683936202868722</v>
      </c>
      <c r="D21" s="10">
        <f t="shared" si="8"/>
        <v>0.67313303178445039</v>
      </c>
      <c r="E21" s="10">
        <f t="shared" si="2"/>
        <v>1.0728717866127546</v>
      </c>
      <c r="G21" s="3">
        <v>8</v>
      </c>
      <c r="H21" s="5">
        <f t="shared" si="3"/>
        <v>0.66666666666666663</v>
      </c>
      <c r="I21" s="4">
        <f t="shared" si="4"/>
        <v>0.99970832261709319</v>
      </c>
      <c r="J21" s="10">
        <f t="shared" si="5"/>
        <v>0.96799653029986032</v>
      </c>
      <c r="K21" s="24">
        <f t="shared" si="6"/>
        <v>0</v>
      </c>
      <c r="L21" s="19">
        <f t="shared" si="7"/>
        <v>1</v>
      </c>
      <c r="M21" s="19">
        <f t="shared" si="9"/>
        <v>3.7096540587118356E-5</v>
      </c>
    </row>
    <row r="22" spans="1:13">
      <c r="A22" s="3">
        <v>9</v>
      </c>
      <c r="B22" s="4">
        <f t="shared" si="10"/>
        <v>0.99352702719264374</v>
      </c>
      <c r="C22" s="10">
        <f t="shared" si="1"/>
        <v>0.64460891621779726</v>
      </c>
      <c r="D22" s="10">
        <f t="shared" si="8"/>
        <v>0.6404363802317401</v>
      </c>
      <c r="E22" s="10">
        <f t="shared" si="2"/>
        <v>1.0820037889813729</v>
      </c>
      <c r="G22" s="3">
        <v>9</v>
      </c>
      <c r="H22" s="5">
        <f t="shared" si="3"/>
        <v>0.75</v>
      </c>
      <c r="I22" s="4">
        <f t="shared" si="4"/>
        <v>0.99966944129130686</v>
      </c>
      <c r="J22" s="10">
        <f t="shared" si="5"/>
        <v>0.96406879469432316</v>
      </c>
      <c r="K22" s="24">
        <f t="shared" si="6"/>
        <v>0</v>
      </c>
      <c r="L22" s="19">
        <f t="shared" si="7"/>
        <v>1</v>
      </c>
      <c r="M22" s="19">
        <f t="shared" si="9"/>
        <v>3.7484272886947328E-5</v>
      </c>
    </row>
    <row r="23" spans="1:13">
      <c r="A23" s="3">
        <v>10</v>
      </c>
      <c r="B23" s="4">
        <f t="shared" si="10"/>
        <v>0.99243462619114131</v>
      </c>
      <c r="C23" s="10">
        <f t="shared" si="1"/>
        <v>0.61391325354075932</v>
      </c>
      <c r="D23" s="10">
        <f t="shared" si="8"/>
        <v>0.60926877029151083</v>
      </c>
      <c r="E23" s="10">
        <f t="shared" si="2"/>
        <v>1.0911075738520497</v>
      </c>
      <c r="G23" s="3">
        <v>10</v>
      </c>
      <c r="H23" s="5">
        <f t="shared" si="3"/>
        <v>0.83333333333333337</v>
      </c>
      <c r="I23" s="4">
        <f t="shared" si="4"/>
        <v>0.99962999263152497</v>
      </c>
      <c r="J23" s="10">
        <f t="shared" si="5"/>
        <v>0.96015699623990569</v>
      </c>
      <c r="K23" s="24">
        <f t="shared" si="6"/>
        <v>0</v>
      </c>
      <c r="L23" s="19">
        <f t="shared" si="7"/>
        <v>1</v>
      </c>
      <c r="M23" s="19">
        <f t="shared" si="9"/>
        <v>3.7876906681872615E-5</v>
      </c>
    </row>
    <row r="24" spans="1:13">
      <c r="A24" s="3">
        <v>11</v>
      </c>
      <c r="B24" s="4">
        <f t="shared" si="10"/>
        <v>0.99123524168507715</v>
      </c>
      <c r="C24" s="10">
        <f t="shared" si="1"/>
        <v>0.5846792890864374</v>
      </c>
      <c r="D24" s="10">
        <f t="shared" si="8"/>
        <v>0.57955471642585388</v>
      </c>
      <c r="E24" s="10">
        <f t="shared" si="2"/>
        <v>1.1001678826676951</v>
      </c>
      <c r="G24" s="3">
        <v>11</v>
      </c>
      <c r="H24" s="5">
        <f t="shared" si="3"/>
        <v>0.91666666666666663</v>
      </c>
      <c r="I24" s="4">
        <f t="shared" si="4"/>
        <v>0.99958996746443574</v>
      </c>
      <c r="J24" s="10">
        <f t="shared" si="5"/>
        <v>0.95626107027014118</v>
      </c>
      <c r="K24" s="24">
        <f t="shared" si="6"/>
        <v>0</v>
      </c>
      <c r="L24" s="19">
        <f t="shared" si="7"/>
        <v>1</v>
      </c>
      <c r="M24" s="19">
        <f t="shared" si="9"/>
        <v>3.8274509118488721E-5</v>
      </c>
    </row>
    <row r="25" spans="1:13">
      <c r="A25" s="3">
        <v>12</v>
      </c>
      <c r="B25" s="4">
        <f t="shared" si="10"/>
        <v>0.98991586818811816</v>
      </c>
      <c r="C25" s="10">
        <f t="shared" si="1"/>
        <v>0.5568374181775595</v>
      </c>
      <c r="D25" s="10">
        <f t="shared" si="8"/>
        <v>0.55122219625486901</v>
      </c>
      <c r="E25" s="10">
        <f t="shared" si="2"/>
        <v>1.1091673585014916</v>
      </c>
      <c r="G25" s="3">
        <v>12</v>
      </c>
      <c r="H25" s="5">
        <f t="shared" si="3"/>
        <v>1</v>
      </c>
      <c r="I25" s="4">
        <f t="shared" si="4"/>
        <v>0.99954935645874254</v>
      </c>
      <c r="J25" s="10">
        <f t="shared" si="5"/>
        <v>0.95238095238095233</v>
      </c>
      <c r="K25" s="24">
        <f t="shared" si="6"/>
        <v>1</v>
      </c>
      <c r="L25" s="19">
        <f t="shared" si="7"/>
        <v>1.0149999999999999</v>
      </c>
      <c r="M25" s="19">
        <f t="shared" si="9"/>
        <v>3.8677148279230348E-5</v>
      </c>
    </row>
    <row r="26" spans="1:13">
      <c r="A26" s="3">
        <v>13</v>
      </c>
      <c r="B26" s="4">
        <f t="shared" si="10"/>
        <v>0.9884619534179786</v>
      </c>
      <c r="C26" s="10">
        <f t="shared" si="1"/>
        <v>0.53032135064529462</v>
      </c>
      <c r="D26" s="10">
        <f t="shared" si="8"/>
        <v>0.52420247819810872</v>
      </c>
      <c r="E26" s="10">
        <f t="shared" si="2"/>
        <v>1.1180862797871485</v>
      </c>
      <c r="G26" s="3">
        <v>13</v>
      </c>
      <c r="H26" s="5">
        <f t="shared" si="3"/>
        <v>1.0833333333333333</v>
      </c>
      <c r="I26" s="4">
        <f t="shared" si="4"/>
        <v>0.99950815012235961</v>
      </c>
      <c r="J26" s="10">
        <f t="shared" si="5"/>
        <v>0.94851657842958759</v>
      </c>
      <c r="K26" s="24">
        <f t="shared" si="6"/>
        <v>1</v>
      </c>
      <c r="L26" s="19">
        <f t="shared" si="7"/>
        <v>1.0149999999999999</v>
      </c>
      <c r="M26" s="19">
        <f t="shared" si="9"/>
        <v>3.9671166593495807E-5</v>
      </c>
    </row>
    <row r="27" spans="1:13">
      <c r="A27" s="3">
        <v>14</v>
      </c>
      <c r="B27" s="4">
        <f t="shared" si="10"/>
        <v>0.98685722316293367</v>
      </c>
      <c r="C27" s="10">
        <f t="shared" si="1"/>
        <v>0.50506795299551888</v>
      </c>
      <c r="D27" s="10">
        <f t="shared" si="8"/>
        <v>0.49842995760174486</v>
      </c>
      <c r="E27" s="10">
        <f t="shared" si="2"/>
        <v>1.1269022628082959</v>
      </c>
      <c r="G27" s="3">
        <v>14</v>
      </c>
      <c r="H27" s="5">
        <f t="shared" si="3"/>
        <v>1.1666666666666667</v>
      </c>
      <c r="I27" s="4">
        <f t="shared" si="4"/>
        <v>0.99946633879955704</v>
      </c>
      <c r="J27" s="10">
        <f t="shared" si="5"/>
        <v>0.94466788453356076</v>
      </c>
      <c r="K27" s="24">
        <f t="shared" si="6"/>
        <v>1</v>
      </c>
      <c r="L27" s="19">
        <f t="shared" si="7"/>
        <v>1.0149999999999999</v>
      </c>
      <c r="M27" s="19">
        <f t="shared" si="9"/>
        <v>4.0090281069370798E-5</v>
      </c>
    </row>
    <row r="28" spans="1:13">
      <c r="A28" s="3">
        <v>15</v>
      </c>
      <c r="B28" s="4">
        <f t="shared" si="10"/>
        <v>0.9850834886763844</v>
      </c>
      <c r="C28" s="10">
        <f t="shared" si="1"/>
        <v>0.48101709809097021</v>
      </c>
      <c r="D28" s="10">
        <f t="shared" si="8"/>
        <v>0.47384200110044356</v>
      </c>
      <c r="E28" s="10">
        <f t="shared" si="2"/>
        <v>1.1355899299720216</v>
      </c>
      <c r="G28" s="3">
        <v>15</v>
      </c>
      <c r="H28" s="5">
        <f t="shared" si="3"/>
        <v>1.25</v>
      </c>
      <c r="I28" s="4">
        <f t="shared" si="4"/>
        <v>0.99942391266805564</v>
      </c>
      <c r="J28" s="10">
        <f t="shared" si="5"/>
        <v>0.94083480706959433</v>
      </c>
      <c r="K28" s="24">
        <f t="shared" si="6"/>
        <v>1</v>
      </c>
      <c r="L28" s="19">
        <f t="shared" si="7"/>
        <v>1.0149999999999999</v>
      </c>
      <c r="M28" s="19">
        <f t="shared" si="9"/>
        <v>4.0514720964521277E-5</v>
      </c>
    </row>
    <row r="29" spans="1:13">
      <c r="A29" s="3">
        <v>16</v>
      </c>
      <c r="B29" s="4">
        <f t="shared" si="10"/>
        <v>0.98312043550784634</v>
      </c>
      <c r="C29" s="10">
        <f t="shared" si="1"/>
        <v>0.45811152199140021</v>
      </c>
      <c r="D29" s="10">
        <f t="shared" si="8"/>
        <v>0.4503787990113477</v>
      </c>
      <c r="E29" s="10">
        <f t="shared" si="2"/>
        <v>1.1441205408151873</v>
      </c>
      <c r="G29" s="3">
        <v>16</v>
      </c>
      <c r="H29" s="5">
        <f t="shared" si="3"/>
        <v>1.3333333333333333</v>
      </c>
      <c r="I29" s="4">
        <f t="shared" si="4"/>
        <v>0.99938086173606955</v>
      </c>
      <c r="J29" s="10">
        <f t="shared" si="5"/>
        <v>0.93701728267256856</v>
      </c>
      <c r="K29" s="24">
        <f t="shared" si="6"/>
        <v>1</v>
      </c>
      <c r="L29" s="19">
        <f t="shared" si="7"/>
        <v>1.0149999999999999</v>
      </c>
      <c r="M29" s="19">
        <f t="shared" si="9"/>
        <v>4.0944559315717947E-5</v>
      </c>
    </row>
    <row r="30" spans="1:13">
      <c r="A30" s="3">
        <v>17</v>
      </c>
      <c r="B30" s="4">
        <f t="shared" si="10"/>
        <v>0.98094539281093107</v>
      </c>
      <c r="C30" s="10">
        <f t="shared" si="1"/>
        <v>0.43629668761085727</v>
      </c>
      <c r="D30" s="10">
        <f t="shared" si="8"/>
        <v>0.42798322561054047</v>
      </c>
      <c r="E30" s="10">
        <f t="shared" si="2"/>
        <v>1.1524615826887619</v>
      </c>
      <c r="G30" s="3">
        <v>17</v>
      </c>
      <c r="H30" s="5">
        <f t="shared" si="3"/>
        <v>1.4166666666666667</v>
      </c>
      <c r="I30" s="4">
        <f t="shared" si="4"/>
        <v>0.99933717583929638</v>
      </c>
      <c r="J30" s="10">
        <f t="shared" si="5"/>
        <v>0.93321524823447322</v>
      </c>
      <c r="K30" s="24">
        <f t="shared" si="6"/>
        <v>1</v>
      </c>
      <c r="L30" s="19">
        <f t="shared" si="7"/>
        <v>1.0149999999999999</v>
      </c>
      <c r="M30" s="19">
        <f t="shared" si="9"/>
        <v>4.1379870176543389E-5</v>
      </c>
    </row>
    <row r="31" spans="1:13">
      <c r="A31" s="3">
        <v>18</v>
      </c>
      <c r="B31" s="4">
        <f t="shared" si="10"/>
        <v>0.97853308238184711</v>
      </c>
      <c r="C31" s="10">
        <f t="shared" si="1"/>
        <v>0.41552065486748313</v>
      </c>
      <c r="D31" s="10">
        <f t="shared" si="8"/>
        <v>0.40660070720080194</v>
      </c>
      <c r="E31" s="10">
        <f t="shared" si="2"/>
        <v>1.1605763181652917</v>
      </c>
      <c r="G31" s="3">
        <v>18</v>
      </c>
      <c r="H31" s="5">
        <f t="shared" si="3"/>
        <v>1.5</v>
      </c>
      <c r="I31" s="4">
        <f t="shared" si="4"/>
        <v>0.99929284463785351</v>
      </c>
      <c r="J31" s="10">
        <f t="shared" si="5"/>
        <v>0.92942864090336497</v>
      </c>
      <c r="K31" s="24">
        <f t="shared" si="6"/>
        <v>1</v>
      </c>
      <c r="L31" s="19">
        <f t="shared" si="7"/>
        <v>1.0149999999999999</v>
      </c>
      <c r="M31" s="19">
        <f t="shared" si="9"/>
        <v>4.1820728631260744E-5</v>
      </c>
    </row>
    <row r="32" spans="1:13">
      <c r="A32" s="3">
        <v>19</v>
      </c>
      <c r="B32" s="4">
        <f t="shared" si="10"/>
        <v>0.97585534700021614</v>
      </c>
      <c r="C32" s="10">
        <f t="shared" si="1"/>
        <v>0.39573395701665059</v>
      </c>
      <c r="D32" s="10">
        <f t="shared" si="8"/>
        <v>0.3861790979442522</v>
      </c>
      <c r="E32" s="10">
        <f t="shared" si="2"/>
        <v>1.1684232864567652</v>
      </c>
      <c r="G32" s="3">
        <v>19</v>
      </c>
      <c r="H32" s="5">
        <f t="shared" si="3"/>
        <v>1.5833333333333333</v>
      </c>
      <c r="I32" s="4">
        <f t="shared" si="4"/>
        <v>0.99924785761315937</v>
      </c>
      <c r="J32" s="10">
        <f t="shared" si="5"/>
        <v>0.92565739808232761</v>
      </c>
      <c r="K32" s="24">
        <f t="shared" si="6"/>
        <v>1</v>
      </c>
      <c r="L32" s="19">
        <f t="shared" si="7"/>
        <v>1.0149999999999999</v>
      </c>
      <c r="M32" s="19">
        <f t="shared" si="9"/>
        <v>4.2267210809223139E-5</v>
      </c>
    </row>
    <row r="33" spans="1:13">
      <c r="A33" s="3">
        <v>20</v>
      </c>
      <c r="B33" s="4">
        <f t="shared" si="10"/>
        <v>0.97288085809799829</v>
      </c>
      <c r="C33" s="10">
        <f t="shared" si="1"/>
        <v>0.37688948287300061</v>
      </c>
      <c r="D33" s="10">
        <f t="shared" si="8"/>
        <v>0.36666856350559568</v>
      </c>
      <c r="E33" s="10">
        <f t="shared" si="2"/>
        <v>1.1759557565641252</v>
      </c>
      <c r="G33" s="3">
        <v>20</v>
      </c>
      <c r="H33" s="5">
        <f t="shared" si="3"/>
        <v>1.6666666666666667</v>
      </c>
      <c r="I33" s="4">
        <f t="shared" si="4"/>
        <v>0.99920220406476035</v>
      </c>
      <c r="J33" s="10">
        <f t="shared" si="5"/>
        <v>0.92190145742843832</v>
      </c>
      <c r="K33" s="24">
        <f t="shared" si="6"/>
        <v>1</v>
      </c>
      <c r="L33" s="19">
        <f t="shared" si="7"/>
        <v>1.0149999999999999</v>
      </c>
      <c r="M33" s="19">
        <f t="shared" si="9"/>
        <v>4.2719393897930605E-5</v>
      </c>
    </row>
    <row r="34" spans="1:13">
      <c r="A34" s="3">
        <v>21</v>
      </c>
      <c r="B34" s="4">
        <f t="shared" si="10"/>
        <v>0.96957480340948021</v>
      </c>
      <c r="C34" s="10">
        <f t="shared" si="1"/>
        <v>0.35894236464095297</v>
      </c>
      <c r="D34" s="10">
        <f t="shared" si="8"/>
        <v>0.34802147263208594</v>
      </c>
      <c r="E34" s="10">
        <f t="shared" si="2"/>
        <v>1.1831211305683229</v>
      </c>
      <c r="G34" s="3">
        <v>21</v>
      </c>
      <c r="H34" s="5">
        <f t="shared" si="3"/>
        <v>1.75</v>
      </c>
      <c r="I34" s="4">
        <f t="shared" si="4"/>
        <v>0.99915587310709952</v>
      </c>
      <c r="J34" s="10">
        <f t="shared" si="5"/>
        <v>0.91816075685173626</v>
      </c>
      <c r="K34" s="24">
        <f t="shared" si="6"/>
        <v>1</v>
      </c>
      <c r="L34" s="19">
        <f t="shared" si="7"/>
        <v>1.0149999999999999</v>
      </c>
      <c r="M34" s="19">
        <f t="shared" si="9"/>
        <v>4.3177356158799749E-5</v>
      </c>
    </row>
    <row r="35" spans="1:13">
      <c r="A35" s="3">
        <v>22</v>
      </c>
      <c r="B35" s="4">
        <f t="shared" si="10"/>
        <v>0.96589855610120678</v>
      </c>
      <c r="C35" s="10">
        <f t="shared" si="1"/>
        <v>0.3418498710866219</v>
      </c>
      <c r="D35" s="10">
        <f t="shared" si="8"/>
        <v>0.33019229688595175</v>
      </c>
      <c r="E35" s="10">
        <f t="shared" si="2"/>
        <v>1.1898602964944764</v>
      </c>
      <c r="G35" s="3">
        <v>22</v>
      </c>
      <c r="H35" s="5">
        <f t="shared" si="3"/>
        <v>1.8333333333333333</v>
      </c>
      <c r="I35" s="4">
        <f t="shared" si="4"/>
        <v>0.9991088536662297</v>
      </c>
      <c r="J35" s="10">
        <f t="shared" si="5"/>
        <v>0.91443523451419584</v>
      </c>
      <c r="K35" s="24">
        <f t="shared" si="6"/>
        <v>1</v>
      </c>
      <c r="L35" s="19">
        <f t="shared" si="7"/>
        <v>1.0149999999999999</v>
      </c>
      <c r="M35" s="19">
        <f t="shared" si="9"/>
        <v>4.3641176940099987E-5</v>
      </c>
    </row>
    <row r="36" spans="1:13">
      <c r="A36" s="3">
        <v>23</v>
      </c>
      <c r="B36" s="4">
        <f t="shared" si="10"/>
        <v>0.96180932800045493</v>
      </c>
      <c r="C36" s="10">
        <f t="shared" si="1"/>
        <v>0.32557130579678267</v>
      </c>
      <c r="D36" s="10">
        <f t="shared" si="8"/>
        <v>0.31313751884463414</v>
      </c>
      <c r="E36" s="10">
        <f t="shared" si="2"/>
        <v>1.1961069316326185</v>
      </c>
      <c r="G36" s="3">
        <v>23</v>
      </c>
      <c r="H36" s="5">
        <f t="shared" si="3"/>
        <v>1.9166666666666667</v>
      </c>
      <c r="I36" s="4">
        <f t="shared" si="4"/>
        <v>0.99906113447646605</v>
      </c>
      <c r="J36" s="10">
        <f t="shared" si="5"/>
        <v>0.91072482882870587</v>
      </c>
      <c r="K36" s="24">
        <f t="shared" si="6"/>
        <v>1</v>
      </c>
      <c r="L36" s="19">
        <f t="shared" si="7"/>
        <v>1.0149999999999999</v>
      </c>
      <c r="M36" s="19">
        <f t="shared" si="9"/>
        <v>4.4110936693285642E-5</v>
      </c>
    </row>
    <row r="37" spans="1:13">
      <c r="A37" s="3">
        <v>24</v>
      </c>
      <c r="B37" s="4">
        <f t="shared" si="10"/>
        <v>0.9572598109999475</v>
      </c>
      <c r="C37" s="10">
        <f t="shared" si="1"/>
        <v>0.31006791028265024</v>
      </c>
      <c r="D37" s="10">
        <f t="shared" si="8"/>
        <v>0.29681554919431846</v>
      </c>
      <c r="E37" s="10">
        <f t="shared" si="2"/>
        <v>1.2017867591996965</v>
      </c>
      <c r="G37" s="3">
        <v>24</v>
      </c>
      <c r="H37" s="5">
        <f t="shared" si="3"/>
        <v>2</v>
      </c>
      <c r="I37" s="4">
        <f t="shared" si="4"/>
        <v>0.99901270407698106</v>
      </c>
      <c r="J37" s="10">
        <f t="shared" si="5"/>
        <v>0.90702947845804982</v>
      </c>
      <c r="K37" s="24">
        <f t="shared" si="6"/>
        <v>2</v>
      </c>
      <c r="L37" s="19">
        <f t="shared" si="7"/>
        <v>1.0302249999999997</v>
      </c>
      <c r="M37" s="19">
        <f t="shared" si="9"/>
        <v>4.4586716986180194E-5</v>
      </c>
    </row>
    <row r="38" spans="1:13">
      <c r="D38" s="10">
        <f>SUM(D13:D37)</f>
        <v>14.649543387842503</v>
      </c>
      <c r="E38" s="10">
        <f>SUM(E13:E37)</f>
        <v>27.66275244180304</v>
      </c>
      <c r="G38" s="3">
        <v>25</v>
      </c>
      <c r="H38" s="5">
        <f t="shared" si="3"/>
        <v>2.0833333333333335</v>
      </c>
      <c r="I38" s="4">
        <f>I37*(B$9^(1/12))*B$8^((B$5^(B$7+H37))*((B$5^(1/12)-1)))</f>
        <v>0.99896376648945273</v>
      </c>
      <c r="J38" s="10">
        <f t="shared" si="5"/>
        <v>0.90334912231389286</v>
      </c>
      <c r="K38" s="24">
        <f t="shared" si="6"/>
        <v>2</v>
      </c>
      <c r="L38" s="19">
        <f t="shared" si="7"/>
        <v>1.0302249999999997</v>
      </c>
      <c r="M38" s="19">
        <f t="shared" si="9"/>
        <v>4.5543905282649815E-5</v>
      </c>
    </row>
    <row r="39" spans="1:13">
      <c r="D39" s="10"/>
      <c r="E39" s="12"/>
      <c r="G39" s="3">
        <v>26</v>
      </c>
      <c r="H39" s="5">
        <f t="shared" si="3"/>
        <v>2.1666666666666665</v>
      </c>
      <c r="I39" s="4">
        <f>I38*(B$9^(1/12))*B$8^((B$5^(B$7+H38))*((B$5^(1/12)-1)))</f>
        <v>0.99891453156242682</v>
      </c>
      <c r="J39" s="10">
        <f t="shared" si="5"/>
        <v>0.89968369955577199</v>
      </c>
      <c r="K39" s="24">
        <f t="shared" si="6"/>
        <v>2</v>
      </c>
      <c r="L39" s="19">
        <f t="shared" si="7"/>
        <v>1.0302249999999997</v>
      </c>
      <c r="M39" s="19">
        <f t="shared" si="9"/>
        <v>4.5634703701640813E-5</v>
      </c>
    </row>
    <row r="40" spans="1:13">
      <c r="G40" s="3">
        <v>27</v>
      </c>
      <c r="H40" s="5">
        <f t="shared" si="3"/>
        <v>2.25</v>
      </c>
      <c r="I40" s="4">
        <f t="shared" ref="I40:I103" si="11">I39*(B$9^(1/12))*B$8^((B$5^(B$7+H39))*((B$5^(1/12)-1)))</f>
        <v>0.99886499640620352</v>
      </c>
      <c r="J40" s="10">
        <f t="shared" si="5"/>
        <v>0.89603314959008973</v>
      </c>
      <c r="K40" s="24">
        <f t="shared" si="6"/>
        <v>2</v>
      </c>
      <c r="L40" s="19">
        <f t="shared" si="7"/>
        <v>1.0302249999999997</v>
      </c>
      <c r="M40" s="19">
        <f t="shared" si="9"/>
        <v>4.5726682964548429E-5</v>
      </c>
    </row>
    <row r="41" spans="1:13">
      <c r="B41" s="48" t="s">
        <v>95</v>
      </c>
      <c r="C41" s="57">
        <f>(200000*SUM(M14:M1129)+5*E38)/(0.975*D38-0.575)</f>
        <v>3262.5966969418623</v>
      </c>
      <c r="G41" s="3">
        <v>28</v>
      </c>
      <c r="H41" s="5">
        <f t="shared" si="3"/>
        <v>2.3333333333333335</v>
      </c>
      <c r="I41" s="4">
        <f t="shared" si="11"/>
        <v>0.99881515810321619</v>
      </c>
      <c r="J41" s="10">
        <f t="shared" si="5"/>
        <v>0.89239741206911283</v>
      </c>
      <c r="K41" s="24">
        <f t="shared" si="6"/>
        <v>2</v>
      </c>
      <c r="L41" s="19">
        <f t="shared" si="7"/>
        <v>1.0302249999999997</v>
      </c>
      <c r="M41" s="19">
        <f t="shared" si="9"/>
        <v>4.581984678987714E-5</v>
      </c>
    </row>
    <row r="42" spans="1:13">
      <c r="G42" s="3">
        <v>29</v>
      </c>
      <c r="H42" s="5">
        <f t="shared" si="3"/>
        <v>2.4166666666666665</v>
      </c>
      <c r="I42" s="4">
        <f t="shared" si="11"/>
        <v>0.99876501370776616</v>
      </c>
      <c r="J42" s="10">
        <f t="shared" si="5"/>
        <v>0.88877642688997438</v>
      </c>
      <c r="K42" s="24">
        <f t="shared" si="6"/>
        <v>2</v>
      </c>
      <c r="L42" s="19">
        <f t="shared" si="7"/>
        <v>1.0302249999999997</v>
      </c>
      <c r="M42" s="19">
        <f t="shared" si="9"/>
        <v>4.5914198925378653E-5</v>
      </c>
    </row>
    <row r="43" spans="1:13">
      <c r="C43" s="21"/>
      <c r="G43" s="3">
        <v>30</v>
      </c>
      <c r="H43" s="5">
        <f t="shared" si="3"/>
        <v>2.5</v>
      </c>
      <c r="I43" s="4">
        <f t="shared" si="11"/>
        <v>0.99871456024575556</v>
      </c>
      <c r="J43" s="10">
        <f t="shared" si="5"/>
        <v>0.88517013419368074</v>
      </c>
      <c r="K43" s="24">
        <f t="shared" si="6"/>
        <v>2</v>
      </c>
      <c r="L43" s="19">
        <f t="shared" si="7"/>
        <v>1.0302249999999997</v>
      </c>
      <c r="M43" s="19">
        <f t="shared" si="9"/>
        <v>4.6009743147605573E-5</v>
      </c>
    </row>
    <row r="44" spans="1:13">
      <c r="C44" s="21"/>
      <c r="G44" s="3">
        <v>31</v>
      </c>
      <c r="H44" s="5">
        <f t="shared" si="3"/>
        <v>2.5833333333333335</v>
      </c>
      <c r="I44" s="4">
        <f t="shared" si="11"/>
        <v>0.99866379471441669</v>
      </c>
      <c r="J44" s="10">
        <f t="shared" si="5"/>
        <v>0.8815784743641214</v>
      </c>
      <c r="K44" s="24">
        <f t="shared" si="6"/>
        <v>2</v>
      </c>
      <c r="L44" s="19">
        <f t="shared" si="7"/>
        <v>1.0302249999999997</v>
      </c>
      <c r="M44" s="19">
        <f t="shared" si="9"/>
        <v>4.6106483262970415E-5</v>
      </c>
    </row>
    <row r="45" spans="1:13">
      <c r="G45" s="3">
        <v>32</v>
      </c>
      <c r="H45" s="5">
        <f t="shared" si="3"/>
        <v>2.6666666666666665</v>
      </c>
      <c r="I45" s="4">
        <f t="shared" si="11"/>
        <v>0.99861271408204011</v>
      </c>
      <c r="J45" s="10">
        <f t="shared" si="5"/>
        <v>0.87800138802708416</v>
      </c>
      <c r="K45" s="24">
        <f t="shared" si="6"/>
        <v>2</v>
      </c>
      <c r="L45" s="19">
        <f t="shared" si="7"/>
        <v>1.0302249999999997</v>
      </c>
      <c r="M45" s="19">
        <f t="shared" si="9"/>
        <v>4.6204423106652375E-5</v>
      </c>
    </row>
    <row r="46" spans="1:13">
      <c r="G46" s="3">
        <v>33</v>
      </c>
      <c r="H46" s="5">
        <f t="shared" si="3"/>
        <v>2.75</v>
      </c>
      <c r="I46" s="4">
        <f t="shared" si="11"/>
        <v>0.99856131528769909</v>
      </c>
      <c r="J46" s="10">
        <f t="shared" si="5"/>
        <v>0.87443881604927254</v>
      </c>
      <c r="K46" s="24">
        <f t="shared" si="6"/>
        <v>2</v>
      </c>
      <c r="L46" s="19">
        <f t="shared" si="7"/>
        <v>1.0302249999999997</v>
      </c>
      <c r="M46" s="19">
        <f t="shared" si="9"/>
        <v>4.6303566543712856E-5</v>
      </c>
    </row>
    <row r="47" spans="1:13">
      <c r="G47" s="3">
        <v>34</v>
      </c>
      <c r="H47" s="5">
        <f t="shared" si="3"/>
        <v>2.8333333333333335</v>
      </c>
      <c r="I47" s="4">
        <f t="shared" si="11"/>
        <v>0.9985095952409726</v>
      </c>
      <c r="J47" s="10">
        <f t="shared" si="5"/>
        <v>0.87089069953732934</v>
      </c>
      <c r="K47" s="24">
        <f t="shared" si="6"/>
        <v>2</v>
      </c>
      <c r="L47" s="19">
        <f t="shared" si="7"/>
        <v>1.0302249999999997</v>
      </c>
      <c r="M47" s="19">
        <f t="shared" si="9"/>
        <v>4.6403917468173905E-5</v>
      </c>
    </row>
    <row r="48" spans="1:13">
      <c r="G48" s="3">
        <v>35</v>
      </c>
      <c r="H48" s="5">
        <f t="shared" si="3"/>
        <v>2.9166666666666665</v>
      </c>
      <c r="I48" s="4">
        <f t="shared" si="11"/>
        <v>0.99845755082166443</v>
      </c>
      <c r="J48" s="10">
        <f t="shared" si="5"/>
        <v>0.86735697983686277</v>
      </c>
      <c r="K48" s="24">
        <f t="shared" si="6"/>
        <v>2</v>
      </c>
      <c r="L48" s="19">
        <f t="shared" si="7"/>
        <v>1.0302249999999997</v>
      </c>
      <c r="M48" s="19">
        <f t="shared" si="9"/>
        <v>4.6505479804283296E-5</v>
      </c>
    </row>
    <row r="49" spans="7:13">
      <c r="G49" s="3">
        <v>36</v>
      </c>
      <c r="H49" s="5">
        <f t="shared" si="3"/>
        <v>3</v>
      </c>
      <c r="I49" s="4">
        <f t="shared" si="11"/>
        <v>0.99840517887952152</v>
      </c>
      <c r="J49" s="10">
        <f t="shared" si="5"/>
        <v>0.86383759853147601</v>
      </c>
      <c r="K49" s="24">
        <f t="shared" si="6"/>
        <v>3</v>
      </c>
      <c r="L49" s="19">
        <f t="shared" si="7"/>
        <v>1.0456783749999996</v>
      </c>
      <c r="M49" s="19">
        <f t="shared" si="9"/>
        <v>4.6608257504964324E-5</v>
      </c>
    </row>
    <row r="50" spans="7:13">
      <c r="G50" s="3">
        <v>37</v>
      </c>
      <c r="H50" s="5">
        <f t="shared" si="3"/>
        <v>3.0833333333333335</v>
      </c>
      <c r="I50" s="4">
        <f t="shared" si="11"/>
        <v>0.99835247623394763</v>
      </c>
      <c r="J50" s="10">
        <f t="shared" si="5"/>
        <v>0.86033249744180285</v>
      </c>
      <c r="K50" s="24">
        <f t="shared" si="6"/>
        <v>3</v>
      </c>
      <c r="L50" s="19">
        <f t="shared" si="7"/>
        <v>1.0456783749999996</v>
      </c>
      <c r="M50" s="19">
        <f t="shared" si="9"/>
        <v>4.7412938372034982E-5</v>
      </c>
    </row>
    <row r="51" spans="7:13">
      <c r="G51" s="3">
        <v>38</v>
      </c>
      <c r="H51" s="5">
        <f t="shared" si="3"/>
        <v>3.1666666666666665</v>
      </c>
      <c r="I51" s="4">
        <f t="shared" si="11"/>
        <v>0.99829943967371626</v>
      </c>
      <c r="J51" s="10">
        <f t="shared" si="5"/>
        <v>0.85684161862454489</v>
      </c>
      <c r="K51" s="24">
        <f t="shared" si="6"/>
        <v>3</v>
      </c>
      <c r="L51" s="19">
        <f t="shared" si="7"/>
        <v>1.0456783749999996</v>
      </c>
      <c r="M51" s="19">
        <f t="shared" si="9"/>
        <v>4.7519737087543165E-5</v>
      </c>
    </row>
    <row r="52" spans="7:13">
      <c r="G52" s="3">
        <v>39</v>
      </c>
      <c r="H52" s="5">
        <f t="shared" si="3"/>
        <v>3.25</v>
      </c>
      <c r="I52" s="4">
        <f t="shared" si="11"/>
        <v>0.99824606595667931</v>
      </c>
      <c r="J52" s="10">
        <f t="shared" si="5"/>
        <v>0.85336490437151402</v>
      </c>
      <c r="K52" s="24">
        <f t="shared" si="6"/>
        <v>3</v>
      </c>
      <c r="L52" s="19">
        <f t="shared" si="7"/>
        <v>1.0456783749999996</v>
      </c>
      <c r="M52" s="19">
        <f t="shared" si="9"/>
        <v>4.7627781617698695E-5</v>
      </c>
    </row>
    <row r="53" spans="7:13">
      <c r="G53" s="3">
        <v>40</v>
      </c>
      <c r="H53" s="5">
        <f t="shared" si="3"/>
        <v>3.3333333333333335</v>
      </c>
      <c r="I53" s="4">
        <f t="shared" si="11"/>
        <v>0.99819235180947452</v>
      </c>
      <c r="J53" s="10">
        <f t="shared" si="5"/>
        <v>0.84990229720867894</v>
      </c>
      <c r="K53" s="24">
        <f t="shared" si="6"/>
        <v>3</v>
      </c>
      <c r="L53" s="19">
        <f t="shared" si="7"/>
        <v>1.0456783749999996</v>
      </c>
      <c r="M53" s="19">
        <f t="shared" si="9"/>
        <v>4.773707609583251E-5</v>
      </c>
    </row>
    <row r="54" spans="7:13">
      <c r="G54" s="3">
        <v>41</v>
      </c>
      <c r="H54" s="5">
        <f t="shared" si="3"/>
        <v>3.4166666666666665</v>
      </c>
      <c r="I54" s="4">
        <f t="shared" si="11"/>
        <v>0.99813829392722919</v>
      </c>
      <c r="J54" s="10">
        <f t="shared" si="5"/>
        <v>0.84645373989521366</v>
      </c>
      <c r="K54" s="24">
        <f t="shared" si="6"/>
        <v>3</v>
      </c>
      <c r="L54" s="19">
        <f t="shared" si="7"/>
        <v>1.0456783749999996</v>
      </c>
      <c r="M54" s="19">
        <f t="shared" si="9"/>
        <v>4.7847624686009488E-5</v>
      </c>
    </row>
    <row r="55" spans="7:13">
      <c r="G55" s="3">
        <v>42</v>
      </c>
      <c r="H55" s="5">
        <f t="shared" si="3"/>
        <v>3.5</v>
      </c>
      <c r="I55" s="4">
        <f t="shared" si="11"/>
        <v>0.99808388897326172</v>
      </c>
      <c r="J55" s="10">
        <f t="shared" si="5"/>
        <v>0.843019175422553</v>
      </c>
      <c r="K55" s="24">
        <f t="shared" si="6"/>
        <v>3</v>
      </c>
      <c r="L55" s="19">
        <f t="shared" si="7"/>
        <v>1.0456783749999996</v>
      </c>
      <c r="M55" s="19">
        <f t="shared" si="9"/>
        <v>4.7959431582554843E-5</v>
      </c>
    </row>
    <row r="56" spans="7:13">
      <c r="G56" s="3">
        <v>43</v>
      </c>
      <c r="H56" s="5">
        <f t="shared" si="3"/>
        <v>3.5833333333333335</v>
      </c>
      <c r="I56" s="4">
        <f t="shared" si="11"/>
        <v>0.99802913357877998</v>
      </c>
      <c r="J56" s="10">
        <f t="shared" si="5"/>
        <v>0.83959854701344894</v>
      </c>
      <c r="K56" s="24">
        <f t="shared" si="6"/>
        <v>3</v>
      </c>
      <c r="L56" s="19">
        <f t="shared" si="7"/>
        <v>1.0456783749999996</v>
      </c>
      <c r="M56" s="19">
        <f t="shared" si="9"/>
        <v>4.8072501010547539E-5</v>
      </c>
    </row>
    <row r="57" spans="7:13">
      <c r="G57" s="3">
        <v>44</v>
      </c>
      <c r="H57" s="5">
        <f t="shared" si="3"/>
        <v>3.6666666666666665</v>
      </c>
      <c r="I57" s="4">
        <f t="shared" si="11"/>
        <v>0.99797402434257743</v>
      </c>
      <c r="J57" s="10">
        <f t="shared" si="5"/>
        <v>0.8361917981210325</v>
      </c>
      <c r="K57" s="24">
        <f t="shared" si="6"/>
        <v>3</v>
      </c>
      <c r="L57" s="19">
        <f t="shared" si="7"/>
        <v>1.0456783749999996</v>
      </c>
      <c r="M57" s="19">
        <f t="shared" si="9"/>
        <v>4.8186837225409032E-5</v>
      </c>
    </row>
    <row r="58" spans="7:13">
      <c r="G58" s="3">
        <v>45</v>
      </c>
      <c r="H58" s="5">
        <f t="shared" si="3"/>
        <v>3.75</v>
      </c>
      <c r="I58" s="4">
        <f t="shared" si="11"/>
        <v>0.99791855783072592</v>
      </c>
      <c r="J58" s="10">
        <f t="shared" si="5"/>
        <v>0.83279887242787853</v>
      </c>
      <c r="K58" s="24">
        <f t="shared" si="6"/>
        <v>3</v>
      </c>
      <c r="L58" s="19">
        <f t="shared" si="7"/>
        <v>1.0456783749999996</v>
      </c>
      <c r="M58" s="19">
        <f t="shared" si="9"/>
        <v>4.8302444513449588E-5</v>
      </c>
    </row>
    <row r="59" spans="7:13">
      <c r="G59" s="3">
        <v>46</v>
      </c>
      <c r="H59" s="5">
        <f t="shared" si="3"/>
        <v>3.8333333333333335</v>
      </c>
      <c r="I59" s="4">
        <f t="shared" si="11"/>
        <v>0.99786273057626618</v>
      </c>
      <c r="J59" s="10">
        <f t="shared" si="5"/>
        <v>0.82941971384507562</v>
      </c>
      <c r="K59" s="24">
        <f t="shared" si="6"/>
        <v>3</v>
      </c>
      <c r="L59" s="19">
        <f t="shared" si="7"/>
        <v>1.0456783749999996</v>
      </c>
      <c r="M59" s="19">
        <f t="shared" si="9"/>
        <v>4.8419327191515558E-5</v>
      </c>
    </row>
    <row r="60" spans="7:13">
      <c r="G60" s="3">
        <v>47</v>
      </c>
      <c r="H60" s="5">
        <f t="shared" si="3"/>
        <v>3.9166666666666665</v>
      </c>
      <c r="I60" s="4">
        <f t="shared" si="11"/>
        <v>0.99780653907889527</v>
      </c>
      <c r="J60" s="10">
        <f t="shared" si="5"/>
        <v>0.82605426651129776</v>
      </c>
      <c r="K60" s="24">
        <f t="shared" si="6"/>
        <v>3</v>
      </c>
      <c r="L60" s="19">
        <f t="shared" si="7"/>
        <v>1.0456783749999996</v>
      </c>
      <c r="M60" s="19">
        <f t="shared" si="9"/>
        <v>4.8537489607201115E-5</v>
      </c>
    </row>
    <row r="61" spans="7:13">
      <c r="G61" s="3">
        <v>48</v>
      </c>
      <c r="H61" s="5">
        <f t="shared" si="3"/>
        <v>4</v>
      </c>
      <c r="I61" s="4">
        <f t="shared" si="11"/>
        <v>0.99774997980465108</v>
      </c>
      <c r="J61" s="10">
        <f t="shared" si="5"/>
        <v>0.82270247479188197</v>
      </c>
      <c r="K61" s="24">
        <f t="shared" si="6"/>
        <v>4</v>
      </c>
      <c r="L61" s="19">
        <f t="shared" si="7"/>
        <v>1.0613635506249994</v>
      </c>
      <c r="M61" s="19">
        <f t="shared" si="9"/>
        <v>4.865693613903559E-5</v>
      </c>
    </row>
    <row r="62" spans="7:13">
      <c r="G62" s="3">
        <v>49</v>
      </c>
      <c r="H62" s="5">
        <f t="shared" si="3"/>
        <v>4.083333333333333</v>
      </c>
      <c r="I62" s="4">
        <f t="shared" si="11"/>
        <v>0.99769304918559365</v>
      </c>
      <c r="J62" s="10">
        <f t="shared" si="5"/>
        <v>0.81936428327790733</v>
      </c>
      <c r="K62" s="24">
        <f t="shared" si="6"/>
        <v>4</v>
      </c>
      <c r="L62" s="19">
        <f t="shared" si="7"/>
        <v>1.0613635506249994</v>
      </c>
      <c r="M62" s="19">
        <f t="shared" si="9"/>
        <v>4.9509336264692872E-5</v>
      </c>
    </row>
    <row r="63" spans="7:13">
      <c r="G63" s="3">
        <v>50</v>
      </c>
      <c r="H63" s="5">
        <f t="shared" si="3"/>
        <v>4.166666666666667</v>
      </c>
      <c r="I63" s="4">
        <f t="shared" si="11"/>
        <v>0.99763574361948493</v>
      </c>
      <c r="J63" s="10">
        <f t="shared" si="5"/>
        <v>0.81603963678528069</v>
      </c>
      <c r="K63" s="24">
        <f t="shared" si="6"/>
        <v>4</v>
      </c>
      <c r="L63" s="19">
        <f t="shared" si="7"/>
        <v>1.0613635506249994</v>
      </c>
      <c r="M63" s="19">
        <f t="shared" si="9"/>
        <v>4.9633194708540297E-5</v>
      </c>
    </row>
    <row r="64" spans="7:13">
      <c r="G64" s="3">
        <v>51</v>
      </c>
      <c r="H64" s="5">
        <f t="shared" si="3"/>
        <v>4.25</v>
      </c>
      <c r="I64" s="4">
        <f t="shared" si="11"/>
        <v>0.99757805946946376</v>
      </c>
      <c r="J64" s="10">
        <f t="shared" si="5"/>
        <v>0.81272848035382284</v>
      </c>
      <c r="K64" s="24">
        <f t="shared" si="6"/>
        <v>4</v>
      </c>
      <c r="L64" s="19">
        <f t="shared" si="7"/>
        <v>1.0613635506249994</v>
      </c>
      <c r="M64" s="19">
        <f t="shared" si="9"/>
        <v>4.9758370051402769E-5</v>
      </c>
    </row>
    <row r="65" spans="7:13">
      <c r="G65" s="3">
        <v>52</v>
      </c>
      <c r="H65" s="5">
        <f t="shared" si="3"/>
        <v>4.333333333333333</v>
      </c>
      <c r="I65" s="4">
        <f t="shared" si="11"/>
        <v>0.99751999306371897</v>
      </c>
      <c r="J65" s="10">
        <f t="shared" si="5"/>
        <v>0.80943075924636076</v>
      </c>
      <c r="K65" s="24">
        <f t="shared" si="6"/>
        <v>4</v>
      </c>
      <c r="L65" s="19">
        <f t="shared" si="7"/>
        <v>1.0613635506249994</v>
      </c>
      <c r="M65" s="19">
        <f t="shared" si="9"/>
        <v>4.9884866863472076E-5</v>
      </c>
    </row>
    <row r="66" spans="7:13">
      <c r="G66" s="3">
        <v>53</v>
      </c>
      <c r="H66" s="5">
        <f t="shared" si="3"/>
        <v>4.416666666666667</v>
      </c>
      <c r="I66" s="4">
        <f t="shared" si="11"/>
        <v>0.99746154069515958</v>
      </c>
      <c r="J66" s="10">
        <f t="shared" si="5"/>
        <v>0.80614641894782257</v>
      </c>
      <c r="K66" s="24">
        <f t="shared" si="6"/>
        <v>4</v>
      </c>
      <c r="L66" s="19">
        <f t="shared" si="7"/>
        <v>1.0613635506249994</v>
      </c>
      <c r="M66" s="19">
        <f t="shared" si="9"/>
        <v>5.0012689746284727E-5</v>
      </c>
    </row>
    <row r="67" spans="7:13">
      <c r="G67" s="3">
        <v>54</v>
      </c>
      <c r="H67" s="5">
        <f t="shared" si="3"/>
        <v>4.5</v>
      </c>
      <c r="I67" s="4">
        <f t="shared" si="11"/>
        <v>0.99740269862108155</v>
      </c>
      <c r="J67" s="10">
        <f t="shared" si="5"/>
        <v>0.80287540516433631</v>
      </c>
      <c r="K67" s="24">
        <f t="shared" si="6"/>
        <v>4</v>
      </c>
      <c r="L67" s="19">
        <f t="shared" si="7"/>
        <v>1.0613635506249994</v>
      </c>
      <c r="M67" s="19">
        <f t="shared" si="9"/>
        <v>5.0141843333258959E-5</v>
      </c>
    </row>
    <row r="68" spans="7:13">
      <c r="G68" s="3">
        <v>55</v>
      </c>
      <c r="H68" s="5">
        <f t="shared" si="3"/>
        <v>4.583333333333333</v>
      </c>
      <c r="I68" s="4">
        <f t="shared" si="11"/>
        <v>0.99734346306283161</v>
      </c>
      <c r="J68" s="10">
        <f t="shared" si="5"/>
        <v>0.79961766382233246</v>
      </c>
      <c r="K68" s="24">
        <f t="shared" si="6"/>
        <v>4</v>
      </c>
      <c r="L68" s="19">
        <f t="shared" si="7"/>
        <v>1.0613635506249994</v>
      </c>
      <c r="M68" s="19">
        <f t="shared" si="9"/>
        <v>5.0272332289633081E-5</v>
      </c>
    </row>
    <row r="69" spans="7:13">
      <c r="G69" s="3">
        <v>56</v>
      </c>
      <c r="H69" s="5">
        <f t="shared" si="3"/>
        <v>4.666666666666667</v>
      </c>
      <c r="I69" s="4">
        <f t="shared" si="11"/>
        <v>0.99728383020546851</v>
      </c>
      <c r="J69" s="10">
        <f t="shared" si="5"/>
        <v>0.79637314106764989</v>
      </c>
      <c r="K69" s="24">
        <f t="shared" si="6"/>
        <v>4</v>
      </c>
      <c r="L69" s="19">
        <f t="shared" si="7"/>
        <v>1.0613635506249994</v>
      </c>
      <c r="M69" s="19">
        <f t="shared" si="9"/>
        <v>5.0404161312103304E-5</v>
      </c>
    </row>
    <row r="70" spans="7:13">
      <c r="G70" s="3">
        <v>57</v>
      </c>
      <c r="H70" s="5">
        <f t="shared" si="3"/>
        <v>4.75</v>
      </c>
      <c r="I70" s="4">
        <f t="shared" si="11"/>
        <v>0.99722379619742019</v>
      </c>
      <c r="J70" s="10">
        <f t="shared" si="5"/>
        <v>0.79314178326464624</v>
      </c>
      <c r="K70" s="24">
        <f t="shared" si="6"/>
        <v>4</v>
      </c>
      <c r="L70" s="19">
        <f t="shared" si="7"/>
        <v>1.0613635506249994</v>
      </c>
      <c r="M70" s="19">
        <f t="shared" si="9"/>
        <v>5.0537335129758445E-5</v>
      </c>
    </row>
    <row r="71" spans="7:13">
      <c r="G71" s="3">
        <v>58</v>
      </c>
      <c r="H71" s="5">
        <f t="shared" si="3"/>
        <v>4.833333333333333</v>
      </c>
      <c r="I71" s="4">
        <f t="shared" si="11"/>
        <v>0.99716335715013915</v>
      </c>
      <c r="J71" s="10">
        <f t="shared" si="5"/>
        <v>0.78992353699531004</v>
      </c>
      <c r="K71" s="24">
        <f t="shared" si="6"/>
        <v>4</v>
      </c>
      <c r="L71" s="19">
        <f t="shared" si="7"/>
        <v>1.0613635506249994</v>
      </c>
      <c r="M71" s="19">
        <f t="shared" si="9"/>
        <v>5.067185850301655E-5</v>
      </c>
    </row>
    <row r="72" spans="7:13">
      <c r="G72" s="3">
        <v>59</v>
      </c>
      <c r="H72" s="5">
        <f t="shared" si="3"/>
        <v>4.916666666666667</v>
      </c>
      <c r="I72" s="4">
        <f t="shared" si="11"/>
        <v>0.99710250913775311</v>
      </c>
      <c r="J72" s="10">
        <f t="shared" si="5"/>
        <v>0.78671834905837879</v>
      </c>
      <c r="K72" s="24">
        <f t="shared" si="6"/>
        <v>4</v>
      </c>
      <c r="L72" s="19">
        <f t="shared" si="7"/>
        <v>1.0613635506249994</v>
      </c>
      <c r="M72" s="19">
        <f t="shared" si="9"/>
        <v>5.0807736225069769E-5</v>
      </c>
    </row>
    <row r="73" spans="7:13">
      <c r="G73" s="3">
        <v>60</v>
      </c>
      <c r="H73" s="5">
        <f t="shared" si="3"/>
        <v>5</v>
      </c>
      <c r="I73" s="4">
        <f t="shared" si="11"/>
        <v>0.99704124819671458</v>
      </c>
      <c r="J73" s="10">
        <f t="shared" si="5"/>
        <v>0.78352616646845896</v>
      </c>
      <c r="K73" s="24">
        <f t="shared" si="6"/>
        <v>5</v>
      </c>
      <c r="L73" s="19">
        <f t="shared" si="7"/>
        <v>1.0772840038843743</v>
      </c>
      <c r="M73" s="19">
        <f t="shared" si="9"/>
        <v>5.0944973120134202E-5</v>
      </c>
    </row>
    <row r="74" spans="7:13">
      <c r="G74" s="3">
        <v>61</v>
      </c>
      <c r="H74" s="5">
        <f t="shared" si="3"/>
        <v>5.083333333333333</v>
      </c>
      <c r="I74" s="4">
        <f t="shared" si="11"/>
        <v>0.99697957032544482</v>
      </c>
      <c r="J74" s="10">
        <f t="shared" si="5"/>
        <v>0.78034693645514985</v>
      </c>
      <c r="K74" s="24">
        <f t="shared" si="6"/>
        <v>5</v>
      </c>
      <c r="L74" s="19">
        <f t="shared" si="7"/>
        <v>1.0772840038843743</v>
      </c>
      <c r="M74" s="19">
        <f t="shared" si="9"/>
        <v>5.1849827656267168E-5</v>
      </c>
    </row>
    <row r="75" spans="7:13">
      <c r="G75" s="3">
        <v>62</v>
      </c>
      <c r="H75" s="5">
        <f t="shared" si="3"/>
        <v>5.166666666666667</v>
      </c>
      <c r="I75" s="4">
        <f t="shared" si="11"/>
        <v>0.99691747148397669</v>
      </c>
      <c r="J75" s="10">
        <f t="shared" si="5"/>
        <v>0.77718060646217202</v>
      </c>
      <c r="K75" s="24">
        <f t="shared" si="6"/>
        <v>5</v>
      </c>
      <c r="L75" s="19">
        <f t="shared" si="7"/>
        <v>1.0772840038843743</v>
      </c>
      <c r="M75" s="19">
        <f t="shared" si="9"/>
        <v>5.1991897048608508E-5</v>
      </c>
    </row>
    <row r="76" spans="7:13">
      <c r="G76" s="3">
        <v>63</v>
      </c>
      <c r="H76" s="5">
        <f t="shared" si="3"/>
        <v>5.25</v>
      </c>
      <c r="I76" s="4">
        <f t="shared" si="11"/>
        <v>0.99685494759359317</v>
      </c>
      <c r="J76" s="10">
        <f t="shared" si="5"/>
        <v>0.77402712414649788</v>
      </c>
      <c r="K76" s="24">
        <f t="shared" si="6"/>
        <v>5</v>
      </c>
      <c r="L76" s="19">
        <f t="shared" si="7"/>
        <v>1.0772840038843743</v>
      </c>
      <c r="M76" s="19">
        <f t="shared" si="9"/>
        <v>5.2135360889051324E-5</v>
      </c>
    </row>
    <row r="77" spans="7:13">
      <c r="G77" s="3">
        <v>64</v>
      </c>
      <c r="H77" s="5">
        <f t="shared" si="3"/>
        <v>5.333333333333333</v>
      </c>
      <c r="I77" s="4">
        <f t="shared" si="11"/>
        <v>0.99679199453646283</v>
      </c>
      <c r="J77" s="10">
        <f t="shared" si="5"/>
        <v>0.77088643737748652</v>
      </c>
      <c r="K77" s="24">
        <f t="shared" si="6"/>
        <v>5</v>
      </c>
      <c r="L77" s="19">
        <f t="shared" si="7"/>
        <v>1.0772840038843743</v>
      </c>
      <c r="M77" s="19">
        <f t="shared" si="9"/>
        <v>5.2280224205442177E-5</v>
      </c>
    </row>
    <row r="78" spans="7:13">
      <c r="G78" s="3">
        <v>65</v>
      </c>
      <c r="H78" s="5">
        <f t="shared" ref="H78:H141" si="12">G78/12</f>
        <v>5.416666666666667</v>
      </c>
      <c r="I78" s="4">
        <f t="shared" si="11"/>
        <v>0.99672860815527198</v>
      </c>
      <c r="J78" s="10">
        <f t="shared" ref="J78:J141" si="13">(1+B$6)^-H78</f>
        <v>0.76775849423602138</v>
      </c>
      <c r="K78" s="24">
        <f t="shared" ref="K78:K141" si="14">INT(H78+0.000001)</f>
        <v>5</v>
      </c>
      <c r="L78" s="19">
        <f t="shared" ref="L78:L141" si="15">1.015^K78</f>
        <v>1.0772840038843743</v>
      </c>
      <c r="M78" s="19">
        <f t="shared" si="9"/>
        <v>5.2426492058566895E-5</v>
      </c>
    </row>
    <row r="79" spans="7:13">
      <c r="G79" s="3">
        <v>66</v>
      </c>
      <c r="H79" s="5">
        <f t="shared" si="12"/>
        <v>5.5</v>
      </c>
      <c r="I79" s="4">
        <f t="shared" si="11"/>
        <v>0.99666478425285387</v>
      </c>
      <c r="J79" s="10">
        <f t="shared" si="13"/>
        <v>0.7646432430136535</v>
      </c>
      <c r="K79" s="24">
        <f t="shared" si="14"/>
        <v>5</v>
      </c>
      <c r="L79" s="19">
        <f t="shared" si="15"/>
        <v>1.0772840038843743</v>
      </c>
      <c r="M79" s="19">
        <f t="shared" ref="M79:M142" si="16">(I78-I79)*J79*L78</f>
        <v>5.2574169541759885E-5</v>
      </c>
    </row>
    <row r="80" spans="7:13">
      <c r="G80" s="3">
        <v>67</v>
      </c>
      <c r="H80" s="5">
        <f t="shared" si="12"/>
        <v>5.583333333333333</v>
      </c>
      <c r="I80" s="4">
        <f t="shared" si="11"/>
        <v>0.9966005185918142</v>
      </c>
      <c r="J80" s="10">
        <f t="shared" si="13"/>
        <v>0.76154063221174506</v>
      </c>
      <c r="K80" s="24">
        <f t="shared" si="14"/>
        <v>5</v>
      </c>
      <c r="L80" s="19">
        <f t="shared" si="15"/>
        <v>1.0772840038843743</v>
      </c>
      <c r="M80" s="19">
        <f t="shared" si="16"/>
        <v>5.272326178141173E-5</v>
      </c>
    </row>
    <row r="81" spans="7:13">
      <c r="G81" s="3">
        <v>68</v>
      </c>
      <c r="H81" s="5">
        <f t="shared" si="12"/>
        <v>5.666666666666667</v>
      </c>
      <c r="I81" s="4">
        <f t="shared" si="11"/>
        <v>0.99653580689415289</v>
      </c>
      <c r="J81" s="10">
        <f t="shared" si="13"/>
        <v>0.75845061054061902</v>
      </c>
      <c r="K81" s="24">
        <f t="shared" si="14"/>
        <v>5</v>
      </c>
      <c r="L81" s="19">
        <f t="shared" si="15"/>
        <v>1.0772840038843743</v>
      </c>
      <c r="M81" s="19">
        <f t="shared" si="16"/>
        <v>5.2873773937170949E-5</v>
      </c>
    </row>
    <row r="82" spans="7:13">
      <c r="G82" s="3">
        <v>69</v>
      </c>
      <c r="H82" s="5">
        <f t="shared" si="12"/>
        <v>5.75</v>
      </c>
      <c r="I82" s="4">
        <f t="shared" si="11"/>
        <v>0.99647064484088343</v>
      </c>
      <c r="J82" s="10">
        <f t="shared" si="13"/>
        <v>0.75537312691871061</v>
      </c>
      <c r="K82" s="24">
        <f t="shared" si="14"/>
        <v>5</v>
      </c>
      <c r="L82" s="19">
        <f t="shared" si="15"/>
        <v>1.0772840038843743</v>
      </c>
      <c r="M82" s="19">
        <f t="shared" si="16"/>
        <v>5.3025711201305647E-5</v>
      </c>
    </row>
    <row r="83" spans="7:13">
      <c r="G83" s="3">
        <v>70</v>
      </c>
      <c r="H83" s="5">
        <f t="shared" si="12"/>
        <v>5.833333333333333</v>
      </c>
      <c r="I83" s="4">
        <f t="shared" si="11"/>
        <v>0.99640502807164799</v>
      </c>
      <c r="J83" s="10">
        <f t="shared" si="13"/>
        <v>0.75230813047172385</v>
      </c>
      <c r="K83" s="24">
        <f t="shared" si="14"/>
        <v>5</v>
      </c>
      <c r="L83" s="19">
        <f t="shared" si="15"/>
        <v>1.0772840038843743</v>
      </c>
      <c r="M83" s="19">
        <f t="shared" si="16"/>
        <v>5.3179078799408568E-5</v>
      </c>
    </row>
    <row r="84" spans="7:13">
      <c r="G84" s="3">
        <v>71</v>
      </c>
      <c r="H84" s="5">
        <f t="shared" si="12"/>
        <v>5.916666666666667</v>
      </c>
      <c r="I84" s="4">
        <f t="shared" si="11"/>
        <v>0.99633895218432944</v>
      </c>
      <c r="J84" s="10">
        <f t="shared" si="13"/>
        <v>0.74925557053178926</v>
      </c>
      <c r="K84" s="24">
        <f t="shared" si="14"/>
        <v>5</v>
      </c>
      <c r="L84" s="19">
        <f t="shared" si="15"/>
        <v>1.0772840038843743</v>
      </c>
      <c r="M84" s="19">
        <f t="shared" si="16"/>
        <v>5.3333881990077082E-5</v>
      </c>
    </row>
    <row r="85" spans="7:13">
      <c r="G85" s="3">
        <v>72</v>
      </c>
      <c r="H85" s="5">
        <f t="shared" si="12"/>
        <v>6</v>
      </c>
      <c r="I85" s="4">
        <f t="shared" si="11"/>
        <v>0.99627241273465983</v>
      </c>
      <c r="J85" s="10">
        <f t="shared" si="13"/>
        <v>0.74621539663662761</v>
      </c>
      <c r="K85" s="24">
        <f t="shared" si="14"/>
        <v>6</v>
      </c>
      <c r="L85" s="19">
        <f t="shared" si="15"/>
        <v>1.0934432639426397</v>
      </c>
      <c r="M85" s="19">
        <f t="shared" si="16"/>
        <v>5.3490126065114644E-5</v>
      </c>
    </row>
    <row r="86" spans="7:13">
      <c r="G86" s="3">
        <v>73</v>
      </c>
      <c r="H86" s="5">
        <f t="shared" si="12"/>
        <v>6.083333333333333</v>
      </c>
      <c r="I86" s="4">
        <f t="shared" si="11"/>
        <v>0.99620540523582524</v>
      </c>
      <c r="J86" s="10">
        <f t="shared" si="13"/>
        <v>0.7431875585287141</v>
      </c>
      <c r="K86" s="24">
        <f t="shared" si="14"/>
        <v>6</v>
      </c>
      <c r="L86" s="19">
        <f t="shared" si="15"/>
        <v>1.0934432639426397</v>
      </c>
      <c r="M86" s="19">
        <f t="shared" si="16"/>
        <v>5.4452533594860164E-5</v>
      </c>
    </row>
    <row r="87" spans="7:13">
      <c r="G87" s="3">
        <v>74</v>
      </c>
      <c r="H87" s="5">
        <f t="shared" si="12"/>
        <v>6.166666666666667</v>
      </c>
      <c r="I87" s="4">
        <f t="shared" si="11"/>
        <v>0.99613792515806743</v>
      </c>
      <c r="J87" s="10">
        <f t="shared" si="13"/>
        <v>0.74017200615444956</v>
      </c>
      <c r="K87" s="24">
        <f t="shared" si="14"/>
        <v>6</v>
      </c>
      <c r="L87" s="19">
        <f t="shared" si="15"/>
        <v>1.0934432639426397</v>
      </c>
      <c r="M87" s="19">
        <f t="shared" si="16"/>
        <v>5.4614062574788812E-5</v>
      </c>
    </row>
    <row r="88" spans="7:13">
      <c r="G88" s="3">
        <v>75</v>
      </c>
      <c r="H88" s="5">
        <f t="shared" si="12"/>
        <v>6.25</v>
      </c>
      <c r="I88" s="4">
        <f t="shared" si="11"/>
        <v>0.99606996792828151</v>
      </c>
      <c r="J88" s="10">
        <f t="shared" si="13"/>
        <v>0.73716868966333127</v>
      </c>
      <c r="K88" s="24">
        <f t="shared" si="14"/>
        <v>6</v>
      </c>
      <c r="L88" s="19">
        <f t="shared" si="15"/>
        <v>1.0934432639426397</v>
      </c>
      <c r="M88" s="19">
        <f t="shared" si="16"/>
        <v>5.4777070368415502E-5</v>
      </c>
    </row>
    <row r="89" spans="7:13">
      <c r="G89" s="3">
        <v>76</v>
      </c>
      <c r="H89" s="5">
        <f t="shared" si="12"/>
        <v>6.333333333333333</v>
      </c>
      <c r="I89" s="4">
        <f t="shared" si="11"/>
        <v>0.99600152892961014</v>
      </c>
      <c r="J89" s="10">
        <f t="shared" si="13"/>
        <v>0.73417755940712992</v>
      </c>
      <c r="K89" s="24">
        <f t="shared" si="14"/>
        <v>6</v>
      </c>
      <c r="L89" s="19">
        <f t="shared" si="15"/>
        <v>1.0934432639426397</v>
      </c>
      <c r="M89" s="19">
        <f t="shared" si="16"/>
        <v>5.4941562482185484E-5</v>
      </c>
    </row>
    <row r="90" spans="7:13">
      <c r="G90" s="3">
        <v>77</v>
      </c>
      <c r="H90" s="5">
        <f t="shared" si="12"/>
        <v>6.416666666666667</v>
      </c>
      <c r="I90" s="4">
        <f t="shared" si="11"/>
        <v>0.99593260350103474</v>
      </c>
      <c r="J90" s="10">
        <f t="shared" si="13"/>
        <v>0.73119856593906796</v>
      </c>
      <c r="K90" s="24">
        <f t="shared" si="14"/>
        <v>6</v>
      </c>
      <c r="L90" s="19">
        <f t="shared" si="15"/>
        <v>1.0934432639426397</v>
      </c>
      <c r="M90" s="19">
        <f t="shared" si="16"/>
        <v>5.5107544455997843E-5</v>
      </c>
    </row>
    <row r="91" spans="7:13">
      <c r="G91" s="3">
        <v>78</v>
      </c>
      <c r="H91" s="5">
        <f t="shared" si="12"/>
        <v>6.5</v>
      </c>
      <c r="I91" s="4">
        <f t="shared" si="11"/>
        <v>0.99586318693696163</v>
      </c>
      <c r="J91" s="10">
        <f t="shared" si="13"/>
        <v>0.72823166001300332</v>
      </c>
      <c r="K91" s="24">
        <f t="shared" si="14"/>
        <v>6</v>
      </c>
      <c r="L91" s="19">
        <f t="shared" si="15"/>
        <v>1.0934432639426397</v>
      </c>
      <c r="M91" s="19">
        <f t="shared" si="16"/>
        <v>5.5275021864420202E-5</v>
      </c>
    </row>
    <row r="92" spans="7:13">
      <c r="G92" s="3">
        <v>79</v>
      </c>
      <c r="H92" s="5">
        <f t="shared" si="12"/>
        <v>6.583333333333333</v>
      </c>
      <c r="I92" s="4">
        <f t="shared" si="11"/>
        <v>0.99579327448680621</v>
      </c>
      <c r="J92" s="10">
        <f t="shared" si="13"/>
        <v>0.72527679258261424</v>
      </c>
      <c r="K92" s="24">
        <f t="shared" si="14"/>
        <v>6</v>
      </c>
      <c r="L92" s="19">
        <f t="shared" si="15"/>
        <v>1.0934432639426397</v>
      </c>
      <c r="M92" s="19">
        <f t="shared" si="16"/>
        <v>5.5444000315297362E-5</v>
      </c>
    </row>
    <row r="93" spans="7:13">
      <c r="G93" s="3">
        <v>80</v>
      </c>
      <c r="H93" s="5">
        <f t="shared" si="12"/>
        <v>6.666666666666667</v>
      </c>
      <c r="I93" s="4">
        <f t="shared" si="11"/>
        <v>0.995722861354572</v>
      </c>
      <c r="J93" s="10">
        <f t="shared" si="13"/>
        <v>0.72233391480058939</v>
      </c>
      <c r="K93" s="24">
        <f t="shared" si="14"/>
        <v>6</v>
      </c>
      <c r="L93" s="19">
        <f t="shared" si="15"/>
        <v>1.0934432639426397</v>
      </c>
      <c r="M93" s="19">
        <f t="shared" si="16"/>
        <v>5.5614485451001351E-5</v>
      </c>
    </row>
    <row r="94" spans="7:13">
      <c r="G94" s="3">
        <v>81</v>
      </c>
      <c r="H94" s="5">
        <f t="shared" si="12"/>
        <v>6.75</v>
      </c>
      <c r="I94" s="4">
        <f t="shared" si="11"/>
        <v>0.99565194269842683</v>
      </c>
      <c r="J94" s="10">
        <f t="shared" si="13"/>
        <v>0.71940297801781972</v>
      </c>
      <c r="K94" s="24">
        <f t="shared" si="14"/>
        <v>6</v>
      </c>
      <c r="L94" s="19">
        <f t="shared" si="15"/>
        <v>1.0934432639426397</v>
      </c>
      <c r="M94" s="19">
        <f t="shared" si="16"/>
        <v>5.5786482947706536E-5</v>
      </c>
    </row>
    <row r="95" spans="7:13">
      <c r="G95" s="3">
        <v>82</v>
      </c>
      <c r="H95" s="5">
        <f t="shared" si="12"/>
        <v>6.833333333333333</v>
      </c>
      <c r="I95" s="4">
        <f t="shared" si="11"/>
        <v>0.995580513630275</v>
      </c>
      <c r="J95" s="10">
        <f t="shared" si="13"/>
        <v>0.71648393378259412</v>
      </c>
      <c r="K95" s="24">
        <f t="shared" si="14"/>
        <v>6</v>
      </c>
      <c r="L95" s="19">
        <f t="shared" si="15"/>
        <v>1.0934432639426397</v>
      </c>
      <c r="M95" s="19">
        <f t="shared" si="16"/>
        <v>5.5959998515702722E-5</v>
      </c>
    </row>
    <row r="96" spans="7:13">
      <c r="G96" s="3">
        <v>83</v>
      </c>
      <c r="H96" s="5">
        <f t="shared" si="12"/>
        <v>6.916666666666667</v>
      </c>
      <c r="I96" s="4">
        <f t="shared" si="11"/>
        <v>0.99550856921532538</v>
      </c>
      <c r="J96" s="10">
        <f t="shared" si="13"/>
        <v>0.71357673383979936</v>
      </c>
      <c r="K96" s="24">
        <f t="shared" si="14"/>
        <v>6</v>
      </c>
      <c r="L96" s="19">
        <f t="shared" si="15"/>
        <v>1.0934432639426397</v>
      </c>
      <c r="M96" s="19">
        <f t="shared" si="16"/>
        <v>5.6135037899590737E-5</v>
      </c>
    </row>
    <row r="97" spans="7:13">
      <c r="G97" s="3">
        <v>84</v>
      </c>
      <c r="H97" s="5">
        <f t="shared" si="12"/>
        <v>7</v>
      </c>
      <c r="I97" s="4">
        <f t="shared" si="11"/>
        <v>0.99543610447165631</v>
      </c>
      <c r="J97" s="10">
        <f t="shared" si="13"/>
        <v>0.71068133013012147</v>
      </c>
      <c r="K97" s="24">
        <f t="shared" si="14"/>
        <v>7</v>
      </c>
      <c r="L97" s="19">
        <f t="shared" si="15"/>
        <v>1.1098449129017791</v>
      </c>
      <c r="M97" s="19">
        <f t="shared" si="16"/>
        <v>5.6311606877845676E-5</v>
      </c>
    </row>
    <row r="98" spans="7:13">
      <c r="G98" s="3">
        <v>85</v>
      </c>
      <c r="H98" s="5">
        <f t="shared" si="12"/>
        <v>7.083333333333333</v>
      </c>
      <c r="I98" s="4">
        <f t="shared" si="11"/>
        <v>0.99536311436977609</v>
      </c>
      <c r="J98" s="10">
        <f t="shared" si="13"/>
        <v>0.70779767478925149</v>
      </c>
      <c r="K98" s="24">
        <f t="shared" si="14"/>
        <v>7</v>
      </c>
      <c r="L98" s="19">
        <f t="shared" si="15"/>
        <v>1.1098449129017791</v>
      </c>
      <c r="M98" s="19">
        <f>(I97-I98)*J98*L97</f>
        <v>5.7337056932262171E-5</v>
      </c>
    </row>
    <row r="99" spans="7:13">
      <c r="G99" s="3">
        <v>86</v>
      </c>
      <c r="H99" s="5">
        <f t="shared" si="12"/>
        <v>7.166666666666667</v>
      </c>
      <c r="I99" s="4">
        <f t="shared" si="11"/>
        <v>0.99528959383217952</v>
      </c>
      <c r="J99" s="10">
        <f t="shared" si="13"/>
        <v>0.70492572014709476</v>
      </c>
      <c r="K99" s="24">
        <f t="shared" si="14"/>
        <v>7</v>
      </c>
      <c r="L99" s="19">
        <f t="shared" si="15"/>
        <v>1.1098449129017791</v>
      </c>
      <c r="M99" s="19">
        <f t="shared" si="16"/>
        <v>5.7519397256786504E-5</v>
      </c>
    </row>
    <row r="100" spans="7:13">
      <c r="G100" s="3">
        <v>87</v>
      </c>
      <c r="H100" s="5">
        <f t="shared" si="12"/>
        <v>7.25</v>
      </c>
      <c r="I100" s="4">
        <f t="shared" si="11"/>
        <v>0.99521553773290117</v>
      </c>
      <c r="J100" s="10">
        <f t="shared" si="13"/>
        <v>0.70206541872698214</v>
      </c>
      <c r="K100" s="24">
        <f t="shared" si="14"/>
        <v>7</v>
      </c>
      <c r="L100" s="19">
        <f t="shared" si="15"/>
        <v>1.1098449129017791</v>
      </c>
      <c r="M100" s="19">
        <f t="shared" si="16"/>
        <v>5.7703307924034625E-5</v>
      </c>
    </row>
    <row r="101" spans="7:13">
      <c r="G101" s="3">
        <v>88</v>
      </c>
      <c r="H101" s="5">
        <f t="shared" si="12"/>
        <v>7.333333333333333</v>
      </c>
      <c r="I101" s="4">
        <f t="shared" si="11"/>
        <v>0.99514094089706417</v>
      </c>
      <c r="J101" s="10">
        <f t="shared" si="13"/>
        <v>0.6992167232448856</v>
      </c>
      <c r="K101" s="24">
        <f t="shared" si="14"/>
        <v>7</v>
      </c>
      <c r="L101" s="19">
        <f t="shared" si="15"/>
        <v>1.1098449129017791</v>
      </c>
      <c r="M101" s="19">
        <f t="shared" si="16"/>
        <v>5.7888794938370235E-5</v>
      </c>
    </row>
    <row r="102" spans="7:13">
      <c r="G102" s="3">
        <v>89</v>
      </c>
      <c r="H102" s="5">
        <f t="shared" si="12"/>
        <v>7.416666666666667</v>
      </c>
      <c r="I102" s="4">
        <f t="shared" si="11"/>
        <v>0.9950657981004255</v>
      </c>
      <c r="J102" s="10">
        <f t="shared" si="13"/>
        <v>0.69637958660863619</v>
      </c>
      <c r="K102" s="24">
        <f t="shared" si="14"/>
        <v>7</v>
      </c>
      <c r="L102" s="19">
        <f t="shared" si="15"/>
        <v>1.1098449129017791</v>
      </c>
      <c r="M102" s="19">
        <f t="shared" si="16"/>
        <v>5.8075864338774153E-5</v>
      </c>
    </row>
    <row r="103" spans="7:13">
      <c r="G103" s="3">
        <v>90</v>
      </c>
      <c r="H103" s="5">
        <f t="shared" si="12"/>
        <v>7.5</v>
      </c>
      <c r="I103" s="4">
        <f t="shared" si="11"/>
        <v>0.99499010406891619</v>
      </c>
      <c r="J103" s="10">
        <f t="shared" si="13"/>
        <v>0.69355396191714602</v>
      </c>
      <c r="K103" s="24">
        <f t="shared" si="14"/>
        <v>7</v>
      </c>
      <c r="L103" s="19">
        <f t="shared" si="15"/>
        <v>1.1098449129017791</v>
      </c>
      <c r="M103" s="19">
        <f t="shared" si="16"/>
        <v>5.8264522199639809E-5</v>
      </c>
    </row>
    <row r="104" spans="7:13">
      <c r="G104" s="3">
        <v>91</v>
      </c>
      <c r="H104" s="5">
        <f t="shared" si="12"/>
        <v>7.583333333333333</v>
      </c>
      <c r="I104" s="4">
        <f t="shared" ref="I104:I167" si="17">I103*(B$9^(1/12))*B$8^((B$5^(B$7+H103))*((B$5^(1/12)-1)))</f>
        <v>0.99491385347817907</v>
      </c>
      <c r="J104" s="10">
        <f t="shared" si="13"/>
        <v>0.69073980245963262</v>
      </c>
      <c r="K104" s="24">
        <f t="shared" si="14"/>
        <v>7</v>
      </c>
      <c r="L104" s="19">
        <f t="shared" si="15"/>
        <v>1.1098449129017791</v>
      </c>
      <c r="M104" s="19">
        <f t="shared" si="16"/>
        <v>5.8454774629652475E-5</v>
      </c>
    </row>
    <row r="105" spans="7:13">
      <c r="G105" s="3">
        <v>92</v>
      </c>
      <c r="H105" s="5">
        <f t="shared" si="12"/>
        <v>7.666666666666667</v>
      </c>
      <c r="I105" s="4">
        <f t="shared" si="17"/>
        <v>0.99483704095310121</v>
      </c>
      <c r="J105" s="10">
        <f t="shared" si="13"/>
        <v>0.68793706171484714</v>
      </c>
      <c r="K105" s="24">
        <f t="shared" si="14"/>
        <v>7</v>
      </c>
      <c r="L105" s="19">
        <f t="shared" si="15"/>
        <v>1.1098449129017791</v>
      </c>
      <c r="M105" s="19">
        <f t="shared" si="16"/>
        <v>5.8646627772705551E-5</v>
      </c>
    </row>
    <row r="106" spans="7:13">
      <c r="G106" s="3">
        <v>93</v>
      </c>
      <c r="H106" s="5">
        <f t="shared" si="12"/>
        <v>7.75</v>
      </c>
      <c r="I106" s="4">
        <f t="shared" si="17"/>
        <v>0.99475966106734293</v>
      </c>
      <c r="J106" s="10">
        <f t="shared" si="13"/>
        <v>0.6851456933503044</v>
      </c>
      <c r="K106" s="24">
        <f t="shared" si="14"/>
        <v>7</v>
      </c>
      <c r="L106" s="19">
        <f t="shared" si="15"/>
        <v>1.1098449129017791</v>
      </c>
      <c r="M106" s="19">
        <f t="shared" si="16"/>
        <v>5.8840087807503556E-5</v>
      </c>
    </row>
    <row r="107" spans="7:13">
      <c r="G107" s="3">
        <v>94</v>
      </c>
      <c r="H107" s="5">
        <f t="shared" si="12"/>
        <v>7.833333333333333</v>
      </c>
      <c r="I107" s="4">
        <f t="shared" si="17"/>
        <v>0.9946817083428624</v>
      </c>
      <c r="J107" s="10">
        <f t="shared" si="13"/>
        <v>0.68236565122151815</v>
      </c>
      <c r="K107" s="24">
        <f t="shared" si="14"/>
        <v>7</v>
      </c>
      <c r="L107" s="19">
        <f t="shared" si="15"/>
        <v>1.1098449129017791</v>
      </c>
      <c r="M107" s="19">
        <f t="shared" si="16"/>
        <v>5.9035160947654672E-5</v>
      </c>
    </row>
    <row r="108" spans="7:13">
      <c r="G108" s="3">
        <v>95</v>
      </c>
      <c r="H108" s="5">
        <f t="shared" si="12"/>
        <v>7.916666666666667</v>
      </c>
      <c r="I108" s="4">
        <f t="shared" si="17"/>
        <v>0.99460317724943581</v>
      </c>
      <c r="J108" s="10">
        <f t="shared" si="13"/>
        <v>0.67959688937123741</v>
      </c>
      <c r="K108" s="24">
        <f t="shared" si="14"/>
        <v>7</v>
      </c>
      <c r="L108" s="19">
        <f t="shared" si="15"/>
        <v>1.1098449129017791</v>
      </c>
      <c r="M108" s="19">
        <f t="shared" si="16"/>
        <v>5.9231853442070984E-5</v>
      </c>
    </row>
    <row r="109" spans="7:13">
      <c r="G109" s="3">
        <v>96</v>
      </c>
      <c r="H109" s="5">
        <f t="shared" si="12"/>
        <v>8</v>
      </c>
      <c r="I109" s="4">
        <f t="shared" si="17"/>
        <v>0.99452406220417433</v>
      </c>
      <c r="J109" s="10">
        <f t="shared" si="13"/>
        <v>0.67683936202868722</v>
      </c>
      <c r="K109" s="24">
        <f t="shared" si="14"/>
        <v>8</v>
      </c>
      <c r="L109" s="19">
        <f t="shared" si="15"/>
        <v>1.1264925865953057</v>
      </c>
      <c r="M109" s="19">
        <f t="shared" si="16"/>
        <v>5.9430171574083234E-5</v>
      </c>
    </row>
    <row r="110" spans="7:13">
      <c r="G110" s="3">
        <v>97</v>
      </c>
      <c r="H110" s="5">
        <f t="shared" si="12"/>
        <v>8.0833333333333339</v>
      </c>
      <c r="I110" s="4">
        <f t="shared" si="17"/>
        <v>0.99444435757103566</v>
      </c>
      <c r="J110" s="10">
        <f t="shared" si="13"/>
        <v>0.67409302360881085</v>
      </c>
      <c r="K110" s="24">
        <f t="shared" si="14"/>
        <v>8</v>
      </c>
      <c r="L110" s="19">
        <f t="shared" si="15"/>
        <v>1.1264925865953057</v>
      </c>
      <c r="M110" s="19">
        <f>(I109-I110)*J110*L109</f>
        <v>6.0524573487399257E-5</v>
      </c>
    </row>
    <row r="111" spans="7:13">
      <c r="G111" s="3">
        <v>98</v>
      </c>
      <c r="H111" s="5">
        <f t="shared" si="12"/>
        <v>8.1666666666666661</v>
      </c>
      <c r="I111" s="4">
        <f t="shared" si="17"/>
        <v>0.99436405766033242</v>
      </c>
      <c r="J111" s="10">
        <f t="shared" si="13"/>
        <v>0.67135782871151883</v>
      </c>
      <c r="K111" s="24">
        <f t="shared" si="14"/>
        <v>8</v>
      </c>
      <c r="L111" s="19">
        <f t="shared" si="15"/>
        <v>1.1264925865953057</v>
      </c>
      <c r="M111" s="19">
        <f t="shared" si="16"/>
        <v>6.07291857114799E-5</v>
      </c>
    </row>
    <row r="112" spans="7:13">
      <c r="G112" s="3">
        <v>99</v>
      </c>
      <c r="H112" s="5">
        <f t="shared" si="12"/>
        <v>8.25</v>
      </c>
      <c r="I112" s="4">
        <f t="shared" si="17"/>
        <v>0.9942831567282352</v>
      </c>
      <c r="J112" s="10">
        <f t="shared" si="13"/>
        <v>0.66863373212093535</v>
      </c>
      <c r="K112" s="24">
        <f t="shared" si="14"/>
        <v>8</v>
      </c>
      <c r="L112" s="19">
        <f t="shared" si="15"/>
        <v>1.1264925865953057</v>
      </c>
      <c r="M112" s="19">
        <f t="shared" si="16"/>
        <v>6.093546730451761E-5</v>
      </c>
    </row>
    <row r="113" spans="7:13">
      <c r="G113" s="3">
        <v>100</v>
      </c>
      <c r="H113" s="5">
        <f t="shared" si="12"/>
        <v>8.3333333333333339</v>
      </c>
      <c r="I113" s="4">
        <f t="shared" si="17"/>
        <v>0.99420164897627195</v>
      </c>
      <c r="J113" s="10">
        <f t="shared" si="13"/>
        <v>0.66592068880465283</v>
      </c>
      <c r="K113" s="24">
        <f t="shared" si="14"/>
        <v>8</v>
      </c>
      <c r="L113" s="19">
        <f t="shared" si="15"/>
        <v>1.1264925865953057</v>
      </c>
      <c r="M113" s="19">
        <f t="shared" si="16"/>
        <v>6.1143424786523929E-5</v>
      </c>
    </row>
    <row r="114" spans="7:13">
      <c r="G114" s="3">
        <v>101</v>
      </c>
      <c r="H114" s="5">
        <f t="shared" si="12"/>
        <v>8.4166666666666661</v>
      </c>
      <c r="I114" s="4">
        <f t="shared" si="17"/>
        <v>0.99411952855082342</v>
      </c>
      <c r="J114" s="10">
        <f t="shared" si="13"/>
        <v>0.66321865391298684</v>
      </c>
      <c r="K114" s="24">
        <f t="shared" si="14"/>
        <v>8</v>
      </c>
      <c r="L114" s="19">
        <f t="shared" si="15"/>
        <v>1.1264925865953057</v>
      </c>
      <c r="M114" s="19">
        <f t="shared" si="16"/>
        <v>6.1353064712687947E-5</v>
      </c>
    </row>
    <row r="115" spans="7:13">
      <c r="G115" s="3">
        <v>102</v>
      </c>
      <c r="H115" s="5">
        <f t="shared" si="12"/>
        <v>8.5</v>
      </c>
      <c r="I115" s="4">
        <f t="shared" si="17"/>
        <v>0.99403678954261299</v>
      </c>
      <c r="J115" s="10">
        <f t="shared" si="13"/>
        <v>0.66052758277823431</v>
      </c>
      <c r="K115" s="24">
        <f t="shared" si="14"/>
        <v>8</v>
      </c>
      <c r="L115" s="19">
        <f t="shared" si="15"/>
        <v>1.1264925865953057</v>
      </c>
      <c r="M115" s="19">
        <f t="shared" si="16"/>
        <v>6.1564393674260571E-5</v>
      </c>
    </row>
    <row r="116" spans="7:13">
      <c r="G116" s="3">
        <v>103</v>
      </c>
      <c r="H116" s="5">
        <f t="shared" si="12"/>
        <v>8.5833333333333339</v>
      </c>
      <c r="I116" s="4">
        <f t="shared" si="17"/>
        <v>0.99395342598619307</v>
      </c>
      <c r="J116" s="10">
        <f t="shared" si="13"/>
        <v>0.65784743091393583</v>
      </c>
      <c r="K116" s="24">
        <f t="shared" si="14"/>
        <v>8</v>
      </c>
      <c r="L116" s="19">
        <f t="shared" si="15"/>
        <v>1.1264925865953057</v>
      </c>
      <c r="M116" s="19">
        <f t="shared" si="16"/>
        <v>6.1777418297828221E-5</v>
      </c>
    </row>
    <row r="117" spans="7:13">
      <c r="G117" s="3">
        <v>104</v>
      </c>
      <c r="H117" s="5">
        <f t="shared" si="12"/>
        <v>8.6666666666666661</v>
      </c>
      <c r="I117" s="4">
        <f t="shared" si="17"/>
        <v>0.99386943185942722</v>
      </c>
      <c r="J117" s="10">
        <f t="shared" si="13"/>
        <v>0.65517815401414004</v>
      </c>
      <c r="K117" s="24">
        <f t="shared" si="14"/>
        <v>8</v>
      </c>
      <c r="L117" s="19">
        <f t="shared" si="15"/>
        <v>1.1264925865953057</v>
      </c>
      <c r="M117" s="19">
        <f t="shared" si="16"/>
        <v>6.1992145245233645E-5</v>
      </c>
    </row>
    <row r="118" spans="7:13">
      <c r="G118" s="3">
        <v>105</v>
      </c>
      <c r="H118" s="5">
        <f t="shared" si="12"/>
        <v>8.75</v>
      </c>
      <c r="I118" s="4">
        <f t="shared" si="17"/>
        <v>0.99378480108296674</v>
      </c>
      <c r="J118" s="10">
        <f t="shared" si="13"/>
        <v>0.65251970795267089</v>
      </c>
      <c r="K118" s="24">
        <f t="shared" si="14"/>
        <v>8</v>
      </c>
      <c r="L118" s="19">
        <f t="shared" si="15"/>
        <v>1.1264925865953057</v>
      </c>
      <c r="M118" s="19">
        <f t="shared" si="16"/>
        <v>6.2208581214288596E-5</v>
      </c>
    </row>
    <row r="119" spans="7:13">
      <c r="G119" s="3">
        <v>106</v>
      </c>
      <c r="H119" s="5">
        <f t="shared" si="12"/>
        <v>8.8333333333333339</v>
      </c>
      <c r="I119" s="4">
        <f t="shared" si="17"/>
        <v>0.99369952751972357</v>
      </c>
      <c r="J119" s="10">
        <f t="shared" si="13"/>
        <v>0.64987204878239824</v>
      </c>
      <c r="K119" s="24">
        <f t="shared" si="14"/>
        <v>8</v>
      </c>
      <c r="L119" s="19">
        <f t="shared" si="15"/>
        <v>1.1264925865953057</v>
      </c>
      <c r="M119" s="19">
        <f t="shared" si="16"/>
        <v>6.2426732938224112E-5</v>
      </c>
    </row>
    <row r="120" spans="7:13">
      <c r="G120" s="3">
        <v>107</v>
      </c>
      <c r="H120" s="5">
        <f t="shared" si="12"/>
        <v>8.9166666666666661</v>
      </c>
      <c r="I120" s="4">
        <f t="shared" si="17"/>
        <v>0.9936136049743387</v>
      </c>
      <c r="J120" s="10">
        <f t="shared" si="13"/>
        <v>0.64723513273451183</v>
      </c>
      <c r="K120" s="24">
        <f t="shared" si="14"/>
        <v>8</v>
      </c>
      <c r="L120" s="19">
        <f t="shared" si="15"/>
        <v>1.1264925865953057</v>
      </c>
      <c r="M120" s="19">
        <f t="shared" si="16"/>
        <v>6.2646607185613362E-5</v>
      </c>
    </row>
    <row r="121" spans="7:13">
      <c r="G121" s="3">
        <v>108</v>
      </c>
      <c r="H121" s="5">
        <f t="shared" si="12"/>
        <v>9</v>
      </c>
      <c r="I121" s="4">
        <f t="shared" si="17"/>
        <v>0.99352702719264585</v>
      </c>
      <c r="J121" s="10">
        <f t="shared" si="13"/>
        <v>0.64460891621779726</v>
      </c>
      <c r="K121" s="24">
        <f t="shared" si="14"/>
        <v>9</v>
      </c>
      <c r="L121" s="19">
        <f t="shared" si="15"/>
        <v>1.1433899753942351</v>
      </c>
      <c r="M121" s="19">
        <f t="shared" si="16"/>
        <v>6.2868210760512024E-5</v>
      </c>
    </row>
    <row r="122" spans="7:13">
      <c r="G122" s="3">
        <v>109</v>
      </c>
      <c r="H122" s="5">
        <f t="shared" si="12"/>
        <v>9.0833333333333339</v>
      </c>
      <c r="I122" s="4">
        <f t="shared" si="17"/>
        <v>0.9934397878611303</v>
      </c>
      <c r="J122" s="10">
        <f t="shared" si="13"/>
        <v>0.64199335581791506</v>
      </c>
      <c r="K122" s="24">
        <f t="shared" si="14"/>
        <v>9</v>
      </c>
      <c r="L122" s="19">
        <f t="shared" si="15"/>
        <v>1.1433899753942351</v>
      </c>
      <c r="M122" s="19">
        <f t="shared" si="16"/>
        <v>6.4037923760107304E-5</v>
      </c>
    </row>
    <row r="123" spans="7:13">
      <c r="G123" s="3">
        <v>110</v>
      </c>
      <c r="H123" s="5">
        <f t="shared" si="12"/>
        <v>9.1666666666666661</v>
      </c>
      <c r="I123" s="4">
        <f t="shared" si="17"/>
        <v>0.99335188060638324</v>
      </c>
      <c r="J123" s="10">
        <f t="shared" si="13"/>
        <v>0.63938840829668464</v>
      </c>
      <c r="K123" s="24">
        <f t="shared" si="14"/>
        <v>9</v>
      </c>
      <c r="L123" s="19">
        <f t="shared" si="15"/>
        <v>1.1433899753942351</v>
      </c>
      <c r="M123" s="19">
        <f t="shared" si="16"/>
        <v>6.4266382786251099E-5</v>
      </c>
    </row>
    <row r="124" spans="7:13">
      <c r="G124" s="3">
        <v>111</v>
      </c>
      <c r="H124" s="5">
        <f t="shared" si="12"/>
        <v>9.25</v>
      </c>
      <c r="I124" s="4">
        <f t="shared" si="17"/>
        <v>0.99326329899455146</v>
      </c>
      <c r="J124" s="10">
        <f t="shared" si="13"/>
        <v>0.63679403059136708</v>
      </c>
      <c r="K124" s="24">
        <f t="shared" si="14"/>
        <v>9</v>
      </c>
      <c r="L124" s="19">
        <f t="shared" si="15"/>
        <v>1.1433899753942351</v>
      </c>
      <c r="M124" s="19">
        <f t="shared" si="16"/>
        <v>6.4496618014664943E-5</v>
      </c>
    </row>
    <row r="125" spans="7:13">
      <c r="G125" s="3">
        <v>112</v>
      </c>
      <c r="H125" s="5">
        <f t="shared" si="12"/>
        <v>9.3333333333333339</v>
      </c>
      <c r="I125" s="4">
        <f t="shared" si="17"/>
        <v>0.99317403653078262</v>
      </c>
      <c r="J125" s="10">
        <f t="shared" si="13"/>
        <v>0.634210179813955</v>
      </c>
      <c r="K125" s="24">
        <f t="shared" si="14"/>
        <v>9</v>
      </c>
      <c r="L125" s="19">
        <f t="shared" si="15"/>
        <v>1.1433899753942351</v>
      </c>
      <c r="M125" s="19">
        <f t="shared" si="16"/>
        <v>6.4728636495394037E-5</v>
      </c>
    </row>
    <row r="126" spans="7:13">
      <c r="G126" s="3">
        <v>113</v>
      </c>
      <c r="H126" s="5">
        <f t="shared" si="12"/>
        <v>9.4166666666666661</v>
      </c>
      <c r="I126" s="4">
        <f t="shared" si="17"/>
        <v>0.99308408665866543</v>
      </c>
      <c r="J126" s="10">
        <f t="shared" si="13"/>
        <v>0.63163681325046361</v>
      </c>
      <c r="K126" s="24">
        <f t="shared" si="14"/>
        <v>9</v>
      </c>
      <c r="L126" s="19">
        <f t="shared" si="15"/>
        <v>1.1433899753942351</v>
      </c>
      <c r="M126" s="19">
        <f t="shared" si="16"/>
        <v>6.4962445314544346E-5</v>
      </c>
    </row>
    <row r="127" spans="7:13">
      <c r="G127" s="3">
        <v>114</v>
      </c>
      <c r="H127" s="5">
        <f t="shared" si="12"/>
        <v>9.5</v>
      </c>
      <c r="I127" s="4">
        <f t="shared" si="17"/>
        <v>0.99299344275966517</v>
      </c>
      <c r="J127" s="10">
        <f t="shared" si="13"/>
        <v>0.62907388836022304</v>
      </c>
      <c r="K127" s="24">
        <f t="shared" si="14"/>
        <v>9</v>
      </c>
      <c r="L127" s="19">
        <f t="shared" si="15"/>
        <v>1.1433899753942351</v>
      </c>
      <c r="M127" s="19">
        <f t="shared" si="16"/>
        <v>6.5198051594097574E-5</v>
      </c>
    </row>
    <row r="128" spans="7:13">
      <c r="G128" s="3">
        <v>115</v>
      </c>
      <c r="H128" s="5">
        <f t="shared" si="12"/>
        <v>9.5833333333333339</v>
      </c>
      <c r="I128" s="4">
        <f t="shared" si="17"/>
        <v>0.99290209815255437</v>
      </c>
      <c r="J128" s="10">
        <f t="shared" si="13"/>
        <v>0.62652136277517689</v>
      </c>
      <c r="K128" s="24">
        <f t="shared" si="14"/>
        <v>9</v>
      </c>
      <c r="L128" s="19">
        <f t="shared" si="15"/>
        <v>1.1433899753942351</v>
      </c>
      <c r="M128" s="19">
        <f t="shared" si="16"/>
        <v>6.5435462491942218E-5</v>
      </c>
    </row>
    <row r="129" spans="7:13">
      <c r="G129" s="3">
        <v>116</v>
      </c>
      <c r="H129" s="5">
        <f t="shared" si="12"/>
        <v>9.6666666666666661</v>
      </c>
      <c r="I129" s="4">
        <f t="shared" si="17"/>
        <v>0.99281004609283863</v>
      </c>
      <c r="J129" s="10">
        <f t="shared" si="13"/>
        <v>0.62397919429918092</v>
      </c>
      <c r="K129" s="24">
        <f t="shared" si="14"/>
        <v>9</v>
      </c>
      <c r="L129" s="19">
        <f t="shared" si="15"/>
        <v>1.1433899753942351</v>
      </c>
      <c r="M129" s="19">
        <f t="shared" si="16"/>
        <v>6.5674685201876177E-5</v>
      </c>
    </row>
    <row r="130" spans="7:13">
      <c r="G130" s="3">
        <v>117</v>
      </c>
      <c r="H130" s="5">
        <f t="shared" si="12"/>
        <v>9.75</v>
      </c>
      <c r="I130" s="4">
        <f t="shared" si="17"/>
        <v>0.99271727977217805</v>
      </c>
      <c r="J130" s="10">
        <f t="shared" si="13"/>
        <v>0.62144734090730558</v>
      </c>
      <c r="K130" s="24">
        <f t="shared" si="14"/>
        <v>9</v>
      </c>
      <c r="L130" s="19">
        <f t="shared" si="15"/>
        <v>1.1433899753942351</v>
      </c>
      <c r="M130" s="19">
        <f t="shared" si="16"/>
        <v>6.5915726953187542E-5</v>
      </c>
    </row>
    <row r="131" spans="7:13">
      <c r="G131" s="3">
        <v>118</v>
      </c>
      <c r="H131" s="5">
        <f t="shared" si="12"/>
        <v>9.8333333333333339</v>
      </c>
      <c r="I131" s="4">
        <f t="shared" si="17"/>
        <v>0.99262379231780284</v>
      </c>
      <c r="J131" s="10">
        <f t="shared" si="13"/>
        <v>0.61892576074514116</v>
      </c>
      <c r="K131" s="24">
        <f t="shared" si="14"/>
        <v>9</v>
      </c>
      <c r="L131" s="19">
        <f t="shared" si="15"/>
        <v>1.1433899753942351</v>
      </c>
      <c r="M131" s="19">
        <f t="shared" si="16"/>
        <v>6.6158595011317885E-5</v>
      </c>
    </row>
    <row r="132" spans="7:13">
      <c r="G132" s="3">
        <v>119</v>
      </c>
      <c r="H132" s="5">
        <f t="shared" si="12"/>
        <v>9.9166666666666661</v>
      </c>
      <c r="I132" s="4">
        <f t="shared" si="17"/>
        <v>0.99252957679192499</v>
      </c>
      <c r="J132" s="10">
        <f t="shared" si="13"/>
        <v>0.61641441212810644</v>
      </c>
      <c r="K132" s="24">
        <f t="shared" si="14"/>
        <v>9</v>
      </c>
      <c r="L132" s="19">
        <f t="shared" si="15"/>
        <v>1.1433899753942351</v>
      </c>
      <c r="M132" s="19">
        <f t="shared" si="16"/>
        <v>6.6403296677073446E-5</v>
      </c>
    </row>
    <row r="133" spans="7:13">
      <c r="G133" s="3">
        <v>120</v>
      </c>
      <c r="H133" s="5">
        <f t="shared" si="12"/>
        <v>10</v>
      </c>
      <c r="I133" s="4">
        <f t="shared" si="17"/>
        <v>0.99243462619114431</v>
      </c>
      <c r="J133" s="10">
        <f t="shared" si="13"/>
        <v>0.61391325354075932</v>
      </c>
      <c r="K133" s="24">
        <f t="shared" si="14"/>
        <v>10</v>
      </c>
      <c r="L133" s="19">
        <f t="shared" si="15"/>
        <v>1.1605408250251485</v>
      </c>
      <c r="M133" s="19">
        <f t="shared" si="16"/>
        <v>6.6649839287074604E-5</v>
      </c>
    </row>
    <row r="134" spans="7:13">
      <c r="G134" s="3">
        <v>121</v>
      </c>
      <c r="H134" s="5">
        <f t="shared" si="12"/>
        <v>10.083333333333334</v>
      </c>
      <c r="I134" s="4">
        <f t="shared" si="17"/>
        <v>0.99233893344584967</v>
      </c>
      <c r="J134" s="10">
        <f t="shared" si="13"/>
        <v>0.61142224363610964</v>
      </c>
      <c r="K134" s="24">
        <f t="shared" si="14"/>
        <v>10</v>
      </c>
      <c r="L134" s="19">
        <f t="shared" si="15"/>
        <v>1.1605408250251485</v>
      </c>
      <c r="M134" s="19">
        <f t="shared" si="16"/>
        <v>6.7901703666748729E-5</v>
      </c>
    </row>
    <row r="135" spans="7:13">
      <c r="G135" s="3">
        <v>122</v>
      </c>
      <c r="H135" s="5">
        <f t="shared" si="12"/>
        <v>10.166666666666666</v>
      </c>
      <c r="I135" s="4">
        <f t="shared" si="17"/>
        <v>0.99224249141961518</v>
      </c>
      <c r="J135" s="10">
        <f t="shared" si="13"/>
        <v>0.60894134123493771</v>
      </c>
      <c r="K135" s="24">
        <f t="shared" si="14"/>
        <v>10</v>
      </c>
      <c r="L135" s="19">
        <f t="shared" si="15"/>
        <v>1.1605408250251485</v>
      </c>
      <c r="M135" s="19">
        <f t="shared" si="16"/>
        <v>6.8155704017278272E-5</v>
      </c>
    </row>
    <row r="136" spans="7:13">
      <c r="G136" s="3">
        <v>123</v>
      </c>
      <c r="H136" s="5">
        <f t="shared" si="12"/>
        <v>10.25</v>
      </c>
      <c r="I136" s="4">
        <f t="shared" si="17"/>
        <v>0.99214529290859155</v>
      </c>
      <c r="J136" s="10">
        <f t="shared" si="13"/>
        <v>0.60647050532511138</v>
      </c>
      <c r="K136" s="24">
        <f t="shared" si="14"/>
        <v>10</v>
      </c>
      <c r="L136" s="19">
        <f t="shared" si="15"/>
        <v>1.1605408250251485</v>
      </c>
      <c r="M136" s="19">
        <f t="shared" si="16"/>
        <v>6.8411595482787056E-5</v>
      </c>
    </row>
    <row r="137" spans="7:13">
      <c r="G137" s="3">
        <v>124</v>
      </c>
      <c r="H137" s="5">
        <f t="shared" si="12"/>
        <v>10.333333333333334</v>
      </c>
      <c r="I137" s="4">
        <f t="shared" si="17"/>
        <v>0.9920473306408919</v>
      </c>
      <c r="J137" s="10">
        <f t="shared" si="13"/>
        <v>0.60400969506090951</v>
      </c>
      <c r="K137" s="24">
        <f t="shared" si="14"/>
        <v>10</v>
      </c>
      <c r="L137" s="19">
        <f t="shared" si="15"/>
        <v>1.1605408250251485</v>
      </c>
      <c r="M137" s="19">
        <f t="shared" si="16"/>
        <v>6.8669385654224947E-5</v>
      </c>
    </row>
    <row r="138" spans="7:13">
      <c r="G138" s="3">
        <v>125</v>
      </c>
      <c r="H138" s="5">
        <f t="shared" si="12"/>
        <v>10.416666666666666</v>
      </c>
      <c r="I138" s="4">
        <f t="shared" si="17"/>
        <v>0.99194859727597307</v>
      </c>
      <c r="J138" s="10">
        <f t="shared" si="13"/>
        <v>0.60155886976234629</v>
      </c>
      <c r="K138" s="24">
        <f t="shared" si="14"/>
        <v>10</v>
      </c>
      <c r="L138" s="19">
        <f t="shared" si="15"/>
        <v>1.1605408250251485</v>
      </c>
      <c r="M138" s="19">
        <f t="shared" si="16"/>
        <v>6.8929082158200453E-5</v>
      </c>
    </row>
    <row r="139" spans="7:13">
      <c r="G139" s="3">
        <v>126</v>
      </c>
      <c r="H139" s="5">
        <f t="shared" si="12"/>
        <v>10.5</v>
      </c>
      <c r="I139" s="4">
        <f t="shared" si="17"/>
        <v>0.99184908540401073</v>
      </c>
      <c r="J139" s="10">
        <f t="shared" si="13"/>
        <v>0.59911798891449808</v>
      </c>
      <c r="K139" s="24">
        <f t="shared" si="14"/>
        <v>10</v>
      </c>
      <c r="L139" s="19">
        <f t="shared" si="15"/>
        <v>1.1605408250251485</v>
      </c>
      <c r="M139" s="19">
        <f t="shared" si="16"/>
        <v>6.9190692657570806E-5</v>
      </c>
    </row>
    <row r="140" spans="7:13">
      <c r="G140" s="3">
        <v>127</v>
      </c>
      <c r="H140" s="5">
        <f t="shared" si="12"/>
        <v>10.583333333333334</v>
      </c>
      <c r="I140" s="4">
        <f t="shared" si="17"/>
        <v>0.99174878754527074</v>
      </c>
      <c r="J140" s="10">
        <f t="shared" si="13"/>
        <v>0.59668701216683517</v>
      </c>
      <c r="K140" s="24">
        <f t="shared" si="14"/>
        <v>10</v>
      </c>
      <c r="L140" s="19">
        <f t="shared" si="15"/>
        <v>1.1605408250251485</v>
      </c>
      <c r="M140" s="19">
        <f t="shared" si="16"/>
        <v>6.9454224850451724E-5</v>
      </c>
    </row>
    <row r="141" spans="7:13">
      <c r="G141" s="3">
        <v>128</v>
      </c>
      <c r="H141" s="5">
        <f t="shared" si="12"/>
        <v>10.666666666666666</v>
      </c>
      <c r="I141" s="4">
        <f t="shared" si="17"/>
        <v>0.99164769614947379</v>
      </c>
      <c r="J141" s="10">
        <f t="shared" si="13"/>
        <v>0.59426589933255336</v>
      </c>
      <c r="K141" s="24">
        <f t="shared" si="14"/>
        <v>10</v>
      </c>
      <c r="L141" s="19">
        <f t="shared" si="15"/>
        <v>1.1605408250251485</v>
      </c>
      <c r="M141" s="19">
        <f t="shared" si="16"/>
        <v>6.9719686471059672E-5</v>
      </c>
    </row>
    <row r="142" spans="7:13">
      <c r="G142" s="3">
        <v>129</v>
      </c>
      <c r="H142" s="5">
        <f t="shared" ref="H142:H205" si="18">G142/12</f>
        <v>10.75</v>
      </c>
      <c r="I142" s="4">
        <f t="shared" si="17"/>
        <v>0.99154580359515609</v>
      </c>
      <c r="J142" s="10">
        <f t="shared" ref="J142:J205" si="19">(1+B$6)^-H142</f>
        <v>0.59185461038790999</v>
      </c>
      <c r="K142" s="24">
        <f t="shared" ref="K142:K205" si="20">INT(H142+0.000001)</f>
        <v>10</v>
      </c>
      <c r="L142" s="19">
        <f t="shared" ref="L142:L205" si="21">1.015^K142</f>
        <v>1.1605408250251485</v>
      </c>
      <c r="M142" s="19">
        <f t="shared" si="16"/>
        <v>6.9987085288827507E-5</v>
      </c>
    </row>
    <row r="143" spans="7:13">
      <c r="G143" s="3">
        <v>130</v>
      </c>
      <c r="H143" s="5">
        <f t="shared" si="18"/>
        <v>10.833333333333334</v>
      </c>
      <c r="I143" s="4">
        <f t="shared" si="17"/>
        <v>0.99144310218902376</v>
      </c>
      <c r="J143" s="10">
        <f t="shared" si="19"/>
        <v>0.58945310547156293</v>
      </c>
      <c r="K143" s="24">
        <f t="shared" si="20"/>
        <v>10</v>
      </c>
      <c r="L143" s="19">
        <f t="shared" si="21"/>
        <v>1.1605408250251485</v>
      </c>
      <c r="M143" s="19">
        <f t="shared" ref="M143:M206" si="22">(I142-I143)*J143*L142</f>
        <v>7.0256429108955725E-5</v>
      </c>
    </row>
    <row r="144" spans="7:13">
      <c r="G144" s="3">
        <v>131</v>
      </c>
      <c r="H144" s="5">
        <f t="shared" si="18"/>
        <v>10.916666666666666</v>
      </c>
      <c r="I144" s="4">
        <f t="shared" si="17"/>
        <v>0.99133958416530221</v>
      </c>
      <c r="J144" s="10">
        <f t="shared" si="19"/>
        <v>0.58706134488391082</v>
      </c>
      <c r="K144" s="24">
        <f t="shared" si="20"/>
        <v>10</v>
      </c>
      <c r="L144" s="19">
        <f t="shared" si="21"/>
        <v>1.1605408250251485</v>
      </c>
      <c r="M144" s="19">
        <f t="shared" si="22"/>
        <v>7.0527725772089072E-5</v>
      </c>
    </row>
    <row r="145" spans="7:13">
      <c r="G145" s="3">
        <v>132</v>
      </c>
      <c r="H145" s="5">
        <f t="shared" si="18"/>
        <v>11</v>
      </c>
      <c r="I145" s="4">
        <f t="shared" si="17"/>
        <v>0.9912352416850807</v>
      </c>
      <c r="J145" s="10">
        <f t="shared" si="19"/>
        <v>0.5846792890864374</v>
      </c>
      <c r="K145" s="24">
        <f t="shared" si="20"/>
        <v>11</v>
      </c>
      <c r="L145" s="19">
        <f t="shared" si="21"/>
        <v>1.1779489374005256</v>
      </c>
      <c r="M145" s="19">
        <f t="shared" si="22"/>
        <v>7.0800983153896903E-5</v>
      </c>
    </row>
    <row r="146" spans="7:13">
      <c r="G146" s="3">
        <v>133</v>
      </c>
      <c r="H146" s="5">
        <f t="shared" si="18"/>
        <v>11.083333333333334</v>
      </c>
      <c r="I146" s="4">
        <f t="shared" si="17"/>
        <v>0.99113006683565041</v>
      </c>
      <c r="J146" s="10">
        <f t="shared" si="19"/>
        <v>0.58230689870105679</v>
      </c>
      <c r="K146" s="24">
        <f t="shared" si="20"/>
        <v>11</v>
      </c>
      <c r="L146" s="19">
        <f t="shared" si="21"/>
        <v>1.1779489374005256</v>
      </c>
      <c r="M146" s="19">
        <f t="shared" si="22"/>
        <v>7.2142352303169983E-5</v>
      </c>
    </row>
    <row r="147" spans="7:13">
      <c r="G147" s="3">
        <v>134</v>
      </c>
      <c r="H147" s="5">
        <f t="shared" si="18"/>
        <v>11.166666666666666</v>
      </c>
      <c r="I147" s="4">
        <f t="shared" si="17"/>
        <v>0.99102405162983831</v>
      </c>
      <c r="J147" s="10">
        <f t="shared" si="19"/>
        <v>0.57994413450946436</v>
      </c>
      <c r="K147" s="24">
        <f t="shared" si="20"/>
        <v>11</v>
      </c>
      <c r="L147" s="19">
        <f t="shared" si="21"/>
        <v>1.1779489374005256</v>
      </c>
      <c r="M147" s="19">
        <f t="shared" si="22"/>
        <v>7.242371292976963E-5</v>
      </c>
    </row>
    <row r="148" spans="7:13">
      <c r="G148" s="3">
        <v>135</v>
      </c>
      <c r="H148" s="5">
        <f t="shared" si="18"/>
        <v>11.25</v>
      </c>
      <c r="I148" s="4">
        <f t="shared" si="17"/>
        <v>0.99091718800533446</v>
      </c>
      <c r="J148" s="10">
        <f t="shared" si="19"/>
        <v>0.57759095745248701</v>
      </c>
      <c r="K148" s="24">
        <f t="shared" si="20"/>
        <v>11</v>
      </c>
      <c r="L148" s="19">
        <f t="shared" si="21"/>
        <v>1.1779489374005256</v>
      </c>
      <c r="M148" s="19">
        <f t="shared" si="22"/>
        <v>7.270708788207848E-5</v>
      </c>
    </row>
    <row r="149" spans="7:13">
      <c r="G149" s="3">
        <v>136</v>
      </c>
      <c r="H149" s="5">
        <f t="shared" si="18"/>
        <v>11.333333333333334</v>
      </c>
      <c r="I149" s="4">
        <f t="shared" si="17"/>
        <v>0.99080946782401458</v>
      </c>
      <c r="J149" s="10">
        <f t="shared" si="19"/>
        <v>0.57524732862943762</v>
      </c>
      <c r="K149" s="24">
        <f t="shared" si="20"/>
        <v>11</v>
      </c>
      <c r="L149" s="19">
        <f t="shared" si="21"/>
        <v>1.1779489374005256</v>
      </c>
      <c r="M149" s="19">
        <f t="shared" si="22"/>
        <v>7.2992485296429312E-5</v>
      </c>
    </row>
    <row r="150" spans="7:13">
      <c r="G150" s="3">
        <v>137</v>
      </c>
      <c r="H150" s="5">
        <f t="shared" si="18"/>
        <v>11.416666666666666</v>
      </c>
      <c r="I150" s="4">
        <f t="shared" si="17"/>
        <v>0.99070088287125679</v>
      </c>
      <c r="J150" s="10">
        <f t="shared" si="19"/>
        <v>0.57291320929747258</v>
      </c>
      <c r="K150" s="24">
        <f t="shared" si="20"/>
        <v>11</v>
      </c>
      <c r="L150" s="19">
        <f t="shared" si="21"/>
        <v>1.1779489374005256</v>
      </c>
      <c r="M150" s="19">
        <f t="shared" si="22"/>
        <v>7.3279913344462697E-5</v>
      </c>
    </row>
    <row r="151" spans="7:13">
      <c r="G151" s="3">
        <v>138</v>
      </c>
      <c r="H151" s="5">
        <f t="shared" si="18"/>
        <v>11.5</v>
      </c>
      <c r="I151" s="4">
        <f t="shared" si="17"/>
        <v>0.99059142485525264</v>
      </c>
      <c r="J151" s="10">
        <f t="shared" si="19"/>
        <v>0.57058856087095067</v>
      </c>
      <c r="K151" s="24">
        <f t="shared" si="20"/>
        <v>11</v>
      </c>
      <c r="L151" s="19">
        <f t="shared" si="21"/>
        <v>1.1779489374005256</v>
      </c>
      <c r="M151" s="19">
        <f t="shared" si="22"/>
        <v>7.3569380233145046E-5</v>
      </c>
    </row>
    <row r="152" spans="7:13">
      <c r="G152" s="3">
        <v>139</v>
      </c>
      <c r="H152" s="5">
        <f t="shared" si="18"/>
        <v>11.583333333333334</v>
      </c>
      <c r="I152" s="4">
        <f t="shared" si="17"/>
        <v>0.99048108540631286</v>
      </c>
      <c r="J152" s="10">
        <f t="shared" si="19"/>
        <v>0.5682733449207954</v>
      </c>
      <c r="K152" s="24">
        <f t="shared" si="20"/>
        <v>11</v>
      </c>
      <c r="L152" s="19">
        <f t="shared" si="21"/>
        <v>1.1779489374005256</v>
      </c>
      <c r="M152" s="19">
        <f t="shared" si="22"/>
        <v>7.3860894204384584E-5</v>
      </c>
    </row>
    <row r="153" spans="7:13">
      <c r="G153" s="3">
        <v>140</v>
      </c>
      <c r="H153" s="5">
        <f t="shared" si="18"/>
        <v>11.666666666666666</v>
      </c>
      <c r="I153" s="4">
        <f t="shared" si="17"/>
        <v>0.99036985607616757</v>
      </c>
      <c r="J153" s="10">
        <f t="shared" si="19"/>
        <v>0.56596752317386023</v>
      </c>
      <c r="K153" s="24">
        <f t="shared" si="20"/>
        <v>11</v>
      </c>
      <c r="L153" s="19">
        <f t="shared" si="21"/>
        <v>1.1779489374005256</v>
      </c>
      <c r="M153" s="19">
        <f t="shared" si="22"/>
        <v>7.4154463534848846E-5</v>
      </c>
    </row>
    <row r="154" spans="7:13">
      <c r="G154" s="3">
        <v>141</v>
      </c>
      <c r="H154" s="5">
        <f t="shared" si="18"/>
        <v>11.75</v>
      </c>
      <c r="I154" s="4">
        <f t="shared" si="17"/>
        <v>0.99025772833726022</v>
      </c>
      <c r="J154" s="10">
        <f t="shared" si="19"/>
        <v>0.56367105751229518</v>
      </c>
      <c r="K154" s="24">
        <f t="shared" si="20"/>
        <v>11</v>
      </c>
      <c r="L154" s="19">
        <f t="shared" si="21"/>
        <v>1.1779489374005256</v>
      </c>
      <c r="M154" s="19">
        <f t="shared" si="22"/>
        <v>7.4450096536272378E-5</v>
      </c>
    </row>
    <row r="155" spans="7:13">
      <c r="G155" s="3">
        <v>142</v>
      </c>
      <c r="H155" s="5">
        <f t="shared" si="18"/>
        <v>11.833333333333334</v>
      </c>
      <c r="I155" s="4">
        <f t="shared" si="17"/>
        <v>0.99014469358203616</v>
      </c>
      <c r="J155" s="10">
        <f t="shared" si="19"/>
        <v>0.56138390997291709</v>
      </c>
      <c r="K155" s="24">
        <f t="shared" si="20"/>
        <v>11</v>
      </c>
      <c r="L155" s="19">
        <f t="shared" si="21"/>
        <v>1.1779489374005256</v>
      </c>
      <c r="M155" s="19">
        <f t="shared" si="22"/>
        <v>7.474780155506628E-5</v>
      </c>
    </row>
    <row r="156" spans="7:13">
      <c r="G156" s="3">
        <v>143</v>
      </c>
      <c r="H156" s="5">
        <f t="shared" si="18"/>
        <v>11.916666666666666</v>
      </c>
      <c r="I156" s="4">
        <f t="shared" si="17"/>
        <v>0.99003074312222605</v>
      </c>
      <c r="J156" s="10">
        <f t="shared" si="19"/>
        <v>0.55910604274658182</v>
      </c>
      <c r="K156" s="24">
        <f t="shared" si="20"/>
        <v>11</v>
      </c>
      <c r="L156" s="19">
        <f t="shared" si="21"/>
        <v>1.1779489374005256</v>
      </c>
      <c r="M156" s="19">
        <f t="shared" si="22"/>
        <v>7.5047586971760478E-5</v>
      </c>
    </row>
    <row r="157" spans="7:13">
      <c r="G157" s="3">
        <v>144</v>
      </c>
      <c r="H157" s="5">
        <f t="shared" si="18"/>
        <v>12</v>
      </c>
      <c r="I157" s="4">
        <f t="shared" si="17"/>
        <v>0.98991586818812227</v>
      </c>
      <c r="J157" s="10">
        <f t="shared" si="19"/>
        <v>0.5568374181775595</v>
      </c>
      <c r="K157" s="24">
        <f t="shared" si="20"/>
        <v>12</v>
      </c>
      <c r="L157" s="19">
        <f t="shared" si="21"/>
        <v>1.1956181714615333</v>
      </c>
      <c r="M157" s="19">
        <f t="shared" si="22"/>
        <v>7.5349461201740494E-5</v>
      </c>
    </row>
    <row r="158" spans="7:13">
      <c r="G158" s="3">
        <v>145</v>
      </c>
      <c r="H158" s="5">
        <f t="shared" si="18"/>
        <v>12.083333333333334</v>
      </c>
      <c r="I158" s="4">
        <f t="shared" si="17"/>
        <v>0.98980005992785103</v>
      </c>
      <c r="J158" s="10">
        <f t="shared" si="19"/>
        <v>0.55457799876291114</v>
      </c>
      <c r="K158" s="24">
        <f t="shared" si="20"/>
        <v>12</v>
      </c>
      <c r="L158" s="19">
        <f t="shared" si="21"/>
        <v>1.1956181714615333</v>
      </c>
      <c r="M158" s="19">
        <f t="shared" si="22"/>
        <v>7.678823418446049E-5</v>
      </c>
    </row>
    <row r="159" spans="7:13">
      <c r="G159" s="3">
        <v>146</v>
      </c>
      <c r="H159" s="5">
        <f t="shared" si="18"/>
        <v>12.166666666666666</v>
      </c>
      <c r="I159" s="4">
        <f t="shared" si="17"/>
        <v>0.98968330940663729</v>
      </c>
      <c r="J159" s="10">
        <f t="shared" si="19"/>
        <v>0.55232774715187083</v>
      </c>
      <c r="K159" s="24">
        <f t="shared" si="20"/>
        <v>12</v>
      </c>
      <c r="L159" s="19">
        <f t="shared" si="21"/>
        <v>1.1956181714615333</v>
      </c>
      <c r="M159" s="19">
        <f t="shared" si="22"/>
        <v>7.7098902581123732E-5</v>
      </c>
    </row>
    <row r="160" spans="7:13">
      <c r="G160" s="3">
        <v>147</v>
      </c>
      <c r="H160" s="5">
        <f t="shared" si="18"/>
        <v>12.25</v>
      </c>
      <c r="I160" s="4">
        <f t="shared" si="17"/>
        <v>0.98956560760606482</v>
      </c>
      <c r="J160" s="10">
        <f t="shared" si="19"/>
        <v>0.55008662614522574</v>
      </c>
      <c r="K160" s="24">
        <f t="shared" si="20"/>
        <v>12</v>
      </c>
      <c r="L160" s="19">
        <f t="shared" si="21"/>
        <v>1.1956181714615333</v>
      </c>
      <c r="M160" s="19">
        <f t="shared" si="22"/>
        <v>7.7411716954567324E-5</v>
      </c>
    </row>
    <row r="161" spans="7:13">
      <c r="G161" s="3">
        <v>148</v>
      </c>
      <c r="H161" s="5">
        <f t="shared" si="18"/>
        <v>12.333333333333334</v>
      </c>
      <c r="I161" s="4">
        <f t="shared" si="17"/>
        <v>0.98944694542332967</v>
      </c>
      <c r="J161" s="10">
        <f t="shared" si="19"/>
        <v>0.54785459869470254</v>
      </c>
      <c r="K161" s="24">
        <f t="shared" si="20"/>
        <v>12</v>
      </c>
      <c r="L161" s="19">
        <f t="shared" si="21"/>
        <v>1.1956181714615333</v>
      </c>
      <c r="M161" s="19">
        <f t="shared" si="22"/>
        <v>7.7726685983968096E-5</v>
      </c>
    </row>
    <row r="162" spans="7:13">
      <c r="G162" s="3">
        <v>149</v>
      </c>
      <c r="H162" s="5">
        <f t="shared" si="18"/>
        <v>12.416666666666666</v>
      </c>
      <c r="I162" s="4">
        <f t="shared" si="17"/>
        <v>0.98932731367048798</v>
      </c>
      <c r="J162" s="10">
        <f t="shared" si="19"/>
        <v>0.54563162790235487</v>
      </c>
      <c r="K162" s="24">
        <f t="shared" si="20"/>
        <v>12</v>
      </c>
      <c r="L162" s="19">
        <f t="shared" si="21"/>
        <v>1.1956181714615333</v>
      </c>
      <c r="M162" s="19">
        <f t="shared" si="22"/>
        <v>7.804381838251197E-5</v>
      </c>
    </row>
    <row r="163" spans="7:13">
      <c r="G163" s="3">
        <v>150</v>
      </c>
      <c r="H163" s="5">
        <f t="shared" si="18"/>
        <v>12.5</v>
      </c>
      <c r="I163" s="4">
        <f t="shared" si="17"/>
        <v>0.9892067030736984</v>
      </c>
      <c r="J163" s="10">
        <f t="shared" si="19"/>
        <v>0.54341767701995292</v>
      </c>
      <c r="K163" s="24">
        <f t="shared" si="20"/>
        <v>12</v>
      </c>
      <c r="L163" s="19">
        <f t="shared" si="21"/>
        <v>1.1956181714615333</v>
      </c>
      <c r="M163" s="19">
        <f t="shared" si="22"/>
        <v>7.8363122896870315E-5</v>
      </c>
    </row>
    <row r="164" spans="7:13">
      <c r="G164" s="3">
        <v>151</v>
      </c>
      <c r="H164" s="5">
        <f t="shared" si="18"/>
        <v>12.583333333333334</v>
      </c>
      <c r="I164" s="4">
        <f t="shared" si="17"/>
        <v>0.98908510427245744</v>
      </c>
      <c r="J164" s="10">
        <f t="shared" si="19"/>
        <v>0.54121270944837652</v>
      </c>
      <c r="K164" s="24">
        <f t="shared" si="20"/>
        <v>12</v>
      </c>
      <c r="L164" s="19">
        <f t="shared" si="21"/>
        <v>1.1956181714615333</v>
      </c>
      <c r="M164" s="19">
        <f t="shared" si="22"/>
        <v>7.8684608307664E-5</v>
      </c>
    </row>
    <row r="165" spans="7:13">
      <c r="G165" s="3">
        <v>152</v>
      </c>
      <c r="H165" s="5">
        <f t="shared" si="18"/>
        <v>12.666666666666666</v>
      </c>
      <c r="I165" s="4">
        <f t="shared" si="17"/>
        <v>0.98896250781882955</v>
      </c>
      <c r="J165" s="10">
        <f t="shared" si="19"/>
        <v>0.53901668873700981</v>
      </c>
      <c r="K165" s="24">
        <f t="shared" si="20"/>
        <v>12</v>
      </c>
      <c r="L165" s="19">
        <f t="shared" si="21"/>
        <v>1.1956181714615333</v>
      </c>
      <c r="M165" s="19">
        <f t="shared" si="22"/>
        <v>7.9008283428811562E-5</v>
      </c>
    </row>
    <row r="166" spans="7:13">
      <c r="G166" s="3">
        <v>153</v>
      </c>
      <c r="H166" s="5">
        <f t="shared" si="18"/>
        <v>12.75</v>
      </c>
      <c r="I166" s="4">
        <f t="shared" si="17"/>
        <v>0.98883890417667109</v>
      </c>
      <c r="J166" s="10">
        <f t="shared" si="19"/>
        <v>0.53682957858313829</v>
      </c>
      <c r="K166" s="24">
        <f t="shared" si="20"/>
        <v>12</v>
      </c>
      <c r="L166" s="19">
        <f t="shared" si="21"/>
        <v>1.1956181714615333</v>
      </c>
      <c r="M166" s="19">
        <f t="shared" si="22"/>
        <v>7.9334157107360849E-5</v>
      </c>
    </row>
    <row r="167" spans="7:13">
      <c r="G167" s="3">
        <v>154</v>
      </c>
      <c r="H167" s="5">
        <f t="shared" si="18"/>
        <v>12.833333333333334</v>
      </c>
      <c r="I167" s="4">
        <f t="shared" si="17"/>
        <v>0.98871428372084791</v>
      </c>
      <c r="J167" s="10">
        <f t="shared" si="19"/>
        <v>0.53465134283134952</v>
      </c>
      <c r="K167" s="24">
        <f t="shared" si="20"/>
        <v>12</v>
      </c>
      <c r="L167" s="19">
        <f t="shared" si="21"/>
        <v>1.1956181714615333</v>
      </c>
      <c r="M167" s="19">
        <f t="shared" si="22"/>
        <v>7.9662238223435699E-5</v>
      </c>
    </row>
    <row r="168" spans="7:13">
      <c r="G168" s="3">
        <v>155</v>
      </c>
      <c r="H168" s="5">
        <f t="shared" si="18"/>
        <v>12.916666666666666</v>
      </c>
      <c r="I168" s="4">
        <f t="shared" ref="I168:I231" si="23">I167*(B$9^(1/12))*B$8^((B$5^(B$7+H167))*((B$5^(1/12)-1)))</f>
        <v>0.98858863673644726</v>
      </c>
      <c r="J168" s="10">
        <f t="shared" si="19"/>
        <v>0.53248194547293493</v>
      </c>
      <c r="K168" s="24">
        <f t="shared" si="20"/>
        <v>12</v>
      </c>
      <c r="L168" s="19">
        <f t="shared" si="21"/>
        <v>1.1956181714615333</v>
      </c>
      <c r="M168" s="19">
        <f t="shared" si="22"/>
        <v>7.9992535689798837E-5</v>
      </c>
    </row>
    <row r="169" spans="7:13">
      <c r="G169" s="3">
        <v>156</v>
      </c>
      <c r="H169" s="5">
        <f t="shared" si="18"/>
        <v>13</v>
      </c>
      <c r="I169" s="4">
        <f t="shared" si="23"/>
        <v>0.98846195341798293</v>
      </c>
      <c r="J169" s="10">
        <f t="shared" si="19"/>
        <v>0.53032135064529462</v>
      </c>
      <c r="K169" s="24">
        <f t="shared" si="20"/>
        <v>13</v>
      </c>
      <c r="L169" s="19">
        <f t="shared" si="21"/>
        <v>1.2135524440334562</v>
      </c>
      <c r="M169" s="19">
        <f t="shared" si="22"/>
        <v>8.0325058451957495E-5</v>
      </c>
    </row>
    <row r="170" spans="7:13">
      <c r="G170" s="3">
        <v>157</v>
      </c>
      <c r="H170" s="5">
        <f t="shared" si="18"/>
        <v>13.083333333333334</v>
      </c>
      <c r="I170" s="4">
        <f t="shared" si="23"/>
        <v>0.98833422386859515</v>
      </c>
      <c r="J170" s="10">
        <f t="shared" si="19"/>
        <v>0.52816952263134387</v>
      </c>
      <c r="K170" s="24">
        <f t="shared" si="20"/>
        <v>13</v>
      </c>
      <c r="L170" s="19">
        <f t="shared" si="21"/>
        <v>1.2135524440334562</v>
      </c>
      <c r="M170" s="19">
        <f t="shared" si="22"/>
        <v>8.1869712719704555E-5</v>
      </c>
    </row>
    <row r="171" spans="7:13">
      <c r="G171" s="3">
        <v>158</v>
      </c>
      <c r="H171" s="5">
        <f t="shared" si="18"/>
        <v>13.166666666666666</v>
      </c>
      <c r="I171" s="4">
        <f t="shared" si="23"/>
        <v>0.98820543809924322</v>
      </c>
      <c r="J171" s="10">
        <f t="shared" si="19"/>
        <v>0.52602642585892456</v>
      </c>
      <c r="K171" s="24">
        <f t="shared" si="20"/>
        <v>13</v>
      </c>
      <c r="L171" s="19">
        <f t="shared" si="21"/>
        <v>1.2135524440334562</v>
      </c>
      <c r="M171" s="19">
        <f t="shared" si="22"/>
        <v>8.2211768043058314E-5</v>
      </c>
    </row>
    <row r="172" spans="7:13">
      <c r="G172" s="3">
        <v>159</v>
      </c>
      <c r="H172" s="5">
        <f t="shared" si="18"/>
        <v>13.25</v>
      </c>
      <c r="I172" s="4">
        <f t="shared" si="23"/>
        <v>0.98807558602789292</v>
      </c>
      <c r="J172" s="10">
        <f t="shared" si="19"/>
        <v>0.52389202490021491</v>
      </c>
      <c r="K172" s="24">
        <f t="shared" si="20"/>
        <v>13</v>
      </c>
      <c r="L172" s="19">
        <f t="shared" si="21"/>
        <v>1.2135524440334562</v>
      </c>
      <c r="M172" s="19">
        <f t="shared" si="22"/>
        <v>8.2556109475770734E-5</v>
      </c>
    </row>
    <row r="173" spans="7:13">
      <c r="G173" s="3">
        <v>160</v>
      </c>
      <c r="H173" s="5">
        <f t="shared" si="18"/>
        <v>13.333333333333334</v>
      </c>
      <c r="I173" s="4">
        <f t="shared" si="23"/>
        <v>0.98794465747869675</v>
      </c>
      <c r="J173" s="10">
        <f t="shared" si="19"/>
        <v>0.52176628447114515</v>
      </c>
      <c r="K173" s="24">
        <f t="shared" si="20"/>
        <v>13</v>
      </c>
      <c r="L173" s="19">
        <f t="shared" si="21"/>
        <v>1.2135524440334562</v>
      </c>
      <c r="M173" s="19">
        <f t="shared" si="22"/>
        <v>8.2902746227131438E-5</v>
      </c>
    </row>
    <row r="174" spans="7:13">
      <c r="G174" s="3">
        <v>161</v>
      </c>
      <c r="H174" s="5">
        <f t="shared" si="18"/>
        <v>13.416666666666666</v>
      </c>
      <c r="I174" s="4">
        <f t="shared" si="23"/>
        <v>0.98781264218116871</v>
      </c>
      <c r="J174" s="10">
        <f t="shared" si="19"/>
        <v>0.51964916943081407</v>
      </c>
      <c r="K174" s="24">
        <f t="shared" si="20"/>
        <v>13</v>
      </c>
      <c r="L174" s="19">
        <f t="shared" si="21"/>
        <v>1.2135524440334562</v>
      </c>
      <c r="M174" s="19">
        <f t="shared" si="22"/>
        <v>8.3251687537939727E-5</v>
      </c>
    </row>
    <row r="175" spans="7:13">
      <c r="G175" s="3">
        <v>162</v>
      </c>
      <c r="H175" s="5">
        <f t="shared" si="18"/>
        <v>13.5</v>
      </c>
      <c r="I175" s="4">
        <f t="shared" si="23"/>
        <v>0.98767952976935214</v>
      </c>
      <c r="J175" s="10">
        <f t="shared" si="19"/>
        <v>0.51754064478090755</v>
      </c>
      <c r="K175" s="24">
        <f t="shared" si="20"/>
        <v>13</v>
      </c>
      <c r="L175" s="19">
        <f t="shared" si="21"/>
        <v>1.2135524440334562</v>
      </c>
      <c r="M175" s="19">
        <f t="shared" si="22"/>
        <v>8.3602942680591495E-5</v>
      </c>
    </row>
    <row r="176" spans="7:13">
      <c r="G176" s="3">
        <v>163</v>
      </c>
      <c r="H176" s="5">
        <f t="shared" si="18"/>
        <v>13.583333333333334</v>
      </c>
      <c r="I176" s="4">
        <f t="shared" si="23"/>
        <v>0.98754530978098132</v>
      </c>
      <c r="J176" s="10">
        <f t="shared" si="19"/>
        <v>0.51544067566512042</v>
      </c>
      <c r="K176" s="24">
        <f t="shared" si="20"/>
        <v>13</v>
      </c>
      <c r="L176" s="19">
        <f t="shared" si="21"/>
        <v>1.2135524440334562</v>
      </c>
      <c r="M176" s="19">
        <f t="shared" si="22"/>
        <v>8.3956520958784596E-5</v>
      </c>
    </row>
    <row r="177" spans="7:13">
      <c r="G177" s="3">
        <v>164</v>
      </c>
      <c r="H177" s="5">
        <f t="shared" si="18"/>
        <v>13.666666666666666</v>
      </c>
      <c r="I177" s="4">
        <f t="shared" si="23"/>
        <v>0.98740997165663735</v>
      </c>
      <c r="J177" s="10">
        <f t="shared" si="19"/>
        <v>0.51334922736858069</v>
      </c>
      <c r="K177" s="24">
        <f t="shared" si="20"/>
        <v>13</v>
      </c>
      <c r="L177" s="19">
        <f t="shared" si="21"/>
        <v>1.2135524440334562</v>
      </c>
      <c r="M177" s="19">
        <f t="shared" si="22"/>
        <v>8.4312431706784689E-5</v>
      </c>
    </row>
    <row r="178" spans="7:13">
      <c r="G178" s="3">
        <v>165</v>
      </c>
      <c r="H178" s="5">
        <f t="shared" si="18"/>
        <v>13.75</v>
      </c>
      <c r="I178" s="4">
        <f t="shared" si="23"/>
        <v>0.98727350473889663</v>
      </c>
      <c r="J178" s="10">
        <f t="shared" si="19"/>
        <v>0.51126626531727459</v>
      </c>
      <c r="K178" s="24">
        <f t="shared" si="20"/>
        <v>13</v>
      </c>
      <c r="L178" s="19">
        <f t="shared" si="21"/>
        <v>1.2135524440334562</v>
      </c>
      <c r="M178" s="19">
        <f t="shared" si="22"/>
        <v>8.4670684289778298E-5</v>
      </c>
    </row>
    <row r="179" spans="7:13">
      <c r="G179" s="3">
        <v>166</v>
      </c>
      <c r="H179" s="5">
        <f t="shared" si="18"/>
        <v>13.833333333333334</v>
      </c>
      <c r="I179" s="4">
        <f t="shared" si="23"/>
        <v>0.98713589827147352</v>
      </c>
      <c r="J179" s="10">
        <f t="shared" si="19"/>
        <v>0.50919175507747572</v>
      </c>
      <c r="K179" s="24">
        <f t="shared" si="20"/>
        <v>13</v>
      </c>
      <c r="L179" s="19">
        <f t="shared" si="21"/>
        <v>1.2135524440334562</v>
      </c>
      <c r="M179" s="19">
        <f t="shared" si="22"/>
        <v>8.5031288103156735E-5</v>
      </c>
    </row>
    <row r="180" spans="7:13">
      <c r="G180" s="3">
        <v>167</v>
      </c>
      <c r="H180" s="5">
        <f t="shared" si="18"/>
        <v>13.916666666666666</v>
      </c>
      <c r="I180" s="4">
        <f t="shared" si="23"/>
        <v>0.98699714139835659</v>
      </c>
      <c r="J180" s="10">
        <f t="shared" si="19"/>
        <v>0.5071256623551762</v>
      </c>
      <c r="K180" s="24">
        <f t="shared" si="20"/>
        <v>13</v>
      </c>
      <c r="L180" s="19">
        <f t="shared" si="21"/>
        <v>1.2135524440334562</v>
      </c>
      <c r="M180" s="19">
        <f t="shared" si="22"/>
        <v>8.5394252572194959E-5</v>
      </c>
    </row>
    <row r="181" spans="7:13">
      <c r="G181" s="3">
        <v>168</v>
      </c>
      <c r="H181" s="5">
        <f t="shared" si="18"/>
        <v>14</v>
      </c>
      <c r="I181" s="4">
        <f t="shared" si="23"/>
        <v>0.98685722316293822</v>
      </c>
      <c r="J181" s="10">
        <f t="shared" si="19"/>
        <v>0.50506795299551888</v>
      </c>
      <c r="K181" s="24">
        <f t="shared" si="20"/>
        <v>14</v>
      </c>
      <c r="L181" s="19">
        <f t="shared" si="21"/>
        <v>1.2317557306939577</v>
      </c>
      <c r="M181" s="19">
        <f t="shared" si="22"/>
        <v>8.5759587151842097E-5</v>
      </c>
    </row>
    <row r="182" spans="7:13">
      <c r="G182" s="3">
        <v>169</v>
      </c>
      <c r="H182" s="5">
        <f t="shared" si="18"/>
        <v>14.083333333333334</v>
      </c>
      <c r="I182" s="4">
        <f t="shared" si="23"/>
        <v>0.9867161325071373</v>
      </c>
      <c r="J182" s="10">
        <f t="shared" si="19"/>
        <v>0.50301859298223228</v>
      </c>
      <c r="K182" s="24">
        <f t="shared" si="20"/>
        <v>14</v>
      </c>
      <c r="L182" s="19">
        <f t="shared" si="21"/>
        <v>1.2317557306939577</v>
      </c>
      <c r="M182" s="19">
        <f t="shared" si="22"/>
        <v>8.7419210846519685E-5</v>
      </c>
    </row>
    <row r="183" spans="7:13">
      <c r="G183" s="3">
        <v>170</v>
      </c>
      <c r="H183" s="5">
        <f t="shared" si="18"/>
        <v>14.166666666666666</v>
      </c>
      <c r="I183" s="4">
        <f t="shared" si="23"/>
        <v>0.98657385827051647</v>
      </c>
      <c r="J183" s="10">
        <f t="shared" si="19"/>
        <v>0.50097754843707099</v>
      </c>
      <c r="K183" s="24">
        <f t="shared" si="20"/>
        <v>14</v>
      </c>
      <c r="L183" s="19">
        <f t="shared" si="21"/>
        <v>1.2317557306939577</v>
      </c>
      <c r="M183" s="19">
        <f t="shared" si="22"/>
        <v>8.7794865678761741E-5</v>
      </c>
    </row>
    <row r="184" spans="7:13">
      <c r="G184" s="3">
        <v>171</v>
      </c>
      <c r="H184" s="5">
        <f t="shared" si="18"/>
        <v>14.25</v>
      </c>
      <c r="I184" s="4">
        <f t="shared" si="23"/>
        <v>0.9864303891893913</v>
      </c>
      <c r="J184" s="10">
        <f t="shared" si="19"/>
        <v>0.49894478561925226</v>
      </c>
      <c r="K184" s="24">
        <f t="shared" si="20"/>
        <v>14</v>
      </c>
      <c r="L184" s="19">
        <f t="shared" si="21"/>
        <v>1.2317557306939577</v>
      </c>
      <c r="M184" s="19">
        <f t="shared" si="22"/>
        <v>8.8172955141229599E-5</v>
      </c>
    </row>
    <row r="185" spans="7:13">
      <c r="G185" s="3">
        <v>172</v>
      </c>
      <c r="H185" s="5">
        <f t="shared" si="18"/>
        <v>14.333333333333334</v>
      </c>
      <c r="I185" s="4">
        <f t="shared" si="23"/>
        <v>0.98628571389593478</v>
      </c>
      <c r="J185" s="10">
        <f t="shared" si="19"/>
        <v>0.49692027092490021</v>
      </c>
      <c r="K185" s="24">
        <f t="shared" si="20"/>
        <v>14</v>
      </c>
      <c r="L185" s="19">
        <f t="shared" si="21"/>
        <v>1.2317557306939577</v>
      </c>
      <c r="M185" s="19">
        <f t="shared" si="22"/>
        <v>8.8553488947359479E-5</v>
      </c>
    </row>
    <row r="186" spans="7:13">
      <c r="G186" s="3">
        <v>173</v>
      </c>
      <c r="H186" s="5">
        <f t="shared" si="18"/>
        <v>14.416666666666666</v>
      </c>
      <c r="I186" s="4">
        <f t="shared" si="23"/>
        <v>0.98613982091727326</v>
      </c>
      <c r="J186" s="10">
        <f t="shared" si="19"/>
        <v>0.49490397088648952</v>
      </c>
      <c r="K186" s="24">
        <f t="shared" si="20"/>
        <v>14</v>
      </c>
      <c r="L186" s="19">
        <f t="shared" si="21"/>
        <v>1.2317557306939577</v>
      </c>
      <c r="M186" s="19">
        <f t="shared" si="22"/>
        <v>8.8936476839466001E-5</v>
      </c>
    </row>
    <row r="187" spans="7:13">
      <c r="G187" s="3">
        <v>174</v>
      </c>
      <c r="H187" s="5">
        <f t="shared" si="18"/>
        <v>14.5</v>
      </c>
      <c r="I187" s="4">
        <f t="shared" si="23"/>
        <v>0.98599269867457706</v>
      </c>
      <c r="J187" s="10">
        <f t="shared" si="19"/>
        <v>0.49289585217229281</v>
      </c>
      <c r="K187" s="24">
        <f t="shared" si="20"/>
        <v>14</v>
      </c>
      <c r="L187" s="19">
        <f t="shared" si="21"/>
        <v>1.2317557306939577</v>
      </c>
      <c r="M187" s="19">
        <f t="shared" si="22"/>
        <v>8.9321928587560829E-5</v>
      </c>
    </row>
    <row r="188" spans="7:13">
      <c r="G188" s="3">
        <v>175</v>
      </c>
      <c r="H188" s="5">
        <f t="shared" si="18"/>
        <v>14.583333333333334</v>
      </c>
      <c r="I188" s="4">
        <f t="shared" si="23"/>
        <v>0.98584433548214367</v>
      </c>
      <c r="J188" s="10">
        <f t="shared" si="19"/>
        <v>0.49089588158582903</v>
      </c>
      <c r="K188" s="24">
        <f t="shared" si="20"/>
        <v>14</v>
      </c>
      <c r="L188" s="19">
        <f t="shared" si="21"/>
        <v>1.2317557306939577</v>
      </c>
      <c r="M188" s="19">
        <f t="shared" si="22"/>
        <v>8.9709853989442643E-5</v>
      </c>
    </row>
    <row r="189" spans="7:13">
      <c r="G189" s="3">
        <v>176</v>
      </c>
      <c r="H189" s="5">
        <f t="shared" si="18"/>
        <v>14.666666666666666</v>
      </c>
      <c r="I189" s="4">
        <f t="shared" si="23"/>
        <v>0.98569471954647547</v>
      </c>
      <c r="J189" s="10">
        <f t="shared" si="19"/>
        <v>0.48890402606531497</v>
      </c>
      <c r="K189" s="24">
        <f t="shared" si="20"/>
        <v>14</v>
      </c>
      <c r="L189" s="19">
        <f t="shared" si="21"/>
        <v>1.2317557306939577</v>
      </c>
      <c r="M189" s="19">
        <f t="shared" si="22"/>
        <v>9.010026286954866E-5</v>
      </c>
    </row>
    <row r="190" spans="7:13">
      <c r="G190" s="3">
        <v>177</v>
      </c>
      <c r="H190" s="5">
        <f t="shared" si="18"/>
        <v>14.75</v>
      </c>
      <c r="I190" s="4">
        <f t="shared" si="23"/>
        <v>0.98554383896534892</v>
      </c>
      <c r="J190" s="10">
        <f t="shared" si="19"/>
        <v>0.4869202526831185</v>
      </c>
      <c r="K190" s="24">
        <f t="shared" si="20"/>
        <v>14</v>
      </c>
      <c r="L190" s="19">
        <f t="shared" si="21"/>
        <v>1.2317557306939577</v>
      </c>
      <c r="M190" s="19">
        <f t="shared" si="22"/>
        <v>9.049316507966599E-5</v>
      </c>
    </row>
    <row r="191" spans="7:13">
      <c r="G191" s="3">
        <v>178</v>
      </c>
      <c r="H191" s="5">
        <f t="shared" si="18"/>
        <v>14.833333333333334</v>
      </c>
      <c r="I191" s="4">
        <f t="shared" si="23"/>
        <v>0.98539168172687874</v>
      </c>
      <c r="J191" s="10">
        <f t="shared" si="19"/>
        <v>0.48494452864521503</v>
      </c>
      <c r="K191" s="24">
        <f t="shared" si="20"/>
        <v>14</v>
      </c>
      <c r="L191" s="19">
        <f t="shared" si="21"/>
        <v>1.2317557306939577</v>
      </c>
      <c r="M191" s="19">
        <f t="shared" si="22"/>
        <v>9.088857049747088E-5</v>
      </c>
    </row>
    <row r="192" spans="7:13">
      <c r="G192" s="3">
        <v>179</v>
      </c>
      <c r="H192" s="5">
        <f t="shared" si="18"/>
        <v>14.916666666666666</v>
      </c>
      <c r="I192" s="4">
        <f t="shared" si="23"/>
        <v>0.98523823570857427</v>
      </c>
      <c r="J192" s="10">
        <f t="shared" si="19"/>
        <v>0.48297682129064395</v>
      </c>
      <c r="K192" s="24">
        <f t="shared" si="20"/>
        <v>14</v>
      </c>
      <c r="L192" s="19">
        <f t="shared" si="21"/>
        <v>1.2317557306939577</v>
      </c>
      <c r="M192" s="19">
        <f t="shared" si="22"/>
        <v>9.1286489026787509E-5</v>
      </c>
    </row>
    <row r="193" spans="7:13">
      <c r="G193" s="3">
        <v>180</v>
      </c>
      <c r="H193" s="5">
        <f t="shared" si="18"/>
        <v>15</v>
      </c>
      <c r="I193" s="4">
        <f t="shared" si="23"/>
        <v>0.98508348867638929</v>
      </c>
      <c r="J193" s="10">
        <f t="shared" si="19"/>
        <v>0.48101709809097021</v>
      </c>
      <c r="K193" s="24">
        <f t="shared" si="20"/>
        <v>15</v>
      </c>
      <c r="L193" s="19">
        <f t="shared" si="21"/>
        <v>1.2502320666543669</v>
      </c>
      <c r="M193" s="19">
        <f t="shared" si="22"/>
        <v>9.1686930596953368E-5</v>
      </c>
    </row>
    <row r="194" spans="7:13">
      <c r="G194" s="3">
        <v>181</v>
      </c>
      <c r="H194" s="5">
        <f t="shared" si="18"/>
        <v>15.083333333333334</v>
      </c>
      <c r="I194" s="4">
        <f t="shared" si="23"/>
        <v>0.98492742828376589</v>
      </c>
      <c r="J194" s="10">
        <f t="shared" si="19"/>
        <v>0.47906532664974499</v>
      </c>
      <c r="K194" s="24">
        <f t="shared" si="20"/>
        <v>15</v>
      </c>
      <c r="L194" s="19">
        <f t="shared" si="21"/>
        <v>1.2502320666543669</v>
      </c>
      <c r="M194" s="19">
        <f t="shared" si="22"/>
        <v>9.3471253739333229E-5</v>
      </c>
    </row>
    <row r="195" spans="7:13">
      <c r="G195" s="3">
        <v>182</v>
      </c>
      <c r="H195" s="5">
        <f t="shared" si="18"/>
        <v>15.166666666666666</v>
      </c>
      <c r="I195" s="4">
        <f t="shared" si="23"/>
        <v>0.9847700420706702</v>
      </c>
      <c r="J195" s="10">
        <f t="shared" si="19"/>
        <v>0.47712147470197241</v>
      </c>
      <c r="K195" s="24">
        <f t="shared" si="20"/>
        <v>15</v>
      </c>
      <c r="L195" s="19">
        <f t="shared" si="21"/>
        <v>1.2502320666543669</v>
      </c>
      <c r="M195" s="19">
        <f t="shared" si="22"/>
        <v>9.3882854041065116E-5</v>
      </c>
    </row>
    <row r="196" spans="7:13">
      <c r="G196" s="3">
        <v>183</v>
      </c>
      <c r="H196" s="5">
        <f t="shared" si="18"/>
        <v>15.25</v>
      </c>
      <c r="I196" s="4">
        <f t="shared" si="23"/>
        <v>0.98461131746262254</v>
      </c>
      <c r="J196" s="10">
        <f t="shared" si="19"/>
        <v>0.47518551011357363</v>
      </c>
      <c r="K196" s="24">
        <f t="shared" si="20"/>
        <v>15</v>
      </c>
      <c r="L196" s="19">
        <f t="shared" si="21"/>
        <v>1.2502320666543669</v>
      </c>
      <c r="M196" s="19">
        <f t="shared" si="22"/>
        <v>9.4297045613750511E-5</v>
      </c>
    </row>
    <row r="197" spans="7:13">
      <c r="G197" s="3">
        <v>184</v>
      </c>
      <c r="H197" s="5">
        <f t="shared" si="18"/>
        <v>15.333333333333334</v>
      </c>
      <c r="I197" s="4">
        <f t="shared" si="23"/>
        <v>0.98445124176971943</v>
      </c>
      <c r="J197" s="10">
        <f t="shared" si="19"/>
        <v>0.47325740088085727</v>
      </c>
      <c r="K197" s="24">
        <f t="shared" si="20"/>
        <v>15</v>
      </c>
      <c r="L197" s="19">
        <f t="shared" si="21"/>
        <v>1.2502320666543669</v>
      </c>
      <c r="M197" s="19">
        <f t="shared" si="22"/>
        <v>9.4713838634420086E-5</v>
      </c>
    </row>
    <row r="198" spans="7:13">
      <c r="G198" s="3">
        <v>185</v>
      </c>
      <c r="H198" s="5">
        <f t="shared" si="18"/>
        <v>15.416666666666666</v>
      </c>
      <c r="I198" s="4">
        <f t="shared" si="23"/>
        <v>0.98428980218565032</v>
      </c>
      <c r="J198" s="10">
        <f t="shared" si="19"/>
        <v>0.47133711512998999</v>
      </c>
      <c r="K198" s="24">
        <f t="shared" si="20"/>
        <v>15</v>
      </c>
      <c r="L198" s="19">
        <f t="shared" si="21"/>
        <v>1.2502320666543669</v>
      </c>
      <c r="M198" s="19">
        <f t="shared" si="22"/>
        <v>9.5133243303081037E-5</v>
      </c>
    </row>
    <row r="199" spans="7:13">
      <c r="G199" s="3">
        <v>186</v>
      </c>
      <c r="H199" s="5">
        <f t="shared" si="18"/>
        <v>15.5</v>
      </c>
      <c r="I199" s="4">
        <f t="shared" si="23"/>
        <v>0.98412698578670599</v>
      </c>
      <c r="J199" s="10">
        <f t="shared" si="19"/>
        <v>0.46942462111646938</v>
      </c>
      <c r="K199" s="24">
        <f t="shared" si="20"/>
        <v>15</v>
      </c>
      <c r="L199" s="19">
        <f t="shared" si="21"/>
        <v>1.2502320666543669</v>
      </c>
      <c r="M199" s="19">
        <f t="shared" si="22"/>
        <v>9.5555269843005351E-5</v>
      </c>
    </row>
    <row r="200" spans="7:13">
      <c r="G200" s="3">
        <v>187</v>
      </c>
      <c r="H200" s="5">
        <f t="shared" si="18"/>
        <v>15.583333333333334</v>
      </c>
      <c r="I200" s="4">
        <f t="shared" si="23"/>
        <v>0.98396277953078126</v>
      </c>
      <c r="J200" s="10">
        <f t="shared" si="19"/>
        <v>0.46751988722459903</v>
      </c>
      <c r="K200" s="24">
        <f t="shared" si="20"/>
        <v>15</v>
      </c>
      <c r="L200" s="19">
        <f t="shared" si="21"/>
        <v>1.2502320666543669</v>
      </c>
      <c r="M200" s="19">
        <f t="shared" si="22"/>
        <v>9.5979928499550341E-5</v>
      </c>
    </row>
    <row r="201" spans="7:13">
      <c r="G201" s="3">
        <v>188</v>
      </c>
      <c r="H201" s="5">
        <f t="shared" si="18"/>
        <v>15.666666666666666</v>
      </c>
      <c r="I201" s="4">
        <f t="shared" si="23"/>
        <v>0.98379717025636981</v>
      </c>
      <c r="J201" s="10">
        <f t="shared" si="19"/>
        <v>0.46562288196696661</v>
      </c>
      <c r="K201" s="24">
        <f t="shared" si="20"/>
        <v>15</v>
      </c>
      <c r="L201" s="19">
        <f t="shared" si="21"/>
        <v>1.2502320666543669</v>
      </c>
      <c r="M201" s="19">
        <f t="shared" si="22"/>
        <v>9.6407229540203048E-5</v>
      </c>
    </row>
    <row r="202" spans="7:13">
      <c r="G202" s="3">
        <v>189</v>
      </c>
      <c r="H202" s="5">
        <f t="shared" si="18"/>
        <v>15.75</v>
      </c>
      <c r="I202" s="4">
        <f t="shared" si="23"/>
        <v>0.98363014468155274</v>
      </c>
      <c r="J202" s="10">
        <f t="shared" si="19"/>
        <v>0.4637335739839224</v>
      </c>
      <c r="K202" s="24">
        <f t="shared" si="20"/>
        <v>15</v>
      </c>
      <c r="L202" s="19">
        <f t="shared" si="21"/>
        <v>1.2502320666543669</v>
      </c>
      <c r="M202" s="19">
        <f t="shared" si="22"/>
        <v>9.6837183253624672E-5</v>
      </c>
    </row>
    <row r="203" spans="7:13">
      <c r="G203" s="3">
        <v>190</v>
      </c>
      <c r="H203" s="5">
        <f t="shared" si="18"/>
        <v>15.833333333333334</v>
      </c>
      <c r="I203" s="4">
        <f t="shared" si="23"/>
        <v>0.98346168940297995</v>
      </c>
      <c r="J203" s="10">
        <f t="shared" si="19"/>
        <v>0.46185193204306191</v>
      </c>
      <c r="K203" s="24">
        <f t="shared" si="20"/>
        <v>15</v>
      </c>
      <c r="L203" s="19">
        <f t="shared" si="21"/>
        <v>1.2502320666543669</v>
      </c>
      <c r="M203" s="19">
        <f t="shared" si="22"/>
        <v>9.7269799949262803E-5</v>
      </c>
    </row>
    <row r="204" spans="7:13">
      <c r="G204" s="3">
        <v>191</v>
      </c>
      <c r="H204" s="5">
        <f t="shared" si="18"/>
        <v>15.916666666666666</v>
      </c>
      <c r="I204" s="4">
        <f t="shared" si="23"/>
        <v>0.98329179089484475</v>
      </c>
      <c r="J204" s="10">
        <f t="shared" si="19"/>
        <v>0.45997792503870849</v>
      </c>
      <c r="K204" s="24">
        <f t="shared" si="20"/>
        <v>15</v>
      </c>
      <c r="L204" s="19">
        <f t="shared" si="21"/>
        <v>1.2502320666543669</v>
      </c>
      <c r="M204" s="19">
        <f t="shared" si="22"/>
        <v>9.7705089956684233E-5</v>
      </c>
    </row>
    <row r="205" spans="7:13">
      <c r="G205" s="3">
        <v>192</v>
      </c>
      <c r="H205" s="5">
        <f t="shared" si="18"/>
        <v>16</v>
      </c>
      <c r="I205" s="4">
        <f t="shared" si="23"/>
        <v>0.98312043550785144</v>
      </c>
      <c r="J205" s="10">
        <f t="shared" si="19"/>
        <v>0.45811152199140021</v>
      </c>
      <c r="K205" s="24">
        <f t="shared" si="20"/>
        <v>16</v>
      </c>
      <c r="L205" s="19">
        <f t="shared" si="21"/>
        <v>1.2689855476541823</v>
      </c>
      <c r="M205" s="19">
        <f t="shared" si="22"/>
        <v>9.8143063625018908E-5</v>
      </c>
    </row>
    <row r="206" spans="7:13">
      <c r="G206" s="3">
        <v>193</v>
      </c>
      <c r="H206" s="5">
        <f t="shared" ref="H206:H269" si="24">G206/12</f>
        <v>16.083333333333332</v>
      </c>
      <c r="I206" s="4">
        <f t="shared" si="23"/>
        <v>0.98294760946817572</v>
      </c>
      <c r="J206" s="10">
        <f t="shared" ref="J206:J269" si="25">(1+B$6)^-H206</f>
        <v>0.45625269204737623</v>
      </c>
      <c r="K206" s="24">
        <f t="shared" ref="K206:K269" si="26">INT(H206+0.000001)</f>
        <v>16</v>
      </c>
      <c r="L206" s="19">
        <f t="shared" ref="L206:L269" si="27">1.015^K206</f>
        <v>1.2689855476541823</v>
      </c>
      <c r="M206" s="19">
        <f t="shared" si="22"/>
        <v>1.0006248729234839E-4</v>
      </c>
    </row>
    <row r="207" spans="7:13">
      <c r="G207" s="3">
        <v>194</v>
      </c>
      <c r="H207" s="5">
        <f t="shared" si="24"/>
        <v>16.166666666666668</v>
      </c>
      <c r="I207" s="4">
        <f t="shared" si="23"/>
        <v>0.98277329887641884</v>
      </c>
      <c r="J207" s="10">
        <f t="shared" si="25"/>
        <v>0.45440140447806887</v>
      </c>
      <c r="K207" s="24">
        <f t="shared" si="26"/>
        <v>16</v>
      </c>
      <c r="L207" s="19">
        <f t="shared" si="27"/>
        <v>1.2689855476541823</v>
      </c>
      <c r="M207" s="19">
        <f t="shared" ref="M207:M270" si="28">(I206-I207)*J207*L206</f>
        <v>1.0051250998701181E-4</v>
      </c>
    </row>
    <row r="208" spans="7:13">
      <c r="G208" s="3">
        <v>195</v>
      </c>
      <c r="H208" s="5">
        <f t="shared" si="24"/>
        <v>16.25</v>
      </c>
      <c r="I208" s="4">
        <f t="shared" si="23"/>
        <v>0.98259748970655347</v>
      </c>
      <c r="J208" s="10">
        <f t="shared" si="25"/>
        <v>0.45255762867959387</v>
      </c>
      <c r="K208" s="24">
        <f t="shared" si="26"/>
        <v>16</v>
      </c>
      <c r="L208" s="19">
        <f t="shared" si="27"/>
        <v>1.2689855476541823</v>
      </c>
      <c r="M208" s="19">
        <f t="shared" si="28"/>
        <v>1.0096528822399595E-4</v>
      </c>
    </row>
    <row r="209" spans="7:13">
      <c r="G209" s="3">
        <v>196</v>
      </c>
      <c r="H209" s="5">
        <f t="shared" si="24"/>
        <v>16.333333333333332</v>
      </c>
      <c r="I209" s="4">
        <f t="shared" si="23"/>
        <v>0.98242016780486441</v>
      </c>
      <c r="J209" s="10">
        <f t="shared" si="25"/>
        <v>0.45072133417224508</v>
      </c>
      <c r="K209" s="24">
        <f t="shared" si="26"/>
        <v>16</v>
      </c>
      <c r="L209" s="19">
        <f t="shared" si="27"/>
        <v>1.2689855476541823</v>
      </c>
      <c r="M209" s="19">
        <f t="shared" si="28"/>
        <v>1.0142083258068097E-4</v>
      </c>
    </row>
    <row r="210" spans="7:13">
      <c r="G210" s="3">
        <v>197</v>
      </c>
      <c r="H210" s="5">
        <f t="shared" si="24"/>
        <v>16.416666666666668</v>
      </c>
      <c r="I210" s="4">
        <f t="shared" si="23"/>
        <v>0.98224131888888022</v>
      </c>
      <c r="J210" s="10">
        <f t="shared" si="25"/>
        <v>0.44889249059999053</v>
      </c>
      <c r="K210" s="24">
        <f t="shared" si="26"/>
        <v>16</v>
      </c>
      <c r="L210" s="19">
        <f t="shared" si="27"/>
        <v>1.2689855476541823</v>
      </c>
      <c r="M210" s="19">
        <f t="shared" si="28"/>
        <v>1.0187915365177313E-4</v>
      </c>
    </row>
    <row r="211" spans="7:13">
      <c r="G211" s="3">
        <v>198</v>
      </c>
      <c r="H211" s="5">
        <f t="shared" si="24"/>
        <v>16.5</v>
      </c>
      <c r="I211" s="4">
        <f t="shared" si="23"/>
        <v>0.9820609285463</v>
      </c>
      <c r="J211" s="10">
        <f t="shared" si="25"/>
        <v>0.44707106772997074</v>
      </c>
      <c r="K211" s="24">
        <f t="shared" si="26"/>
        <v>16</v>
      </c>
      <c r="L211" s="19">
        <f t="shared" si="27"/>
        <v>1.2689855476541823</v>
      </c>
      <c r="M211" s="19">
        <f t="shared" si="28"/>
        <v>1.0234026204742243E-4</v>
      </c>
    </row>
    <row r="212" spans="7:13">
      <c r="G212" s="3">
        <v>199</v>
      </c>
      <c r="H212" s="5">
        <f t="shared" si="24"/>
        <v>16.583333333333332</v>
      </c>
      <c r="I212" s="4">
        <f t="shared" si="23"/>
        <v>0.98187898223391168</v>
      </c>
      <c r="J212" s="10">
        <f t="shared" si="25"/>
        <v>0.44525703545199907</v>
      </c>
      <c r="K212" s="24">
        <f t="shared" si="26"/>
        <v>16</v>
      </c>
      <c r="L212" s="19">
        <f t="shared" si="27"/>
        <v>1.2689855476541823</v>
      </c>
      <c r="M212" s="19">
        <f t="shared" si="28"/>
        <v>1.0280416839336033E-4</v>
      </c>
    </row>
    <row r="213" spans="7:13">
      <c r="G213" s="3">
        <v>200</v>
      </c>
      <c r="H213" s="5">
        <f t="shared" si="24"/>
        <v>16.666666666666668</v>
      </c>
      <c r="I213" s="4">
        <f t="shared" si="23"/>
        <v>0.98169546527650353</v>
      </c>
      <c r="J213" s="10">
        <f t="shared" si="25"/>
        <v>0.44345036377806329</v>
      </c>
      <c r="K213" s="24">
        <f t="shared" si="26"/>
        <v>16</v>
      </c>
      <c r="L213" s="19">
        <f t="shared" si="27"/>
        <v>1.2689855476541823</v>
      </c>
      <c r="M213" s="19">
        <f t="shared" si="28"/>
        <v>1.0327088333006436E-4</v>
      </c>
    </row>
    <row r="214" spans="7:13">
      <c r="G214" s="3">
        <v>201</v>
      </c>
      <c r="H214" s="5">
        <f t="shared" si="24"/>
        <v>16.75</v>
      </c>
      <c r="I214" s="4">
        <f t="shared" si="23"/>
        <v>0.98151036286576965</v>
      </c>
      <c r="J214" s="10">
        <f t="shared" si="25"/>
        <v>0.44165102284183089</v>
      </c>
      <c r="K214" s="24">
        <f t="shared" si="26"/>
        <v>16</v>
      </c>
      <c r="L214" s="19">
        <f t="shared" si="27"/>
        <v>1.2689855476541823</v>
      </c>
      <c r="M214" s="19">
        <f t="shared" si="28"/>
        <v>1.0374041751153704E-4</v>
      </c>
    </row>
    <row r="215" spans="7:13">
      <c r="G215" s="3">
        <v>202</v>
      </c>
      <c r="H215" s="5">
        <f t="shared" si="24"/>
        <v>16.833333333333332</v>
      </c>
      <c r="I215" s="4">
        <f t="shared" si="23"/>
        <v>0.98132366005920679</v>
      </c>
      <c r="J215" s="10">
        <f t="shared" si="25"/>
        <v>0.43985898289815417</v>
      </c>
      <c r="K215" s="24">
        <f t="shared" si="26"/>
        <v>16</v>
      </c>
      <c r="L215" s="19">
        <f t="shared" si="27"/>
        <v>1.2689855476541823</v>
      </c>
      <c r="M215" s="19">
        <f t="shared" si="28"/>
        <v>1.0421278160544501E-4</v>
      </c>
    </row>
    <row r="216" spans="7:13">
      <c r="G216" s="3">
        <v>203</v>
      </c>
      <c r="H216" s="5">
        <f t="shared" si="24"/>
        <v>16.916666666666668</v>
      </c>
      <c r="I216" s="4">
        <f t="shared" si="23"/>
        <v>0.98113534177900619</v>
      </c>
      <c r="J216" s="10">
        <f t="shared" si="25"/>
        <v>0.43807421432257942</v>
      </c>
      <c r="K216" s="24">
        <f t="shared" si="26"/>
        <v>16</v>
      </c>
      <c r="L216" s="19">
        <f t="shared" si="27"/>
        <v>1.2689855476541823</v>
      </c>
      <c r="M216" s="19">
        <f t="shared" si="28"/>
        <v>1.0468798629130932E-4</v>
      </c>
    </row>
    <row r="217" spans="7:13">
      <c r="G217" s="3">
        <v>204</v>
      </c>
      <c r="H217" s="5">
        <f t="shared" si="24"/>
        <v>17</v>
      </c>
      <c r="I217" s="4">
        <f t="shared" si="23"/>
        <v>0.98094539281093618</v>
      </c>
      <c r="J217" s="10">
        <f t="shared" si="25"/>
        <v>0.43629668761085727</v>
      </c>
      <c r="K217" s="24">
        <f t="shared" si="26"/>
        <v>17</v>
      </c>
      <c r="L217" s="19">
        <f t="shared" si="27"/>
        <v>1.2880203308689948</v>
      </c>
      <c r="M217" s="19">
        <f t="shared" si="28"/>
        <v>1.0516604226092005E-4</v>
      </c>
    </row>
    <row r="218" spans="7:13">
      <c r="G218" s="3">
        <v>205</v>
      </c>
      <c r="H218" s="5">
        <f t="shared" si="24"/>
        <v>17.083333333333332</v>
      </c>
      <c r="I218" s="4">
        <f t="shared" si="23"/>
        <v>0.98075379780322036</v>
      </c>
      <c r="J218" s="10">
        <f t="shared" si="25"/>
        <v>0.43452637337845357</v>
      </c>
      <c r="K218" s="24">
        <f t="shared" si="26"/>
        <v>17</v>
      </c>
      <c r="L218" s="19">
        <f t="shared" si="27"/>
        <v>1.2880203308689948</v>
      </c>
      <c r="M218" s="19">
        <f t="shared" si="28"/>
        <v>1.0723166461944126E-4</v>
      </c>
    </row>
    <row r="219" spans="7:13">
      <c r="G219" s="3">
        <v>206</v>
      </c>
      <c r="H219" s="5">
        <f t="shared" si="24"/>
        <v>17.166666666666668</v>
      </c>
      <c r="I219" s="4">
        <f t="shared" si="23"/>
        <v>0.98056054126540626</v>
      </c>
      <c r="J219" s="10">
        <f t="shared" si="25"/>
        <v>0.43276324236006558</v>
      </c>
      <c r="K219" s="24">
        <f t="shared" si="26"/>
        <v>17</v>
      </c>
      <c r="L219" s="19">
        <f t="shared" si="27"/>
        <v>1.2880203308689948</v>
      </c>
      <c r="M219" s="19">
        <f t="shared" si="28"/>
        <v>1.0772271213280762E-4</v>
      </c>
    </row>
    <row r="220" spans="7:13">
      <c r="G220" s="3">
        <v>207</v>
      </c>
      <c r="H220" s="5">
        <f t="shared" si="24"/>
        <v>17.25</v>
      </c>
      <c r="I220" s="4">
        <f t="shared" si="23"/>
        <v>0.98036560756722901</v>
      </c>
      <c r="J220" s="10">
        <f t="shared" si="25"/>
        <v>0.43100726540913703</v>
      </c>
      <c r="K220" s="24">
        <f t="shared" si="26"/>
        <v>17</v>
      </c>
      <c r="L220" s="19">
        <f t="shared" si="27"/>
        <v>1.2880203308689948</v>
      </c>
      <c r="M220" s="19">
        <f t="shared" si="28"/>
        <v>1.0821668631715711E-4</v>
      </c>
    </row>
    <row r="221" spans="7:13">
      <c r="G221" s="3">
        <v>208</v>
      </c>
      <c r="H221" s="5">
        <f t="shared" si="24"/>
        <v>17.333333333333332</v>
      </c>
      <c r="I221" s="4">
        <f t="shared" si="23"/>
        <v>0.98016898093746652</v>
      </c>
      <c r="J221" s="10">
        <f t="shared" si="25"/>
        <v>0.42925841349737626</v>
      </c>
      <c r="K221" s="24">
        <f t="shared" si="26"/>
        <v>17</v>
      </c>
      <c r="L221" s="19">
        <f t="shared" si="27"/>
        <v>1.2880203308689948</v>
      </c>
      <c r="M221" s="19">
        <f t="shared" si="28"/>
        <v>1.0871359806367188E-4</v>
      </c>
    </row>
    <row r="222" spans="7:13">
      <c r="G222" s="3">
        <v>209</v>
      </c>
      <c r="H222" s="5">
        <f t="shared" si="24"/>
        <v>17.416666666666668</v>
      </c>
      <c r="I222" s="4">
        <f t="shared" si="23"/>
        <v>0.979970645462789</v>
      </c>
      <c r="J222" s="10">
        <f t="shared" si="25"/>
        <v>0.42751665771427666</v>
      </c>
      <c r="K222" s="24">
        <f t="shared" si="26"/>
        <v>17</v>
      </c>
      <c r="L222" s="19">
        <f t="shared" si="27"/>
        <v>1.2880203308689948</v>
      </c>
      <c r="M222" s="19">
        <f t="shared" si="28"/>
        <v>1.0921345827084869E-4</v>
      </c>
    </row>
    <row r="223" spans="7:13">
      <c r="G223" s="3">
        <v>210</v>
      </c>
      <c r="H223" s="5">
        <f t="shared" si="24"/>
        <v>17.5</v>
      </c>
      <c r="I223" s="4">
        <f t="shared" si="23"/>
        <v>0.97977058508660053</v>
      </c>
      <c r="J223" s="10">
        <f t="shared" si="25"/>
        <v>0.42578196926663886</v>
      </c>
      <c r="K223" s="24">
        <f t="shared" si="26"/>
        <v>17</v>
      </c>
      <c r="L223" s="19">
        <f t="shared" si="27"/>
        <v>1.2880203308689948</v>
      </c>
      <c r="M223" s="19">
        <f t="shared" si="28"/>
        <v>1.097162778442634E-4</v>
      </c>
    </row>
    <row r="224" spans="7:13">
      <c r="G224" s="3">
        <v>211</v>
      </c>
      <c r="H224" s="5">
        <f t="shared" si="24"/>
        <v>17.583333333333332</v>
      </c>
      <c r="I224" s="4">
        <f t="shared" si="23"/>
        <v>0.97956878360787458</v>
      </c>
      <c r="J224" s="10">
        <f t="shared" si="25"/>
        <v>0.42405431947809435</v>
      </c>
      <c r="K224" s="24">
        <f t="shared" si="26"/>
        <v>17</v>
      </c>
      <c r="L224" s="19">
        <f t="shared" si="27"/>
        <v>1.2880203308689948</v>
      </c>
      <c r="M224" s="19">
        <f t="shared" si="28"/>
        <v>1.1022206769509648E-4</v>
      </c>
    </row>
    <row r="225" spans="7:13">
      <c r="G225" s="3">
        <v>212</v>
      </c>
      <c r="H225" s="5">
        <f t="shared" si="24"/>
        <v>17.666666666666668</v>
      </c>
      <c r="I225" s="4">
        <f t="shared" si="23"/>
        <v>0.97936522467998177</v>
      </c>
      <c r="J225" s="10">
        <f t="shared" si="25"/>
        <v>0.42233367978863179</v>
      </c>
      <c r="K225" s="24">
        <f t="shared" si="26"/>
        <v>17</v>
      </c>
      <c r="L225" s="19">
        <f t="shared" si="27"/>
        <v>1.2880203308689948</v>
      </c>
      <c r="M225" s="19">
        <f t="shared" si="28"/>
        <v>1.1073083873974955E-4</v>
      </c>
    </row>
    <row r="226" spans="7:13">
      <c r="G226" s="3">
        <v>213</v>
      </c>
      <c r="H226" s="5">
        <f t="shared" si="24"/>
        <v>17.75</v>
      </c>
      <c r="I226" s="4">
        <f t="shared" si="23"/>
        <v>0.97915989180951113</v>
      </c>
      <c r="J226" s="10">
        <f t="shared" si="25"/>
        <v>0.42062002175412466</v>
      </c>
      <c r="K226" s="24">
        <f t="shared" si="26"/>
        <v>17</v>
      </c>
      <c r="L226" s="19">
        <f t="shared" si="27"/>
        <v>1.2880203308689948</v>
      </c>
      <c r="M226" s="19">
        <f t="shared" si="28"/>
        <v>1.1124260189865757E-4</v>
      </c>
    </row>
    <row r="227" spans="7:13">
      <c r="G227" s="3">
        <v>214</v>
      </c>
      <c r="H227" s="5">
        <f t="shared" si="24"/>
        <v>17.833333333333332</v>
      </c>
      <c r="I227" s="4">
        <f t="shared" si="23"/>
        <v>0.97895276835508438</v>
      </c>
      <c r="J227" s="10">
        <f t="shared" si="25"/>
        <v>0.41891331704586104</v>
      </c>
      <c r="K227" s="24">
        <f t="shared" si="26"/>
        <v>17</v>
      </c>
      <c r="L227" s="19">
        <f t="shared" si="27"/>
        <v>1.2880203308689948</v>
      </c>
      <c r="M227" s="19">
        <f t="shared" si="28"/>
        <v>1.1175736809539788E-4</v>
      </c>
    </row>
    <row r="228" spans="7:13">
      <c r="G228" s="3">
        <v>215</v>
      </c>
      <c r="H228" s="5">
        <f t="shared" si="24"/>
        <v>17.916666666666668</v>
      </c>
      <c r="I228" s="4">
        <f t="shared" si="23"/>
        <v>0.97874383752616378</v>
      </c>
      <c r="J228" s="10">
        <f t="shared" si="25"/>
        <v>0.41721353745007561</v>
      </c>
      <c r="K228" s="24">
        <f t="shared" si="26"/>
        <v>17</v>
      </c>
      <c r="L228" s="19">
        <f t="shared" si="27"/>
        <v>1.2880203308689948</v>
      </c>
      <c r="M228" s="19">
        <f t="shared" si="28"/>
        <v>1.1227514825549101E-4</v>
      </c>
    </row>
    <row r="229" spans="7:13">
      <c r="G229" s="3">
        <v>216</v>
      </c>
      <c r="H229" s="5">
        <f t="shared" si="24"/>
        <v>18</v>
      </c>
      <c r="I229" s="4">
        <f t="shared" si="23"/>
        <v>0.97853308238185244</v>
      </c>
      <c r="J229" s="10">
        <f t="shared" si="25"/>
        <v>0.41552065486748313</v>
      </c>
      <c r="K229" s="24">
        <f t="shared" si="26"/>
        <v>18</v>
      </c>
      <c r="L229" s="19">
        <f t="shared" si="27"/>
        <v>1.3073406358320296</v>
      </c>
      <c r="M229" s="19">
        <f t="shared" si="28"/>
        <v>1.1279595330579371E-4</v>
      </c>
    </row>
    <row r="230" spans="7:13">
      <c r="G230" s="3">
        <v>217</v>
      </c>
      <c r="H230" s="5">
        <f t="shared" si="24"/>
        <v>18.083333333333332</v>
      </c>
      <c r="I230" s="4">
        <f t="shared" si="23"/>
        <v>0.978320485829688</v>
      </c>
      <c r="J230" s="10">
        <f t="shared" si="25"/>
        <v>0.41383464131281289</v>
      </c>
      <c r="K230" s="24">
        <f t="shared" si="26"/>
        <v>18</v>
      </c>
      <c r="L230" s="19">
        <f t="shared" si="27"/>
        <v>1.3073406358320296</v>
      </c>
      <c r="M230" s="19">
        <f t="shared" si="28"/>
        <v>1.1501959108594289E-4</v>
      </c>
    </row>
    <row r="231" spans="7:13">
      <c r="G231" s="3">
        <v>218</v>
      </c>
      <c r="H231" s="5">
        <f t="shared" si="24"/>
        <v>18.166666666666668</v>
      </c>
      <c r="I231" s="4">
        <f t="shared" si="23"/>
        <v>0.97810603062443013</v>
      </c>
      <c r="J231" s="10">
        <f t="shared" si="25"/>
        <v>0.41215546891434812</v>
      </c>
      <c r="K231" s="24">
        <f t="shared" si="26"/>
        <v>18</v>
      </c>
      <c r="L231" s="19">
        <f t="shared" si="27"/>
        <v>1.3073406358320296</v>
      </c>
      <c r="M231" s="19">
        <f t="shared" si="28"/>
        <v>1.1555438201083992E-4</v>
      </c>
    </row>
    <row r="232" spans="7:13">
      <c r="G232" s="3">
        <v>219</v>
      </c>
      <c r="H232" s="5">
        <f t="shared" si="24"/>
        <v>18.25</v>
      </c>
      <c r="I232" s="4">
        <f t="shared" ref="I232:I295" si="29">I231*(B$9^(1/12))*B$8^((B$5^(B$7+H231))*((B$5^(1/12)-1)))</f>
        <v>0.97788969936684045</v>
      </c>
      <c r="J232" s="10">
        <f t="shared" si="25"/>
        <v>0.41048310991346382</v>
      </c>
      <c r="K232" s="24">
        <f t="shared" si="26"/>
        <v>18</v>
      </c>
      <c r="L232" s="19">
        <f t="shared" si="27"/>
        <v>1.3073406358320296</v>
      </c>
      <c r="M232" s="19">
        <f t="shared" si="28"/>
        <v>1.1609227646808862E-4</v>
      </c>
    </row>
    <row r="233" spans="7:13">
      <c r="G233" s="3">
        <v>220</v>
      </c>
      <c r="H233" s="5">
        <f t="shared" si="24"/>
        <v>18.333333333333332</v>
      </c>
      <c r="I233" s="4">
        <f t="shared" si="29"/>
        <v>0.97767147450245573</v>
      </c>
      <c r="J233" s="10">
        <f t="shared" si="25"/>
        <v>0.40881753666416781</v>
      </c>
      <c r="K233" s="24">
        <f t="shared" si="26"/>
        <v>18</v>
      </c>
      <c r="L233" s="19">
        <f t="shared" si="27"/>
        <v>1.3073406358320296</v>
      </c>
      <c r="M233" s="19">
        <f t="shared" si="28"/>
        <v>1.1663328554282339E-4</v>
      </c>
    </row>
    <row r="234" spans="7:13">
      <c r="G234" s="3">
        <v>221</v>
      </c>
      <c r="H234" s="5">
        <f t="shared" si="24"/>
        <v>18.416666666666668</v>
      </c>
      <c r="I234" s="4">
        <f t="shared" si="29"/>
        <v>0.97745133832035513</v>
      </c>
      <c r="J234" s="10">
        <f t="shared" si="25"/>
        <v>0.40715872163264438</v>
      </c>
      <c r="K234" s="24">
        <f t="shared" si="26"/>
        <v>18</v>
      </c>
      <c r="L234" s="19">
        <f t="shared" si="27"/>
        <v>1.3073406358320296</v>
      </c>
      <c r="M234" s="19">
        <f t="shared" si="28"/>
        <v>1.1717742031580802E-4</v>
      </c>
    </row>
    <row r="235" spans="7:13">
      <c r="G235" s="3">
        <v>222</v>
      </c>
      <c r="H235" s="5">
        <f t="shared" si="24"/>
        <v>18.5</v>
      </c>
      <c r="I235" s="4">
        <f t="shared" si="29"/>
        <v>0.97722927295192008</v>
      </c>
      <c r="J235" s="10">
        <f t="shared" si="25"/>
        <v>0.40550663739679882</v>
      </c>
      <c r="K235" s="24">
        <f t="shared" si="26"/>
        <v>18</v>
      </c>
      <c r="L235" s="19">
        <f t="shared" si="27"/>
        <v>1.3073406358320296</v>
      </c>
      <c r="M235" s="19">
        <f t="shared" si="28"/>
        <v>1.1772469186265912E-4</v>
      </c>
    </row>
    <row r="236" spans="7:13">
      <c r="G236" s="3">
        <v>223</v>
      </c>
      <c r="H236" s="5">
        <f t="shared" si="24"/>
        <v>18.583333333333332</v>
      </c>
      <c r="I236" s="4">
        <f t="shared" si="29"/>
        <v>0.9770052603695879</v>
      </c>
      <c r="J236" s="10">
        <f t="shared" si="25"/>
        <v>0.40386125664580408</v>
      </c>
      <c r="K236" s="24">
        <f t="shared" si="26"/>
        <v>18</v>
      </c>
      <c r="L236" s="19">
        <f t="shared" si="27"/>
        <v>1.3073406358320296</v>
      </c>
      <c r="M236" s="19">
        <f t="shared" si="28"/>
        <v>1.1827511125247205E-4</v>
      </c>
    </row>
    <row r="237" spans="7:13">
      <c r="G237" s="3">
        <v>224</v>
      </c>
      <c r="H237" s="5">
        <f t="shared" si="24"/>
        <v>18.666666666666668</v>
      </c>
      <c r="I237" s="4">
        <f t="shared" si="29"/>
        <v>0.9767792823855983</v>
      </c>
      <c r="J237" s="10">
        <f t="shared" si="25"/>
        <v>0.40222255217964931</v>
      </c>
      <c r="K237" s="24">
        <f t="shared" si="26"/>
        <v>18</v>
      </c>
      <c r="L237" s="19">
        <f t="shared" si="27"/>
        <v>1.3073406358320296</v>
      </c>
      <c r="M237" s="19">
        <f t="shared" si="28"/>
        <v>1.1882868954697529E-4</v>
      </c>
    </row>
    <row r="238" spans="7:13">
      <c r="G238" s="3">
        <v>225</v>
      </c>
      <c r="H238" s="5">
        <f t="shared" si="24"/>
        <v>18.75</v>
      </c>
      <c r="I238" s="4">
        <f t="shared" si="29"/>
        <v>0.97655132065073391</v>
      </c>
      <c r="J238" s="10">
        <f t="shared" si="25"/>
        <v>0.40059049690869014</v>
      </c>
      <c r="K238" s="24">
        <f t="shared" si="26"/>
        <v>18</v>
      </c>
      <c r="L238" s="19">
        <f t="shared" si="27"/>
        <v>1.3073406358320296</v>
      </c>
      <c r="M238" s="19">
        <f t="shared" si="28"/>
        <v>1.1938543779897788E-4</v>
      </c>
    </row>
    <row r="239" spans="7:13">
      <c r="G239" s="3">
        <v>226</v>
      </c>
      <c r="H239" s="5">
        <f t="shared" si="24"/>
        <v>18.833333333333332</v>
      </c>
      <c r="I239" s="4">
        <f t="shared" si="29"/>
        <v>0.97632135665305375</v>
      </c>
      <c r="J239" s="10">
        <f t="shared" si="25"/>
        <v>0.39896506385320102</v>
      </c>
      <c r="K239" s="24">
        <f t="shared" si="26"/>
        <v>18</v>
      </c>
      <c r="L239" s="19">
        <f t="shared" si="27"/>
        <v>1.3073406358320296</v>
      </c>
      <c r="M239" s="19">
        <f t="shared" si="28"/>
        <v>1.1994536705146178E-4</v>
      </c>
    </row>
    <row r="240" spans="7:13">
      <c r="G240" s="3">
        <v>227</v>
      </c>
      <c r="H240" s="5">
        <f t="shared" si="24"/>
        <v>18.916666666666668</v>
      </c>
      <c r="I240" s="4">
        <f t="shared" si="29"/>
        <v>0.97608937171662058</v>
      </c>
      <c r="J240" s="10">
        <f t="shared" si="25"/>
        <v>0.39734622614292914</v>
      </c>
      <c r="K240" s="24">
        <f t="shared" si="26"/>
        <v>18</v>
      </c>
      <c r="L240" s="19">
        <f t="shared" si="27"/>
        <v>1.3073406358320296</v>
      </c>
      <c r="M240" s="19">
        <f t="shared" si="28"/>
        <v>1.2050848833614762E-4</v>
      </c>
    </row>
    <row r="241" spans="7:13">
      <c r="G241" s="3">
        <v>228</v>
      </c>
      <c r="H241" s="5">
        <f t="shared" si="24"/>
        <v>19</v>
      </c>
      <c r="I241" s="4">
        <f t="shared" si="29"/>
        <v>0.97585534700022192</v>
      </c>
      <c r="J241" s="10">
        <f t="shared" si="25"/>
        <v>0.39573395701665059</v>
      </c>
      <c r="K241" s="24">
        <f t="shared" si="26"/>
        <v>19</v>
      </c>
      <c r="L241" s="19">
        <f t="shared" si="27"/>
        <v>1.32695074536951</v>
      </c>
      <c r="M241" s="19">
        <f t="shared" si="28"/>
        <v>1.2107481267218118E-4</v>
      </c>
    </row>
    <row r="242" spans="7:13">
      <c r="G242" s="3">
        <v>229</v>
      </c>
      <c r="H242" s="5">
        <f t="shared" si="24"/>
        <v>19.083333333333332</v>
      </c>
      <c r="I242" s="4">
        <f t="shared" si="29"/>
        <v>0.97561926349608419</v>
      </c>
      <c r="J242" s="10">
        <f t="shared" si="25"/>
        <v>0.39412822982172652</v>
      </c>
      <c r="K242" s="24">
        <f t="shared" si="26"/>
        <v>19</v>
      </c>
      <c r="L242" s="19">
        <f t="shared" si="27"/>
        <v>1.32695074536951</v>
      </c>
      <c r="M242" s="19">
        <f t="shared" si="28"/>
        <v>1.2346901633108475E-4</v>
      </c>
    </row>
    <row r="243" spans="7:13">
      <c r="G243" s="3">
        <v>230</v>
      </c>
      <c r="H243" s="5">
        <f t="shared" si="24"/>
        <v>19.166666666666668</v>
      </c>
      <c r="I243" s="4">
        <f t="shared" si="29"/>
        <v>0.97538110202858075</v>
      </c>
      <c r="J243" s="10">
        <f t="shared" si="25"/>
        <v>0.39252901801366485</v>
      </c>
      <c r="K243" s="24">
        <f t="shared" si="26"/>
        <v>19</v>
      </c>
      <c r="L243" s="19">
        <f t="shared" si="27"/>
        <v>1.32695074536951</v>
      </c>
      <c r="M243" s="19">
        <f t="shared" si="28"/>
        <v>1.2405037122302918E-4</v>
      </c>
    </row>
    <row r="244" spans="7:13">
      <c r="G244" s="3">
        <v>231</v>
      </c>
      <c r="H244" s="5">
        <f t="shared" si="24"/>
        <v>19.25</v>
      </c>
      <c r="I244" s="4">
        <f t="shared" si="29"/>
        <v>0.9751408432529336</v>
      </c>
      <c r="J244" s="10">
        <f t="shared" si="25"/>
        <v>0.39093629515567979</v>
      </c>
      <c r="K244" s="24">
        <f t="shared" si="26"/>
        <v>19</v>
      </c>
      <c r="L244" s="19">
        <f t="shared" si="27"/>
        <v>1.32695074536951</v>
      </c>
      <c r="M244" s="19">
        <f t="shared" si="28"/>
        <v>1.2463501067689391E-4</v>
      </c>
    </row>
    <row r="245" spans="7:13">
      <c r="G245" s="3">
        <v>232</v>
      </c>
      <c r="H245" s="5">
        <f t="shared" si="24"/>
        <v>19.333333333333332</v>
      </c>
      <c r="I245" s="4">
        <f t="shared" si="29"/>
        <v>0.97489846765390886</v>
      </c>
      <c r="J245" s="10">
        <f t="shared" si="25"/>
        <v>0.38935003491825509</v>
      </c>
      <c r="K245" s="24">
        <f t="shared" si="26"/>
        <v>19</v>
      </c>
      <c r="L245" s="19">
        <f t="shared" si="27"/>
        <v>1.32695074536951</v>
      </c>
      <c r="M245" s="19">
        <f t="shared" si="28"/>
        <v>1.252229458135148E-4</v>
      </c>
    </row>
    <row r="246" spans="7:13">
      <c r="G246" s="3">
        <v>233</v>
      </c>
      <c r="H246" s="5">
        <f t="shared" si="24"/>
        <v>19.416666666666668</v>
      </c>
      <c r="I246" s="4">
        <f t="shared" si="29"/>
        <v>0.9746539555445064</v>
      </c>
      <c r="J246" s="10">
        <f t="shared" si="25"/>
        <v>0.38777021107870896</v>
      </c>
      <c r="K246" s="24">
        <f t="shared" si="26"/>
        <v>19</v>
      </c>
      <c r="L246" s="19">
        <f t="shared" si="27"/>
        <v>1.32695074536951</v>
      </c>
      <c r="M246" s="19">
        <f t="shared" si="28"/>
        <v>1.2581418773421953E-4</v>
      </c>
    </row>
    <row r="247" spans="7:13">
      <c r="G247" s="3">
        <v>234</v>
      </c>
      <c r="H247" s="5">
        <f t="shared" si="24"/>
        <v>19.5</v>
      </c>
      <c r="I247" s="4">
        <f t="shared" si="29"/>
        <v>0.97440728706464275</v>
      </c>
      <c r="J247" s="10">
        <f t="shared" si="25"/>
        <v>0.3861967975207608</v>
      </c>
      <c r="K247" s="24">
        <f t="shared" si="26"/>
        <v>19</v>
      </c>
      <c r="L247" s="19">
        <f t="shared" si="27"/>
        <v>1.32695074536951</v>
      </c>
      <c r="M247" s="19">
        <f t="shared" si="28"/>
        <v>1.2640874751968824E-4</v>
      </c>
    </row>
    <row r="248" spans="7:13">
      <c r="G248" s="3">
        <v>235</v>
      </c>
      <c r="H248" s="5">
        <f t="shared" si="24"/>
        <v>19.583333333333332</v>
      </c>
      <c r="I248" s="4">
        <f t="shared" si="29"/>
        <v>0.9741584421798285</v>
      </c>
      <c r="J248" s="10">
        <f t="shared" si="25"/>
        <v>0.38462976823409911</v>
      </c>
      <c r="K248" s="24">
        <f t="shared" si="26"/>
        <v>19</v>
      </c>
      <c r="L248" s="19">
        <f t="shared" si="27"/>
        <v>1.32695074536951</v>
      </c>
      <c r="M248" s="19">
        <f t="shared" si="28"/>
        <v>1.2700663622824742E-4</v>
      </c>
    </row>
    <row r="249" spans="7:13">
      <c r="G249" s="3">
        <v>236</v>
      </c>
      <c r="H249" s="5">
        <f t="shared" si="24"/>
        <v>19.666666666666668</v>
      </c>
      <c r="I249" s="4">
        <f t="shared" si="29"/>
        <v>0.97390740067983894</v>
      </c>
      <c r="J249" s="10">
        <f t="shared" si="25"/>
        <v>0.38306909731395167</v>
      </c>
      <c r="K249" s="24">
        <f t="shared" si="26"/>
        <v>19</v>
      </c>
      <c r="L249" s="19">
        <f t="shared" si="27"/>
        <v>1.32695074536951</v>
      </c>
      <c r="M249" s="19">
        <f t="shared" si="28"/>
        <v>1.2760786489479859E-4</v>
      </c>
    </row>
    <row r="250" spans="7:13">
      <c r="G250" s="3">
        <v>237</v>
      </c>
      <c r="H250" s="5">
        <f t="shared" si="24"/>
        <v>19.75</v>
      </c>
      <c r="I250" s="4">
        <f t="shared" si="29"/>
        <v>0.97365414217737989</v>
      </c>
      <c r="J250" s="10">
        <f t="shared" si="25"/>
        <v>0.38151475896065723</v>
      </c>
      <c r="K250" s="24">
        <f t="shared" si="26"/>
        <v>19</v>
      </c>
      <c r="L250" s="19">
        <f t="shared" si="27"/>
        <v>1.32695074536951</v>
      </c>
      <c r="M250" s="19">
        <f t="shared" si="28"/>
        <v>1.28212444528734E-4</v>
      </c>
    </row>
    <row r="251" spans="7:13">
      <c r="G251" s="3">
        <v>238</v>
      </c>
      <c r="H251" s="5">
        <f t="shared" si="24"/>
        <v>19.833333333333332</v>
      </c>
      <c r="I251" s="4">
        <f t="shared" si="29"/>
        <v>0.97339864610674687</v>
      </c>
      <c r="J251" s="10">
        <f t="shared" si="25"/>
        <v>0.37996672747923904</v>
      </c>
      <c r="K251" s="24">
        <f t="shared" si="26"/>
        <v>19</v>
      </c>
      <c r="L251" s="19">
        <f t="shared" si="27"/>
        <v>1.32695074536951</v>
      </c>
      <c r="M251" s="19">
        <f t="shared" si="28"/>
        <v>1.2882038611282821E-4</v>
      </c>
    </row>
    <row r="252" spans="7:13">
      <c r="G252" s="3">
        <v>239</v>
      </c>
      <c r="H252" s="5">
        <f t="shared" si="24"/>
        <v>19.916666666666668</v>
      </c>
      <c r="I252" s="4">
        <f t="shared" si="29"/>
        <v>0.97314089172247842</v>
      </c>
      <c r="J252" s="10">
        <f t="shared" si="25"/>
        <v>0.37842497727898011</v>
      </c>
      <c r="K252" s="24">
        <f t="shared" si="26"/>
        <v>19</v>
      </c>
      <c r="L252" s="19">
        <f t="shared" si="27"/>
        <v>1.32695074536951</v>
      </c>
      <c r="M252" s="19">
        <f t="shared" si="28"/>
        <v>1.2943170060173941E-4</v>
      </c>
    </row>
    <row r="253" spans="7:13">
      <c r="G253" s="3">
        <v>240</v>
      </c>
      <c r="H253" s="5">
        <f t="shared" si="24"/>
        <v>20</v>
      </c>
      <c r="I253" s="4">
        <f t="shared" si="29"/>
        <v>0.97288085809800451</v>
      </c>
      <c r="J253" s="10">
        <f t="shared" si="25"/>
        <v>0.37688948287300061</v>
      </c>
      <c r="K253" s="24">
        <f t="shared" si="26"/>
        <v>20</v>
      </c>
      <c r="L253" s="19">
        <f t="shared" si="27"/>
        <v>1.3468550065500522</v>
      </c>
      <c r="M253" s="19">
        <f t="shared" si="28"/>
        <v>1.3004639892002189E-4</v>
      </c>
    </row>
    <row r="254" spans="7:13">
      <c r="G254" s="3">
        <v>241</v>
      </c>
      <c r="H254" s="5">
        <f t="shared" si="24"/>
        <v>20.083333333333332</v>
      </c>
      <c r="I254" s="4">
        <f t="shared" si="29"/>
        <v>0.9726185241242884</v>
      </c>
      <c r="J254" s="10">
        <f t="shared" si="25"/>
        <v>0.37536021887783477</v>
      </c>
      <c r="K254" s="24">
        <f t="shared" si="26"/>
        <v>20</v>
      </c>
      <c r="L254" s="19">
        <f t="shared" si="27"/>
        <v>1.3468550065500522</v>
      </c>
      <c r="M254" s="19">
        <f t="shared" si="28"/>
        <v>1.3262445934040414E-4</v>
      </c>
    </row>
    <row r="255" spans="7:13">
      <c r="G255" s="3">
        <v>242</v>
      </c>
      <c r="H255" s="5">
        <f t="shared" si="24"/>
        <v>20.166666666666668</v>
      </c>
      <c r="I255" s="4">
        <f t="shared" si="29"/>
        <v>0.97235386850846373</v>
      </c>
      <c r="J255" s="10">
        <f t="shared" si="25"/>
        <v>0.37383716001301415</v>
      </c>
      <c r="K255" s="24">
        <f t="shared" si="26"/>
        <v>20</v>
      </c>
      <c r="L255" s="19">
        <f t="shared" si="27"/>
        <v>1.3468550065500522</v>
      </c>
      <c r="M255" s="19">
        <f t="shared" si="28"/>
        <v>1.332552804434716E-4</v>
      </c>
    </row>
    <row r="256" spans="7:13">
      <c r="G256" s="3">
        <v>243</v>
      </c>
      <c r="H256" s="5">
        <f t="shared" si="24"/>
        <v>20.25</v>
      </c>
      <c r="I256" s="4">
        <f t="shared" si="29"/>
        <v>0.97208686977246572</v>
      </c>
      <c r="J256" s="10">
        <f t="shared" si="25"/>
        <v>0.37232028110064735</v>
      </c>
      <c r="K256" s="24">
        <f t="shared" si="26"/>
        <v>20</v>
      </c>
      <c r="L256" s="19">
        <f t="shared" si="27"/>
        <v>1.3468550065500522</v>
      </c>
      <c r="M256" s="19">
        <f t="shared" si="28"/>
        <v>1.3388956920076664E-4</v>
      </c>
    </row>
    <row r="257" spans="7:13">
      <c r="G257" s="3">
        <v>244</v>
      </c>
      <c r="H257" s="5">
        <f t="shared" si="24"/>
        <v>20.333333333333332</v>
      </c>
      <c r="I257" s="4">
        <f t="shared" si="29"/>
        <v>0.97181750625165675</v>
      </c>
      <c r="J257" s="10">
        <f t="shared" si="25"/>
        <v>0.37080955706500479</v>
      </c>
      <c r="K257" s="24">
        <f t="shared" si="26"/>
        <v>20</v>
      </c>
      <c r="L257" s="19">
        <f t="shared" si="27"/>
        <v>1.3468550065500522</v>
      </c>
      <c r="M257" s="19">
        <f t="shared" si="28"/>
        <v>1.3452733656324907E-4</v>
      </c>
    </row>
    <row r="258" spans="7:13">
      <c r="G258" s="3">
        <v>245</v>
      </c>
      <c r="H258" s="5">
        <f t="shared" si="24"/>
        <v>20.416666666666668</v>
      </c>
      <c r="I258" s="4">
        <f t="shared" si="29"/>
        <v>0.97154575609344773</v>
      </c>
      <c r="J258" s="10">
        <f t="shared" si="25"/>
        <v>0.36930496293210374</v>
      </c>
      <c r="K258" s="24">
        <f t="shared" si="26"/>
        <v>20</v>
      </c>
      <c r="L258" s="19">
        <f t="shared" si="27"/>
        <v>1.3468550065500522</v>
      </c>
      <c r="M258" s="19">
        <f t="shared" si="28"/>
        <v>1.351685934427721E-4</v>
      </c>
    </row>
    <row r="259" spans="7:13">
      <c r="G259" s="3">
        <v>246</v>
      </c>
      <c r="H259" s="5">
        <f t="shared" si="24"/>
        <v>20.5</v>
      </c>
      <c r="I259" s="4">
        <f t="shared" si="29"/>
        <v>0.97127159725591328</v>
      </c>
      <c r="J259" s="10">
        <f t="shared" si="25"/>
        <v>0.36780647382929599</v>
      </c>
      <c r="K259" s="24">
        <f t="shared" si="26"/>
        <v>20</v>
      </c>
      <c r="L259" s="19">
        <f t="shared" si="27"/>
        <v>1.3468550065500522</v>
      </c>
      <c r="M259" s="19">
        <f t="shared" si="28"/>
        <v>1.3581335071089035E-4</v>
      </c>
    </row>
    <row r="260" spans="7:13">
      <c r="G260" s="3">
        <v>247</v>
      </c>
      <c r="H260" s="5">
        <f t="shared" si="24"/>
        <v>20.583333333333332</v>
      </c>
      <c r="I260" s="4">
        <f t="shared" si="29"/>
        <v>0.970995007506402</v>
      </c>
      <c r="J260" s="10">
        <f t="shared" si="25"/>
        <v>0.3663140649848563</v>
      </c>
      <c r="K260" s="24">
        <f t="shared" si="26"/>
        <v>20</v>
      </c>
      <c r="L260" s="19">
        <f t="shared" si="27"/>
        <v>1.3468550065500522</v>
      </c>
      <c r="M260" s="19">
        <f t="shared" si="28"/>
        <v>1.3646161919690617E-4</v>
      </c>
    </row>
    <row r="261" spans="7:13">
      <c r="G261" s="3">
        <v>248</v>
      </c>
      <c r="H261" s="5">
        <f t="shared" si="24"/>
        <v>20.666666666666668</v>
      </c>
      <c r="I261" s="4">
        <f t="shared" si="29"/>
        <v>0.97071596442014241</v>
      </c>
      <c r="J261" s="10">
        <f t="shared" si="25"/>
        <v>0.36482771172757295</v>
      </c>
      <c r="K261" s="24">
        <f t="shared" si="26"/>
        <v>20</v>
      </c>
      <c r="L261" s="19">
        <f t="shared" si="27"/>
        <v>1.3468550065500522</v>
      </c>
      <c r="M261" s="19">
        <f t="shared" si="28"/>
        <v>1.3711340968577612E-4</v>
      </c>
    </row>
    <row r="262" spans="7:13">
      <c r="G262" s="3">
        <v>249</v>
      </c>
      <c r="H262" s="5">
        <f t="shared" si="24"/>
        <v>20.75</v>
      </c>
      <c r="I262" s="4">
        <f t="shared" si="29"/>
        <v>0.97043444537884338</v>
      </c>
      <c r="J262" s="10">
        <f t="shared" si="25"/>
        <v>0.36334738948634016</v>
      </c>
      <c r="K262" s="24">
        <f t="shared" si="26"/>
        <v>20</v>
      </c>
      <c r="L262" s="19">
        <f t="shared" si="27"/>
        <v>1.3468550065500522</v>
      </c>
      <c r="M262" s="19">
        <f t="shared" si="28"/>
        <v>1.3776873291653475E-4</v>
      </c>
    </row>
    <row r="263" spans="7:13">
      <c r="G263" s="3">
        <v>250</v>
      </c>
      <c r="H263" s="5">
        <f t="shared" si="24"/>
        <v>20.833333333333332</v>
      </c>
      <c r="I263" s="4">
        <f t="shared" si="29"/>
        <v>0.97015042756929015</v>
      </c>
      <c r="J263" s="10">
        <f t="shared" si="25"/>
        <v>0.36187307378975142</v>
      </c>
      <c r="K263" s="24">
        <f t="shared" si="26"/>
        <v>20</v>
      </c>
      <c r="L263" s="19">
        <f t="shared" si="27"/>
        <v>1.3468550065500522</v>
      </c>
      <c r="M263" s="19">
        <f t="shared" si="28"/>
        <v>1.3842759958024656E-4</v>
      </c>
    </row>
    <row r="264" spans="7:13">
      <c r="G264" s="3">
        <v>251</v>
      </c>
      <c r="H264" s="5">
        <f t="shared" si="24"/>
        <v>20.916666666666668</v>
      </c>
      <c r="I264" s="4">
        <f t="shared" si="29"/>
        <v>0.96986388798193535</v>
      </c>
      <c r="J264" s="10">
        <f t="shared" si="25"/>
        <v>0.36040474026569541</v>
      </c>
      <c r="K264" s="24">
        <f t="shared" si="26"/>
        <v>20</v>
      </c>
      <c r="L264" s="19">
        <f t="shared" si="27"/>
        <v>1.3468550065500522</v>
      </c>
      <c r="M264" s="19">
        <f t="shared" si="28"/>
        <v>1.3909002031825568E-4</v>
      </c>
    </row>
    <row r="265" spans="7:13">
      <c r="G265" s="3">
        <v>252</v>
      </c>
      <c r="H265" s="5">
        <f t="shared" si="24"/>
        <v>21</v>
      </c>
      <c r="I265" s="4">
        <f t="shared" si="29"/>
        <v>0.96957480340948665</v>
      </c>
      <c r="J265" s="10">
        <f t="shared" si="25"/>
        <v>0.35894236464095297</v>
      </c>
      <c r="K265" s="24">
        <f t="shared" si="26"/>
        <v>21</v>
      </c>
      <c r="L265" s="19">
        <f t="shared" si="27"/>
        <v>1.3670578316483029</v>
      </c>
      <c r="M265" s="19">
        <f t="shared" si="28"/>
        <v>1.3975600571965101E-4</v>
      </c>
    </row>
    <row r="266" spans="7:13">
      <c r="G266" s="3">
        <v>253</v>
      </c>
      <c r="H266" s="5">
        <f t="shared" si="24"/>
        <v>21.083333333333332</v>
      </c>
      <c r="I266" s="4">
        <f t="shared" si="29"/>
        <v>0.96928315044548785</v>
      </c>
      <c r="J266" s="10">
        <f t="shared" si="25"/>
        <v>0.35748592274079494</v>
      </c>
      <c r="K266" s="24">
        <f t="shared" si="26"/>
        <v>21</v>
      </c>
      <c r="L266" s="19">
        <f t="shared" si="27"/>
        <v>1.3670578316483029</v>
      </c>
      <c r="M266" s="19">
        <f t="shared" si="28"/>
        <v>1.4253194981518079E-4</v>
      </c>
    </row>
    <row r="267" spans="7:13">
      <c r="G267" s="3">
        <v>254</v>
      </c>
      <c r="H267" s="5">
        <f t="shared" si="24"/>
        <v>21.166666666666668</v>
      </c>
      <c r="I267" s="4">
        <f t="shared" si="29"/>
        <v>0.96898890548289851</v>
      </c>
      <c r="J267" s="10">
        <f t="shared" si="25"/>
        <v>0.3560353904885849</v>
      </c>
      <c r="K267" s="24">
        <f t="shared" si="26"/>
        <v>21</v>
      </c>
      <c r="L267" s="19">
        <f t="shared" si="27"/>
        <v>1.3670578316483029</v>
      </c>
      <c r="M267" s="19">
        <f t="shared" si="28"/>
        <v>1.432151932887771E-4</v>
      </c>
    </row>
    <row r="268" spans="7:13">
      <c r="G268" s="3">
        <v>255</v>
      </c>
      <c r="H268" s="5">
        <f t="shared" si="24"/>
        <v>21.25</v>
      </c>
      <c r="I268" s="4">
        <f t="shared" si="29"/>
        <v>0.96869204471266701</v>
      </c>
      <c r="J268" s="10">
        <f t="shared" si="25"/>
        <v>0.35459074390537848</v>
      </c>
      <c r="K268" s="24">
        <f t="shared" si="26"/>
        <v>21</v>
      </c>
      <c r="L268" s="19">
        <f t="shared" si="27"/>
        <v>1.3670578316483029</v>
      </c>
      <c r="M268" s="19">
        <f t="shared" si="28"/>
        <v>1.4390208680448776E-4</v>
      </c>
    </row>
    <row r="269" spans="7:13">
      <c r="G269" s="3">
        <v>256</v>
      </c>
      <c r="H269" s="5">
        <f t="shared" si="24"/>
        <v>21.333333333333332</v>
      </c>
      <c r="I269" s="4">
        <f t="shared" si="29"/>
        <v>0.96839254412230091</v>
      </c>
      <c r="J269" s="10">
        <f t="shared" si="25"/>
        <v>0.3531519591095284</v>
      </c>
      <c r="K269" s="24">
        <f t="shared" si="26"/>
        <v>21</v>
      </c>
      <c r="L269" s="19">
        <f t="shared" si="27"/>
        <v>1.3670578316483029</v>
      </c>
      <c r="M269" s="19">
        <f t="shared" si="28"/>
        <v>1.4459264087949886E-4</v>
      </c>
    </row>
    <row r="270" spans="7:13">
      <c r="G270" s="3">
        <v>257</v>
      </c>
      <c r="H270" s="5">
        <f t="shared" ref="H270:H333" si="30">G270/12</f>
        <v>21.416666666666668</v>
      </c>
      <c r="I270" s="4">
        <f t="shared" si="29"/>
        <v>0.96809037949443366</v>
      </c>
      <c r="J270" s="10">
        <f t="shared" ref="J270:J333" si="31">(1+B$6)^-H270</f>
        <v>0.35171901231628927</v>
      </c>
      <c r="K270" s="24">
        <f t="shared" ref="K270:K333" si="32">INT(H270+0.000001)</f>
        <v>21</v>
      </c>
      <c r="L270" s="19">
        <f t="shared" ref="L270:L333" si="33">1.015^K270</f>
        <v>1.3670578316483029</v>
      </c>
      <c r="M270" s="19">
        <f t="shared" si="28"/>
        <v>1.4528686596768014E-4</v>
      </c>
    </row>
    <row r="271" spans="7:13">
      <c r="G271" s="3">
        <v>258</v>
      </c>
      <c r="H271" s="5">
        <f t="shared" si="30"/>
        <v>21.5</v>
      </c>
      <c r="I271" s="4">
        <f t="shared" si="29"/>
        <v>0.96778552640538651</v>
      </c>
      <c r="J271" s="10">
        <f t="shared" si="31"/>
        <v>0.35029187983742477</v>
      </c>
      <c r="K271" s="24">
        <f t="shared" si="32"/>
        <v>21</v>
      </c>
      <c r="L271" s="19">
        <f t="shared" si="33"/>
        <v>1.3670578316483029</v>
      </c>
      <c r="M271" s="19">
        <f t="shared" ref="M271:M334" si="34">(I270-I271)*J271*L270</f>
        <v>1.4598477245790278E-4</v>
      </c>
    </row>
    <row r="272" spans="7:13">
      <c r="G272" s="3">
        <v>259</v>
      </c>
      <c r="H272" s="5">
        <f t="shared" si="30"/>
        <v>21.583333333333332</v>
      </c>
      <c r="I272" s="4">
        <f t="shared" si="29"/>
        <v>0.96747796022372812</v>
      </c>
      <c r="J272" s="10">
        <f t="shared" si="31"/>
        <v>0.34887053808081553</v>
      </c>
      <c r="K272" s="24">
        <f t="shared" si="32"/>
        <v>21</v>
      </c>
      <c r="L272" s="19">
        <f t="shared" si="33"/>
        <v>1.3670578316483029</v>
      </c>
      <c r="M272" s="19">
        <f t="shared" si="34"/>
        <v>1.4668637067121498E-4</v>
      </c>
    </row>
    <row r="273" spans="7:13">
      <c r="G273" s="3">
        <v>260</v>
      </c>
      <c r="H273" s="5">
        <f t="shared" si="30"/>
        <v>21.666666666666668</v>
      </c>
      <c r="I273" s="4">
        <f t="shared" si="29"/>
        <v>0.96716765610882982</v>
      </c>
      <c r="J273" s="10">
        <f t="shared" si="31"/>
        <v>0.3474549635500695</v>
      </c>
      <c r="K273" s="24">
        <f t="shared" si="32"/>
        <v>21</v>
      </c>
      <c r="L273" s="19">
        <f t="shared" si="33"/>
        <v>1.3670578316483029</v>
      </c>
      <c r="M273" s="19">
        <f t="shared" si="34"/>
        <v>1.4739167085901767E-4</v>
      </c>
    </row>
    <row r="274" spans="7:13">
      <c r="G274" s="3">
        <v>261</v>
      </c>
      <c r="H274" s="5">
        <f t="shared" si="30"/>
        <v>21.75</v>
      </c>
      <c r="I274" s="4">
        <f t="shared" si="29"/>
        <v>0.96685458900941801</v>
      </c>
      <c r="J274" s="10">
        <f t="shared" si="31"/>
        <v>0.34604513284413352</v>
      </c>
      <c r="K274" s="24">
        <f t="shared" si="32"/>
        <v>21</v>
      </c>
      <c r="L274" s="19">
        <f t="shared" si="33"/>
        <v>1.3670578316483029</v>
      </c>
      <c r="M274" s="19">
        <f t="shared" si="34"/>
        <v>1.4810068320058443E-4</v>
      </c>
    </row>
    <row r="275" spans="7:13">
      <c r="G275" s="3">
        <v>262</v>
      </c>
      <c r="H275" s="5">
        <f t="shared" si="30"/>
        <v>21.833333333333332</v>
      </c>
      <c r="I275" s="4">
        <f t="shared" si="29"/>
        <v>0.96653873366212417</v>
      </c>
      <c r="J275" s="10">
        <f t="shared" si="31"/>
        <v>0.34464102265690616</v>
      </c>
      <c r="K275" s="24">
        <f t="shared" si="32"/>
        <v>21</v>
      </c>
      <c r="L275" s="19">
        <f t="shared" si="33"/>
        <v>1.3670578316483029</v>
      </c>
      <c r="M275" s="19">
        <f t="shared" si="34"/>
        <v>1.4881341780036353E-4</v>
      </c>
    </row>
    <row r="276" spans="7:13">
      <c r="G276" s="3">
        <v>263</v>
      </c>
      <c r="H276" s="5">
        <f t="shared" si="30"/>
        <v>21.916666666666668</v>
      </c>
      <c r="I276" s="4">
        <f t="shared" si="29"/>
        <v>0.96622006459003029</v>
      </c>
      <c r="J276" s="10">
        <f t="shared" si="31"/>
        <v>0.34324260977685267</v>
      </c>
      <c r="K276" s="24">
        <f t="shared" si="32"/>
        <v>21</v>
      </c>
      <c r="L276" s="19">
        <f t="shared" si="33"/>
        <v>1.3670578316483029</v>
      </c>
      <c r="M276" s="19">
        <f t="shared" si="34"/>
        <v>1.4952988468642354E-4</v>
      </c>
    </row>
    <row r="277" spans="7:13">
      <c r="G277" s="3">
        <v>264</v>
      </c>
      <c r="H277" s="5">
        <f t="shared" si="30"/>
        <v>22</v>
      </c>
      <c r="I277" s="4">
        <f t="shared" si="29"/>
        <v>0.96589855610121356</v>
      </c>
      <c r="J277" s="10">
        <f t="shared" si="31"/>
        <v>0.3418498710866219</v>
      </c>
      <c r="K277" s="24">
        <f t="shared" si="32"/>
        <v>22</v>
      </c>
      <c r="L277" s="19">
        <f t="shared" si="33"/>
        <v>1.3875636991230271</v>
      </c>
      <c r="M277" s="19">
        <f t="shared" si="34"/>
        <v>1.5025009380705381E-4</v>
      </c>
    </row>
    <row r="278" spans="7:13">
      <c r="G278" s="3">
        <v>265</v>
      </c>
      <c r="H278" s="5">
        <f t="shared" si="30"/>
        <v>22.083333333333332</v>
      </c>
      <c r="I278" s="4">
        <f t="shared" si="29"/>
        <v>0.96557418228728698</v>
      </c>
      <c r="J278" s="10">
        <f t="shared" si="31"/>
        <v>0.34046278356266191</v>
      </c>
      <c r="K278" s="24">
        <f t="shared" si="32"/>
        <v>22</v>
      </c>
      <c r="L278" s="19">
        <f t="shared" si="33"/>
        <v>1.3875636991230271</v>
      </c>
      <c r="M278" s="19">
        <f t="shared" si="34"/>
        <v>1.5323866585446858E-4</v>
      </c>
    </row>
    <row r="279" spans="7:13">
      <c r="G279" s="3">
        <v>266</v>
      </c>
      <c r="H279" s="5">
        <f t="shared" si="30"/>
        <v>22.166666666666668</v>
      </c>
      <c r="I279" s="4">
        <f t="shared" si="29"/>
        <v>0.96524691702193866</v>
      </c>
      <c r="J279" s="10">
        <f t="shared" si="31"/>
        <v>0.33908132427484272</v>
      </c>
      <c r="K279" s="24">
        <f t="shared" si="32"/>
        <v>22</v>
      </c>
      <c r="L279" s="19">
        <f t="shared" si="33"/>
        <v>1.3875636991230271</v>
      </c>
      <c r="M279" s="19">
        <f t="shared" si="34"/>
        <v>1.5397730480666214E-4</v>
      </c>
    </row>
    <row r="280" spans="7:13">
      <c r="G280" s="3">
        <v>267</v>
      </c>
      <c r="H280" s="5">
        <f t="shared" si="30"/>
        <v>22.25</v>
      </c>
      <c r="I280" s="4">
        <f t="shared" si="29"/>
        <v>0.9649167339594682</v>
      </c>
      <c r="J280" s="10">
        <f t="shared" si="31"/>
        <v>0.33770547038607468</v>
      </c>
      <c r="K280" s="24">
        <f t="shared" si="32"/>
        <v>22</v>
      </c>
      <c r="L280" s="19">
        <f t="shared" si="33"/>
        <v>1.3875636991230271</v>
      </c>
      <c r="M280" s="19">
        <f t="shared" si="34"/>
        <v>1.5471977191174356E-4</v>
      </c>
    </row>
    <row r="281" spans="7:13">
      <c r="G281" s="3">
        <v>268</v>
      </c>
      <c r="H281" s="5">
        <f t="shared" si="30"/>
        <v>22.333333333333332</v>
      </c>
      <c r="I281" s="4">
        <f t="shared" si="29"/>
        <v>0.96458360653332154</v>
      </c>
      <c r="J281" s="10">
        <f t="shared" si="31"/>
        <v>0.33633519915193177</v>
      </c>
      <c r="K281" s="24">
        <f t="shared" si="32"/>
        <v>22</v>
      </c>
      <c r="L281" s="19">
        <f t="shared" si="33"/>
        <v>1.3875636991230271</v>
      </c>
      <c r="M281" s="19">
        <f t="shared" si="34"/>
        <v>1.5546607691987901E-4</v>
      </c>
    </row>
    <row r="282" spans="7:13">
      <c r="G282" s="3">
        <v>269</v>
      </c>
      <c r="H282" s="5">
        <f t="shared" si="30"/>
        <v>22.416666666666668</v>
      </c>
      <c r="I282" s="4">
        <f t="shared" si="29"/>
        <v>0.96424750795462388</v>
      </c>
      <c r="J282" s="10">
        <f t="shared" si="31"/>
        <v>0.33497048792027545</v>
      </c>
      <c r="K282" s="24">
        <f t="shared" si="32"/>
        <v>22</v>
      </c>
      <c r="L282" s="19">
        <f t="shared" si="33"/>
        <v>1.3875636991230271</v>
      </c>
      <c r="M282" s="19">
        <f t="shared" si="34"/>
        <v>1.5621622948778287E-4</v>
      </c>
    </row>
    <row r="283" spans="7:13">
      <c r="G283" s="3">
        <v>270</v>
      </c>
      <c r="H283" s="5">
        <f t="shared" si="30"/>
        <v>22.5</v>
      </c>
      <c r="I283" s="4">
        <f t="shared" si="29"/>
        <v>0.96390841121071136</v>
      </c>
      <c r="J283" s="10">
        <f t="shared" si="31"/>
        <v>0.33361131413088069</v>
      </c>
      <c r="K283" s="24">
        <f t="shared" si="32"/>
        <v>22</v>
      </c>
      <c r="L283" s="19">
        <f t="shared" si="33"/>
        <v>1.3875636991230271</v>
      </c>
      <c r="M283" s="19">
        <f t="shared" si="34"/>
        <v>1.5697023917589833E-4</v>
      </c>
    </row>
    <row r="284" spans="7:13">
      <c r="G284" s="3">
        <v>271</v>
      </c>
      <c r="H284" s="5">
        <f t="shared" si="30"/>
        <v>22.583333333333332</v>
      </c>
      <c r="I284" s="4">
        <f t="shared" si="29"/>
        <v>0.96356628906366082</v>
      </c>
      <c r="J284" s="10">
        <f t="shared" si="31"/>
        <v>0.33225765531506235</v>
      </c>
      <c r="K284" s="24">
        <f t="shared" si="32"/>
        <v>22</v>
      </c>
      <c r="L284" s="19">
        <f t="shared" si="33"/>
        <v>1.3875636991230271</v>
      </c>
      <c r="M284" s="19">
        <f t="shared" si="34"/>
        <v>1.5772811544583981E-4</v>
      </c>
    </row>
    <row r="285" spans="7:13">
      <c r="G285" s="3">
        <v>272</v>
      </c>
      <c r="H285" s="5">
        <f t="shared" si="30"/>
        <v>22.666666666666668</v>
      </c>
      <c r="I285" s="4">
        <f t="shared" si="29"/>
        <v>0.96322111404881883</v>
      </c>
      <c r="J285" s="10">
        <f t="shared" si="31"/>
        <v>0.33090948909530421</v>
      </c>
      <c r="K285" s="24">
        <f t="shared" si="32"/>
        <v>22</v>
      </c>
      <c r="L285" s="19">
        <f t="shared" si="33"/>
        <v>1.3875636991230271</v>
      </c>
      <c r="M285" s="19">
        <f t="shared" si="34"/>
        <v>1.5848986765747993E-4</v>
      </c>
    </row>
    <row r="286" spans="7:13">
      <c r="G286" s="3">
        <v>273</v>
      </c>
      <c r="H286" s="5">
        <f t="shared" si="30"/>
        <v>22.75</v>
      </c>
      <c r="I286" s="4">
        <f t="shared" si="29"/>
        <v>0.9628728584733296</v>
      </c>
      <c r="J286" s="10">
        <f t="shared" si="31"/>
        <v>0.32956679318488902</v>
      </c>
      <c r="K286" s="24">
        <f t="shared" si="32"/>
        <v>22</v>
      </c>
      <c r="L286" s="19">
        <f t="shared" si="33"/>
        <v>1.3875636991230271</v>
      </c>
      <c r="M286" s="19">
        <f t="shared" si="34"/>
        <v>1.5925550506614837E-4</v>
      </c>
    </row>
    <row r="287" spans="7:13">
      <c r="G287" s="3">
        <v>274</v>
      </c>
      <c r="H287" s="5">
        <f t="shared" si="30"/>
        <v>22.833333333333332</v>
      </c>
      <c r="I287" s="4">
        <f t="shared" si="29"/>
        <v>0.96252149441466284</v>
      </c>
      <c r="J287" s="10">
        <f t="shared" si="31"/>
        <v>0.32822954538752958</v>
      </c>
      <c r="K287" s="24">
        <f t="shared" si="32"/>
        <v>22</v>
      </c>
      <c r="L287" s="19">
        <f t="shared" si="33"/>
        <v>1.3875636991230271</v>
      </c>
      <c r="M287" s="19">
        <f t="shared" si="34"/>
        <v>1.6002503681948548E-4</v>
      </c>
    </row>
    <row r="288" spans="7:13">
      <c r="G288" s="3">
        <v>275</v>
      </c>
      <c r="H288" s="5">
        <f t="shared" si="30"/>
        <v>22.916666666666668</v>
      </c>
      <c r="I288" s="4">
        <f t="shared" si="29"/>
        <v>0.96216699371914016</v>
      </c>
      <c r="J288" s="10">
        <f t="shared" si="31"/>
        <v>0.32689772359700259</v>
      </c>
      <c r="K288" s="24">
        <f t="shared" si="32"/>
        <v>22</v>
      </c>
      <c r="L288" s="19">
        <f t="shared" si="33"/>
        <v>1.3875636991230271</v>
      </c>
      <c r="M288" s="19">
        <f t="shared" si="34"/>
        <v>1.6079847195496898E-4</v>
      </c>
    </row>
    <row r="289" spans="7:13">
      <c r="G289" s="3">
        <v>276</v>
      </c>
      <c r="H289" s="5">
        <f t="shared" si="30"/>
        <v>23</v>
      </c>
      <c r="I289" s="4">
        <f t="shared" si="29"/>
        <v>0.96180932800046193</v>
      </c>
      <c r="J289" s="10">
        <f t="shared" si="31"/>
        <v>0.32557130579678267</v>
      </c>
      <c r="K289" s="24">
        <f t="shared" si="32"/>
        <v>23</v>
      </c>
      <c r="L289" s="19">
        <f t="shared" si="33"/>
        <v>1.4083771546098725</v>
      </c>
      <c r="M289" s="19">
        <f t="shared" si="34"/>
        <v>1.6157581939664072E-4</v>
      </c>
    </row>
    <row r="290" spans="7:13">
      <c r="G290" s="3">
        <v>277</v>
      </c>
      <c r="H290" s="5">
        <f t="shared" si="30"/>
        <v>23.083333333333332</v>
      </c>
      <c r="I290" s="4">
        <f t="shared" si="29"/>
        <v>0.96144846863823419</v>
      </c>
      <c r="J290" s="10">
        <f t="shared" si="31"/>
        <v>0.32425027005967794</v>
      </c>
      <c r="K290" s="24">
        <f t="shared" si="32"/>
        <v>23</v>
      </c>
      <c r="L290" s="19">
        <f t="shared" si="33"/>
        <v>1.4083771546098725</v>
      </c>
      <c r="M290" s="19">
        <f t="shared" si="34"/>
        <v>1.6479244427133728E-4</v>
      </c>
    </row>
    <row r="291" spans="7:13">
      <c r="G291" s="3">
        <v>278</v>
      </c>
      <c r="H291" s="5">
        <f t="shared" si="30"/>
        <v>23.166666666666668</v>
      </c>
      <c r="I291" s="4">
        <f t="shared" si="29"/>
        <v>0.96108438677649577</v>
      </c>
      <c r="J291" s="10">
        <f t="shared" si="31"/>
        <v>0.32293459454746931</v>
      </c>
      <c r="K291" s="24">
        <f t="shared" si="32"/>
        <v>23</v>
      </c>
      <c r="L291" s="19">
        <f t="shared" si="33"/>
        <v>1.4083771546098725</v>
      </c>
      <c r="M291" s="19">
        <f t="shared" si="34"/>
        <v>1.655894206039445E-4</v>
      </c>
    </row>
    <row r="292" spans="7:13">
      <c r="G292" s="3">
        <v>279</v>
      </c>
      <c r="H292" s="5">
        <f t="shared" si="30"/>
        <v>23.25</v>
      </c>
      <c r="I292" s="4">
        <f t="shared" si="29"/>
        <v>0.96071705332224611</v>
      </c>
      <c r="J292" s="10">
        <f t="shared" si="31"/>
        <v>0.32162425751054735</v>
      </c>
      <c r="K292" s="24">
        <f t="shared" si="32"/>
        <v>23</v>
      </c>
      <c r="L292" s="19">
        <f t="shared" si="33"/>
        <v>1.4083771546098725</v>
      </c>
      <c r="M292" s="19">
        <f t="shared" si="34"/>
        <v>1.6639039437930304E-4</v>
      </c>
    </row>
    <row r="293" spans="7:13">
      <c r="G293" s="3">
        <v>280</v>
      </c>
      <c r="H293" s="5">
        <f t="shared" si="30"/>
        <v>23.333333333333332</v>
      </c>
      <c r="I293" s="4">
        <f t="shared" si="29"/>
        <v>0.9603464389439732</v>
      </c>
      <c r="J293" s="10">
        <f t="shared" si="31"/>
        <v>0.32031923728755407</v>
      </c>
      <c r="K293" s="24">
        <f t="shared" si="32"/>
        <v>23</v>
      </c>
      <c r="L293" s="19">
        <f t="shared" si="33"/>
        <v>1.4083771546098725</v>
      </c>
      <c r="M293" s="19">
        <f t="shared" si="34"/>
        <v>1.6719537416390217E-4</v>
      </c>
    </row>
    <row r="294" spans="7:13">
      <c r="G294" s="3">
        <v>281</v>
      </c>
      <c r="H294" s="5">
        <f t="shared" si="30"/>
        <v>23.416666666666668</v>
      </c>
      <c r="I294" s="4">
        <f t="shared" si="29"/>
        <v>0.95997251407018414</v>
      </c>
      <c r="J294" s="10">
        <f t="shared" si="31"/>
        <v>0.31901951230502423</v>
      </c>
      <c r="K294" s="24">
        <f t="shared" si="32"/>
        <v>23</v>
      </c>
      <c r="L294" s="19">
        <f t="shared" si="33"/>
        <v>1.4083771546098725</v>
      </c>
      <c r="M294" s="19">
        <f t="shared" si="34"/>
        <v>1.6800436839291537E-4</v>
      </c>
    </row>
    <row r="295" spans="7:13">
      <c r="G295" s="3">
        <v>282</v>
      </c>
      <c r="H295" s="5">
        <f t="shared" si="30"/>
        <v>23.5</v>
      </c>
      <c r="I295" s="4">
        <f t="shared" si="29"/>
        <v>0.95959524888793546</v>
      </c>
      <c r="J295" s="10">
        <f t="shared" si="31"/>
        <v>0.31772506107702925</v>
      </c>
      <c r="K295" s="24">
        <f t="shared" si="32"/>
        <v>23</v>
      </c>
      <c r="L295" s="19">
        <f t="shared" si="33"/>
        <v>1.4083771546098725</v>
      </c>
      <c r="M295" s="19">
        <f t="shared" si="34"/>
        <v>1.6881738536757206E-4</v>
      </c>
    </row>
    <row r="296" spans="7:13">
      <c r="G296" s="3">
        <v>283</v>
      </c>
      <c r="H296" s="5">
        <f t="shared" si="30"/>
        <v>23.583333333333332</v>
      </c>
      <c r="I296" s="4">
        <f t="shared" ref="I296:I359" si="35">I295*(B$9^(1/12))*B$8^((B$5^(B$7+H295))*((B$5^(1/12)-1)))</f>
        <v>0.9592146133413666</v>
      </c>
      <c r="J296" s="10">
        <f t="shared" si="31"/>
        <v>0.31643586220482134</v>
      </c>
      <c r="K296" s="24">
        <f t="shared" si="32"/>
        <v>23</v>
      </c>
      <c r="L296" s="19">
        <f t="shared" si="33"/>
        <v>1.4083771546098725</v>
      </c>
      <c r="M296" s="19">
        <f t="shared" si="34"/>
        <v>1.696344332512062E-4</v>
      </c>
    </row>
    <row r="297" spans="7:13">
      <c r="G297" s="3">
        <v>284</v>
      </c>
      <c r="H297" s="5">
        <f t="shared" si="30"/>
        <v>23.666666666666668</v>
      </c>
      <c r="I297" s="4">
        <f t="shared" si="35"/>
        <v>0.95883057713023401</v>
      </c>
      <c r="J297" s="10">
        <f t="shared" si="31"/>
        <v>0.31515189437648022</v>
      </c>
      <c r="K297" s="24">
        <f t="shared" si="32"/>
        <v>23</v>
      </c>
      <c r="L297" s="19">
        <f t="shared" si="33"/>
        <v>1.4083771546098725</v>
      </c>
      <c r="M297" s="19">
        <f t="shared" si="34"/>
        <v>1.7045552006638654E-4</v>
      </c>
    </row>
    <row r="298" spans="7:13">
      <c r="G298" s="3">
        <v>285</v>
      </c>
      <c r="H298" s="5">
        <f t="shared" si="30"/>
        <v>23.75</v>
      </c>
      <c r="I298" s="4">
        <f t="shared" si="35"/>
        <v>0.95844310970844848</v>
      </c>
      <c r="J298" s="10">
        <f t="shared" si="31"/>
        <v>0.31387313636656095</v>
      </c>
      <c r="K298" s="24">
        <f t="shared" si="32"/>
        <v>23</v>
      </c>
      <c r="L298" s="19">
        <f t="shared" si="33"/>
        <v>1.4083771546098725</v>
      </c>
      <c r="M298" s="19">
        <f t="shared" si="34"/>
        <v>1.7128065369108675E-4</v>
      </c>
    </row>
    <row r="299" spans="7:13">
      <c r="G299" s="3">
        <v>286</v>
      </c>
      <c r="H299" s="5">
        <f t="shared" si="30"/>
        <v>23.833333333333332</v>
      </c>
      <c r="I299" s="4">
        <f t="shared" si="35"/>
        <v>0.95805218028261518</v>
      </c>
      <c r="J299" s="10">
        <f t="shared" si="31"/>
        <v>0.31259956703574249</v>
      </c>
      <c r="K299" s="24">
        <f t="shared" si="32"/>
        <v>23</v>
      </c>
      <c r="L299" s="19">
        <f t="shared" si="33"/>
        <v>1.4083771546098725</v>
      </c>
      <c r="M299" s="19">
        <f t="shared" si="34"/>
        <v>1.7210984185509623E-4</v>
      </c>
    </row>
    <row r="300" spans="7:13">
      <c r="G300" s="3">
        <v>287</v>
      </c>
      <c r="H300" s="5">
        <f t="shared" si="30"/>
        <v>23.916666666666668</v>
      </c>
      <c r="I300" s="4">
        <f t="shared" si="35"/>
        <v>0.95765775781057594</v>
      </c>
      <c r="J300" s="10">
        <f t="shared" si="31"/>
        <v>0.31133116533047861</v>
      </c>
      <c r="K300" s="24">
        <f t="shared" si="32"/>
        <v>23</v>
      </c>
      <c r="L300" s="19">
        <f t="shared" si="33"/>
        <v>1.4083771546098725</v>
      </c>
      <c r="M300" s="19">
        <f t="shared" si="34"/>
        <v>1.7294309213676493E-4</v>
      </c>
    </row>
    <row r="301" spans="7:13">
      <c r="G301" s="3">
        <v>288</v>
      </c>
      <c r="H301" s="5">
        <f t="shared" si="30"/>
        <v>24</v>
      </c>
      <c r="I301" s="4">
        <f t="shared" si="35"/>
        <v>0.95725981099995527</v>
      </c>
      <c r="J301" s="10">
        <f t="shared" si="31"/>
        <v>0.31006791028265024</v>
      </c>
      <c r="K301" s="24">
        <f t="shared" si="32"/>
        <v>24</v>
      </c>
      <c r="L301" s="19">
        <f t="shared" si="33"/>
        <v>1.4295028119290203</v>
      </c>
      <c r="M301" s="19">
        <f t="shared" si="34"/>
        <v>1.7378041195915194E-4</v>
      </c>
    </row>
    <row r="302" spans="7:13">
      <c r="G302" s="3">
        <v>289</v>
      </c>
      <c r="H302" s="5">
        <f t="shared" si="30"/>
        <v>24.083333333333332</v>
      </c>
      <c r="I302" s="4">
        <f t="shared" si="35"/>
        <v>0.95685830830670993</v>
      </c>
      <c r="J302" s="10">
        <f t="shared" si="31"/>
        <v>0.30880978100921708</v>
      </c>
      <c r="K302" s="24">
        <f t="shared" si="32"/>
        <v>24</v>
      </c>
      <c r="L302" s="19">
        <f t="shared" si="33"/>
        <v>1.4295028119290203</v>
      </c>
      <c r="M302" s="19">
        <f t="shared" si="34"/>
        <v>1.7724113571521231E-4</v>
      </c>
    </row>
    <row r="303" spans="7:13">
      <c r="G303" s="3">
        <v>290</v>
      </c>
      <c r="H303" s="5">
        <f t="shared" si="30"/>
        <v>24.166666666666668</v>
      </c>
      <c r="I303" s="4">
        <f t="shared" si="35"/>
        <v>0.95645321793368254</v>
      </c>
      <c r="J303" s="10">
        <f t="shared" si="31"/>
        <v>0.30755675671187549</v>
      </c>
      <c r="K303" s="24">
        <f t="shared" si="32"/>
        <v>24</v>
      </c>
      <c r="L303" s="19">
        <f t="shared" si="33"/>
        <v>1.4295028119290203</v>
      </c>
      <c r="M303" s="19">
        <f t="shared" si="34"/>
        <v>1.7809929845676546E-4</v>
      </c>
    </row>
    <row r="304" spans="7:13">
      <c r="G304" s="3">
        <v>291</v>
      </c>
      <c r="H304" s="5">
        <f t="shared" si="30"/>
        <v>24.25</v>
      </c>
      <c r="I304" s="4">
        <f t="shared" si="35"/>
        <v>0.95604450782915906</v>
      </c>
      <c r="J304" s="10">
        <f t="shared" si="31"/>
        <v>0.30630881667671173</v>
      </c>
      <c r="K304" s="24">
        <f t="shared" si="32"/>
        <v>24</v>
      </c>
      <c r="L304" s="19">
        <f t="shared" si="33"/>
        <v>1.4295028119290203</v>
      </c>
      <c r="M304" s="19">
        <f t="shared" si="34"/>
        <v>1.7896161340237083E-4</v>
      </c>
    </row>
    <row r="305" spans="7:13">
      <c r="G305" s="3">
        <v>292</v>
      </c>
      <c r="H305" s="5">
        <f t="shared" si="30"/>
        <v>24.333333333333332</v>
      </c>
      <c r="I305" s="4">
        <f t="shared" si="35"/>
        <v>0.95563214568543153</v>
      </c>
      <c r="J305" s="10">
        <f t="shared" si="31"/>
        <v>0.30506594027386097</v>
      </c>
      <c r="K305" s="24">
        <f t="shared" si="32"/>
        <v>24</v>
      </c>
      <c r="L305" s="19">
        <f t="shared" si="33"/>
        <v>1.4295028119290203</v>
      </c>
      <c r="M305" s="19">
        <f t="shared" si="34"/>
        <v>1.7982808741819891E-4</v>
      </c>
    </row>
    <row r="306" spans="7:13">
      <c r="G306" s="3">
        <v>293</v>
      </c>
      <c r="H306" s="5">
        <f t="shared" si="30"/>
        <v>24.416666666666668</v>
      </c>
      <c r="I306" s="4">
        <f t="shared" si="35"/>
        <v>0.95521609893736559</v>
      </c>
      <c r="J306" s="10">
        <f t="shared" si="31"/>
        <v>0.30382810695716589</v>
      </c>
      <c r="K306" s="24">
        <f t="shared" si="32"/>
        <v>24</v>
      </c>
      <c r="L306" s="19">
        <f t="shared" si="33"/>
        <v>1.4295028119290203</v>
      </c>
      <c r="M306" s="19">
        <f t="shared" si="34"/>
        <v>1.8069872719362376E-4</v>
      </c>
    </row>
    <row r="307" spans="7:13">
      <c r="G307" s="3">
        <v>294</v>
      </c>
      <c r="H307" s="5">
        <f t="shared" si="30"/>
        <v>24.5</v>
      </c>
      <c r="I307" s="4">
        <f t="shared" si="35"/>
        <v>0.95479633476097336</v>
      </c>
      <c r="J307" s="10">
        <f t="shared" si="31"/>
        <v>0.3025952962638373</v>
      </c>
      <c r="K307" s="24">
        <f t="shared" si="32"/>
        <v>24</v>
      </c>
      <c r="L307" s="19">
        <f t="shared" si="33"/>
        <v>1.4295028119290203</v>
      </c>
      <c r="M307" s="19">
        <f t="shared" si="34"/>
        <v>1.8157353923719413E-4</v>
      </c>
    </row>
    <row r="308" spans="7:13">
      <c r="G308" s="3">
        <v>295</v>
      </c>
      <c r="H308" s="5">
        <f t="shared" si="30"/>
        <v>24.583333333333332</v>
      </c>
      <c r="I308" s="4">
        <f t="shared" si="35"/>
        <v>0.95437282007199231</v>
      </c>
      <c r="J308" s="10">
        <f t="shared" si="31"/>
        <v>0.30136748781411549</v>
      </c>
      <c r="K308" s="24">
        <f t="shared" si="32"/>
        <v>24</v>
      </c>
      <c r="L308" s="19">
        <f t="shared" si="33"/>
        <v>1.4295028119290203</v>
      </c>
      <c r="M308" s="19">
        <f t="shared" si="34"/>
        <v>1.8245252987252272E-4</v>
      </c>
    </row>
    <row r="309" spans="7:13">
      <c r="G309" s="3">
        <v>296</v>
      </c>
      <c r="H309" s="5">
        <f t="shared" si="30"/>
        <v>24.666666666666668</v>
      </c>
      <c r="I309" s="4">
        <f t="shared" si="35"/>
        <v>0.95394552152446999</v>
      </c>
      <c r="J309" s="10">
        <f t="shared" si="31"/>
        <v>0.30014466131093354</v>
      </c>
      <c r="K309" s="24">
        <f t="shared" si="32"/>
        <v>24</v>
      </c>
      <c r="L309" s="19">
        <f t="shared" si="33"/>
        <v>1.4295028119290203</v>
      </c>
      <c r="M309" s="19">
        <f t="shared" si="34"/>
        <v>1.8333570523424027E-4</v>
      </c>
    </row>
    <row r="310" spans="7:13">
      <c r="G310" s="3">
        <v>297</v>
      </c>
      <c r="H310" s="5">
        <f t="shared" si="30"/>
        <v>24.75</v>
      </c>
      <c r="I310" s="4">
        <f t="shared" si="35"/>
        <v>0.95351440550935584</v>
      </c>
      <c r="J310" s="10">
        <f t="shared" si="31"/>
        <v>0.29892679653958182</v>
      </c>
      <c r="K310" s="24">
        <f t="shared" si="32"/>
        <v>24</v>
      </c>
      <c r="L310" s="19">
        <f t="shared" si="33"/>
        <v>1.4295028119290203</v>
      </c>
      <c r="M310" s="19">
        <f t="shared" si="34"/>
        <v>1.842230712636346E-4</v>
      </c>
    </row>
    <row r="311" spans="7:13">
      <c r="G311" s="3">
        <v>298</v>
      </c>
      <c r="H311" s="5">
        <f t="shared" si="30"/>
        <v>24.833333333333332</v>
      </c>
      <c r="I311" s="4">
        <f t="shared" si="35"/>
        <v>0.95307943815309981</v>
      </c>
      <c r="J311" s="10">
        <f t="shared" si="31"/>
        <v>0.29771387336737376</v>
      </c>
      <c r="K311" s="24">
        <f t="shared" si="32"/>
        <v>24</v>
      </c>
      <c r="L311" s="19">
        <f t="shared" si="33"/>
        <v>1.4295028119290203</v>
      </c>
      <c r="M311" s="19">
        <f t="shared" si="34"/>
        <v>1.8511463370450497E-4</v>
      </c>
    </row>
    <row r="312" spans="7:13">
      <c r="G312" s="3">
        <v>299</v>
      </c>
      <c r="H312" s="5">
        <f t="shared" si="30"/>
        <v>24.916666666666668</v>
      </c>
      <c r="I312" s="4">
        <f t="shared" si="35"/>
        <v>0.95264058531625861</v>
      </c>
      <c r="J312" s="10">
        <f t="shared" si="31"/>
        <v>0.296505871743313</v>
      </c>
      <c r="K312" s="24">
        <f t="shared" si="32"/>
        <v>24</v>
      </c>
      <c r="L312" s="19">
        <f t="shared" si="33"/>
        <v>1.4295028119290203</v>
      </c>
      <c r="M312" s="19">
        <f t="shared" si="34"/>
        <v>1.8601039809871002E-4</v>
      </c>
    </row>
    <row r="313" spans="7:13">
      <c r="G313" s="3">
        <v>300</v>
      </c>
      <c r="H313" s="5">
        <f t="shared" si="30"/>
        <v>25</v>
      </c>
      <c r="I313" s="4">
        <f t="shared" si="35"/>
        <v>0.95219781259210934</v>
      </c>
      <c r="J313" s="10">
        <f t="shared" si="31"/>
        <v>0.29530277169776209</v>
      </c>
      <c r="K313" s="24">
        <f t="shared" si="32"/>
        <v>25</v>
      </c>
      <c r="L313" s="19">
        <f t="shared" si="33"/>
        <v>1.4509453541079556</v>
      </c>
      <c r="M313" s="19">
        <f t="shared" si="34"/>
        <v>1.8691036978207555E-4</v>
      </c>
    </row>
    <row r="314" spans="7:13">
      <c r="G314" s="3">
        <v>301</v>
      </c>
      <c r="H314" s="5">
        <f t="shared" si="30"/>
        <v>25.083333333333332</v>
      </c>
      <c r="I314" s="4">
        <f t="shared" si="35"/>
        <v>0.95175108530527219</v>
      </c>
      <c r="J314" s="10">
        <f t="shared" si="31"/>
        <v>0.2941045533421115</v>
      </c>
      <c r="K314" s="24">
        <f t="shared" si="32"/>
        <v>25</v>
      </c>
      <c r="L314" s="19">
        <f t="shared" si="33"/>
        <v>1.4509453541079556</v>
      </c>
      <c r="M314" s="19">
        <f t="shared" si="34"/>
        <v>1.9063177218777341E-4</v>
      </c>
    </row>
    <row r="315" spans="7:13">
      <c r="G315" s="3">
        <v>302</v>
      </c>
      <c r="H315" s="5">
        <f t="shared" si="30"/>
        <v>25.166666666666668</v>
      </c>
      <c r="I315" s="4">
        <f t="shared" si="35"/>
        <v>0.9513003685103415</v>
      </c>
      <c r="J315" s="10">
        <f t="shared" si="31"/>
        <v>0.29291119686845285</v>
      </c>
      <c r="K315" s="24">
        <f t="shared" si="32"/>
        <v>25</v>
      </c>
      <c r="L315" s="19">
        <f t="shared" si="33"/>
        <v>1.4509453541079556</v>
      </c>
      <c r="M315" s="19">
        <f t="shared" si="34"/>
        <v>1.9155379963061179E-4</v>
      </c>
    </row>
    <row r="316" spans="7:13">
      <c r="G316" s="3">
        <v>303</v>
      </c>
      <c r="H316" s="5">
        <f t="shared" si="30"/>
        <v>25.25</v>
      </c>
      <c r="I316" s="4">
        <f t="shared" si="35"/>
        <v>0.95084562699052622</v>
      </c>
      <c r="J316" s="10">
        <f t="shared" si="31"/>
        <v>0.29172268254924927</v>
      </c>
      <c r="K316" s="24">
        <f t="shared" si="32"/>
        <v>25</v>
      </c>
      <c r="L316" s="19">
        <f t="shared" si="33"/>
        <v>1.4509453541079556</v>
      </c>
      <c r="M316" s="19">
        <f t="shared" si="34"/>
        <v>1.9248011241774945E-4</v>
      </c>
    </row>
    <row r="317" spans="7:13">
      <c r="G317" s="3">
        <v>304</v>
      </c>
      <c r="H317" s="5">
        <f t="shared" si="30"/>
        <v>25.333333333333332</v>
      </c>
      <c r="I317" s="4">
        <f t="shared" si="35"/>
        <v>0.95038682525630014</v>
      </c>
      <c r="J317" s="10">
        <f t="shared" si="31"/>
        <v>0.29053899073701051</v>
      </c>
      <c r="K317" s="24">
        <f t="shared" si="32"/>
        <v>25</v>
      </c>
      <c r="L317" s="19">
        <f t="shared" si="33"/>
        <v>1.4509453541079556</v>
      </c>
      <c r="M317" s="19">
        <f t="shared" si="34"/>
        <v>1.9341071508185325E-4</v>
      </c>
    </row>
    <row r="318" spans="7:13">
      <c r="G318" s="3">
        <v>305</v>
      </c>
      <c r="H318" s="5">
        <f t="shared" si="30"/>
        <v>25.416666666666668</v>
      </c>
      <c r="I318" s="4">
        <f t="shared" si="35"/>
        <v>0.94992392754406219</v>
      </c>
      <c r="J318" s="10">
        <f t="shared" si="31"/>
        <v>0.28936010186396754</v>
      </c>
      <c r="K318" s="24">
        <f t="shared" si="32"/>
        <v>25</v>
      </c>
      <c r="L318" s="19">
        <f t="shared" si="33"/>
        <v>1.4509453541079556</v>
      </c>
      <c r="M318" s="19">
        <f t="shared" si="34"/>
        <v>1.9434561192311221E-4</v>
      </c>
    </row>
    <row r="319" spans="7:13">
      <c r="G319" s="3">
        <v>306</v>
      </c>
      <c r="H319" s="5">
        <f t="shared" si="30"/>
        <v>25.5</v>
      </c>
      <c r="I319" s="4">
        <f t="shared" si="35"/>
        <v>0.9494568978148078</v>
      </c>
      <c r="J319" s="10">
        <f t="shared" si="31"/>
        <v>0.28818599644174986</v>
      </c>
      <c r="K319" s="24">
        <f t="shared" si="32"/>
        <v>25</v>
      </c>
      <c r="L319" s="19">
        <f t="shared" si="33"/>
        <v>1.4509453541079556</v>
      </c>
      <c r="M319" s="19">
        <f t="shared" si="34"/>
        <v>1.952848070042437E-4</v>
      </c>
    </row>
    <row r="320" spans="7:13">
      <c r="G320" s="3">
        <v>307</v>
      </c>
      <c r="H320" s="5">
        <f t="shared" si="30"/>
        <v>25.583333333333332</v>
      </c>
      <c r="I320" s="4">
        <f t="shared" si="35"/>
        <v>0.94898569975281111</v>
      </c>
      <c r="J320" s="10">
        <f t="shared" si="31"/>
        <v>0.28701665506106239</v>
      </c>
      <c r="K320" s="24">
        <f t="shared" si="32"/>
        <v>25</v>
      </c>
      <c r="L320" s="19">
        <f t="shared" si="33"/>
        <v>1.4509453541079556</v>
      </c>
      <c r="M320" s="19">
        <f t="shared" si="34"/>
        <v>1.9622830414578606E-4</v>
      </c>
    </row>
    <row r="321" spans="7:13">
      <c r="G321" s="3">
        <v>308</v>
      </c>
      <c r="H321" s="5">
        <f t="shared" si="30"/>
        <v>25.666666666666668</v>
      </c>
      <c r="I321" s="4">
        <f t="shared" si="35"/>
        <v>0.94851029676431953</v>
      </c>
      <c r="J321" s="10">
        <f t="shared" si="31"/>
        <v>0.28585205839136529</v>
      </c>
      <c r="K321" s="24">
        <f t="shared" si="32"/>
        <v>25</v>
      </c>
      <c r="L321" s="19">
        <f t="shared" si="33"/>
        <v>1.4509453541079556</v>
      </c>
      <c r="M321" s="19">
        <f t="shared" si="34"/>
        <v>1.9717610692084441E-4</v>
      </c>
    </row>
    <row r="322" spans="7:13">
      <c r="G322" s="3">
        <v>309</v>
      </c>
      <c r="H322" s="5">
        <f t="shared" si="30"/>
        <v>25.75</v>
      </c>
      <c r="I322" s="4">
        <f t="shared" si="35"/>
        <v>0.9480306519762598</v>
      </c>
      <c r="J322" s="10">
        <f t="shared" si="31"/>
        <v>0.28469218718055417</v>
      </c>
      <c r="K322" s="24">
        <f t="shared" si="32"/>
        <v>25</v>
      </c>
      <c r="L322" s="19">
        <f t="shared" si="33"/>
        <v>1.4509453541079556</v>
      </c>
      <c r="M322" s="19">
        <f t="shared" si="34"/>
        <v>1.9812821865040659E-4</v>
      </c>
    </row>
    <row r="323" spans="7:13">
      <c r="G323" s="3">
        <v>310</v>
      </c>
      <c r="H323" s="5">
        <f t="shared" si="30"/>
        <v>25.833333333333332</v>
      </c>
      <c r="I323" s="4">
        <f t="shared" si="35"/>
        <v>0.94754672823495767</v>
      </c>
      <c r="J323" s="10">
        <f t="shared" si="31"/>
        <v>0.28353702225464167</v>
      </c>
      <c r="K323" s="24">
        <f t="shared" si="32"/>
        <v>25</v>
      </c>
      <c r="L323" s="19">
        <f t="shared" si="33"/>
        <v>1.4509453541079556</v>
      </c>
      <c r="M323" s="19">
        <f t="shared" si="34"/>
        <v>1.9908464239789118E-4</v>
      </c>
    </row>
    <row r="324" spans="7:13">
      <c r="G324" s="3">
        <v>311</v>
      </c>
      <c r="H324" s="5">
        <f t="shared" si="30"/>
        <v>25.916666666666668</v>
      </c>
      <c r="I324" s="4">
        <f t="shared" si="35"/>
        <v>0.94705848810487026</v>
      </c>
      <c r="J324" s="10">
        <f t="shared" si="31"/>
        <v>0.28238654451744089</v>
      </c>
      <c r="K324" s="24">
        <f t="shared" si="32"/>
        <v>25</v>
      </c>
      <c r="L324" s="19">
        <f t="shared" si="33"/>
        <v>1.4509453541079556</v>
      </c>
      <c r="M324" s="19">
        <f t="shared" si="34"/>
        <v>2.0004538096427091E-4</v>
      </c>
    </row>
    <row r="325" spans="7:13">
      <c r="G325" s="3">
        <v>312</v>
      </c>
      <c r="H325" s="5">
        <f t="shared" si="30"/>
        <v>26</v>
      </c>
      <c r="I325" s="4">
        <f t="shared" si="35"/>
        <v>0.94656589386733325</v>
      </c>
      <c r="J325" s="10">
        <f t="shared" si="31"/>
        <v>0.28124073495024959</v>
      </c>
      <c r="K325" s="24">
        <f t="shared" si="32"/>
        <v>26</v>
      </c>
      <c r="L325" s="19">
        <f t="shared" si="33"/>
        <v>1.4727095344195746</v>
      </c>
      <c r="M325" s="19">
        <f t="shared" si="34"/>
        <v>2.0101043688244296E-4</v>
      </c>
    </row>
    <row r="326" spans="7:13">
      <c r="G326" s="3">
        <v>313</v>
      </c>
      <c r="H326" s="5">
        <f t="shared" si="30"/>
        <v>26.083333333333332</v>
      </c>
      <c r="I326" s="4">
        <f t="shared" si="35"/>
        <v>0.94606890751932216</v>
      </c>
      <c r="J326" s="10">
        <f t="shared" si="31"/>
        <v>0.28009957461153479</v>
      </c>
      <c r="K326" s="24">
        <f t="shared" si="32"/>
        <v>26</v>
      </c>
      <c r="L326" s="19">
        <f t="shared" si="33"/>
        <v>1.4727095344195746</v>
      </c>
      <c r="M326" s="19">
        <f t="shared" si="34"/>
        <v>2.0500950959831456E-4</v>
      </c>
    </row>
    <row r="327" spans="7:13">
      <c r="G327" s="3">
        <v>314</v>
      </c>
      <c r="H327" s="5">
        <f t="shared" si="30"/>
        <v>26.166666666666668</v>
      </c>
      <c r="I327" s="4">
        <f t="shared" si="35"/>
        <v>0.94556749077222813</v>
      </c>
      <c r="J327" s="10">
        <f t="shared" si="31"/>
        <v>0.27896304463662169</v>
      </c>
      <c r="K327" s="24">
        <f t="shared" si="32"/>
        <v>26</v>
      </c>
      <c r="L327" s="19">
        <f t="shared" si="33"/>
        <v>1.4727095344195746</v>
      </c>
      <c r="M327" s="19">
        <f t="shared" si="34"/>
        <v>2.0599781217771194E-4</v>
      </c>
    </row>
    <row r="328" spans="7:13">
      <c r="G328" s="3">
        <v>315</v>
      </c>
      <c r="H328" s="5">
        <f t="shared" si="30"/>
        <v>26.25</v>
      </c>
      <c r="I328" s="4">
        <f t="shared" si="35"/>
        <v>0.94506160505065084</v>
      </c>
      <c r="J328" s="10">
        <f t="shared" si="31"/>
        <v>0.27783112623738021</v>
      </c>
      <c r="K328" s="24">
        <f t="shared" si="32"/>
        <v>26</v>
      </c>
      <c r="L328" s="19">
        <f t="shared" si="33"/>
        <v>1.4727095344195746</v>
      </c>
      <c r="M328" s="19">
        <f t="shared" si="34"/>
        <v>2.0699050289632641E-4</v>
      </c>
    </row>
    <row r="329" spans="7:13">
      <c r="G329" s="3">
        <v>316</v>
      </c>
      <c r="H329" s="5">
        <f t="shared" si="30"/>
        <v>26.333333333333332</v>
      </c>
      <c r="I329" s="4">
        <f t="shared" si="35"/>
        <v>0.94455121149120658</v>
      </c>
      <c r="J329" s="10">
        <f t="shared" si="31"/>
        <v>0.27670380070191469</v>
      </c>
      <c r="K329" s="24">
        <f t="shared" si="32"/>
        <v>26</v>
      </c>
      <c r="L329" s="19">
        <f t="shared" si="33"/>
        <v>1.4727095344195746</v>
      </c>
      <c r="M329" s="19">
        <f t="shared" si="34"/>
        <v>2.0798758318284173E-4</v>
      </c>
    </row>
    <row r="330" spans="7:13">
      <c r="G330" s="3">
        <v>317</v>
      </c>
      <c r="H330" s="5">
        <f t="shared" si="30"/>
        <v>26.416666666666668</v>
      </c>
      <c r="I330" s="4">
        <f t="shared" si="35"/>
        <v>0.94403627094135378</v>
      </c>
      <c r="J330" s="10">
        <f t="shared" si="31"/>
        <v>0.27558104939425476</v>
      </c>
      <c r="K330" s="24">
        <f t="shared" si="32"/>
        <v>26</v>
      </c>
      <c r="L330" s="19">
        <f t="shared" si="33"/>
        <v>1.4727095344195746</v>
      </c>
      <c r="M330" s="19">
        <f t="shared" si="34"/>
        <v>2.0898905416624015E-4</v>
      </c>
    </row>
    <row r="331" spans="7:13">
      <c r="G331" s="3">
        <v>318</v>
      </c>
      <c r="H331" s="5">
        <f t="shared" si="30"/>
        <v>26.5</v>
      </c>
      <c r="I331" s="4">
        <f t="shared" si="35"/>
        <v>0.94351674395823648</v>
      </c>
      <c r="J331" s="10">
        <f t="shared" si="31"/>
        <v>0.27446285375404744</v>
      </c>
      <c r="K331" s="24">
        <f t="shared" si="32"/>
        <v>26</v>
      </c>
      <c r="L331" s="19">
        <f t="shared" si="33"/>
        <v>1.4727095344195746</v>
      </c>
      <c r="M331" s="19">
        <f t="shared" si="34"/>
        <v>2.0999491666997083E-4</v>
      </c>
    </row>
    <row r="332" spans="7:13">
      <c r="G332" s="3">
        <v>319</v>
      </c>
      <c r="H332" s="5">
        <f t="shared" si="30"/>
        <v>26.583333333333332</v>
      </c>
      <c r="I332" s="4">
        <f t="shared" si="35"/>
        <v>0.94299259080754538</v>
      </c>
      <c r="J332" s="10">
        <f t="shared" si="31"/>
        <v>0.2733491952962499</v>
      </c>
      <c r="K332" s="24">
        <f t="shared" si="32"/>
        <v>26</v>
      </c>
      <c r="L332" s="19">
        <f t="shared" si="33"/>
        <v>1.4727095344195746</v>
      </c>
      <c r="M332" s="19">
        <f t="shared" si="34"/>
        <v>2.11005171206307E-4</v>
      </c>
    </row>
    <row r="333" spans="7:13">
      <c r="G333" s="3">
        <v>320</v>
      </c>
      <c r="H333" s="5">
        <f t="shared" si="30"/>
        <v>26.666666666666668</v>
      </c>
      <c r="I333" s="4">
        <f t="shared" si="35"/>
        <v>0.94246377146239879</v>
      </c>
      <c r="J333" s="10">
        <f t="shared" si="31"/>
        <v>0.27224005561082404</v>
      </c>
      <c r="K333" s="24">
        <f t="shared" si="32"/>
        <v>26</v>
      </c>
      <c r="L333" s="19">
        <f t="shared" si="33"/>
        <v>1.4727095344195746</v>
      </c>
      <c r="M333" s="19">
        <f t="shared" si="34"/>
        <v>2.1201981797008821E-4</v>
      </c>
    </row>
    <row r="334" spans="7:13">
      <c r="G334" s="3">
        <v>321</v>
      </c>
      <c r="H334" s="5">
        <f t="shared" ref="H334:H397" si="36">G334/12</f>
        <v>26.75</v>
      </c>
      <c r="I334" s="4">
        <f t="shared" si="35"/>
        <v>0.94193024560224203</v>
      </c>
      <c r="J334" s="10">
        <f t="shared" ref="J334:J397" si="37">(1+B$6)^-H334</f>
        <v>0.27113541636243244</v>
      </c>
      <c r="K334" s="24">
        <f t="shared" ref="K334:K397" si="38">INT(H334+0.000001)</f>
        <v>26</v>
      </c>
      <c r="L334" s="19">
        <f t="shared" ref="L334:L397" si="39">1.015^K334</f>
        <v>1.4727095344195746</v>
      </c>
      <c r="M334" s="19">
        <f t="shared" si="34"/>
        <v>2.1303885683315326E-4</v>
      </c>
    </row>
    <row r="335" spans="7:13">
      <c r="G335" s="3">
        <v>322</v>
      </c>
      <c r="H335" s="5">
        <f t="shared" si="36"/>
        <v>26.833333333333332</v>
      </c>
      <c r="I335" s="4">
        <f t="shared" si="35"/>
        <v>0.94139197261176866</v>
      </c>
      <c r="J335" s="10">
        <f t="shared" si="37"/>
        <v>0.27003525929013494</v>
      </c>
      <c r="K335" s="24">
        <f t="shared" si="38"/>
        <v>26</v>
      </c>
      <c r="L335" s="19">
        <f t="shared" si="39"/>
        <v>1.4727095344195746</v>
      </c>
      <c r="M335" s="19">
        <f t="shared" ref="M335:M398" si="40">(I334-I335)*J335*L334</f>
        <v>2.1406228733767964E-4</v>
      </c>
    </row>
    <row r="336" spans="7:13">
      <c r="G336" s="3">
        <v>323</v>
      </c>
      <c r="H336" s="5">
        <f t="shared" si="36"/>
        <v>26.916666666666668</v>
      </c>
      <c r="I336" s="4">
        <f t="shared" si="35"/>
        <v>0.94084891157986095</v>
      </c>
      <c r="J336" s="10">
        <f t="shared" si="37"/>
        <v>0.26893956620708659</v>
      </c>
      <c r="K336" s="24">
        <f t="shared" si="38"/>
        <v>26</v>
      </c>
      <c r="L336" s="19">
        <f t="shared" si="39"/>
        <v>1.4727095344195746</v>
      </c>
      <c r="M336" s="19">
        <f t="shared" si="40"/>
        <v>2.1509010869070745E-4</v>
      </c>
    </row>
    <row r="337" spans="7:13">
      <c r="G337" s="3">
        <v>324</v>
      </c>
      <c r="H337" s="5">
        <f t="shared" si="36"/>
        <v>27</v>
      </c>
      <c r="I337" s="4">
        <f t="shared" si="35"/>
        <v>0.94030102129855408</v>
      </c>
      <c r="J337" s="10">
        <f t="shared" si="37"/>
        <v>0.2678483190002377</v>
      </c>
      <c r="K337" s="24">
        <f t="shared" si="38"/>
        <v>27</v>
      </c>
      <c r="L337" s="19">
        <f t="shared" si="39"/>
        <v>1.4948001774358681</v>
      </c>
      <c r="M337" s="19">
        <f t="shared" si="40"/>
        <v>2.1612231975714458E-4</v>
      </c>
    </row>
    <row r="338" spans="7:13">
      <c r="G338" s="3">
        <v>325</v>
      </c>
      <c r="H338" s="5">
        <f t="shared" si="36"/>
        <v>27.083333333333332</v>
      </c>
      <c r="I338" s="4">
        <f t="shared" si="35"/>
        <v>0.93974826026202152</v>
      </c>
      <c r="J338" s="10">
        <f t="shared" si="37"/>
        <v>0.26676149963003309</v>
      </c>
      <c r="K338" s="24">
        <f t="shared" si="38"/>
        <v>27</v>
      </c>
      <c r="L338" s="19">
        <f t="shared" si="39"/>
        <v>1.4948001774358681</v>
      </c>
      <c r="M338" s="19">
        <f t="shared" si="40"/>
        <v>2.2041630283976829E-4</v>
      </c>
    </row>
    <row r="339" spans="7:13">
      <c r="G339" s="3">
        <v>326</v>
      </c>
      <c r="H339" s="5">
        <f t="shared" si="36"/>
        <v>27.166666666666668</v>
      </c>
      <c r="I339" s="4">
        <f t="shared" si="35"/>
        <v>0.93919058666558408</v>
      </c>
      <c r="J339" s="10">
        <f t="shared" si="37"/>
        <v>0.26567909013011592</v>
      </c>
      <c r="K339" s="24">
        <f t="shared" si="38"/>
        <v>27</v>
      </c>
      <c r="L339" s="19">
        <f t="shared" si="39"/>
        <v>1.4948001774358681</v>
      </c>
      <c r="M339" s="19">
        <f t="shared" si="40"/>
        <v>2.2147290331472845E-4</v>
      </c>
    </row>
    <row r="340" spans="7:13">
      <c r="G340" s="3">
        <v>327</v>
      </c>
      <c r="H340" s="5">
        <f t="shared" si="36"/>
        <v>27.25</v>
      </c>
      <c r="I340" s="4">
        <f t="shared" si="35"/>
        <v>0.938627958404743</v>
      </c>
      <c r="J340" s="10">
        <f t="shared" si="37"/>
        <v>0.26460107260702881</v>
      </c>
      <c r="K340" s="24">
        <f t="shared" si="38"/>
        <v>27</v>
      </c>
      <c r="L340" s="19">
        <f t="shared" si="39"/>
        <v>1.4948001774358681</v>
      </c>
      <c r="M340" s="19">
        <f t="shared" si="40"/>
        <v>2.2253395374685809E-4</v>
      </c>
    </row>
    <row r="341" spans="7:13">
      <c r="G341" s="3">
        <v>328</v>
      </c>
      <c r="H341" s="5">
        <f t="shared" si="36"/>
        <v>27.333333333333332</v>
      </c>
      <c r="I341" s="4">
        <f t="shared" si="35"/>
        <v>0.93806033307423808</v>
      </c>
      <c r="J341" s="10">
        <f t="shared" si="37"/>
        <v>0.26352742923991879</v>
      </c>
      <c r="K341" s="24">
        <f t="shared" si="38"/>
        <v>27</v>
      </c>
      <c r="L341" s="19">
        <f t="shared" si="39"/>
        <v>1.4948001774358681</v>
      </c>
      <c r="M341" s="19">
        <f t="shared" si="40"/>
        <v>2.2359945153142585E-4</v>
      </c>
    </row>
    <row r="342" spans="7:13">
      <c r="G342" s="3">
        <v>329</v>
      </c>
      <c r="H342" s="5">
        <f t="shared" si="36"/>
        <v>27.416666666666668</v>
      </c>
      <c r="I342" s="4">
        <f t="shared" si="35"/>
        <v>0.93748766796713112</v>
      </c>
      <c r="J342" s="10">
        <f t="shared" si="37"/>
        <v>0.26245814228024267</v>
      </c>
      <c r="K342" s="24">
        <f t="shared" si="38"/>
        <v>27</v>
      </c>
      <c r="L342" s="19">
        <f t="shared" si="39"/>
        <v>1.4948001774358681</v>
      </c>
      <c r="M342" s="19">
        <f t="shared" si="40"/>
        <v>2.246693936839032E-4</v>
      </c>
    </row>
    <row r="343" spans="7:13">
      <c r="G343" s="3">
        <v>330</v>
      </c>
      <c r="H343" s="5">
        <f t="shared" si="36"/>
        <v>27.5</v>
      </c>
      <c r="I343" s="4">
        <f t="shared" si="35"/>
        <v>0.93690992007391616</v>
      </c>
      <c r="J343" s="10">
        <f t="shared" si="37"/>
        <v>0.26139319405147377</v>
      </c>
      <c r="K343" s="24">
        <f t="shared" si="38"/>
        <v>27</v>
      </c>
      <c r="L343" s="19">
        <f t="shared" si="39"/>
        <v>1.4948001774358681</v>
      </c>
      <c r="M343" s="19">
        <f t="shared" si="40"/>
        <v>2.2574377683295363E-4</v>
      </c>
    </row>
    <row r="344" spans="7:13">
      <c r="G344" s="3">
        <v>331</v>
      </c>
      <c r="H344" s="5">
        <f t="shared" si="36"/>
        <v>27.583333333333332</v>
      </c>
      <c r="I344" s="4">
        <f t="shared" si="35"/>
        <v>0.93632704608165629</v>
      </c>
      <c r="J344" s="10">
        <f t="shared" si="37"/>
        <v>0.26033256694880941</v>
      </c>
      <c r="K344" s="24">
        <f t="shared" si="38"/>
        <v>27</v>
      </c>
      <c r="L344" s="19">
        <f t="shared" si="39"/>
        <v>1.4948001774358681</v>
      </c>
      <c r="M344" s="19">
        <f t="shared" si="40"/>
        <v>2.2682259721379291E-4</v>
      </c>
    </row>
    <row r="345" spans="7:13">
      <c r="G345" s="3">
        <v>332</v>
      </c>
      <c r="H345" s="5">
        <f t="shared" si="36"/>
        <v>27.666666666666668</v>
      </c>
      <c r="I345" s="4">
        <f t="shared" si="35"/>
        <v>0.93573900237315</v>
      </c>
      <c r="J345" s="10">
        <f t="shared" si="37"/>
        <v>0.25927624343888001</v>
      </c>
      <c r="K345" s="24">
        <f t="shared" si="38"/>
        <v>27</v>
      </c>
      <c r="L345" s="19">
        <f t="shared" si="39"/>
        <v>1.4948001774358681</v>
      </c>
      <c r="M345" s="19">
        <f t="shared" si="40"/>
        <v>2.27905850660623E-4</v>
      </c>
    </row>
    <row r="346" spans="7:13">
      <c r="G346" s="3">
        <v>333</v>
      </c>
      <c r="H346" s="5">
        <f t="shared" si="36"/>
        <v>27.75</v>
      </c>
      <c r="I346" s="4">
        <f t="shared" si="35"/>
        <v>0.9351457450261248</v>
      </c>
      <c r="J346" s="10">
        <f t="shared" si="37"/>
        <v>0.2582242060594595</v>
      </c>
      <c r="K346" s="24">
        <f t="shared" si="38"/>
        <v>27</v>
      </c>
      <c r="L346" s="19">
        <f t="shared" si="39"/>
        <v>1.4948001774358681</v>
      </c>
      <c r="M346" s="19">
        <f t="shared" si="40"/>
        <v>2.2899353260018304E-4</v>
      </c>
    </row>
    <row r="347" spans="7:13">
      <c r="G347" s="3">
        <v>334</v>
      </c>
      <c r="H347" s="5">
        <f t="shared" si="36"/>
        <v>27.833333333333332</v>
      </c>
      <c r="I347" s="4">
        <f t="shared" si="35"/>
        <v>0.93454722981246197</v>
      </c>
      <c r="J347" s="10">
        <f t="shared" si="37"/>
        <v>0.25717643741917612</v>
      </c>
      <c r="K347" s="24">
        <f t="shared" si="38"/>
        <v>27</v>
      </c>
      <c r="L347" s="19">
        <f t="shared" si="39"/>
        <v>1.4948001774358681</v>
      </c>
      <c r="M347" s="19">
        <f t="shared" si="40"/>
        <v>2.3008563804408324E-4</v>
      </c>
    </row>
    <row r="348" spans="7:13">
      <c r="G348" s="3">
        <v>335</v>
      </c>
      <c r="H348" s="5">
        <f t="shared" si="36"/>
        <v>27.916666666666668</v>
      </c>
      <c r="I348" s="4">
        <f t="shared" si="35"/>
        <v>0.93394341219745169</v>
      </c>
      <c r="J348" s="10">
        <f t="shared" si="37"/>
        <v>0.25613292019722528</v>
      </c>
      <c r="K348" s="24">
        <f t="shared" si="38"/>
        <v>27</v>
      </c>
      <c r="L348" s="19">
        <f t="shared" si="39"/>
        <v>1.4948001774358681</v>
      </c>
      <c r="M348" s="19">
        <f t="shared" si="40"/>
        <v>2.3118216158166178E-4</v>
      </c>
    </row>
    <row r="349" spans="7:13">
      <c r="G349" s="3">
        <v>336</v>
      </c>
      <c r="H349" s="5">
        <f t="shared" si="36"/>
        <v>28</v>
      </c>
      <c r="I349" s="4">
        <f t="shared" si="35"/>
        <v>0.93333424733907988</v>
      </c>
      <c r="J349" s="10">
        <f t="shared" si="37"/>
        <v>0.25509363714308358</v>
      </c>
      <c r="K349" s="24">
        <f t="shared" si="38"/>
        <v>28</v>
      </c>
      <c r="L349" s="19">
        <f t="shared" si="39"/>
        <v>1.5172221800974057</v>
      </c>
      <c r="M349" s="19">
        <f t="shared" si="40"/>
        <v>2.3228309737263186E-4</v>
      </c>
    </row>
    <row r="350" spans="7:13">
      <c r="G350" s="3">
        <v>337</v>
      </c>
      <c r="H350" s="5">
        <f t="shared" si="36"/>
        <v>28.083333333333332</v>
      </c>
      <c r="I350" s="4">
        <f t="shared" si="35"/>
        <v>0.93271969008734723</v>
      </c>
      <c r="J350" s="10">
        <f t="shared" si="37"/>
        <v>0.25405857107622198</v>
      </c>
      <c r="K350" s="24">
        <f t="shared" si="38"/>
        <v>28</v>
      </c>
      <c r="L350" s="19">
        <f t="shared" si="39"/>
        <v>1.5172221800974057</v>
      </c>
      <c r="M350" s="19">
        <f t="shared" si="40"/>
        <v>2.368892657268339E-4</v>
      </c>
    </row>
    <row r="351" spans="7:13">
      <c r="G351" s="3">
        <v>338</v>
      </c>
      <c r="H351" s="5">
        <f t="shared" si="36"/>
        <v>28.166666666666668</v>
      </c>
      <c r="I351" s="4">
        <f t="shared" si="35"/>
        <v>0.93209969498362277</v>
      </c>
      <c r="J351" s="10">
        <f t="shared" si="37"/>
        <v>0.25302770488582466</v>
      </c>
      <c r="K351" s="24">
        <f t="shared" si="38"/>
        <v>28</v>
      </c>
      <c r="L351" s="19">
        <f t="shared" si="39"/>
        <v>1.5172221800974057</v>
      </c>
      <c r="M351" s="19">
        <f t="shared" si="40"/>
        <v>2.3801565286329755E-4</v>
      </c>
    </row>
    <row r="352" spans="7:13">
      <c r="G352" s="3">
        <v>339</v>
      </c>
      <c r="H352" s="5">
        <f t="shared" si="36"/>
        <v>28.25</v>
      </c>
      <c r="I352" s="4">
        <f t="shared" si="35"/>
        <v>0.93147421626003102</v>
      </c>
      <c r="J352" s="10">
        <f t="shared" si="37"/>
        <v>0.25200102153050358</v>
      </c>
      <c r="K352" s="24">
        <f t="shared" si="38"/>
        <v>28</v>
      </c>
      <c r="L352" s="19">
        <f t="shared" si="39"/>
        <v>1.5172221800974057</v>
      </c>
      <c r="M352" s="19">
        <f t="shared" si="40"/>
        <v>2.3914649796076036E-4</v>
      </c>
    </row>
    <row r="353" spans="7:13">
      <c r="G353" s="3">
        <v>340</v>
      </c>
      <c r="H353" s="5">
        <f t="shared" si="36"/>
        <v>28.333333333333332</v>
      </c>
      <c r="I353" s="4">
        <f t="shared" si="35"/>
        <v>0.93084320783887542</v>
      </c>
      <c r="J353" s="10">
        <f t="shared" si="37"/>
        <v>0.25097850403801786</v>
      </c>
      <c r="K353" s="24">
        <f t="shared" si="38"/>
        <v>28</v>
      </c>
      <c r="L353" s="19">
        <f t="shared" si="39"/>
        <v>1.5172221800974057</v>
      </c>
      <c r="M353" s="19">
        <f t="shared" si="40"/>
        <v>2.4028179327029612E-4</v>
      </c>
    </row>
    <row r="354" spans="7:13">
      <c r="G354" s="3">
        <v>341</v>
      </c>
      <c r="H354" s="5">
        <f t="shared" si="36"/>
        <v>28.416666666666668</v>
      </c>
      <c r="I354" s="4">
        <f t="shared" si="35"/>
        <v>0.93020662333209758</v>
      </c>
      <c r="J354" s="10">
        <f t="shared" si="37"/>
        <v>0.24996013550499299</v>
      </c>
      <c r="K354" s="24">
        <f t="shared" si="38"/>
        <v>28</v>
      </c>
      <c r="L354" s="19">
        <f t="shared" si="39"/>
        <v>1.5172221800974057</v>
      </c>
      <c r="M354" s="19">
        <f t="shared" si="40"/>
        <v>2.4142153056825845E-4</v>
      </c>
    </row>
    <row r="355" spans="7:13">
      <c r="G355" s="3">
        <v>342</v>
      </c>
      <c r="H355" s="5">
        <f t="shared" si="36"/>
        <v>28.5</v>
      </c>
      <c r="I355" s="4">
        <f t="shared" si="35"/>
        <v>0.92956441604077455</v>
      </c>
      <c r="J355" s="10">
        <f t="shared" si="37"/>
        <v>0.24894589909664167</v>
      </c>
      <c r="K355" s="24">
        <f t="shared" si="38"/>
        <v>28</v>
      </c>
      <c r="L355" s="19">
        <f t="shared" si="39"/>
        <v>1.5172221800974057</v>
      </c>
      <c r="M355" s="19">
        <f t="shared" si="40"/>
        <v>2.425657011480394E-4</v>
      </c>
    </row>
    <row r="356" spans="7:13">
      <c r="G356" s="3">
        <v>343</v>
      </c>
      <c r="H356" s="5">
        <f t="shared" si="36"/>
        <v>28.583333333333332</v>
      </c>
      <c r="I356" s="4">
        <f t="shared" si="35"/>
        <v>0.92891653895465465</v>
      </c>
      <c r="J356" s="10">
        <f t="shared" si="37"/>
        <v>0.24793577804648512</v>
      </c>
      <c r="K356" s="24">
        <f t="shared" si="38"/>
        <v>28</v>
      </c>
      <c r="L356" s="19">
        <f t="shared" si="39"/>
        <v>1.5172221800974057</v>
      </c>
      <c r="M356" s="19">
        <f t="shared" si="40"/>
        <v>2.4371429581196186E-4</v>
      </c>
    </row>
    <row r="357" spans="7:13">
      <c r="G357" s="3">
        <v>344</v>
      </c>
      <c r="H357" s="5">
        <f t="shared" si="36"/>
        <v>28.666666666666668</v>
      </c>
      <c r="I357" s="4">
        <f t="shared" si="35"/>
        <v>0.92826294475173277</v>
      </c>
      <c r="J357" s="10">
        <f t="shared" si="37"/>
        <v>0.24692975565607619</v>
      </c>
      <c r="K357" s="24">
        <f t="shared" si="38"/>
        <v>28</v>
      </c>
      <c r="L357" s="19">
        <f t="shared" si="39"/>
        <v>1.5172221800974057</v>
      </c>
      <c r="M357" s="19">
        <f t="shared" si="40"/>
        <v>2.4486730486309935E-4</v>
      </c>
    </row>
    <row r="358" spans="7:13">
      <c r="G358" s="3">
        <v>345</v>
      </c>
      <c r="H358" s="5">
        <f t="shared" si="36"/>
        <v>28.75</v>
      </c>
      <c r="I358" s="4">
        <f t="shared" si="35"/>
        <v>0.92760358579786639</v>
      </c>
      <c r="J358" s="10">
        <f t="shared" si="37"/>
        <v>0.2459278152947233</v>
      </c>
      <c r="K358" s="24">
        <f t="shared" si="38"/>
        <v>28</v>
      </c>
      <c r="L358" s="19">
        <f t="shared" si="39"/>
        <v>1.5172221800974057</v>
      </c>
      <c r="M358" s="19">
        <f t="shared" si="40"/>
        <v>2.4602471809698689E-4</v>
      </c>
    </row>
    <row r="359" spans="7:13">
      <c r="G359" s="3">
        <v>346</v>
      </c>
      <c r="H359" s="5">
        <f t="shared" si="36"/>
        <v>28.833333333333332</v>
      </c>
      <c r="I359" s="4">
        <f t="shared" si="35"/>
        <v>0.92693841414643363</v>
      </c>
      <c r="J359" s="10">
        <f t="shared" si="37"/>
        <v>0.24492994039921531</v>
      </c>
      <c r="K359" s="24">
        <f t="shared" si="38"/>
        <v>28</v>
      </c>
      <c r="L359" s="19">
        <f t="shared" si="39"/>
        <v>1.5172221800974057</v>
      </c>
      <c r="M359" s="19">
        <f t="shared" si="40"/>
        <v>2.4718652479310588E-4</v>
      </c>
    </row>
    <row r="360" spans="7:13">
      <c r="G360" s="3">
        <v>347</v>
      </c>
      <c r="H360" s="5">
        <f t="shared" si="36"/>
        <v>28.916666666666668</v>
      </c>
      <c r="I360" s="4">
        <f t="shared" ref="I360:I423" si="41">I359*(B$9^(1/12))*B$8^((B$5^(B$7+H359))*((B$5^(1/12)-1)))</f>
        <v>0.92626738153803434</v>
      </c>
      <c r="J360" s="10">
        <f t="shared" si="37"/>
        <v>0.2439361144735479</v>
      </c>
      <c r="K360" s="24">
        <f t="shared" si="38"/>
        <v>28</v>
      </c>
      <c r="L360" s="19">
        <f t="shared" si="39"/>
        <v>1.5172221800974057</v>
      </c>
      <c r="M360" s="19">
        <f t="shared" si="40"/>
        <v>2.4835271370631841E-4</v>
      </c>
    </row>
    <row r="361" spans="7:13">
      <c r="G361" s="3">
        <v>348</v>
      </c>
      <c r="H361" s="5">
        <f t="shared" si="36"/>
        <v>29</v>
      </c>
      <c r="I361" s="4">
        <f t="shared" si="41"/>
        <v>0.92559043940023433</v>
      </c>
      <c r="J361" s="10">
        <f t="shared" si="37"/>
        <v>0.24294632108865097</v>
      </c>
      <c r="K361" s="24">
        <f t="shared" si="38"/>
        <v>29</v>
      </c>
      <c r="L361" s="19">
        <f t="shared" si="39"/>
        <v>1.5399805127988668</v>
      </c>
      <c r="M361" s="19">
        <f t="shared" si="40"/>
        <v>2.4952327305862511E-4</v>
      </c>
    </row>
    <row r="362" spans="7:13">
      <c r="G362" s="3">
        <v>349</v>
      </c>
      <c r="H362" s="5">
        <f t="shared" si="36"/>
        <v>29.083333333333332</v>
      </c>
      <c r="I362" s="4">
        <f t="shared" si="41"/>
        <v>0.92490753884735633</v>
      </c>
      <c r="J362" s="10">
        <f t="shared" si="37"/>
        <v>0.24196054388211613</v>
      </c>
      <c r="K362" s="24">
        <f t="shared" si="38"/>
        <v>29</v>
      </c>
      <c r="L362" s="19">
        <f t="shared" si="39"/>
        <v>1.5399805127988668</v>
      </c>
      <c r="M362" s="19">
        <f t="shared" si="40"/>
        <v>2.5445866338784254E-4</v>
      </c>
    </row>
    <row r="363" spans="7:13">
      <c r="G363" s="3">
        <v>350</v>
      </c>
      <c r="H363" s="5">
        <f t="shared" si="36"/>
        <v>29.166666666666668</v>
      </c>
      <c r="I363" s="4">
        <f t="shared" si="41"/>
        <v>0.92421863068031596</v>
      </c>
      <c r="J363" s="10">
        <f t="shared" si="37"/>
        <v>0.24097876655792827</v>
      </c>
      <c r="K363" s="24">
        <f t="shared" si="38"/>
        <v>29</v>
      </c>
      <c r="L363" s="19">
        <f t="shared" si="39"/>
        <v>1.5399805127988668</v>
      </c>
      <c r="M363" s="19">
        <f t="shared" si="40"/>
        <v>2.5565561504829152E-4</v>
      </c>
    </row>
    <row r="364" spans="7:13">
      <c r="G364" s="3">
        <v>351</v>
      </c>
      <c r="H364" s="5">
        <f t="shared" si="36"/>
        <v>29.25</v>
      </c>
      <c r="I364" s="4">
        <f t="shared" si="41"/>
        <v>0.9235236653865061</v>
      </c>
      <c r="J364" s="10">
        <f t="shared" si="37"/>
        <v>0.2400009728861939</v>
      </c>
      <c r="K364" s="24">
        <f t="shared" si="38"/>
        <v>29</v>
      </c>
      <c r="L364" s="19">
        <f t="shared" si="39"/>
        <v>1.5399805127988668</v>
      </c>
      <c r="M364" s="19">
        <f t="shared" si="40"/>
        <v>2.5685696350421177E-4</v>
      </c>
    </row>
    <row r="365" spans="7:13">
      <c r="G365" s="3">
        <v>352</v>
      </c>
      <c r="H365" s="5">
        <f t="shared" si="36"/>
        <v>29.333333333333332</v>
      </c>
      <c r="I365" s="4">
        <f t="shared" si="41"/>
        <v>0.92282259313972981</v>
      </c>
      <c r="J365" s="10">
        <f t="shared" si="37"/>
        <v>0.23902714670287414</v>
      </c>
      <c r="K365" s="24">
        <f t="shared" si="38"/>
        <v>29</v>
      </c>
      <c r="L365" s="19">
        <f t="shared" si="39"/>
        <v>1.5399805127988668</v>
      </c>
      <c r="M365" s="19">
        <f t="shared" si="40"/>
        <v>2.5806269454689323E-4</v>
      </c>
    </row>
    <row r="366" spans="7:13">
      <c r="G366" s="3">
        <v>353</v>
      </c>
      <c r="H366" s="5">
        <f t="shared" si="36"/>
        <v>29.416666666666668</v>
      </c>
      <c r="I366" s="4">
        <f t="shared" si="41"/>
        <v>0.92211536380018366</v>
      </c>
      <c r="J366" s="10">
        <f t="shared" si="37"/>
        <v>0.23805727190951712</v>
      </c>
      <c r="K366" s="24">
        <f t="shared" si="38"/>
        <v>29</v>
      </c>
      <c r="L366" s="19">
        <f t="shared" si="39"/>
        <v>1.5399805127988668</v>
      </c>
      <c r="M366" s="19">
        <f t="shared" si="40"/>
        <v>2.592727933811872E-4</v>
      </c>
    </row>
    <row r="367" spans="7:13">
      <c r="G367" s="3">
        <v>354</v>
      </c>
      <c r="H367" s="5">
        <f t="shared" si="36"/>
        <v>29.5</v>
      </c>
      <c r="I367" s="4">
        <f t="shared" si="41"/>
        <v>0.92140192691449141</v>
      </c>
      <c r="J367" s="10">
        <f t="shared" si="37"/>
        <v>0.23709133247299205</v>
      </c>
      <c r="K367" s="24">
        <f t="shared" si="38"/>
        <v>29</v>
      </c>
      <c r="L367" s="19">
        <f t="shared" si="39"/>
        <v>1.5399805127988668</v>
      </c>
      <c r="M367" s="19">
        <f t="shared" si="40"/>
        <v>2.6048724461654165E-4</v>
      </c>
    </row>
    <row r="368" spans="7:13">
      <c r="G368" s="3">
        <v>355</v>
      </c>
      <c r="H368" s="5">
        <f t="shared" si="36"/>
        <v>29.583333333333332</v>
      </c>
      <c r="I368" s="4">
        <f t="shared" si="41"/>
        <v>0.92068223171579144</v>
      </c>
      <c r="J368" s="10">
        <f t="shared" si="37"/>
        <v>0.23612931242522392</v>
      </c>
      <c r="K368" s="24">
        <f t="shared" si="38"/>
        <v>29</v>
      </c>
      <c r="L368" s="19">
        <f t="shared" si="39"/>
        <v>1.5399805127988668</v>
      </c>
      <c r="M368" s="19">
        <f t="shared" si="40"/>
        <v>2.6170603225709858E-4</v>
      </c>
    </row>
    <row r="369" spans="7:13">
      <c r="G369" s="3">
        <v>356</v>
      </c>
      <c r="H369" s="5">
        <f t="shared" si="36"/>
        <v>29.666666666666668</v>
      </c>
      <c r="I369" s="4">
        <f t="shared" si="41"/>
        <v>0.91995622712387737</v>
      </c>
      <c r="J369" s="10">
        <f t="shared" si="37"/>
        <v>0.23517119586292973</v>
      </c>
      <c r="K369" s="24">
        <f t="shared" si="38"/>
        <v>29</v>
      </c>
      <c r="L369" s="19">
        <f t="shared" si="39"/>
        <v>1.5399805127988668</v>
      </c>
      <c r="M369" s="19">
        <f t="shared" si="40"/>
        <v>2.6292913969245527E-4</v>
      </c>
    </row>
    <row r="370" spans="7:13">
      <c r="G370" s="3">
        <v>357</v>
      </c>
      <c r="H370" s="5">
        <f t="shared" si="36"/>
        <v>29.75</v>
      </c>
      <c r="I370" s="4">
        <f t="shared" si="41"/>
        <v>0.91922386174539439</v>
      </c>
      <c r="J370" s="10">
        <f t="shared" si="37"/>
        <v>0.23421696694735553</v>
      </c>
      <c r="K370" s="24">
        <f t="shared" si="38"/>
        <v>29</v>
      </c>
      <c r="L370" s="19">
        <f t="shared" si="39"/>
        <v>1.5399805127988668</v>
      </c>
      <c r="M370" s="19">
        <f t="shared" si="40"/>
        <v>2.6415654968779104E-4</v>
      </c>
    </row>
    <row r="371" spans="7:13">
      <c r="G371" s="3">
        <v>358</v>
      </c>
      <c r="H371" s="5">
        <f t="shared" si="36"/>
        <v>29.833333333333332</v>
      </c>
      <c r="I371" s="4">
        <f t="shared" si="41"/>
        <v>0.91848508387409111</v>
      </c>
      <c r="J371" s="10">
        <f t="shared" si="37"/>
        <v>0.2332666099040146</v>
      </c>
      <c r="K371" s="24">
        <f t="shared" si="38"/>
        <v>29</v>
      </c>
      <c r="L371" s="19">
        <f t="shared" si="39"/>
        <v>1.5399805127988668</v>
      </c>
      <c r="M371" s="19">
        <f t="shared" si="40"/>
        <v>2.6538824437454152E-4</v>
      </c>
    </row>
    <row r="372" spans="7:13">
      <c r="G372" s="3">
        <v>359</v>
      </c>
      <c r="H372" s="5">
        <f t="shared" si="36"/>
        <v>29.916666666666668</v>
      </c>
      <c r="I372" s="4">
        <f t="shared" si="41"/>
        <v>0.91773984149113075</v>
      </c>
      <c r="J372" s="10">
        <f t="shared" si="37"/>
        <v>0.23232010902242653</v>
      </c>
      <c r="K372" s="24">
        <f t="shared" si="38"/>
        <v>29</v>
      </c>
      <c r="L372" s="19">
        <f t="shared" si="39"/>
        <v>1.5399805127988668</v>
      </c>
      <c r="M372" s="19">
        <f t="shared" si="40"/>
        <v>2.6662420524001858E-4</v>
      </c>
    </row>
    <row r="373" spans="7:13">
      <c r="G373" s="3">
        <v>360</v>
      </c>
      <c r="H373" s="5">
        <f t="shared" si="36"/>
        <v>30</v>
      </c>
      <c r="I373" s="4">
        <f t="shared" si="41"/>
        <v>0.91698808226546058</v>
      </c>
      <c r="J373" s="10">
        <f t="shared" si="37"/>
        <v>0.23137744865585813</v>
      </c>
      <c r="K373" s="24">
        <f t="shared" si="38"/>
        <v>30</v>
      </c>
      <c r="L373" s="19">
        <f t="shared" si="39"/>
        <v>1.5630802204908494</v>
      </c>
      <c r="M373" s="19">
        <f t="shared" si="40"/>
        <v>2.6786441311783262E-4</v>
      </c>
    </row>
    <row r="374" spans="7:13">
      <c r="G374" s="3">
        <v>361</v>
      </c>
      <c r="H374" s="5">
        <f t="shared" si="36"/>
        <v>30.083333333333332</v>
      </c>
      <c r="I374" s="4">
        <f t="shared" si="41"/>
        <v>0.91622975355424252</v>
      </c>
      <c r="J374" s="10">
        <f t="shared" si="37"/>
        <v>0.23043861322106302</v>
      </c>
      <c r="K374" s="24">
        <f t="shared" si="38"/>
        <v>30</v>
      </c>
      <c r="L374" s="19">
        <f t="shared" si="39"/>
        <v>1.5630802204908494</v>
      </c>
      <c r="M374" s="19">
        <f t="shared" si="40"/>
        <v>2.731454809003821E-4</v>
      </c>
    </row>
    <row r="375" spans="7:13">
      <c r="G375" s="3">
        <v>362</v>
      </c>
      <c r="H375" s="5">
        <f t="shared" si="36"/>
        <v>30.166666666666668</v>
      </c>
      <c r="I375" s="4">
        <f t="shared" si="41"/>
        <v>0.91546480240334593</v>
      </c>
      <c r="J375" s="10">
        <f t="shared" si="37"/>
        <v>0.22950358719802685</v>
      </c>
      <c r="K375" s="24">
        <f t="shared" si="38"/>
        <v>30</v>
      </c>
      <c r="L375" s="19">
        <f t="shared" si="39"/>
        <v>1.5630802204908494</v>
      </c>
      <c r="M375" s="19">
        <f t="shared" si="40"/>
        <v>2.7441285226405965E-4</v>
      </c>
    </row>
    <row r="376" spans="7:13">
      <c r="G376" s="3">
        <v>363</v>
      </c>
      <c r="H376" s="5">
        <f t="shared" si="36"/>
        <v>30.25</v>
      </c>
      <c r="I376" s="4">
        <f t="shared" si="41"/>
        <v>0.91469317554790408</v>
      </c>
      <c r="J376" s="10">
        <f t="shared" si="37"/>
        <v>0.22857235512970844</v>
      </c>
      <c r="K376" s="24">
        <f t="shared" si="38"/>
        <v>30</v>
      </c>
      <c r="L376" s="19">
        <f t="shared" si="39"/>
        <v>1.5630802204908494</v>
      </c>
      <c r="M376" s="19">
        <f t="shared" si="40"/>
        <v>2.7568447189913061E-4</v>
      </c>
    </row>
    <row r="377" spans="7:13">
      <c r="G377" s="3">
        <v>364</v>
      </c>
      <c r="H377" s="5">
        <f t="shared" si="36"/>
        <v>30.333333333333332</v>
      </c>
      <c r="I377" s="4">
        <f t="shared" si="41"/>
        <v>0.91391481941293484</v>
      </c>
      <c r="J377" s="10">
        <f t="shared" si="37"/>
        <v>0.22764490162178488</v>
      </c>
      <c r="K377" s="24">
        <f t="shared" si="38"/>
        <v>30</v>
      </c>
      <c r="L377" s="19">
        <f t="shared" si="39"/>
        <v>1.5630802204908494</v>
      </c>
      <c r="M377" s="19">
        <f t="shared" si="40"/>
        <v>2.7696031759427182E-4</v>
      </c>
    </row>
    <row r="378" spans="7:13">
      <c r="G378" s="3">
        <v>365</v>
      </c>
      <c r="H378" s="5">
        <f t="shared" si="36"/>
        <v>30.416666666666668</v>
      </c>
      <c r="I378" s="4">
        <f t="shared" si="41"/>
        <v>0.91312968011402951</v>
      </c>
      <c r="J378" s="10">
        <f t="shared" si="37"/>
        <v>0.2267212113423972</v>
      </c>
      <c r="K378" s="24">
        <f t="shared" si="38"/>
        <v>30</v>
      </c>
      <c r="L378" s="19">
        <f t="shared" si="39"/>
        <v>1.5630802204908494</v>
      </c>
      <c r="M378" s="19">
        <f t="shared" si="40"/>
        <v>2.7824036642219827E-4</v>
      </c>
    </row>
    <row r="379" spans="7:13">
      <c r="G379" s="3">
        <v>366</v>
      </c>
      <c r="H379" s="5">
        <f t="shared" si="36"/>
        <v>30.5</v>
      </c>
      <c r="I379" s="4">
        <f t="shared" si="41"/>
        <v>0.9123377034581085</v>
      </c>
      <c r="J379" s="10">
        <f t="shared" si="37"/>
        <v>0.22580126902189715</v>
      </c>
      <c r="K379" s="24">
        <f t="shared" si="38"/>
        <v>30</v>
      </c>
      <c r="L379" s="19">
        <f t="shared" si="39"/>
        <v>1.5630802204908494</v>
      </c>
      <c r="M379" s="19">
        <f t="shared" si="40"/>
        <v>2.7952459472936045E-4</v>
      </c>
    </row>
    <row r="380" spans="7:13">
      <c r="G380" s="3">
        <v>367</v>
      </c>
      <c r="H380" s="5">
        <f t="shared" si="36"/>
        <v>30.583333333333332</v>
      </c>
      <c r="I380" s="4">
        <f t="shared" si="41"/>
        <v>0.91153883494424714</v>
      </c>
      <c r="J380" s="10">
        <f t="shared" si="37"/>
        <v>0.22488505945259418</v>
      </c>
      <c r="K380" s="24">
        <f t="shared" si="38"/>
        <v>30</v>
      </c>
      <c r="L380" s="19">
        <f t="shared" si="39"/>
        <v>1.5630802204908494</v>
      </c>
      <c r="M380" s="19">
        <f t="shared" si="40"/>
        <v>2.8081297812497963E-4</v>
      </c>
    </row>
    <row r="381" spans="7:13">
      <c r="G381" s="3">
        <v>368</v>
      </c>
      <c r="H381" s="5">
        <f t="shared" si="36"/>
        <v>30.666666666666668</v>
      </c>
      <c r="I381" s="4">
        <f t="shared" si="41"/>
        <v>0.91073301976457322</v>
      </c>
      <c r="J381" s="10">
        <f t="shared" si="37"/>
        <v>0.22397256748850447</v>
      </c>
      <c r="K381" s="24">
        <f t="shared" si="38"/>
        <v>30</v>
      </c>
      <c r="L381" s="19">
        <f t="shared" si="39"/>
        <v>1.5630802204908494</v>
      </c>
      <c r="M381" s="19">
        <f t="shared" si="40"/>
        <v>2.8210549146995072E-4</v>
      </c>
    </row>
    <row r="382" spans="7:13">
      <c r="G382" s="3">
        <v>369</v>
      </c>
      <c r="H382" s="5">
        <f t="shared" si="36"/>
        <v>30.75</v>
      </c>
      <c r="I382" s="4">
        <f t="shared" si="41"/>
        <v>0.90992020280523589</v>
      </c>
      <c r="J382" s="10">
        <f t="shared" si="37"/>
        <v>0.22306377804510047</v>
      </c>
      <c r="K382" s="24">
        <f t="shared" si="38"/>
        <v>30</v>
      </c>
      <c r="L382" s="19">
        <f t="shared" si="39"/>
        <v>1.5630802204908494</v>
      </c>
      <c r="M382" s="19">
        <f t="shared" si="40"/>
        <v>2.8340210886627909E-4</v>
      </c>
    </row>
    <row r="383" spans="7:13">
      <c r="G383" s="3">
        <v>370</v>
      </c>
      <c r="H383" s="5">
        <f t="shared" si="36"/>
        <v>30.833333333333332</v>
      </c>
      <c r="I383" s="4">
        <f t="shared" si="41"/>
        <v>0.90910032864745138</v>
      </c>
      <c r="J383" s="10">
        <f t="shared" si="37"/>
        <v>0.22215867609906151</v>
      </c>
      <c r="K383" s="24">
        <f t="shared" si="38"/>
        <v>30</v>
      </c>
      <c r="L383" s="19">
        <f t="shared" si="39"/>
        <v>1.5630802204908494</v>
      </c>
      <c r="M383" s="19">
        <f t="shared" si="40"/>
        <v>2.8470280364519229E-4</v>
      </c>
    </row>
    <row r="384" spans="7:13">
      <c r="G384" s="3">
        <v>371</v>
      </c>
      <c r="H384" s="5">
        <f t="shared" si="36"/>
        <v>30.916666666666668</v>
      </c>
      <c r="I384" s="4">
        <f t="shared" si="41"/>
        <v>0.90827334156862238</v>
      </c>
      <c r="J384" s="10">
        <f t="shared" si="37"/>
        <v>0.22125724668802527</v>
      </c>
      <c r="K384" s="24">
        <f t="shared" si="38"/>
        <v>30</v>
      </c>
      <c r="L384" s="19">
        <f t="shared" si="39"/>
        <v>1.5630802204908494</v>
      </c>
      <c r="M384" s="19">
        <f t="shared" si="40"/>
        <v>2.8600754835669497E-4</v>
      </c>
    </row>
    <row r="385" spans="7:13">
      <c r="G385" s="3">
        <v>372</v>
      </c>
      <c r="H385" s="5">
        <f t="shared" si="36"/>
        <v>31</v>
      </c>
      <c r="I385" s="4">
        <f t="shared" si="41"/>
        <v>0.90743918554353697</v>
      </c>
      <c r="J385" s="10">
        <f t="shared" si="37"/>
        <v>0.220359474910341</v>
      </c>
      <c r="K385" s="24">
        <f t="shared" si="38"/>
        <v>31</v>
      </c>
      <c r="L385" s="19">
        <f t="shared" si="39"/>
        <v>1.586526423798212</v>
      </c>
      <c r="M385" s="19">
        <f t="shared" si="40"/>
        <v>2.8731631475762721E-4</v>
      </c>
    </row>
    <row r="386" spans="7:13">
      <c r="G386" s="3">
        <v>373</v>
      </c>
      <c r="H386" s="5">
        <f t="shared" si="36"/>
        <v>31.083333333333332</v>
      </c>
      <c r="I386" s="4">
        <f t="shared" si="41"/>
        <v>0.9065978042456464</v>
      </c>
      <c r="J386" s="10">
        <f t="shared" si="37"/>
        <v>0.21946534592482186</v>
      </c>
      <c r="K386" s="24">
        <f t="shared" si="38"/>
        <v>31</v>
      </c>
      <c r="L386" s="19">
        <f t="shared" si="39"/>
        <v>1.586526423798212</v>
      </c>
      <c r="M386" s="19">
        <f t="shared" si="40"/>
        <v>2.9295850990744852E-4</v>
      </c>
    </row>
    <row r="387" spans="7:13">
      <c r="G387" s="3">
        <v>374</v>
      </c>
      <c r="H387" s="5">
        <f t="shared" si="36"/>
        <v>31.166666666666668</v>
      </c>
      <c r="I387" s="4">
        <f t="shared" si="41"/>
        <v>0.90574914104842397</v>
      </c>
      <c r="J387" s="10">
        <f t="shared" si="37"/>
        <v>0.21857484495050181</v>
      </c>
      <c r="K387" s="24">
        <f t="shared" si="38"/>
        <v>31</v>
      </c>
      <c r="L387" s="19">
        <f t="shared" si="39"/>
        <v>1.586526423798212</v>
      </c>
      <c r="M387" s="19">
        <f t="shared" si="40"/>
        <v>2.9429498255599469E-4</v>
      </c>
    </row>
    <row r="388" spans="7:13">
      <c r="G388" s="3">
        <v>375</v>
      </c>
      <c r="H388" s="5">
        <f t="shared" si="36"/>
        <v>31.25</v>
      </c>
      <c r="I388" s="4">
        <f t="shared" si="41"/>
        <v>0.90489313902680701</v>
      </c>
      <c r="J388" s="10">
        <f t="shared" si="37"/>
        <v>0.21768795726638904</v>
      </c>
      <c r="K388" s="24">
        <f t="shared" si="38"/>
        <v>31</v>
      </c>
      <c r="L388" s="19">
        <f t="shared" si="39"/>
        <v>1.586526423798212</v>
      </c>
      <c r="M388" s="19">
        <f t="shared" si="40"/>
        <v>2.9563544627317942E-4</v>
      </c>
    </row>
    <row r="389" spans="7:13">
      <c r="G389" s="3">
        <v>376</v>
      </c>
      <c r="H389" s="5">
        <f t="shared" si="36"/>
        <v>31.333333333333332</v>
      </c>
      <c r="I389" s="4">
        <f t="shared" si="41"/>
        <v>0.9040297409587239</v>
      </c>
      <c r="J389" s="10">
        <f t="shared" si="37"/>
        <v>0.21680466821122371</v>
      </c>
      <c r="K389" s="24">
        <f t="shared" si="38"/>
        <v>31</v>
      </c>
      <c r="L389" s="19">
        <f t="shared" si="39"/>
        <v>1.586526423798212</v>
      </c>
      <c r="M389" s="19">
        <f t="shared" si="40"/>
        <v>2.9697986905547879E-4</v>
      </c>
    </row>
    <row r="390" spans="7:13">
      <c r="G390" s="3">
        <v>377</v>
      </c>
      <c r="H390" s="5">
        <f t="shared" si="36"/>
        <v>31.416666666666668</v>
      </c>
      <c r="I390" s="4">
        <f t="shared" si="41"/>
        <v>0.90315888932670707</v>
      </c>
      <c r="J390" s="10">
        <f t="shared" si="37"/>
        <v>0.21592496318323545</v>
      </c>
      <c r="K390" s="24">
        <f t="shared" si="38"/>
        <v>31</v>
      </c>
      <c r="L390" s="19">
        <f t="shared" si="39"/>
        <v>1.586526423798212</v>
      </c>
      <c r="M390" s="19">
        <f t="shared" si="40"/>
        <v>2.9832821803542136E-4</v>
      </c>
    </row>
    <row r="391" spans="7:13">
      <c r="G391" s="3">
        <v>378</v>
      </c>
      <c r="H391" s="5">
        <f t="shared" si="36"/>
        <v>31.5</v>
      </c>
      <c r="I391" s="4">
        <f t="shared" si="41"/>
        <v>0.90228052631959488</v>
      </c>
      <c r="J391" s="10">
        <f t="shared" si="37"/>
        <v>0.21504882763990207</v>
      </c>
      <c r="K391" s="24">
        <f t="shared" si="38"/>
        <v>31</v>
      </c>
      <c r="L391" s="19">
        <f t="shared" si="39"/>
        <v>1.586526423798212</v>
      </c>
      <c r="M391" s="19">
        <f t="shared" si="40"/>
        <v>2.9968045946928269E-4</v>
      </c>
    </row>
    <row r="392" spans="7:13">
      <c r="G392" s="3">
        <v>379</v>
      </c>
      <c r="H392" s="5">
        <f t="shared" si="36"/>
        <v>31.583333333333332</v>
      </c>
      <c r="I392" s="4">
        <f t="shared" si="41"/>
        <v>0.90139459383432341</v>
      </c>
      <c r="J392" s="10">
        <f t="shared" si="37"/>
        <v>0.21417624709770877</v>
      </c>
      <c r="K392" s="24">
        <f t="shared" si="38"/>
        <v>31</v>
      </c>
      <c r="L392" s="19">
        <f t="shared" si="39"/>
        <v>1.586526423798212</v>
      </c>
      <c r="M392" s="19">
        <f t="shared" si="40"/>
        <v>3.0103655872493093E-4</v>
      </c>
    </row>
    <row r="393" spans="7:13">
      <c r="G393" s="3">
        <v>380</v>
      </c>
      <c r="H393" s="5">
        <f t="shared" si="36"/>
        <v>31.666666666666668</v>
      </c>
      <c r="I393" s="4">
        <f t="shared" si="41"/>
        <v>0.9005010334778103</v>
      </c>
      <c r="J393" s="10">
        <f t="shared" si="37"/>
        <v>0.21330720713190901</v>
      </c>
      <c r="K393" s="24">
        <f t="shared" si="38"/>
        <v>31</v>
      </c>
      <c r="L393" s="19">
        <f t="shared" si="39"/>
        <v>1.586526423798212</v>
      </c>
      <c r="M393" s="19">
        <f t="shared" si="40"/>
        <v>3.0239648026948951E-4</v>
      </c>
    </row>
    <row r="394" spans="7:13">
      <c r="G394" s="3">
        <v>381</v>
      </c>
      <c r="H394" s="5">
        <f t="shared" si="36"/>
        <v>31.75</v>
      </c>
      <c r="I394" s="4">
        <f t="shared" si="41"/>
        <v>0.89959978656893314</v>
      </c>
      <c r="J394" s="10">
        <f t="shared" si="37"/>
        <v>0.21244169337628621</v>
      </c>
      <c r="K394" s="24">
        <f t="shared" si="38"/>
        <v>31</v>
      </c>
      <c r="L394" s="19">
        <f t="shared" si="39"/>
        <v>1.586526423798212</v>
      </c>
      <c r="M394" s="19">
        <f t="shared" si="40"/>
        <v>3.0376018765667783E-4</v>
      </c>
    </row>
    <row r="395" spans="7:13">
      <c r="G395" s="3">
        <v>382</v>
      </c>
      <c r="H395" s="5">
        <f t="shared" si="36"/>
        <v>31.833333333333332</v>
      </c>
      <c r="I395" s="4">
        <f t="shared" si="41"/>
        <v>0.89869079414060282</v>
      </c>
      <c r="J395" s="10">
        <f t="shared" si="37"/>
        <v>0.21157969152291572</v>
      </c>
      <c r="K395" s="24">
        <f t="shared" si="38"/>
        <v>31</v>
      </c>
      <c r="L395" s="19">
        <f t="shared" si="39"/>
        <v>1.586526423798212</v>
      </c>
      <c r="M395" s="19">
        <f t="shared" si="40"/>
        <v>3.0512764351458974E-4</v>
      </c>
    </row>
    <row r="396" spans="7:13">
      <c r="G396" s="3">
        <v>383</v>
      </c>
      <c r="H396" s="5">
        <f t="shared" si="36"/>
        <v>31.916666666666668</v>
      </c>
      <c r="I396" s="4">
        <f t="shared" si="41"/>
        <v>0.89777399694193571</v>
      </c>
      <c r="J396" s="10">
        <f t="shared" si="37"/>
        <v>0.21072118732192882</v>
      </c>
      <c r="K396" s="24">
        <f t="shared" si="38"/>
        <v>31</v>
      </c>
      <c r="L396" s="19">
        <f t="shared" si="39"/>
        <v>1.586526423798212</v>
      </c>
      <c r="M396" s="19">
        <f t="shared" si="40"/>
        <v>3.0649880953271939E-4</v>
      </c>
    </row>
    <row r="397" spans="7:13">
      <c r="G397" s="3">
        <v>384</v>
      </c>
      <c r="H397" s="5">
        <f t="shared" si="36"/>
        <v>32</v>
      </c>
      <c r="I397" s="4">
        <f t="shared" si="41"/>
        <v>0.89684933544052514</v>
      </c>
      <c r="J397" s="10">
        <f t="shared" si="37"/>
        <v>0.20986616658127716</v>
      </c>
      <c r="K397" s="24">
        <f t="shared" si="38"/>
        <v>32</v>
      </c>
      <c r="L397" s="19">
        <f t="shared" si="39"/>
        <v>1.6103243201551849</v>
      </c>
      <c r="M397" s="19">
        <f t="shared" si="40"/>
        <v>3.0787364644936849E-4</v>
      </c>
    </row>
    <row r="398" spans="7:13">
      <c r="G398" s="3">
        <v>385</v>
      </c>
      <c r="H398" s="5">
        <f t="shared" ref="H398:H461" si="42">G398/12</f>
        <v>32.083333333333336</v>
      </c>
      <c r="I398" s="4">
        <f t="shared" si="41"/>
        <v>0.89591674982481506</v>
      </c>
      <c r="J398" s="10">
        <f t="shared" ref="J398:J461" si="43">(1+B$6)^-H398</f>
        <v>0.20901461516649697</v>
      </c>
      <c r="K398" s="24">
        <f t="shared" ref="K398:K461" si="44">INT(H398+0.000001)</f>
        <v>32</v>
      </c>
      <c r="L398" s="19">
        <f t="shared" ref="L398:L461" si="45">1.015^K398</f>
        <v>1.6103243201551849</v>
      </c>
      <c r="M398" s="19">
        <f t="shared" si="40"/>
        <v>3.138908957492752E-4</v>
      </c>
    </row>
    <row r="399" spans="7:13">
      <c r="G399" s="3">
        <v>386</v>
      </c>
      <c r="H399" s="5">
        <f t="shared" si="42"/>
        <v>32.166666666666664</v>
      </c>
      <c r="I399" s="4">
        <f t="shared" si="41"/>
        <v>0.89497618000657719</v>
      </c>
      <c r="J399" s="10">
        <f t="shared" si="43"/>
        <v>0.20816651900047792</v>
      </c>
      <c r="K399" s="24">
        <f t="shared" si="44"/>
        <v>32</v>
      </c>
      <c r="L399" s="19">
        <f t="shared" si="45"/>
        <v>1.6103243201551849</v>
      </c>
      <c r="M399" s="19">
        <f t="shared" ref="M399:M462" si="46">(I398-I399)*J399*L398</f>
        <v>3.1529368366436906E-4</v>
      </c>
    </row>
    <row r="400" spans="7:13">
      <c r="G400" s="3">
        <v>387</v>
      </c>
      <c r="H400" s="5">
        <f t="shared" si="42"/>
        <v>32.25</v>
      </c>
      <c r="I400" s="4">
        <f t="shared" si="41"/>
        <v>0.89402756562349461</v>
      </c>
      <c r="J400" s="10">
        <f t="shared" si="43"/>
        <v>0.20732186406322758</v>
      </c>
      <c r="K400" s="24">
        <f t="shared" si="44"/>
        <v>32</v>
      </c>
      <c r="L400" s="19">
        <f t="shared" si="45"/>
        <v>1.6103243201551849</v>
      </c>
      <c r="M400" s="19">
        <f t="shared" si="46"/>
        <v>3.1670007206551561E-4</v>
      </c>
    </row>
    <row r="401" spans="7:13">
      <c r="G401" s="3">
        <v>388</v>
      </c>
      <c r="H401" s="5">
        <f t="shared" si="42"/>
        <v>32.333333333333336</v>
      </c>
      <c r="I401" s="4">
        <f t="shared" si="41"/>
        <v>0.89307084604185305</v>
      </c>
      <c r="J401" s="10">
        <f t="shared" si="43"/>
        <v>0.20648063639164155</v>
      </c>
      <c r="K401" s="24">
        <f t="shared" si="44"/>
        <v>32</v>
      </c>
      <c r="L401" s="19">
        <f t="shared" si="45"/>
        <v>1.6103243201551849</v>
      </c>
      <c r="M401" s="19">
        <f t="shared" si="46"/>
        <v>3.1811001710857988E-4</v>
      </c>
    </row>
    <row r="402" spans="7:13">
      <c r="G402" s="3">
        <v>389</v>
      </c>
      <c r="H402" s="5">
        <f t="shared" si="42"/>
        <v>32.416666666666664</v>
      </c>
      <c r="I402" s="4">
        <f t="shared" si="41"/>
        <v>0.89210596035934264</v>
      </c>
      <c r="J402" s="10">
        <f t="shared" si="43"/>
        <v>0.20564282207927187</v>
      </c>
      <c r="K402" s="24">
        <f t="shared" si="44"/>
        <v>32</v>
      </c>
      <c r="L402" s="19">
        <f t="shared" si="45"/>
        <v>1.6103243201551849</v>
      </c>
      <c r="M402" s="19">
        <f t="shared" si="46"/>
        <v>3.1952347391761966E-4</v>
      </c>
    </row>
    <row r="403" spans="7:13">
      <c r="G403" s="3">
        <v>390</v>
      </c>
      <c r="H403" s="5">
        <f t="shared" si="42"/>
        <v>32.5</v>
      </c>
      <c r="I403" s="4">
        <f t="shared" si="41"/>
        <v>0.89113284740797161</v>
      </c>
      <c r="J403" s="10">
        <f t="shared" si="43"/>
        <v>0.20480840727609717</v>
      </c>
      <c r="K403" s="24">
        <f t="shared" si="44"/>
        <v>32</v>
      </c>
      <c r="L403" s="19">
        <f t="shared" si="45"/>
        <v>1.6103243201551849</v>
      </c>
      <c r="M403" s="19">
        <f t="shared" si="46"/>
        <v>3.2094039657147696E-4</v>
      </c>
    </row>
    <row r="404" spans="7:13">
      <c r="G404" s="3">
        <v>391</v>
      </c>
      <c r="H404" s="5">
        <f t="shared" si="42"/>
        <v>32.583333333333336</v>
      </c>
      <c r="I404" s="4">
        <f t="shared" si="41"/>
        <v>0.89015144575709482</v>
      </c>
      <c r="J404" s="10">
        <f t="shared" si="43"/>
        <v>0.20397737818829398</v>
      </c>
      <c r="K404" s="24">
        <f t="shared" si="44"/>
        <v>32</v>
      </c>
      <c r="L404" s="19">
        <f t="shared" si="45"/>
        <v>1.6103243201551849</v>
      </c>
      <c r="M404" s="19">
        <f t="shared" si="46"/>
        <v>3.2236073808999895E-4</v>
      </c>
    </row>
    <row r="405" spans="7:13">
      <c r="G405" s="3">
        <v>392</v>
      </c>
      <c r="H405" s="5">
        <f t="shared" si="42"/>
        <v>32.666666666666664</v>
      </c>
      <c r="I405" s="4">
        <f t="shared" si="41"/>
        <v>0.88916169371655884</v>
      </c>
      <c r="J405" s="10">
        <f t="shared" si="43"/>
        <v>0.2031497210780086</v>
      </c>
      <c r="K405" s="24">
        <f t="shared" si="44"/>
        <v>32</v>
      </c>
      <c r="L405" s="19">
        <f t="shared" si="45"/>
        <v>1.6103243201551849</v>
      </c>
      <c r="M405" s="19">
        <f t="shared" si="46"/>
        <v>3.2378445042037919E-4</v>
      </c>
    </row>
    <row r="406" spans="7:13">
      <c r="G406" s="3">
        <v>393</v>
      </c>
      <c r="H406" s="5">
        <f t="shared" si="42"/>
        <v>32.75</v>
      </c>
      <c r="I406" s="4">
        <f t="shared" si="41"/>
        <v>0.88816352933996556</v>
      </c>
      <c r="J406" s="10">
        <f t="shared" si="43"/>
        <v>0.20232542226312966</v>
      </c>
      <c r="K406" s="24">
        <f t="shared" si="44"/>
        <v>32</v>
      </c>
      <c r="L406" s="19">
        <f t="shared" si="45"/>
        <v>1.6103243201551849</v>
      </c>
      <c r="M406" s="19">
        <f t="shared" si="46"/>
        <v>3.252114844234406E-4</v>
      </c>
    </row>
    <row r="407" spans="7:13">
      <c r="G407" s="3">
        <v>394</v>
      </c>
      <c r="H407" s="5">
        <f t="shared" si="42"/>
        <v>32.833333333333336</v>
      </c>
      <c r="I407" s="4">
        <f t="shared" si="41"/>
        <v>0.88715689042805757</v>
      </c>
      <c r="J407" s="10">
        <f t="shared" si="43"/>
        <v>0.20150446811706255</v>
      </c>
      <c r="K407" s="24">
        <f t="shared" si="44"/>
        <v>32</v>
      </c>
      <c r="L407" s="19">
        <f t="shared" si="45"/>
        <v>1.6103243201551849</v>
      </c>
      <c r="M407" s="19">
        <f t="shared" si="46"/>
        <v>3.2664178985951315E-4</v>
      </c>
    </row>
    <row r="408" spans="7:13">
      <c r="G408" s="3">
        <v>395</v>
      </c>
      <c r="H408" s="5">
        <f t="shared" si="42"/>
        <v>32.916666666666664</v>
      </c>
      <c r="I408" s="4">
        <f t="shared" si="41"/>
        <v>0.88614171453222634</v>
      </c>
      <c r="J408" s="10">
        <f t="shared" si="43"/>
        <v>0.20068684506850365</v>
      </c>
      <c r="K408" s="24">
        <f t="shared" si="44"/>
        <v>32</v>
      </c>
      <c r="L408" s="19">
        <f t="shared" si="45"/>
        <v>1.6103243201551849</v>
      </c>
      <c r="M408" s="19">
        <f t="shared" si="46"/>
        <v>3.2807531537463731E-4</v>
      </c>
    </row>
    <row r="409" spans="7:13">
      <c r="G409" s="3">
        <v>396</v>
      </c>
      <c r="H409" s="5">
        <f t="shared" si="42"/>
        <v>33</v>
      </c>
      <c r="I409" s="4">
        <f t="shared" si="41"/>
        <v>0.88511793895814683</v>
      </c>
      <c r="J409" s="10">
        <f t="shared" si="43"/>
        <v>0.19987253960121634</v>
      </c>
      <c r="K409" s="24">
        <f t="shared" si="44"/>
        <v>33</v>
      </c>
      <c r="L409" s="19">
        <f t="shared" si="45"/>
        <v>1.6344791849575124</v>
      </c>
      <c r="M409" s="19">
        <f t="shared" si="46"/>
        <v>3.2951200848627523E-4</v>
      </c>
    </row>
    <row r="410" spans="7:13">
      <c r="G410" s="3">
        <v>397</v>
      </c>
      <c r="H410" s="5">
        <f t="shared" si="42"/>
        <v>33.083333333333336</v>
      </c>
      <c r="I410" s="4">
        <f t="shared" si="41"/>
        <v>0.88408550076953918</v>
      </c>
      <c r="J410" s="10">
        <f t="shared" si="43"/>
        <v>0.19906153825380668</v>
      </c>
      <c r="K410" s="24">
        <f t="shared" si="44"/>
        <v>33</v>
      </c>
      <c r="L410" s="19">
        <f t="shared" si="45"/>
        <v>1.6344791849575124</v>
      </c>
      <c r="M410" s="19">
        <f t="shared" si="46"/>
        <v>3.3591609280294107E-4</v>
      </c>
    </row>
    <row r="411" spans="7:13">
      <c r="G411" s="3">
        <v>398</v>
      </c>
      <c r="H411" s="5">
        <f t="shared" si="42"/>
        <v>33.166666666666664</v>
      </c>
      <c r="I411" s="4">
        <f t="shared" si="41"/>
        <v>0.88304433679206173</v>
      </c>
      <c r="J411" s="10">
        <f t="shared" si="43"/>
        <v>0.19825382761950278</v>
      </c>
      <c r="K411" s="24">
        <f t="shared" si="44"/>
        <v>33</v>
      </c>
      <c r="L411" s="19">
        <f t="shared" si="45"/>
        <v>1.6344791849575124</v>
      </c>
      <c r="M411" s="19">
        <f t="shared" si="46"/>
        <v>3.3738060206960649E-4</v>
      </c>
    </row>
    <row r="412" spans="7:13">
      <c r="G412" s="3">
        <v>399</v>
      </c>
      <c r="H412" s="5">
        <f t="shared" si="42"/>
        <v>33.25</v>
      </c>
      <c r="I412" s="4">
        <f t="shared" si="41"/>
        <v>0.88199438361733606</v>
      </c>
      <c r="J412" s="10">
        <f t="shared" si="43"/>
        <v>0.19744939434593106</v>
      </c>
      <c r="K412" s="24">
        <f t="shared" si="44"/>
        <v>33</v>
      </c>
      <c r="L412" s="19">
        <f t="shared" si="45"/>
        <v>1.6344791849575124</v>
      </c>
      <c r="M412" s="19">
        <f t="shared" si="46"/>
        <v>3.3884815962113325E-4</v>
      </c>
    </row>
    <row r="413" spans="7:13">
      <c r="G413" s="3">
        <v>400</v>
      </c>
      <c r="H413" s="5">
        <f t="shared" si="42"/>
        <v>33.333333333333336</v>
      </c>
      <c r="I413" s="4">
        <f t="shared" si="41"/>
        <v>0.88093557760710772</v>
      </c>
      <c r="J413" s="10">
        <f t="shared" si="43"/>
        <v>0.19664822513489671</v>
      </c>
      <c r="K413" s="24">
        <f t="shared" si="44"/>
        <v>33</v>
      </c>
      <c r="L413" s="19">
        <f t="shared" si="45"/>
        <v>1.6344791849575124</v>
      </c>
      <c r="M413" s="19">
        <f t="shared" si="46"/>
        <v>3.4031870746159852E-4</v>
      </c>
    </row>
    <row r="414" spans="7:13">
      <c r="G414" s="3">
        <v>401</v>
      </c>
      <c r="H414" s="5">
        <f t="shared" si="42"/>
        <v>33.416666666666664</v>
      </c>
      <c r="I414" s="4">
        <f t="shared" si="41"/>
        <v>0.87986785489754438</v>
      </c>
      <c r="J414" s="10">
        <f t="shared" si="43"/>
        <v>0.19585030674216372</v>
      </c>
      <c r="K414" s="24">
        <f t="shared" si="44"/>
        <v>33</v>
      </c>
      <c r="L414" s="19">
        <f t="shared" si="45"/>
        <v>1.6344791849575124</v>
      </c>
      <c r="M414" s="19">
        <f t="shared" si="46"/>
        <v>3.4179218637696952E-4</v>
      </c>
    </row>
    <row r="415" spans="7:13">
      <c r="G415" s="3">
        <v>402</v>
      </c>
      <c r="H415" s="5">
        <f t="shared" si="42"/>
        <v>33.5</v>
      </c>
      <c r="I415" s="4">
        <f t="shared" si="41"/>
        <v>0.87879115140367392</v>
      </c>
      <c r="J415" s="10">
        <f t="shared" si="43"/>
        <v>0.19505562597723539</v>
      </c>
      <c r="K415" s="24">
        <f t="shared" si="44"/>
        <v>33</v>
      </c>
      <c r="L415" s="19">
        <f t="shared" si="45"/>
        <v>1.6344791849575124</v>
      </c>
      <c r="M415" s="19">
        <f t="shared" si="46"/>
        <v>3.4326853592034004E-4</v>
      </c>
    </row>
    <row r="416" spans="7:13">
      <c r="G416" s="3">
        <v>403</v>
      </c>
      <c r="H416" s="5">
        <f t="shared" si="42"/>
        <v>33.583333333333336</v>
      </c>
      <c r="I416" s="4">
        <f t="shared" si="41"/>
        <v>0.87770540282396514</v>
      </c>
      <c r="J416" s="10">
        <f t="shared" si="43"/>
        <v>0.19426416970313715</v>
      </c>
      <c r="K416" s="24">
        <f t="shared" si="44"/>
        <v>33</v>
      </c>
      <c r="L416" s="19">
        <f t="shared" si="45"/>
        <v>1.6344791849575124</v>
      </c>
      <c r="M416" s="19">
        <f t="shared" si="46"/>
        <v>3.4474769439707208E-4</v>
      </c>
    </row>
    <row r="417" spans="7:13">
      <c r="G417" s="3">
        <v>404</v>
      </c>
      <c r="H417" s="5">
        <f t="shared" si="42"/>
        <v>33.666666666666664</v>
      </c>
      <c r="I417" s="4">
        <f t="shared" si="41"/>
        <v>0.87661054464505395</v>
      </c>
      <c r="J417" s="10">
        <f t="shared" si="43"/>
        <v>0.19347592483619869</v>
      </c>
      <c r="K417" s="24">
        <f t="shared" si="44"/>
        <v>33</v>
      </c>
      <c r="L417" s="19">
        <f t="shared" si="45"/>
        <v>1.6344791849575124</v>
      </c>
      <c r="M417" s="19">
        <f t="shared" si="46"/>
        <v>3.4622959884970917E-4</v>
      </c>
    </row>
    <row r="418" spans="7:13">
      <c r="G418" s="3">
        <v>405</v>
      </c>
      <c r="H418" s="5">
        <f t="shared" si="42"/>
        <v>33.75</v>
      </c>
      <c r="I418" s="4">
        <f t="shared" si="41"/>
        <v>0.87550651214661623</v>
      </c>
      <c r="J418" s="10">
        <f t="shared" si="43"/>
        <v>0.19269087834583778</v>
      </c>
      <c r="K418" s="24">
        <f t="shared" si="44"/>
        <v>33</v>
      </c>
      <c r="L418" s="19">
        <f t="shared" si="45"/>
        <v>1.6344791849575124</v>
      </c>
      <c r="M418" s="19">
        <f t="shared" si="46"/>
        <v>3.47714185043274E-4</v>
      </c>
    </row>
    <row r="419" spans="7:13">
      <c r="G419" s="3">
        <v>406</v>
      </c>
      <c r="H419" s="5">
        <f t="shared" si="42"/>
        <v>33.833333333333336</v>
      </c>
      <c r="I419" s="4">
        <f t="shared" si="41"/>
        <v>0.87439324040639188</v>
      </c>
      <c r="J419" s="10">
        <f t="shared" si="43"/>
        <v>0.19190901725434525</v>
      </c>
      <c r="K419" s="24">
        <f t="shared" si="44"/>
        <v>33</v>
      </c>
      <c r="L419" s="19">
        <f t="shared" si="45"/>
        <v>1.6344791849575124</v>
      </c>
      <c r="M419" s="19">
        <f t="shared" si="46"/>
        <v>3.492013874499038E-4</v>
      </c>
    </row>
    <row r="420" spans="7:13">
      <c r="G420" s="3">
        <v>407</v>
      </c>
      <c r="H420" s="5">
        <f t="shared" si="42"/>
        <v>33.916666666666664</v>
      </c>
      <c r="I420" s="4">
        <f t="shared" si="41"/>
        <v>0.87327066430536082</v>
      </c>
      <c r="J420" s="10">
        <f t="shared" si="43"/>
        <v>0.19113032863667012</v>
      </c>
      <c r="K420" s="24">
        <f t="shared" si="44"/>
        <v>33</v>
      </c>
      <c r="L420" s="19">
        <f t="shared" si="45"/>
        <v>1.6344791849575124</v>
      </c>
      <c r="M420" s="19">
        <f t="shared" si="46"/>
        <v>3.5069113923392217E-4</v>
      </c>
    </row>
    <row r="421" spans="7:13">
      <c r="G421" s="3">
        <v>408</v>
      </c>
      <c r="H421" s="5">
        <f t="shared" si="42"/>
        <v>34</v>
      </c>
      <c r="I421" s="4">
        <f t="shared" si="41"/>
        <v>0.87213871853307467</v>
      </c>
      <c r="J421" s="10">
        <f t="shared" si="43"/>
        <v>0.19035479962020604</v>
      </c>
      <c r="K421" s="24">
        <f t="shared" si="44"/>
        <v>34</v>
      </c>
      <c r="L421" s="19">
        <f t="shared" si="45"/>
        <v>1.6589963727318748</v>
      </c>
      <c r="M421" s="19">
        <f t="shared" si="46"/>
        <v>3.5218337223658807E-4</v>
      </c>
    </row>
    <row r="422" spans="7:13">
      <c r="G422" s="3">
        <v>409</v>
      </c>
      <c r="H422" s="5">
        <f t="shared" si="42"/>
        <v>34.083333333333336</v>
      </c>
      <c r="I422" s="4">
        <f t="shared" si="41"/>
        <v>0.87099733759314646</v>
      </c>
      <c r="J422" s="10">
        <f t="shared" si="43"/>
        <v>0.18958241738457776</v>
      </c>
      <c r="K422" s="24">
        <f t="shared" si="44"/>
        <v>34</v>
      </c>
      <c r="L422" s="19">
        <f t="shared" si="45"/>
        <v>1.6589963727318748</v>
      </c>
      <c r="M422" s="19">
        <f t="shared" si="46"/>
        <v>3.589831872152226E-4</v>
      </c>
    </row>
    <row r="423" spans="7:13">
      <c r="G423" s="3">
        <v>410</v>
      </c>
      <c r="H423" s="5">
        <f t="shared" si="42"/>
        <v>34.166666666666664</v>
      </c>
      <c r="I423" s="4">
        <f t="shared" si="41"/>
        <v>0.86984645580890096</v>
      </c>
      <c r="J423" s="10">
        <f t="shared" si="43"/>
        <v>0.1888131691614312</v>
      </c>
      <c r="K423" s="24">
        <f t="shared" si="44"/>
        <v>34</v>
      </c>
      <c r="L423" s="19">
        <f t="shared" si="45"/>
        <v>1.6589963727318748</v>
      </c>
      <c r="M423" s="19">
        <f t="shared" si="46"/>
        <v>3.6050262759418513E-4</v>
      </c>
    </row>
    <row r="424" spans="7:13">
      <c r="G424" s="3">
        <v>411</v>
      </c>
      <c r="H424" s="5">
        <f t="shared" si="42"/>
        <v>34.25</v>
      </c>
      <c r="I424" s="4">
        <f t="shared" ref="I424:I487" si="47">I423*(B$9^(1/12))*B$8^((B$5^(B$7+H423))*((B$5^(1/12)-1)))</f>
        <v>0.86868600732918788</v>
      </c>
      <c r="J424" s="10">
        <f t="shared" si="43"/>
        <v>0.18804704223422003</v>
      </c>
      <c r="K424" s="24">
        <f t="shared" si="44"/>
        <v>34</v>
      </c>
      <c r="L424" s="19">
        <f t="shared" si="45"/>
        <v>1.6589963727318748</v>
      </c>
      <c r="M424" s="19">
        <f t="shared" si="46"/>
        <v>3.6202437065415165E-4</v>
      </c>
    </row>
    <row r="425" spans="7:13">
      <c r="G425" s="3">
        <v>412</v>
      </c>
      <c r="H425" s="5">
        <f t="shared" si="42"/>
        <v>34.333333333333336</v>
      </c>
      <c r="I425" s="4">
        <f t="shared" si="47"/>
        <v>0.8675159261343619</v>
      </c>
      <c r="J425" s="10">
        <f t="shared" si="43"/>
        <v>0.18728402393799684</v>
      </c>
      <c r="K425" s="24">
        <f t="shared" si="44"/>
        <v>34</v>
      </c>
      <c r="L425" s="19">
        <f t="shared" si="45"/>
        <v>1.6589963727318748</v>
      </c>
      <c r="M425" s="19">
        <f t="shared" si="46"/>
        <v>3.6354834168695027E-4</v>
      </c>
    </row>
    <row r="426" spans="7:13">
      <c r="G426" s="3">
        <v>413</v>
      </c>
      <c r="H426" s="5">
        <f t="shared" si="42"/>
        <v>34.416666666666664</v>
      </c>
      <c r="I426" s="4">
        <f t="shared" si="47"/>
        <v>0.86633614604243081</v>
      </c>
      <c r="J426" s="10">
        <f t="shared" si="43"/>
        <v>0.1865241016592035</v>
      </c>
      <c r="K426" s="24">
        <f t="shared" si="44"/>
        <v>34</v>
      </c>
      <c r="L426" s="19">
        <f t="shared" si="45"/>
        <v>1.6589963727318748</v>
      </c>
      <c r="M426" s="19">
        <f t="shared" si="46"/>
        <v>3.6507446456367232E-4</v>
      </c>
    </row>
    <row r="427" spans="7:13">
      <c r="G427" s="3">
        <v>414</v>
      </c>
      <c r="H427" s="5">
        <f t="shared" si="42"/>
        <v>34.5</v>
      </c>
      <c r="I427" s="4">
        <f t="shared" si="47"/>
        <v>0.86514660071537541</v>
      </c>
      <c r="J427" s="10">
        <f t="shared" si="43"/>
        <v>0.18576726283546227</v>
      </c>
      <c r="K427" s="24">
        <f t="shared" si="44"/>
        <v>34</v>
      </c>
      <c r="L427" s="19">
        <f t="shared" si="45"/>
        <v>1.6589963727318748</v>
      </c>
      <c r="M427" s="19">
        <f t="shared" si="46"/>
        <v>3.6660266171883782E-4</v>
      </c>
    </row>
    <row r="428" spans="7:13">
      <c r="G428" s="3">
        <v>415</v>
      </c>
      <c r="H428" s="5">
        <f t="shared" si="42"/>
        <v>34.583333333333336</v>
      </c>
      <c r="I428" s="4">
        <f t="shared" si="47"/>
        <v>0.86394722366564369</v>
      </c>
      <c r="J428" s="10">
        <f t="shared" si="43"/>
        <v>0.18501349495536867</v>
      </c>
      <c r="K428" s="24">
        <f t="shared" si="44"/>
        <v>34</v>
      </c>
      <c r="L428" s="19">
        <f t="shared" si="45"/>
        <v>1.6589963727318748</v>
      </c>
      <c r="M428" s="19">
        <f t="shared" si="46"/>
        <v>3.6813285413466102E-4</v>
      </c>
    </row>
    <row r="429" spans="7:13">
      <c r="G429" s="3">
        <v>416</v>
      </c>
      <c r="H429" s="5">
        <f t="shared" si="42"/>
        <v>34.666666666666664</v>
      </c>
      <c r="I429" s="4">
        <f t="shared" si="47"/>
        <v>0.86273794826282202</v>
      </c>
      <c r="J429" s="10">
        <f t="shared" si="43"/>
        <v>0.18426278555828443</v>
      </c>
      <c r="K429" s="24">
        <f t="shared" si="44"/>
        <v>34</v>
      </c>
      <c r="L429" s="19">
        <f t="shared" si="45"/>
        <v>1.6589963727318748</v>
      </c>
      <c r="M429" s="19">
        <f t="shared" si="46"/>
        <v>3.6966496132525211E-4</v>
      </c>
    </row>
    <row r="430" spans="7:13">
      <c r="G430" s="3">
        <v>417</v>
      </c>
      <c r="H430" s="5">
        <f t="shared" si="42"/>
        <v>34.75</v>
      </c>
      <c r="I430" s="4">
        <f t="shared" si="47"/>
        <v>0.86151870774048589</v>
      </c>
      <c r="J430" s="10">
        <f t="shared" si="43"/>
        <v>0.18351512223413119</v>
      </c>
      <c r="K430" s="24">
        <f t="shared" si="44"/>
        <v>34</v>
      </c>
      <c r="L430" s="19">
        <f t="shared" si="45"/>
        <v>1.6589963727318748</v>
      </c>
      <c r="M430" s="19">
        <f t="shared" si="46"/>
        <v>3.7119890132090072E-4</v>
      </c>
    </row>
    <row r="431" spans="7:13">
      <c r="G431" s="3">
        <v>418</v>
      </c>
      <c r="H431" s="5">
        <f t="shared" si="42"/>
        <v>34.833333333333336</v>
      </c>
      <c r="I431" s="4">
        <f t="shared" si="47"/>
        <v>0.86028943520323409</v>
      </c>
      <c r="J431" s="10">
        <f t="shared" si="43"/>
        <v>0.18277049262318598</v>
      </c>
      <c r="K431" s="24">
        <f t="shared" si="44"/>
        <v>34</v>
      </c>
      <c r="L431" s="19">
        <f t="shared" si="45"/>
        <v>1.6589963727318748</v>
      </c>
      <c r="M431" s="19">
        <f t="shared" si="46"/>
        <v>3.7273459065201417E-4</v>
      </c>
    </row>
    <row r="432" spans="7:13">
      <c r="G432" s="3">
        <v>419</v>
      </c>
      <c r="H432" s="5">
        <f t="shared" si="42"/>
        <v>34.916666666666664</v>
      </c>
      <c r="I432" s="4">
        <f t="shared" si="47"/>
        <v>0.85905006363390812</v>
      </c>
      <c r="J432" s="10">
        <f t="shared" si="43"/>
        <v>0.18202888441587631</v>
      </c>
      <c r="K432" s="24">
        <f t="shared" si="44"/>
        <v>34</v>
      </c>
      <c r="L432" s="19">
        <f t="shared" si="45"/>
        <v>1.6589963727318748</v>
      </c>
      <c r="M432" s="19">
        <f t="shared" si="46"/>
        <v>3.7427194433332835E-4</v>
      </c>
    </row>
    <row r="433" spans="7:13">
      <c r="G433" s="3">
        <v>420</v>
      </c>
      <c r="H433" s="5">
        <f t="shared" si="42"/>
        <v>35</v>
      </c>
      <c r="I433" s="4">
        <f t="shared" si="47"/>
        <v>0.85780052590099964</v>
      </c>
      <c r="J433" s="10">
        <f t="shared" si="43"/>
        <v>0.18129028535257716</v>
      </c>
      <c r="K433" s="24">
        <f t="shared" si="44"/>
        <v>35</v>
      </c>
      <c r="L433" s="19">
        <f t="shared" si="45"/>
        <v>1.6838813183228529</v>
      </c>
      <c r="M433" s="19">
        <f t="shared" si="46"/>
        <v>3.7581087584816409E-4</v>
      </c>
    </row>
    <row r="434" spans="7:13">
      <c r="G434" s="3">
        <v>421</v>
      </c>
      <c r="H434" s="5">
        <f t="shared" si="42"/>
        <v>35.083333333333336</v>
      </c>
      <c r="I434" s="4">
        <f t="shared" si="47"/>
        <v>0.8565407547662498</v>
      </c>
      <c r="J434" s="10">
        <f t="shared" si="43"/>
        <v>0.1805546832234074</v>
      </c>
      <c r="K434" s="24">
        <f t="shared" si="44"/>
        <v>35</v>
      </c>
      <c r="L434" s="19">
        <f t="shared" si="45"/>
        <v>1.6838813183228529</v>
      </c>
      <c r="M434" s="19">
        <f t="shared" si="46"/>
        <v>3.8301156658931875E-4</v>
      </c>
    </row>
    <row r="435" spans="7:13">
      <c r="G435" s="3">
        <v>422</v>
      </c>
      <c r="H435" s="5">
        <f t="shared" si="42"/>
        <v>35.166666666666664</v>
      </c>
      <c r="I435" s="4">
        <f t="shared" si="47"/>
        <v>0.85527068289244257</v>
      </c>
      <c r="J435" s="10">
        <f t="shared" si="43"/>
        <v>0.17982206586802968</v>
      </c>
      <c r="K435" s="24">
        <f t="shared" si="44"/>
        <v>35</v>
      </c>
      <c r="L435" s="19">
        <f t="shared" si="45"/>
        <v>1.6838813183228529</v>
      </c>
      <c r="M435" s="19">
        <f t="shared" si="46"/>
        <v>3.8457651533669614E-4</v>
      </c>
    </row>
    <row r="436" spans="7:13">
      <c r="G436" s="3">
        <v>423</v>
      </c>
      <c r="H436" s="5">
        <f t="shared" si="42"/>
        <v>35.25</v>
      </c>
      <c r="I436" s="4">
        <f t="shared" si="47"/>
        <v>0.8539902428513958</v>
      </c>
      <c r="J436" s="10">
        <f t="shared" si="43"/>
        <v>0.17909242117544763</v>
      </c>
      <c r="K436" s="24">
        <f t="shared" si="44"/>
        <v>35</v>
      </c>
      <c r="L436" s="19">
        <f t="shared" si="45"/>
        <v>1.6838813183228529</v>
      </c>
      <c r="M436" s="19">
        <f t="shared" si="46"/>
        <v>3.8614279265298623E-4</v>
      </c>
    </row>
    <row r="437" spans="7:13">
      <c r="G437" s="3">
        <v>424</v>
      </c>
      <c r="H437" s="5">
        <f t="shared" si="42"/>
        <v>35.333333333333336</v>
      </c>
      <c r="I437" s="4">
        <f t="shared" si="47"/>
        <v>0.85269936713215089</v>
      </c>
      <c r="J437" s="10">
        <f t="shared" si="43"/>
        <v>0.17836573708380654</v>
      </c>
      <c r="K437" s="24">
        <f t="shared" si="44"/>
        <v>35</v>
      </c>
      <c r="L437" s="19">
        <f t="shared" si="45"/>
        <v>1.6838813183228529</v>
      </c>
      <c r="M437" s="19">
        <f t="shared" si="46"/>
        <v>3.8771030434435672E-4</v>
      </c>
    </row>
    <row r="438" spans="7:13">
      <c r="G438" s="3">
        <v>425</v>
      </c>
      <c r="H438" s="5">
        <f t="shared" si="42"/>
        <v>35.416666666666664</v>
      </c>
      <c r="I438" s="4">
        <f t="shared" si="47"/>
        <v>0.85139798814936762</v>
      </c>
      <c r="J438" s="10">
        <f t="shared" si="43"/>
        <v>0.17764200158019383</v>
      </c>
      <c r="K438" s="24">
        <f t="shared" si="44"/>
        <v>35</v>
      </c>
      <c r="L438" s="19">
        <f t="shared" si="45"/>
        <v>1.6838813183228529</v>
      </c>
      <c r="M438" s="19">
        <f t="shared" si="46"/>
        <v>3.8927895458139891E-4</v>
      </c>
    </row>
    <row r="439" spans="7:13">
      <c r="G439" s="3">
        <v>426</v>
      </c>
      <c r="H439" s="5">
        <f t="shared" si="42"/>
        <v>35.5</v>
      </c>
      <c r="I439" s="4">
        <f t="shared" si="47"/>
        <v>0.85008603825192353</v>
      </c>
      <c r="J439" s="10">
        <f t="shared" si="43"/>
        <v>0.17692120270044026</v>
      </c>
      <c r="K439" s="24">
        <f t="shared" si="44"/>
        <v>35</v>
      </c>
      <c r="L439" s="19">
        <f t="shared" si="45"/>
        <v>1.6838813183228529</v>
      </c>
      <c r="M439" s="19">
        <f t="shared" si="46"/>
        <v>3.9084864588346369E-4</v>
      </c>
    </row>
    <row r="440" spans="7:13">
      <c r="G440" s="3">
        <v>427</v>
      </c>
      <c r="H440" s="5">
        <f t="shared" si="42"/>
        <v>35.583333333333336</v>
      </c>
      <c r="I440" s="4">
        <f t="shared" si="47"/>
        <v>0.84876344973172235</v>
      </c>
      <c r="J440" s="10">
        <f t="shared" si="43"/>
        <v>0.17620332852892256</v>
      </c>
      <c r="K440" s="24">
        <f t="shared" si="44"/>
        <v>35</v>
      </c>
      <c r="L440" s="19">
        <f t="shared" si="45"/>
        <v>1.6838813183228529</v>
      </c>
      <c r="M440" s="19">
        <f t="shared" si="46"/>
        <v>3.9241927910250914E-4</v>
      </c>
    </row>
    <row r="441" spans="7:13">
      <c r="G441" s="3">
        <v>428</v>
      </c>
      <c r="H441" s="5">
        <f t="shared" si="42"/>
        <v>35.666666666666664</v>
      </c>
      <c r="I441" s="4">
        <f t="shared" si="47"/>
        <v>0.84743015483271589</v>
      </c>
      <c r="J441" s="10">
        <f t="shared" si="43"/>
        <v>0.17548836719836614</v>
      </c>
      <c r="K441" s="24">
        <f t="shared" si="44"/>
        <v>35</v>
      </c>
      <c r="L441" s="19">
        <f t="shared" si="45"/>
        <v>1.6838813183228529</v>
      </c>
      <c r="M441" s="19">
        <f t="shared" si="46"/>
        <v>3.9399075340664435E-4</v>
      </c>
    </row>
    <row r="442" spans="7:13">
      <c r="G442" s="3">
        <v>429</v>
      </c>
      <c r="H442" s="5">
        <f t="shared" si="42"/>
        <v>35.75</v>
      </c>
      <c r="I442" s="4">
        <f t="shared" si="47"/>
        <v>0.84608608576013922</v>
      </c>
      <c r="J442" s="10">
        <f t="shared" si="43"/>
        <v>0.17477630688964879</v>
      </c>
      <c r="K442" s="24">
        <f t="shared" si="44"/>
        <v>35</v>
      </c>
      <c r="L442" s="19">
        <f t="shared" si="45"/>
        <v>1.6838813183228529</v>
      </c>
      <c r="M442" s="19">
        <f t="shared" si="46"/>
        <v>3.9556296626453477E-4</v>
      </c>
    </row>
    <row r="443" spans="7:13">
      <c r="G443" s="3">
        <v>430</v>
      </c>
      <c r="H443" s="5">
        <f t="shared" si="42"/>
        <v>35.833333333333336</v>
      </c>
      <c r="I443" s="4">
        <f t="shared" si="47"/>
        <v>0.84473117468996561</v>
      </c>
      <c r="J443" s="10">
        <f t="shared" si="43"/>
        <v>0.17406713583160568</v>
      </c>
      <c r="K443" s="24">
        <f t="shared" si="44"/>
        <v>35</v>
      </c>
      <c r="L443" s="19">
        <f t="shared" si="45"/>
        <v>1.6838813183228529</v>
      </c>
      <c r="M443" s="19">
        <f t="shared" si="46"/>
        <v>3.9713581342893007E-4</v>
      </c>
    </row>
    <row r="444" spans="7:13">
      <c r="G444" s="3">
        <v>431</v>
      </c>
      <c r="H444" s="5">
        <f t="shared" si="42"/>
        <v>35.916666666666664</v>
      </c>
      <c r="I444" s="4">
        <f t="shared" si="47"/>
        <v>0.84336535377858057</v>
      </c>
      <c r="J444" s="10">
        <f t="shared" si="43"/>
        <v>0.17336084230083459</v>
      </c>
      <c r="K444" s="24">
        <f t="shared" si="44"/>
        <v>35</v>
      </c>
      <c r="L444" s="19">
        <f t="shared" si="45"/>
        <v>1.6838813183228529</v>
      </c>
      <c r="M444" s="19">
        <f t="shared" si="46"/>
        <v>3.9870918892126006E-4</v>
      </c>
    </row>
    <row r="445" spans="7:13">
      <c r="G445" s="3">
        <v>432</v>
      </c>
      <c r="H445" s="5">
        <f t="shared" si="42"/>
        <v>36</v>
      </c>
      <c r="I445" s="4">
        <f t="shared" si="47"/>
        <v>0.84198855517268245</v>
      </c>
      <c r="J445" s="10">
        <f t="shared" si="43"/>
        <v>0.17265741462150208</v>
      </c>
      <c r="K445" s="24">
        <f t="shared" si="44"/>
        <v>36</v>
      </c>
      <c r="L445" s="19">
        <f t="shared" si="45"/>
        <v>1.7091395380976955</v>
      </c>
      <c r="M445" s="19">
        <f t="shared" si="46"/>
        <v>4.0028298501498881E-4</v>
      </c>
    </row>
    <row r="446" spans="7:13">
      <c r="G446" s="3">
        <v>433</v>
      </c>
      <c r="H446" s="5">
        <f t="shared" si="42"/>
        <v>36.083333333333336</v>
      </c>
      <c r="I446" s="4">
        <f t="shared" si="47"/>
        <v>0.84060071101940836</v>
      </c>
      <c r="J446" s="10">
        <f t="shared" si="43"/>
        <v>0.17195684116514987</v>
      </c>
      <c r="K446" s="24">
        <f t="shared" si="44"/>
        <v>36</v>
      </c>
      <c r="L446" s="19">
        <f t="shared" si="45"/>
        <v>1.7091395380976955</v>
      </c>
      <c r="M446" s="19">
        <f t="shared" si="46"/>
        <v>4.078849486036144E-4</v>
      </c>
    </row>
    <row r="447" spans="7:13">
      <c r="G447" s="3">
        <v>434</v>
      </c>
      <c r="H447" s="5">
        <f t="shared" si="42"/>
        <v>36.166666666666664</v>
      </c>
      <c r="I447" s="4">
        <f t="shared" si="47"/>
        <v>0.83920175347669146</v>
      </c>
      <c r="J447" s="10">
        <f t="shared" si="43"/>
        <v>0.17125911035050448</v>
      </c>
      <c r="K447" s="24">
        <f t="shared" si="44"/>
        <v>36</v>
      </c>
      <c r="L447" s="19">
        <f t="shared" si="45"/>
        <v>1.7091395380976955</v>
      </c>
      <c r="M447" s="19">
        <f t="shared" si="46"/>
        <v>4.0948287025703752E-4</v>
      </c>
    </row>
    <row r="448" spans="7:13">
      <c r="G448" s="3">
        <v>435</v>
      </c>
      <c r="H448" s="5">
        <f t="shared" si="42"/>
        <v>36.25</v>
      </c>
      <c r="I448" s="4">
        <f t="shared" si="47"/>
        <v>0.837791614723851</v>
      </c>
      <c r="J448" s="10">
        <f t="shared" si="43"/>
        <v>0.17056421064328345</v>
      </c>
      <c r="K448" s="24">
        <f t="shared" si="44"/>
        <v>36</v>
      </c>
      <c r="L448" s="19">
        <f t="shared" si="45"/>
        <v>1.7091395380976955</v>
      </c>
      <c r="M448" s="19">
        <f t="shared" si="46"/>
        <v>4.1108087999031979E-4</v>
      </c>
    </row>
    <row r="449" spans="7:13">
      <c r="G449" s="3">
        <v>436</v>
      </c>
      <c r="H449" s="5">
        <f t="shared" si="42"/>
        <v>36.333333333333336</v>
      </c>
      <c r="I449" s="4">
        <f t="shared" si="47"/>
        <v>0.83637022697241925</v>
      </c>
      <c r="J449" s="10">
        <f t="shared" si="43"/>
        <v>0.1698721305560062</v>
      </c>
      <c r="K449" s="24">
        <f t="shared" si="44"/>
        <v>36</v>
      </c>
      <c r="L449" s="19">
        <f t="shared" si="45"/>
        <v>1.7091395380976955</v>
      </c>
      <c r="M449" s="19">
        <f t="shared" si="46"/>
        <v>4.1267886120536406E-4</v>
      </c>
    </row>
    <row r="450" spans="7:13">
      <c r="G450" s="3">
        <v>437</v>
      </c>
      <c r="H450" s="5">
        <f t="shared" si="42"/>
        <v>36.416666666666664</v>
      </c>
      <c r="I450" s="4">
        <f t="shared" si="47"/>
        <v>0.83493752247720754</v>
      </c>
      <c r="J450" s="10">
        <f t="shared" si="43"/>
        <v>0.16918285864780361</v>
      </c>
      <c r="K450" s="24">
        <f t="shared" si="44"/>
        <v>36</v>
      </c>
      <c r="L450" s="19">
        <f t="shared" si="45"/>
        <v>1.7091395380976955</v>
      </c>
      <c r="M450" s="19">
        <f t="shared" si="46"/>
        <v>4.1427669545042277E-4</v>
      </c>
    </row>
    <row r="451" spans="7:13">
      <c r="G451" s="3">
        <v>438</v>
      </c>
      <c r="H451" s="5">
        <f t="shared" si="42"/>
        <v>36.5</v>
      </c>
      <c r="I451" s="4">
        <f t="shared" si="47"/>
        <v>0.83349343354761518</v>
      </c>
      <c r="J451" s="10">
        <f t="shared" si="43"/>
        <v>0.1684963835242288</v>
      </c>
      <c r="K451" s="24">
        <f t="shared" si="44"/>
        <v>36</v>
      </c>
      <c r="L451" s="19">
        <f t="shared" si="45"/>
        <v>1.7091395380976955</v>
      </c>
      <c r="M451" s="19">
        <f t="shared" si="46"/>
        <v>4.1587426240427181E-4</v>
      </c>
    </row>
    <row r="452" spans="7:13">
      <c r="G452" s="3">
        <v>439</v>
      </c>
      <c r="H452" s="5">
        <f t="shared" si="42"/>
        <v>36.583333333333336</v>
      </c>
      <c r="I452" s="4">
        <f t="shared" si="47"/>
        <v>0.83203789255918381</v>
      </c>
      <c r="J452" s="10">
        <f t="shared" si="43"/>
        <v>0.16781269383706907</v>
      </c>
      <c r="K452" s="24">
        <f t="shared" si="44"/>
        <v>36</v>
      </c>
      <c r="L452" s="19">
        <f t="shared" si="45"/>
        <v>1.7091395380976955</v>
      </c>
      <c r="M452" s="19">
        <f t="shared" si="46"/>
        <v>4.1747143986067126E-4</v>
      </c>
    </row>
    <row r="453" spans="7:13">
      <c r="G453" s="3">
        <v>440</v>
      </c>
      <c r="H453" s="5">
        <f t="shared" si="42"/>
        <v>36.666666666666664</v>
      </c>
      <c r="I453" s="4">
        <f t="shared" si="47"/>
        <v>0.83057083196540094</v>
      </c>
      <c r="J453" s="10">
        <f t="shared" si="43"/>
        <v>0.16713177828415821</v>
      </c>
      <c r="K453" s="24">
        <f t="shared" si="44"/>
        <v>36</v>
      </c>
      <c r="L453" s="19">
        <f t="shared" si="45"/>
        <v>1.7091395380976955</v>
      </c>
      <c r="M453" s="19">
        <f t="shared" si="46"/>
        <v>4.1906810371270138E-4</v>
      </c>
    </row>
    <row r="454" spans="7:13">
      <c r="G454" s="3">
        <v>441</v>
      </c>
      <c r="H454" s="5">
        <f t="shared" si="42"/>
        <v>36.75</v>
      </c>
      <c r="I454" s="4">
        <f t="shared" si="47"/>
        <v>0.82909218430975429</v>
      </c>
      <c r="J454" s="10">
        <f t="shared" si="43"/>
        <v>0.1664536256091893</v>
      </c>
      <c r="K454" s="24">
        <f t="shared" si="44"/>
        <v>36</v>
      </c>
      <c r="L454" s="19">
        <f t="shared" si="45"/>
        <v>1.7091395380976955</v>
      </c>
      <c r="M454" s="19">
        <f t="shared" si="46"/>
        <v>4.2066412793765072E-4</v>
      </c>
    </row>
    <row r="455" spans="7:13">
      <c r="G455" s="3">
        <v>442</v>
      </c>
      <c r="H455" s="5">
        <f t="shared" si="42"/>
        <v>36.833333333333336</v>
      </c>
      <c r="I455" s="4">
        <f t="shared" si="47"/>
        <v>0.82760188223804243</v>
      </c>
      <c r="J455" s="10">
        <f t="shared" si="43"/>
        <v>0.16577822460152922</v>
      </c>
      <c r="K455" s="24">
        <f t="shared" si="44"/>
        <v>36</v>
      </c>
      <c r="L455" s="19">
        <f t="shared" si="45"/>
        <v>1.7091395380976955</v>
      </c>
      <c r="M455" s="19">
        <f t="shared" si="46"/>
        <v>4.2225938458135523E-4</v>
      </c>
    </row>
    <row r="456" spans="7:13">
      <c r="G456" s="3">
        <v>443</v>
      </c>
      <c r="H456" s="5">
        <f t="shared" si="42"/>
        <v>36.916666666666664</v>
      </c>
      <c r="I456" s="4">
        <f t="shared" si="47"/>
        <v>0.82609985851094192</v>
      </c>
      <c r="J456" s="10">
        <f t="shared" si="43"/>
        <v>0.16510556409603291</v>
      </c>
      <c r="K456" s="24">
        <f t="shared" si="44"/>
        <v>36</v>
      </c>
      <c r="L456" s="19">
        <f t="shared" si="45"/>
        <v>1.7091395380976955</v>
      </c>
      <c r="M456" s="19">
        <f t="shared" si="46"/>
        <v>4.2385374374345058E-4</v>
      </c>
    </row>
    <row r="457" spans="7:13">
      <c r="G457" s="3">
        <v>444</v>
      </c>
      <c r="H457" s="5">
        <f t="shared" si="42"/>
        <v>37</v>
      </c>
      <c r="I457" s="4">
        <f t="shared" si="47"/>
        <v>0.82458604601683672</v>
      </c>
      <c r="J457" s="10">
        <f t="shared" si="43"/>
        <v>0.1644356329728591</v>
      </c>
      <c r="K457" s="24">
        <f t="shared" si="44"/>
        <v>37</v>
      </c>
      <c r="L457" s="19">
        <f t="shared" si="45"/>
        <v>1.7347766311691606</v>
      </c>
      <c r="M457" s="19">
        <f t="shared" si="46"/>
        <v>4.2544707356202791E-4</v>
      </c>
    </row>
    <row r="458" spans="7:13">
      <c r="G458" s="3">
        <v>445</v>
      </c>
      <c r="H458" s="5">
        <f t="shared" si="42"/>
        <v>37.083333333333336</v>
      </c>
      <c r="I458" s="4">
        <f t="shared" si="47"/>
        <v>0.82306037778491037</v>
      </c>
      <c r="J458" s="10">
        <f t="shared" si="43"/>
        <v>0.1637684201572856</v>
      </c>
      <c r="K458" s="24">
        <f t="shared" si="44"/>
        <v>37</v>
      </c>
      <c r="L458" s="19">
        <f t="shared" si="45"/>
        <v>1.7347766311691606</v>
      </c>
      <c r="M458" s="19">
        <f t="shared" si="46"/>
        <v>4.3344482880213484E-4</v>
      </c>
    </row>
    <row r="459" spans="7:13">
      <c r="G459" s="3">
        <v>446</v>
      </c>
      <c r="H459" s="5">
        <f t="shared" si="42"/>
        <v>37.166666666666664</v>
      </c>
      <c r="I459" s="4">
        <f t="shared" si="47"/>
        <v>0.82152278699850656</v>
      </c>
      <c r="J459" s="10">
        <f t="shared" si="43"/>
        <v>0.16310391461952806</v>
      </c>
      <c r="K459" s="24">
        <f t="shared" si="44"/>
        <v>37</v>
      </c>
      <c r="L459" s="19">
        <f t="shared" si="45"/>
        <v>1.7347766311691606</v>
      </c>
      <c r="M459" s="19">
        <f t="shared" si="46"/>
        <v>4.3505955944320098E-4</v>
      </c>
    </row>
    <row r="460" spans="7:13">
      <c r="G460" s="3">
        <v>447</v>
      </c>
      <c r="H460" s="5">
        <f t="shared" si="42"/>
        <v>37.25</v>
      </c>
      <c r="I460" s="4">
        <f t="shared" si="47"/>
        <v>0.81997320700875875</v>
      </c>
      <c r="J460" s="10">
        <f t="shared" si="43"/>
        <v>0.16244210537455567</v>
      </c>
      <c r="K460" s="24">
        <f t="shared" si="44"/>
        <v>37</v>
      </c>
      <c r="L460" s="19">
        <f t="shared" si="45"/>
        <v>1.7347766311691606</v>
      </c>
      <c r="M460" s="19">
        <f t="shared" si="46"/>
        <v>4.366728316868601E-4</v>
      </c>
    </row>
    <row r="461" spans="7:13">
      <c r="G461" s="3">
        <v>448</v>
      </c>
      <c r="H461" s="5">
        <f t="shared" si="42"/>
        <v>37.333333333333336</v>
      </c>
      <c r="I461" s="4">
        <f t="shared" si="47"/>
        <v>0.81841157134849341</v>
      </c>
      <c r="J461" s="10">
        <f t="shared" si="43"/>
        <v>0.16178298148191067</v>
      </c>
      <c r="K461" s="24">
        <f t="shared" si="44"/>
        <v>37</v>
      </c>
      <c r="L461" s="19">
        <f t="shared" si="45"/>
        <v>1.7347766311691606</v>
      </c>
      <c r="M461" s="19">
        <f t="shared" si="46"/>
        <v>4.3828450358129141E-4</v>
      </c>
    </row>
    <row r="462" spans="7:13">
      <c r="G462" s="3">
        <v>449</v>
      </c>
      <c r="H462" s="5">
        <f t="shared" ref="H462:H525" si="48">G462/12</f>
        <v>37.416666666666664</v>
      </c>
      <c r="I462" s="4">
        <f t="shared" si="47"/>
        <v>0.81683781374640885</v>
      </c>
      <c r="J462" s="10">
        <f t="shared" ref="J462:J525" si="49">(1+B$6)^-H462</f>
        <v>0.16112653204552724</v>
      </c>
      <c r="K462" s="24">
        <f t="shared" ref="K462:K525" si="50">INT(H462+0.000001)</f>
        <v>37</v>
      </c>
      <c r="L462" s="19">
        <f t="shared" ref="L462:L525" si="51">1.015^K462</f>
        <v>1.7347766311691606</v>
      </c>
      <c r="M462" s="19">
        <f t="shared" si="46"/>
        <v>4.3989443111043536E-4</v>
      </c>
    </row>
    <row r="463" spans="7:13">
      <c r="G463" s="3">
        <v>450</v>
      </c>
      <c r="H463" s="5">
        <f t="shared" si="48"/>
        <v>37.5</v>
      </c>
      <c r="I463" s="4">
        <f t="shared" si="47"/>
        <v>0.81525186814153427</v>
      </c>
      <c r="J463" s="10">
        <f t="shared" si="49"/>
        <v>0.16047274621355123</v>
      </c>
      <c r="K463" s="24">
        <f t="shared" si="50"/>
        <v>37</v>
      </c>
      <c r="L463" s="19">
        <f t="shared" si="51"/>
        <v>1.7347766311691606</v>
      </c>
      <c r="M463" s="19">
        <f t="shared" ref="M463:M526" si="52">(I462-I463)*J463*L462</f>
        <v>4.4150246817957451E-4</v>
      </c>
    </row>
    <row r="464" spans="7:13">
      <c r="G464" s="3">
        <v>451</v>
      </c>
      <c r="H464" s="5">
        <f t="shared" si="48"/>
        <v>37.583333333333336</v>
      </c>
      <c r="I464" s="4">
        <f t="shared" si="47"/>
        <v>0.81365366869796929</v>
      </c>
      <c r="J464" s="10">
        <f t="shared" si="49"/>
        <v>0.15982161317816104</v>
      </c>
      <c r="K464" s="24">
        <f t="shared" si="50"/>
        <v>37</v>
      </c>
      <c r="L464" s="19">
        <f t="shared" si="51"/>
        <v>1.7347766311691606</v>
      </c>
      <c r="M464" s="19">
        <f t="shared" si="52"/>
        <v>4.4310846660183584E-4</v>
      </c>
    </row>
    <row r="465" spans="7:13">
      <c r="G465" s="3">
        <v>452</v>
      </c>
      <c r="H465" s="5">
        <f t="shared" si="48"/>
        <v>37.666666666666664</v>
      </c>
      <c r="I465" s="4">
        <f t="shared" si="47"/>
        <v>0.81204314981990955</v>
      </c>
      <c r="J465" s="10">
        <f t="shared" si="49"/>
        <v>0.15917312217538879</v>
      </c>
      <c r="K465" s="24">
        <f t="shared" si="50"/>
        <v>37</v>
      </c>
      <c r="L465" s="19">
        <f t="shared" si="51"/>
        <v>1.7347766311691606</v>
      </c>
      <c r="M465" s="19">
        <f t="shared" si="52"/>
        <v>4.4471227608418779E-4</v>
      </c>
    </row>
    <row r="466" spans="7:13">
      <c r="G466" s="3">
        <v>453</v>
      </c>
      <c r="H466" s="5">
        <f t="shared" si="48"/>
        <v>37.75</v>
      </c>
      <c r="I466" s="4">
        <f t="shared" si="47"/>
        <v>0.81042024616695951</v>
      </c>
      <c r="J466" s="10">
        <f t="shared" si="49"/>
        <v>0.1585272624849422</v>
      </c>
      <c r="K466" s="24">
        <f t="shared" si="50"/>
        <v>37</v>
      </c>
      <c r="L466" s="19">
        <f t="shared" si="51"/>
        <v>1.7347766311691606</v>
      </c>
      <c r="M466" s="19">
        <f t="shared" si="52"/>
        <v>4.4631374421421016E-4</v>
      </c>
    </row>
    <row r="467" spans="7:13">
      <c r="G467" s="3">
        <v>454</v>
      </c>
      <c r="H467" s="5">
        <f t="shared" si="48"/>
        <v>37.833333333333336</v>
      </c>
      <c r="I467" s="4">
        <f t="shared" si="47"/>
        <v>0.80878489266973652</v>
      </c>
      <c r="J467" s="10">
        <f t="shared" si="49"/>
        <v>0.1578840234300278</v>
      </c>
      <c r="K467" s="24">
        <f t="shared" si="50"/>
        <v>37</v>
      </c>
      <c r="L467" s="19">
        <f t="shared" si="51"/>
        <v>1.7347766311691606</v>
      </c>
      <c r="M467" s="19">
        <f t="shared" si="52"/>
        <v>4.4791271644674418E-4</v>
      </c>
    </row>
    <row r="468" spans="7:13">
      <c r="G468" s="3">
        <v>455</v>
      </c>
      <c r="H468" s="5">
        <f t="shared" si="48"/>
        <v>37.916666666666664</v>
      </c>
      <c r="I468" s="4">
        <f t="shared" si="47"/>
        <v>0.80713702454576763</v>
      </c>
      <c r="J468" s="10">
        <f t="shared" si="49"/>
        <v>0.15724339437717422</v>
      </c>
      <c r="K468" s="24">
        <f t="shared" si="50"/>
        <v>37</v>
      </c>
      <c r="L468" s="19">
        <f t="shared" si="51"/>
        <v>1.7347766311691606</v>
      </c>
      <c r="M468" s="19">
        <f t="shared" si="52"/>
        <v>4.4950903609119368E-4</v>
      </c>
    </row>
    <row r="469" spans="7:13">
      <c r="G469" s="3">
        <v>456</v>
      </c>
      <c r="H469" s="5">
        <f t="shared" si="48"/>
        <v>38</v>
      </c>
      <c r="I469" s="4">
        <f t="shared" si="47"/>
        <v>0.80547657731568378</v>
      </c>
      <c r="J469" s="10">
        <f t="shared" si="49"/>
        <v>0.15660536473605632</v>
      </c>
      <c r="K469" s="24">
        <f t="shared" si="50"/>
        <v>38</v>
      </c>
      <c r="L469" s="19">
        <f t="shared" si="51"/>
        <v>1.7607982806366977</v>
      </c>
      <c r="M469" s="19">
        <f t="shared" si="52"/>
        <v>4.511025442986245E-4</v>
      </c>
    </row>
    <row r="470" spans="7:13">
      <c r="G470" s="3">
        <v>457</v>
      </c>
      <c r="H470" s="5">
        <f t="shared" si="48"/>
        <v>38.083333333333336</v>
      </c>
      <c r="I470" s="4">
        <f t="shared" si="47"/>
        <v>0.80380348681971237</v>
      </c>
      <c r="J470" s="10">
        <f t="shared" si="49"/>
        <v>0.15596992395931961</v>
      </c>
      <c r="K470" s="24">
        <f t="shared" si="50"/>
        <v>38</v>
      </c>
      <c r="L470" s="19">
        <f t="shared" si="51"/>
        <v>1.7607982806366977</v>
      </c>
      <c r="M470" s="19">
        <f t="shared" si="52"/>
        <v>4.5948347625035443E-4</v>
      </c>
    </row>
    <row r="471" spans="7:13">
      <c r="G471" s="3">
        <v>458</v>
      </c>
      <c r="H471" s="5">
        <f t="shared" si="48"/>
        <v>38.166666666666664</v>
      </c>
      <c r="I471" s="4">
        <f t="shared" si="47"/>
        <v>0.8021176892344718</v>
      </c>
      <c r="J471" s="10">
        <f t="shared" si="49"/>
        <v>0.15533706154240767</v>
      </c>
      <c r="K471" s="24">
        <f t="shared" si="50"/>
        <v>38</v>
      </c>
      <c r="L471" s="19">
        <f t="shared" si="51"/>
        <v>1.7607982806366977</v>
      </c>
      <c r="M471" s="19">
        <f t="shared" si="52"/>
        <v>4.6109468734429585E-4</v>
      </c>
    </row>
    <row r="472" spans="7:13">
      <c r="G472" s="3">
        <v>459</v>
      </c>
      <c r="H472" s="5">
        <f t="shared" si="48"/>
        <v>38.25</v>
      </c>
      <c r="I472" s="4">
        <f t="shared" si="47"/>
        <v>0.80041912109007096</v>
      </c>
      <c r="J472" s="10">
        <f t="shared" si="49"/>
        <v>0.15470676702338632</v>
      </c>
      <c r="K472" s="24">
        <f t="shared" si="50"/>
        <v>38</v>
      </c>
      <c r="L472" s="19">
        <f t="shared" si="51"/>
        <v>1.7607982806366977</v>
      </c>
      <c r="M472" s="19">
        <f t="shared" si="52"/>
        <v>4.6270254786761825E-4</v>
      </c>
    </row>
    <row r="473" spans="7:13">
      <c r="G473" s="3">
        <v>460</v>
      </c>
      <c r="H473" s="5">
        <f t="shared" si="48"/>
        <v>38.333333333333336</v>
      </c>
      <c r="I473" s="4">
        <f t="shared" si="47"/>
        <v>0.79870771928751538</v>
      </c>
      <c r="J473" s="10">
        <f t="shared" si="49"/>
        <v>0.15407902998277204</v>
      </c>
      <c r="K473" s="24">
        <f t="shared" si="50"/>
        <v>38</v>
      </c>
      <c r="L473" s="19">
        <f t="shared" si="51"/>
        <v>1.7607982806366977</v>
      </c>
      <c r="M473" s="19">
        <f t="shared" si="52"/>
        <v>4.643068877042822E-4</v>
      </c>
    </row>
    <row r="474" spans="7:13">
      <c r="G474" s="3">
        <v>461</v>
      </c>
      <c r="H474" s="5">
        <f t="shared" si="48"/>
        <v>38.416666666666664</v>
      </c>
      <c r="I474" s="4">
        <f t="shared" si="47"/>
        <v>0.79698342111642351</v>
      </c>
      <c r="J474" s="10">
        <f t="shared" si="49"/>
        <v>0.15345384004335927</v>
      </c>
      <c r="K474" s="24">
        <f t="shared" si="50"/>
        <v>38</v>
      </c>
      <c r="L474" s="19">
        <f t="shared" si="51"/>
        <v>1.7607982806366977</v>
      </c>
      <c r="M474" s="19">
        <f t="shared" si="52"/>
        <v>4.6590753448822489E-4</v>
      </c>
    </row>
    <row r="475" spans="7:13">
      <c r="G475" s="3">
        <v>462</v>
      </c>
      <c r="H475" s="5">
        <f t="shared" si="48"/>
        <v>38.5</v>
      </c>
      <c r="I475" s="4">
        <f t="shared" si="47"/>
        <v>0.79524616427305583</v>
      </c>
      <c r="J475" s="10">
        <f t="shared" si="49"/>
        <v>0.15283118687004879</v>
      </c>
      <c r="K475" s="24">
        <f t="shared" si="50"/>
        <v>38</v>
      </c>
      <c r="L475" s="19">
        <f t="shared" si="51"/>
        <v>1.7607982806366977</v>
      </c>
      <c r="M475" s="19">
        <f t="shared" si="52"/>
        <v>4.675043135923733E-4</v>
      </c>
    </row>
    <row r="476" spans="7:13">
      <c r="G476" s="3">
        <v>463</v>
      </c>
      <c r="H476" s="5">
        <f t="shared" si="48"/>
        <v>38.583333333333336</v>
      </c>
      <c r="I476" s="4">
        <f t="shared" si="47"/>
        <v>0.79349588687865757</v>
      </c>
      <c r="J476" s="10">
        <f t="shared" si="49"/>
        <v>0.15221106016967714</v>
      </c>
      <c r="K476" s="24">
        <f t="shared" si="50"/>
        <v>38</v>
      </c>
      <c r="L476" s="19">
        <f t="shared" si="51"/>
        <v>1.7607982806366977</v>
      </c>
      <c r="M476" s="19">
        <f t="shared" si="52"/>
        <v>4.6909704811853094E-4</v>
      </c>
    </row>
    <row r="477" spans="7:13">
      <c r="G477" s="3">
        <v>464</v>
      </c>
      <c r="H477" s="5">
        <f t="shared" si="48"/>
        <v>38.666666666666664</v>
      </c>
      <c r="I477" s="4">
        <f t="shared" si="47"/>
        <v>0.79173252749812018</v>
      </c>
      <c r="J477" s="10">
        <f t="shared" si="49"/>
        <v>0.15159344969084643</v>
      </c>
      <c r="K477" s="24">
        <f t="shared" si="50"/>
        <v>38</v>
      </c>
      <c r="L477" s="19">
        <f t="shared" si="51"/>
        <v>1.7607982806366977</v>
      </c>
      <c r="M477" s="19">
        <f t="shared" si="52"/>
        <v>4.7068555888687795E-4</v>
      </c>
    </row>
    <row r="478" spans="7:13">
      <c r="G478" s="3">
        <v>465</v>
      </c>
      <c r="H478" s="5">
        <f t="shared" si="48"/>
        <v>38.75</v>
      </c>
      <c r="I478" s="4">
        <f t="shared" si="47"/>
        <v>0.78995602515896113</v>
      </c>
      <c r="J478" s="10">
        <f t="shared" si="49"/>
        <v>0.15097834522375445</v>
      </c>
      <c r="K478" s="24">
        <f t="shared" si="50"/>
        <v>38</v>
      </c>
      <c r="L478" s="19">
        <f t="shared" si="51"/>
        <v>1.7607982806366977</v>
      </c>
      <c r="M478" s="19">
        <f t="shared" si="52"/>
        <v>4.7226966442667019E-4</v>
      </c>
    </row>
    <row r="479" spans="7:13">
      <c r="G479" s="3">
        <v>466</v>
      </c>
      <c r="H479" s="5">
        <f t="shared" si="48"/>
        <v>38.833333333333336</v>
      </c>
      <c r="I479" s="4">
        <f t="shared" si="47"/>
        <v>0.78816631937062698</v>
      </c>
      <c r="J479" s="10">
        <f t="shared" si="49"/>
        <v>0.15036573660002647</v>
      </c>
      <c r="K479" s="24">
        <f t="shared" si="50"/>
        <v>38</v>
      </c>
      <c r="L479" s="19">
        <f t="shared" si="51"/>
        <v>1.7607982806366977</v>
      </c>
      <c r="M479" s="19">
        <f t="shared" si="52"/>
        <v>4.7384918096667625E-4</v>
      </c>
    </row>
    <row r="480" spans="7:13">
      <c r="G480" s="3">
        <v>467</v>
      </c>
      <c r="H480" s="5">
        <f t="shared" si="48"/>
        <v>38.916666666666664</v>
      </c>
      <c r="I480" s="4">
        <f t="shared" si="47"/>
        <v>0.78636335014411995</v>
      </c>
      <c r="J480" s="10">
        <f t="shared" si="49"/>
        <v>0.14975561369254686</v>
      </c>
      <c r="K480" s="24">
        <f t="shared" si="50"/>
        <v>38</v>
      </c>
      <c r="L480" s="19">
        <f t="shared" si="51"/>
        <v>1.7607982806366977</v>
      </c>
      <c r="M480" s="19">
        <f t="shared" si="52"/>
        <v>4.7542392242653754E-4</v>
      </c>
    </row>
    <row r="481" spans="7:13">
      <c r="G481" s="3">
        <v>468</v>
      </c>
      <c r="H481" s="5">
        <f t="shared" si="48"/>
        <v>39</v>
      </c>
      <c r="I481" s="4">
        <f t="shared" si="47"/>
        <v>0.78454705801195102</v>
      </c>
      <c r="J481" s="10">
        <f t="shared" si="49"/>
        <v>0.14914796641529171</v>
      </c>
      <c r="K481" s="24">
        <f t="shared" si="50"/>
        <v>39</v>
      </c>
      <c r="L481" s="19">
        <f t="shared" si="51"/>
        <v>1.7872102548462478</v>
      </c>
      <c r="M481" s="19">
        <f t="shared" si="52"/>
        <v>4.7699370040842548E-4</v>
      </c>
    </row>
    <row r="482" spans="7:13">
      <c r="G482" s="3">
        <v>469</v>
      </c>
      <c r="H482" s="5">
        <f t="shared" si="48"/>
        <v>39.083333333333336</v>
      </c>
      <c r="I482" s="4">
        <f t="shared" si="47"/>
        <v>0.78271738404842195</v>
      </c>
      <c r="J482" s="10">
        <f t="shared" si="49"/>
        <v>0.14854278472316154</v>
      </c>
      <c r="K482" s="24">
        <f t="shared" si="50"/>
        <v>39</v>
      </c>
      <c r="L482" s="19">
        <f t="shared" si="51"/>
        <v>1.7872102548462478</v>
      </c>
      <c r="M482" s="19">
        <f t="shared" si="52"/>
        <v>4.8573669905185987E-4</v>
      </c>
    </row>
    <row r="483" spans="7:13">
      <c r="G483" s="3">
        <v>470</v>
      </c>
      <c r="H483" s="5">
        <f t="shared" si="48"/>
        <v>39.166666666666664</v>
      </c>
      <c r="I483" s="4">
        <f t="shared" si="47"/>
        <v>0.78087426989023767</v>
      </c>
      <c r="J483" s="10">
        <f t="shared" si="49"/>
        <v>0.1479400586118168</v>
      </c>
      <c r="K483" s="24">
        <f t="shared" si="50"/>
        <v>39</v>
      </c>
      <c r="L483" s="19">
        <f t="shared" si="51"/>
        <v>1.7872102548462478</v>
      </c>
      <c r="M483" s="19">
        <f t="shared" si="52"/>
        <v>4.8731936472293848E-4</v>
      </c>
    </row>
    <row r="484" spans="7:13">
      <c r="G484" s="3">
        <v>471</v>
      </c>
      <c r="H484" s="5">
        <f t="shared" si="48"/>
        <v>39.25</v>
      </c>
      <c r="I484" s="4">
        <f t="shared" si="47"/>
        <v>0.77901765775745102</v>
      </c>
      <c r="J484" s="10">
        <f t="shared" si="49"/>
        <v>0.14733977811751081</v>
      </c>
      <c r="K484" s="24">
        <f t="shared" si="50"/>
        <v>39</v>
      </c>
      <c r="L484" s="19">
        <f t="shared" si="51"/>
        <v>1.7872102548462478</v>
      </c>
      <c r="M484" s="19">
        <f t="shared" si="52"/>
        <v>4.8889640460112425E-4</v>
      </c>
    </row>
    <row r="485" spans="7:13">
      <c r="G485" s="3">
        <v>472</v>
      </c>
      <c r="H485" s="5">
        <f t="shared" si="48"/>
        <v>39.333333333333336</v>
      </c>
      <c r="I485" s="4">
        <f t="shared" si="47"/>
        <v>0.77714749047474241</v>
      </c>
      <c r="J485" s="10">
        <f t="shared" si="49"/>
        <v>0.14674193331692575</v>
      </c>
      <c r="K485" s="24">
        <f t="shared" si="50"/>
        <v>39</v>
      </c>
      <c r="L485" s="19">
        <f t="shared" si="51"/>
        <v>1.7872102548462478</v>
      </c>
      <c r="M485" s="19">
        <f t="shared" si="52"/>
        <v>4.9046761797844377E-4</v>
      </c>
    </row>
    <row r="486" spans="7:13">
      <c r="G486" s="3">
        <v>473</v>
      </c>
      <c r="H486" s="5">
        <f t="shared" si="48"/>
        <v>39.416666666666664</v>
      </c>
      <c r="I486" s="4">
        <f t="shared" si="47"/>
        <v>0.7752637114930353</v>
      </c>
      <c r="J486" s="10">
        <f t="shared" si="49"/>
        <v>0.14614651432700884</v>
      </c>
      <c r="K486" s="24">
        <f t="shared" si="50"/>
        <v>39</v>
      </c>
      <c r="L486" s="19">
        <f t="shared" si="51"/>
        <v>1.7872102548462478</v>
      </c>
      <c r="M486" s="19">
        <f t="shared" si="52"/>
        <v>4.920328017597996E-4</v>
      </c>
    </row>
    <row r="487" spans="7:13">
      <c r="G487" s="3">
        <v>474</v>
      </c>
      <c r="H487" s="5">
        <f t="shared" si="48"/>
        <v>39.5</v>
      </c>
      <c r="I487" s="4">
        <f t="shared" si="47"/>
        <v>0.77336626491144989</v>
      </c>
      <c r="J487" s="10">
        <f t="shared" si="49"/>
        <v>0.14555351130480837</v>
      </c>
      <c r="K487" s="24">
        <f t="shared" si="50"/>
        <v>39</v>
      </c>
      <c r="L487" s="19">
        <f t="shared" si="51"/>
        <v>1.7872102548462478</v>
      </c>
      <c r="M487" s="19">
        <f t="shared" si="52"/>
        <v>4.9359175045755042E-4</v>
      </c>
    </row>
    <row r="488" spans="7:13">
      <c r="G488" s="3">
        <v>475</v>
      </c>
      <c r="H488" s="5">
        <f t="shared" si="48"/>
        <v>39.583333333333336</v>
      </c>
      <c r="I488" s="4">
        <f t="shared" ref="I488:I551" si="53">I487*(B$9^(1/12))*B$8^((B$5^(B$7+H487))*((B$5^(1/12)-1)))</f>
        <v>0.77145509549959579</v>
      </c>
      <c r="J488" s="10">
        <f t="shared" si="49"/>
        <v>0.14496291444731157</v>
      </c>
      <c r="K488" s="24">
        <f t="shared" si="50"/>
        <v>39</v>
      </c>
      <c r="L488" s="19">
        <f t="shared" si="51"/>
        <v>1.7872102548462478</v>
      </c>
      <c r="M488" s="19">
        <f t="shared" si="52"/>
        <v>4.9514425618686652E-4</v>
      </c>
    </row>
    <row r="489" spans="7:13">
      <c r="G489" s="3">
        <v>476</v>
      </c>
      <c r="H489" s="5">
        <f t="shared" si="48"/>
        <v>39.666666666666664</v>
      </c>
      <c r="I489" s="4">
        <f t="shared" si="53"/>
        <v>0.76953014872020653</v>
      </c>
      <c r="J489" s="10">
        <f t="shared" si="49"/>
        <v>0.14437471399128232</v>
      </c>
      <c r="K489" s="24">
        <f t="shared" si="50"/>
        <v>39</v>
      </c>
      <c r="L489" s="19">
        <f t="shared" si="51"/>
        <v>1.7872102548462478</v>
      </c>
      <c r="M489" s="19">
        <f t="shared" si="52"/>
        <v>4.9669010866137996E-4</v>
      </c>
    </row>
    <row r="490" spans="7:13">
      <c r="G490" s="3">
        <v>477</v>
      </c>
      <c r="H490" s="5">
        <f t="shared" si="48"/>
        <v>39.75</v>
      </c>
      <c r="I490" s="4">
        <f t="shared" si="53"/>
        <v>0.76759137075211559</v>
      </c>
      <c r="J490" s="10">
        <f t="shared" si="49"/>
        <v>0.14378890021309948</v>
      </c>
      <c r="K490" s="24">
        <f t="shared" si="50"/>
        <v>39</v>
      </c>
      <c r="L490" s="19">
        <f t="shared" si="51"/>
        <v>1.7872102548462478</v>
      </c>
      <c r="M490" s="19">
        <f t="shared" si="52"/>
        <v>4.9822909518984775E-4</v>
      </c>
    </row>
    <row r="491" spans="7:13">
      <c r="G491" s="3">
        <v>478</v>
      </c>
      <c r="H491" s="5">
        <f t="shared" si="48"/>
        <v>39.833333333333336</v>
      </c>
      <c r="I491" s="4">
        <f t="shared" si="53"/>
        <v>0.76563870851357663</v>
      </c>
      <c r="J491" s="10">
        <f t="shared" si="49"/>
        <v>0.14320546342859664</v>
      </c>
      <c r="K491" s="24">
        <f t="shared" si="50"/>
        <v>39</v>
      </c>
      <c r="L491" s="19">
        <f t="shared" si="51"/>
        <v>1.7872102548462478</v>
      </c>
      <c r="M491" s="19">
        <f t="shared" si="52"/>
        <v>4.9976100067313E-4</v>
      </c>
    </row>
    <row r="492" spans="7:13">
      <c r="G492" s="3">
        <v>479</v>
      </c>
      <c r="H492" s="5">
        <f t="shared" si="48"/>
        <v>39.916666666666664</v>
      </c>
      <c r="I492" s="4">
        <f t="shared" si="53"/>
        <v>0.76367210968592847</v>
      </c>
      <c r="J492" s="10">
        <f t="shared" si="49"/>
        <v>0.14262439399290178</v>
      </c>
      <c r="K492" s="24">
        <f t="shared" si="50"/>
        <v>39</v>
      </c>
      <c r="L492" s="19">
        <f t="shared" si="51"/>
        <v>1.7872102548462478</v>
      </c>
      <c r="M492" s="19">
        <f t="shared" si="52"/>
        <v>5.0128560760198475E-4</v>
      </c>
    </row>
    <row r="493" spans="7:13">
      <c r="G493" s="3">
        <v>480</v>
      </c>
      <c r="H493" s="5">
        <f t="shared" si="48"/>
        <v>40</v>
      </c>
      <c r="I493" s="4">
        <f t="shared" si="53"/>
        <v>0.76169152273760521</v>
      </c>
      <c r="J493" s="10">
        <f t="shared" si="49"/>
        <v>0.14204568230027784</v>
      </c>
      <c r="K493" s="24">
        <f t="shared" si="50"/>
        <v>40</v>
      </c>
      <c r="L493" s="19">
        <f t="shared" si="51"/>
        <v>1.8140184086689415</v>
      </c>
      <c r="M493" s="19">
        <f t="shared" si="52"/>
        <v>5.0280269605569952E-4</v>
      </c>
    </row>
    <row r="494" spans="7:13">
      <c r="G494" s="3">
        <v>481</v>
      </c>
      <c r="H494" s="5">
        <f t="shared" si="48"/>
        <v>40.083333333333336</v>
      </c>
      <c r="I494" s="4">
        <f t="shared" si="53"/>
        <v>0.75969689694849452</v>
      </c>
      <c r="J494" s="10">
        <f t="shared" si="49"/>
        <v>0.14146931878396335</v>
      </c>
      <c r="K494" s="24">
        <f t="shared" si="50"/>
        <v>40</v>
      </c>
      <c r="L494" s="19">
        <f t="shared" si="51"/>
        <v>1.8140184086689415</v>
      </c>
      <c r="M494" s="19">
        <f t="shared" si="52"/>
        <v>5.1187672435640632E-4</v>
      </c>
    </row>
    <row r="495" spans="7:13">
      <c r="G495" s="3">
        <v>482</v>
      </c>
      <c r="H495" s="5">
        <f t="shared" si="48"/>
        <v>40.166666666666664</v>
      </c>
      <c r="I495" s="4">
        <f t="shared" si="53"/>
        <v>0.75768818243464198</v>
      </c>
      <c r="J495" s="10">
        <f t="shared" si="49"/>
        <v>0.14089529391601602</v>
      </c>
      <c r="K495" s="24">
        <f t="shared" si="50"/>
        <v>40</v>
      </c>
      <c r="L495" s="19">
        <f t="shared" si="51"/>
        <v>1.8140184086689415</v>
      </c>
      <c r="M495" s="19">
        <f t="shared" si="52"/>
        <v>5.1340062717866557E-4</v>
      </c>
    </row>
    <row r="496" spans="7:13">
      <c r="G496" s="3">
        <v>483</v>
      </c>
      <c r="H496" s="5">
        <f t="shared" si="48"/>
        <v>40.25</v>
      </c>
      <c r="I496" s="4">
        <f t="shared" si="53"/>
        <v>0.75566533017330484</v>
      </c>
      <c r="J496" s="10">
        <f t="shared" si="49"/>
        <v>0.14032359820715312</v>
      </c>
      <c r="K496" s="24">
        <f t="shared" si="50"/>
        <v>40</v>
      </c>
      <c r="L496" s="19">
        <f t="shared" si="51"/>
        <v>1.8140184086689415</v>
      </c>
      <c r="M496" s="19">
        <f t="shared" si="52"/>
        <v>5.1491621439809804E-4</v>
      </c>
    </row>
    <row r="497" spans="7:13">
      <c r="G497" s="3">
        <v>484</v>
      </c>
      <c r="H497" s="5">
        <f t="shared" si="48"/>
        <v>40.333333333333336</v>
      </c>
      <c r="I497" s="4">
        <f t="shared" si="53"/>
        <v>0.75362829202835369</v>
      </c>
      <c r="J497" s="10">
        <f t="shared" si="49"/>
        <v>0.13975422220659595</v>
      </c>
      <c r="K497" s="24">
        <f t="shared" si="50"/>
        <v>40</v>
      </c>
      <c r="L497" s="19">
        <f t="shared" si="51"/>
        <v>1.8140184086689415</v>
      </c>
      <c r="M497" s="19">
        <f t="shared" si="52"/>
        <v>5.164232530028627E-4</v>
      </c>
    </row>
    <row r="498" spans="7:13">
      <c r="G498" s="3">
        <v>485</v>
      </c>
      <c r="H498" s="5">
        <f t="shared" si="48"/>
        <v>40.416666666666664</v>
      </c>
      <c r="I498" s="4">
        <f t="shared" si="53"/>
        <v>0.75157702077602373</v>
      </c>
      <c r="J498" s="10">
        <f t="shared" si="49"/>
        <v>0.13918715650191316</v>
      </c>
      <c r="K498" s="24">
        <f t="shared" si="50"/>
        <v>40</v>
      </c>
      <c r="L498" s="19">
        <f t="shared" si="51"/>
        <v>1.8140184086689415</v>
      </c>
      <c r="M498" s="19">
        <f t="shared" si="52"/>
        <v>5.179215075365787E-4</v>
      </c>
    </row>
    <row r="499" spans="7:13">
      <c r="G499" s="3">
        <v>486</v>
      </c>
      <c r="H499" s="5">
        <f t="shared" si="48"/>
        <v>40.5</v>
      </c>
      <c r="I499" s="4">
        <f t="shared" si="53"/>
        <v>0.74951147013101527</v>
      </c>
      <c r="J499" s="10">
        <f t="shared" si="49"/>
        <v>0.13862239171886509</v>
      </c>
      <c r="K499" s="24">
        <f t="shared" si="50"/>
        <v>40</v>
      </c>
      <c r="L499" s="19">
        <f t="shared" si="51"/>
        <v>1.8140184086689415</v>
      </c>
      <c r="M499" s="19">
        <f t="shared" si="52"/>
        <v>5.1941074010140799E-4</v>
      </c>
    </row>
    <row r="500" spans="7:13">
      <c r="G500" s="3">
        <v>487</v>
      </c>
      <c r="H500" s="5">
        <f t="shared" si="48"/>
        <v>40.583333333333336</v>
      </c>
      <c r="I500" s="4">
        <f t="shared" si="53"/>
        <v>0.74743159477294308</v>
      </c>
      <c r="J500" s="10">
        <f t="shared" si="49"/>
        <v>0.1380599185212491</v>
      </c>
      <c r="K500" s="24">
        <f t="shared" si="50"/>
        <v>40</v>
      </c>
      <c r="L500" s="19">
        <f t="shared" si="51"/>
        <v>1.8140184086689415</v>
      </c>
      <c r="M500" s="19">
        <f t="shared" si="52"/>
        <v>5.2089071036205594E-4</v>
      </c>
    </row>
    <row r="501" spans="7:13">
      <c r="G501" s="3">
        <v>488</v>
      </c>
      <c r="H501" s="5">
        <f t="shared" si="48"/>
        <v>40.666666666666664</v>
      </c>
      <c r="I501" s="4">
        <f t="shared" si="53"/>
        <v>0.74533735037313587</v>
      </c>
      <c r="J501" s="10">
        <f t="shared" si="49"/>
        <v>0.13749972761074505</v>
      </c>
      <c r="K501" s="24">
        <f t="shared" si="50"/>
        <v>40</v>
      </c>
      <c r="L501" s="19">
        <f t="shared" si="51"/>
        <v>1.8140184086689415</v>
      </c>
      <c r="M501" s="19">
        <f t="shared" si="52"/>
        <v>5.2236117555033549E-4</v>
      </c>
    </row>
    <row r="502" spans="7:13">
      <c r="G502" s="3">
        <v>489</v>
      </c>
      <c r="H502" s="5">
        <f t="shared" si="48"/>
        <v>40.75</v>
      </c>
      <c r="I502" s="4">
        <f t="shared" si="53"/>
        <v>0.74322869362178445</v>
      </c>
      <c r="J502" s="10">
        <f t="shared" si="49"/>
        <v>0.13694180972676137</v>
      </c>
      <c r="K502" s="24">
        <f t="shared" si="50"/>
        <v>40</v>
      </c>
      <c r="L502" s="19">
        <f t="shared" si="51"/>
        <v>1.8140184086689415</v>
      </c>
      <c r="M502" s="19">
        <f t="shared" si="52"/>
        <v>5.2382189047089488E-4</v>
      </c>
    </row>
    <row r="503" spans="7:13">
      <c r="G503" s="3">
        <v>490</v>
      </c>
      <c r="H503" s="5">
        <f t="shared" si="48"/>
        <v>40.833333333333336</v>
      </c>
      <c r="I503" s="4">
        <f t="shared" si="53"/>
        <v>0.7411055822554381</v>
      </c>
      <c r="J503" s="10">
        <f t="shared" si="49"/>
        <v>0.13638615564628251</v>
      </c>
      <c r="K503" s="24">
        <f t="shared" si="50"/>
        <v>40</v>
      </c>
      <c r="L503" s="19">
        <f t="shared" si="51"/>
        <v>1.8140184086689415</v>
      </c>
      <c r="M503" s="19">
        <f t="shared" si="52"/>
        <v>5.2527260750789243E-4</v>
      </c>
    </row>
    <row r="504" spans="7:13">
      <c r="G504" s="3">
        <v>491</v>
      </c>
      <c r="H504" s="5">
        <f t="shared" si="48"/>
        <v>40.916666666666664</v>
      </c>
      <c r="I504" s="4">
        <f t="shared" si="53"/>
        <v>0.73896797508484957</v>
      </c>
      <c r="J504" s="10">
        <f t="shared" si="49"/>
        <v>0.13583275618371593</v>
      </c>
      <c r="K504" s="24">
        <f t="shared" si="50"/>
        <v>40</v>
      </c>
      <c r="L504" s="19">
        <f t="shared" si="51"/>
        <v>1.8140184086689415</v>
      </c>
      <c r="M504" s="19">
        <f t="shared" si="52"/>
        <v>5.2671307663231686E-4</v>
      </c>
    </row>
    <row r="505" spans="7:13">
      <c r="G505" s="3">
        <v>492</v>
      </c>
      <c r="H505" s="5">
        <f t="shared" si="48"/>
        <v>41</v>
      </c>
      <c r="I505" s="4">
        <f t="shared" si="53"/>
        <v>0.73681583202316669</v>
      </c>
      <c r="J505" s="10">
        <f t="shared" si="49"/>
        <v>0.13528160219074079</v>
      </c>
      <c r="K505" s="24">
        <f t="shared" si="50"/>
        <v>41</v>
      </c>
      <c r="L505" s="19">
        <f t="shared" si="51"/>
        <v>1.8412286847989754</v>
      </c>
      <c r="M505" s="19">
        <f t="shared" si="52"/>
        <v>5.2814304541063067E-4</v>
      </c>
    </row>
    <row r="506" spans="7:13">
      <c r="G506" s="3">
        <v>493</v>
      </c>
      <c r="H506" s="5">
        <f t="shared" si="48"/>
        <v>41.083333333333336</v>
      </c>
      <c r="I506" s="4">
        <f t="shared" si="53"/>
        <v>0.73464911411447098</v>
      </c>
      <c r="J506" s="10">
        <f t="shared" si="49"/>
        <v>0.13473268455615556</v>
      </c>
      <c r="K506" s="24">
        <f t="shared" si="50"/>
        <v>41</v>
      </c>
      <c r="L506" s="19">
        <f t="shared" si="51"/>
        <v>1.8412286847989754</v>
      </c>
      <c r="M506" s="19">
        <f t="shared" si="52"/>
        <v>5.375056928992256E-4</v>
      </c>
    </row>
    <row r="507" spans="7:13">
      <c r="G507" s="3">
        <v>494</v>
      </c>
      <c r="H507" s="5">
        <f t="shared" si="48"/>
        <v>41.166666666666664</v>
      </c>
      <c r="I507" s="4">
        <f t="shared" si="53"/>
        <v>0.73246778356266018</v>
      </c>
      <c r="J507" s="10">
        <f t="shared" si="49"/>
        <v>0.13418599420572952</v>
      </c>
      <c r="K507" s="24">
        <f t="shared" si="50"/>
        <v>41</v>
      </c>
      <c r="L507" s="19">
        <f t="shared" si="51"/>
        <v>1.8412286847989754</v>
      </c>
      <c r="M507" s="19">
        <f t="shared" si="52"/>
        <v>5.3893501713255399E-4</v>
      </c>
    </row>
    <row r="508" spans="7:13">
      <c r="G508" s="3">
        <v>495</v>
      </c>
      <c r="H508" s="5">
        <f t="shared" si="48"/>
        <v>41.25</v>
      </c>
      <c r="I508" s="4">
        <f t="shared" si="53"/>
        <v>0.73027180376067535</v>
      </c>
      <c r="J508" s="10">
        <f t="shared" si="49"/>
        <v>0.13364152210205058</v>
      </c>
      <c r="K508" s="24">
        <f t="shared" si="50"/>
        <v>41</v>
      </c>
      <c r="L508" s="19">
        <f t="shared" si="51"/>
        <v>1.8412286847989754</v>
      </c>
      <c r="M508" s="19">
        <f t="shared" si="52"/>
        <v>5.4035290031137918E-4</v>
      </c>
    </row>
    <row r="509" spans="7:13">
      <c r="G509" s="3">
        <v>496</v>
      </c>
      <c r="H509" s="5">
        <f t="shared" si="48"/>
        <v>41.333333333333336</v>
      </c>
      <c r="I509" s="4">
        <f t="shared" si="53"/>
        <v>0.72806113932006955</v>
      </c>
      <c r="J509" s="10">
        <f t="shared" si="49"/>
        <v>0.13309925924437707</v>
      </c>
      <c r="K509" s="24">
        <f t="shared" si="50"/>
        <v>41</v>
      </c>
      <c r="L509" s="19">
        <f t="shared" si="51"/>
        <v>1.8412286847989754</v>
      </c>
      <c r="M509" s="19">
        <f t="shared" si="52"/>
        <v>5.4175907655934052E-4</v>
      </c>
    </row>
    <row r="510" spans="7:13">
      <c r="G510" s="3">
        <v>497</v>
      </c>
      <c r="H510" s="5">
        <f t="shared" si="48"/>
        <v>41.416666666666664</v>
      </c>
      <c r="I510" s="4">
        <f t="shared" si="53"/>
        <v>0.725835756100917</v>
      </c>
      <c r="J510" s="10">
        <f t="shared" si="49"/>
        <v>0.1325591966684887</v>
      </c>
      <c r="K510" s="24">
        <f t="shared" si="50"/>
        <v>41</v>
      </c>
      <c r="L510" s="19">
        <f t="shared" si="51"/>
        <v>1.8412286847989754</v>
      </c>
      <c r="M510" s="19">
        <f t="shared" si="52"/>
        <v>5.4315327761791726E-4</v>
      </c>
    </row>
    <row r="511" spans="7:13">
      <c r="G511" s="3">
        <v>498</v>
      </c>
      <c r="H511" s="5">
        <f t="shared" si="48"/>
        <v>41.5</v>
      </c>
      <c r="I511" s="4">
        <f t="shared" si="53"/>
        <v>0.72359562124206045</v>
      </c>
      <c r="J511" s="10">
        <f t="shared" si="49"/>
        <v>0.13202132544653816</v>
      </c>
      <c r="K511" s="24">
        <f t="shared" si="50"/>
        <v>41</v>
      </c>
      <c r="L511" s="19">
        <f t="shared" si="51"/>
        <v>1.8412286847989754</v>
      </c>
      <c r="M511" s="19">
        <f t="shared" si="52"/>
        <v>5.4453523286144287E-4</v>
      </c>
    </row>
    <row r="512" spans="7:13">
      <c r="G512" s="3">
        <v>499</v>
      </c>
      <c r="H512" s="5">
        <f t="shared" si="48"/>
        <v>41.583333333333336</v>
      </c>
      <c r="I512" s="4">
        <f t="shared" si="53"/>
        <v>0.72134070319169419</v>
      </c>
      <c r="J512" s="10">
        <f t="shared" si="49"/>
        <v>0.13148563668690388</v>
      </c>
      <c r="K512" s="24">
        <f t="shared" si="50"/>
        <v>41</v>
      </c>
      <c r="L512" s="19">
        <f t="shared" si="51"/>
        <v>1.8412286847989754</v>
      </c>
      <c r="M512" s="19">
        <f t="shared" si="52"/>
        <v>5.4590466931335089E-4</v>
      </c>
    </row>
    <row r="513" spans="7:13">
      <c r="G513" s="3">
        <v>500</v>
      </c>
      <c r="H513" s="5">
        <f t="shared" si="48"/>
        <v>41.666666666666664</v>
      </c>
      <c r="I513" s="4">
        <f t="shared" si="53"/>
        <v>0.71907097173828072</v>
      </c>
      <c r="J513" s="10">
        <f t="shared" si="49"/>
        <v>0.13095212153404287</v>
      </c>
      <c r="K513" s="24">
        <f t="shared" si="50"/>
        <v>41</v>
      </c>
      <c r="L513" s="19">
        <f t="shared" si="51"/>
        <v>1.8412286847989754</v>
      </c>
      <c r="M513" s="19">
        <f t="shared" si="52"/>
        <v>5.4726131166345725E-4</v>
      </c>
    </row>
    <row r="514" spans="7:13">
      <c r="G514" s="3">
        <v>501</v>
      </c>
      <c r="H514" s="5">
        <f t="shared" si="48"/>
        <v>41.75</v>
      </c>
      <c r="I514" s="4">
        <f t="shared" si="53"/>
        <v>0.71678639804179856</v>
      </c>
      <c r="J514" s="10">
        <f t="shared" si="49"/>
        <v>0.13042077116834416</v>
      </c>
      <c r="K514" s="24">
        <f t="shared" si="50"/>
        <v>41</v>
      </c>
      <c r="L514" s="19">
        <f t="shared" si="51"/>
        <v>1.8412286847989754</v>
      </c>
      <c r="M514" s="19">
        <f t="shared" si="52"/>
        <v>5.4860488228644275E-4</v>
      </c>
    </row>
    <row r="515" spans="7:13">
      <c r="G515" s="3">
        <v>502</v>
      </c>
      <c r="H515" s="5">
        <f t="shared" si="48"/>
        <v>41.833333333333336</v>
      </c>
      <c r="I515" s="4">
        <f t="shared" si="53"/>
        <v>0.71448695466531698</v>
      </c>
      <c r="J515" s="10">
        <f t="shared" si="49"/>
        <v>0.12989157680598337</v>
      </c>
      <c r="K515" s="24">
        <f t="shared" si="50"/>
        <v>41</v>
      </c>
      <c r="L515" s="19">
        <f t="shared" si="51"/>
        <v>1.8412286847989754</v>
      </c>
      <c r="M515" s="19">
        <f t="shared" si="52"/>
        <v>5.4993510126184601E-4</v>
      </c>
    </row>
    <row r="516" spans="7:13">
      <c r="G516" s="3">
        <v>503</v>
      </c>
      <c r="H516" s="5">
        <f t="shared" si="48"/>
        <v>41.916666666666664</v>
      </c>
      <c r="I516" s="4">
        <f t="shared" si="53"/>
        <v>0.71217261560689615</v>
      </c>
      <c r="J516" s="10">
        <f t="shared" si="49"/>
        <v>0.12936452969877707</v>
      </c>
      <c r="K516" s="24">
        <f t="shared" si="50"/>
        <v>41</v>
      </c>
      <c r="L516" s="19">
        <f t="shared" si="51"/>
        <v>1.8412286847989754</v>
      </c>
      <c r="M516" s="19">
        <f t="shared" si="52"/>
        <v>5.5125168639491909E-4</v>
      </c>
    </row>
    <row r="517" spans="7:13">
      <c r="G517" s="3">
        <v>504</v>
      </c>
      <c r="H517" s="5">
        <f t="shared" si="48"/>
        <v>42</v>
      </c>
      <c r="I517" s="4">
        <f t="shared" si="53"/>
        <v>0.70984335633180728</v>
      </c>
      <c r="J517" s="10">
        <f t="shared" si="49"/>
        <v>0.12883962113403885</v>
      </c>
      <c r="K517" s="24">
        <f t="shared" si="50"/>
        <v>42</v>
      </c>
      <c r="L517" s="19">
        <f t="shared" si="51"/>
        <v>1.8688471150709598</v>
      </c>
      <c r="M517" s="19">
        <f t="shared" si="52"/>
        <v>5.5255435323924625E-4</v>
      </c>
    </row>
    <row r="518" spans="7:13">
      <c r="G518" s="3">
        <v>505</v>
      </c>
      <c r="H518" s="5">
        <f t="shared" si="48"/>
        <v>42.083333333333336</v>
      </c>
      <c r="I518" s="4">
        <f t="shared" si="53"/>
        <v>0.70749915380507111</v>
      </c>
      <c r="J518" s="10">
        <f t="shared" si="49"/>
        <v>0.12831684243443389</v>
      </c>
      <c r="K518" s="24">
        <f t="shared" si="50"/>
        <v>42</v>
      </c>
      <c r="L518" s="19">
        <f t="shared" si="51"/>
        <v>1.8688471150709598</v>
      </c>
      <c r="M518" s="19">
        <f t="shared" si="52"/>
        <v>5.6215045734695174E-4</v>
      </c>
    </row>
    <row r="519" spans="7:13">
      <c r="G519" s="3">
        <v>506</v>
      </c>
      <c r="H519" s="5">
        <f t="shared" si="48"/>
        <v>42.166666666666664</v>
      </c>
      <c r="I519" s="4">
        <f t="shared" si="53"/>
        <v>0.70513998652430898</v>
      </c>
      <c r="J519" s="10">
        <f t="shared" si="49"/>
        <v>0.12779618495783762</v>
      </c>
      <c r="K519" s="24">
        <f t="shared" si="50"/>
        <v>42</v>
      </c>
      <c r="L519" s="19">
        <f t="shared" si="51"/>
        <v>1.8688471150709598</v>
      </c>
      <c r="M519" s="19">
        <f t="shared" si="52"/>
        <v>5.6344353490729734E-4</v>
      </c>
    </row>
    <row r="520" spans="7:13">
      <c r="G520" s="3">
        <v>507</v>
      </c>
      <c r="H520" s="5">
        <f t="shared" si="48"/>
        <v>42.25</v>
      </c>
      <c r="I520" s="4">
        <f t="shared" si="53"/>
        <v>0.7027658345529022</v>
      </c>
      <c r="J520" s="10">
        <f t="shared" si="49"/>
        <v>0.12727764009719106</v>
      </c>
      <c r="K520" s="24">
        <f t="shared" si="50"/>
        <v>42</v>
      </c>
      <c r="L520" s="19">
        <f t="shared" si="51"/>
        <v>1.8688471150709598</v>
      </c>
      <c r="M520" s="19">
        <f t="shared" si="52"/>
        <v>5.6472160579881933E-4</v>
      </c>
    </row>
    <row r="521" spans="7:13">
      <c r="G521" s="3">
        <v>508</v>
      </c>
      <c r="H521" s="5">
        <f t="shared" si="48"/>
        <v>42.333333333333336</v>
      </c>
      <c r="I521" s="4">
        <f t="shared" si="53"/>
        <v>0.70037667955345706</v>
      </c>
      <c r="J521" s="10">
        <f t="shared" si="49"/>
        <v>0.12676119928035914</v>
      </c>
      <c r="K521" s="24">
        <f t="shared" si="50"/>
        <v>42</v>
      </c>
      <c r="L521" s="19">
        <f t="shared" si="51"/>
        <v>1.8688471150709598</v>
      </c>
      <c r="M521" s="19">
        <f t="shared" si="52"/>
        <v>5.6598437242022406E-4</v>
      </c>
    </row>
    <row r="522" spans="7:13">
      <c r="G522" s="3">
        <v>509</v>
      </c>
      <c r="H522" s="5">
        <f t="shared" si="48"/>
        <v>42.416666666666664</v>
      </c>
      <c r="I522" s="4">
        <f t="shared" si="53"/>
        <v>0.6979725048215677</v>
      </c>
      <c r="J522" s="10">
        <f t="shared" si="49"/>
        <v>0.12624685396998928</v>
      </c>
      <c r="K522" s="24">
        <f t="shared" si="50"/>
        <v>42</v>
      </c>
      <c r="L522" s="19">
        <f t="shared" si="51"/>
        <v>1.8688471150709598</v>
      </c>
      <c r="M522" s="19">
        <f t="shared" si="52"/>
        <v>5.6723153501902785E-4</v>
      </c>
    </row>
    <row r="523" spans="7:13">
      <c r="G523" s="3">
        <v>510</v>
      </c>
      <c r="H523" s="5">
        <f t="shared" si="48"/>
        <v>42.5</v>
      </c>
      <c r="I523" s="4">
        <f t="shared" si="53"/>
        <v>0.69555329531987409</v>
      </c>
      <c r="J523" s="10">
        <f t="shared" si="49"/>
        <v>0.12573459566336972</v>
      </c>
      <c r="K523" s="24">
        <f t="shared" si="50"/>
        <v>42</v>
      </c>
      <c r="L523" s="19">
        <f t="shared" si="51"/>
        <v>1.8688471150709598</v>
      </c>
      <c r="M523" s="19">
        <f t="shared" si="52"/>
        <v>5.6846279172250856E-4</v>
      </c>
    </row>
    <row r="524" spans="7:13">
      <c r="G524" s="3">
        <v>511</v>
      </c>
      <c r="H524" s="5">
        <f t="shared" si="48"/>
        <v>42.583333333333336</v>
      </c>
      <c r="I524" s="4">
        <f t="shared" si="53"/>
        <v>0.69311903771240801</v>
      </c>
      <c r="J524" s="10">
        <f t="shared" si="49"/>
        <v>0.12522441589228944</v>
      </c>
      <c r="K524" s="24">
        <f t="shared" si="50"/>
        <v>42</v>
      </c>
      <c r="L524" s="19">
        <f t="shared" si="51"/>
        <v>1.8688471150709598</v>
      </c>
      <c r="M524" s="19">
        <f t="shared" si="52"/>
        <v>5.6967783857054806E-4</v>
      </c>
    </row>
    <row r="525" spans="7:13">
      <c r="G525" s="3">
        <v>512</v>
      </c>
      <c r="H525" s="5">
        <f t="shared" si="48"/>
        <v>42.666666666666664</v>
      </c>
      <c r="I525" s="4">
        <f t="shared" si="53"/>
        <v>0.69066972039922181</v>
      </c>
      <c r="J525" s="10">
        <f t="shared" si="49"/>
        <v>0.12471630622289802</v>
      </c>
      <c r="K525" s="24">
        <f t="shared" si="50"/>
        <v>42</v>
      </c>
      <c r="L525" s="19">
        <f t="shared" si="51"/>
        <v>1.8688471150709598</v>
      </c>
      <c r="M525" s="19">
        <f t="shared" si="52"/>
        <v>5.7087636954986554E-4</v>
      </c>
    </row>
    <row r="526" spans="7:13">
      <c r="G526" s="3">
        <v>513</v>
      </c>
      <c r="H526" s="5">
        <f t="shared" ref="H526:H589" si="54">G526/12</f>
        <v>42.75</v>
      </c>
      <c r="I526" s="4">
        <f t="shared" si="53"/>
        <v>0.68820533355129321</v>
      </c>
      <c r="J526" s="10">
        <f t="shared" ref="J526:J589" si="55">(1+B$6)^-H526</f>
        <v>0.12421025825556591</v>
      </c>
      <c r="K526" s="24">
        <f t="shared" ref="K526:K589" si="56">INT(H526+0.000001)</f>
        <v>42</v>
      </c>
      <c r="L526" s="19">
        <f t="shared" ref="L526:L589" si="57">1.015^K526</f>
        <v>1.8688471150709598</v>
      </c>
      <c r="M526" s="19">
        <f t="shared" si="52"/>
        <v>5.7205807662993381E-4</v>
      </c>
    </row>
    <row r="527" spans="7:13">
      <c r="G527" s="3">
        <v>514</v>
      </c>
      <c r="H527" s="5">
        <f t="shared" si="54"/>
        <v>42.833333333333336</v>
      </c>
      <c r="I527" s="4">
        <f t="shared" si="53"/>
        <v>0.68572586914570088</v>
      </c>
      <c r="J527" s="10">
        <f t="shared" si="55"/>
        <v>0.12370626362474604</v>
      </c>
      <c r="K527" s="24">
        <f t="shared" si="56"/>
        <v>42</v>
      </c>
      <c r="L527" s="19">
        <f t="shared" si="57"/>
        <v>1.8688471150709598</v>
      </c>
      <c r="M527" s="19">
        <f t="shared" ref="M527:M590" si="58">(I526-I527)*J527*L526</f>
        <v>5.7322264980024993E-4</v>
      </c>
    </row>
    <row r="528" spans="7:13">
      <c r="G528" s="3">
        <v>515</v>
      </c>
      <c r="H528" s="5">
        <f t="shared" si="54"/>
        <v>42.916666666666664</v>
      </c>
      <c r="I528" s="4">
        <f t="shared" si="53"/>
        <v>0.68323132100106232</v>
      </c>
      <c r="J528" s="10">
        <f t="shared" si="55"/>
        <v>0.12320431399883534</v>
      </c>
      <c r="K528" s="24">
        <f t="shared" si="56"/>
        <v>42</v>
      </c>
      <c r="L528" s="19">
        <f t="shared" si="57"/>
        <v>1.8688471150709598</v>
      </c>
      <c r="M528" s="19">
        <f t="shared" si="58"/>
        <v>5.7436977710957334E-4</v>
      </c>
    </row>
    <row r="529" spans="7:13">
      <c r="G529" s="3">
        <v>516</v>
      </c>
      <c r="H529" s="5">
        <f t="shared" si="54"/>
        <v>43</v>
      </c>
      <c r="I529" s="4">
        <f t="shared" si="53"/>
        <v>0.68072168481322759</v>
      </c>
      <c r="J529" s="10">
        <f t="shared" si="55"/>
        <v>0.12270440108003698</v>
      </c>
      <c r="K529" s="24">
        <f t="shared" si="56"/>
        <v>43</v>
      </c>
      <c r="L529" s="19">
        <f t="shared" si="57"/>
        <v>1.896879821797024</v>
      </c>
      <c r="M529" s="19">
        <f t="shared" si="58"/>
        <v>5.7549914470664569E-4</v>
      </c>
    </row>
    <row r="530" spans="7:13">
      <c r="G530" s="3">
        <v>517</v>
      </c>
      <c r="H530" s="5">
        <f t="shared" si="54"/>
        <v>43.083333333333336</v>
      </c>
      <c r="I530" s="4">
        <f t="shared" si="53"/>
        <v>0.67819695819122139</v>
      </c>
      <c r="J530" s="10">
        <f t="shared" si="55"/>
        <v>0.12220651660422274</v>
      </c>
      <c r="K530" s="24">
        <f t="shared" si="56"/>
        <v>43</v>
      </c>
      <c r="L530" s="19">
        <f t="shared" si="57"/>
        <v>1.896879821797024</v>
      </c>
      <c r="M530" s="19">
        <f t="shared" si="58"/>
        <v>5.8525959343585534E-4</v>
      </c>
    </row>
    <row r="531" spans="7:13">
      <c r="G531" s="3">
        <v>518</v>
      </c>
      <c r="H531" s="5">
        <f t="shared" si="54"/>
        <v>43.166666666666664</v>
      </c>
      <c r="I531" s="4">
        <f t="shared" si="53"/>
        <v>0.67565714069342542</v>
      </c>
      <c r="J531" s="10">
        <f t="shared" si="55"/>
        <v>0.12171065234079777</v>
      </c>
      <c r="K531" s="24">
        <f t="shared" si="56"/>
        <v>43</v>
      </c>
      <c r="L531" s="19">
        <f t="shared" si="57"/>
        <v>1.896879821797024</v>
      </c>
      <c r="M531" s="19">
        <f t="shared" si="58"/>
        <v>5.8636888615690977E-4</v>
      </c>
    </row>
    <row r="532" spans="7:13">
      <c r="G532" s="3">
        <v>519</v>
      </c>
      <c r="H532" s="5">
        <f t="shared" si="54"/>
        <v>43.25</v>
      </c>
      <c r="I532" s="4">
        <f t="shared" si="53"/>
        <v>0.67310223386399193</v>
      </c>
      <c r="J532" s="10">
        <f t="shared" si="55"/>
        <v>0.12121680009256292</v>
      </c>
      <c r="K532" s="24">
        <f t="shared" si="56"/>
        <v>43</v>
      </c>
      <c r="L532" s="19">
        <f t="shared" si="57"/>
        <v>1.896879821797024</v>
      </c>
      <c r="M532" s="19">
        <f t="shared" si="58"/>
        <v>5.8745918596138683E-4</v>
      </c>
    </row>
    <row r="533" spans="7:13">
      <c r="G533" s="3">
        <v>520</v>
      </c>
      <c r="H533" s="5">
        <f t="shared" si="54"/>
        <v>43.333333333333336</v>
      </c>
      <c r="I533" s="4">
        <f t="shared" si="53"/>
        <v>0.67053224126948152</v>
      </c>
      <c r="J533" s="10">
        <f t="shared" si="55"/>
        <v>0.12072495169558013</v>
      </c>
      <c r="K533" s="24">
        <f t="shared" si="56"/>
        <v>43</v>
      </c>
      <c r="L533" s="19">
        <f t="shared" si="57"/>
        <v>1.896879821797024</v>
      </c>
      <c r="M533" s="19">
        <f t="shared" si="58"/>
        <v>5.8853016702454467E-4</v>
      </c>
    </row>
    <row r="534" spans="7:13">
      <c r="G534" s="3">
        <v>521</v>
      </c>
      <c r="H534" s="5">
        <f t="shared" si="54"/>
        <v>43.416666666666664</v>
      </c>
      <c r="I534" s="4">
        <f t="shared" si="53"/>
        <v>0.66794716853571356</v>
      </c>
      <c r="J534" s="10">
        <f t="shared" si="55"/>
        <v>0.12023509901903738</v>
      </c>
      <c r="K534" s="24">
        <f t="shared" si="56"/>
        <v>43</v>
      </c>
      <c r="L534" s="19">
        <f t="shared" si="57"/>
        <v>1.896879821797024</v>
      </c>
      <c r="M534" s="19">
        <f t="shared" si="58"/>
        <v>5.8958150182650455E-4</v>
      </c>
    </row>
    <row r="535" spans="7:13">
      <c r="G535" s="3">
        <v>522</v>
      </c>
      <c r="H535" s="5">
        <f t="shared" si="54"/>
        <v>43.5</v>
      </c>
      <c r="I535" s="4">
        <f t="shared" si="53"/>
        <v>0.66534702338482243</v>
      </c>
      <c r="J535" s="10">
        <f t="shared" si="55"/>
        <v>0.119747233965114</v>
      </c>
      <c r="K535" s="24">
        <f t="shared" si="56"/>
        <v>43</v>
      </c>
      <c r="L535" s="19">
        <f t="shared" si="57"/>
        <v>1.896879821797024</v>
      </c>
      <c r="M535" s="19">
        <f t="shared" si="58"/>
        <v>5.906128612040714E-4</v>
      </c>
    </row>
    <row r="536" spans="7:13">
      <c r="G536" s="3">
        <v>523</v>
      </c>
      <c r="H536" s="5">
        <f t="shared" si="54"/>
        <v>43.583333333333336</v>
      </c>
      <c r="I536" s="4">
        <f t="shared" si="53"/>
        <v>0.66273181567250683</v>
      </c>
      <c r="J536" s="10">
        <f t="shared" si="55"/>
        <v>0.11926134846884708</v>
      </c>
      <c r="K536" s="24">
        <f t="shared" si="56"/>
        <v>43</v>
      </c>
      <c r="L536" s="19">
        <f t="shared" si="57"/>
        <v>1.896879821797024</v>
      </c>
      <c r="M536" s="19">
        <f t="shared" si="58"/>
        <v>5.9162391440510393E-4</v>
      </c>
    </row>
    <row r="537" spans="7:13">
      <c r="G537" s="3">
        <v>524</v>
      </c>
      <c r="H537" s="5">
        <f t="shared" si="54"/>
        <v>43.666666666666664</v>
      </c>
      <c r="I537" s="4">
        <f t="shared" si="53"/>
        <v>0.66010155742546428</v>
      </c>
      <c r="J537" s="10">
        <f t="shared" si="55"/>
        <v>0.11877743449799809</v>
      </c>
      <c r="K537" s="24">
        <f t="shared" si="56"/>
        <v>43</v>
      </c>
      <c r="L537" s="19">
        <f t="shared" si="57"/>
        <v>1.896879821797024</v>
      </c>
      <c r="M537" s="19">
        <f t="shared" si="58"/>
        <v>5.9261432914424798E-4</v>
      </c>
    </row>
    <row r="538" spans="7:13">
      <c r="G538" s="3">
        <v>525</v>
      </c>
      <c r="H538" s="5">
        <f t="shared" si="54"/>
        <v>43.75</v>
      </c>
      <c r="I538" s="4">
        <f t="shared" si="53"/>
        <v>0.65745626287899839</v>
      </c>
      <c r="J538" s="10">
        <f t="shared" si="55"/>
        <v>0.11829548405291988</v>
      </c>
      <c r="K538" s="24">
        <f t="shared" si="56"/>
        <v>43</v>
      </c>
      <c r="L538" s="19">
        <f t="shared" si="57"/>
        <v>1.896879821797024</v>
      </c>
      <c r="M538" s="19">
        <f t="shared" si="58"/>
        <v>5.9358377166100458E-4</v>
      </c>
    </row>
    <row r="539" spans="7:13">
      <c r="G539" s="3">
        <v>526</v>
      </c>
      <c r="H539" s="5">
        <f t="shared" si="54"/>
        <v>43.833333333333336</v>
      </c>
      <c r="I539" s="4">
        <f t="shared" si="53"/>
        <v>0.6547959485147884</v>
      </c>
      <c r="J539" s="10">
        <f t="shared" si="55"/>
        <v>0.11781548916642477</v>
      </c>
      <c r="K539" s="24">
        <f t="shared" si="56"/>
        <v>43</v>
      </c>
      <c r="L539" s="19">
        <f t="shared" si="57"/>
        <v>1.896879821797024</v>
      </c>
      <c r="M539" s="19">
        <f t="shared" si="58"/>
        <v>5.9453190677961172E-4</v>
      </c>
    </row>
    <row r="540" spans="7:13">
      <c r="G540" s="3">
        <v>527</v>
      </c>
      <c r="H540" s="5">
        <f t="shared" si="54"/>
        <v>43.916666666666664</v>
      </c>
      <c r="I540" s="4">
        <f t="shared" si="53"/>
        <v>0.65212063309880952</v>
      </c>
      <c r="J540" s="10">
        <f t="shared" si="55"/>
        <v>0.11733744190365268</v>
      </c>
      <c r="K540" s="24">
        <f t="shared" si="56"/>
        <v>43</v>
      </c>
      <c r="L540" s="19">
        <f t="shared" si="57"/>
        <v>1.896879821797024</v>
      </c>
      <c r="M540" s="19">
        <f t="shared" si="58"/>
        <v>5.9545839797091771E-4</v>
      </c>
    </row>
    <row r="541" spans="7:13">
      <c r="G541" s="3">
        <v>528</v>
      </c>
      <c r="H541" s="5">
        <f t="shared" si="54"/>
        <v>44</v>
      </c>
      <c r="I541" s="4">
        <f t="shared" si="53"/>
        <v>0.64943033771939063</v>
      </c>
      <c r="J541" s="10">
        <f t="shared" si="55"/>
        <v>0.11686133436193999</v>
      </c>
      <c r="K541" s="24">
        <f t="shared" si="56"/>
        <v>44</v>
      </c>
      <c r="L541" s="19">
        <f t="shared" si="57"/>
        <v>1.9253330191239788</v>
      </c>
      <c r="M541" s="19">
        <f t="shared" si="58"/>
        <v>5.9636290741659566E-4</v>
      </c>
    </row>
    <row r="542" spans="7:13">
      <c r="G542" s="3">
        <v>529</v>
      </c>
      <c r="H542" s="5">
        <f t="shared" si="54"/>
        <v>44.083333333333336</v>
      </c>
      <c r="I542" s="4">
        <f t="shared" si="53"/>
        <v>0.64672508582539856</v>
      </c>
      <c r="J542" s="10">
        <f t="shared" si="55"/>
        <v>0.1163871586706883</v>
      </c>
      <c r="K542" s="24">
        <f t="shared" si="56"/>
        <v>44</v>
      </c>
      <c r="L542" s="19">
        <f t="shared" si="57"/>
        <v>1.9253330191239788</v>
      </c>
      <c r="M542" s="19">
        <f t="shared" si="58"/>
        <v>6.0620377251612869E-4</v>
      </c>
    </row>
    <row r="543" spans="7:13">
      <c r="G543" s="3">
        <v>530</v>
      </c>
      <c r="H543" s="5">
        <f t="shared" si="54"/>
        <v>44.166666666666664</v>
      </c>
      <c r="I543" s="4">
        <f t="shared" si="53"/>
        <v>0.64400490326453474</v>
      </c>
      <c r="J543" s="10">
        <f t="shared" si="55"/>
        <v>0.11591490699123595</v>
      </c>
      <c r="K543" s="24">
        <f t="shared" si="56"/>
        <v>44</v>
      </c>
      <c r="L543" s="19">
        <f t="shared" si="57"/>
        <v>1.9253330191239788</v>
      </c>
      <c r="M543" s="19">
        <f t="shared" si="58"/>
        <v>6.0707619310571459E-4</v>
      </c>
    </row>
    <row r="544" spans="7:13">
      <c r="G544" s="3">
        <v>531</v>
      </c>
      <c r="H544" s="5">
        <f t="shared" si="54"/>
        <v>44.25</v>
      </c>
      <c r="I544" s="4">
        <f t="shared" si="53"/>
        <v>0.64126981832173113</v>
      </c>
      <c r="J544" s="10">
        <f t="shared" si="55"/>
        <v>0.11544457151672656</v>
      </c>
      <c r="K544" s="24">
        <f t="shared" si="56"/>
        <v>44</v>
      </c>
      <c r="L544" s="19">
        <f t="shared" si="57"/>
        <v>1.9253330191239788</v>
      </c>
      <c r="M544" s="19">
        <f t="shared" si="58"/>
        <v>6.0792526639594246E-4</v>
      </c>
    </row>
    <row r="545" spans="7:13">
      <c r="G545" s="3">
        <v>532</v>
      </c>
      <c r="H545" s="5">
        <f t="shared" si="54"/>
        <v>44.333333333333336</v>
      </c>
      <c r="I545" s="4">
        <f t="shared" si="53"/>
        <v>0.6385198617576312</v>
      </c>
      <c r="J545" s="10">
        <f t="shared" si="55"/>
        <v>0.11497614447198105</v>
      </c>
      <c r="K545" s="24">
        <f t="shared" si="56"/>
        <v>44</v>
      </c>
      <c r="L545" s="19">
        <f t="shared" si="57"/>
        <v>1.9253330191239788</v>
      </c>
      <c r="M545" s="19">
        <f t="shared" si="58"/>
        <v>6.0875064495870637E-4</v>
      </c>
    </row>
    <row r="546" spans="7:13">
      <c r="G546" s="3">
        <v>533</v>
      </c>
      <c r="H546" s="5">
        <f t="shared" si="54"/>
        <v>44.416666666666664</v>
      </c>
      <c r="I546" s="4">
        <f t="shared" si="53"/>
        <v>0.63575506684714134</v>
      </c>
      <c r="J546" s="10">
        <f t="shared" si="55"/>
        <v>0.11450961811336892</v>
      </c>
      <c r="K546" s="24">
        <f t="shared" si="56"/>
        <v>44</v>
      </c>
      <c r="L546" s="19">
        <f t="shared" si="57"/>
        <v>1.9253330191239788</v>
      </c>
      <c r="M546" s="19">
        <f t="shared" si="58"/>
        <v>6.0955198041429766E-4</v>
      </c>
    </row>
    <row r="547" spans="7:13">
      <c r="G547" s="3">
        <v>534</v>
      </c>
      <c r="H547" s="5">
        <f t="shared" si="54"/>
        <v>44.5</v>
      </c>
      <c r="I547" s="4">
        <f t="shared" si="53"/>
        <v>0.63297546941803895</v>
      </c>
      <c r="J547" s="10">
        <f t="shared" si="55"/>
        <v>0.11404498472867998</v>
      </c>
      <c r="K547" s="24">
        <f t="shared" si="56"/>
        <v>44</v>
      </c>
      <c r="L547" s="19">
        <f t="shared" si="57"/>
        <v>1.9253330191239788</v>
      </c>
      <c r="M547" s="19">
        <f t="shared" si="58"/>
        <v>6.1032892350920112E-4</v>
      </c>
    </row>
    <row r="548" spans="7:13">
      <c r="G548" s="3">
        <v>535</v>
      </c>
      <c r="H548" s="5">
        <f t="shared" si="54"/>
        <v>44.583333333333336</v>
      </c>
      <c r="I548" s="4">
        <f t="shared" si="53"/>
        <v>0.63018110788961923</v>
      </c>
      <c r="J548" s="10">
        <f t="shared" si="55"/>
        <v>0.11358223663699721</v>
      </c>
      <c r="K548" s="24">
        <f t="shared" si="56"/>
        <v>44</v>
      </c>
      <c r="L548" s="19">
        <f t="shared" si="57"/>
        <v>1.9253330191239788</v>
      </c>
      <c r="M548" s="19">
        <f t="shared" si="58"/>
        <v>6.1108112419674368E-4</v>
      </c>
    </row>
    <row r="549" spans="7:13">
      <c r="G549" s="3">
        <v>536</v>
      </c>
      <c r="H549" s="5">
        <f t="shared" si="54"/>
        <v>44.666666666666664</v>
      </c>
      <c r="I549" s="4">
        <f t="shared" si="53"/>
        <v>0.62737202331136754</v>
      </c>
      <c r="J549" s="10">
        <f t="shared" si="55"/>
        <v>0.11312136618856961</v>
      </c>
      <c r="K549" s="24">
        <f t="shared" si="56"/>
        <v>44</v>
      </c>
      <c r="L549" s="19">
        <f t="shared" si="57"/>
        <v>1.9253330191239788</v>
      </c>
      <c r="M549" s="19">
        <f t="shared" si="58"/>
        <v>6.1180823171937538E-4</v>
      </c>
    </row>
    <row r="550" spans="7:13">
      <c r="G550" s="3">
        <v>537</v>
      </c>
      <c r="H550" s="5">
        <f t="shared" si="54"/>
        <v>44.75</v>
      </c>
      <c r="I550" s="4">
        <f t="shared" si="53"/>
        <v>0.62454825940163849</v>
      </c>
      <c r="J550" s="10">
        <f t="shared" si="55"/>
        <v>0.11266236576468559</v>
      </c>
      <c r="K550" s="24">
        <f t="shared" si="56"/>
        <v>44</v>
      </c>
      <c r="L550" s="19">
        <f t="shared" si="57"/>
        <v>1.9253330191239788</v>
      </c>
      <c r="M550" s="19">
        <f t="shared" si="58"/>
        <v>6.125098946938172E-4</v>
      </c>
    </row>
    <row r="551" spans="7:13">
      <c r="G551" s="3">
        <v>538</v>
      </c>
      <c r="H551" s="5">
        <f t="shared" si="54"/>
        <v>44.833333333333336</v>
      </c>
      <c r="I551" s="4">
        <f t="shared" si="53"/>
        <v>0.62170986258632643</v>
      </c>
      <c r="J551" s="10">
        <f t="shared" si="55"/>
        <v>0.11220522777754739</v>
      </c>
      <c r="K551" s="24">
        <f t="shared" si="56"/>
        <v>44</v>
      </c>
      <c r="L551" s="19">
        <f t="shared" si="57"/>
        <v>1.9253330191239788</v>
      </c>
      <c r="M551" s="19">
        <f t="shared" si="58"/>
        <v>6.1318576119815922E-4</v>
      </c>
    </row>
    <row r="552" spans="7:13">
      <c r="G552" s="3">
        <v>539</v>
      </c>
      <c r="H552" s="5">
        <f t="shared" si="54"/>
        <v>44.916666666666664</v>
      </c>
      <c r="I552" s="4">
        <f t="shared" ref="I552:I615" si="59">I551*(B$9^(1/12))*B$8^((B$5^(B$7+H551))*((B$5^(1/12)-1)))</f>
        <v>0.61885688203750833</v>
      </c>
      <c r="J552" s="10">
        <f t="shared" si="55"/>
        <v>0.1117499446701454</v>
      </c>
      <c r="K552" s="24">
        <f t="shared" si="56"/>
        <v>44</v>
      </c>
      <c r="L552" s="19">
        <f t="shared" si="57"/>
        <v>1.9253330191239788</v>
      </c>
      <c r="M552" s="19">
        <f t="shared" si="58"/>
        <v>6.1383547886165949E-4</v>
      </c>
    </row>
    <row r="553" spans="7:13">
      <c r="G553" s="3">
        <v>540</v>
      </c>
      <c r="H553" s="5">
        <f t="shared" si="54"/>
        <v>45</v>
      </c>
      <c r="I553" s="4">
        <f t="shared" si="59"/>
        <v>0.61598936971204199</v>
      </c>
      <c r="J553" s="10">
        <f t="shared" si="55"/>
        <v>0.1112965089161333</v>
      </c>
      <c r="K553" s="24">
        <f t="shared" si="56"/>
        <v>45</v>
      </c>
      <c r="L553" s="19">
        <f t="shared" si="57"/>
        <v>1.9542130144108385</v>
      </c>
      <c r="M553" s="19">
        <f t="shared" si="58"/>
        <v>6.1445869495669453E-4</v>
      </c>
    </row>
    <row r="554" spans="7:13">
      <c r="G554" s="3">
        <v>541</v>
      </c>
      <c r="H554" s="5">
        <f t="shared" si="54"/>
        <v>45.083333333333336</v>
      </c>
      <c r="I554" s="4">
        <f t="shared" si="59"/>
        <v>0.6131073803901006</v>
      </c>
      <c r="J554" s="10">
        <f t="shared" si="55"/>
        <v>0.11084491301970313</v>
      </c>
      <c r="K554" s="24">
        <f t="shared" si="56"/>
        <v>45</v>
      </c>
      <c r="L554" s="19">
        <f t="shared" si="57"/>
        <v>1.9542130144108385</v>
      </c>
      <c r="M554" s="19">
        <f t="shared" si="58"/>
        <v>6.2428088234062055E-4</v>
      </c>
    </row>
    <row r="555" spans="7:13">
      <c r="G555" s="3">
        <v>542</v>
      </c>
      <c r="H555" s="5">
        <f t="shared" si="54"/>
        <v>45.166666666666664</v>
      </c>
      <c r="I555" s="4">
        <f t="shared" si="59"/>
        <v>0.61021097171362404</v>
      </c>
      <c r="J555" s="10">
        <f t="shared" si="55"/>
        <v>0.1103951495154628</v>
      </c>
      <c r="K555" s="24">
        <f t="shared" si="56"/>
        <v>45</v>
      </c>
      <c r="L555" s="19">
        <f t="shared" si="57"/>
        <v>1.9542130144108385</v>
      </c>
      <c r="M555" s="19">
        <f t="shared" si="58"/>
        <v>6.2485857347047418E-4</v>
      </c>
    </row>
    <row r="556" spans="7:13">
      <c r="G556" s="3">
        <v>543</v>
      </c>
      <c r="H556" s="5">
        <f t="shared" si="54"/>
        <v>45.25</v>
      </c>
      <c r="I556" s="4">
        <f t="shared" si="59"/>
        <v>0.60730020422466757</v>
      </c>
      <c r="J556" s="10">
        <f t="shared" si="55"/>
        <v>0.10994721096831099</v>
      </c>
      <c r="K556" s="24">
        <f t="shared" si="56"/>
        <v>45</v>
      </c>
      <c r="L556" s="19">
        <f t="shared" si="57"/>
        <v>1.9542130144108385</v>
      </c>
      <c r="M556" s="19">
        <f t="shared" si="58"/>
        <v>6.2540829025067E-4</v>
      </c>
    </row>
    <row r="557" spans="7:13">
      <c r="G557" s="3">
        <v>544</v>
      </c>
      <c r="H557" s="5">
        <f t="shared" si="54"/>
        <v>45.333333333333336</v>
      </c>
      <c r="I557" s="4">
        <f t="shared" si="59"/>
        <v>0.60437514140362814</v>
      </c>
      <c r="J557" s="10">
        <f t="shared" si="55"/>
        <v>0.10950108997331529</v>
      </c>
      <c r="K557" s="24">
        <f t="shared" si="56"/>
        <v>45</v>
      </c>
      <c r="L557" s="19">
        <f t="shared" si="57"/>
        <v>1.9542130144108385</v>
      </c>
      <c r="M557" s="19">
        <f t="shared" si="58"/>
        <v>6.2592967419740082E-4</v>
      </c>
    </row>
    <row r="558" spans="7:13">
      <c r="G558" s="3">
        <v>545</v>
      </c>
      <c r="H558" s="5">
        <f t="shared" si="54"/>
        <v>45.416666666666664</v>
      </c>
      <c r="I558" s="4">
        <f t="shared" si="59"/>
        <v>0.60143584970732566</v>
      </c>
      <c r="J558" s="10">
        <f t="shared" si="55"/>
        <v>0.10905677915558944</v>
      </c>
      <c r="K558" s="24">
        <f t="shared" si="56"/>
        <v>45</v>
      </c>
      <c r="L558" s="19">
        <f t="shared" si="57"/>
        <v>1.9542130144108385</v>
      </c>
      <c r="M558" s="19">
        <f t="shared" si="58"/>
        <v>6.2642236696912649E-4</v>
      </c>
    </row>
    <row r="559" spans="7:13">
      <c r="G559" s="3">
        <v>546</v>
      </c>
      <c r="H559" s="5">
        <f t="shared" si="54"/>
        <v>45.5</v>
      </c>
      <c r="I559" s="4">
        <f t="shared" si="59"/>
        <v>0.59848239860691987</v>
      </c>
      <c r="J559" s="10">
        <f t="shared" si="55"/>
        <v>0.1086142711701714</v>
      </c>
      <c r="K559" s="24">
        <f t="shared" si="56"/>
        <v>45</v>
      </c>
      <c r="L559" s="19">
        <f t="shared" si="57"/>
        <v>1.9542130144108385</v>
      </c>
      <c r="M559" s="19">
        <f t="shared" si="58"/>
        <v>6.2688601047484831E-4</v>
      </c>
    </row>
    <row r="560" spans="7:13">
      <c r="G560" s="3">
        <v>547</v>
      </c>
      <c r="H560" s="5">
        <f t="shared" si="54"/>
        <v>45.583333333333336</v>
      </c>
      <c r="I560" s="4">
        <f t="shared" si="59"/>
        <v>0.59551486062563908</v>
      </c>
      <c r="J560" s="10">
        <f t="shared" si="55"/>
        <v>0.10817355870190208</v>
      </c>
      <c r="K560" s="24">
        <f t="shared" si="56"/>
        <v>45</v>
      </c>
      <c r="L560" s="19">
        <f t="shared" si="57"/>
        <v>1.9542130144108385</v>
      </c>
      <c r="M560" s="19">
        <f t="shared" si="58"/>
        <v>6.2732024698525452E-4</v>
      </c>
    </row>
    <row r="561" spans="7:13">
      <c r="G561" s="3">
        <v>548</v>
      </c>
      <c r="H561" s="5">
        <f t="shared" si="54"/>
        <v>45.666666666666664</v>
      </c>
      <c r="I561" s="4">
        <f t="shared" si="59"/>
        <v>0.5925333113762995</v>
      </c>
      <c r="J561" s="10">
        <f t="shared" si="55"/>
        <v>0.10773463446530436</v>
      </c>
      <c r="K561" s="24">
        <f t="shared" si="56"/>
        <v>45</v>
      </c>
      <c r="L561" s="19">
        <f t="shared" si="57"/>
        <v>1.9542130144108385</v>
      </c>
      <c r="M561" s="19">
        <f t="shared" si="58"/>
        <v>6.2772471924621822E-4</v>
      </c>
    </row>
    <row r="562" spans="7:13">
      <c r="G562" s="3">
        <v>549</v>
      </c>
      <c r="H562" s="5">
        <f t="shared" si="54"/>
        <v>45.75</v>
      </c>
      <c r="I562" s="4">
        <f t="shared" si="59"/>
        <v>0.58953782959859091</v>
      </c>
      <c r="J562" s="10">
        <f t="shared" si="55"/>
        <v>0.10729749120446244</v>
      </c>
      <c r="K562" s="24">
        <f t="shared" si="56"/>
        <v>45</v>
      </c>
      <c r="L562" s="19">
        <f t="shared" si="57"/>
        <v>1.9542130144108385</v>
      </c>
      <c r="M562" s="19">
        <f t="shared" si="58"/>
        <v>6.280990705951053E-4</v>
      </c>
    </row>
    <row r="563" spans="7:13">
      <c r="G563" s="3">
        <v>550</v>
      </c>
      <c r="H563" s="5">
        <f t="shared" si="54"/>
        <v>45.833333333333336</v>
      </c>
      <c r="I563" s="4">
        <f t="shared" si="59"/>
        <v>0.586528497196105</v>
      </c>
      <c r="J563" s="10">
        <f t="shared" si="55"/>
        <v>0.10686212169290231</v>
      </c>
      <c r="K563" s="24">
        <f t="shared" si="56"/>
        <v>45</v>
      </c>
      <c r="L563" s="19">
        <f t="shared" si="57"/>
        <v>1.9542130144108385</v>
      </c>
      <c r="M563" s="19">
        <f t="shared" si="58"/>
        <v>6.2844294507964182E-4</v>
      </c>
    </row>
    <row r="564" spans="7:13">
      <c r="G564" s="3">
        <v>551</v>
      </c>
      <c r="H564" s="5">
        <f t="shared" si="54"/>
        <v>45.916666666666664</v>
      </c>
      <c r="I564" s="4">
        <f t="shared" si="59"/>
        <v>0.58350539927308298</v>
      </c>
      <c r="J564" s="10">
        <f t="shared" si="55"/>
        <v>0.10642851873347178</v>
      </c>
      <c r="K564" s="24">
        <f t="shared" si="56"/>
        <v>45</v>
      </c>
      <c r="L564" s="19">
        <f t="shared" si="57"/>
        <v>1.9542130144108385</v>
      </c>
      <c r="M564" s="19">
        <f t="shared" si="58"/>
        <v>6.287559875792245E-4</v>
      </c>
    </row>
    <row r="565" spans="7:13">
      <c r="G565" s="3">
        <v>552</v>
      </c>
      <c r="H565" s="5">
        <f t="shared" si="54"/>
        <v>46</v>
      </c>
      <c r="I565" s="4">
        <f t="shared" si="59"/>
        <v>0.58046862417085565</v>
      </c>
      <c r="J565" s="10">
        <f t="shared" si="55"/>
        <v>0.10599667515822221</v>
      </c>
      <c r="K565" s="24">
        <f t="shared" si="56"/>
        <v>46</v>
      </c>
      <c r="L565" s="19">
        <f t="shared" si="57"/>
        <v>1.9835262096270005</v>
      </c>
      <c r="M565" s="19">
        <f t="shared" si="58"/>
        <v>6.2903784392924099E-4</v>
      </c>
    </row>
    <row r="566" spans="7:13">
      <c r="G566" s="3">
        <v>553</v>
      </c>
      <c r="H566" s="5">
        <f t="shared" si="54"/>
        <v>46.083333333333336</v>
      </c>
      <c r="I566" s="4">
        <f t="shared" si="59"/>
        <v>0.57741826350395276</v>
      </c>
      <c r="J566" s="10">
        <f t="shared" si="55"/>
        <v>0.10556658382828872</v>
      </c>
      <c r="K566" s="24">
        <f t="shared" si="56"/>
        <v>46</v>
      </c>
      <c r="L566" s="19">
        <f t="shared" si="57"/>
        <v>1.9835262096270005</v>
      </c>
      <c r="M566" s="19">
        <f t="shared" si="58"/>
        <v>6.387274834632401E-4</v>
      </c>
    </row>
    <row r="567" spans="7:13">
      <c r="G567" s="3">
        <v>554</v>
      </c>
      <c r="H567" s="5">
        <f t="shared" si="54"/>
        <v>46.166666666666664</v>
      </c>
      <c r="I567" s="4">
        <f t="shared" si="59"/>
        <v>0.57435441219585315</v>
      </c>
      <c r="J567" s="10">
        <f t="shared" si="55"/>
        <v>0.10513823763377407</v>
      </c>
      <c r="K567" s="24">
        <f t="shared" si="56"/>
        <v>46</v>
      </c>
      <c r="L567" s="19">
        <f t="shared" si="57"/>
        <v>1.9835262096270005</v>
      </c>
      <c r="M567" s="19">
        <f t="shared" si="58"/>
        <v>6.3894918586992165E-4</v>
      </c>
    </row>
    <row r="568" spans="7:13">
      <c r="G568" s="3">
        <v>555</v>
      </c>
      <c r="H568" s="5">
        <f t="shared" si="54"/>
        <v>46.25</v>
      </c>
      <c r="I568" s="4">
        <f t="shared" si="59"/>
        <v>0.57127716851434973</v>
      </c>
      <c r="J568" s="10">
        <f t="shared" si="55"/>
        <v>0.10471162949362953</v>
      </c>
      <c r="K568" s="24">
        <f t="shared" si="56"/>
        <v>46</v>
      </c>
      <c r="L568" s="19">
        <f t="shared" si="57"/>
        <v>1.9835262096270005</v>
      </c>
      <c r="M568" s="19">
        <f t="shared" si="58"/>
        <v>6.3913816302433896E-4</v>
      </c>
    </row>
    <row r="569" spans="7:13">
      <c r="G569" s="3">
        <v>556</v>
      </c>
      <c r="H569" s="5">
        <f t="shared" si="54"/>
        <v>46.333333333333336</v>
      </c>
      <c r="I569" s="4">
        <f t="shared" si="59"/>
        <v>0.56818663410650283</v>
      </c>
      <c r="J569" s="10">
        <f t="shared" si="55"/>
        <v>0.10428675235553839</v>
      </c>
      <c r="K569" s="24">
        <f t="shared" si="56"/>
        <v>46</v>
      </c>
      <c r="L569" s="19">
        <f t="shared" si="57"/>
        <v>1.9835262096270005</v>
      </c>
      <c r="M569" s="19">
        <f t="shared" si="58"/>
        <v>6.3929406064344957E-4</v>
      </c>
    </row>
    <row r="570" spans="7:13">
      <c r="G570" s="3">
        <v>557</v>
      </c>
      <c r="H570" s="5">
        <f t="shared" si="54"/>
        <v>46.416666666666664</v>
      </c>
      <c r="I570" s="4">
        <f t="shared" si="59"/>
        <v>0.56508291403315236</v>
      </c>
      <c r="J570" s="10">
        <f t="shared" si="55"/>
        <v>0.10386359919579949</v>
      </c>
      <c r="K570" s="24">
        <f t="shared" si="56"/>
        <v>46</v>
      </c>
      <c r="L570" s="19">
        <f t="shared" si="57"/>
        <v>1.9835262096270005</v>
      </c>
      <c r="M570" s="19">
        <f t="shared" si="58"/>
        <v>6.3941652608465497E-4</v>
      </c>
    </row>
    <row r="571" spans="7:13">
      <c r="G571" s="3">
        <v>558</v>
      </c>
      <c r="H571" s="5">
        <f t="shared" si="54"/>
        <v>46.5</v>
      </c>
      <c r="I571" s="4">
        <f t="shared" si="59"/>
        <v>0.56196611680296149</v>
      </c>
      <c r="J571" s="10">
        <f t="shared" si="55"/>
        <v>0.10344216301921087</v>
      </c>
      <c r="K571" s="24">
        <f t="shared" si="56"/>
        <v>46</v>
      </c>
      <c r="L571" s="19">
        <f t="shared" si="57"/>
        <v>1.9835262096270005</v>
      </c>
      <c r="M571" s="19">
        <f t="shared" si="58"/>
        <v>6.3950520848783524E-4</v>
      </c>
    </row>
    <row r="572" spans="7:13">
      <c r="G572" s="3">
        <v>559</v>
      </c>
      <c r="H572" s="5">
        <f t="shared" si="54"/>
        <v>46.583333333333336</v>
      </c>
      <c r="I572" s="4">
        <f t="shared" si="59"/>
        <v>0.55883635440596136</v>
      </c>
      <c r="J572" s="10">
        <f t="shared" si="55"/>
        <v>0.10302243685895439</v>
      </c>
      <c r="K572" s="24">
        <f t="shared" si="56"/>
        <v>46</v>
      </c>
      <c r="L572" s="19">
        <f t="shared" si="57"/>
        <v>1.9835262096270005</v>
      </c>
      <c r="M572" s="19">
        <f t="shared" si="58"/>
        <v>6.3955975892034361E-4</v>
      </c>
    </row>
    <row r="573" spans="7:13">
      <c r="G573" s="3">
        <v>560</v>
      </c>
      <c r="H573" s="5">
        <f t="shared" si="54"/>
        <v>46.666666666666664</v>
      </c>
      <c r="I573" s="4">
        <f t="shared" si="59"/>
        <v>0.55569374234656876</v>
      </c>
      <c r="J573" s="10">
        <f t="shared" si="55"/>
        <v>0.10260441377648037</v>
      </c>
      <c r="K573" s="24">
        <f t="shared" si="56"/>
        <v>46</v>
      </c>
      <c r="L573" s="19">
        <f t="shared" si="57"/>
        <v>1.9835262096270005</v>
      </c>
      <c r="M573" s="19">
        <f t="shared" si="58"/>
        <v>6.3957983052434486E-4</v>
      </c>
    </row>
    <row r="574" spans="7:13">
      <c r="G574" s="3">
        <v>561</v>
      </c>
      <c r="H574" s="5">
        <f t="shared" si="54"/>
        <v>46.75</v>
      </c>
      <c r="I574" s="4">
        <f t="shared" si="59"/>
        <v>0.5525383996760439</v>
      </c>
      <c r="J574" s="10">
        <f t="shared" si="55"/>
        <v>0.10218808686139283</v>
      </c>
      <c r="K574" s="24">
        <f t="shared" si="56"/>
        <v>46</v>
      </c>
      <c r="L574" s="19">
        <f t="shared" si="57"/>
        <v>1.9835262096270005</v>
      </c>
      <c r="M574" s="19">
        <f t="shared" si="58"/>
        <v>6.395650786673769E-4</v>
      </c>
    </row>
    <row r="575" spans="7:13">
      <c r="G575" s="3">
        <v>562</v>
      </c>
      <c r="H575" s="5">
        <f t="shared" si="54"/>
        <v>46.833333333333336</v>
      </c>
      <c r="I575" s="4">
        <f t="shared" si="59"/>
        <v>0.54937044902436039</v>
      </c>
      <c r="J575" s="10">
        <f t="shared" si="55"/>
        <v>0.10177344923133551</v>
      </c>
      <c r="K575" s="24">
        <f t="shared" si="56"/>
        <v>46</v>
      </c>
      <c r="L575" s="19">
        <f t="shared" si="57"/>
        <v>1.9835262096270005</v>
      </c>
      <c r="M575" s="19">
        <f t="shared" si="58"/>
        <v>6.3951516109491573E-4</v>
      </c>
    </row>
    <row r="576" spans="7:13">
      <c r="G576" s="3">
        <v>563</v>
      </c>
      <c r="H576" s="5">
        <f t="shared" si="54"/>
        <v>46.916666666666664</v>
      </c>
      <c r="I576" s="4">
        <f t="shared" si="59"/>
        <v>0.54619001663145239</v>
      </c>
      <c r="J576" s="10">
        <f t="shared" si="55"/>
        <v>0.10136049403187793</v>
      </c>
      <c r="K576" s="24">
        <f t="shared" si="56"/>
        <v>46</v>
      </c>
      <c r="L576" s="19">
        <f t="shared" si="57"/>
        <v>1.9835262096270005</v>
      </c>
      <c r="M576" s="19">
        <f t="shared" si="58"/>
        <v>6.3942973808637257E-4</v>
      </c>
    </row>
    <row r="577" spans="7:13">
      <c r="G577" s="3">
        <v>564</v>
      </c>
      <c r="H577" s="5">
        <f t="shared" si="54"/>
        <v>47</v>
      </c>
      <c r="I577" s="4">
        <f t="shared" si="59"/>
        <v>0.54299723237781006</v>
      </c>
      <c r="J577" s="10">
        <f t="shared" si="55"/>
        <v>0.10094921443640208</v>
      </c>
      <c r="K577" s="24">
        <f t="shared" si="56"/>
        <v>47</v>
      </c>
      <c r="L577" s="19">
        <f t="shared" si="57"/>
        <v>2.0132791027714054</v>
      </c>
      <c r="M577" s="19">
        <f t="shared" si="58"/>
        <v>6.3930847261305991E-4</v>
      </c>
    </row>
    <row r="578" spans="7:13">
      <c r="G578" s="3">
        <v>565</v>
      </c>
      <c r="H578" s="5">
        <f t="shared" si="54"/>
        <v>47.083333333333336</v>
      </c>
      <c r="I578" s="4">
        <f t="shared" si="59"/>
        <v>0.53979222981438746</v>
      </c>
      <c r="J578" s="10">
        <f t="shared" si="55"/>
        <v>0.10053960364598924</v>
      </c>
      <c r="K578" s="24">
        <f t="shared" si="56"/>
        <v>47</v>
      </c>
      <c r="L578" s="19">
        <f t="shared" si="57"/>
        <v>2.0132791027714054</v>
      </c>
      <c r="M578" s="19">
        <f t="shared" si="58"/>
        <v>6.4873829595690205E-4</v>
      </c>
    </row>
    <row r="579" spans="7:13">
      <c r="G579" s="3">
        <v>566</v>
      </c>
      <c r="H579" s="5">
        <f t="shared" si="54"/>
        <v>47.166666666666664</v>
      </c>
      <c r="I579" s="4">
        <f t="shared" si="59"/>
        <v>0.53657514619179247</v>
      </c>
      <c r="J579" s="10">
        <f t="shared" si="55"/>
        <v>0.10013165488930867</v>
      </c>
      <c r="K579" s="24">
        <f t="shared" si="56"/>
        <v>47</v>
      </c>
      <c r="L579" s="19">
        <f t="shared" si="57"/>
        <v>2.0132791027714054</v>
      </c>
      <c r="M579" s="19">
        <f t="shared" si="58"/>
        <v>6.4854143679509151E-4</v>
      </c>
    </row>
    <row r="580" spans="7:13">
      <c r="G580" s="3">
        <v>567</v>
      </c>
      <c r="H580" s="5">
        <f t="shared" si="54"/>
        <v>47.25</v>
      </c>
      <c r="I580" s="4">
        <f t="shared" si="59"/>
        <v>0.53334612248872193</v>
      </c>
      <c r="J580" s="10">
        <f t="shared" si="55"/>
        <v>9.9725361422504308E-2</v>
      </c>
      <c r="K580" s="24">
        <f t="shared" si="56"/>
        <v>47</v>
      </c>
      <c r="L580" s="19">
        <f t="shared" si="57"/>
        <v>2.0132791027714054</v>
      </c>
      <c r="M580" s="19">
        <f t="shared" si="58"/>
        <v>6.4830718932095137E-4</v>
      </c>
    </row>
    <row r="581" spans="7:13">
      <c r="G581" s="3">
        <v>568</v>
      </c>
      <c r="H581" s="5">
        <f t="shared" si="54"/>
        <v>47.333333333333336</v>
      </c>
      <c r="I581" s="4">
        <f t="shared" si="59"/>
        <v>0.53010530343960971</v>
      </c>
      <c r="J581" s="10">
        <f t="shared" si="55"/>
        <v>9.9320716529084155E-2</v>
      </c>
      <c r="K581" s="24">
        <f t="shared" si="56"/>
        <v>47</v>
      </c>
      <c r="L581" s="19">
        <f t="shared" si="57"/>
        <v>2.0132791027714054</v>
      </c>
      <c r="M581" s="19">
        <f t="shared" si="58"/>
        <v>6.4803522404041376E-4</v>
      </c>
    </row>
    <row r="582" spans="7:13">
      <c r="G582" s="3">
        <v>569</v>
      </c>
      <c r="H582" s="5">
        <f t="shared" si="54"/>
        <v>47.416666666666664</v>
      </c>
      <c r="I582" s="4">
        <f t="shared" si="59"/>
        <v>0.52685283756145196</v>
      </c>
      <c r="J582" s="10">
        <f t="shared" si="55"/>
        <v>9.891771351980902E-2</v>
      </c>
      <c r="K582" s="24">
        <f t="shared" si="56"/>
        <v>47</v>
      </c>
      <c r="L582" s="19">
        <f t="shared" si="57"/>
        <v>2.0132791027714054</v>
      </c>
      <c r="M582" s="19">
        <f t="shared" si="58"/>
        <v>6.4772521503514283E-4</v>
      </c>
    </row>
    <row r="583" spans="7:13">
      <c r="G583" s="3">
        <v>570</v>
      </c>
      <c r="H583" s="5">
        <f t="shared" si="54"/>
        <v>47.5</v>
      </c>
      <c r="I583" s="4">
        <f t="shared" si="59"/>
        <v>0.52358887717977309</v>
      </c>
      <c r="J583" s="10">
        <f t="shared" si="55"/>
        <v>9.8516345732581778E-2</v>
      </c>
      <c r="K583" s="24">
        <f t="shared" si="56"/>
        <v>47</v>
      </c>
      <c r="L583" s="19">
        <f t="shared" si="57"/>
        <v>2.0132791027714054</v>
      </c>
      <c r="M583" s="19">
        <f t="shared" si="58"/>
        <v>6.4737684013918323E-4</v>
      </c>
    </row>
    <row r="584" spans="7:13">
      <c r="G584" s="3">
        <v>571</v>
      </c>
      <c r="H584" s="5">
        <f t="shared" si="54"/>
        <v>47.583333333333336</v>
      </c>
      <c r="I584" s="4">
        <f t="shared" si="59"/>
        <v>0.52031357845369741</v>
      </c>
      <c r="J584" s="10">
        <f t="shared" si="55"/>
        <v>9.8116606532337503E-2</v>
      </c>
      <c r="K584" s="24">
        <f t="shared" si="56"/>
        <v>47</v>
      </c>
      <c r="L584" s="19">
        <f t="shared" si="57"/>
        <v>2.0132791027714054</v>
      </c>
      <c r="M584" s="19">
        <f t="shared" si="58"/>
        <v>6.4698978111796929E-4</v>
      </c>
    </row>
    <row r="585" spans="7:13">
      <c r="G585" s="3">
        <v>572</v>
      </c>
      <c r="H585" s="5">
        <f t="shared" si="54"/>
        <v>47.666666666666664</v>
      </c>
      <c r="I585" s="4">
        <f t="shared" si="59"/>
        <v>0.51702710140008934</v>
      </c>
      <c r="J585" s="10">
        <f t="shared" si="55"/>
        <v>9.7718489310933673E-2</v>
      </c>
      <c r="K585" s="24">
        <f t="shared" si="56"/>
        <v>47</v>
      </c>
      <c r="L585" s="19">
        <f t="shared" si="57"/>
        <v>2.0132791027714054</v>
      </c>
      <c r="M585" s="19">
        <f t="shared" si="58"/>
        <v>6.4656372384990922E-4</v>
      </c>
    </row>
    <row r="586" spans="7:13">
      <c r="G586" s="3">
        <v>573</v>
      </c>
      <c r="H586" s="5">
        <f t="shared" si="54"/>
        <v>47.75</v>
      </c>
      <c r="I586" s="4">
        <f t="shared" si="59"/>
        <v>0.51372960991672478</v>
      </c>
      <c r="J586" s="10">
        <f t="shared" si="55"/>
        <v>9.7321987487040781E-2</v>
      </c>
      <c r="K586" s="24">
        <f t="shared" si="56"/>
        <v>47</v>
      </c>
      <c r="L586" s="19">
        <f t="shared" si="57"/>
        <v>2.0132791027714054</v>
      </c>
      <c r="M586" s="19">
        <f t="shared" si="58"/>
        <v>6.4609835851051176E-4</v>
      </c>
    </row>
    <row r="587" spans="7:13">
      <c r="G587" s="3">
        <v>574</v>
      </c>
      <c r="H587" s="5">
        <f t="shared" si="54"/>
        <v>47.833333333333336</v>
      </c>
      <c r="I587" s="4">
        <f t="shared" si="59"/>
        <v>0.51042127180445585</v>
      </c>
      <c r="J587" s="10">
        <f t="shared" si="55"/>
        <v>9.6927094506033804E-2</v>
      </c>
      <c r="K587" s="24">
        <f t="shared" si="56"/>
        <v>47</v>
      </c>
      <c r="L587" s="19">
        <f t="shared" si="57"/>
        <v>2.0132791027714054</v>
      </c>
      <c r="M587" s="19">
        <f t="shared" si="58"/>
        <v>6.4559337975896665E-4</v>
      </c>
    </row>
    <row r="588" spans="7:13">
      <c r="G588" s="3">
        <v>575</v>
      </c>
      <c r="H588" s="5">
        <f t="shared" si="54"/>
        <v>47.916666666666664</v>
      </c>
      <c r="I588" s="4">
        <f t="shared" si="59"/>
        <v>0.50710225878833148</v>
      </c>
      <c r="J588" s="10">
        <f t="shared" si="55"/>
        <v>9.6533803839883733E-2</v>
      </c>
      <c r="K588" s="24">
        <f t="shared" si="56"/>
        <v>47</v>
      </c>
      <c r="L588" s="19">
        <f t="shared" si="57"/>
        <v>2.0132791027714054</v>
      </c>
      <c r="M588" s="19">
        <f t="shared" si="58"/>
        <v>6.4504848692696431E-4</v>
      </c>
    </row>
    <row r="589" spans="7:13">
      <c r="G589" s="3">
        <v>576</v>
      </c>
      <c r="H589" s="5">
        <f t="shared" si="54"/>
        <v>48</v>
      </c>
      <c r="I589" s="4">
        <f t="shared" si="59"/>
        <v>0.50377274653763437</v>
      </c>
      <c r="J589" s="10">
        <f t="shared" si="55"/>
        <v>9.6142108987049613E-2</v>
      </c>
      <c r="K589" s="24">
        <f t="shared" si="56"/>
        <v>48</v>
      </c>
      <c r="L589" s="19">
        <f t="shared" si="57"/>
        <v>2.0434782893129761</v>
      </c>
      <c r="M589" s="19">
        <f t="shared" si="58"/>
        <v>6.4446338421007777E-4</v>
      </c>
    </row>
    <row r="590" spans="7:13">
      <c r="G590" s="3">
        <v>577</v>
      </c>
      <c r="H590" s="5">
        <f t="shared" ref="H590:H653" si="60">G590/12</f>
        <v>48.083333333333336</v>
      </c>
      <c r="I590" s="4">
        <f t="shared" si="59"/>
        <v>0.500432914684795</v>
      </c>
      <c r="J590" s="10">
        <f t="shared" ref="J590:J653" si="61">(1+B$6)^-H590</f>
        <v>9.5752003472370686E-2</v>
      </c>
      <c r="K590" s="24">
        <f t="shared" ref="K590:K653" si="62">INT(H590+0.000001)</f>
        <v>48</v>
      </c>
      <c r="L590" s="19">
        <f t="shared" ref="L590:L653" si="63">1.015^K590</f>
        <v>2.0434782893129761</v>
      </c>
      <c r="M590" s="19">
        <f t="shared" si="58"/>
        <v>6.5349534757433176E-4</v>
      </c>
    </row>
    <row r="591" spans="7:13">
      <c r="G591" s="3">
        <v>578</v>
      </c>
      <c r="H591" s="5">
        <f t="shared" si="60"/>
        <v>48.166666666666664</v>
      </c>
      <c r="I591" s="4">
        <f t="shared" si="59"/>
        <v>0.49708294684314397</v>
      </c>
      <c r="J591" s="10">
        <f t="shared" si="61"/>
        <v>9.5363480846960627E-2</v>
      </c>
      <c r="K591" s="24">
        <f t="shared" si="62"/>
        <v>48</v>
      </c>
      <c r="L591" s="19">
        <f t="shared" si="63"/>
        <v>2.0434782893129761</v>
      </c>
      <c r="M591" s="19">
        <f t="shared" ref="M591:M654" si="64">(I590-I591)*J591*L590</f>
        <v>6.5281896225820454E-4</v>
      </c>
    </row>
    <row r="592" spans="7:13">
      <c r="G592" s="3">
        <v>579</v>
      </c>
      <c r="H592" s="5">
        <f t="shared" si="60"/>
        <v>48.25</v>
      </c>
      <c r="I592" s="4">
        <f t="shared" si="59"/>
        <v>0.49372303062346196</v>
      </c>
      <c r="J592" s="10">
        <f t="shared" si="61"/>
        <v>9.4976534688099315E-2</v>
      </c>
      <c r="K592" s="24">
        <f t="shared" si="62"/>
        <v>48</v>
      </c>
      <c r="L592" s="19">
        <f t="shared" si="63"/>
        <v>2.0434782893129761</v>
      </c>
      <c r="M592" s="19">
        <f t="shared" si="64"/>
        <v>6.5210089478204194E-4</v>
      </c>
    </row>
    <row r="593" spans="7:13">
      <c r="G593" s="3">
        <v>580</v>
      </c>
      <c r="H593" s="5">
        <f t="shared" si="60"/>
        <v>48.333333333333336</v>
      </c>
      <c r="I593" s="4">
        <f t="shared" si="59"/>
        <v>0.49035335764928661</v>
      </c>
      <c r="J593" s="10">
        <f t="shared" si="61"/>
        <v>9.4591158599127756E-2</v>
      </c>
      <c r="K593" s="24">
        <f t="shared" si="62"/>
        <v>48</v>
      </c>
      <c r="L593" s="19">
        <f t="shared" si="63"/>
        <v>2.0434782893129761</v>
      </c>
      <c r="M593" s="19">
        <f t="shared" si="64"/>
        <v>6.5134086663950076E-4</v>
      </c>
    </row>
    <row r="594" spans="7:13">
      <c r="G594" s="3">
        <v>581</v>
      </c>
      <c r="H594" s="5">
        <f t="shared" si="60"/>
        <v>48.416666666666664</v>
      </c>
      <c r="I594" s="4">
        <f t="shared" si="59"/>
        <v>0.48697412357093595</v>
      </c>
      <c r="J594" s="10">
        <f t="shared" si="61"/>
        <v>9.4207346209341916E-2</v>
      </c>
      <c r="K594" s="24">
        <f t="shared" si="62"/>
        <v>48</v>
      </c>
      <c r="L594" s="19">
        <f t="shared" si="63"/>
        <v>2.0434782893129761</v>
      </c>
      <c r="M594" s="19">
        <f t="shared" si="64"/>
        <v>6.5053860526599302E-4</v>
      </c>
    </row>
    <row r="595" spans="7:13">
      <c r="G595" s="3">
        <v>582</v>
      </c>
      <c r="H595" s="5">
        <f t="shared" si="60"/>
        <v>48.5</v>
      </c>
      <c r="I595" s="4">
        <f t="shared" si="59"/>
        <v>0.48358552807820709</v>
      </c>
      <c r="J595" s="10">
        <f t="shared" si="61"/>
        <v>9.382509117388739E-2</v>
      </c>
      <c r="K595" s="24">
        <f t="shared" si="62"/>
        <v>48</v>
      </c>
      <c r="L595" s="19">
        <f t="shared" si="63"/>
        <v>2.0434782893129761</v>
      </c>
      <c r="M595" s="19">
        <f t="shared" si="64"/>
        <v>6.4969384424600277E-4</v>
      </c>
    </row>
    <row r="596" spans="7:13">
      <c r="G596" s="3">
        <v>583</v>
      </c>
      <c r="H596" s="5">
        <f t="shared" si="60"/>
        <v>48.583333333333336</v>
      </c>
      <c r="I596" s="4">
        <f t="shared" si="59"/>
        <v>0.48018777491170805</v>
      </c>
      <c r="J596" s="10">
        <f t="shared" si="61"/>
        <v>9.3444387173654747E-2</v>
      </c>
      <c r="K596" s="24">
        <f t="shared" si="62"/>
        <v>48</v>
      </c>
      <c r="L596" s="19">
        <f t="shared" si="63"/>
        <v>2.0434782893129761</v>
      </c>
      <c r="M596" s="19">
        <f t="shared" si="64"/>
        <v>6.4880632352254256E-4</v>
      </c>
    </row>
    <row r="597" spans="7:13">
      <c r="G597" s="3">
        <v>584</v>
      </c>
      <c r="H597" s="5">
        <f t="shared" si="60"/>
        <v>48.666666666666664</v>
      </c>
      <c r="I597" s="4">
        <f t="shared" si="59"/>
        <v>0.47678107187278118</v>
      </c>
      <c r="J597" s="10">
        <f t="shared" si="61"/>
        <v>9.3065227915174922E-2</v>
      </c>
      <c r="K597" s="24">
        <f t="shared" si="62"/>
        <v>48</v>
      </c>
      <c r="L597" s="19">
        <f t="shared" si="63"/>
        <v>2.0434782893129761</v>
      </c>
      <c r="M597" s="19">
        <f t="shared" si="64"/>
        <v>6.4787578960834834E-4</v>
      </c>
    </row>
    <row r="598" spans="7:13">
      <c r="G598" s="3">
        <v>585</v>
      </c>
      <c r="H598" s="5">
        <f t="shared" si="60"/>
        <v>48.75</v>
      </c>
      <c r="I598" s="4">
        <f t="shared" si="59"/>
        <v>0.47336563083197597</v>
      </c>
      <c r="J598" s="10">
        <f t="shared" si="61"/>
        <v>9.2687607130515021E-2</v>
      </c>
      <c r="K598" s="24">
        <f t="shared" si="62"/>
        <v>48</v>
      </c>
      <c r="L598" s="19">
        <f t="shared" si="63"/>
        <v>2.0434782893129761</v>
      </c>
      <c r="M598" s="19">
        <f t="shared" si="64"/>
        <v>6.4690199579894576E-4</v>
      </c>
    </row>
    <row r="599" spans="7:13">
      <c r="G599" s="3">
        <v>586</v>
      </c>
      <c r="H599" s="5">
        <f t="shared" si="60"/>
        <v>48.833333333333336</v>
      </c>
      <c r="I599" s="4">
        <f t="shared" si="59"/>
        <v>0.46994166773602869</v>
      </c>
      <c r="J599" s="10">
        <f t="shared" si="61"/>
        <v>9.2311518577175039E-2</v>
      </c>
      <c r="K599" s="24">
        <f t="shared" si="62"/>
        <v>48</v>
      </c>
      <c r="L599" s="19">
        <f t="shared" si="63"/>
        <v>2.0434782893129761</v>
      </c>
      <c r="M599" s="19">
        <f t="shared" si="64"/>
        <v>6.4588470238743337E-4</v>
      </c>
    </row>
    <row r="600" spans="7:13">
      <c r="G600" s="3">
        <v>587</v>
      </c>
      <c r="H600" s="5">
        <f t="shared" si="60"/>
        <v>48.916666666666664</v>
      </c>
      <c r="I600" s="4">
        <f t="shared" si="59"/>
        <v>0.46650940261330559</v>
      </c>
      <c r="J600" s="10">
        <f t="shared" si="61"/>
        <v>9.1936956037984491E-2</v>
      </c>
      <c r="K600" s="24">
        <f t="shared" si="62"/>
        <v>48</v>
      </c>
      <c r="L600" s="19">
        <f t="shared" si="63"/>
        <v>2.0434782893129761</v>
      </c>
      <c r="M600" s="19">
        <f t="shared" si="64"/>
        <v>6.4482367688100805E-4</v>
      </c>
    </row>
    <row r="601" spans="7:13">
      <c r="G601" s="3">
        <v>588</v>
      </c>
      <c r="H601" s="5">
        <f t="shared" si="60"/>
        <v>49</v>
      </c>
      <c r="I601" s="4">
        <f t="shared" si="59"/>
        <v>0.46306905957766753</v>
      </c>
      <c r="J601" s="10">
        <f t="shared" si="61"/>
        <v>9.1563913320999626E-2</v>
      </c>
      <c r="K601" s="24">
        <f t="shared" si="62"/>
        <v>49</v>
      </c>
      <c r="L601" s="19">
        <f t="shared" si="63"/>
        <v>2.0741304636526703</v>
      </c>
      <c r="M601" s="19">
        <f t="shared" si="64"/>
        <v>6.4371869421888197E-4</v>
      </c>
    </row>
    <row r="602" spans="7:13">
      <c r="G602" s="3">
        <v>589</v>
      </c>
      <c r="H602" s="5">
        <f t="shared" si="60"/>
        <v>49.083333333333336</v>
      </c>
      <c r="I602" s="4">
        <f t="shared" si="59"/>
        <v>0.45962086683071185</v>
      </c>
      <c r="J602" s="10">
        <f t="shared" si="61"/>
        <v>9.1192384259400641E-2</v>
      </c>
      <c r="K602" s="24">
        <f t="shared" si="62"/>
        <v>49</v>
      </c>
      <c r="L602" s="19">
        <f t="shared" si="63"/>
        <v>2.0741304636526703</v>
      </c>
      <c r="M602" s="19">
        <f t="shared" si="64"/>
        <v>6.5220808004672298E-4</v>
      </c>
    </row>
    <row r="603" spans="7:13">
      <c r="G603" s="3">
        <v>590</v>
      </c>
      <c r="H603" s="5">
        <f t="shared" si="60"/>
        <v>49.166666666666664</v>
      </c>
      <c r="I603" s="4">
        <f t="shared" si="59"/>
        <v>0.45616505666234913</v>
      </c>
      <c r="J603" s="10">
        <f t="shared" si="61"/>
        <v>9.0822362711391061E-2</v>
      </c>
      <c r="K603" s="24">
        <f t="shared" si="62"/>
        <v>49</v>
      </c>
      <c r="L603" s="19">
        <f t="shared" si="63"/>
        <v>2.0741304636526703</v>
      </c>
      <c r="M603" s="19">
        <f t="shared" si="64"/>
        <v>6.5099663559795549E-4</v>
      </c>
    </row>
    <row r="604" spans="7:13">
      <c r="G604" s="3">
        <v>591</v>
      </c>
      <c r="H604" s="5">
        <f t="shared" si="60"/>
        <v>49.25</v>
      </c>
      <c r="I604" s="4">
        <f t="shared" si="59"/>
        <v>0.45270186544967062</v>
      </c>
      <c r="J604" s="10">
        <f t="shared" si="61"/>
        <v>9.0453842560094574E-2</v>
      </c>
      <c r="K604" s="24">
        <f t="shared" si="62"/>
        <v>49</v>
      </c>
      <c r="L604" s="19">
        <f t="shared" si="63"/>
        <v>2.0741304636526703</v>
      </c>
      <c r="M604" s="19">
        <f t="shared" si="64"/>
        <v>6.497399368217805E-4</v>
      </c>
    </row>
    <row r="605" spans="7:13">
      <c r="G605" s="3">
        <v>592</v>
      </c>
      <c r="H605" s="5">
        <f t="shared" si="60"/>
        <v>49.333333333333336</v>
      </c>
      <c r="I605" s="4">
        <f t="shared" si="59"/>
        <v>0.44923153365406288</v>
      </c>
      <c r="J605" s="10">
        <f t="shared" si="61"/>
        <v>9.0086817713454989E-2</v>
      </c>
      <c r="K605" s="24">
        <f t="shared" si="62"/>
        <v>49</v>
      </c>
      <c r="L605" s="19">
        <f t="shared" si="63"/>
        <v>2.0741304636526703</v>
      </c>
      <c r="M605" s="19">
        <f t="shared" si="64"/>
        <v>6.4843778769656615E-4</v>
      </c>
    </row>
    <row r="606" spans="7:13">
      <c r="G606" s="3">
        <v>593</v>
      </c>
      <c r="H606" s="5">
        <f t="shared" si="60"/>
        <v>49.416666666666664</v>
      </c>
      <c r="I606" s="4">
        <f t="shared" si="59"/>
        <v>0.4457543058165262</v>
      </c>
      <c r="J606" s="10">
        <f t="shared" si="61"/>
        <v>8.9721282104135144E-2</v>
      </c>
      <c r="K606" s="24">
        <f t="shared" si="62"/>
        <v>49</v>
      </c>
      <c r="L606" s="19">
        <f t="shared" si="63"/>
        <v>2.0741304636526703</v>
      </c>
      <c r="M606" s="19">
        <f t="shared" si="64"/>
        <v>6.4709000087075574E-4</v>
      </c>
    </row>
    <row r="607" spans="7:13">
      <c r="G607" s="3">
        <v>594</v>
      </c>
      <c r="H607" s="5">
        <f t="shared" si="60"/>
        <v>49.5</v>
      </c>
      <c r="I607" s="4">
        <f t="shared" si="59"/>
        <v>0.44227043055115312</v>
      </c>
      <c r="J607" s="10">
        <f t="shared" si="61"/>
        <v>8.9357229689416548E-2</v>
      </c>
      <c r="K607" s="24">
        <f t="shared" si="62"/>
        <v>49</v>
      </c>
      <c r="L607" s="19">
        <f t="shared" si="63"/>
        <v>2.0741304636526703</v>
      </c>
      <c r="M607" s="19">
        <f t="shared" si="64"/>
        <v>6.4569639789138615E-4</v>
      </c>
    </row>
    <row r="608" spans="7:13">
      <c r="G608" s="3">
        <v>595</v>
      </c>
      <c r="H608" s="5">
        <f t="shared" si="60"/>
        <v>49.583333333333336</v>
      </c>
      <c r="I608" s="4">
        <f t="shared" si="59"/>
        <v>0.43878016053672286</v>
      </c>
      <c r="J608" s="10">
        <f t="shared" si="61"/>
        <v>8.8994654451099747E-2</v>
      </c>
      <c r="K608" s="24">
        <f t="shared" si="62"/>
        <v>49</v>
      </c>
      <c r="L608" s="19">
        <f t="shared" si="63"/>
        <v>2.0741304636526703</v>
      </c>
      <c r="M608" s="19">
        <f t="shared" si="64"/>
        <v>6.4425680943353068E-4</v>
      </c>
    </row>
    <row r="609" spans="7:13">
      <c r="G609" s="3">
        <v>596</v>
      </c>
      <c r="H609" s="5">
        <f t="shared" si="60"/>
        <v>49.666666666666664</v>
      </c>
      <c r="I609" s="4">
        <f t="shared" si="59"/>
        <v>0.43528375250636925</v>
      </c>
      <c r="J609" s="10">
        <f t="shared" si="61"/>
        <v>8.8633550395404673E-2</v>
      </c>
      <c r="K609" s="24">
        <f t="shared" si="62"/>
        <v>49</v>
      </c>
      <c r="L609" s="19">
        <f t="shared" si="63"/>
        <v>2.0741304636526703</v>
      </c>
      <c r="M609" s="19">
        <f t="shared" si="64"/>
        <v>6.4277107553020393E-4</v>
      </c>
    </row>
    <row r="610" spans="7:13">
      <c r="G610" s="3">
        <v>597</v>
      </c>
      <c r="H610" s="5">
        <f t="shared" si="60"/>
        <v>49.75</v>
      </c>
      <c r="I610" s="4">
        <f t="shared" si="59"/>
        <v>0.43178146723527699</v>
      </c>
      <c r="J610" s="10">
        <f t="shared" si="61"/>
        <v>8.8273911552871426E-2</v>
      </c>
      <c r="K610" s="24">
        <f t="shared" si="62"/>
        <v>49</v>
      </c>
      <c r="L610" s="19">
        <f t="shared" si="63"/>
        <v>2.0741304636526703</v>
      </c>
      <c r="M610" s="19">
        <f t="shared" si="64"/>
        <v>6.4123904580307709E-4</v>
      </c>
    </row>
    <row r="611" spans="7:13">
      <c r="G611" s="3">
        <v>598</v>
      </c>
      <c r="H611" s="5">
        <f t="shared" si="60"/>
        <v>49.833333333333336</v>
      </c>
      <c r="I611" s="4">
        <f t="shared" si="59"/>
        <v>0.42827356952636458</v>
      </c>
      <c r="J611" s="10">
        <f t="shared" si="61"/>
        <v>8.7915731978261955E-2</v>
      </c>
      <c r="K611" s="24">
        <f t="shared" si="62"/>
        <v>49</v>
      </c>
      <c r="L611" s="19">
        <f t="shared" si="63"/>
        <v>2.0741304636526703</v>
      </c>
      <c r="M611" s="19">
        <f t="shared" si="64"/>
        <v>6.3966057969333892E-4</v>
      </c>
    </row>
    <row r="612" spans="7:13">
      <c r="G612" s="3">
        <v>599</v>
      </c>
      <c r="H612" s="5">
        <f t="shared" si="60"/>
        <v>49.916666666666664</v>
      </c>
      <c r="I612" s="4">
        <f t="shared" si="59"/>
        <v>0.42476032819390958</v>
      </c>
      <c r="J612" s="10">
        <f t="shared" si="61"/>
        <v>8.7559005750461411E-2</v>
      </c>
      <c r="K612" s="24">
        <f t="shared" si="62"/>
        <v>49</v>
      </c>
      <c r="L612" s="19">
        <f t="shared" si="63"/>
        <v>2.0741304636526703</v>
      </c>
      <c r="M612" s="19">
        <f t="shared" si="64"/>
        <v>6.3803554669296728E-4</v>
      </c>
    </row>
    <row r="613" spans="7:13">
      <c r="G613" s="3">
        <v>600</v>
      </c>
      <c r="H613" s="5">
        <f t="shared" si="60"/>
        <v>50</v>
      </c>
      <c r="I613" s="4">
        <f t="shared" si="59"/>
        <v>0.42124201604507377</v>
      </c>
      <c r="J613" s="10">
        <f t="shared" si="61"/>
        <v>8.7203726972380588E-2</v>
      </c>
      <c r="K613" s="24">
        <f t="shared" si="62"/>
        <v>50</v>
      </c>
      <c r="L613" s="19">
        <f t="shared" si="63"/>
        <v>2.1052424206074605</v>
      </c>
      <c r="M613" s="19">
        <f t="shared" si="64"/>
        <v>6.3636382657605265E-4</v>
      </c>
    </row>
    <row r="614" spans="7:13">
      <c r="G614" s="3">
        <v>601</v>
      </c>
      <c r="H614" s="5">
        <f t="shared" si="60"/>
        <v>50.083333333333336</v>
      </c>
      <c r="I614" s="4">
        <f t="shared" si="59"/>
        <v>0.41771890985928528</v>
      </c>
      <c r="J614" s="10">
        <f t="shared" si="61"/>
        <v>8.684988977085778E-2</v>
      </c>
      <c r="K614" s="24">
        <f t="shared" si="62"/>
        <v>50</v>
      </c>
      <c r="L614" s="19">
        <f t="shared" si="63"/>
        <v>2.1052424206074605</v>
      </c>
      <c r="M614" s="19">
        <f t="shared" si="64"/>
        <v>6.4416498927457873E-4</v>
      </c>
    </row>
    <row r="615" spans="7:13">
      <c r="G615" s="3">
        <v>602</v>
      </c>
      <c r="H615" s="5">
        <f t="shared" si="60"/>
        <v>50.166666666666664</v>
      </c>
      <c r="I615" s="4">
        <f t="shared" si="59"/>
        <v>0.41419129036543578</v>
      </c>
      <c r="J615" s="10">
        <f t="shared" si="61"/>
        <v>8.6497488296562897E-2</v>
      </c>
      <c r="K615" s="24">
        <f t="shared" si="62"/>
        <v>50</v>
      </c>
      <c r="L615" s="19">
        <f t="shared" si="63"/>
        <v>2.1052424206074605</v>
      </c>
      <c r="M615" s="19">
        <f t="shared" si="64"/>
        <v>6.423730953404789E-4</v>
      </c>
    </row>
    <row r="616" spans="7:13">
      <c r="G616" s="3">
        <v>603</v>
      </c>
      <c r="H616" s="5">
        <f t="shared" si="60"/>
        <v>50.25</v>
      </c>
      <c r="I616" s="4">
        <f t="shared" ref="I616:I679" si="65">I615*(B$9^(1/12))*B$8^((B$5^(B$7+H615))*((B$5^(1/12)-1)))</f>
        <v>0.41065944221685047</v>
      </c>
      <c r="J616" s="10">
        <f t="shared" si="61"/>
        <v>8.6146516723899627E-2</v>
      </c>
      <c r="K616" s="24">
        <f t="shared" si="62"/>
        <v>50</v>
      </c>
      <c r="L616" s="19">
        <f t="shared" si="63"/>
        <v>2.1052424206074605</v>
      </c>
      <c r="M616" s="19">
        <f t="shared" si="64"/>
        <v>6.4053351285968038E-4</v>
      </c>
    </row>
    <row r="617" spans="7:13">
      <c r="G617" s="3">
        <v>604</v>
      </c>
      <c r="H617" s="5">
        <f t="shared" si="60"/>
        <v>50.333333333333336</v>
      </c>
      <c r="I617" s="4">
        <f t="shared" si="65"/>
        <v>0.40712365396398925</v>
      </c>
      <c r="J617" s="10">
        <f t="shared" si="61"/>
        <v>8.5796969250909544E-2</v>
      </c>
      <c r="K617" s="24">
        <f t="shared" si="62"/>
        <v>50</v>
      </c>
      <c r="L617" s="19">
        <f t="shared" si="63"/>
        <v>2.1052424206074605</v>
      </c>
      <c r="M617" s="19">
        <f t="shared" si="64"/>
        <v>6.3864616389292818E-4</v>
      </c>
    </row>
    <row r="618" spans="7:13">
      <c r="G618" s="3">
        <v>605</v>
      </c>
      <c r="H618" s="5">
        <f t="shared" si="60"/>
        <v>50.416666666666664</v>
      </c>
      <c r="I618" s="4">
        <f t="shared" si="65"/>
        <v>0.40358421802483835</v>
      </c>
      <c r="J618" s="10">
        <f t="shared" si="61"/>
        <v>8.5448840099176346E-2</v>
      </c>
      <c r="K618" s="24">
        <f t="shared" si="62"/>
        <v>50</v>
      </c>
      <c r="L618" s="19">
        <f t="shared" si="63"/>
        <v>2.1052424206074605</v>
      </c>
      <c r="M618" s="19">
        <f t="shared" si="64"/>
        <v>6.3671098210732404E-4</v>
      </c>
    </row>
    <row r="619" spans="7:13">
      <c r="G619" s="3">
        <v>606</v>
      </c>
      <c r="H619" s="5">
        <f t="shared" si="60"/>
        <v>50.5</v>
      </c>
      <c r="I619" s="4">
        <f t="shared" si="65"/>
        <v>0.40004143065295206</v>
      </c>
      <c r="J619" s="10">
        <f t="shared" si="61"/>
        <v>8.5102123513730074E-2</v>
      </c>
      <c r="K619" s="24">
        <f t="shared" si="62"/>
        <v>50</v>
      </c>
      <c r="L619" s="19">
        <f t="shared" si="63"/>
        <v>2.1052424206074605</v>
      </c>
      <c r="M619" s="19">
        <f t="shared" si="64"/>
        <v>6.3472791300825426E-4</v>
      </c>
    </row>
    <row r="620" spans="7:13">
      <c r="G620" s="3">
        <v>607</v>
      </c>
      <c r="H620" s="5">
        <f t="shared" si="60"/>
        <v>50.583333333333336</v>
      </c>
      <c r="I620" s="4">
        <f t="shared" si="65"/>
        <v>0.39649559190310407</v>
      </c>
      <c r="J620" s="10">
        <f t="shared" si="61"/>
        <v>8.475681376295216E-2</v>
      </c>
      <c r="K620" s="24">
        <f t="shared" si="62"/>
        <v>50</v>
      </c>
      <c r="L620" s="19">
        <f t="shared" si="63"/>
        <v>2.1052424206074605</v>
      </c>
      <c r="M620" s="19">
        <f t="shared" si="64"/>
        <v>6.3269691417037598E-4</v>
      </c>
    </row>
    <row r="621" spans="7:13">
      <c r="G621" s="3">
        <v>608</v>
      </c>
      <c r="H621" s="5">
        <f t="shared" si="60"/>
        <v>50.666666666666664</v>
      </c>
      <c r="I621" s="4">
        <f t="shared" si="65"/>
        <v>0.39294700559450979</v>
      </c>
      <c r="J621" s="10">
        <f t="shared" si="61"/>
        <v>8.4412905138480654E-2</v>
      </c>
      <c r="K621" s="24">
        <f t="shared" si="62"/>
        <v>50</v>
      </c>
      <c r="L621" s="19">
        <f t="shared" si="63"/>
        <v>2.1052424206074605</v>
      </c>
      <c r="M621" s="19">
        <f t="shared" si="64"/>
        <v>6.306179554671933E-4</v>
      </c>
    </row>
    <row r="622" spans="7:13">
      <c r="G622" s="3">
        <v>609</v>
      </c>
      <c r="H622" s="5">
        <f t="shared" si="60"/>
        <v>50.75</v>
      </c>
      <c r="I622" s="4">
        <f t="shared" si="65"/>
        <v>0.38939597927158115</v>
      </c>
      <c r="J622" s="10">
        <f t="shared" si="61"/>
        <v>8.4070391955115661E-2</v>
      </c>
      <c r="K622" s="24">
        <f t="shared" si="62"/>
        <v>50</v>
      </c>
      <c r="L622" s="19">
        <f t="shared" si="63"/>
        <v>2.1052424206074605</v>
      </c>
      <c r="M622" s="19">
        <f t="shared" si="64"/>
        <v>6.2849101929914671E-4</v>
      </c>
    </row>
    <row r="623" spans="7:13">
      <c r="G623" s="3">
        <v>610</v>
      </c>
      <c r="H623" s="5">
        <f t="shared" si="60"/>
        <v>50.833333333333336</v>
      </c>
      <c r="I623" s="4">
        <f t="shared" si="65"/>
        <v>0.38584282416217563</v>
      </c>
      <c r="J623" s="10">
        <f t="shared" si="61"/>
        <v>8.3729268550725669E-2</v>
      </c>
      <c r="K623" s="24">
        <f t="shared" si="62"/>
        <v>50</v>
      </c>
      <c r="L623" s="19">
        <f t="shared" si="63"/>
        <v>2.1052424206074605</v>
      </c>
      <c r="M623" s="19">
        <f t="shared" si="64"/>
        <v>6.2631610082014035E-4</v>
      </c>
    </row>
    <row r="624" spans="7:13">
      <c r="G624" s="3">
        <v>611</v>
      </c>
      <c r="H624" s="5">
        <f t="shared" si="60"/>
        <v>50.916666666666664</v>
      </c>
      <c r="I624" s="4">
        <f t="shared" si="65"/>
        <v>0.38228785513330338</v>
      </c>
      <c r="J624" s="10">
        <f t="shared" si="61"/>
        <v>8.338952928615373E-2</v>
      </c>
      <c r="K624" s="24">
        <f t="shared" si="62"/>
        <v>50</v>
      </c>
      <c r="L624" s="19">
        <f t="shared" si="63"/>
        <v>2.1052424206074605</v>
      </c>
      <c r="M624" s="19">
        <f t="shared" si="64"/>
        <v>6.2409320816203485E-4</v>
      </c>
    </row>
    <row r="625" spans="7:13">
      <c r="G625" s="3">
        <v>612</v>
      </c>
      <c r="H625" s="5">
        <f t="shared" si="60"/>
        <v>51</v>
      </c>
      <c r="I625" s="4">
        <f t="shared" si="65"/>
        <v>0.37873139064425615</v>
      </c>
      <c r="J625" s="10">
        <f t="shared" si="61"/>
        <v>8.3051168545124371E-2</v>
      </c>
      <c r="K625" s="24">
        <f t="shared" si="62"/>
        <v>51</v>
      </c>
      <c r="L625" s="19">
        <f t="shared" si="63"/>
        <v>2.1368210569165722</v>
      </c>
      <c r="M625" s="19">
        <f t="shared" si="64"/>
        <v>6.2182236265708672E-4</v>
      </c>
    </row>
    <row r="626" spans="7:13">
      <c r="G626" s="3">
        <v>613</v>
      </c>
      <c r="H626" s="5">
        <f t="shared" si="60"/>
        <v>51.083333333333336</v>
      </c>
      <c r="I626" s="4">
        <f t="shared" si="65"/>
        <v>0.37517375269712278</v>
      </c>
      <c r="J626" s="10">
        <f t="shared" si="61"/>
        <v>8.2714180734150253E-2</v>
      </c>
      <c r="K626" s="24">
        <f t="shared" si="62"/>
        <v>51</v>
      </c>
      <c r="L626" s="19">
        <f t="shared" si="63"/>
        <v>2.1368210569165722</v>
      </c>
      <c r="M626" s="19">
        <f t="shared" si="64"/>
        <v>6.2879615304402238E-4</v>
      </c>
    </row>
    <row r="627" spans="7:13">
      <c r="G627" s="3">
        <v>614</v>
      </c>
      <c r="H627" s="5">
        <f t="shared" si="60"/>
        <v>51.166666666666664</v>
      </c>
      <c r="I627" s="4">
        <f t="shared" si="65"/>
        <v>0.37161526678465806</v>
      </c>
      <c r="J627" s="10">
        <f t="shared" si="61"/>
        <v>8.237856028244088E-2</v>
      </c>
      <c r="K627" s="24">
        <f t="shared" si="62"/>
        <v>51</v>
      </c>
      <c r="L627" s="19">
        <f t="shared" si="63"/>
        <v>2.1368210569165722</v>
      </c>
      <c r="M627" s="19">
        <f t="shared" si="64"/>
        <v>6.2639402024251866E-4</v>
      </c>
    </row>
    <row r="628" spans="7:13">
      <c r="G628" s="3">
        <v>615</v>
      </c>
      <c r="H628" s="5">
        <f t="shared" si="60"/>
        <v>51.25</v>
      </c>
      <c r="I628" s="4">
        <f t="shared" si="65"/>
        <v>0.36805626183547158</v>
      </c>
      <c r="J628" s="10">
        <f t="shared" si="61"/>
        <v>8.2044301641809161E-2</v>
      </c>
      <c r="K628" s="24">
        <f t="shared" si="62"/>
        <v>51</v>
      </c>
      <c r="L628" s="19">
        <f t="shared" si="63"/>
        <v>2.1368210569165722</v>
      </c>
      <c r="M628" s="19">
        <f t="shared" si="64"/>
        <v>6.239433628699967E-4</v>
      </c>
    </row>
    <row r="629" spans="7:13">
      <c r="G629" s="3">
        <v>616</v>
      </c>
      <c r="H629" s="5">
        <f t="shared" si="60"/>
        <v>51.333333333333336</v>
      </c>
      <c r="I629" s="4">
        <f t="shared" si="65"/>
        <v>0.36449707015650507</v>
      </c>
      <c r="J629" s="10">
        <f t="shared" si="61"/>
        <v>8.1711399286580499E-2</v>
      </c>
      <c r="K629" s="24">
        <f t="shared" si="62"/>
        <v>51</v>
      </c>
      <c r="L629" s="19">
        <f t="shared" si="63"/>
        <v>2.1368210569165722</v>
      </c>
      <c r="M629" s="19">
        <f t="shared" si="64"/>
        <v>6.2144425837975994E-4</v>
      </c>
    </row>
    <row r="630" spans="7:13">
      <c r="G630" s="3">
        <v>617</v>
      </c>
      <c r="H630" s="5">
        <f t="shared" si="60"/>
        <v>51.416666666666664</v>
      </c>
      <c r="I630" s="4">
        <f t="shared" si="65"/>
        <v>0.36093802737276809</v>
      </c>
      <c r="J630" s="10">
        <f t="shared" si="61"/>
        <v>8.1379847713501263E-2</v>
      </c>
      <c r="K630" s="24">
        <f t="shared" si="62"/>
        <v>51</v>
      </c>
      <c r="L630" s="19">
        <f t="shared" si="63"/>
        <v>2.1368210569165722</v>
      </c>
      <c r="M630" s="19">
        <f t="shared" si="64"/>
        <v>6.188967987125519E-4</v>
      </c>
    </row>
    <row r="631" spans="7:13">
      <c r="G631" s="3">
        <v>618</v>
      </c>
      <c r="H631" s="5">
        <f t="shared" si="60"/>
        <v>51.5</v>
      </c>
      <c r="I631" s="4">
        <f t="shared" si="65"/>
        <v>0.35737947236430323</v>
      </c>
      <c r="J631" s="10">
        <f t="shared" si="61"/>
        <v>8.1049641441647682E-2</v>
      </c>
      <c r="K631" s="24">
        <f t="shared" si="62"/>
        <v>51</v>
      </c>
      <c r="L631" s="19">
        <f t="shared" si="63"/>
        <v>2.1368210569165722</v>
      </c>
      <c r="M631" s="19">
        <f t="shared" si="64"/>
        <v>6.1630109050467253E-4</v>
      </c>
    </row>
    <row r="632" spans="7:13">
      <c r="G632" s="3">
        <v>619</v>
      </c>
      <c r="H632" s="5">
        <f t="shared" si="60"/>
        <v>51.583333333333336</v>
      </c>
      <c r="I632" s="4">
        <f t="shared" si="65"/>
        <v>0.35382174720035225</v>
      </c>
      <c r="J632" s="10">
        <f t="shared" si="61"/>
        <v>8.0720775012335377E-2</v>
      </c>
      <c r="K632" s="24">
        <f t="shared" si="62"/>
        <v>51</v>
      </c>
      <c r="L632" s="19">
        <f t="shared" si="63"/>
        <v>2.1368210569165722</v>
      </c>
      <c r="M632" s="19">
        <f t="shared" si="64"/>
        <v>6.1365725529249156E-4</v>
      </c>
    </row>
    <row r="633" spans="7:13">
      <c r="G633" s="3">
        <v>620</v>
      </c>
      <c r="H633" s="5">
        <f t="shared" si="60"/>
        <v>51.666666666666664</v>
      </c>
      <c r="I633" s="4">
        <f t="shared" si="65"/>
        <v>0.35026519707069853</v>
      </c>
      <c r="J633" s="10">
        <f t="shared" si="61"/>
        <v>8.0393242989029182E-2</v>
      </c>
      <c r="K633" s="24">
        <f t="shared" si="62"/>
        <v>51</v>
      </c>
      <c r="L633" s="19">
        <f t="shared" si="63"/>
        <v>2.1368210569165722</v>
      </c>
      <c r="M633" s="19">
        <f t="shared" si="64"/>
        <v>6.1096542971268383E-4</v>
      </c>
    </row>
    <row r="634" spans="7:13">
      <c r="G634" s="3">
        <v>621</v>
      </c>
      <c r="H634" s="5">
        <f t="shared" si="60"/>
        <v>51.75</v>
      </c>
      <c r="I634" s="4">
        <f t="shared" si="65"/>
        <v>0.34671017021416023</v>
      </c>
      <c r="J634" s="10">
        <f t="shared" si="61"/>
        <v>8.0067039957253006E-2</v>
      </c>
      <c r="K634" s="24">
        <f t="shared" si="62"/>
        <v>51</v>
      </c>
      <c r="L634" s="19">
        <f t="shared" si="63"/>
        <v>2.1368210569165722</v>
      </c>
      <c r="M634" s="19">
        <f t="shared" si="64"/>
        <v>6.0822576569833395E-4</v>
      </c>
    </row>
    <row r="635" spans="7:13">
      <c r="G635" s="3">
        <v>622</v>
      </c>
      <c r="H635" s="5">
        <f t="shared" si="60"/>
        <v>51.833333333333336</v>
      </c>
      <c r="I635" s="4">
        <f t="shared" si="65"/>
        <v>0.34315701784421138</v>
      </c>
      <c r="J635" s="10">
        <f t="shared" si="61"/>
        <v>7.9742160524500616E-2</v>
      </c>
      <c r="K635" s="24">
        <f t="shared" si="62"/>
        <v>51</v>
      </c>
      <c r="L635" s="19">
        <f t="shared" si="63"/>
        <v>2.1368210569165722</v>
      </c>
      <c r="M635" s="19">
        <f t="shared" si="64"/>
        <v>6.054384306704968E-4</v>
      </c>
    </row>
    <row r="636" spans="7:13">
      <c r="G636" s="3">
        <v>623</v>
      </c>
      <c r="H636" s="5">
        <f t="shared" si="60"/>
        <v>51.916666666666664</v>
      </c>
      <c r="I636" s="4">
        <f t="shared" si="65"/>
        <v>0.33960609407171033</v>
      </c>
      <c r="J636" s="10">
        <f t="shared" si="61"/>
        <v>7.9418599320146416E-2</v>
      </c>
      <c r="K636" s="24">
        <f t="shared" si="62"/>
        <v>51</v>
      </c>
      <c r="L636" s="19">
        <f t="shared" si="63"/>
        <v>2.1368210569165722</v>
      </c>
      <c r="M636" s="19">
        <f t="shared" si="64"/>
        <v>6.0260360772480825E-4</v>
      </c>
    </row>
    <row r="637" spans="7:13">
      <c r="G637" s="3">
        <v>624</v>
      </c>
      <c r="H637" s="5">
        <f t="shared" si="60"/>
        <v>52</v>
      </c>
      <c r="I637" s="4">
        <f t="shared" si="65"/>
        <v>0.33605775582471548</v>
      </c>
      <c r="J637" s="10">
        <f t="shared" si="61"/>
        <v>7.9096350995356543E-2</v>
      </c>
      <c r="K637" s="24">
        <f t="shared" si="62"/>
        <v>52</v>
      </c>
      <c r="L637" s="19">
        <f t="shared" si="63"/>
        <v>2.16887337277032</v>
      </c>
      <c r="M637" s="19">
        <f t="shared" si="64"/>
        <v>5.9972149581314878E-4</v>
      </c>
    </row>
    <row r="638" spans="7:13">
      <c r="G638" s="3">
        <v>625</v>
      </c>
      <c r="H638" s="5">
        <f t="shared" si="60"/>
        <v>52.083333333333336</v>
      </c>
      <c r="I638" s="4">
        <f t="shared" si="65"/>
        <v>0.33251236276537111</v>
      </c>
      <c r="J638" s="10">
        <f t="shared" si="61"/>
        <v>7.8775410223000233E-2</v>
      </c>
      <c r="K638" s="24">
        <f t="shared" si="62"/>
        <v>52</v>
      </c>
      <c r="L638" s="19">
        <f t="shared" si="63"/>
        <v>2.16887337277032</v>
      </c>
      <c r="M638" s="19">
        <f t="shared" si="64"/>
        <v>6.057441945686654E-4</v>
      </c>
    </row>
    <row r="639" spans="7:13">
      <c r="G639" s="3">
        <v>626</v>
      </c>
      <c r="H639" s="5">
        <f t="shared" si="60"/>
        <v>52.166666666666664</v>
      </c>
      <c r="I639" s="4">
        <f t="shared" si="65"/>
        <v>0.32897027720384792</v>
      </c>
      <c r="J639" s="10">
        <f t="shared" si="61"/>
        <v>7.8455771697562723E-2</v>
      </c>
      <c r="K639" s="24">
        <f t="shared" si="62"/>
        <v>52</v>
      </c>
      <c r="L639" s="19">
        <f t="shared" si="63"/>
        <v>2.16887337277032</v>
      </c>
      <c r="M639" s="19">
        <f t="shared" si="64"/>
        <v>6.0272352545086532E-4</v>
      </c>
    </row>
    <row r="640" spans="7:13">
      <c r="G640" s="3">
        <v>627</v>
      </c>
      <c r="H640" s="5">
        <f t="shared" si="60"/>
        <v>52.25</v>
      </c>
      <c r="I640" s="4">
        <f t="shared" si="65"/>
        <v>0.32543186400932461</v>
      </c>
      <c r="J640" s="10">
        <f t="shared" si="61"/>
        <v>7.8137430135056335E-2</v>
      </c>
      <c r="K640" s="24">
        <f t="shared" si="62"/>
        <v>52</v>
      </c>
      <c r="L640" s="19">
        <f t="shared" si="63"/>
        <v>2.16887337277032</v>
      </c>
      <c r="M640" s="19">
        <f t="shared" si="64"/>
        <v>5.9965556216542645E-4</v>
      </c>
    </row>
    <row r="641" spans="7:13">
      <c r="G641" s="3">
        <v>628</v>
      </c>
      <c r="H641" s="5">
        <f t="shared" si="60"/>
        <v>52.333333333333336</v>
      </c>
      <c r="I641" s="4">
        <f t="shared" si="65"/>
        <v>0.32189749051799904</v>
      </c>
      <c r="J641" s="10">
        <f t="shared" si="61"/>
        <v>7.7820380272933795E-2</v>
      </c>
      <c r="K641" s="24">
        <f t="shared" si="62"/>
        <v>52</v>
      </c>
      <c r="L641" s="19">
        <f t="shared" si="63"/>
        <v>2.16887337277032</v>
      </c>
      <c r="M641" s="19">
        <f t="shared" si="64"/>
        <v>5.9654057275497897E-4</v>
      </c>
    </row>
    <row r="642" spans="7:13">
      <c r="G642" s="3">
        <v>629</v>
      </c>
      <c r="H642" s="5">
        <f t="shared" si="60"/>
        <v>52.416666666666664</v>
      </c>
      <c r="I642" s="4">
        <f t="shared" si="65"/>
        <v>0.31836752643812022</v>
      </c>
      <c r="J642" s="10">
        <f t="shared" si="61"/>
        <v>7.7504616870001194E-2</v>
      </c>
      <c r="K642" s="24">
        <f t="shared" si="62"/>
        <v>52</v>
      </c>
      <c r="L642" s="19">
        <f t="shared" si="63"/>
        <v>2.16887337277032</v>
      </c>
      <c r="M642" s="19">
        <f t="shared" si="64"/>
        <v>5.9337884219052531E-4</v>
      </c>
    </row>
    <row r="643" spans="7:13">
      <c r="G643" s="3">
        <v>630</v>
      </c>
      <c r="H643" s="5">
        <f t="shared" si="60"/>
        <v>52.5</v>
      </c>
      <c r="I643" s="4">
        <f t="shared" si="65"/>
        <v>0.31484234375203413</v>
      </c>
      <c r="J643" s="10">
        <f t="shared" si="61"/>
        <v>7.7190134706331112E-2</v>
      </c>
      <c r="K643" s="24">
        <f t="shared" si="62"/>
        <v>52</v>
      </c>
      <c r="L643" s="19">
        <f t="shared" si="63"/>
        <v>2.16887337277032</v>
      </c>
      <c r="M643" s="19">
        <f t="shared" si="64"/>
        <v>5.9017067251882719E-4</v>
      </c>
    </row>
    <row r="644" spans="7:13">
      <c r="G644" s="3">
        <v>631</v>
      </c>
      <c r="H644" s="5">
        <f t="shared" si="60"/>
        <v>52.583333333333336</v>
      </c>
      <c r="I644" s="4">
        <f t="shared" si="65"/>
        <v>0.31132231661523846</v>
      </c>
      <c r="J644" s="10">
        <f t="shared" si="61"/>
        <v>7.6876928583176532E-2</v>
      </c>
      <c r="K644" s="24">
        <f t="shared" si="62"/>
        <v>52</v>
      </c>
      <c r="L644" s="19">
        <f t="shared" si="63"/>
        <v>2.16887337277032</v>
      </c>
      <c r="M644" s="19">
        <f t="shared" si="64"/>
        <v>5.8691638300268614E-4</v>
      </c>
    </row>
    <row r="645" spans="7:13">
      <c r="G645" s="3">
        <v>632</v>
      </c>
      <c r="H645" s="5">
        <f t="shared" si="60"/>
        <v>52.666666666666664</v>
      </c>
      <c r="I645" s="4">
        <f t="shared" si="65"/>
        <v>0.30780782125244521</v>
      </c>
      <c r="J645" s="10">
        <f t="shared" si="61"/>
        <v>7.6564993322884925E-2</v>
      </c>
      <c r="K645" s="24">
        <f t="shared" si="62"/>
        <v>52</v>
      </c>
      <c r="L645" s="19">
        <f t="shared" si="63"/>
        <v>2.16887337277032</v>
      </c>
      <c r="M645" s="19">
        <f t="shared" si="64"/>
        <v>5.8361631025360006E-4</v>
      </c>
    </row>
    <row r="646" spans="7:13">
      <c r="G646" s="3">
        <v>633</v>
      </c>
      <c r="H646" s="5">
        <f t="shared" si="60"/>
        <v>52.75</v>
      </c>
      <c r="I646" s="4">
        <f t="shared" si="65"/>
        <v>0.30429923585065111</v>
      </c>
      <c r="J646" s="10">
        <f t="shared" si="61"/>
        <v>7.6254323768812374E-2</v>
      </c>
      <c r="K646" s="24">
        <f t="shared" si="62"/>
        <v>52</v>
      </c>
      <c r="L646" s="19">
        <f t="shared" si="63"/>
        <v>2.16887337277032</v>
      </c>
      <c r="M646" s="19">
        <f t="shared" si="64"/>
        <v>5.8027080835674225E-4</v>
      </c>
    </row>
    <row r="647" spans="7:13">
      <c r="G647" s="3">
        <v>634</v>
      </c>
      <c r="H647" s="5">
        <f t="shared" si="60"/>
        <v>52.833333333333336</v>
      </c>
      <c r="I647" s="4">
        <f t="shared" si="65"/>
        <v>0.30079694044921862</v>
      </c>
      <c r="J647" s="10">
        <f t="shared" si="61"/>
        <v>7.5944914785238682E-2</v>
      </c>
      <c r="K647" s="24">
        <f t="shared" si="62"/>
        <v>52</v>
      </c>
      <c r="L647" s="19">
        <f t="shared" si="63"/>
        <v>2.16887337277032</v>
      </c>
      <c r="M647" s="19">
        <f t="shared" si="64"/>
        <v>5.7688024898794159E-4</v>
      </c>
    </row>
    <row r="648" spans="7:13">
      <c r="G648" s="3">
        <v>635</v>
      </c>
      <c r="H648" s="5">
        <f t="shared" si="60"/>
        <v>52.916666666666664</v>
      </c>
      <c r="I648" s="4">
        <f t="shared" si="65"/>
        <v>0.29730131682697492</v>
      </c>
      <c r="J648" s="10">
        <f t="shared" si="61"/>
        <v>7.5636761257282289E-2</v>
      </c>
      <c r="K648" s="24">
        <f t="shared" si="62"/>
        <v>52</v>
      </c>
      <c r="L648" s="19">
        <f t="shared" si="63"/>
        <v>2.16887337277032</v>
      </c>
      <c r="M648" s="19">
        <f t="shared" si="64"/>
        <v>5.7344502152205704E-4</v>
      </c>
    </row>
    <row r="649" spans="7:13">
      <c r="G649" s="3">
        <v>636</v>
      </c>
      <c r="H649" s="5">
        <f t="shared" si="60"/>
        <v>53</v>
      </c>
      <c r="I649" s="4">
        <f t="shared" si="65"/>
        <v>0.29381274838633592</v>
      </c>
      <c r="J649" s="10">
        <f t="shared" si="61"/>
        <v>7.5329858090815757E-2</v>
      </c>
      <c r="K649" s="24">
        <f t="shared" si="62"/>
        <v>53</v>
      </c>
      <c r="L649" s="19">
        <f t="shared" si="63"/>
        <v>2.2014064733618746</v>
      </c>
      <c r="M649" s="19">
        <f t="shared" si="64"/>
        <v>5.6996553313291734E-4</v>
      </c>
    </row>
    <row r="650" spans="7:13">
      <c r="G650" s="3">
        <v>637</v>
      </c>
      <c r="H650" s="5">
        <f t="shared" si="60"/>
        <v>53.083333333333336</v>
      </c>
      <c r="I650" s="4">
        <f t="shared" si="65"/>
        <v>0.29033162003446805</v>
      </c>
      <c r="J650" s="10">
        <f t="shared" si="61"/>
        <v>7.5024200212381154E-2</v>
      </c>
      <c r="K650" s="24">
        <f t="shared" si="62"/>
        <v>53</v>
      </c>
      <c r="L650" s="19">
        <f t="shared" si="63"/>
        <v>2.2014064733618746</v>
      </c>
      <c r="M650" s="19">
        <f t="shared" si="64"/>
        <v>5.7493884201738745E-4</v>
      </c>
    </row>
    <row r="651" spans="7:13">
      <c r="G651" s="3">
        <v>638</v>
      </c>
      <c r="H651" s="5">
        <f t="shared" si="60"/>
        <v>53.166666666666664</v>
      </c>
      <c r="I651" s="4">
        <f t="shared" si="65"/>
        <v>0.28685831806150208</v>
      </c>
      <c r="J651" s="10">
        <f t="shared" si="61"/>
        <v>7.4719782569107343E-2</v>
      </c>
      <c r="K651" s="24">
        <f t="shared" si="62"/>
        <v>53</v>
      </c>
      <c r="L651" s="19">
        <f t="shared" si="63"/>
        <v>2.2014064733618746</v>
      </c>
      <c r="M651" s="19">
        <f t="shared" si="64"/>
        <v>5.7131862418776573E-4</v>
      </c>
    </row>
    <row r="652" spans="7:13">
      <c r="G652" s="3">
        <v>639</v>
      </c>
      <c r="H652" s="5">
        <f t="shared" si="60"/>
        <v>53.25</v>
      </c>
      <c r="I652" s="4">
        <f t="shared" si="65"/>
        <v>0.2833932300158164</v>
      </c>
      <c r="J652" s="10">
        <f t="shared" si="61"/>
        <v>7.4416600128625054E-2</v>
      </c>
      <c r="K652" s="24">
        <f t="shared" si="62"/>
        <v>53</v>
      </c>
      <c r="L652" s="19">
        <f t="shared" si="63"/>
        <v>2.2014064733618746</v>
      </c>
      <c r="M652" s="19">
        <f t="shared" si="64"/>
        <v>5.676548306354593E-4</v>
      </c>
    </row>
    <row r="653" spans="7:13">
      <c r="G653" s="3">
        <v>640</v>
      </c>
      <c r="H653" s="5">
        <f t="shared" si="60"/>
        <v>53.333333333333336</v>
      </c>
      <c r="I653" s="4">
        <f t="shared" si="65"/>
        <v>0.27993674457641088</v>
      </c>
      <c r="J653" s="10">
        <f t="shared" si="61"/>
        <v>7.4114647878984558E-2</v>
      </c>
      <c r="K653" s="24">
        <f t="shared" si="62"/>
        <v>53</v>
      </c>
      <c r="L653" s="19">
        <f t="shared" si="63"/>
        <v>2.2014064733618746</v>
      </c>
      <c r="M653" s="19">
        <f t="shared" si="64"/>
        <v>5.6394794773182116E-4</v>
      </c>
    </row>
    <row r="654" spans="7:13">
      <c r="G654" s="3">
        <v>641</v>
      </c>
      <c r="H654" s="5">
        <f t="shared" ref="H654:H717" si="66">G654/12</f>
        <v>53.416666666666664</v>
      </c>
      <c r="I654" s="4">
        <f t="shared" si="65"/>
        <v>0.27648925142239528</v>
      </c>
      <c r="J654" s="10">
        <f t="shared" ref="J654:J717" si="67">(1+B$6)^-H654</f>
        <v>7.3813920828572549E-2</v>
      </c>
      <c r="K654" s="24">
        <f t="shared" ref="K654:K717" si="68">INT(H654+0.000001)</f>
        <v>53</v>
      </c>
      <c r="L654" s="19">
        <f t="shared" ref="L654:L717" si="69">1.015^K654</f>
        <v>2.2014064733618746</v>
      </c>
      <c r="M654" s="19">
        <f t="shared" si="64"/>
        <v>5.601984802777667E-4</v>
      </c>
    </row>
    <row r="655" spans="7:13">
      <c r="G655" s="3">
        <v>642</v>
      </c>
      <c r="H655" s="5">
        <f t="shared" si="66"/>
        <v>53.5</v>
      </c>
      <c r="I655" s="4">
        <f t="shared" si="65"/>
        <v>0.27305114109961909</v>
      </c>
      <c r="J655" s="10">
        <f t="shared" si="67"/>
        <v>7.3514414006029608E-2</v>
      </c>
      <c r="K655" s="24">
        <f t="shared" si="68"/>
        <v>53</v>
      </c>
      <c r="L655" s="19">
        <f t="shared" si="69"/>
        <v>2.2014064733618746</v>
      </c>
      <c r="M655" s="19">
        <f t="shared" ref="M655:M718" si="70">(I654-I655)*J655*L654</f>
        <v>5.5640695154579687E-4</v>
      </c>
    </row>
    <row r="656" spans="7:13">
      <c r="G656" s="3">
        <v>643</v>
      </c>
      <c r="H656" s="5">
        <f t="shared" si="66"/>
        <v>53.583333333333336</v>
      </c>
      <c r="I656" s="4">
        <f t="shared" si="65"/>
        <v>0.26962280488447404</v>
      </c>
      <c r="J656" s="10">
        <f t="shared" si="67"/>
        <v>7.321612246016812E-2</v>
      </c>
      <c r="K656" s="24">
        <f t="shared" si="68"/>
        <v>53</v>
      </c>
      <c r="L656" s="19">
        <f t="shared" si="69"/>
        <v>2.2014064733618746</v>
      </c>
      <c r="M656" s="19">
        <f t="shared" si="70"/>
        <v>5.5257390331096823E-4</v>
      </c>
    </row>
    <row r="657" spans="7:13">
      <c r="G657" s="3">
        <v>644</v>
      </c>
      <c r="H657" s="5">
        <f t="shared" si="66"/>
        <v>53.666666666666664</v>
      </c>
      <c r="I657" s="4">
        <f t="shared" si="65"/>
        <v>0.2662046346449029</v>
      </c>
      <c r="J657" s="10">
        <f t="shared" si="67"/>
        <v>7.2919041259890391E-2</v>
      </c>
      <c r="K657" s="24">
        <f t="shared" si="68"/>
        <v>53</v>
      </c>
      <c r="L657" s="19">
        <f t="shared" si="69"/>
        <v>2.2014064733618746</v>
      </c>
      <c r="M657" s="19">
        <f t="shared" si="70"/>
        <v>5.4869989587066773E-4</v>
      </c>
    </row>
    <row r="658" spans="7:13">
      <c r="G658" s="3">
        <v>645</v>
      </c>
      <c r="H658" s="5">
        <f t="shared" si="66"/>
        <v>53.75</v>
      </c>
      <c r="I658" s="4">
        <f t="shared" si="65"/>
        <v>0.26279702269865252</v>
      </c>
      <c r="J658" s="10">
        <f t="shared" si="67"/>
        <v>7.2623165494107009E-2</v>
      </c>
      <c r="K658" s="24">
        <f t="shared" si="68"/>
        <v>53</v>
      </c>
      <c r="L658" s="19">
        <f t="shared" si="69"/>
        <v>2.2014064733618746</v>
      </c>
      <c r="M658" s="19">
        <f t="shared" si="70"/>
        <v>5.4478550805276316E-4</v>
      </c>
    </row>
    <row r="659" spans="7:13">
      <c r="G659" s="3">
        <v>646</v>
      </c>
      <c r="H659" s="5">
        <f t="shared" si="66"/>
        <v>53.833333333333336</v>
      </c>
      <c r="I659" s="4">
        <f t="shared" si="65"/>
        <v>0.25940036166881209</v>
      </c>
      <c r="J659" s="10">
        <f t="shared" si="67"/>
        <v>7.2328490271655915E-2</v>
      </c>
      <c r="K659" s="24">
        <f t="shared" si="68"/>
        <v>53</v>
      </c>
      <c r="L659" s="19">
        <f t="shared" si="69"/>
        <v>2.2014064733618746</v>
      </c>
      <c r="M659" s="19">
        <f t="shared" si="70"/>
        <v>5.408313372119286E-4</v>
      </c>
    </row>
    <row r="660" spans="7:13">
      <c r="G660" s="3">
        <v>647</v>
      </c>
      <c r="H660" s="5">
        <f t="shared" si="66"/>
        <v>53.916666666666664</v>
      </c>
      <c r="I660" s="4">
        <f t="shared" si="65"/>
        <v>0.25601504433668154</v>
      </c>
      <c r="J660" s="10">
        <f t="shared" si="67"/>
        <v>7.2035010721221204E-2</v>
      </c>
      <c r="K660" s="24">
        <f t="shared" si="68"/>
        <v>53</v>
      </c>
      <c r="L660" s="19">
        <f t="shared" si="69"/>
        <v>2.2014064733618746</v>
      </c>
      <c r="M660" s="19">
        <f t="shared" si="70"/>
        <v>5.3683799921380932E-4</v>
      </c>
    </row>
    <row r="661" spans="7:13">
      <c r="G661" s="3">
        <v>648</v>
      </c>
      <c r="H661" s="5">
        <f t="shared" si="66"/>
        <v>54</v>
      </c>
      <c r="I661" s="4">
        <f t="shared" si="65"/>
        <v>0.25264146349201905</v>
      </c>
      <c r="J661" s="10">
        <f t="shared" si="67"/>
        <v>7.1742721991253117E-2</v>
      </c>
      <c r="K661" s="24">
        <f t="shared" si="68"/>
        <v>54</v>
      </c>
      <c r="L661" s="19">
        <f t="shared" si="69"/>
        <v>2.234427570462302</v>
      </c>
      <c r="M661" s="19">
        <f t="shared" si="70"/>
        <v>5.3280612840666912E-4</v>
      </c>
    </row>
    <row r="662" spans="7:13">
      <c r="G662" s="3">
        <v>649</v>
      </c>
      <c r="H662" s="5">
        <f t="shared" si="66"/>
        <v>54.083333333333336</v>
      </c>
      <c r="I662" s="4">
        <f t="shared" si="65"/>
        <v>0.24928001178071912</v>
      </c>
      <c r="J662" s="10">
        <f t="shared" si="67"/>
        <v>7.1451619249886827E-2</v>
      </c>
      <c r="K662" s="24">
        <f t="shared" si="68"/>
        <v>54</v>
      </c>
      <c r="L662" s="19">
        <f t="shared" si="69"/>
        <v>2.234427570462302</v>
      </c>
      <c r="M662" s="19">
        <f t="shared" si="70"/>
        <v>5.3666742324414666E-4</v>
      </c>
    </row>
    <row r="663" spans="7:13">
      <c r="G663" s="3">
        <v>650</v>
      </c>
      <c r="H663" s="5">
        <f t="shared" si="66"/>
        <v>54.166666666666664</v>
      </c>
      <c r="I663" s="4">
        <f t="shared" si="65"/>
        <v>0.24593108154997867</v>
      </c>
      <c r="J663" s="10">
        <f t="shared" si="67"/>
        <v>7.1161697684864134E-2</v>
      </c>
      <c r="K663" s="24">
        <f t="shared" si="68"/>
        <v>54</v>
      </c>
      <c r="L663" s="19">
        <f t="shared" si="69"/>
        <v>2.234427570462302</v>
      </c>
      <c r="M663" s="19">
        <f t="shared" si="70"/>
        <v>5.3249885918130006E-4</v>
      </c>
    </row>
    <row r="664" spans="7:13">
      <c r="G664" s="3">
        <v>651</v>
      </c>
      <c r="H664" s="5">
        <f t="shared" si="66"/>
        <v>54.25</v>
      </c>
      <c r="I664" s="4">
        <f t="shared" si="65"/>
        <v>0.24259506469101028</v>
      </c>
      <c r="J664" s="10">
        <f t="shared" si="67"/>
        <v>7.0872952503452463E-2</v>
      </c>
      <c r="K664" s="24">
        <f t="shared" si="68"/>
        <v>54</v>
      </c>
      <c r="L664" s="19">
        <f t="shared" si="69"/>
        <v>2.234427570462302</v>
      </c>
      <c r="M664" s="19">
        <f t="shared" si="70"/>
        <v>5.2829322798443959E-4</v>
      </c>
    </row>
    <row r="665" spans="7:13">
      <c r="G665" s="3">
        <v>652</v>
      </c>
      <c r="H665" s="5">
        <f t="shared" si="66"/>
        <v>54.333333333333336</v>
      </c>
      <c r="I665" s="4">
        <f t="shared" si="65"/>
        <v>0.23927235247936712</v>
      </c>
      <c r="J665" s="10">
        <f t="shared" si="67"/>
        <v>7.0585378932366272E-2</v>
      </c>
      <c r="K665" s="24">
        <f t="shared" si="68"/>
        <v>54</v>
      </c>
      <c r="L665" s="19">
        <f t="shared" si="69"/>
        <v>2.234427570462302</v>
      </c>
      <c r="M665" s="19">
        <f t="shared" si="70"/>
        <v>5.2405124800675184E-4</v>
      </c>
    </row>
    <row r="666" spans="7:13">
      <c r="G666" s="3">
        <v>653</v>
      </c>
      <c r="H666" s="5">
        <f t="shared" si="66"/>
        <v>54.416666666666664</v>
      </c>
      <c r="I666" s="4">
        <f t="shared" si="65"/>
        <v>0.23596333541294787</v>
      </c>
      <c r="J666" s="10">
        <f t="shared" si="67"/>
        <v>7.0298972217688174E-2</v>
      </c>
      <c r="K666" s="24">
        <f t="shared" si="68"/>
        <v>54</v>
      </c>
      <c r="L666" s="19">
        <f t="shared" si="69"/>
        <v>2.234427570462302</v>
      </c>
      <c r="M666" s="19">
        <f t="shared" si="70"/>
        <v>5.1977365601824294E-4</v>
      </c>
    </row>
    <row r="667" spans="7:13">
      <c r="G667" s="3">
        <v>654</v>
      </c>
      <c r="H667" s="5">
        <f t="shared" si="66"/>
        <v>54.5</v>
      </c>
      <c r="I667" s="4">
        <f t="shared" si="65"/>
        <v>0.23266840304775332</v>
      </c>
      <c r="J667" s="10">
        <f t="shared" si="67"/>
        <v>7.001372762479012E-2</v>
      </c>
      <c r="K667" s="24">
        <f t="shared" si="68"/>
        <v>54</v>
      </c>
      <c r="L667" s="19">
        <f t="shared" si="69"/>
        <v>2.234427570462302</v>
      </c>
      <c r="M667" s="19">
        <f t="shared" si="70"/>
        <v>5.1546120709535881E-4</v>
      </c>
    </row>
    <row r="668" spans="7:13">
      <c r="G668" s="3">
        <v>655</v>
      </c>
      <c r="H668" s="5">
        <f t="shared" si="66"/>
        <v>54.583333333333336</v>
      </c>
      <c r="I668" s="4">
        <f t="shared" si="65"/>
        <v>0.22938794383147124</v>
      </c>
      <c r="J668" s="10">
        <f t="shared" si="67"/>
        <v>6.9729640438255372E-2</v>
      </c>
      <c r="K668" s="24">
        <f t="shared" si="68"/>
        <v>54</v>
      </c>
      <c r="L668" s="19">
        <f t="shared" si="69"/>
        <v>2.234427570462302</v>
      </c>
      <c r="M668" s="19">
        <f t="shared" si="70"/>
        <v>5.1111467449608096E-4</v>
      </c>
    </row>
    <row r="669" spans="7:13">
      <c r="G669" s="3">
        <v>656</v>
      </c>
      <c r="H669" s="5">
        <f t="shared" si="66"/>
        <v>54.666666666666664</v>
      </c>
      <c r="I669" s="4">
        <f t="shared" si="65"/>
        <v>0.22612234493496997</v>
      </c>
      <c r="J669" s="10">
        <f t="shared" si="67"/>
        <v>6.9446705961800401E-2</v>
      </c>
      <c r="K669" s="24">
        <f t="shared" si="68"/>
        <v>54</v>
      </c>
      <c r="L669" s="19">
        <f t="shared" si="69"/>
        <v>2.234427570462302</v>
      </c>
      <c r="M669" s="19">
        <f t="shared" si="70"/>
        <v>5.0673484952017686E-4</v>
      </c>
    </row>
    <row r="670" spans="7:13">
      <c r="G670" s="3">
        <v>657</v>
      </c>
      <c r="H670" s="5">
        <f t="shared" si="66"/>
        <v>54.75</v>
      </c>
      <c r="I670" s="4">
        <f t="shared" si="65"/>
        <v>0.22287199208178529</v>
      </c>
      <c r="J670" s="10">
        <f t="shared" si="67"/>
        <v>6.9164919518197171E-2</v>
      </c>
      <c r="K670" s="24">
        <f t="shared" si="68"/>
        <v>54</v>
      </c>
      <c r="L670" s="19">
        <f t="shared" si="69"/>
        <v>2.234427570462302</v>
      </c>
      <c r="M670" s="19">
        <f t="shared" si="70"/>
        <v>5.0232254135452342E-4</v>
      </c>
    </row>
    <row r="671" spans="7:13">
      <c r="G671" s="3">
        <v>658</v>
      </c>
      <c r="H671" s="5">
        <f t="shared" si="66"/>
        <v>54.833333333333336</v>
      </c>
      <c r="I671" s="4">
        <f t="shared" si="65"/>
        <v>0.21963726937568917</v>
      </c>
      <c r="J671" s="10">
        <f t="shared" si="67"/>
        <v>6.8884276449196091E-2</v>
      </c>
      <c r="K671" s="24">
        <f t="shared" si="68"/>
        <v>54</v>
      </c>
      <c r="L671" s="19">
        <f t="shared" si="69"/>
        <v>2.234427570462302</v>
      </c>
      <c r="M671" s="19">
        <f t="shared" si="70"/>
        <v>4.9787857690319491E-4</v>
      </c>
    </row>
    <row r="672" spans="7:13">
      <c r="G672" s="3">
        <v>659</v>
      </c>
      <c r="H672" s="5">
        <f t="shared" si="66"/>
        <v>54.916666666666664</v>
      </c>
      <c r="I672" s="4">
        <f t="shared" si="65"/>
        <v>0.21641855912643368</v>
      </c>
      <c r="J672" s="10">
        <f t="shared" si="67"/>
        <v>6.8604772115448784E-2</v>
      </c>
      <c r="K672" s="24">
        <f t="shared" si="68"/>
        <v>54</v>
      </c>
      <c r="L672" s="19">
        <f t="shared" si="69"/>
        <v>2.234427570462302</v>
      </c>
      <c r="M672" s="19">
        <f t="shared" si="70"/>
        <v>4.9340380060208528E-4</v>
      </c>
    </row>
    <row r="673" spans="7:13">
      <c r="G673" s="3">
        <v>660</v>
      </c>
      <c r="H673" s="5">
        <f t="shared" si="66"/>
        <v>55</v>
      </c>
      <c r="I673" s="4">
        <f t="shared" si="65"/>
        <v>0.21321624167376729</v>
      </c>
      <c r="J673" s="10">
        <f t="shared" si="67"/>
        <v>6.8326401896431521E-2</v>
      </c>
      <c r="K673" s="24">
        <f t="shared" si="68"/>
        <v>55</v>
      </c>
      <c r="L673" s="19">
        <f t="shared" si="69"/>
        <v>2.2679439840192366</v>
      </c>
      <c r="M673" s="19">
        <f t="shared" si="70"/>
        <v>4.8889907421792163E-4</v>
      </c>
    </row>
    <row r="674" spans="7:13">
      <c r="G674" s="3">
        <v>661</v>
      </c>
      <c r="H674" s="5">
        <f t="shared" si="66"/>
        <v>55.083333333333336</v>
      </c>
      <c r="I674" s="4">
        <f t="shared" si="65"/>
        <v>0.21003069520982509</v>
      </c>
      <c r="J674" s="10">
        <f t="shared" si="67"/>
        <v>6.8049161190368412E-2</v>
      </c>
      <c r="K674" s="24">
        <f t="shared" si="68"/>
        <v>55</v>
      </c>
      <c r="L674" s="19">
        <f t="shared" si="69"/>
        <v>2.2679439840192366</v>
      </c>
      <c r="M674" s="19">
        <f t="shared" si="70"/>
        <v>4.9163075578091122E-4</v>
      </c>
    </row>
    <row r="675" spans="7:13">
      <c r="G675" s="3">
        <v>662</v>
      </c>
      <c r="H675" s="5">
        <f t="shared" si="66"/>
        <v>55.166666666666664</v>
      </c>
      <c r="I675" s="4">
        <f t="shared" si="65"/>
        <v>0.20686229559999855</v>
      </c>
      <c r="J675" s="10">
        <f t="shared" si="67"/>
        <v>6.7773045414156324E-2</v>
      </c>
      <c r="K675" s="24">
        <f t="shared" si="68"/>
        <v>55</v>
      </c>
      <c r="L675" s="19">
        <f t="shared" si="69"/>
        <v>2.2679439840192366</v>
      </c>
      <c r="M675" s="19">
        <f t="shared" si="70"/>
        <v>4.8700035315866715E-4</v>
      </c>
    </row>
    <row r="676" spans="7:13">
      <c r="G676" s="3">
        <v>663</v>
      </c>
      <c r="H676" s="5">
        <f t="shared" si="66"/>
        <v>55.25</v>
      </c>
      <c r="I676" s="4">
        <f t="shared" si="65"/>
        <v>0.2037114162023953</v>
      </c>
      <c r="J676" s="10">
        <f t="shared" si="67"/>
        <v>6.749805000328804E-2</v>
      </c>
      <c r="K676" s="24">
        <f t="shared" si="68"/>
        <v>55</v>
      </c>
      <c r="L676" s="19">
        <f t="shared" si="69"/>
        <v>2.2679439840192366</v>
      </c>
      <c r="M676" s="19">
        <f t="shared" si="70"/>
        <v>4.823422785445471E-4</v>
      </c>
    </row>
    <row r="677" spans="7:13">
      <c r="G677" s="3">
        <v>664</v>
      </c>
      <c r="H677" s="5">
        <f t="shared" si="66"/>
        <v>55.333333333333336</v>
      </c>
      <c r="I677" s="4">
        <f t="shared" si="65"/>
        <v>0.20057842768600287</v>
      </c>
      <c r="J677" s="10">
        <f t="shared" si="67"/>
        <v>6.722417041177739E-2</v>
      </c>
      <c r="K677" s="24">
        <f t="shared" si="68"/>
        <v>55</v>
      </c>
      <c r="L677" s="19">
        <f t="shared" si="69"/>
        <v>2.2679439840192366</v>
      </c>
      <c r="M677" s="19">
        <f t="shared" si="70"/>
        <v>4.7765747463110431E-4</v>
      </c>
    </row>
    <row r="678" spans="7:13">
      <c r="G678" s="3">
        <v>665</v>
      </c>
      <c r="H678" s="5">
        <f t="shared" si="66"/>
        <v>55.416666666666664</v>
      </c>
      <c r="I678" s="4">
        <f t="shared" si="65"/>
        <v>0.1974636978476752</v>
      </c>
      <c r="J678" s="10">
        <f t="shared" si="67"/>
        <v>6.695140211208396E-2</v>
      </c>
      <c r="K678" s="24">
        <f t="shared" si="68"/>
        <v>55</v>
      </c>
      <c r="L678" s="19">
        <f t="shared" si="69"/>
        <v>2.2679439840192366</v>
      </c>
      <c r="M678" s="19">
        <f t="shared" si="70"/>
        <v>4.7294690043740424E-4</v>
      </c>
    </row>
    <row r="679" spans="7:13">
      <c r="G679" s="3">
        <v>666</v>
      </c>
      <c r="H679" s="5">
        <f t="shared" si="66"/>
        <v>55.5</v>
      </c>
      <c r="I679" s="4">
        <f t="shared" si="65"/>
        <v>0.19436759142806487</v>
      </c>
      <c r="J679" s="10">
        <f t="shared" si="67"/>
        <v>6.6679740595038201E-2</v>
      </c>
      <c r="K679" s="24">
        <f t="shared" si="68"/>
        <v>55</v>
      </c>
      <c r="L679" s="19">
        <f t="shared" si="69"/>
        <v>2.2679439840192366</v>
      </c>
      <c r="M679" s="19">
        <f t="shared" si="70"/>
        <v>4.6821153100624495E-4</v>
      </c>
    </row>
    <row r="680" spans="7:13">
      <c r="G680" s="3">
        <v>667</v>
      </c>
      <c r="H680" s="5">
        <f t="shared" si="66"/>
        <v>55.583333333333336</v>
      </c>
      <c r="I680" s="4">
        <f t="shared" ref="I680:I743" si="71">I679*(B$9^(1/12))*B$8^((B$5^(B$7+H679))*((B$5^(1/12)-1)))</f>
        <v>0.19129046992662746</v>
      </c>
      <c r="J680" s="10">
        <f t="shared" si="67"/>
        <v>6.640918136976702E-2</v>
      </c>
      <c r="K680" s="24">
        <f t="shared" si="68"/>
        <v>55</v>
      </c>
      <c r="L680" s="19">
        <f t="shared" si="69"/>
        <v>2.2679439840192366</v>
      </c>
      <c r="M680" s="19">
        <f t="shared" si="70"/>
        <v>4.6345235708455013E-4</v>
      </c>
    </row>
    <row r="681" spans="7:13">
      <c r="G681" s="3">
        <v>668</v>
      </c>
      <c r="H681" s="5">
        <f t="shared" si="66"/>
        <v>55.666666666666664</v>
      </c>
      <c r="I681" s="4">
        <f t="shared" si="71"/>
        <v>0.18823269141583046</v>
      </c>
      <c r="J681" s="10">
        <f t="shared" si="67"/>
        <v>6.6139719963619406E-2</v>
      </c>
      <c r="K681" s="24">
        <f t="shared" si="68"/>
        <v>55</v>
      </c>
      <c r="L681" s="19">
        <f t="shared" si="69"/>
        <v>2.2679439840192366</v>
      </c>
      <c r="M681" s="19">
        <f t="shared" si="70"/>
        <v>4.5867038478659636E-4</v>
      </c>
    </row>
    <row r="682" spans="7:13">
      <c r="G682" s="3">
        <v>669</v>
      </c>
      <c r="H682" s="5">
        <f t="shared" si="66"/>
        <v>55.75</v>
      </c>
      <c r="I682" s="4">
        <f t="shared" si="71"/>
        <v>0.18519461035470067</v>
      </c>
      <c r="J682" s="10">
        <f t="shared" si="67"/>
        <v>6.5871351922092536E-2</v>
      </c>
      <c r="K682" s="24">
        <f t="shared" si="68"/>
        <v>55</v>
      </c>
      <c r="L682" s="19">
        <f t="shared" si="69"/>
        <v>2.2679439840192366</v>
      </c>
      <c r="M682" s="19">
        <f t="shared" si="70"/>
        <v>4.5386663524036246E-4</v>
      </c>
    </row>
    <row r="683" spans="7:13">
      <c r="G683" s="3">
        <v>670</v>
      </c>
      <c r="H683" s="5">
        <f t="shared" si="66"/>
        <v>55.833333333333336</v>
      </c>
      <c r="I683" s="4">
        <f t="shared" si="71"/>
        <v>0.18217657740185056</v>
      </c>
      <c r="J683" s="10">
        <f t="shared" si="67"/>
        <v>6.5604072808758171E-2</v>
      </c>
      <c r="K683" s="24">
        <f t="shared" si="68"/>
        <v>55</v>
      </c>
      <c r="L683" s="19">
        <f t="shared" si="69"/>
        <v>2.2679439840192366</v>
      </c>
      <c r="M683" s="19">
        <f t="shared" si="70"/>
        <v>4.4904214421661085E-4</v>
      </c>
    </row>
    <row r="684" spans="7:13">
      <c r="G684" s="3">
        <v>671</v>
      </c>
      <c r="H684" s="5">
        <f t="shared" si="66"/>
        <v>55.916666666666664</v>
      </c>
      <c r="I684" s="4">
        <f t="shared" si="71"/>
        <v>0.17917893922812664</v>
      </c>
      <c r="J684" s="10">
        <f t="shared" si="67"/>
        <v>6.5337878205189312E-2</v>
      </c>
      <c r="K684" s="24">
        <f t="shared" si="68"/>
        <v>55</v>
      </c>
      <c r="L684" s="19">
        <f t="shared" si="69"/>
        <v>2.2679439840192366</v>
      </c>
      <c r="M684" s="19">
        <f t="shared" si="70"/>
        <v>4.4419796174087955E-4</v>
      </c>
    </row>
    <row r="685" spans="7:13">
      <c r="G685" s="3">
        <v>672</v>
      </c>
      <c r="H685" s="5">
        <f t="shared" si="66"/>
        <v>56</v>
      </c>
      <c r="I685" s="4">
        <f t="shared" si="71"/>
        <v>0.17620203832902731</v>
      </c>
      <c r="J685" s="10">
        <f t="shared" si="67"/>
        <v>6.5072763710887174E-2</v>
      </c>
      <c r="K685" s="24">
        <f t="shared" si="68"/>
        <v>56</v>
      </c>
      <c r="L685" s="19">
        <f t="shared" si="69"/>
        <v>2.3019631437795249</v>
      </c>
      <c r="M685" s="19">
        <f t="shared" si="70"/>
        <v>4.3933515168828249E-4</v>
      </c>
    </row>
    <row r="686" spans="7:13">
      <c r="G686" s="3">
        <v>673</v>
      </c>
      <c r="H686" s="5">
        <f t="shared" si="66"/>
        <v>56.083333333333336</v>
      </c>
      <c r="I686" s="4">
        <f t="shared" si="71"/>
        <v>0.17324621283704172</v>
      </c>
      <c r="J686" s="10">
        <f t="shared" si="67"/>
        <v>6.4808724943207996E-2</v>
      </c>
      <c r="K686" s="24">
        <f t="shared" si="68"/>
        <v>56</v>
      </c>
      <c r="L686" s="19">
        <f t="shared" si="69"/>
        <v>2.3019631437795249</v>
      </c>
      <c r="M686" s="19">
        <f t="shared" si="70"/>
        <v>4.4097161323154781E-4</v>
      </c>
    </row>
    <row r="687" spans="7:13">
      <c r="G687" s="3">
        <v>674</v>
      </c>
      <c r="H687" s="5">
        <f t="shared" si="66"/>
        <v>56.166666666666664</v>
      </c>
      <c r="I687" s="4">
        <f t="shared" si="71"/>
        <v>0.17031179633406437</v>
      </c>
      <c r="J687" s="10">
        <f t="shared" si="67"/>
        <v>6.4545757537291734E-2</v>
      </c>
      <c r="K687" s="24">
        <f t="shared" si="68"/>
        <v>56</v>
      </c>
      <c r="L687" s="19">
        <f t="shared" si="69"/>
        <v>2.3019631437795249</v>
      </c>
      <c r="M687" s="19">
        <f t="shared" si="70"/>
        <v>4.3600134061521777E-4</v>
      </c>
    </row>
    <row r="688" spans="7:13">
      <c r="G688" s="3">
        <v>675</v>
      </c>
      <c r="H688" s="5">
        <f t="shared" si="66"/>
        <v>56.25</v>
      </c>
      <c r="I688" s="4">
        <f t="shared" si="71"/>
        <v>0.16739911766404486</v>
      </c>
      <c r="J688" s="10">
        <f t="shared" si="67"/>
        <v>6.4283857145988596E-2</v>
      </c>
      <c r="K688" s="24">
        <f t="shared" si="68"/>
        <v>56</v>
      </c>
      <c r="L688" s="19">
        <f t="shared" si="69"/>
        <v>2.3019631437795249</v>
      </c>
      <c r="M688" s="19">
        <f t="shared" si="70"/>
        <v>4.310154804780866E-4</v>
      </c>
    </row>
    <row r="689" spans="7:13">
      <c r="G689" s="3">
        <v>676</v>
      </c>
      <c r="H689" s="5">
        <f t="shared" si="66"/>
        <v>56.333333333333336</v>
      </c>
      <c r="I689" s="4">
        <f t="shared" si="71"/>
        <v>0.16450850074603468</v>
      </c>
      <c r="J689" s="10">
        <f t="shared" si="67"/>
        <v>6.4023019439787984E-2</v>
      </c>
      <c r="K689" s="24">
        <f t="shared" si="68"/>
        <v>56</v>
      </c>
      <c r="L689" s="19">
        <f t="shared" si="69"/>
        <v>2.3019631437795249</v>
      </c>
      <c r="M689" s="19">
        <f t="shared" si="70"/>
        <v>4.2601516442203373E-4</v>
      </c>
    </row>
    <row r="690" spans="7:13">
      <c r="G690" s="3">
        <v>677</v>
      </c>
      <c r="H690" s="5">
        <f t="shared" si="66"/>
        <v>56.416666666666664</v>
      </c>
      <c r="I690" s="4">
        <f t="shared" si="71"/>
        <v>0.16164026438779774</v>
      </c>
      <c r="J690" s="10">
        <f t="shared" si="67"/>
        <v>6.3763240106746624E-2</v>
      </c>
      <c r="K690" s="24">
        <f t="shared" si="68"/>
        <v>56</v>
      </c>
      <c r="L690" s="19">
        <f t="shared" si="69"/>
        <v>2.3019631437795249</v>
      </c>
      <c r="M690" s="19">
        <f t="shared" si="70"/>
        <v>4.2100153578940265E-4</v>
      </c>
    </row>
    <row r="691" spans="7:13">
      <c r="G691" s="3">
        <v>678</v>
      </c>
      <c r="H691" s="5">
        <f t="shared" si="66"/>
        <v>56.5</v>
      </c>
      <c r="I691" s="4">
        <f t="shared" si="71"/>
        <v>0.15879472210015347</v>
      </c>
      <c r="J691" s="10">
        <f t="shared" si="67"/>
        <v>6.3504514852417329E-2</v>
      </c>
      <c r="K691" s="24">
        <f t="shared" si="68"/>
        <v>56</v>
      </c>
      <c r="L691" s="19">
        <f t="shared" si="69"/>
        <v>2.3019631437795249</v>
      </c>
      <c r="M691" s="19">
        <f t="shared" si="70"/>
        <v>4.1597574914807551E-4</v>
      </c>
    </row>
    <row r="692" spans="7:13">
      <c r="G692" s="3">
        <v>679</v>
      </c>
      <c r="H692" s="5">
        <f t="shared" si="66"/>
        <v>56.583333333333336</v>
      </c>
      <c r="I692" s="4">
        <f t="shared" si="71"/>
        <v>0.15597218191222523</v>
      </c>
      <c r="J692" s="10">
        <f t="shared" si="67"/>
        <v>6.3246839399778099E-2</v>
      </c>
      <c r="K692" s="24">
        <f t="shared" si="68"/>
        <v>56</v>
      </c>
      <c r="L692" s="19">
        <f t="shared" si="69"/>
        <v>2.3019631437795249</v>
      </c>
      <c r="M692" s="19">
        <f t="shared" si="70"/>
        <v>4.1093896975961182E-4</v>
      </c>
    </row>
    <row r="693" spans="7:13">
      <c r="G693" s="3">
        <v>680</v>
      </c>
      <c r="H693" s="5">
        <f t="shared" si="66"/>
        <v>56.666666666666664</v>
      </c>
      <c r="I693" s="4">
        <f t="shared" si="71"/>
        <v>0.1531729461877703</v>
      </c>
      <c r="J693" s="10">
        <f t="shared" si="67"/>
        <v>6.2990209489161342E-2</v>
      </c>
      <c r="K693" s="24">
        <f t="shared" si="68"/>
        <v>56</v>
      </c>
      <c r="L693" s="19">
        <f t="shared" si="69"/>
        <v>2.3019631437795249</v>
      </c>
      <c r="M693" s="19">
        <f t="shared" si="70"/>
        <v>4.0589237303058514E-4</v>
      </c>
    </row>
    <row r="694" spans="7:13">
      <c r="G694" s="3">
        <v>681</v>
      </c>
      <c r="H694" s="5">
        <f t="shared" si="66"/>
        <v>56.75</v>
      </c>
      <c r="I694" s="4">
        <f t="shared" si="71"/>
        <v>0.15039731144276969</v>
      </c>
      <c r="J694" s="10">
        <f t="shared" si="67"/>
        <v>6.2734620878183364E-2</v>
      </c>
      <c r="K694" s="24">
        <f t="shared" si="68"/>
        <v>56</v>
      </c>
      <c r="L694" s="19">
        <f t="shared" si="69"/>
        <v>2.3019631437795249</v>
      </c>
      <c r="M694" s="19">
        <f t="shared" si="70"/>
        <v>4.0083714394742052E-4</v>
      </c>
    </row>
    <row r="695" spans="7:13">
      <c r="G695" s="3">
        <v>682</v>
      </c>
      <c r="H695" s="5">
        <f t="shared" si="66"/>
        <v>56.833333333333336</v>
      </c>
      <c r="I695" s="4">
        <f t="shared" si="71"/>
        <v>0.14764556816445965</v>
      </c>
      <c r="J695" s="10">
        <f t="shared" si="67"/>
        <v>6.2480069341674438E-2</v>
      </c>
      <c r="K695" s="24">
        <f t="shared" si="68"/>
        <v>56</v>
      </c>
      <c r="L695" s="19">
        <f t="shared" si="69"/>
        <v>2.3019631437795249</v>
      </c>
      <c r="M695" s="19">
        <f t="shared" si="70"/>
        <v>3.9577447649484884E-4</v>
      </c>
    </row>
    <row r="696" spans="7:13">
      <c r="G696" s="3">
        <v>683</v>
      </c>
      <c r="H696" s="5">
        <f t="shared" si="66"/>
        <v>56.916666666666664</v>
      </c>
      <c r="I696" s="4">
        <f t="shared" si="71"/>
        <v>0.1449180006319892</v>
      </c>
      <c r="J696" s="10">
        <f t="shared" si="67"/>
        <v>6.2226550671608857E-2</v>
      </c>
      <c r="K696" s="24">
        <f t="shared" si="68"/>
        <v>56</v>
      </c>
      <c r="L696" s="19">
        <f t="shared" si="69"/>
        <v>2.3019631437795249</v>
      </c>
      <c r="M696" s="19">
        <f t="shared" si="70"/>
        <v>3.9070557305827708E-4</v>
      </c>
    </row>
    <row r="697" spans="7:13">
      <c r="G697" s="3">
        <v>684</v>
      </c>
      <c r="H697" s="5">
        <f t="shared" si="66"/>
        <v>57</v>
      </c>
      <c r="I697" s="4">
        <f t="shared" si="71"/>
        <v>0.14221488673889035</v>
      </c>
      <c r="J697" s="10">
        <f t="shared" si="67"/>
        <v>6.1974060677035397E-2</v>
      </c>
      <c r="K697" s="24">
        <f t="shared" si="68"/>
        <v>57</v>
      </c>
      <c r="L697" s="19">
        <f t="shared" si="69"/>
        <v>2.3364925909362175</v>
      </c>
      <c r="M697" s="19">
        <f t="shared" si="70"/>
        <v>3.8563164381032612E-4</v>
      </c>
    </row>
    <row r="698" spans="7:13">
      <c r="G698" s="3">
        <v>685</v>
      </c>
      <c r="H698" s="5">
        <f t="shared" si="66"/>
        <v>57.083333333333336</v>
      </c>
      <c r="I698" s="4">
        <f t="shared" si="71"/>
        <v>0.13953649781755001</v>
      </c>
      <c r="J698" s="10">
        <f t="shared" si="67"/>
        <v>6.1722595184007606E-2</v>
      </c>
      <c r="K698" s="24">
        <f t="shared" si="68"/>
        <v>57</v>
      </c>
      <c r="L698" s="19">
        <f t="shared" si="69"/>
        <v>2.3364925909362175</v>
      </c>
      <c r="M698" s="19">
        <f t="shared" si="70"/>
        <v>3.8626221467306568E-4</v>
      </c>
    </row>
    <row r="699" spans="7:13">
      <c r="G699" s="3">
        <v>686</v>
      </c>
      <c r="H699" s="5">
        <f t="shared" si="66"/>
        <v>57.166666666666664</v>
      </c>
      <c r="I699" s="4">
        <f t="shared" si="71"/>
        <v>0.13688309846587512</v>
      </c>
      <c r="J699" s="10">
        <f t="shared" si="67"/>
        <v>6.1472150035515927E-2</v>
      </c>
      <c r="K699" s="24">
        <f t="shared" si="68"/>
        <v>57</v>
      </c>
      <c r="L699" s="19">
        <f t="shared" si="69"/>
        <v>2.3364925909362175</v>
      </c>
      <c r="M699" s="19">
        <f t="shared" si="70"/>
        <v>3.8110568747342239E-4</v>
      </c>
    </row>
    <row r="700" spans="7:13">
      <c r="G700" s="3">
        <v>687</v>
      </c>
      <c r="H700" s="5">
        <f t="shared" si="66"/>
        <v>57.25</v>
      </c>
      <c r="I700" s="4">
        <f t="shared" si="71"/>
        <v>0.13425494637634364</v>
      </c>
      <c r="J700" s="10">
        <f t="shared" si="67"/>
        <v>6.1222721091417708E-2</v>
      </c>
      <c r="K700" s="24">
        <f t="shared" si="68"/>
        <v>57</v>
      </c>
      <c r="L700" s="19">
        <f t="shared" si="69"/>
        <v>2.3364925909362175</v>
      </c>
      <c r="M700" s="19">
        <f t="shared" si="70"/>
        <v>3.759477850138552E-4</v>
      </c>
    </row>
    <row r="701" spans="7:13">
      <c r="G701" s="3">
        <v>688</v>
      </c>
      <c r="H701" s="5">
        <f t="shared" si="66"/>
        <v>57.333333333333336</v>
      </c>
      <c r="I701" s="4">
        <f t="shared" si="71"/>
        <v>0.13165229216763624</v>
      </c>
      <c r="J701" s="10">
        <f t="shared" si="67"/>
        <v>6.097430422836949E-2</v>
      </c>
      <c r="K701" s="24">
        <f t="shared" si="68"/>
        <v>57</v>
      </c>
      <c r="L701" s="19">
        <f t="shared" si="69"/>
        <v>2.3364925909362175</v>
      </c>
      <c r="M701" s="19">
        <f t="shared" si="70"/>
        <v>3.7078976069882593E-4</v>
      </c>
    </row>
    <row r="702" spans="7:13">
      <c r="G702" s="3">
        <v>689</v>
      </c>
      <c r="H702" s="5">
        <f t="shared" si="66"/>
        <v>57.416666666666664</v>
      </c>
      <c r="I702" s="4">
        <f t="shared" si="71"/>
        <v>0.1290753792190453</v>
      </c>
      <c r="J702" s="10">
        <f t="shared" si="67"/>
        <v>6.0726895339758682E-2</v>
      </c>
      <c r="K702" s="24">
        <f t="shared" si="68"/>
        <v>57</v>
      </c>
      <c r="L702" s="19">
        <f t="shared" si="69"/>
        <v>2.3364925909362175</v>
      </c>
      <c r="M702" s="19">
        <f t="shared" si="70"/>
        <v>3.6563287249402479E-4</v>
      </c>
    </row>
    <row r="703" spans="7:13">
      <c r="G703" s="3">
        <v>690</v>
      </c>
      <c r="H703" s="5">
        <f t="shared" si="66"/>
        <v>57.5</v>
      </c>
      <c r="I703" s="4">
        <f t="shared" si="71"/>
        <v>0.12652444350785816</v>
      </c>
      <c r="J703" s="10">
        <f t="shared" si="67"/>
        <v>6.0480490335635545E-2</v>
      </c>
      <c r="K703" s="24">
        <f t="shared" si="68"/>
        <v>57</v>
      </c>
      <c r="L703" s="19">
        <f t="shared" si="69"/>
        <v>2.3364925909362175</v>
      </c>
      <c r="M703" s="19">
        <f t="shared" si="70"/>
        <v>3.6047838221463062E-4</v>
      </c>
    </row>
    <row r="704" spans="7:13">
      <c r="G704" s="3">
        <v>691</v>
      </c>
      <c r="H704" s="5">
        <f t="shared" si="66"/>
        <v>57.583333333333336</v>
      </c>
      <c r="I704" s="4">
        <f t="shared" si="71"/>
        <v>0.12399971344991305</v>
      </c>
      <c r="J704" s="10">
        <f t="shared" si="67"/>
        <v>6.0235085142645806E-2</v>
      </c>
      <c r="K704" s="24">
        <f t="shared" si="68"/>
        <v>57</v>
      </c>
      <c r="L704" s="19">
        <f t="shared" si="69"/>
        <v>2.3364925909362175</v>
      </c>
      <c r="M704" s="19">
        <f t="shared" si="70"/>
        <v>3.5532755480025197E-4</v>
      </c>
    </row>
    <row r="705" spans="7:13">
      <c r="G705" s="3">
        <v>692</v>
      </c>
      <c r="H705" s="5">
        <f t="shared" si="66"/>
        <v>57.666666666666664</v>
      </c>
      <c r="I705" s="4">
        <f t="shared" si="71"/>
        <v>0.12150140974352733</v>
      </c>
      <c r="J705" s="10">
        <f t="shared" si="67"/>
        <v>5.9990675703963173E-2</v>
      </c>
      <c r="K705" s="24">
        <f t="shared" si="68"/>
        <v>57</v>
      </c>
      <c r="L705" s="19">
        <f t="shared" si="69"/>
        <v>2.3364925909362175</v>
      </c>
      <c r="M705" s="19">
        <f t="shared" si="70"/>
        <v>3.5018165757691417E-4</v>
      </c>
    </row>
    <row r="706" spans="7:13">
      <c r="G706" s="3">
        <v>693</v>
      </c>
      <c r="H706" s="5">
        <f t="shared" si="66"/>
        <v>57.75</v>
      </c>
      <c r="I706" s="4">
        <f t="shared" si="71"/>
        <v>0.11902974521699684</v>
      </c>
      <c r="J706" s="10">
        <f t="shared" si="67"/>
        <v>5.9747257979222236E-2</v>
      </c>
      <c r="K706" s="24">
        <f t="shared" si="68"/>
        <v>57</v>
      </c>
      <c r="L706" s="19">
        <f t="shared" si="69"/>
        <v>2.3364925909362175</v>
      </c>
      <c r="M706" s="19">
        <f t="shared" si="70"/>
        <v>3.4504195950683898E-4</v>
      </c>
    </row>
    <row r="707" spans="7:13">
      <c r="G707" s="3">
        <v>694</v>
      </c>
      <c r="H707" s="5">
        <f t="shared" si="66"/>
        <v>57.833333333333336</v>
      </c>
      <c r="I707" s="4">
        <f t="shared" si="71"/>
        <v>0.11658492467986674</v>
      </c>
      <c r="J707" s="10">
        <f t="shared" si="67"/>
        <v>5.950482794445186E-2</v>
      </c>
      <c r="K707" s="24">
        <f t="shared" si="68"/>
        <v>57</v>
      </c>
      <c r="L707" s="19">
        <f t="shared" si="69"/>
        <v>2.3364925909362175</v>
      </c>
      <c r="M707" s="19">
        <f t="shared" si="70"/>
        <v>3.3990973042638073E-4</v>
      </c>
    </row>
    <row r="708" spans="7:13">
      <c r="G708" s="3">
        <v>695</v>
      </c>
      <c r="H708" s="5">
        <f t="shared" si="66"/>
        <v>57.916666666666664</v>
      </c>
      <c r="I708" s="4">
        <f t="shared" si="71"/>
        <v>0.11416714477817305</v>
      </c>
      <c r="J708" s="10">
        <f t="shared" si="67"/>
        <v>5.9263381592008432E-2</v>
      </c>
      <c r="K708" s="24">
        <f t="shared" si="68"/>
        <v>57</v>
      </c>
      <c r="L708" s="19">
        <f t="shared" si="69"/>
        <v>2.3364925909362175</v>
      </c>
      <c r="M708" s="19">
        <f t="shared" si="70"/>
        <v>3.3478624027282865E-4</v>
      </c>
    </row>
    <row r="709" spans="7:13">
      <c r="G709" s="3">
        <v>696</v>
      </c>
      <c r="H709" s="5">
        <f t="shared" si="66"/>
        <v>58</v>
      </c>
      <c r="I709" s="4">
        <f t="shared" si="71"/>
        <v>0.11177659385385443</v>
      </c>
      <c r="J709" s="10">
        <f t="shared" si="67"/>
        <v>5.9022914930509894E-2</v>
      </c>
      <c r="K709" s="24">
        <f t="shared" si="68"/>
        <v>58</v>
      </c>
      <c r="L709" s="19">
        <f t="shared" si="69"/>
        <v>2.3715399798002603</v>
      </c>
      <c r="M709" s="19">
        <f t="shared" si="70"/>
        <v>3.2967275830065126E-4</v>
      </c>
    </row>
    <row r="710" spans="7:13">
      <c r="G710" s="3">
        <v>697</v>
      </c>
      <c r="H710" s="5">
        <f t="shared" si="66"/>
        <v>58.083333333333336</v>
      </c>
      <c r="I710" s="4">
        <f t="shared" si="71"/>
        <v>0.10941345180853237</v>
      </c>
      <c r="J710" s="10">
        <f t="shared" si="67"/>
        <v>5.878342398476917E-2</v>
      </c>
      <c r="K710" s="24">
        <f t="shared" si="68"/>
        <v>58</v>
      </c>
      <c r="L710" s="19">
        <f t="shared" si="69"/>
        <v>2.3715399798002603</v>
      </c>
      <c r="M710" s="19">
        <f t="shared" si="70"/>
        <v>3.2943911057216254E-4</v>
      </c>
    </row>
    <row r="711" spans="7:13">
      <c r="G711" s="3">
        <v>698</v>
      </c>
      <c r="H711" s="5">
        <f t="shared" si="66"/>
        <v>58.166666666666664</v>
      </c>
      <c r="I711" s="4">
        <f t="shared" si="71"/>
        <v>0.10707788997185771</v>
      </c>
      <c r="J711" s="10">
        <f t="shared" si="67"/>
        <v>5.8544904795729442E-2</v>
      </c>
      <c r="K711" s="24">
        <f t="shared" si="68"/>
        <v>58</v>
      </c>
      <c r="L711" s="19">
        <f t="shared" si="69"/>
        <v>2.3715399798002603</v>
      </c>
      <c r="M711" s="19">
        <f t="shared" si="70"/>
        <v>3.2427310104905457E-4</v>
      </c>
    </row>
    <row r="712" spans="7:13">
      <c r="G712" s="3">
        <v>699</v>
      </c>
      <c r="H712" s="5">
        <f t="shared" si="66"/>
        <v>58.25</v>
      </c>
      <c r="I712" s="4">
        <f t="shared" si="71"/>
        <v>0.1047700709746192</v>
      </c>
      <c r="J712" s="10">
        <f t="shared" si="67"/>
        <v>5.8307353420397834E-2</v>
      </c>
      <c r="K712" s="24">
        <f t="shared" si="68"/>
        <v>58</v>
      </c>
      <c r="L712" s="19">
        <f t="shared" si="69"/>
        <v>2.3715399798002603</v>
      </c>
      <c r="M712" s="19">
        <f t="shared" si="70"/>
        <v>3.1912110244987325E-4</v>
      </c>
    </row>
    <row r="713" spans="7:13">
      <c r="G713" s="3">
        <v>700</v>
      </c>
      <c r="H713" s="5">
        <f t="shared" si="66"/>
        <v>58.333333333333336</v>
      </c>
      <c r="I713" s="4">
        <f t="shared" si="71"/>
        <v>0.10249014862680898</v>
      </c>
      <c r="J713" s="10">
        <f t="shared" si="67"/>
        <v>5.8070765931780483E-2</v>
      </c>
      <c r="K713" s="24">
        <f t="shared" si="68"/>
        <v>58</v>
      </c>
      <c r="L713" s="19">
        <f t="shared" si="69"/>
        <v>2.3715399798002603</v>
      </c>
      <c r="M713" s="19">
        <f t="shared" si="70"/>
        <v>3.1398439215010602E-4</v>
      </c>
    </row>
    <row r="714" spans="7:13">
      <c r="G714" s="3">
        <v>701</v>
      </c>
      <c r="H714" s="5">
        <f t="shared" si="66"/>
        <v>58.416666666666664</v>
      </c>
      <c r="I714" s="4">
        <f t="shared" si="71"/>
        <v>0.10023826780083747</v>
      </c>
      <c r="J714" s="10">
        <f t="shared" si="67"/>
        <v>5.7835138418817801E-2</v>
      </c>
      <c r="K714" s="24">
        <f t="shared" si="68"/>
        <v>58</v>
      </c>
      <c r="L714" s="19">
        <f t="shared" si="69"/>
        <v>2.3715399798002603</v>
      </c>
      <c r="M714" s="19">
        <f t="shared" si="70"/>
        <v>3.0886424271811313E-4</v>
      </c>
    </row>
    <row r="715" spans="7:13">
      <c r="G715" s="3">
        <v>702</v>
      </c>
      <c r="H715" s="5">
        <f t="shared" si="66"/>
        <v>58.5</v>
      </c>
      <c r="I715" s="4">
        <f t="shared" si="71"/>
        <v>9.8014564320087622E-2</v>
      </c>
      <c r="J715" s="10">
        <f t="shared" si="67"/>
        <v>5.7600466986319585E-2</v>
      </c>
      <c r="K715" s="24">
        <f t="shared" si="68"/>
        <v>58</v>
      </c>
      <c r="L715" s="19">
        <f t="shared" si="69"/>
        <v>2.3715399798002603</v>
      </c>
      <c r="M715" s="19">
        <f t="shared" si="70"/>
        <v>3.0376192107024231E-4</v>
      </c>
    </row>
    <row r="716" spans="7:13">
      <c r="G716" s="3">
        <v>703</v>
      </c>
      <c r="H716" s="5">
        <f t="shared" si="66"/>
        <v>58.583333333333336</v>
      </c>
      <c r="I716" s="4">
        <f t="shared" si="71"/>
        <v>9.5819164852996255E-2</v>
      </c>
      <c r="J716" s="10">
        <f t="shared" si="67"/>
        <v>5.7366747754900776E-2</v>
      </c>
      <c r="K716" s="24">
        <f t="shared" si="68"/>
        <v>58</v>
      </c>
      <c r="L716" s="19">
        <f t="shared" si="69"/>
        <v>2.3715399798002603</v>
      </c>
      <c r="M716" s="19">
        <f t="shared" si="70"/>
        <v>2.9867868762045979E-4</v>
      </c>
    </row>
    <row r="717" spans="7:13">
      <c r="G717" s="3">
        <v>704</v>
      </c>
      <c r="H717" s="5">
        <f t="shared" si="66"/>
        <v>58.666666666666664</v>
      </c>
      <c r="I717" s="4">
        <f t="shared" si="71"/>
        <v>9.365218681284701E-2</v>
      </c>
      <c r="J717" s="10">
        <f t="shared" si="67"/>
        <v>5.713397686091732E-2</v>
      </c>
      <c r="K717" s="24">
        <f t="shared" si="68"/>
        <v>58</v>
      </c>
      <c r="L717" s="19">
        <f t="shared" si="69"/>
        <v>2.3715399798002603</v>
      </c>
      <c r="M717" s="19">
        <f t="shared" si="70"/>
        <v>2.9361579542533026E-4</v>
      </c>
    </row>
    <row r="718" spans="7:13">
      <c r="G718" s="3">
        <v>705</v>
      </c>
      <c r="H718" s="5">
        <f t="shared" ref="H718:H781" si="72">G718/12</f>
        <v>58.75</v>
      </c>
      <c r="I718" s="4">
        <f t="shared" si="71"/>
        <v>9.1513738263455879E-2</v>
      </c>
      <c r="J718" s="10">
        <f t="shared" ref="J718:J781" si="73">(1+B$6)^-H718</f>
        <v>5.6902150456402144E-2</v>
      </c>
      <c r="K718" s="24">
        <f t="shared" ref="K718:K781" si="74">INT(H718+0.000001)</f>
        <v>58</v>
      </c>
      <c r="L718" s="19">
        <f t="shared" ref="L718:L781" si="75">1.015^K718</f>
        <v>2.3715399798002603</v>
      </c>
      <c r="M718" s="19">
        <f t="shared" si="70"/>
        <v>2.8857448932527175E-4</v>
      </c>
    </row>
    <row r="719" spans="7:13">
      <c r="G719" s="3">
        <v>706</v>
      </c>
      <c r="H719" s="5">
        <f t="shared" si="72"/>
        <v>58.833333333333336</v>
      </c>
      <c r="I719" s="4">
        <f t="shared" si="71"/>
        <v>8.9403917830926702E-2</v>
      </c>
      <c r="J719" s="10">
        <f t="shared" si="73"/>
        <v>5.6671264709001766E-2</v>
      </c>
      <c r="K719" s="24">
        <f t="shared" si="74"/>
        <v>58</v>
      </c>
      <c r="L719" s="19">
        <f t="shared" si="75"/>
        <v>2.3715399798002603</v>
      </c>
      <c r="M719" s="19">
        <f t="shared" ref="M719:M782" si="76">(I718-I719)*J719*L718</f>
        <v>2.8355600508297557E-4</v>
      </c>
    </row>
    <row r="720" spans="7:13">
      <c r="G720" s="3">
        <v>707</v>
      </c>
      <c r="H720" s="5">
        <f t="shared" si="72"/>
        <v>58.916666666666664</v>
      </c>
      <c r="I720" s="4">
        <f t="shared" si="71"/>
        <v>8.7322814621650077E-2</v>
      </c>
      <c r="J720" s="10">
        <f t="shared" si="73"/>
        <v>5.6441315801912799E-2</v>
      </c>
      <c r="K720" s="24">
        <f t="shared" si="74"/>
        <v>58</v>
      </c>
      <c r="L720" s="19">
        <f t="shared" si="75"/>
        <v>2.3715399798002603</v>
      </c>
      <c r="M720" s="19">
        <f t="shared" si="76"/>
        <v>2.7856156851988946E-4</v>
      </c>
    </row>
    <row r="721" spans="7:13">
      <c r="G721" s="3">
        <v>708</v>
      </c>
      <c r="H721" s="5">
        <f t="shared" si="72"/>
        <v>59</v>
      </c>
      <c r="I721" s="4">
        <f t="shared" si="71"/>
        <v>8.5270508146714122E-2</v>
      </c>
      <c r="J721" s="10">
        <f t="shared" si="73"/>
        <v>5.6212299933818946E-2</v>
      </c>
      <c r="K721" s="24">
        <f t="shared" si="74"/>
        <v>59</v>
      </c>
      <c r="L721" s="19">
        <f t="shared" si="75"/>
        <v>2.4071130794972642</v>
      </c>
      <c r="M721" s="19">
        <f t="shared" si="76"/>
        <v>2.7359239465180062E-4</v>
      </c>
    </row>
    <row r="722" spans="7:13">
      <c r="G722" s="3">
        <v>709</v>
      </c>
      <c r="H722" s="5">
        <f t="shared" si="72"/>
        <v>59.083333333333336</v>
      </c>
      <c r="I722" s="4">
        <f t="shared" si="71"/>
        <v>8.3247068252891354E-2</v>
      </c>
      <c r="J722" s="10">
        <f t="shared" si="73"/>
        <v>5.5984213318827768E-2</v>
      </c>
      <c r="K722" s="24">
        <f t="shared" si="74"/>
        <v>59</v>
      </c>
      <c r="L722" s="19">
        <f t="shared" si="75"/>
        <v>2.4071130794972642</v>
      </c>
      <c r="M722" s="19">
        <f t="shared" si="76"/>
        <v>2.7267943212676412E-4</v>
      </c>
    </row>
    <row r="723" spans="7:13">
      <c r="G723" s="3">
        <v>710</v>
      </c>
      <c r="H723" s="5">
        <f t="shared" si="72"/>
        <v>59.166666666666664</v>
      </c>
      <c r="I723" s="4">
        <f t="shared" si="71"/>
        <v>8.1252555060360138E-2</v>
      </c>
      <c r="J723" s="10">
        <f t="shared" si="73"/>
        <v>5.5757052186409008E-2</v>
      </c>
      <c r="K723" s="24">
        <f t="shared" si="74"/>
        <v>59</v>
      </c>
      <c r="L723" s="19">
        <f t="shared" si="75"/>
        <v>2.4071130794972642</v>
      </c>
      <c r="M723" s="19">
        <f t="shared" si="76"/>
        <v>2.676906553876555E-4</v>
      </c>
    </row>
    <row r="724" spans="7:13">
      <c r="G724" s="3">
        <v>711</v>
      </c>
      <c r="H724" s="5">
        <f t="shared" si="72"/>
        <v>59.25</v>
      </c>
      <c r="I724" s="4">
        <f t="shared" si="71"/>
        <v>7.9287018907313905E-2</v>
      </c>
      <c r="J724" s="10">
        <f t="shared" si="73"/>
        <v>5.5530812781331262E-2</v>
      </c>
      <c r="K724" s="24">
        <f t="shared" si="74"/>
        <v>59</v>
      </c>
      <c r="L724" s="19">
        <f t="shared" si="75"/>
        <v>2.4071130794972642</v>
      </c>
      <c r="M724" s="19">
        <f t="shared" si="76"/>
        <v>2.6273114543293212E-4</v>
      </c>
    </row>
    <row r="725" spans="7:13">
      <c r="G725" s="3">
        <v>712</v>
      </c>
      <c r="H725" s="5">
        <f t="shared" si="72"/>
        <v>59.333333333333336</v>
      </c>
      <c r="I725" s="4">
        <f t="shared" si="71"/>
        <v>7.7350500301605202E-2</v>
      </c>
      <c r="J725" s="10">
        <f t="shared" si="73"/>
        <v>5.5305491363600461E-2</v>
      </c>
      <c r="K725" s="24">
        <f t="shared" si="74"/>
        <v>59</v>
      </c>
      <c r="L725" s="19">
        <f t="shared" si="75"/>
        <v>2.4071130794972642</v>
      </c>
      <c r="M725" s="19">
        <f t="shared" si="76"/>
        <v>2.5780208287444028E-4</v>
      </c>
    </row>
    <row r="726" spans="7:13">
      <c r="G726" s="3">
        <v>713</v>
      </c>
      <c r="H726" s="5">
        <f t="shared" si="72"/>
        <v>59.416666666666664</v>
      </c>
      <c r="I726" s="4">
        <f t="shared" si="71"/>
        <v>7.5443029879565471E-2</v>
      </c>
      <c r="J726" s="10">
        <f t="shared" si="73"/>
        <v>5.5081084208397899E-2</v>
      </c>
      <c r="K726" s="24">
        <f t="shared" si="74"/>
        <v>59</v>
      </c>
      <c r="L726" s="19">
        <f t="shared" si="75"/>
        <v>2.4071130794972642</v>
      </c>
      <c r="M726" s="19">
        <f t="shared" si="76"/>
        <v>2.5290463299026993E-4</v>
      </c>
    </row>
    <row r="727" spans="7:13">
      <c r="G727" s="3">
        <v>714</v>
      </c>
      <c r="H727" s="5">
        <f t="shared" si="72"/>
        <v>59.5</v>
      </c>
      <c r="I727" s="4">
        <f t="shared" si="71"/>
        <v>7.356462837213433E-2</v>
      </c>
      <c r="J727" s="10">
        <f t="shared" si="73"/>
        <v>5.4857587606018644E-2</v>
      </c>
      <c r="K727" s="24">
        <f t="shared" si="74"/>
        <v>59</v>
      </c>
      <c r="L727" s="19">
        <f t="shared" si="75"/>
        <v>2.4071130794972642</v>
      </c>
      <c r="M727" s="19">
        <f t="shared" si="76"/>
        <v>2.4803994486317276E-4</v>
      </c>
    </row>
    <row r="728" spans="7:13">
      <c r="G728" s="3">
        <v>715</v>
      </c>
      <c r="H728" s="5">
        <f t="shared" si="72"/>
        <v>59.583333333333336</v>
      </c>
      <c r="I728" s="4">
        <f t="shared" si="71"/>
        <v>7.1715306578425661E-2</v>
      </c>
      <c r="J728" s="10">
        <f t="shared" si="73"/>
        <v>5.463499786181026E-2</v>
      </c>
      <c r="K728" s="24">
        <f t="shared" si="74"/>
        <v>59</v>
      </c>
      <c r="L728" s="19">
        <f t="shared" si="75"/>
        <v>2.4071130794972642</v>
      </c>
      <c r="M728" s="19">
        <f t="shared" si="76"/>
        <v>2.4320915052533274E-4</v>
      </c>
    </row>
    <row r="729" spans="7:13">
      <c r="G729" s="3">
        <v>716</v>
      </c>
      <c r="H729" s="5">
        <f t="shared" si="72"/>
        <v>59.666666666666664</v>
      </c>
      <c r="I729" s="4">
        <f t="shared" si="71"/>
        <v>6.9895065346849639E-2</v>
      </c>
      <c r="J729" s="10">
        <f t="shared" si="73"/>
        <v>5.4413311296111731E-2</v>
      </c>
      <c r="K729" s="24">
        <f t="shared" si="74"/>
        <v>59</v>
      </c>
      <c r="L729" s="19">
        <f t="shared" si="75"/>
        <v>2.4071130794972642</v>
      </c>
      <c r="M729" s="19">
        <f t="shared" si="76"/>
        <v>2.3841336411070508E-4</v>
      </c>
    </row>
    <row r="730" spans="7:13">
      <c r="G730" s="3">
        <v>717</v>
      </c>
      <c r="H730" s="5">
        <f t="shared" si="72"/>
        <v>59.75</v>
      </c>
      <c r="I730" s="4">
        <f t="shared" si="71"/>
        <v>6.8103895563902561E-2</v>
      </c>
      <c r="J730" s="10">
        <f t="shared" si="73"/>
        <v>5.4192524244192505E-2</v>
      </c>
      <c r="K730" s="24">
        <f t="shared" si="74"/>
        <v>59</v>
      </c>
      <c r="L730" s="19">
        <f t="shared" si="75"/>
        <v>2.4071130794972642</v>
      </c>
      <c r="M730" s="19">
        <f t="shared" si="76"/>
        <v>2.3365368101597832E-4</v>
      </c>
    </row>
    <row r="731" spans="7:13">
      <c r="G731" s="3">
        <v>718</v>
      </c>
      <c r="H731" s="5">
        <f t="shared" si="72"/>
        <v>59.833333333333336</v>
      </c>
      <c r="I731" s="4">
        <f t="shared" si="71"/>
        <v>6.6341778150727851E-2</v>
      </c>
      <c r="J731" s="10">
        <f t="shared" si="73"/>
        <v>5.3972633056192147E-2</v>
      </c>
      <c r="K731" s="24">
        <f t="shared" si="74"/>
        <v>59</v>
      </c>
      <c r="L731" s="19">
        <f t="shared" si="75"/>
        <v>2.4071130794972642</v>
      </c>
      <c r="M731" s="19">
        <f t="shared" si="76"/>
        <v>2.2893117707134026E-4</v>
      </c>
    </row>
    <row r="732" spans="7:13">
      <c r="G732" s="3">
        <v>719</v>
      </c>
      <c r="H732" s="5">
        <f t="shared" si="72"/>
        <v>59.916666666666664</v>
      </c>
      <c r="I732" s="4">
        <f t="shared" si="71"/>
        <v>6.4608684067543207E-2</v>
      </c>
      <c r="J732" s="10">
        <f t="shared" si="73"/>
        <v>5.3753634097059799E-2</v>
      </c>
      <c r="K732" s="24">
        <f t="shared" si="74"/>
        <v>59</v>
      </c>
      <c r="L732" s="19">
        <f t="shared" si="75"/>
        <v>2.4071130794972642</v>
      </c>
      <c r="M732" s="19">
        <f t="shared" si="76"/>
        <v>2.2424690772217251E-4</v>
      </c>
    </row>
    <row r="733" spans="7:13">
      <c r="G733" s="3">
        <v>720</v>
      </c>
      <c r="H733" s="5">
        <f t="shared" si="72"/>
        <v>60</v>
      </c>
      <c r="I733" s="4">
        <f t="shared" si="71"/>
        <v>6.290457432601973E-2</v>
      </c>
      <c r="J733" s="10">
        <f t="shared" si="73"/>
        <v>5.3535523746494243E-2</v>
      </c>
      <c r="K733" s="24">
        <f t="shared" si="74"/>
        <v>60</v>
      </c>
      <c r="L733" s="19">
        <f t="shared" si="75"/>
        <v>2.4432197756897223</v>
      </c>
      <c r="M733" s="19">
        <f t="shared" si="76"/>
        <v>2.1960190722286629E-4</v>
      </c>
    </row>
    <row r="734" spans="7:13">
      <c r="G734" s="3">
        <v>721</v>
      </c>
      <c r="H734" s="5">
        <f t="shared" si="72"/>
        <v>60.083333333333336</v>
      </c>
      <c r="I734" s="4">
        <f t="shared" si="71"/>
        <v>6.1229400009690113E-2</v>
      </c>
      <c r="J734" s="10">
        <f t="shared" si="73"/>
        <v>5.3318298398883579E-2</v>
      </c>
      <c r="K734" s="24">
        <f t="shared" si="74"/>
        <v>60</v>
      </c>
      <c r="L734" s="19">
        <f t="shared" si="75"/>
        <v>2.4432197756897223</v>
      </c>
      <c r="M734" s="19">
        <f t="shared" si="76"/>
        <v>2.182221456615072E-4</v>
      </c>
    </row>
    <row r="735" spans="7:13">
      <c r="G735" s="3">
        <v>722</v>
      </c>
      <c r="H735" s="5">
        <f t="shared" si="72"/>
        <v>60.166666666666664</v>
      </c>
      <c r="I735" s="4">
        <f t="shared" si="71"/>
        <v>5.9583102302452833E-2</v>
      </c>
      <c r="J735" s="10">
        <f t="shared" si="73"/>
        <v>5.310195446324667E-2</v>
      </c>
      <c r="K735" s="24">
        <f t="shared" si="74"/>
        <v>60</v>
      </c>
      <c r="L735" s="19">
        <f t="shared" si="75"/>
        <v>2.4432197756897223</v>
      </c>
      <c r="M735" s="19">
        <f t="shared" si="76"/>
        <v>2.1359024517946697E-4</v>
      </c>
    </row>
    <row r="736" spans="7:13">
      <c r="G736" s="3">
        <v>723</v>
      </c>
      <c r="H736" s="5">
        <f t="shared" si="72"/>
        <v>60.25</v>
      </c>
      <c r="I736" s="4">
        <f t="shared" si="71"/>
        <v>5.7965612525229832E-2</v>
      </c>
      <c r="J736" s="10">
        <f t="shared" si="73"/>
        <v>5.2886488363172626E-2</v>
      </c>
      <c r="K736" s="24">
        <f t="shared" si="74"/>
        <v>60</v>
      </c>
      <c r="L736" s="19">
        <f t="shared" si="75"/>
        <v>2.4432197756897223</v>
      </c>
      <c r="M736" s="19">
        <f t="shared" si="76"/>
        <v>2.0900121485732816E-4</v>
      </c>
    </row>
    <row r="737" spans="7:13">
      <c r="G737" s="3">
        <v>724</v>
      </c>
      <c r="H737" s="5">
        <f t="shared" si="72"/>
        <v>60.333333333333336</v>
      </c>
      <c r="I737" s="4">
        <f t="shared" si="71"/>
        <v>5.6376852180824805E-2</v>
      </c>
      <c r="J737" s="10">
        <f t="shared" si="73"/>
        <v>5.2671896536762325E-2</v>
      </c>
      <c r="K737" s="24">
        <f t="shared" si="74"/>
        <v>60</v>
      </c>
      <c r="L737" s="19">
        <f t="shared" si="75"/>
        <v>2.4432197756897223</v>
      </c>
      <c r="M737" s="19">
        <f t="shared" si="76"/>
        <v>2.0445601053158954E-4</v>
      </c>
    </row>
    <row r="738" spans="7:13">
      <c r="G738" s="3">
        <v>725</v>
      </c>
      <c r="H738" s="5">
        <f t="shared" si="72"/>
        <v>60.416666666666664</v>
      </c>
      <c r="I738" s="4">
        <f t="shared" si="71"/>
        <v>5.4816733007018739E-2</v>
      </c>
      <c r="J738" s="10">
        <f t="shared" si="73"/>
        <v>5.2458175436569422E-2</v>
      </c>
      <c r="K738" s="24">
        <f t="shared" si="74"/>
        <v>60</v>
      </c>
      <c r="L738" s="19">
        <f t="shared" si="75"/>
        <v>2.4432197756897223</v>
      </c>
      <c r="M738" s="19">
        <f t="shared" si="76"/>
        <v>1.9995556266375384E-4</v>
      </c>
    </row>
    <row r="739" spans="7:13">
      <c r="G739" s="3">
        <v>726</v>
      </c>
      <c r="H739" s="5">
        <f t="shared" si="72"/>
        <v>60.5</v>
      </c>
      <c r="I739" s="4">
        <f t="shared" si="71"/>
        <v>5.3285157037928597E-2</v>
      </c>
      <c r="J739" s="10">
        <f t="shared" si="73"/>
        <v>5.2245321529541554E-2</v>
      </c>
      <c r="K739" s="24">
        <f t="shared" si="74"/>
        <v>60</v>
      </c>
      <c r="L739" s="19">
        <f t="shared" si="75"/>
        <v>2.4432197756897223</v>
      </c>
      <c r="M739" s="19">
        <f t="shared" si="76"/>
        <v>1.9550077562039987E-4</v>
      </c>
    </row>
    <row r="740" spans="7:13">
      <c r="G740" s="3">
        <v>727</v>
      </c>
      <c r="H740" s="5">
        <f t="shared" si="72"/>
        <v>60.583333333333336</v>
      </c>
      <c r="I740" s="4">
        <f t="shared" si="71"/>
        <v>5.178201667364396E-2</v>
      </c>
      <c r="J740" s="10">
        <f t="shared" si="73"/>
        <v>5.2033331296962138E-2</v>
      </c>
      <c r="K740" s="24">
        <f t="shared" si="74"/>
        <v>60</v>
      </c>
      <c r="L740" s="19">
        <f t="shared" si="75"/>
        <v>2.4432197756897223</v>
      </c>
      <c r="M740" s="19">
        <f t="shared" si="76"/>
        <v>1.9109252697374339E-4</v>
      </c>
    </row>
    <row r="741" spans="7:13">
      <c r="G741" s="3">
        <v>728</v>
      </c>
      <c r="H741" s="5">
        <f t="shared" si="72"/>
        <v>60.666666666666664</v>
      </c>
      <c r="I741" s="4">
        <f t="shared" si="71"/>
        <v>5.0307194758145241E-2</v>
      </c>
      <c r="J741" s="10">
        <f t="shared" si="73"/>
        <v>5.1822201234392108E-2</v>
      </c>
      <c r="K741" s="24">
        <f t="shared" si="74"/>
        <v>60</v>
      </c>
      <c r="L741" s="19">
        <f t="shared" si="75"/>
        <v>2.4432197756897223</v>
      </c>
      <c r="M741" s="19">
        <f t="shared" si="76"/>
        <v>1.8673166682382097E-4</v>
      </c>
    </row>
    <row r="742" spans="7:13">
      <c r="G742" s="3">
        <v>729</v>
      </c>
      <c r="H742" s="5">
        <f t="shared" si="72"/>
        <v>60.75</v>
      </c>
      <c r="I742" s="4">
        <f t="shared" si="71"/>
        <v>4.8860564665495397E-2</v>
      </c>
      <c r="J742" s="10">
        <f t="shared" si="73"/>
        <v>5.1611927851611908E-2</v>
      </c>
      <c r="K742" s="24">
        <f t="shared" si="74"/>
        <v>60</v>
      </c>
      <c r="L742" s="19">
        <f t="shared" si="75"/>
        <v>2.4432197756897223</v>
      </c>
      <c r="M742" s="19">
        <f t="shared" si="76"/>
        <v>1.8241901714344906E-4</v>
      </c>
    </row>
    <row r="743" spans="7:13">
      <c r="G743" s="3">
        <v>730</v>
      </c>
      <c r="H743" s="5">
        <f t="shared" si="72"/>
        <v>60.833333333333336</v>
      </c>
      <c r="I743" s="4">
        <f t="shared" si="71"/>
        <v>4.7441990394285455E-2</v>
      </c>
      <c r="J743" s="10">
        <f t="shared" si="73"/>
        <v>5.1402507672563942E-2</v>
      </c>
      <c r="K743" s="24">
        <f t="shared" si="74"/>
        <v>60</v>
      </c>
      <c r="L743" s="19">
        <f t="shared" si="75"/>
        <v>2.4432197756897223</v>
      </c>
      <c r="M743" s="19">
        <f t="shared" si="76"/>
        <v>1.781553711470595E-4</v>
      </c>
    </row>
    <row r="744" spans="7:13">
      <c r="G744" s="3">
        <v>731</v>
      </c>
      <c r="H744" s="5">
        <f t="shared" si="72"/>
        <v>60.916666666666664</v>
      </c>
      <c r="I744" s="4">
        <f t="shared" ref="I744:I807" si="77">I743*(B$9^(1/12))*B$8^((B$5^(B$7+H743))*((B$5^(1/12)-1)))</f>
        <v>4.6051326670302199E-2</v>
      </c>
      <c r="J744" s="10">
        <f t="shared" si="73"/>
        <v>5.1193937235295049E-2</v>
      </c>
      <c r="K744" s="24">
        <f t="shared" si="74"/>
        <v>60</v>
      </c>
      <c r="L744" s="19">
        <f t="shared" si="75"/>
        <v>2.4432197756897223</v>
      </c>
      <c r="M744" s="19">
        <f t="shared" si="76"/>
        <v>1.7394149268450709E-4</v>
      </c>
    </row>
    <row r="745" spans="7:13">
      <c r="G745" s="3">
        <v>732</v>
      </c>
      <c r="H745" s="5">
        <f t="shared" si="72"/>
        <v>61</v>
      </c>
      <c r="I745" s="4">
        <f t="shared" si="77"/>
        <v>4.4688419057374057E-2</v>
      </c>
      <c r="J745" s="10">
        <f t="shared" si="73"/>
        <v>5.0986213091899268E-2</v>
      </c>
      <c r="K745" s="24">
        <f t="shared" si="74"/>
        <v>61</v>
      </c>
      <c r="L745" s="19">
        <f t="shared" si="75"/>
        <v>2.4798680723250683</v>
      </c>
      <c r="M745" s="19">
        <f t="shared" si="76"/>
        <v>1.6977811566095389E-4</v>
      </c>
    </row>
    <row r="746" spans="7:13">
      <c r="G746" s="3">
        <v>733</v>
      </c>
      <c r="H746" s="5">
        <f t="shared" si="72"/>
        <v>61.083333333333336</v>
      </c>
      <c r="I746" s="4">
        <f t="shared" si="77"/>
        <v>4.3353104076339147E-2</v>
      </c>
      <c r="J746" s="10">
        <f t="shared" si="73"/>
        <v>5.0779331808460546E-2</v>
      </c>
      <c r="K746" s="24">
        <f t="shared" si="74"/>
        <v>61</v>
      </c>
      <c r="L746" s="19">
        <f t="shared" si="75"/>
        <v>2.4798680723250683</v>
      </c>
      <c r="M746" s="19">
        <f t="shared" si="76"/>
        <v>1.6815093263610807E-4</v>
      </c>
    </row>
    <row r="747" spans="7:13">
      <c r="G747" s="3">
        <v>734</v>
      </c>
      <c r="H747" s="5">
        <f t="shared" si="72"/>
        <v>61.166666666666664</v>
      </c>
      <c r="I747" s="4">
        <f t="shared" si="77"/>
        <v>4.2045209332067013E-2</v>
      </c>
      <c r="J747" s="10">
        <f t="shared" si="73"/>
        <v>5.0573289964996819E-2</v>
      </c>
      <c r="K747" s="24">
        <f t="shared" si="74"/>
        <v>61</v>
      </c>
      <c r="L747" s="19">
        <f t="shared" si="75"/>
        <v>2.4798680723250683</v>
      </c>
      <c r="M747" s="19">
        <f t="shared" si="76"/>
        <v>1.6402973326611872E-4</v>
      </c>
    </row>
    <row r="748" spans="7:13">
      <c r="G748" s="3">
        <v>735</v>
      </c>
      <c r="H748" s="5">
        <f t="shared" si="72"/>
        <v>61.25</v>
      </c>
      <c r="I748" s="4">
        <f t="shared" si="77"/>
        <v>4.076455364845278E-2</v>
      </c>
      <c r="J748" s="10">
        <f t="shared" si="73"/>
        <v>5.0368084155402483E-2</v>
      </c>
      <c r="K748" s="24">
        <f t="shared" si="74"/>
        <v>61</v>
      </c>
      <c r="L748" s="19">
        <f t="shared" si="75"/>
        <v>2.4798680723250683</v>
      </c>
      <c r="M748" s="19">
        <f t="shared" si="76"/>
        <v>1.5996183976541318E-4</v>
      </c>
    </row>
    <row r="749" spans="7:13">
      <c r="G749" s="3">
        <v>736</v>
      </c>
      <c r="H749" s="5">
        <f t="shared" si="72"/>
        <v>61.333333333333336</v>
      </c>
      <c r="I749" s="4">
        <f t="shared" si="77"/>
        <v>3.9510947211290053E-2</v>
      </c>
      <c r="J749" s="10">
        <f t="shared" si="73"/>
        <v>5.0163710987392682E-2</v>
      </c>
      <c r="K749" s="24">
        <f t="shared" si="74"/>
        <v>61</v>
      </c>
      <c r="L749" s="19">
        <f t="shared" si="75"/>
        <v>2.4798680723250683</v>
      </c>
      <c r="M749" s="19">
        <f t="shared" si="76"/>
        <v>1.5594787014976889E-4</v>
      </c>
    </row>
    <row r="750" spans="7:13">
      <c r="G750" s="3">
        <v>737</v>
      </c>
      <c r="H750" s="5">
        <f t="shared" si="72"/>
        <v>61.416666666666664</v>
      </c>
      <c r="I750" s="4">
        <f t="shared" si="77"/>
        <v>3.8284191718916172E-2</v>
      </c>
      <c r="J750" s="10">
        <f t="shared" si="73"/>
        <v>4.9960167082447063E-2</v>
      </c>
      <c r="K750" s="24">
        <f t="shared" si="74"/>
        <v>61</v>
      </c>
      <c r="L750" s="19">
        <f t="shared" si="75"/>
        <v>2.4798680723250683</v>
      </c>
      <c r="M750" s="19">
        <f t="shared" si="76"/>
        <v>1.5198840953009349E-4</v>
      </c>
    </row>
    <row r="751" spans="7:13">
      <c r="G751" s="3">
        <v>738</v>
      </c>
      <c r="H751" s="5">
        <f t="shared" si="72"/>
        <v>61.5</v>
      </c>
      <c r="I751" s="4">
        <f t="shared" si="77"/>
        <v>3.7084080540510558E-2</v>
      </c>
      <c r="J751" s="10">
        <f t="shared" si="73"/>
        <v>4.9757449075753857E-2</v>
      </c>
      <c r="K751" s="24">
        <f t="shared" si="74"/>
        <v>61</v>
      </c>
      <c r="L751" s="19">
        <f t="shared" si="75"/>
        <v>2.4798680723250683</v>
      </c>
      <c r="M751" s="19">
        <f t="shared" si="76"/>
        <v>1.4808400970370712E-4</v>
      </c>
    </row>
    <row r="752" spans="7:13">
      <c r="G752" s="3">
        <v>739</v>
      </c>
      <c r="H752" s="5">
        <f t="shared" si="72"/>
        <v>61.583333333333336</v>
      </c>
      <c r="I752" s="4">
        <f t="shared" si="77"/>
        <v>3.5910398881914177E-2</v>
      </c>
      <c r="J752" s="10">
        <f t="shared" si="73"/>
        <v>4.9555553616154407E-2</v>
      </c>
      <c r="K752" s="24">
        <f t="shared" si="74"/>
        <v>61</v>
      </c>
      <c r="L752" s="19">
        <f t="shared" si="75"/>
        <v>2.4798680723250683</v>
      </c>
      <c r="M752" s="19">
        <f t="shared" si="76"/>
        <v>1.442351887789048E-4</v>
      </c>
    </row>
    <row r="753" spans="7:13">
      <c r="G753" s="3">
        <v>740</v>
      </c>
      <c r="H753" s="5">
        <f t="shared" si="72"/>
        <v>61.666666666666664</v>
      </c>
      <c r="I753" s="4">
        <f t="shared" si="77"/>
        <v>3.4762923958825437E-2</v>
      </c>
      <c r="J753" s="10">
        <f t="shared" si="73"/>
        <v>4.9354477366087716E-2</v>
      </c>
      <c r="K753" s="24">
        <f t="shared" si="74"/>
        <v>61</v>
      </c>
      <c r="L753" s="19">
        <f t="shared" si="75"/>
        <v>2.4798680723250683</v>
      </c>
      <c r="M753" s="19">
        <f t="shared" si="76"/>
        <v>1.40442430833618E-4</v>
      </c>
    </row>
    <row r="754" spans="7:13">
      <c r="G754" s="3">
        <v>741</v>
      </c>
      <c r="H754" s="5">
        <f t="shared" si="72"/>
        <v>61.75</v>
      </c>
      <c r="I754" s="4">
        <f t="shared" si="77"/>
        <v>3.364142517721519E-2</v>
      </c>
      <c r="J754" s="10">
        <f t="shared" si="73"/>
        <v>4.915421700153514E-2</v>
      </c>
      <c r="K754" s="24">
        <f t="shared" si="74"/>
        <v>61</v>
      </c>
      <c r="L754" s="19">
        <f t="shared" si="75"/>
        <v>2.4798680723250683</v>
      </c>
      <c r="M754" s="19">
        <f t="shared" si="76"/>
        <v>1.3670618560895299E-4</v>
      </c>
    </row>
    <row r="755" spans="7:13">
      <c r="G755" s="3">
        <v>742</v>
      </c>
      <c r="H755" s="5">
        <f t="shared" si="72"/>
        <v>61.833333333333336</v>
      </c>
      <c r="I755" s="4">
        <f t="shared" si="77"/>
        <v>3.2545664320790549E-2</v>
      </c>
      <c r="J755" s="10">
        <f t="shared" si="73"/>
        <v>4.8954769211965676E-2</v>
      </c>
      <c r="K755" s="24">
        <f t="shared" si="74"/>
        <v>61</v>
      </c>
      <c r="L755" s="19">
        <f t="shared" si="75"/>
        <v>2.4798680723250683</v>
      </c>
      <c r="M755" s="19">
        <f t="shared" si="76"/>
        <v>1.3302686823837468E-4</v>
      </c>
    </row>
    <row r="756" spans="7:13">
      <c r="G756" s="3">
        <v>743</v>
      </c>
      <c r="H756" s="5">
        <f t="shared" si="72"/>
        <v>61.916666666666664</v>
      </c>
      <c r="I756" s="4">
        <f t="shared" si="77"/>
        <v>3.1475395745325249E-2</v>
      </c>
      <c r="J756" s="10">
        <f t="shared" si="73"/>
        <v>4.8756130700280988E-2</v>
      </c>
      <c r="K756" s="24">
        <f t="shared" si="74"/>
        <v>61</v>
      </c>
      <c r="L756" s="19">
        <f t="shared" si="75"/>
        <v>2.4798680723250683</v>
      </c>
      <c r="M756" s="19">
        <f t="shared" si="76"/>
        <v>1.2940485901315576E-4</v>
      </c>
    </row>
    <row r="757" spans="7:13">
      <c r="G757" s="3">
        <v>744</v>
      </c>
      <c r="H757" s="5">
        <f t="shared" si="72"/>
        <v>62</v>
      </c>
      <c r="I757" s="4">
        <f t="shared" si="77"/>
        <v>3.0430366579661257E-2</v>
      </c>
      <c r="J757" s="10">
        <f t="shared" si="73"/>
        <v>4.855829818276123E-2</v>
      </c>
      <c r="K757" s="24">
        <f t="shared" si="74"/>
        <v>62</v>
      </c>
      <c r="L757" s="19">
        <f t="shared" si="75"/>
        <v>2.5170660934099436</v>
      </c>
      <c r="M757" s="19">
        <f t="shared" si="76"/>
        <v>1.2584050318479543E-4</v>
      </c>
    </row>
    <row r="758" spans="7:13">
      <c r="G758" s="3">
        <v>745</v>
      </c>
      <c r="H758" s="5">
        <f t="shared" si="72"/>
        <v>62.083333333333336</v>
      </c>
      <c r="I758" s="4">
        <f t="shared" si="77"/>
        <v>2.9410316933174516E-2</v>
      </c>
      <c r="J758" s="10">
        <f t="shared" si="73"/>
        <v>4.8361268389010059E-2</v>
      </c>
      <c r="K758" s="24">
        <f t="shared" si="74"/>
        <v>62</v>
      </c>
      <c r="L758" s="19">
        <f t="shared" si="75"/>
        <v>2.5170660934099436</v>
      </c>
      <c r="M758" s="19">
        <f t="shared" si="76"/>
        <v>1.2416912246700381E-4</v>
      </c>
    </row>
    <row r="759" spans="7:13">
      <c r="G759" s="3">
        <v>746</v>
      </c>
      <c r="H759" s="5">
        <f t="shared" si="72"/>
        <v>62.166666666666664</v>
      </c>
      <c r="I759" s="4">
        <f t="shared" si="77"/>
        <v>2.8414980109485531E-2</v>
      </c>
      <c r="J759" s="10">
        <f t="shared" si="73"/>
        <v>4.8165038061901727E-2</v>
      </c>
      <c r="K759" s="24">
        <f t="shared" si="74"/>
        <v>62</v>
      </c>
      <c r="L759" s="19">
        <f t="shared" si="75"/>
        <v>2.5170660934099436</v>
      </c>
      <c r="M759" s="19">
        <f t="shared" si="76"/>
        <v>1.2066924595232569E-4</v>
      </c>
    </row>
    <row r="760" spans="7:13">
      <c r="G760" s="3">
        <v>747</v>
      </c>
      <c r="H760" s="5">
        <f t="shared" si="72"/>
        <v>62.25</v>
      </c>
      <c r="I760" s="4">
        <f t="shared" si="77"/>
        <v>2.7444082826183564E-2</v>
      </c>
      <c r="J760" s="10">
        <f t="shared" si="73"/>
        <v>4.7969603957526197E-2</v>
      </c>
      <c r="K760" s="24">
        <f t="shared" si="74"/>
        <v>62</v>
      </c>
      <c r="L760" s="19">
        <f t="shared" si="75"/>
        <v>2.5170660934099436</v>
      </c>
      <c r="M760" s="19">
        <f t="shared" si="76"/>
        <v>1.1722872410263428E-4</v>
      </c>
    </row>
    <row r="761" spans="7:13">
      <c r="G761" s="3">
        <v>748</v>
      </c>
      <c r="H761" s="5">
        <f t="shared" si="72"/>
        <v>62.333333333333336</v>
      </c>
      <c r="I761" s="4">
        <f t="shared" si="77"/>
        <v>2.6497345440321746E-2</v>
      </c>
      <c r="J761" s="10">
        <f t="shared" si="73"/>
        <v>4.7774962845135903E-2</v>
      </c>
      <c r="K761" s="24">
        <f t="shared" si="74"/>
        <v>62</v>
      </c>
      <c r="L761" s="19">
        <f t="shared" si="75"/>
        <v>2.5170660934099436</v>
      </c>
      <c r="M761" s="19">
        <f t="shared" si="76"/>
        <v>1.1384776385012608E-4</v>
      </c>
    </row>
    <row r="762" spans="7:13">
      <c r="G762" s="3">
        <v>749</v>
      </c>
      <c r="H762" s="5">
        <f t="shared" si="72"/>
        <v>62.416666666666664</v>
      </c>
      <c r="I762" s="4">
        <f t="shared" si="77"/>
        <v>2.5574482179429047E-2</v>
      </c>
      <c r="J762" s="10">
        <f t="shared" si="73"/>
        <v>4.7581111507092447E-2</v>
      </c>
      <c r="K762" s="24">
        <f t="shared" si="74"/>
        <v>62</v>
      </c>
      <c r="L762" s="19">
        <f t="shared" si="75"/>
        <v>2.5170660934099436</v>
      </c>
      <c r="M762" s="19">
        <f t="shared" si="76"/>
        <v>1.1052653613956847E-4</v>
      </c>
    </row>
    <row r="763" spans="7:13">
      <c r="G763" s="3">
        <v>750</v>
      </c>
      <c r="H763" s="5">
        <f t="shared" si="72"/>
        <v>62.5</v>
      </c>
      <c r="I763" s="4">
        <f t="shared" si="77"/>
        <v>2.4675201377774094E-2</v>
      </c>
      <c r="J763" s="10">
        <f t="shared" si="73"/>
        <v>4.7388046738813201E-2</v>
      </c>
      <c r="K763" s="24">
        <f t="shared" si="74"/>
        <v>62</v>
      </c>
      <c r="L763" s="19">
        <f t="shared" si="75"/>
        <v>2.5170660934099436</v>
      </c>
      <c r="M763" s="19">
        <f t="shared" si="76"/>
        <v>1.0726517596286153E-4</v>
      </c>
    </row>
    <row r="764" spans="7:13">
      <c r="G764" s="3">
        <v>751</v>
      </c>
      <c r="H764" s="5">
        <f t="shared" si="72"/>
        <v>62.583333333333336</v>
      </c>
      <c r="I764" s="4">
        <f t="shared" si="77"/>
        <v>2.3799205717605142E-2</v>
      </c>
      <c r="J764" s="10">
        <f t="shared" si="73"/>
        <v>4.7195765348718499E-2</v>
      </c>
      <c r="K764" s="24">
        <f t="shared" si="74"/>
        <v>62</v>
      </c>
      <c r="L764" s="19">
        <f t="shared" si="75"/>
        <v>2.5170660934099436</v>
      </c>
      <c r="M764" s="19">
        <f t="shared" si="76"/>
        <v>1.0406378243390424E-4</v>
      </c>
    </row>
    <row r="765" spans="7:13">
      <c r="G765" s="3">
        <v>752</v>
      </c>
      <c r="H765" s="5">
        <f t="shared" si="72"/>
        <v>62.666666666666664</v>
      </c>
      <c r="I765" s="4">
        <f t="shared" si="77"/>
        <v>2.2946192475080337E-2</v>
      </c>
      <c r="J765" s="10">
        <f t="shared" si="73"/>
        <v>4.7004264158178793E-2</v>
      </c>
      <c r="K765" s="24">
        <f t="shared" si="74"/>
        <v>62</v>
      </c>
      <c r="L765" s="19">
        <f t="shared" si="75"/>
        <v>2.5170660934099436</v>
      </c>
      <c r="M765" s="19">
        <f t="shared" si="76"/>
        <v>1.0092241890388808E-4</v>
      </c>
    </row>
    <row r="766" spans="7:13">
      <c r="G766" s="3">
        <v>753</v>
      </c>
      <c r="H766" s="5">
        <f t="shared" si="72"/>
        <v>62.75</v>
      </c>
      <c r="I766" s="4">
        <f t="shared" si="77"/>
        <v>2.21158537705924E-2</v>
      </c>
      <c r="J766" s="10">
        <f t="shared" si="73"/>
        <v>4.6813540001462053E-2</v>
      </c>
      <c r="K766" s="24">
        <f t="shared" si="74"/>
        <v>62</v>
      </c>
      <c r="L766" s="19">
        <f t="shared" si="75"/>
        <v>2.5170660934099436</v>
      </c>
      <c r="M766" s="19">
        <f t="shared" si="76"/>
        <v>9.7841113117105838E-5</v>
      </c>
    </row>
    <row r="767" spans="7:13">
      <c r="G767" s="3">
        <v>754</v>
      </c>
      <c r="H767" s="5">
        <f t="shared" si="72"/>
        <v>62.833333333333336</v>
      </c>
      <c r="I767" s="4">
        <f t="shared" si="77"/>
        <v>2.1307876823182664E-2</v>
      </c>
      <c r="J767" s="10">
        <f t="shared" si="73"/>
        <v>4.6623589725681591E-2</v>
      </c>
      <c r="K767" s="24">
        <f t="shared" si="74"/>
        <v>62</v>
      </c>
      <c r="L767" s="19">
        <f t="shared" si="75"/>
        <v>2.5170660934099436</v>
      </c>
      <c r="M767" s="19">
        <f t="shared" si="76"/>
        <v>9.4819857407248053E-5</v>
      </c>
    </row>
    <row r="768" spans="7:13">
      <c r="G768" s="3">
        <v>755</v>
      </c>
      <c r="H768" s="5">
        <f t="shared" si="72"/>
        <v>62.916666666666664</v>
      </c>
      <c r="I768" s="4">
        <f t="shared" si="77"/>
        <v>2.0521944208730276E-2</v>
      </c>
      <c r="J768" s="10">
        <f t="shared" si="73"/>
        <v>4.6434410190743812E-2</v>
      </c>
      <c r="K768" s="24">
        <f t="shared" si="74"/>
        <v>62</v>
      </c>
      <c r="L768" s="19">
        <f t="shared" si="75"/>
        <v>2.5170660934099436</v>
      </c>
      <c r="M768" s="19">
        <f t="shared" si="76"/>
        <v>9.1858608934125387E-5</v>
      </c>
    </row>
    <row r="769" spans="7:13">
      <c r="G769" s="3">
        <v>756</v>
      </c>
      <c r="H769" s="5">
        <f t="shared" si="72"/>
        <v>63</v>
      </c>
      <c r="I769" s="4">
        <f t="shared" si="77"/>
        <v>1.9757734121594043E-2</v>
      </c>
      <c r="J769" s="10">
        <f t="shared" si="73"/>
        <v>4.6245998269296387E-2</v>
      </c>
      <c r="K769" s="24">
        <f t="shared" si="74"/>
        <v>63</v>
      </c>
      <c r="L769" s="19">
        <f t="shared" si="75"/>
        <v>2.5548220848110925</v>
      </c>
      <c r="M769" s="19">
        <f t="shared" si="76"/>
        <v>8.8957289960657666E-5</v>
      </c>
    </row>
    <row r="770" spans="7:13">
      <c r="G770" s="3">
        <v>757</v>
      </c>
      <c r="H770" s="5">
        <f t="shared" si="72"/>
        <v>63.083333333333336</v>
      </c>
      <c r="I770" s="4">
        <f t="shared" si="77"/>
        <v>1.9014920639376466E-2</v>
      </c>
      <c r="J770" s="10">
        <f t="shared" si="73"/>
        <v>4.6058350846676234E-2</v>
      </c>
      <c r="K770" s="24">
        <f t="shared" si="74"/>
        <v>63</v>
      </c>
      <c r="L770" s="19">
        <f t="shared" si="75"/>
        <v>2.5548220848110925</v>
      </c>
      <c r="M770" s="19">
        <f t="shared" si="76"/>
        <v>8.7407524992449008E-5</v>
      </c>
    </row>
    <row r="771" spans="7:13">
      <c r="G771" s="3">
        <v>758</v>
      </c>
      <c r="H771" s="5">
        <f t="shared" si="72"/>
        <v>63.166666666666664</v>
      </c>
      <c r="I771" s="4">
        <f t="shared" si="77"/>
        <v>1.8293173990472186E-2</v>
      </c>
      <c r="J771" s="10">
        <f t="shared" si="73"/>
        <v>4.5871464820858798E-2</v>
      </c>
      <c r="K771" s="24">
        <f t="shared" si="74"/>
        <v>63</v>
      </c>
      <c r="L771" s="19">
        <f t="shared" si="75"/>
        <v>2.5548220848110925</v>
      </c>
      <c r="M771" s="19">
        <f t="shared" si="76"/>
        <v>8.4583966377135744E-5</v>
      </c>
    </row>
    <row r="772" spans="7:13">
      <c r="G772" s="3">
        <v>759</v>
      </c>
      <c r="H772" s="5">
        <f t="shared" si="72"/>
        <v>63.25</v>
      </c>
      <c r="I772" s="4">
        <f t="shared" si="77"/>
        <v>1.759216082405626E-2</v>
      </c>
      <c r="J772" s="10">
        <f t="shared" si="73"/>
        <v>4.5685337102405896E-2</v>
      </c>
      <c r="K772" s="24">
        <f t="shared" si="74"/>
        <v>63</v>
      </c>
      <c r="L772" s="19">
        <f t="shared" si="75"/>
        <v>2.5548220848110925</v>
      </c>
      <c r="M772" s="19">
        <f t="shared" si="76"/>
        <v>8.1820790391592792E-5</v>
      </c>
    </row>
    <row r="773" spans="7:13">
      <c r="G773" s="3">
        <v>760</v>
      </c>
      <c r="H773" s="5">
        <f t="shared" si="72"/>
        <v>63.333333333333336</v>
      </c>
      <c r="I773" s="4">
        <f t="shared" si="77"/>
        <v>1.6911544482161599E-2</v>
      </c>
      <c r="J773" s="10">
        <f t="shared" si="73"/>
        <v>4.5499964614415141E-2</v>
      </c>
      <c r="K773" s="24">
        <f t="shared" si="74"/>
        <v>63</v>
      </c>
      <c r="L773" s="19">
        <f t="shared" si="75"/>
        <v>2.5548220848110925</v>
      </c>
      <c r="M773" s="19">
        <f t="shared" si="76"/>
        <v>7.9117780070435813E-5</v>
      </c>
    </row>
    <row r="774" spans="7:13">
      <c r="G774" s="3">
        <v>761</v>
      </c>
      <c r="H774" s="5">
        <f t="shared" si="72"/>
        <v>63.416666666666664</v>
      </c>
      <c r="I774" s="4">
        <f t="shared" si="77"/>
        <v>1.6250985273489359E-2</v>
      </c>
      <c r="J774" s="10">
        <f t="shared" si="73"/>
        <v>4.5315344292468994E-2</v>
      </c>
      <c r="K774" s="24">
        <f t="shared" si="74"/>
        <v>63</v>
      </c>
      <c r="L774" s="19">
        <f t="shared" si="75"/>
        <v>2.5548220848110925</v>
      </c>
      <c r="M774" s="19">
        <f t="shared" si="76"/>
        <v>7.647468503591062E-5</v>
      </c>
    </row>
    <row r="775" spans="7:13">
      <c r="G775" s="3">
        <v>762</v>
      </c>
      <c r="H775" s="5">
        <f t="shared" si="72"/>
        <v>63.5</v>
      </c>
      <c r="I775" s="4">
        <f t="shared" si="77"/>
        <v>1.5610140748591237E-2</v>
      </c>
      <c r="J775" s="10">
        <f t="shared" si="73"/>
        <v>4.5131473084583998E-2</v>
      </c>
      <c r="K775" s="24">
        <f t="shared" si="74"/>
        <v>63</v>
      </c>
      <c r="L775" s="19">
        <f t="shared" si="75"/>
        <v>2.5548220848110925</v>
      </c>
      <c r="M775" s="19">
        <f t="shared" si="76"/>
        <v>7.3891222016689065E-5</v>
      </c>
    </row>
    <row r="776" spans="7:13">
      <c r="G776" s="3">
        <v>763</v>
      </c>
      <c r="H776" s="5">
        <f t="shared" si="72"/>
        <v>63.583333333333336</v>
      </c>
      <c r="I776" s="4">
        <f t="shared" si="77"/>
        <v>1.498866597605847E-2</v>
      </c>
      <c r="J776" s="10">
        <f t="shared" si="73"/>
        <v>4.4948347951160469E-2</v>
      </c>
      <c r="K776" s="24">
        <f t="shared" si="74"/>
        <v>63</v>
      </c>
      <c r="L776" s="19">
        <f t="shared" si="75"/>
        <v>2.5548220848110925</v>
      </c>
      <c r="M776" s="19">
        <f t="shared" si="76"/>
        <v>7.136707540429149E-5</v>
      </c>
    </row>
    <row r="777" spans="7:13">
      <c r="G777" s="3">
        <v>764</v>
      </c>
      <c r="H777" s="5">
        <f t="shared" si="72"/>
        <v>63.666666666666664</v>
      </c>
      <c r="I777" s="4">
        <f t="shared" si="77"/>
        <v>1.4386213819348903E-2</v>
      </c>
      <c r="J777" s="10">
        <f t="shared" si="73"/>
        <v>4.4765965864932172E-2</v>
      </c>
      <c r="K777" s="24">
        <f t="shared" si="74"/>
        <v>63</v>
      </c>
      <c r="L777" s="19">
        <f t="shared" si="75"/>
        <v>2.5548220848110925</v>
      </c>
      <c r="M777" s="19">
        <f t="shared" si="76"/>
        <v>6.8901897846349239E-5</v>
      </c>
    </row>
    <row r="778" spans="7:13">
      <c r="G778" s="3">
        <v>765</v>
      </c>
      <c r="H778" s="5">
        <f t="shared" si="72"/>
        <v>63.75</v>
      </c>
      <c r="I778" s="4">
        <f t="shared" si="77"/>
        <v>1.3802435213880733E-2</v>
      </c>
      <c r="J778" s="10">
        <f t="shared" si="73"/>
        <v>4.4584323810916239E-2</v>
      </c>
      <c r="K778" s="24">
        <f t="shared" si="74"/>
        <v>63</v>
      </c>
      <c r="L778" s="19">
        <f t="shared" si="75"/>
        <v>2.5548220848110925</v>
      </c>
      <c r="M778" s="19">
        <f t="shared" si="76"/>
        <v>6.6495310875869771E-5</v>
      </c>
    </row>
    <row r="779" spans="7:13">
      <c r="G779" s="3">
        <v>766</v>
      </c>
      <c r="H779" s="5">
        <f t="shared" si="72"/>
        <v>63.833333333333336</v>
      </c>
      <c r="I779" s="4">
        <f t="shared" si="77"/>
        <v>1.3236979444019565E-2</v>
      </c>
      <c r="J779" s="10">
        <f t="shared" si="73"/>
        <v>4.4403418786363405E-2</v>
      </c>
      <c r="K779" s="24">
        <f t="shared" si="74"/>
        <v>63</v>
      </c>
      <c r="L779" s="19">
        <f t="shared" si="75"/>
        <v>2.5548220848110925</v>
      </c>
      <c r="M779" s="19">
        <f t="shared" si="76"/>
        <v>6.4146905575570646E-5</v>
      </c>
    </row>
    <row r="780" spans="7:13">
      <c r="G780" s="3">
        <v>767</v>
      </c>
      <c r="H780" s="5">
        <f t="shared" si="72"/>
        <v>63.916666666666664</v>
      </c>
      <c r="I780" s="4">
        <f t="shared" si="77"/>
        <v>1.2689494419584241E-2</v>
      </c>
      <c r="J780" s="10">
        <f t="shared" si="73"/>
        <v>4.4223247800708382E-2</v>
      </c>
      <c r="K780" s="24">
        <f t="shared" si="74"/>
        <v>63</v>
      </c>
      <c r="L780" s="19">
        <f t="shared" si="75"/>
        <v>2.5548220848110925</v>
      </c>
      <c r="M780" s="19">
        <f t="shared" si="76"/>
        <v>6.1856243276282107E-5</v>
      </c>
    </row>
    <row r="781" spans="7:13">
      <c r="G781" s="3">
        <v>768</v>
      </c>
      <c r="H781" s="5">
        <f t="shared" si="72"/>
        <v>64</v>
      </c>
      <c r="I781" s="4">
        <f t="shared" si="77"/>
        <v>1.215962695149638E-2</v>
      </c>
      <c r="J781" s="10">
        <f t="shared" si="73"/>
        <v>4.4043807875520369E-2</v>
      </c>
      <c r="K781" s="24">
        <f t="shared" si="74"/>
        <v>64</v>
      </c>
      <c r="L781" s="19">
        <f t="shared" si="75"/>
        <v>2.5931444160832586</v>
      </c>
      <c r="M781" s="19">
        <f t="shared" si="76"/>
        <v>5.9622856288349959E-5</v>
      </c>
    </row>
    <row r="782" spans="7:13">
      <c r="G782" s="3">
        <v>769</v>
      </c>
      <c r="H782" s="5">
        <f t="shared" ref="H782:H845" si="78">G782/12</f>
        <v>64.083333333333329</v>
      </c>
      <c r="I782" s="4">
        <f t="shared" si="77"/>
        <v>1.1647023026198969E-2</v>
      </c>
      <c r="J782" s="10">
        <f t="shared" ref="J782:J845" si="79">(1+B$6)^-H782</f>
        <v>4.3865096044453565E-2</v>
      </c>
      <c r="K782" s="24">
        <f t="shared" ref="K782:K845" si="80">INT(H782+0.000001)</f>
        <v>64</v>
      </c>
      <c r="L782" s="19">
        <f t="shared" ref="L782:L845" si="81">1.015^K782</f>
        <v>2.5931444160832586</v>
      </c>
      <c r="M782" s="19">
        <f t="shared" si="76"/>
        <v>5.8307942394865834E-5</v>
      </c>
    </row>
    <row r="783" spans="7:13">
      <c r="G783" s="3">
        <v>770</v>
      </c>
      <c r="H783" s="5">
        <f t="shared" si="78"/>
        <v>64.166666666666671</v>
      </c>
      <c r="I783" s="4">
        <f t="shared" si="77"/>
        <v>1.1151328078470491E-2</v>
      </c>
      <c r="J783" s="10">
        <f t="shared" si="79"/>
        <v>4.3687109353198833E-2</v>
      </c>
      <c r="K783" s="24">
        <f t="shared" si="80"/>
        <v>64</v>
      </c>
      <c r="L783" s="19">
        <f t="shared" si="81"/>
        <v>2.5931444160832586</v>
      </c>
      <c r="M783" s="19">
        <f t="shared" ref="M783:M846" si="82">(I782-I783)*J783*L782</f>
        <v>5.6155785450633292E-5</v>
      </c>
    </row>
    <row r="784" spans="7:13">
      <c r="G784" s="3">
        <v>771</v>
      </c>
      <c r="H784" s="5">
        <f t="shared" si="78"/>
        <v>64.25</v>
      </c>
      <c r="I784" s="4">
        <f t="shared" si="77"/>
        <v>1.0672187262262944E-2</v>
      </c>
      <c r="J784" s="10">
        <f t="shared" si="79"/>
        <v>4.3509844859434176E-2</v>
      </c>
      <c r="K784" s="24">
        <f t="shared" si="80"/>
        <v>64</v>
      </c>
      <c r="L784" s="19">
        <f t="shared" si="81"/>
        <v>2.5931444160832586</v>
      </c>
      <c r="M784" s="19">
        <f t="shared" si="82"/>
        <v>5.4060169998942428E-5</v>
      </c>
    </row>
    <row r="785" spans="7:13">
      <c r="G785" s="3">
        <v>772</v>
      </c>
      <c r="H785" s="5">
        <f t="shared" si="78"/>
        <v>64.333333333333329</v>
      </c>
      <c r="I785" s="4">
        <f t="shared" si="77"/>
        <v>1.0209245719194973E-2</v>
      </c>
      <c r="J785" s="10">
        <f t="shared" si="79"/>
        <v>4.3333299632776337E-2</v>
      </c>
      <c r="K785" s="24">
        <f t="shared" si="80"/>
        <v>64</v>
      </c>
      <c r="L785" s="19">
        <f t="shared" si="81"/>
        <v>2.5931444160832586</v>
      </c>
      <c r="M785" s="19">
        <f t="shared" si="82"/>
        <v>5.2020511563134112E-5</v>
      </c>
    </row>
    <row r="786" spans="7:13">
      <c r="G786" s="3">
        <v>773</v>
      </c>
      <c r="H786" s="5">
        <f t="shared" si="78"/>
        <v>64.416666666666671</v>
      </c>
      <c r="I786" s="4">
        <f t="shared" si="77"/>
        <v>9.7621488443348139E-3</v>
      </c>
      <c r="J786" s="10">
        <f t="shared" si="79"/>
        <v>4.3157470754732349E-2</v>
      </c>
      <c r="K786" s="24">
        <f t="shared" si="80"/>
        <v>64</v>
      </c>
      <c r="L786" s="19">
        <f t="shared" si="81"/>
        <v>2.5931444160832586</v>
      </c>
      <c r="M786" s="19">
        <f t="shared" si="82"/>
        <v>5.0036200381982823E-5</v>
      </c>
    </row>
    <row r="787" spans="7:13">
      <c r="G787" s="3">
        <v>774</v>
      </c>
      <c r="H787" s="5">
        <f t="shared" si="78"/>
        <v>64.5</v>
      </c>
      <c r="I787" s="4">
        <f t="shared" si="77"/>
        <v>9.3305425489121959E-3</v>
      </c>
      <c r="J787" s="10">
        <f t="shared" si="79"/>
        <v>4.2982355318651418E-2</v>
      </c>
      <c r="K787" s="24">
        <f t="shared" si="80"/>
        <v>64</v>
      </c>
      <c r="L787" s="19">
        <f t="shared" si="81"/>
        <v>2.5931444160832586</v>
      </c>
      <c r="M787" s="19">
        <f t="shared" si="82"/>
        <v>4.8106602326274486E-5</v>
      </c>
    </row>
    <row r="788" spans="7:13">
      <c r="G788" s="3">
        <v>775</v>
      </c>
      <c r="H788" s="5">
        <f t="shared" si="78"/>
        <v>64.583333333333329</v>
      </c>
      <c r="I788" s="4">
        <f t="shared" si="77"/>
        <v>8.9140735196035024E-3</v>
      </c>
      <c r="J788" s="10">
        <f t="shared" si="79"/>
        <v>4.2807950429676653E-2</v>
      </c>
      <c r="K788" s="24">
        <f t="shared" si="80"/>
        <v>64</v>
      </c>
      <c r="L788" s="19">
        <f t="shared" si="81"/>
        <v>2.5931444160832586</v>
      </c>
      <c r="M788" s="19">
        <f t="shared" si="82"/>
        <v>4.6231059839364968E-5</v>
      </c>
    </row>
    <row r="789" spans="7:13">
      <c r="G789" s="3">
        <v>776</v>
      </c>
      <c r="H789" s="5">
        <f t="shared" si="78"/>
        <v>64.666666666666671</v>
      </c>
      <c r="I789" s="4">
        <f t="shared" si="77"/>
        <v>8.5123894740405538E-3</v>
      </c>
      <c r="J789" s="10">
        <f t="shared" si="79"/>
        <v>4.2634253204697284E-2</v>
      </c>
      <c r="K789" s="24">
        <f t="shared" si="80"/>
        <v>64</v>
      </c>
      <c r="L789" s="19">
        <f t="shared" si="81"/>
        <v>2.5931444160832586</v>
      </c>
      <c r="M789" s="19">
        <f t="shared" si="82"/>
        <v>4.4408892900112591E-5</v>
      </c>
    </row>
    <row r="790" spans="7:13">
      <c r="G790" s="3">
        <v>777</v>
      </c>
      <c r="H790" s="5">
        <f t="shared" si="78"/>
        <v>64.75</v>
      </c>
      <c r="I790" s="4">
        <f t="shared" si="77"/>
        <v>8.1251394122001629E-3</v>
      </c>
      <c r="J790" s="10">
        <f t="shared" si="79"/>
        <v>4.2461260772301175E-2</v>
      </c>
      <c r="K790" s="24">
        <f t="shared" si="80"/>
        <v>64</v>
      </c>
      <c r="L790" s="19">
        <f t="shared" si="81"/>
        <v>2.5931444160832586</v>
      </c>
      <c r="M790" s="19">
        <f t="shared" si="82"/>
        <v>4.2639400006539898E-5</v>
      </c>
    </row>
    <row r="791" spans="7:13">
      <c r="G791" s="3">
        <v>778</v>
      </c>
      <c r="H791" s="5">
        <f t="shared" si="78"/>
        <v>64.833333333333329</v>
      </c>
      <c r="I791" s="4">
        <f t="shared" si="77"/>
        <v>7.751973863339201E-3</v>
      </c>
      <c r="J791" s="10">
        <f t="shared" si="79"/>
        <v>4.2288970272727065E-2</v>
      </c>
      <c r="K791" s="24">
        <f t="shared" si="80"/>
        <v>64</v>
      </c>
      <c r="L791" s="19">
        <f t="shared" si="81"/>
        <v>2.5931444160832586</v>
      </c>
      <c r="M791" s="19">
        <f t="shared" si="82"/>
        <v>4.09218591785291E-5</v>
      </c>
    </row>
    <row r="792" spans="7:13">
      <c r="G792" s="3">
        <v>779</v>
      </c>
      <c r="H792" s="5">
        <f t="shared" si="78"/>
        <v>64.916666666666671</v>
      </c>
      <c r="I792" s="4">
        <f t="shared" si="77"/>
        <v>7.3925451281483777E-3</v>
      </c>
      <c r="J792" s="10">
        <f t="shared" si="79"/>
        <v>4.2117378857817481E-2</v>
      </c>
      <c r="K792" s="24">
        <f t="shared" si="80"/>
        <v>64</v>
      </c>
      <c r="L792" s="19">
        <f t="shared" si="81"/>
        <v>2.5931444160832586</v>
      </c>
      <c r="M792" s="19">
        <f t="shared" si="82"/>
        <v>3.925552897780463E-5</v>
      </c>
    </row>
    <row r="793" spans="7:13">
      <c r="G793" s="3">
        <v>780</v>
      </c>
      <c r="H793" s="5">
        <f t="shared" si="78"/>
        <v>65</v>
      </c>
      <c r="I793" s="4">
        <f t="shared" si="77"/>
        <v>7.0465075158070104E-3</v>
      </c>
      <c r="J793" s="10">
        <f t="shared" si="79"/>
        <v>4.1946483690971779E-2</v>
      </c>
      <c r="K793" s="24">
        <f t="shared" si="80"/>
        <v>65</v>
      </c>
      <c r="L793" s="19">
        <f t="shared" si="81"/>
        <v>2.6320415823245074</v>
      </c>
      <c r="M793" s="19">
        <f t="shared" si="82"/>
        <v>3.7639649543433075E-5</v>
      </c>
    </row>
    <row r="794" spans="7:13">
      <c r="G794" s="3">
        <v>781</v>
      </c>
      <c r="H794" s="5">
        <f t="shared" si="78"/>
        <v>65.083333333333329</v>
      </c>
      <c r="I794" s="4">
        <f t="shared" si="77"/>
        <v>6.7135175756310641E-3</v>
      </c>
      <c r="J794" s="10">
        <f t="shared" si="79"/>
        <v>4.1776281947098634E-2</v>
      </c>
      <c r="K794" s="24">
        <f t="shared" si="80"/>
        <v>65</v>
      </c>
      <c r="L794" s="19">
        <f t="shared" si="81"/>
        <v>2.6320415823245074</v>
      </c>
      <c r="M794" s="19">
        <f t="shared" si="82"/>
        <v>3.6614545295631632E-5</v>
      </c>
    </row>
    <row r="795" spans="7:13">
      <c r="G795" s="3">
        <v>782</v>
      </c>
      <c r="H795" s="5">
        <f t="shared" si="78"/>
        <v>65.166666666666671</v>
      </c>
      <c r="I795" s="4">
        <f t="shared" si="77"/>
        <v>6.3932343230173154E-3</v>
      </c>
      <c r="J795" s="10">
        <f t="shared" si="79"/>
        <v>4.1606770812570304E-2</v>
      </c>
      <c r="K795" s="24">
        <f t="shared" si="80"/>
        <v>65</v>
      </c>
      <c r="L795" s="19">
        <f t="shared" si="81"/>
        <v>2.6320415823245074</v>
      </c>
      <c r="M795" s="19">
        <f t="shared" si="82"/>
        <v>3.507445948959955E-5</v>
      </c>
    </row>
    <row r="796" spans="7:13">
      <c r="G796" s="3">
        <v>783</v>
      </c>
      <c r="H796" s="5">
        <f t="shared" si="78"/>
        <v>65.25</v>
      </c>
      <c r="I796" s="4">
        <f t="shared" si="77"/>
        <v>6.0853194593978978E-3</v>
      </c>
      <c r="J796" s="10">
        <f t="shared" si="79"/>
        <v>4.1437947485175396E-2</v>
      </c>
      <c r="K796" s="24">
        <f t="shared" si="80"/>
        <v>65</v>
      </c>
      <c r="L796" s="19">
        <f t="shared" si="81"/>
        <v>2.6320415823245074</v>
      </c>
      <c r="M796" s="19">
        <f t="shared" si="82"/>
        <v>3.3583165948472574E-5</v>
      </c>
    </row>
    <row r="797" spans="7:13">
      <c r="G797" s="3">
        <v>784</v>
      </c>
      <c r="H797" s="5">
        <f t="shared" si="78"/>
        <v>65.333333333333329</v>
      </c>
      <c r="I797" s="4">
        <f t="shared" si="77"/>
        <v>5.7894375859315226E-3</v>
      </c>
      <c r="J797" s="10">
        <f t="shared" si="79"/>
        <v>4.1269809174072698E-2</v>
      </c>
      <c r="K797" s="24">
        <f t="shared" si="80"/>
        <v>65</v>
      </c>
      <c r="L797" s="19">
        <f t="shared" si="81"/>
        <v>2.6320415823245074</v>
      </c>
      <c r="M797" s="19">
        <f t="shared" si="82"/>
        <v>3.2139829377540833E-5</v>
      </c>
    </row>
    <row r="798" spans="7:13">
      <c r="G798" s="3">
        <v>785</v>
      </c>
      <c r="H798" s="5">
        <f t="shared" si="78"/>
        <v>65.416666666666671</v>
      </c>
      <c r="I798" s="4">
        <f t="shared" si="77"/>
        <v>5.5052564106703415E-3</v>
      </c>
      <c r="J798" s="10">
        <f t="shared" si="79"/>
        <v>4.1102353099745109E-2</v>
      </c>
      <c r="K798" s="24">
        <f t="shared" si="80"/>
        <v>65</v>
      </c>
      <c r="L798" s="19">
        <f t="shared" si="81"/>
        <v>2.6320415823245074</v>
      </c>
      <c r="M798" s="19">
        <f t="shared" si="82"/>
        <v>3.0743601208984493E-5</v>
      </c>
    </row>
    <row r="799" spans="7:13">
      <c r="G799" s="3">
        <v>786</v>
      </c>
      <c r="H799" s="5">
        <f t="shared" si="78"/>
        <v>65.5</v>
      </c>
      <c r="I799" s="4">
        <f t="shared" si="77"/>
        <v>5.2324469489547923E-3</v>
      </c>
      <c r="J799" s="10">
        <f t="shared" si="79"/>
        <v>4.0935576493953726E-2</v>
      </c>
      <c r="K799" s="24">
        <f t="shared" si="80"/>
        <v>65</v>
      </c>
      <c r="L799" s="19">
        <f t="shared" si="81"/>
        <v>2.6320415823245074</v>
      </c>
      <c r="M799" s="19">
        <f t="shared" si="82"/>
        <v>2.9393620707778353E-5</v>
      </c>
    </row>
    <row r="800" spans="7:13">
      <c r="G800" s="3">
        <v>787</v>
      </c>
      <c r="H800" s="5">
        <f t="shared" si="78"/>
        <v>65.583333333333329</v>
      </c>
      <c r="I800" s="4">
        <f t="shared" si="77"/>
        <v>4.9706837168026598E-3</v>
      </c>
      <c r="J800" s="10">
        <f t="shared" si="79"/>
        <v>4.0769476599692045E-2</v>
      </c>
      <c r="K800" s="24">
        <f t="shared" si="80"/>
        <v>65</v>
      </c>
      <c r="L800" s="19">
        <f t="shared" si="81"/>
        <v>2.6320415823245074</v>
      </c>
      <c r="M800" s="19">
        <f t="shared" si="82"/>
        <v>2.8089016079962968E-5</v>
      </c>
    </row>
    <row r="801" spans="7:13">
      <c r="G801" s="3">
        <v>788</v>
      </c>
      <c r="H801" s="5">
        <f t="shared" si="78"/>
        <v>65.666666666666671</v>
      </c>
      <c r="I801" s="4">
        <f t="shared" si="77"/>
        <v>4.7196449170730853E-3</v>
      </c>
      <c r="J801" s="10">
        <f t="shared" si="79"/>
        <v>4.0604050671140285E-2</v>
      </c>
      <c r="K801" s="24">
        <f t="shared" si="80"/>
        <v>65</v>
      </c>
      <c r="L801" s="19">
        <f t="shared" si="81"/>
        <v>2.6320415823245074</v>
      </c>
      <c r="M801" s="19">
        <f t="shared" si="82"/>
        <v>2.6828905581320958E-5</v>
      </c>
    </row>
    <row r="802" spans="7:13">
      <c r="G802" s="3">
        <v>789</v>
      </c>
      <c r="H802" s="5">
        <f t="shared" si="78"/>
        <v>65.75</v>
      </c>
      <c r="I802" s="4">
        <f t="shared" si="77"/>
        <v>4.4790126182012672E-3</v>
      </c>
      <c r="J802" s="10">
        <f t="shared" si="79"/>
        <v>4.0439295973620157E-2</v>
      </c>
      <c r="K802" s="24">
        <f t="shared" si="80"/>
        <v>65</v>
      </c>
      <c r="L802" s="19">
        <f t="shared" si="81"/>
        <v>2.6320415823245074</v>
      </c>
      <c r="M802" s="19">
        <f t="shared" si="82"/>
        <v>2.5612398624501851E-5</v>
      </c>
    </row>
    <row r="803" spans="7:13">
      <c r="G803" s="3">
        <v>790</v>
      </c>
      <c r="H803" s="5">
        <f t="shared" si="78"/>
        <v>65.833333333333329</v>
      </c>
      <c r="I803" s="4">
        <f t="shared" si="77"/>
        <v>4.2484729253151055E-3</v>
      </c>
      <c r="J803" s="10">
        <f t="shared" si="79"/>
        <v>4.0275209783549586E-2</v>
      </c>
      <c r="K803" s="24">
        <f t="shared" si="80"/>
        <v>65</v>
      </c>
      <c r="L803" s="19">
        <f t="shared" si="81"/>
        <v>2.6320415823245074</v>
      </c>
      <c r="M803" s="19">
        <f t="shared" si="82"/>
        <v>2.4438596882644685E-5</v>
      </c>
    </row>
    <row r="804" spans="7:13">
      <c r="G804" s="3">
        <v>791</v>
      </c>
      <c r="H804" s="5">
        <f t="shared" si="78"/>
        <v>65.916666666666671</v>
      </c>
      <c r="I804" s="4">
        <f t="shared" si="77"/>
        <v>4.0277161435609615E-3</v>
      </c>
      <c r="J804" s="10">
        <f t="shared" si="79"/>
        <v>4.0111789388397615E-2</v>
      </c>
      <c r="K804" s="24">
        <f t="shared" si="80"/>
        <v>65</v>
      </c>
      <c r="L804" s="19">
        <f t="shared" si="81"/>
        <v>2.6320415823245074</v>
      </c>
      <c r="M804" s="19">
        <f t="shared" si="82"/>
        <v>2.3306595387565103E-5</v>
      </c>
    </row>
    <row r="805" spans="7:13">
      <c r="G805" s="3">
        <v>792</v>
      </c>
      <c r="H805" s="5">
        <f t="shared" si="78"/>
        <v>66</v>
      </c>
      <c r="I805" s="4">
        <f t="shared" si="77"/>
        <v>3.8164369334820658E-3</v>
      </c>
      <c r="J805" s="10">
        <f t="shared" si="79"/>
        <v>3.9949032086639788E-2</v>
      </c>
      <c r="K805" s="24">
        <f t="shared" si="80"/>
        <v>66</v>
      </c>
      <c r="L805" s="19">
        <f t="shared" si="81"/>
        <v>2.6715222060593744</v>
      </c>
      <c r="M805" s="19">
        <f t="shared" si="82"/>
        <v>2.2215483620587655E-5</v>
      </c>
    </row>
    <row r="806" spans="7:13">
      <c r="G806" s="3">
        <v>793</v>
      </c>
      <c r="H806" s="5">
        <f t="shared" si="78"/>
        <v>66.083333333333329</v>
      </c>
      <c r="I806" s="4">
        <f t="shared" si="77"/>
        <v>3.6143344583098149E-3</v>
      </c>
      <c r="J806" s="10">
        <f t="shared" si="79"/>
        <v>3.9786935187712973E-2</v>
      </c>
      <c r="K806" s="24">
        <f t="shared" si="80"/>
        <v>66</v>
      </c>
      <c r="L806" s="19">
        <f t="shared" si="81"/>
        <v>2.6715222060593744</v>
      </c>
      <c r="M806" s="19">
        <f t="shared" si="82"/>
        <v>2.1481811793039589E-5</v>
      </c>
    </row>
    <row r="807" spans="7:13">
      <c r="G807" s="3">
        <v>794</v>
      </c>
      <c r="H807" s="5">
        <f t="shared" si="78"/>
        <v>66.166666666666671</v>
      </c>
      <c r="I807" s="4">
        <f t="shared" si="77"/>
        <v>3.4211125230451866E-3</v>
      </c>
      <c r="J807" s="10">
        <f t="shared" si="79"/>
        <v>3.9625496011971739E-2</v>
      </c>
      <c r="K807" s="24">
        <f t="shared" si="80"/>
        <v>66</v>
      </c>
      <c r="L807" s="19">
        <f t="shared" si="81"/>
        <v>2.6715222060593744</v>
      </c>
      <c r="M807" s="19">
        <f t="shared" si="82"/>
        <v>2.0454549910993282E-5</v>
      </c>
    </row>
    <row r="808" spans="7:13">
      <c r="G808" s="3">
        <v>795</v>
      </c>
      <c r="H808" s="5">
        <f t="shared" si="78"/>
        <v>66.25</v>
      </c>
      <c r="I808" s="4">
        <f t="shared" ref="I808:I871" si="83">I807*(B$9^(1/12))*B$8^((B$5^(B$7+H807))*((B$5^(1/12)-1)))</f>
        <v>3.2364797052247957E-3</v>
      </c>
      <c r="J808" s="10">
        <f t="shared" si="79"/>
        <v>3.9464711890643246E-2</v>
      </c>
      <c r="K808" s="24">
        <f t="shared" si="80"/>
        <v>66</v>
      </c>
      <c r="L808" s="19">
        <f t="shared" si="81"/>
        <v>2.6715222060593744</v>
      </c>
      <c r="M808" s="19">
        <f t="shared" si="82"/>
        <v>1.9465995690911174E-5</v>
      </c>
    </row>
    <row r="809" spans="7:13">
      <c r="G809" s="3">
        <v>796</v>
      </c>
      <c r="H809" s="5">
        <f t="shared" si="78"/>
        <v>66.333333333333329</v>
      </c>
      <c r="I809" s="4">
        <f t="shared" si="83"/>
        <v>3.060149477283601E-3</v>
      </c>
      <c r="J809" s="10">
        <f t="shared" si="79"/>
        <v>3.9304580165783511E-2</v>
      </c>
      <c r="K809" s="24">
        <f t="shared" si="80"/>
        <v>66</v>
      </c>
      <c r="L809" s="19">
        <f t="shared" si="81"/>
        <v>2.6715222060593744</v>
      </c>
      <c r="M809" s="19">
        <f t="shared" si="82"/>
        <v>1.8515213277338598E-5</v>
      </c>
    </row>
    <row r="810" spans="7:13">
      <c r="G810" s="3">
        <v>797</v>
      </c>
      <c r="H810" s="5">
        <f t="shared" si="78"/>
        <v>66.416666666666671</v>
      </c>
      <c r="I810" s="4">
        <f t="shared" si="83"/>
        <v>2.8918403204439133E-3</v>
      </c>
      <c r="J810" s="10">
        <f t="shared" si="79"/>
        <v>3.9145098190233429E-2</v>
      </c>
      <c r="K810" s="24">
        <f t="shared" si="80"/>
        <v>66</v>
      </c>
      <c r="L810" s="19">
        <f t="shared" si="81"/>
        <v>2.6715222060593744</v>
      </c>
      <c r="M810" s="19">
        <f t="shared" si="82"/>
        <v>1.7601266538899594E-5</v>
      </c>
    </row>
    <row r="811" spans="7:13">
      <c r="G811" s="3">
        <v>798</v>
      </c>
      <c r="H811" s="5">
        <f t="shared" si="78"/>
        <v>66.5</v>
      </c>
      <c r="I811" s="4">
        <f t="shared" si="83"/>
        <v>2.7312758300781234E-3</v>
      </c>
      <c r="J811" s="10">
        <f t="shared" si="79"/>
        <v>3.8986263327574988E-2</v>
      </c>
      <c r="K811" s="24">
        <f t="shared" si="80"/>
        <v>66</v>
      </c>
      <c r="L811" s="19">
        <f t="shared" si="81"/>
        <v>2.6715222060593744</v>
      </c>
      <c r="M811" s="19">
        <f t="shared" si="82"/>
        <v>1.6723220091519526E-5</v>
      </c>
    </row>
    <row r="812" spans="7:13">
      <c r="G812" s="3">
        <v>799</v>
      </c>
      <c r="H812" s="5">
        <f t="shared" si="78"/>
        <v>66.583333333333329</v>
      </c>
      <c r="I812" s="4">
        <f t="shared" si="83"/>
        <v>2.5781848125103995E-3</v>
      </c>
      <c r="J812" s="10">
        <f t="shared" si="79"/>
        <v>3.882807295208765E-2</v>
      </c>
      <c r="K812" s="24">
        <f t="shared" si="80"/>
        <v>66</v>
      </c>
      <c r="L812" s="19">
        <f t="shared" si="81"/>
        <v>2.6715222060593744</v>
      </c>
      <c r="M812" s="19">
        <f t="shared" si="82"/>
        <v>1.5880140301509367E-5</v>
      </c>
    </row>
    <row r="813" spans="7:13">
      <c r="G813" s="3">
        <v>800</v>
      </c>
      <c r="H813" s="5">
        <f t="shared" si="78"/>
        <v>66.666666666666671</v>
      </c>
      <c r="I813" s="4">
        <f t="shared" si="83"/>
        <v>2.4323013732404117E-3</v>
      </c>
      <c r="J813" s="10">
        <f t="shared" si="79"/>
        <v>3.8670524448705022E-2</v>
      </c>
      <c r="K813" s="24">
        <f t="shared" si="80"/>
        <v>66</v>
      </c>
      <c r="L813" s="19">
        <f t="shared" si="81"/>
        <v>2.6715222060593744</v>
      </c>
      <c r="M813" s="19">
        <f t="shared" si="82"/>
        <v>1.5071096266898656E-5</v>
      </c>
    </row>
    <row r="814" spans="7:13">
      <c r="G814" s="3">
        <v>801</v>
      </c>
      <c r="H814" s="5">
        <f t="shared" si="78"/>
        <v>66.75</v>
      </c>
      <c r="I814" s="4">
        <f t="shared" si="83"/>
        <v>2.293364996589949E-3</v>
      </c>
      <c r="J814" s="10">
        <f t="shared" si="79"/>
        <v>3.8513615212971593E-2</v>
      </c>
      <c r="K814" s="24">
        <f t="shared" si="80"/>
        <v>66</v>
      </c>
      <c r="L814" s="19">
        <f t="shared" si="81"/>
        <v>2.6715222060593744</v>
      </c>
      <c r="M814" s="19">
        <f t="shared" si="82"/>
        <v>1.4295160775462272E-5</v>
      </c>
    </row>
    <row r="815" spans="7:13">
      <c r="G815" s="3">
        <v>802</v>
      </c>
      <c r="H815" s="5">
        <f t="shared" si="78"/>
        <v>66.833333333333329</v>
      </c>
      <c r="I815" s="4">
        <f t="shared" si="83"/>
        <v>2.1611206167909559E-3</v>
      </c>
      <c r="J815" s="10">
        <f t="shared" si="79"/>
        <v>3.8357342650999618E-2</v>
      </c>
      <c r="K815" s="24">
        <f t="shared" si="80"/>
        <v>66</v>
      </c>
      <c r="L815" s="19">
        <f t="shared" si="81"/>
        <v>2.6715222060593744</v>
      </c>
      <c r="M815" s="19">
        <f t="shared" si="82"/>
        <v>1.355141123795773E-5</v>
      </c>
    </row>
    <row r="816" spans="7:13">
      <c r="G816" s="3">
        <v>803</v>
      </c>
      <c r="H816" s="5">
        <f t="shared" si="78"/>
        <v>66.916666666666671</v>
      </c>
      <c r="I816" s="4">
        <f t="shared" si="83"/>
        <v>2.035318680551059E-3</v>
      </c>
      <c r="J816" s="10">
        <f t="shared" si="79"/>
        <v>3.8201704179426296E-2</v>
      </c>
      <c r="K816" s="24">
        <f t="shared" si="80"/>
        <v>66</v>
      </c>
      <c r="L816" s="19">
        <f t="shared" si="81"/>
        <v>2.6715222060593744</v>
      </c>
      <c r="M816" s="19">
        <f t="shared" si="82"/>
        <v>1.2838930595157054E-5</v>
      </c>
    </row>
    <row r="817" spans="7:13">
      <c r="G817" s="3">
        <v>804</v>
      </c>
      <c r="H817" s="5">
        <f t="shared" si="78"/>
        <v>67</v>
      </c>
      <c r="I817" s="4">
        <f t="shared" si="83"/>
        <v>1.9157152011499744E-3</v>
      </c>
      <c r="J817" s="10">
        <f t="shared" si="79"/>
        <v>3.8046697225371226E-2</v>
      </c>
      <c r="K817" s="24">
        <f t="shared" si="80"/>
        <v>67</v>
      </c>
      <c r="L817" s="19">
        <f t="shared" si="81"/>
        <v>2.7115950391502648</v>
      </c>
      <c r="M817" s="19">
        <f t="shared" si="82"/>
        <v>1.2156808197334222E-5</v>
      </c>
    </row>
    <row r="818" spans="7:13">
      <c r="G818" s="3">
        <v>805</v>
      </c>
      <c r="H818" s="5">
        <f t="shared" si="78"/>
        <v>67.083333333333329</v>
      </c>
      <c r="I818" s="4">
        <f t="shared" si="83"/>
        <v>1.8020718041372502E-3</v>
      </c>
      <c r="J818" s="10">
        <f t="shared" si="79"/>
        <v>3.7892319226393321E-2</v>
      </c>
      <c r="K818" s="24">
        <f t="shared" si="80"/>
        <v>67</v>
      </c>
      <c r="L818" s="19">
        <f t="shared" si="81"/>
        <v>2.7115950391502648</v>
      </c>
      <c r="M818" s="19">
        <f t="shared" si="82"/>
        <v>1.1676702764770176E-5</v>
      </c>
    </row>
    <row r="819" spans="7:13">
      <c r="G819" s="3">
        <v>806</v>
      </c>
      <c r="H819" s="5">
        <f t="shared" si="78"/>
        <v>67.166666666666671</v>
      </c>
      <c r="I819" s="4">
        <f t="shared" si="83"/>
        <v>1.6941557647185616E-3</v>
      </c>
      <c r="J819" s="10">
        <f t="shared" si="79"/>
        <v>3.773856763044927E-2</v>
      </c>
      <c r="K819" s="24">
        <f t="shared" si="80"/>
        <v>67</v>
      </c>
      <c r="L819" s="19">
        <f t="shared" si="81"/>
        <v>2.7115950391502648</v>
      </c>
      <c r="M819" s="19">
        <f t="shared" si="82"/>
        <v>1.1043233149216327E-5</v>
      </c>
    </row>
    <row r="820" spans="7:13">
      <c r="G820" s="3">
        <v>807</v>
      </c>
      <c r="H820" s="5">
        <f t="shared" si="78"/>
        <v>67.25</v>
      </c>
      <c r="I820" s="4">
        <f t="shared" si="83"/>
        <v>1.591740036934162E-3</v>
      </c>
      <c r="J820" s="10">
        <f t="shared" si="79"/>
        <v>3.7585439895850711E-2</v>
      </c>
      <c r="K820" s="24">
        <f t="shared" si="80"/>
        <v>67</v>
      </c>
      <c r="L820" s="19">
        <f t="shared" si="81"/>
        <v>2.7115950391502648</v>
      </c>
      <c r="M820" s="19">
        <f t="shared" si="82"/>
        <v>1.0437851738883704E-5</v>
      </c>
    </row>
    <row r="821" spans="7:13">
      <c r="G821" s="3">
        <v>808</v>
      </c>
      <c r="H821" s="5">
        <f t="shared" si="78"/>
        <v>67.333333333333329</v>
      </c>
      <c r="I821" s="4">
        <f t="shared" si="83"/>
        <v>1.494603274749088E-3</v>
      </c>
      <c r="J821" s="10">
        <f t="shared" si="79"/>
        <v>3.7432933491222405E-2</v>
      </c>
      <c r="K821" s="24">
        <f t="shared" si="80"/>
        <v>67</v>
      </c>
      <c r="L821" s="19">
        <f t="shared" si="81"/>
        <v>2.7115950391502648</v>
      </c>
      <c r="M821" s="19">
        <f t="shared" si="82"/>
        <v>9.8596685714544987E-6</v>
      </c>
    </row>
    <row r="822" spans="7:13">
      <c r="G822" s="3">
        <v>809</v>
      </c>
      <c r="H822" s="5">
        <f t="shared" si="78"/>
        <v>67.416666666666671</v>
      </c>
      <c r="I822" s="4">
        <f t="shared" si="83"/>
        <v>1.4025298451902334E-3</v>
      </c>
      <c r="J822" s="10">
        <f t="shared" si="79"/>
        <v>3.7281045895460399E-2</v>
      </c>
      <c r="K822" s="24">
        <f t="shared" si="80"/>
        <v>67</v>
      </c>
      <c r="L822" s="19">
        <f t="shared" si="81"/>
        <v>2.7115950391502648</v>
      </c>
      <c r="M822" s="19">
        <f t="shared" si="82"/>
        <v>9.3078041924220384E-6</v>
      </c>
    </row>
    <row r="823" spans="7:13">
      <c r="G823" s="3">
        <v>810</v>
      </c>
      <c r="H823" s="5">
        <f t="shared" si="78"/>
        <v>67.5</v>
      </c>
      <c r="I823" s="4">
        <f t="shared" si="83"/>
        <v>1.3153098336804317E-3</v>
      </c>
      <c r="J823" s="10">
        <f t="shared" si="79"/>
        <v>3.7129774597690457E-2</v>
      </c>
      <c r="K823" s="24">
        <f t="shared" si="80"/>
        <v>67</v>
      </c>
      <c r="L823" s="19">
        <f t="shared" si="81"/>
        <v>2.7115950391502648</v>
      </c>
      <c r="M823" s="19">
        <f t="shared" si="82"/>
        <v>8.7813903561264337E-6</v>
      </c>
    </row>
    <row r="824" spans="7:13">
      <c r="G824" s="3">
        <v>811</v>
      </c>
      <c r="H824" s="5">
        <f t="shared" si="78"/>
        <v>67.583333333333329</v>
      </c>
      <c r="I824" s="4">
        <f t="shared" si="83"/>
        <v>1.2327390417341572E-3</v>
      </c>
      <c r="J824" s="10">
        <f t="shared" si="79"/>
        <v>3.6979117097226344E-2</v>
      </c>
      <c r="K824" s="24">
        <f t="shared" si="80"/>
        <v>67</v>
      </c>
      <c r="L824" s="19">
        <f t="shared" si="81"/>
        <v>2.7115950391502648</v>
      </c>
      <c r="M824" s="19">
        <f t="shared" si="82"/>
        <v>8.2795706917013272E-6</v>
      </c>
    </row>
    <row r="825" spans="7:13">
      <c r="G825" s="3">
        <v>812</v>
      </c>
      <c r="H825" s="5">
        <f t="shared" si="78"/>
        <v>67.666666666666671</v>
      </c>
      <c r="I825" s="4">
        <f t="shared" si="83"/>
        <v>1.1546189771933218E-3</v>
      </c>
      <c r="J825" s="10">
        <f t="shared" si="79"/>
        <v>3.6829070903528584E-2</v>
      </c>
      <c r="K825" s="24">
        <f t="shared" si="80"/>
        <v>67</v>
      </c>
      <c r="L825" s="19">
        <f t="shared" si="81"/>
        <v>2.7115950391502648</v>
      </c>
      <c r="M825" s="19">
        <f t="shared" si="82"/>
        <v>7.8015013332841739E-6</v>
      </c>
    </row>
    <row r="826" spans="7:13">
      <c r="G826" s="3">
        <v>813</v>
      </c>
      <c r="H826" s="5">
        <f t="shared" si="78"/>
        <v>67.75</v>
      </c>
      <c r="I826" s="4">
        <f t="shared" si="83"/>
        <v>1.0807568371948983E-3</v>
      </c>
      <c r="J826" s="10">
        <f t="shared" si="79"/>
        <v>3.6679633536163408E-2</v>
      </c>
      <c r="K826" s="24">
        <f t="shared" si="80"/>
        <v>67</v>
      </c>
      <c r="L826" s="19">
        <f t="shared" si="81"/>
        <v>2.7115950391502648</v>
      </c>
      <c r="M826" s="19">
        <f t="shared" si="82"/>
        <v>7.3463515139385348E-6</v>
      </c>
    </row>
    <row r="827" spans="7:13">
      <c r="G827" s="3">
        <v>814</v>
      </c>
      <c r="H827" s="5">
        <f t="shared" si="78"/>
        <v>67.833333333333329</v>
      </c>
      <c r="I827" s="4">
        <f t="shared" si="83"/>
        <v>1.0109654840746555E-3</v>
      </c>
      <c r="J827" s="10">
        <f t="shared" si="79"/>
        <v>3.6530802524761527E-2</v>
      </c>
      <c r="K827" s="24">
        <f t="shared" si="80"/>
        <v>67</v>
      </c>
      <c r="L827" s="19">
        <f t="shared" si="81"/>
        <v>2.7115950391502648</v>
      </c>
      <c r="M827" s="19">
        <f t="shared" si="82"/>
        <v>6.9133041228370039E-6</v>
      </c>
    </row>
    <row r="828" spans="7:13">
      <c r="G828" s="3">
        <v>815</v>
      </c>
      <c r="H828" s="5">
        <f t="shared" si="78"/>
        <v>67.916666666666671</v>
      </c>
      <c r="I828" s="4">
        <f t="shared" si="83"/>
        <v>9.4506341442315877E-4</v>
      </c>
      <c r="J828" s="10">
        <f t="shared" si="79"/>
        <v>3.6382575408977415E-2</v>
      </c>
      <c r="K828" s="24">
        <f t="shared" si="80"/>
        <v>67</v>
      </c>
      <c r="L828" s="19">
        <f t="shared" si="81"/>
        <v>2.7115950391502648</v>
      </c>
      <c r="M828" s="19">
        <f t="shared" si="82"/>
        <v>6.5015562253507551E-6</v>
      </c>
    </row>
    <row r="829" spans="7:13">
      <c r="G829" s="3">
        <v>816</v>
      </c>
      <c r="H829" s="5">
        <f t="shared" si="78"/>
        <v>68</v>
      </c>
      <c r="I829" s="4">
        <f t="shared" si="83"/>
        <v>8.8287472152129851E-4</v>
      </c>
      <c r="J829" s="10">
        <f t="shared" si="79"/>
        <v>3.6234949738448791E-2</v>
      </c>
      <c r="K829" s="24">
        <f t="shared" si="80"/>
        <v>68</v>
      </c>
      <c r="L829" s="19">
        <f t="shared" si="81"/>
        <v>2.7522689647375183</v>
      </c>
      <c r="M829" s="19">
        <f t="shared" si="82"/>
        <v>6.1103195457916885E-6</v>
      </c>
    </row>
    <row r="830" spans="7:13">
      <c r="G830" s="3">
        <v>817</v>
      </c>
      <c r="H830" s="5">
        <f t="shared" si="78"/>
        <v>68.083333333333329</v>
      </c>
      <c r="I830" s="4">
        <f t="shared" si="83"/>
        <v>8.2422905139296226E-4</v>
      </c>
      <c r="J830" s="10">
        <f t="shared" si="79"/>
        <v>3.6087923072755539E-2</v>
      </c>
      <c r="K830" s="24">
        <f t="shared" si="80"/>
        <v>68</v>
      </c>
      <c r="L830" s="19">
        <f t="shared" si="81"/>
        <v>2.7522689647375183</v>
      </c>
      <c r="M830" s="19">
        <f t="shared" si="82"/>
        <v>5.8249032263403865E-6</v>
      </c>
    </row>
    <row r="831" spans="7:13">
      <c r="G831" s="3">
        <v>818</v>
      </c>
      <c r="H831" s="5">
        <f t="shared" si="78"/>
        <v>68.166666666666671</v>
      </c>
      <c r="I831" s="4">
        <f t="shared" si="83"/>
        <v>7.6896155272199803E-4</v>
      </c>
      <c r="J831" s="10">
        <f t="shared" si="79"/>
        <v>3.5941492981380246E-2</v>
      </c>
      <c r="K831" s="24">
        <f t="shared" si="80"/>
        <v>68</v>
      </c>
      <c r="L831" s="19">
        <f t="shared" si="81"/>
        <v>2.7522689647375183</v>
      </c>
      <c r="M831" s="19">
        <f t="shared" si="82"/>
        <v>5.4670972062691692E-6</v>
      </c>
    </row>
    <row r="832" spans="7:13">
      <c r="G832" s="3">
        <v>819</v>
      </c>
      <c r="H832" s="5">
        <f t="shared" si="78"/>
        <v>68.25</v>
      </c>
      <c r="I832" s="4">
        <f t="shared" si="83"/>
        <v>7.1691282088934868E-4</v>
      </c>
      <c r="J832" s="10">
        <f t="shared" si="79"/>
        <v>3.5795657043667335E-2</v>
      </c>
      <c r="K832" s="24">
        <f t="shared" si="80"/>
        <v>68</v>
      </c>
      <c r="L832" s="19">
        <f t="shared" si="81"/>
        <v>2.7522689647375183</v>
      </c>
      <c r="M832" s="19">
        <f t="shared" si="82"/>
        <v>5.127803374459534E-6</v>
      </c>
    </row>
    <row r="833" spans="7:13">
      <c r="G833" s="3">
        <v>820</v>
      </c>
      <c r="H833" s="5">
        <f t="shared" si="78"/>
        <v>68.333333333333329</v>
      </c>
      <c r="I833" s="4">
        <f t="shared" si="83"/>
        <v>6.6792883639410603E-4</v>
      </c>
      <c r="J833" s="10">
        <f t="shared" si="79"/>
        <v>3.5650412848783238E-2</v>
      </c>
      <c r="K833" s="24">
        <f t="shared" si="80"/>
        <v>68</v>
      </c>
      <c r="L833" s="19">
        <f t="shared" si="81"/>
        <v>2.7522689647375183</v>
      </c>
      <c r="M833" s="19">
        <f t="shared" si="82"/>
        <v>4.8062852846082582E-6</v>
      </c>
    </row>
    <row r="834" spans="7:13">
      <c r="G834" s="3">
        <v>821</v>
      </c>
      <c r="H834" s="5">
        <f t="shared" si="78"/>
        <v>68.416666666666671</v>
      </c>
      <c r="I834" s="4">
        <f t="shared" si="83"/>
        <v>6.2186089792924519E-4</v>
      </c>
      <c r="J834" s="10">
        <f t="shared" si="79"/>
        <v>3.5505757995676568E-2</v>
      </c>
      <c r="K834" s="24">
        <f t="shared" si="80"/>
        <v>68</v>
      </c>
      <c r="L834" s="19">
        <f t="shared" si="81"/>
        <v>2.7522689647375183</v>
      </c>
      <c r="M834" s="19">
        <f t="shared" si="82"/>
        <v>4.5018232484599307E-6</v>
      </c>
    </row>
    <row r="835" spans="7:13">
      <c r="G835" s="3">
        <v>822</v>
      </c>
      <c r="H835" s="5">
        <f t="shared" si="78"/>
        <v>68.5</v>
      </c>
      <c r="I835" s="4">
        <f t="shared" si="83"/>
        <v>5.7856555038894196E-4</v>
      </c>
      <c r="J835" s="10">
        <f t="shared" si="79"/>
        <v>3.5361690093038529E-2</v>
      </c>
      <c r="K835" s="24">
        <f t="shared" si="80"/>
        <v>68</v>
      </c>
      <c r="L835" s="19">
        <f t="shared" si="81"/>
        <v>2.7522689647375183</v>
      </c>
      <c r="M835" s="19">
        <f t="shared" si="82"/>
        <v>4.2137145984639206E-6</v>
      </c>
    </row>
    <row r="836" spans="7:13">
      <c r="G836" s="3">
        <v>823</v>
      </c>
      <c r="H836" s="5">
        <f t="shared" si="78"/>
        <v>68.583333333333329</v>
      </c>
      <c r="I836" s="4">
        <f t="shared" si="83"/>
        <v>5.3790450808961928E-4</v>
      </c>
      <c r="J836" s="10">
        <f t="shared" si="79"/>
        <v>3.5218206759263182E-2</v>
      </c>
      <c r="K836" s="24">
        <f t="shared" si="80"/>
        <v>68</v>
      </c>
      <c r="L836" s="19">
        <f t="shared" si="81"/>
        <v>2.7522689647375183</v>
      </c>
      <c r="M836" s="19">
        <f t="shared" si="82"/>
        <v>3.941273913460788E-6</v>
      </c>
    </row>
    <row r="837" spans="7:13">
      <c r="G837" s="3">
        <v>824</v>
      </c>
      <c r="H837" s="5">
        <f t="shared" si="78"/>
        <v>68.666666666666671</v>
      </c>
      <c r="I837" s="4">
        <f t="shared" si="83"/>
        <v>4.9974457349122824E-4</v>
      </c>
      <c r="J837" s="10">
        <f t="shared" si="79"/>
        <v>3.5075305622408175E-2</v>
      </c>
      <c r="K837" s="24">
        <f t="shared" si="80"/>
        <v>68</v>
      </c>
      <c r="L837" s="19">
        <f t="shared" si="81"/>
        <v>2.7522689647375183</v>
      </c>
      <c r="M837" s="19">
        <f t="shared" si="82"/>
        <v>3.6838332079040646E-6</v>
      </c>
    </row>
    <row r="838" spans="7:13">
      <c r="G838" s="3">
        <v>825</v>
      </c>
      <c r="H838" s="5">
        <f t="shared" si="78"/>
        <v>68.75</v>
      </c>
      <c r="I838" s="4">
        <f t="shared" si="83"/>
        <v>4.6395755170872469E-4</v>
      </c>
      <c r="J838" s="10">
        <f t="shared" si="79"/>
        <v>3.4932984320155624E-2</v>
      </c>
      <c r="K838" s="24">
        <f t="shared" si="80"/>
        <v>68</v>
      </c>
      <c r="L838" s="19">
        <f t="shared" si="81"/>
        <v>2.7522689647375183</v>
      </c>
      <c r="M838" s="19">
        <f t="shared" si="82"/>
        <v>3.4407420852094044E-6</v>
      </c>
    </row>
    <row r="839" spans="7:13">
      <c r="G839" s="3">
        <v>826</v>
      </c>
      <c r="H839" s="5">
        <f t="shared" si="78"/>
        <v>68.833333333333329</v>
      </c>
      <c r="I839" s="4">
        <f t="shared" si="83"/>
        <v>4.304201611062633E-4</v>
      </c>
      <c r="J839" s="10">
        <f t="shared" si="79"/>
        <v>3.4791240499772884E-2</v>
      </c>
      <c r="K839" s="24">
        <f t="shared" si="80"/>
        <v>68</v>
      </c>
      <c r="L839" s="19">
        <f t="shared" si="81"/>
        <v>2.7522689647375183</v>
      </c>
      <c r="M839" s="19">
        <f t="shared" si="82"/>
        <v>3.2113678559053192E-6</v>
      </c>
    </row>
    <row r="840" spans="7:13">
      <c r="G840" s="3">
        <v>827</v>
      </c>
      <c r="H840" s="5">
        <f t="shared" si="78"/>
        <v>68.916666666666671</v>
      </c>
      <c r="I840" s="4">
        <f t="shared" si="83"/>
        <v>3.9901394026829772E-4</v>
      </c>
      <c r="J840" s="10">
        <f t="shared" si="79"/>
        <v>3.4650071818073724E-2</v>
      </c>
      <c r="K840" s="24">
        <f t="shared" si="80"/>
        <v>68</v>
      </c>
      <c r="L840" s="19">
        <f t="shared" si="81"/>
        <v>2.7522689647375183</v>
      </c>
      <c r="M840" s="19">
        <f t="shared" si="82"/>
        <v>2.9950956213386878E-6</v>
      </c>
    </row>
    <row r="841" spans="7:13">
      <c r="G841" s="3">
        <v>828</v>
      </c>
      <c r="H841" s="5">
        <f t="shared" si="78"/>
        <v>69</v>
      </c>
      <c r="I841" s="4">
        <f t="shared" si="83"/>
        <v>3.6962515164255479E-4</v>
      </c>
      <c r="J841" s="10">
        <f t="shared" si="79"/>
        <v>3.4509475941379798E-2</v>
      </c>
      <c r="K841" s="24">
        <f t="shared" si="80"/>
        <v>69</v>
      </c>
      <c r="L841" s="19">
        <f t="shared" si="81"/>
        <v>2.7935529992085808</v>
      </c>
      <c r="M841" s="19">
        <f t="shared" si="82"/>
        <v>2.7913283237633522E-6</v>
      </c>
    </row>
    <row r="842" spans="7:13">
      <c r="G842" s="3">
        <v>829</v>
      </c>
      <c r="H842" s="5">
        <f t="shared" si="78"/>
        <v>69.083333333333329</v>
      </c>
      <c r="I842" s="4">
        <f t="shared" si="83"/>
        <v>3.4214468214975596E-4</v>
      </c>
      <c r="J842" s="10">
        <f t="shared" si="79"/>
        <v>3.4369450545481461E-2</v>
      </c>
      <c r="K842" s="24">
        <f t="shared" si="80"/>
        <v>69</v>
      </c>
      <c r="L842" s="19">
        <f t="shared" si="81"/>
        <v>2.7935529992085808</v>
      </c>
      <c r="M842" s="19">
        <f t="shared" si="82"/>
        <v>2.6384790651667016E-6</v>
      </c>
    </row>
    <row r="843" spans="7:13">
      <c r="G843" s="3">
        <v>830</v>
      </c>
      <c r="H843" s="5">
        <f t="shared" si="78"/>
        <v>69.166666666666671</v>
      </c>
      <c r="I843" s="4">
        <f t="shared" si="83"/>
        <v>3.1646794105400075E-4</v>
      </c>
      <c r="J843" s="10">
        <f t="shared" si="79"/>
        <v>3.4229993315600227E-2</v>
      </c>
      <c r="K843" s="24">
        <f t="shared" si="80"/>
        <v>69</v>
      </c>
      <c r="L843" s="19">
        <f t="shared" si="81"/>
        <v>2.7935529992085808</v>
      </c>
      <c r="M843" s="19">
        <f t="shared" si="82"/>
        <v>2.4552947293952364E-6</v>
      </c>
    </row>
    <row r="844" spans="7:13">
      <c r="G844" s="3">
        <v>831</v>
      </c>
      <c r="H844" s="5">
        <f t="shared" si="78"/>
        <v>69.25</v>
      </c>
      <c r="I844" s="4">
        <f t="shared" si="83"/>
        <v>2.9249475538592793E-4</v>
      </c>
      <c r="J844" s="10">
        <f t="shared" si="79"/>
        <v>3.4091101946349837E-2</v>
      </c>
      <c r="K844" s="24">
        <f t="shared" si="80"/>
        <v>69</v>
      </c>
      <c r="L844" s="19">
        <f t="shared" si="81"/>
        <v>2.7935529992085808</v>
      </c>
      <c r="M844" s="19">
        <f t="shared" si="82"/>
        <v>2.2830935311774667E-6</v>
      </c>
    </row>
    <row r="845" spans="7:13">
      <c r="G845" s="3">
        <v>832</v>
      </c>
      <c r="H845" s="5">
        <f t="shared" si="78"/>
        <v>69.333333333333329</v>
      </c>
      <c r="I845" s="4">
        <f t="shared" si="83"/>
        <v>2.7012926320814509E-4</v>
      </c>
      <c r="J845" s="10">
        <f t="shared" si="79"/>
        <v>3.3952774141698318E-2</v>
      </c>
      <c r="K845" s="24">
        <f t="shared" si="80"/>
        <v>69</v>
      </c>
      <c r="L845" s="19">
        <f t="shared" si="81"/>
        <v>2.7935529992085808</v>
      </c>
      <c r="M845" s="19">
        <f t="shared" si="82"/>
        <v>2.1213417503011435E-6</v>
      </c>
    </row>
    <row r="846" spans="7:13">
      <c r="G846" s="3">
        <v>833</v>
      </c>
      <c r="H846" s="5">
        <f t="shared" ref="H846:H909" si="84">G846/12</f>
        <v>69.416666666666671</v>
      </c>
      <c r="I846" s="4">
        <f t="shared" si="83"/>
        <v>2.4927980500899434E-4</v>
      </c>
      <c r="J846" s="10">
        <f t="shared" ref="J846:J909" si="85">(1+B$6)^-H846</f>
        <v>3.3815007614930073E-2</v>
      </c>
      <c r="K846" s="24">
        <f t="shared" ref="K846:K909" si="86">INT(H846+0.000001)</f>
        <v>69</v>
      </c>
      <c r="L846" s="19">
        <f t="shared" ref="L846:L909" si="87">1.015^K846</f>
        <v>2.7935529992085808</v>
      </c>
      <c r="M846" s="19">
        <f t="shared" si="82"/>
        <v>1.9695235516847236E-6</v>
      </c>
    </row>
    <row r="847" spans="7:13">
      <c r="G847" s="3">
        <v>834</v>
      </c>
      <c r="H847" s="5">
        <f t="shared" si="84"/>
        <v>69.5</v>
      </c>
      <c r="I847" s="4">
        <f t="shared" si="83"/>
        <v>2.2985881350652857E-4</v>
      </c>
      <c r="J847" s="10">
        <f t="shared" si="85"/>
        <v>3.3677800088608122E-2</v>
      </c>
      <c r="K847" s="24">
        <f t="shared" si="86"/>
        <v>69</v>
      </c>
      <c r="L847" s="19">
        <f t="shared" si="87"/>
        <v>2.7935529992085808</v>
      </c>
      <c r="M847" s="19">
        <f t="shared" ref="M847:M910" si="88">(I846-I847)*J847*L846</f>
        <v>1.8271408528731936E-6</v>
      </c>
    </row>
    <row r="848" spans="7:13">
      <c r="G848" s="3">
        <v>835</v>
      </c>
      <c r="H848" s="5">
        <f t="shared" si="84"/>
        <v>69.583333333333329</v>
      </c>
      <c r="I848" s="4">
        <f t="shared" si="83"/>
        <v>2.1178270213963491E-4</v>
      </c>
      <c r="J848" s="10">
        <f t="shared" si="85"/>
        <v>3.354114929453636E-2</v>
      </c>
      <c r="K848" s="24">
        <f t="shared" si="86"/>
        <v>69</v>
      </c>
      <c r="L848" s="19">
        <f t="shared" si="87"/>
        <v>2.7935529992085808</v>
      </c>
      <c r="M848" s="19">
        <f t="shared" si="88"/>
        <v>1.6937131650637869E-6</v>
      </c>
    </row>
    <row r="849" spans="7:13">
      <c r="G849" s="3">
        <v>836</v>
      </c>
      <c r="H849" s="5">
        <f t="shared" si="84"/>
        <v>69.666666666666671</v>
      </c>
      <c r="I849" s="4">
        <f t="shared" si="83"/>
        <v>1.9497175251759679E-4</v>
      </c>
      <c r="J849" s="10">
        <f t="shared" si="85"/>
        <v>3.340505297372208E-2</v>
      </c>
      <c r="K849" s="24">
        <f t="shared" si="86"/>
        <v>69</v>
      </c>
      <c r="L849" s="19">
        <f t="shared" si="87"/>
        <v>2.7935529992085808</v>
      </c>
      <c r="M849" s="19">
        <f t="shared" si="88"/>
        <v>1.5687774089490938E-6</v>
      </c>
    </row>
    <row r="850" spans="7:13">
      <c r="G850" s="3">
        <v>837</v>
      </c>
      <c r="H850" s="5">
        <f t="shared" si="84"/>
        <v>69.75</v>
      </c>
      <c r="I850" s="4">
        <f t="shared" si="83"/>
        <v>1.7935000109306547E-4</v>
      </c>
      <c r="J850" s="10">
        <f t="shared" si="85"/>
        <v>3.3269508876338685E-2</v>
      </c>
      <c r="K850" s="24">
        <f t="shared" si="86"/>
        <v>69</v>
      </c>
      <c r="L850" s="19">
        <f t="shared" si="87"/>
        <v>2.7935529992085808</v>
      </c>
      <c r="M850" s="19">
        <f t="shared" si="88"/>
        <v>1.451887706698343E-6</v>
      </c>
    </row>
    <row r="851" spans="7:13">
      <c r="G851" s="3">
        <v>838</v>
      </c>
      <c r="H851" s="5">
        <f t="shared" si="84"/>
        <v>69.833333333333329</v>
      </c>
      <c r="I851" s="4">
        <f t="shared" si="83"/>
        <v>1.6484512531645483E-4</v>
      </c>
      <c r="J851" s="10">
        <f t="shared" si="85"/>
        <v>3.3134514761688452E-2</v>
      </c>
      <c r="K851" s="24">
        <f t="shared" si="86"/>
        <v>69</v>
      </c>
      <c r="L851" s="19">
        <f t="shared" si="87"/>
        <v>2.7935529992085808</v>
      </c>
      <c r="M851" s="19">
        <f t="shared" si="88"/>
        <v>1.34261515142561E-6</v>
      </c>
    </row>
    <row r="852" spans="7:13">
      <c r="G852" s="3">
        <v>839</v>
      </c>
      <c r="H852" s="5">
        <f t="shared" si="84"/>
        <v>69.916666666666671</v>
      </c>
      <c r="I852" s="4">
        <f t="shared" si="83"/>
        <v>1.5138832952221951E-4</v>
      </c>
      <c r="J852" s="10">
        <f t="shared" si="85"/>
        <v>3.3000068398165466E-2</v>
      </c>
      <c r="K852" s="24">
        <f t="shared" si="86"/>
        <v>69</v>
      </c>
      <c r="L852" s="19">
        <f t="shared" si="87"/>
        <v>2.7935529992085808</v>
      </c>
      <c r="M852" s="19">
        <f t="shared" si="88"/>
        <v>1.2405475555163329E-6</v>
      </c>
    </row>
    <row r="853" spans="7:13">
      <c r="G853" s="3">
        <v>840</v>
      </c>
      <c r="H853" s="5">
        <f t="shared" si="84"/>
        <v>70</v>
      </c>
      <c r="I853" s="4">
        <f t="shared" si="83"/>
        <v>1.3891423078936488E-4</v>
      </c>
      <c r="J853" s="10">
        <f t="shared" si="85"/>
        <v>3.2866167563218862E-2</v>
      </c>
      <c r="K853" s="24">
        <f t="shared" si="86"/>
        <v>70</v>
      </c>
      <c r="L853" s="19">
        <f t="shared" si="87"/>
        <v>2.835456294196709</v>
      </c>
      <c r="M853" s="19">
        <f t="shared" si="88"/>
        <v>1.1452891792010324E-6</v>
      </c>
    </row>
    <row r="854" spans="7:13">
      <c r="G854" s="3">
        <v>841</v>
      </c>
      <c r="H854" s="5">
        <f t="shared" si="84"/>
        <v>70.083333333333329</v>
      </c>
      <c r="I854" s="4">
        <f t="shared" si="83"/>
        <v>1.2736074500991568E-4</v>
      </c>
      <c r="J854" s="10">
        <f t="shared" si="85"/>
        <v>3.2732810043315672E-2</v>
      </c>
      <c r="K854" s="24">
        <f t="shared" si="86"/>
        <v>70</v>
      </c>
      <c r="L854" s="19">
        <f t="shared" si="87"/>
        <v>2.835456294196709</v>
      </c>
      <c r="M854" s="19">
        <f t="shared" si="88"/>
        <v>1.0723073473886784E-6</v>
      </c>
    </row>
    <row r="855" spans="7:13">
      <c r="G855" s="3">
        <v>842</v>
      </c>
      <c r="H855" s="5">
        <f t="shared" si="84"/>
        <v>70.166666666666671</v>
      </c>
      <c r="I855" s="4">
        <f t="shared" si="83"/>
        <v>1.1666897338997802E-4</v>
      </c>
      <c r="J855" s="10">
        <f t="shared" si="85"/>
        <v>3.2599993633904992E-2</v>
      </c>
      <c r="K855" s="24">
        <f t="shared" si="86"/>
        <v>70</v>
      </c>
      <c r="L855" s="19">
        <f t="shared" si="87"/>
        <v>2.835456294196709</v>
      </c>
      <c r="M855" s="19">
        <f t="shared" si="88"/>
        <v>9.8830307403436927E-7</v>
      </c>
    </row>
    <row r="856" spans="7:13">
      <c r="G856" s="3">
        <v>843</v>
      </c>
      <c r="H856" s="5">
        <f t="shared" si="84"/>
        <v>70.25</v>
      </c>
      <c r="I856" s="4">
        <f t="shared" si="83"/>
        <v>1.0678308959851541E-4</v>
      </c>
      <c r="J856" s="10">
        <f t="shared" si="85"/>
        <v>3.2467716139380806E-2</v>
      </c>
      <c r="K856" s="24">
        <f t="shared" si="86"/>
        <v>70</v>
      </c>
      <c r="L856" s="19">
        <f t="shared" si="87"/>
        <v>2.835456294196709</v>
      </c>
      <c r="M856" s="19">
        <f t="shared" si="88"/>
        <v>9.101022725364687E-7</v>
      </c>
    </row>
    <row r="857" spans="7:13">
      <c r="G857" s="3">
        <v>844</v>
      </c>
      <c r="H857" s="5">
        <f t="shared" si="84"/>
        <v>70.333333333333329</v>
      </c>
      <c r="I857" s="4">
        <f t="shared" si="83"/>
        <v>9.7650227769070831E-5</v>
      </c>
      <c r="J857" s="10">
        <f t="shared" si="85"/>
        <v>3.2335975373046007E-2</v>
      </c>
      <c r="K857" s="24">
        <f t="shared" si="86"/>
        <v>70</v>
      </c>
      <c r="L857" s="19">
        <f t="shared" si="87"/>
        <v>2.835456294196709</v>
      </c>
      <c r="M857" s="19">
        <f t="shared" si="88"/>
        <v>8.3736693919865056E-7</v>
      </c>
    </row>
    <row r="858" spans="7:13">
      <c r="G858" s="3">
        <v>845</v>
      </c>
      <c r="H858" s="5">
        <f t="shared" si="84"/>
        <v>70.416666666666671</v>
      </c>
      <c r="I858" s="4">
        <f t="shared" si="83"/>
        <v>8.9220371549447042E-5</v>
      </c>
      <c r="J858" s="10">
        <f t="shared" si="85"/>
        <v>3.2204769157076256E-2</v>
      </c>
      <c r="K858" s="24">
        <f t="shared" si="86"/>
        <v>70</v>
      </c>
      <c r="L858" s="19">
        <f t="shared" si="87"/>
        <v>2.835456294196709</v>
      </c>
      <c r="M858" s="19">
        <f t="shared" si="88"/>
        <v>7.6977413656676701E-7</v>
      </c>
    </row>
    <row r="859" spans="7:13">
      <c r="G859" s="3">
        <v>846</v>
      </c>
      <c r="H859" s="5">
        <f t="shared" si="84"/>
        <v>70.5</v>
      </c>
      <c r="I859" s="4">
        <f t="shared" si="83"/>
        <v>8.1446244383859658E-5</v>
      </c>
      <c r="J859" s="10">
        <f t="shared" si="85"/>
        <v>3.2074095322483932E-2</v>
      </c>
      <c r="K859" s="24">
        <f t="shared" si="86"/>
        <v>70</v>
      </c>
      <c r="L859" s="19">
        <f t="shared" si="87"/>
        <v>2.835456294196709</v>
      </c>
      <c r="M859" s="19">
        <f t="shared" si="88"/>
        <v>7.0701562756344293E-7</v>
      </c>
    </row>
    <row r="860" spans="7:13">
      <c r="G860" s="3">
        <v>847</v>
      </c>
      <c r="H860" s="5">
        <f t="shared" si="84"/>
        <v>70.583333333333329</v>
      </c>
      <c r="I860" s="4">
        <f t="shared" si="83"/>
        <v>7.4283201201344885E-5</v>
      </c>
      <c r="J860" s="10">
        <f t="shared" si="85"/>
        <v>3.1943951709082243E-2</v>
      </c>
      <c r="K860" s="24">
        <f t="shared" si="86"/>
        <v>70</v>
      </c>
      <c r="L860" s="19">
        <f t="shared" si="87"/>
        <v>2.835456294196709</v>
      </c>
      <c r="M860" s="19">
        <f t="shared" si="88"/>
        <v>6.4879749949723478E-7</v>
      </c>
    </row>
    <row r="861" spans="7:13">
      <c r="G861" s="3">
        <v>848</v>
      </c>
      <c r="H861" s="5">
        <f t="shared" si="84"/>
        <v>70.666666666666671</v>
      </c>
      <c r="I861" s="4">
        <f t="shared" si="83"/>
        <v>6.7689121673287922E-5</v>
      </c>
      <c r="J861" s="10">
        <f t="shared" si="85"/>
        <v>3.1814336165449597E-2</v>
      </c>
      <c r="K861" s="24">
        <f t="shared" si="86"/>
        <v>70</v>
      </c>
      <c r="L861" s="19">
        <f t="shared" si="87"/>
        <v>2.835456294196709</v>
      </c>
      <c r="M861" s="19">
        <f t="shared" si="88"/>
        <v>5.9483977931300175E-7</v>
      </c>
    </row>
    <row r="862" spans="7:13">
      <c r="G862" s="3">
        <v>849</v>
      </c>
      <c r="H862" s="5">
        <f t="shared" si="84"/>
        <v>70.75</v>
      </c>
      <c r="I862" s="4">
        <f t="shared" si="83"/>
        <v>6.1624305191883746E-5</v>
      </c>
      <c r="J862" s="10">
        <f t="shared" si="85"/>
        <v>3.1685246548893993E-2</v>
      </c>
      <c r="K862" s="24">
        <f t="shared" si="86"/>
        <v>70</v>
      </c>
      <c r="L862" s="19">
        <f t="shared" si="87"/>
        <v>2.835456294196709</v>
      </c>
      <c r="M862" s="19">
        <f t="shared" si="88"/>
        <v>5.4487604142396496E-7</v>
      </c>
    </row>
    <row r="863" spans="7:13">
      <c r="G863" s="3">
        <v>850</v>
      </c>
      <c r="H863" s="5">
        <f t="shared" si="84"/>
        <v>70.833333333333329</v>
      </c>
      <c r="I863" s="4">
        <f t="shared" si="83"/>
        <v>5.6051367710198698E-5</v>
      </c>
      <c r="J863" s="10">
        <f t="shared" si="85"/>
        <v>3.1556680725417584E-2</v>
      </c>
      <c r="K863" s="24">
        <f t="shared" si="86"/>
        <v>70</v>
      </c>
      <c r="L863" s="19">
        <f t="shared" si="87"/>
        <v>2.835456294196709</v>
      </c>
      <c r="M863" s="19">
        <f t="shared" si="88"/>
        <v>4.9865300943557694E-7</v>
      </c>
    </row>
    <row r="864" spans="7:13">
      <c r="G864" s="3">
        <v>851</v>
      </c>
      <c r="H864" s="5">
        <f t="shared" si="84"/>
        <v>70.916666666666671</v>
      </c>
      <c r="I864" s="4">
        <f t="shared" si="83"/>
        <v>5.0935140573313521E-5</v>
      </c>
      <c r="J864" s="10">
        <f t="shared" si="85"/>
        <v>3.1428636569681388E-2</v>
      </c>
      <c r="K864" s="24">
        <f t="shared" si="86"/>
        <v>70</v>
      </c>
      <c r="L864" s="19">
        <f t="shared" si="87"/>
        <v>2.835456294196709</v>
      </c>
      <c r="M864" s="19">
        <f t="shared" si="88"/>
        <v>4.5593015303736326E-7</v>
      </c>
    </row>
    <row r="865" spans="7:13">
      <c r="G865" s="3">
        <v>852</v>
      </c>
      <c r="H865" s="5">
        <f t="shared" si="84"/>
        <v>71</v>
      </c>
      <c r="I865" s="4">
        <f t="shared" si="83"/>
        <v>4.6242571458842305E-5</v>
      </c>
      <c r="J865" s="10">
        <f t="shared" si="85"/>
        <v>3.1301111964970339E-2</v>
      </c>
      <c r="K865" s="24">
        <f t="shared" si="86"/>
        <v>71</v>
      </c>
      <c r="L865" s="19">
        <f t="shared" si="87"/>
        <v>2.8779881386096591</v>
      </c>
      <c r="M865" s="19">
        <f t="shared" si="88"/>
        <v>4.1647928130136974E-7</v>
      </c>
    </row>
    <row r="866" spans="7:13">
      <c r="G866" s="3">
        <v>853</v>
      </c>
      <c r="H866" s="5">
        <f t="shared" si="84"/>
        <v>71.083333333333329</v>
      </c>
      <c r="I866" s="4">
        <f t="shared" si="83"/>
        <v>4.1942627533981673E-5</v>
      </c>
      <c r="J866" s="10">
        <f t="shared" si="85"/>
        <v>3.1174104803157788E-2</v>
      </c>
      <c r="K866" s="24">
        <f t="shared" si="86"/>
        <v>71</v>
      </c>
      <c r="L866" s="19">
        <f t="shared" si="87"/>
        <v>2.8779881386096591</v>
      </c>
      <c r="M866" s="19">
        <f t="shared" si="88"/>
        <v>3.8578539558880621E-7</v>
      </c>
    </row>
    <row r="867" spans="7:13">
      <c r="G867" s="3">
        <v>854</v>
      </c>
      <c r="H867" s="5">
        <f t="shared" si="84"/>
        <v>71.166666666666671</v>
      </c>
      <c r="I867" s="4">
        <f t="shared" si="83"/>
        <v>3.8006200925191824E-5</v>
      </c>
      <c r="J867" s="10">
        <f t="shared" si="85"/>
        <v>3.1047612984671416E-2</v>
      </c>
      <c r="K867" s="24">
        <f t="shared" si="86"/>
        <v>71</v>
      </c>
      <c r="L867" s="19">
        <f t="shared" si="87"/>
        <v>2.8779881386096591</v>
      </c>
      <c r="M867" s="19">
        <f t="shared" si="88"/>
        <v>3.5173806873056198E-7</v>
      </c>
    </row>
    <row r="868" spans="7:13">
      <c r="G868" s="3">
        <v>855</v>
      </c>
      <c r="H868" s="5">
        <f t="shared" si="84"/>
        <v>71.25</v>
      </c>
      <c r="I868" s="4">
        <f t="shared" si="83"/>
        <v>3.4406016585688297E-5</v>
      </c>
      <c r="J868" s="10">
        <f t="shared" si="85"/>
        <v>3.0921634418457904E-2</v>
      </c>
      <c r="K868" s="24">
        <f t="shared" si="86"/>
        <v>71</v>
      </c>
      <c r="L868" s="19">
        <f t="shared" si="87"/>
        <v>2.8779881386096591</v>
      </c>
      <c r="M868" s="19">
        <f t="shared" si="88"/>
        <v>3.203879542568798E-7</v>
      </c>
    </row>
    <row r="869" spans="7:13">
      <c r="G869" s="3">
        <v>856</v>
      </c>
      <c r="H869" s="5">
        <f t="shared" si="84"/>
        <v>71.333333333333329</v>
      </c>
      <c r="I869" s="4">
        <f t="shared" si="83"/>
        <v>3.1116542635168663E-5</v>
      </c>
      <c r="J869" s="10">
        <f t="shared" si="85"/>
        <v>3.0796167021948592E-2</v>
      </c>
      <c r="K869" s="24">
        <f t="shared" si="86"/>
        <v>71</v>
      </c>
      <c r="L869" s="19">
        <f t="shared" si="87"/>
        <v>2.8779881386096591</v>
      </c>
      <c r="M869" s="19">
        <f t="shared" si="88"/>
        <v>2.9154937690524994E-7</v>
      </c>
    </row>
    <row r="870" spans="7:13">
      <c r="G870" s="3">
        <v>857</v>
      </c>
      <c r="H870" s="5">
        <f t="shared" si="84"/>
        <v>71.416666666666671</v>
      </c>
      <c r="I870" s="4">
        <f t="shared" si="83"/>
        <v>2.8113903235648927E-5</v>
      </c>
      <c r="J870" s="10">
        <f t="shared" si="85"/>
        <v>3.0671208721025002E-2</v>
      </c>
      <c r="K870" s="24">
        <f t="shared" si="86"/>
        <v>71</v>
      </c>
      <c r="L870" s="19">
        <f t="shared" si="87"/>
        <v>2.8779881386096591</v>
      </c>
      <c r="M870" s="19">
        <f t="shared" si="88"/>
        <v>2.6504710811230005E-7</v>
      </c>
    </row>
    <row r="871" spans="7:13">
      <c r="G871" s="3">
        <v>858</v>
      </c>
      <c r="H871" s="5">
        <f t="shared" si="84"/>
        <v>71.5</v>
      </c>
      <c r="I871" s="4">
        <f t="shared" si="83"/>
        <v>2.5375794056976459E-5</v>
      </c>
      <c r="J871" s="10">
        <f t="shared" si="85"/>
        <v>3.0546757449984689E-2</v>
      </c>
      <c r="K871" s="24">
        <f t="shared" si="86"/>
        <v>71</v>
      </c>
      <c r="L871" s="19">
        <f t="shared" si="87"/>
        <v>2.8779881386096591</v>
      </c>
      <c r="M871" s="19">
        <f t="shared" si="88"/>
        <v>2.4071595521832877E-7</v>
      </c>
    </row>
    <row r="872" spans="7:13">
      <c r="G872" s="3">
        <v>859</v>
      </c>
      <c r="H872" s="5">
        <f t="shared" si="84"/>
        <v>71.583333333333329</v>
      </c>
      <c r="I872" s="4">
        <f t="shared" ref="I872:I935" si="89">I871*(B$9^(1/12))*B$8^((B$5^(B$7+H871))*((B$5^(1/12)-1)))</f>
        <v>2.2881400375551174E-5</v>
      </c>
      <c r="J872" s="10">
        <f t="shared" si="85"/>
        <v>3.0422811151506909E-2</v>
      </c>
      <c r="K872" s="24">
        <f t="shared" si="86"/>
        <v>71</v>
      </c>
      <c r="L872" s="19">
        <f t="shared" si="87"/>
        <v>2.8779881386096591</v>
      </c>
      <c r="M872" s="19">
        <f t="shared" si="88"/>
        <v>2.1840035451880653E-7</v>
      </c>
    </row>
    <row r="873" spans="7:13">
      <c r="G873" s="3">
        <v>860</v>
      </c>
      <c r="H873" s="5">
        <f t="shared" si="84"/>
        <v>71.666666666666671</v>
      </c>
      <c r="I873" s="4">
        <f t="shared" si="89"/>
        <v>2.061131784005568E-5</v>
      </c>
      <c r="J873" s="10">
        <f t="shared" si="85"/>
        <v>3.0299367776618659E-2</v>
      </c>
      <c r="K873" s="24">
        <f t="shared" si="86"/>
        <v>71</v>
      </c>
      <c r="L873" s="19">
        <f t="shared" si="87"/>
        <v>2.8779881386096591</v>
      </c>
      <c r="M873" s="19">
        <f t="shared" si="88"/>
        <v>1.9795396902143866E-7</v>
      </c>
    </row>
    <row r="874" spans="7:13">
      <c r="G874" s="3">
        <v>861</v>
      </c>
      <c r="H874" s="5">
        <f t="shared" si="84"/>
        <v>71.75</v>
      </c>
      <c r="I874" s="4">
        <f t="shared" si="89"/>
        <v>1.8547475928596203E-5</v>
      </c>
      <c r="J874" s="10">
        <f t="shared" si="85"/>
        <v>3.0176425284660944E-2</v>
      </c>
      <c r="K874" s="24">
        <f t="shared" si="86"/>
        <v>71</v>
      </c>
      <c r="L874" s="19">
        <f t="shared" si="87"/>
        <v>2.8779881386096591</v>
      </c>
      <c r="M874" s="19">
        <f t="shared" si="88"/>
        <v>1.7923929171025169E-7</v>
      </c>
    </row>
    <row r="875" spans="7:13">
      <c r="G875" s="3">
        <v>862</v>
      </c>
      <c r="H875" s="5">
        <f t="shared" si="84"/>
        <v>71.833333333333329</v>
      </c>
      <c r="I875" s="4">
        <f t="shared" si="89"/>
        <v>1.667306411261409E-5</v>
      </c>
      <c r="J875" s="10">
        <f t="shared" si="85"/>
        <v>3.0053981643254839E-2</v>
      </c>
      <c r="K875" s="24">
        <f t="shared" si="86"/>
        <v>71</v>
      </c>
      <c r="L875" s="19">
        <f t="shared" si="87"/>
        <v>2.8779881386096591</v>
      </c>
      <c r="M875" s="19">
        <f t="shared" si="88"/>
        <v>1.6212725506044192E-7</v>
      </c>
    </row>
    <row r="876" spans="7:13">
      <c r="G876" s="3">
        <v>863</v>
      </c>
      <c r="H876" s="5">
        <f t="shared" si="84"/>
        <v>71.916666666666671</v>
      </c>
      <c r="I876" s="4">
        <f t="shared" si="89"/>
        <v>1.4972460734265823E-5</v>
      </c>
      <c r="J876" s="10">
        <f t="shared" si="85"/>
        <v>2.9932034828267985E-2</v>
      </c>
      <c r="K876" s="24">
        <f t="shared" si="86"/>
        <v>71</v>
      </c>
      <c r="L876" s="19">
        <f t="shared" si="87"/>
        <v>2.8779881386096591</v>
      </c>
      <c r="M876" s="19">
        <f t="shared" si="88"/>
        <v>1.4649684748964345E-7</v>
      </c>
    </row>
    <row r="877" spans="7:13">
      <c r="G877" s="3">
        <v>864</v>
      </c>
      <c r="H877" s="5">
        <f t="shared" si="84"/>
        <v>72</v>
      </c>
      <c r="I877" s="4">
        <f t="shared" si="89"/>
        <v>1.3431164595707641E-5</v>
      </c>
      <c r="J877" s="10">
        <f t="shared" si="85"/>
        <v>2.9810582823781274E-2</v>
      </c>
      <c r="K877" s="24">
        <f t="shared" si="86"/>
        <v>72</v>
      </c>
      <c r="L877" s="19">
        <f t="shared" si="87"/>
        <v>2.9211579606888036</v>
      </c>
      <c r="M877" s="19">
        <f t="shared" si="88"/>
        <v>1.322347373731192E-7</v>
      </c>
    </row>
    <row r="878" spans="7:13">
      <c r="G878" s="3">
        <v>865</v>
      </c>
      <c r="H878" s="5">
        <f t="shared" si="84"/>
        <v>72.083333333333329</v>
      </c>
      <c r="I878" s="4">
        <f t="shared" si="89"/>
        <v>1.2035729250876351E-5</v>
      </c>
      <c r="J878" s="10">
        <f t="shared" si="85"/>
        <v>2.9689623622055034E-2</v>
      </c>
      <c r="K878" s="24">
        <f t="shared" si="86"/>
        <v>72</v>
      </c>
      <c r="L878" s="19">
        <f t="shared" si="87"/>
        <v>2.9211579606888036</v>
      </c>
      <c r="M878" s="19">
        <f t="shared" si="88"/>
        <v>1.2102342877034844E-7</v>
      </c>
    </row>
    <row r="879" spans="7:13">
      <c r="G879" s="3">
        <v>866</v>
      </c>
      <c r="H879" s="5">
        <f t="shared" si="84"/>
        <v>72.166666666666671</v>
      </c>
      <c r="I879" s="4">
        <f t="shared" si="89"/>
        <v>1.0773699982945252E-5</v>
      </c>
      <c r="J879" s="10">
        <f t="shared" si="85"/>
        <v>2.9569155223496582E-2</v>
      </c>
      <c r="K879" s="24">
        <f t="shared" si="86"/>
        <v>72</v>
      </c>
      <c r="L879" s="19">
        <f t="shared" si="87"/>
        <v>2.9211579606888036</v>
      </c>
      <c r="M879" s="19">
        <f t="shared" si="88"/>
        <v>1.0900925859489844E-7</v>
      </c>
    </row>
    <row r="880" spans="7:13">
      <c r="G880" s="3">
        <v>867</v>
      </c>
      <c r="H880" s="5">
        <f t="shared" si="84"/>
        <v>72.25</v>
      </c>
      <c r="I880" s="4">
        <f t="shared" si="89"/>
        <v>9.633553443665453E-6</v>
      </c>
      <c r="J880" s="10">
        <f t="shared" si="85"/>
        <v>2.9449175636626568E-2</v>
      </c>
      <c r="K880" s="24">
        <f t="shared" si="86"/>
        <v>72</v>
      </c>
      <c r="L880" s="19">
        <f t="shared" si="87"/>
        <v>2.9211579606888036</v>
      </c>
      <c r="M880" s="19">
        <f t="shared" si="88"/>
        <v>9.8081897128406636E-8</v>
      </c>
    </row>
    <row r="881" spans="7:13">
      <c r="G881" s="3">
        <v>868</v>
      </c>
      <c r="H881" s="5">
        <f t="shared" si="84"/>
        <v>72.333333333333329</v>
      </c>
      <c r="I881" s="4">
        <f t="shared" si="89"/>
        <v>8.6046399242872638E-6</v>
      </c>
      <c r="J881" s="10">
        <f t="shared" si="85"/>
        <v>2.932968287804627E-2</v>
      </c>
      <c r="K881" s="24">
        <f t="shared" si="86"/>
        <v>72</v>
      </c>
      <c r="L881" s="19">
        <f t="shared" si="87"/>
        <v>2.9211579606888036</v>
      </c>
      <c r="M881" s="19">
        <f t="shared" si="88"/>
        <v>8.8153849716959886E-8</v>
      </c>
    </row>
    <row r="882" spans="7:13">
      <c r="G882" s="3">
        <v>869</v>
      </c>
      <c r="H882" s="5">
        <f t="shared" si="84"/>
        <v>72.416666666666671</v>
      </c>
      <c r="I882" s="4">
        <f t="shared" si="89"/>
        <v>7.677128221700179E-6</v>
      </c>
      <c r="J882" s="10">
        <f t="shared" si="85"/>
        <v>2.9210674972404756E-2</v>
      </c>
      <c r="K882" s="24">
        <f t="shared" si="86"/>
        <v>72</v>
      </c>
      <c r="L882" s="19">
        <f t="shared" si="87"/>
        <v>2.9211579606888036</v>
      </c>
      <c r="M882" s="19">
        <f t="shared" si="88"/>
        <v>7.9143642112113607E-8</v>
      </c>
    </row>
    <row r="883" spans="7:13">
      <c r="G883" s="3">
        <v>870</v>
      </c>
      <c r="H883" s="5">
        <f t="shared" si="84"/>
        <v>72.5</v>
      </c>
      <c r="I883" s="4">
        <f t="shared" si="89"/>
        <v>6.8419530578376615E-6</v>
      </c>
      <c r="J883" s="10">
        <f t="shared" si="85"/>
        <v>2.9092149952366367E-2</v>
      </c>
      <c r="K883" s="24">
        <f t="shared" si="86"/>
        <v>72</v>
      </c>
      <c r="L883" s="19">
        <f t="shared" si="87"/>
        <v>2.9211579606888036</v>
      </c>
      <c r="M883" s="19">
        <f t="shared" si="88"/>
        <v>7.0975495040907278E-8</v>
      </c>
    </row>
    <row r="884" spans="7:13">
      <c r="G884" s="3">
        <v>871</v>
      </c>
      <c r="H884" s="5">
        <f t="shared" si="84"/>
        <v>72.583333333333329</v>
      </c>
      <c r="I884" s="4">
        <f t="shared" si="89"/>
        <v>6.0907650052654425E-6</v>
      </c>
      <c r="J884" s="10">
        <f t="shared" si="85"/>
        <v>2.8974105858577997E-2</v>
      </c>
      <c r="K884" s="24">
        <f t="shared" si="86"/>
        <v>72</v>
      </c>
      <c r="L884" s="19">
        <f t="shared" si="87"/>
        <v>2.9211579606888036</v>
      </c>
      <c r="M884" s="19">
        <f t="shared" si="88"/>
        <v>6.3579009309272583E-8</v>
      </c>
    </row>
    <row r="885" spans="7:13">
      <c r="G885" s="3">
        <v>872</v>
      </c>
      <c r="H885" s="5">
        <f t="shared" si="84"/>
        <v>72.666666666666671</v>
      </c>
      <c r="I885" s="4">
        <f t="shared" si="89"/>
        <v>5.4158828672086631E-6</v>
      </c>
      <c r="J885" s="10">
        <f t="shared" si="85"/>
        <v>2.885654073963681E-2</v>
      </c>
      <c r="K885" s="24">
        <f t="shared" si="86"/>
        <v>72</v>
      </c>
      <c r="L885" s="19">
        <f t="shared" si="87"/>
        <v>2.9211579606888036</v>
      </c>
      <c r="M885" s="19">
        <f t="shared" si="88"/>
        <v>5.6888861631995859E-8</v>
      </c>
    </row>
    <row r="886" spans="7:13">
      <c r="G886" s="3">
        <v>873</v>
      </c>
      <c r="H886" s="5">
        <f t="shared" si="84"/>
        <v>72.75</v>
      </c>
      <c r="I886" s="4">
        <f t="shared" si="89"/>
        <v>4.8102484560705745E-6</v>
      </c>
      <c r="J886" s="10">
        <f t="shared" si="85"/>
        <v>2.8739452652058038E-2</v>
      </c>
      <c r="K886" s="24">
        <f t="shared" si="86"/>
        <v>72</v>
      </c>
      <c r="L886" s="19">
        <f t="shared" si="87"/>
        <v>2.9211579606888036</v>
      </c>
      <c r="M886" s="19">
        <f t="shared" si="88"/>
        <v>5.0844511333694343E-8</v>
      </c>
    </row>
    <row r="887" spans="7:13">
      <c r="G887" s="3">
        <v>874</v>
      </c>
      <c r="H887" s="5">
        <f t="shared" si="84"/>
        <v>72.833333333333329</v>
      </c>
      <c r="I887" s="4">
        <f t="shared" si="89"/>
        <v>4.2673837107479585E-6</v>
      </c>
      <c r="J887" s="10">
        <f t="shared" si="85"/>
        <v>2.8622839660242698E-2</v>
      </c>
      <c r="K887" s="24">
        <f t="shared" si="86"/>
        <v>72</v>
      </c>
      <c r="L887" s="19">
        <f t="shared" si="87"/>
        <v>2.9211579606888036</v>
      </c>
      <c r="M887" s="19">
        <f t="shared" si="88"/>
        <v>4.5389918018658851E-8</v>
      </c>
    </row>
    <row r="888" spans="7:13">
      <c r="G888" s="3">
        <v>875</v>
      </c>
      <c r="H888" s="5">
        <f t="shared" si="84"/>
        <v>72.916666666666671</v>
      </c>
      <c r="I888" s="4">
        <f t="shared" si="89"/>
        <v>3.7813500897485163E-6</v>
      </c>
      <c r="J888" s="10">
        <f t="shared" si="85"/>
        <v>2.8506699836445694E-2</v>
      </c>
      <c r="K888" s="24">
        <f t="shared" si="86"/>
        <v>72</v>
      </c>
      <c r="L888" s="19">
        <f t="shared" si="87"/>
        <v>2.9211579606888036</v>
      </c>
      <c r="M888" s="19">
        <f t="shared" si="88"/>
        <v>4.0473270262992753E-8</v>
      </c>
    </row>
    <row r="889" spans="7:13">
      <c r="G889" s="3">
        <v>876</v>
      </c>
      <c r="H889" s="5">
        <f t="shared" si="84"/>
        <v>73</v>
      </c>
      <c r="I889" s="4">
        <f t="shared" si="89"/>
        <v>3.3467101742534597E-6</v>
      </c>
      <c r="J889" s="10">
        <f t="shared" si="85"/>
        <v>2.8391031260744073E-2</v>
      </c>
      <c r="K889" s="24">
        <f t="shared" si="86"/>
        <v>73</v>
      </c>
      <c r="L889" s="19">
        <f t="shared" si="87"/>
        <v>2.9649753300991355</v>
      </c>
      <c r="M889" s="19">
        <f t="shared" si="88"/>
        <v>3.6046725340373295E-8</v>
      </c>
    </row>
    <row r="890" spans="7:13">
      <c r="G890" s="3">
        <v>877</v>
      </c>
      <c r="H890" s="5">
        <f t="shared" si="84"/>
        <v>73.083333333333329</v>
      </c>
      <c r="I890" s="4">
        <f t="shared" si="89"/>
        <v>2.958491412833092E-6</v>
      </c>
      <c r="J890" s="10">
        <f t="shared" si="85"/>
        <v>2.8275832021004792E-2</v>
      </c>
      <c r="K890" s="24">
        <f t="shared" si="86"/>
        <v>73</v>
      </c>
      <c r="L890" s="19">
        <f t="shared" si="87"/>
        <v>2.9649753300991355</v>
      </c>
      <c r="M890" s="19">
        <f t="shared" si="88"/>
        <v>3.254715235234309E-8</v>
      </c>
    </row>
    <row r="891" spans="7:13">
      <c r="G891" s="3">
        <v>878</v>
      </c>
      <c r="H891" s="5">
        <f t="shared" si="84"/>
        <v>73.166666666666671</v>
      </c>
      <c r="I891" s="4">
        <f t="shared" si="89"/>
        <v>2.6121519375011129E-6</v>
      </c>
      <c r="J891" s="10">
        <f t="shared" si="85"/>
        <v>2.8161100212853882E-2</v>
      </c>
      <c r="K891" s="24">
        <f t="shared" si="86"/>
        <v>73</v>
      </c>
      <c r="L891" s="19">
        <f t="shared" si="87"/>
        <v>2.9649753300991355</v>
      </c>
      <c r="M891" s="19">
        <f t="shared" si="88"/>
        <v>2.8918295880975406E-8</v>
      </c>
    </row>
    <row r="892" spans="7:13">
      <c r="G892" s="3">
        <v>879</v>
      </c>
      <c r="H892" s="5">
        <f t="shared" si="84"/>
        <v>73.25</v>
      </c>
      <c r="I892" s="4">
        <f t="shared" si="89"/>
        <v>2.3035483791702222E-6</v>
      </c>
      <c r="J892" s="10">
        <f t="shared" si="85"/>
        <v>2.8046833939644349E-2</v>
      </c>
      <c r="K892" s="24">
        <f t="shared" si="86"/>
        <v>73</v>
      </c>
      <c r="L892" s="19">
        <f t="shared" si="87"/>
        <v>2.9649753300991355</v>
      </c>
      <c r="M892" s="19">
        <f t="shared" si="88"/>
        <v>2.5662907387996001E-8</v>
      </c>
    </row>
    <row r="893" spans="7:13">
      <c r="G893" s="3">
        <v>880</v>
      </c>
      <c r="H893" s="5">
        <f t="shared" si="84"/>
        <v>73.333333333333329</v>
      </c>
      <c r="I893" s="4">
        <f t="shared" si="89"/>
        <v>2.0289056093313285E-6</v>
      </c>
      <c r="J893" s="10">
        <f t="shared" si="85"/>
        <v>2.7933031312425017E-2</v>
      </c>
      <c r="K893" s="24">
        <f t="shared" si="86"/>
        <v>73</v>
      </c>
      <c r="L893" s="19">
        <f t="shared" si="87"/>
        <v>2.9649753300991355</v>
      </c>
      <c r="M893" s="19">
        <f t="shared" si="88"/>
        <v>2.2746119833048399E-8</v>
      </c>
    </row>
    <row r="894" spans="7:13">
      <c r="G894" s="3">
        <v>881</v>
      </c>
      <c r="H894" s="5">
        <f t="shared" si="84"/>
        <v>73.416666666666671</v>
      </c>
      <c r="I894" s="4">
        <f t="shared" si="89"/>
        <v>1.784788333904078E-6</v>
      </c>
      <c r="J894" s="10">
        <f t="shared" si="85"/>
        <v>2.7819690449909305E-2</v>
      </c>
      <c r="K894" s="24">
        <f t="shared" si="86"/>
        <v>73</v>
      </c>
      <c r="L894" s="19">
        <f t="shared" si="87"/>
        <v>2.9649753300991355</v>
      </c>
      <c r="M894" s="19">
        <f t="shared" si="88"/>
        <v>2.0135939221444406E-8</v>
      </c>
    </row>
    <row r="895" spans="7:13">
      <c r="G895" s="3">
        <v>882</v>
      </c>
      <c r="H895" s="5">
        <f t="shared" si="84"/>
        <v>73.5</v>
      </c>
      <c r="I895" s="4">
        <f t="shared" si="89"/>
        <v>1.5680744646794523E-6</v>
      </c>
      <c r="J895" s="10">
        <f t="shared" si="85"/>
        <v>2.7706809478444155E-2</v>
      </c>
      <c r="K895" s="24">
        <f t="shared" si="86"/>
        <v>73</v>
      </c>
      <c r="L895" s="19">
        <f t="shared" si="87"/>
        <v>2.9649753300991355</v>
      </c>
      <c r="M895" s="19">
        <f t="shared" si="88"/>
        <v>1.780304578263806E-8</v>
      </c>
    </row>
    <row r="896" spans="7:13">
      <c r="G896" s="3">
        <v>883</v>
      </c>
      <c r="H896" s="5">
        <f t="shared" si="84"/>
        <v>73.583333333333329</v>
      </c>
      <c r="I896" s="4">
        <f t="shared" si="89"/>
        <v>1.3759301935766659E-6</v>
      </c>
      <c r="J896" s="10">
        <f t="shared" si="85"/>
        <v>2.7594386531979046E-2</v>
      </c>
      <c r="K896" s="24">
        <f t="shared" si="86"/>
        <v>73</v>
      </c>
      <c r="L896" s="19">
        <f t="shared" si="87"/>
        <v>2.9649753300991355</v>
      </c>
      <c r="M896" s="19">
        <f t="shared" si="88"/>
        <v>1.5720605442749474E-8</v>
      </c>
    </row>
    <row r="897" spans="7:13">
      <c r="G897" s="3">
        <v>884</v>
      </c>
      <c r="H897" s="5">
        <f t="shared" si="84"/>
        <v>73.666666666666671</v>
      </c>
      <c r="I897" s="4">
        <f t="shared" si="89"/>
        <v>1.2057866950468374E-6</v>
      </c>
      <c r="J897" s="10">
        <f t="shared" si="85"/>
        <v>2.7482419752035067E-2</v>
      </c>
      <c r="K897" s="24">
        <f t="shared" si="86"/>
        <v>73</v>
      </c>
      <c r="L897" s="19">
        <f t="shared" si="87"/>
        <v>2.9649753300991355</v>
      </c>
      <c r="M897" s="19">
        <f t="shared" si="88"/>
        <v>1.386409135211845E-8</v>
      </c>
    </row>
    <row r="898" spans="7:13">
      <c r="G898" s="3">
        <v>885</v>
      </c>
      <c r="H898" s="5">
        <f t="shared" si="84"/>
        <v>73.75</v>
      </c>
      <c r="I898" s="4">
        <f t="shared" si="89"/>
        <v>1.0553183823546E-6</v>
      </c>
      <c r="J898" s="10">
        <f t="shared" si="85"/>
        <v>2.7370907287674315E-2</v>
      </c>
      <c r="K898" s="24">
        <f t="shared" si="86"/>
        <v>73</v>
      </c>
      <c r="L898" s="19">
        <f t="shared" si="87"/>
        <v>2.9649753300991355</v>
      </c>
      <c r="M898" s="19">
        <f t="shared" si="88"/>
        <v>1.2211115209163205E-8</v>
      </c>
    </row>
    <row r="899" spans="7:13">
      <c r="G899" s="3">
        <v>886</v>
      </c>
      <c r="H899" s="5">
        <f t="shared" si="84"/>
        <v>73.833333333333329</v>
      </c>
      <c r="I899" s="4">
        <f t="shared" si="89"/>
        <v>9.2242264413524112E-7</v>
      </c>
      <c r="J899" s="10">
        <f t="shared" si="85"/>
        <v>2.7259847295469233E-2</v>
      </c>
      <c r="K899" s="24">
        <f t="shared" si="86"/>
        <v>73</v>
      </c>
      <c r="L899" s="19">
        <f t="shared" si="87"/>
        <v>2.9649753300991355</v>
      </c>
      <c r="M899" s="19">
        <f t="shared" si="88"/>
        <v>1.0741268104600063E-8</v>
      </c>
    </row>
    <row r="900" spans="7:13">
      <c r="G900" s="3">
        <v>887</v>
      </c>
      <c r="H900" s="5">
        <f t="shared" si="84"/>
        <v>73.916666666666671</v>
      </c>
      <c r="I900" s="4">
        <f t="shared" si="89"/>
        <v>8.0520098853822106E-7</v>
      </c>
      <c r="J900" s="10">
        <f t="shared" si="85"/>
        <v>2.71492379394721E-2</v>
      </c>
      <c r="K900" s="24">
        <f t="shared" si="86"/>
        <v>73</v>
      </c>
      <c r="L900" s="19">
        <f t="shared" si="87"/>
        <v>2.9649753300991355</v>
      </c>
      <c r="M900" s="19">
        <f t="shared" si="88"/>
        <v>9.435970595273819E-9</v>
      </c>
    </row>
    <row r="901" spans="7:13">
      <c r="G901" s="3">
        <v>888</v>
      </c>
      <c r="H901" s="5">
        <f t="shared" si="84"/>
        <v>74</v>
      </c>
      <c r="I901" s="4">
        <f t="shared" si="89"/>
        <v>7.0194152340699167E-7</v>
      </c>
      <c r="J901" s="10">
        <f t="shared" si="85"/>
        <v>2.7039077391184833E-2</v>
      </c>
      <c r="K901" s="24">
        <f t="shared" si="86"/>
        <v>74</v>
      </c>
      <c r="L901" s="19">
        <f t="shared" si="87"/>
        <v>3.0094499600506222</v>
      </c>
      <c r="M901" s="19">
        <f t="shared" si="88"/>
        <v>8.2783317043835258E-9</v>
      </c>
    </row>
    <row r="902" spans="7:13">
      <c r="G902" s="3">
        <v>889</v>
      </c>
      <c r="H902" s="5">
        <f t="shared" si="84"/>
        <v>74.083333333333329</v>
      </c>
      <c r="I902" s="4">
        <f t="shared" si="89"/>
        <v>6.1110270228893069E-7</v>
      </c>
      <c r="J902" s="10">
        <f t="shared" si="85"/>
        <v>2.6929363829528367E-2</v>
      </c>
      <c r="K902" s="24">
        <f t="shared" si="86"/>
        <v>74</v>
      </c>
      <c r="L902" s="19">
        <f t="shared" si="87"/>
        <v>3.0094499600506222</v>
      </c>
      <c r="M902" s="19">
        <f t="shared" si="88"/>
        <v>7.3618117826979769E-9</v>
      </c>
    </row>
    <row r="903" spans="7:13">
      <c r="G903" s="3">
        <v>890</v>
      </c>
      <c r="H903" s="5">
        <f t="shared" si="84"/>
        <v>74.166666666666671</v>
      </c>
      <c r="I903" s="4">
        <f t="shared" si="89"/>
        <v>5.3129826759717428E-7</v>
      </c>
      <c r="J903" s="10">
        <f t="shared" si="85"/>
        <v>2.6820095440813228E-2</v>
      </c>
      <c r="K903" s="24">
        <f t="shared" si="86"/>
        <v>74</v>
      </c>
      <c r="L903" s="19">
        <f t="shared" si="87"/>
        <v>3.0094499600506222</v>
      </c>
      <c r="M903" s="19">
        <f t="shared" si="88"/>
        <v>6.4413140057380688E-9</v>
      </c>
    </row>
    <row r="904" spans="7:13">
      <c r="G904" s="3">
        <v>891</v>
      </c>
      <c r="H904" s="5">
        <f t="shared" si="84"/>
        <v>74.25</v>
      </c>
      <c r="I904" s="4">
        <f t="shared" si="89"/>
        <v>4.6128332393765308E-7</v>
      </c>
      <c r="J904" s="10">
        <f t="shared" si="85"/>
        <v>2.6711270418708914E-2</v>
      </c>
      <c r="K904" s="24">
        <f t="shared" si="86"/>
        <v>74</v>
      </c>
      <c r="L904" s="19">
        <f t="shared" si="87"/>
        <v>3.0094499600506222</v>
      </c>
      <c r="M904" s="19">
        <f t="shared" si="88"/>
        <v>5.6282374830905783E-9</v>
      </c>
    </row>
    <row r="905" spans="7:13">
      <c r="G905" s="3">
        <v>892</v>
      </c>
      <c r="H905" s="5">
        <f t="shared" si="84"/>
        <v>74.333333333333329</v>
      </c>
      <c r="I905" s="4">
        <f t="shared" si="89"/>
        <v>3.9994147644968982E-7</v>
      </c>
      <c r="J905" s="10">
        <f t="shared" si="85"/>
        <v>2.6602886964214294E-2</v>
      </c>
      <c r="K905" s="24">
        <f t="shared" si="86"/>
        <v>74</v>
      </c>
      <c r="L905" s="19">
        <f t="shared" si="87"/>
        <v>3.0094499600506222</v>
      </c>
      <c r="M905" s="19">
        <f t="shared" si="88"/>
        <v>4.911031813222666E-9</v>
      </c>
    </row>
    <row r="906" spans="7:13">
      <c r="G906" s="3">
        <v>893</v>
      </c>
      <c r="H906" s="5">
        <f t="shared" si="84"/>
        <v>74.416666666666671</v>
      </c>
      <c r="I906" s="4">
        <f t="shared" si="89"/>
        <v>3.4627297096752679E-7</v>
      </c>
      <c r="J906" s="10">
        <f t="shared" si="85"/>
        <v>2.6494943285627903E-2</v>
      </c>
      <c r="K906" s="24">
        <f t="shared" si="86"/>
        <v>74</v>
      </c>
      <c r="L906" s="19">
        <f t="shared" si="87"/>
        <v>3.0094499600506222</v>
      </c>
      <c r="M906" s="19">
        <f t="shared" si="88"/>
        <v>4.2792693410019877E-9</v>
      </c>
    </row>
    <row r="907" spans="7:13">
      <c r="G907" s="3">
        <v>894</v>
      </c>
      <c r="H907" s="5">
        <f t="shared" si="84"/>
        <v>74.5</v>
      </c>
      <c r="I907" s="4">
        <f t="shared" si="89"/>
        <v>2.9938377487424944E-7</v>
      </c>
      <c r="J907" s="10">
        <f t="shared" si="85"/>
        <v>2.6387437598518249E-2</v>
      </c>
      <c r="K907" s="24">
        <f t="shared" si="86"/>
        <v>74</v>
      </c>
      <c r="L907" s="19">
        <f t="shared" si="87"/>
        <v>3.0094499600506222</v>
      </c>
      <c r="M907" s="19">
        <f t="shared" si="88"/>
        <v>3.7235495086441142E-9</v>
      </c>
    </row>
    <row r="908" spans="7:13">
      <c r="G908" s="3">
        <v>895</v>
      </c>
      <c r="H908" s="5">
        <f t="shared" si="84"/>
        <v>74.583333333333329</v>
      </c>
      <c r="I908" s="4">
        <f t="shared" si="89"/>
        <v>2.5847553967051497E-7</v>
      </c>
      <c r="J908" s="10">
        <f t="shared" si="85"/>
        <v>2.6280368125694325E-2</v>
      </c>
      <c r="K908" s="24">
        <f t="shared" si="86"/>
        <v>74</v>
      </c>
      <c r="L908" s="19">
        <f t="shared" si="87"/>
        <v>3.0094499600506222</v>
      </c>
      <c r="M908" s="19">
        <f t="shared" si="88"/>
        <v>3.2354099375219499E-9</v>
      </c>
    </row>
    <row r="909" spans="7:13">
      <c r="G909" s="3">
        <v>896</v>
      </c>
      <c r="H909" s="5">
        <f t="shared" si="84"/>
        <v>74.666666666666671</v>
      </c>
      <c r="I909" s="4">
        <f t="shared" si="89"/>
        <v>2.2283638850088579E-7</v>
      </c>
      <c r="J909" s="10">
        <f t="shared" si="85"/>
        <v>2.6173733097176251E-2</v>
      </c>
      <c r="K909" s="24">
        <f t="shared" si="86"/>
        <v>74</v>
      </c>
      <c r="L909" s="19">
        <f t="shared" si="87"/>
        <v>3.0094499600506222</v>
      </c>
      <c r="M909" s="19">
        <f t="shared" si="88"/>
        <v>2.8072439053146585E-9</v>
      </c>
    </row>
    <row r="910" spans="7:13">
      <c r="G910" s="3">
        <v>897</v>
      </c>
      <c r="H910" s="5">
        <f t="shared" ref="H910:H973" si="90">G910/12</f>
        <v>74.75</v>
      </c>
      <c r="I910" s="4">
        <f t="shared" si="89"/>
        <v>1.9183247415382382E-7</v>
      </c>
      <c r="J910" s="10">
        <f t="shared" ref="J910:J973" si="91">(1+B$6)^-H910</f>
        <v>2.6067530750166025E-2</v>
      </c>
      <c r="K910" s="24">
        <f t="shared" ref="K910:K973" si="92">INT(H910+0.000001)</f>
        <v>74</v>
      </c>
      <c r="L910" s="19">
        <f t="shared" ref="L910:L973" si="93">1.015^K910</f>
        <v>3.0094499600506222</v>
      </c>
      <c r="M910" s="19">
        <f t="shared" si="88"/>
        <v>2.4322238869520829E-9</v>
      </c>
    </row>
    <row r="911" spans="7:13">
      <c r="G911" s="3">
        <v>898</v>
      </c>
      <c r="H911" s="5">
        <f t="shared" si="90"/>
        <v>74.833333333333329</v>
      </c>
      <c r="I911" s="4">
        <f t="shared" si="89"/>
        <v>1.649002553618503E-7</v>
      </c>
      <c r="J911" s="10">
        <f t="shared" si="91"/>
        <v>2.5961759329018324E-2</v>
      </c>
      <c r="K911" s="24">
        <f t="shared" si="92"/>
        <v>74</v>
      </c>
      <c r="L911" s="19">
        <f t="shared" si="93"/>
        <v>3.0094499600506222</v>
      </c>
      <c r="M911" s="19">
        <f t="shared" ref="M911:M974" si="94">(I910-I911)*J911*L910</f>
        <v>2.1042308330325037E-9</v>
      </c>
    </row>
    <row r="912" spans="7:13">
      <c r="G912" s="3">
        <v>899</v>
      </c>
      <c r="H912" s="5">
        <f t="shared" si="90"/>
        <v>74.916666666666671</v>
      </c>
      <c r="I912" s="4">
        <f t="shared" si="89"/>
        <v>1.4153944156129961E-7</v>
      </c>
      <c r="J912" s="10">
        <f t="shared" si="91"/>
        <v>2.5856417085211518E-2</v>
      </c>
      <c r="K912" s="24">
        <f t="shared" si="92"/>
        <v>74</v>
      </c>
      <c r="L912" s="19">
        <f t="shared" si="93"/>
        <v>3.0094499600506222</v>
      </c>
      <c r="M912" s="19">
        <f t="shared" si="94"/>
        <v>1.8177888657314888E-9</v>
      </c>
    </row>
    <row r="913" spans="7:13">
      <c r="G913" s="3">
        <v>900</v>
      </c>
      <c r="H913" s="5">
        <f t="shared" si="90"/>
        <v>75</v>
      </c>
      <c r="I913" s="4">
        <f t="shared" si="89"/>
        <v>1.2130655861274639E-7</v>
      </c>
      <c r="J913" s="10">
        <f t="shared" si="91"/>
        <v>2.5751502277318886E-2</v>
      </c>
      <c r="K913" s="24">
        <f t="shared" si="92"/>
        <v>75</v>
      </c>
      <c r="L913" s="19">
        <f t="shared" si="93"/>
        <v>3.054591709451381</v>
      </c>
      <c r="M913" s="19">
        <f t="shared" si="94"/>
        <v>1.5680050795555092E-9</v>
      </c>
    </row>
    <row r="914" spans="7:13">
      <c r="G914" s="3">
        <v>901</v>
      </c>
      <c r="H914" s="5">
        <f t="shared" si="90"/>
        <v>75.083333333333329</v>
      </c>
      <c r="I914" s="4">
        <f t="shared" si="89"/>
        <v>1.0380909032082986E-7</v>
      </c>
      <c r="J914" s="10">
        <f t="shared" si="91"/>
        <v>2.5647013170979404E-2</v>
      </c>
      <c r="K914" s="24">
        <f t="shared" si="92"/>
        <v>75</v>
      </c>
      <c r="L914" s="19">
        <f t="shared" si="93"/>
        <v>3.054591709451381</v>
      </c>
      <c r="M914" s="19">
        <f t="shared" si="94"/>
        <v>1.3707718546422664E-9</v>
      </c>
    </row>
    <row r="915" spans="7:13">
      <c r="G915" s="3">
        <v>902</v>
      </c>
      <c r="H915" s="5">
        <f t="shared" si="90"/>
        <v>75.166666666666671</v>
      </c>
      <c r="I915" s="4">
        <f t="shared" si="89"/>
        <v>8.8700152914119653E-8</v>
      </c>
      <c r="J915" s="10">
        <f t="shared" si="91"/>
        <v>2.5542948038869737E-2</v>
      </c>
      <c r="K915" s="24">
        <f t="shared" si="92"/>
        <v>75</v>
      </c>
      <c r="L915" s="19">
        <f t="shared" si="93"/>
        <v>3.054591709451381</v>
      </c>
      <c r="M915" s="19">
        <f t="shared" si="94"/>
        <v>1.1788488132108542E-9</v>
      </c>
    </row>
    <row r="916" spans="7:13">
      <c r="G916" s="3">
        <v>903</v>
      </c>
      <c r="H916" s="5">
        <f t="shared" si="90"/>
        <v>75.25</v>
      </c>
      <c r="I916" s="4">
        <f t="shared" si="89"/>
        <v>7.5673661941175452E-8</v>
      </c>
      <c r="J916" s="10">
        <f t="shared" si="91"/>
        <v>2.5439305160675153E-2</v>
      </c>
      <c r="K916" s="24">
        <f t="shared" si="92"/>
        <v>75</v>
      </c>
      <c r="L916" s="19">
        <f t="shared" si="93"/>
        <v>3.054591709451381</v>
      </c>
      <c r="M916" s="19">
        <f t="shared" si="94"/>
        <v>1.0122455041333013E-9</v>
      </c>
    </row>
    <row r="917" spans="7:13">
      <c r="G917" s="3">
        <v>904</v>
      </c>
      <c r="H917" s="5">
        <f t="shared" si="90"/>
        <v>75.333333333333329</v>
      </c>
      <c r="I917" s="4">
        <f t="shared" si="89"/>
        <v>6.4459953298384956E-8</v>
      </c>
      <c r="J917" s="10">
        <f t="shared" si="91"/>
        <v>2.5336082823061244E-2</v>
      </c>
      <c r="K917" s="24">
        <f t="shared" si="92"/>
        <v>75</v>
      </c>
      <c r="L917" s="19">
        <f t="shared" si="93"/>
        <v>3.054591709451381</v>
      </c>
      <c r="M917" s="19">
        <f t="shared" si="94"/>
        <v>8.6784448256309303E-10</v>
      </c>
    </row>
    <row r="918" spans="7:13">
      <c r="G918" s="3">
        <v>905</v>
      </c>
      <c r="H918" s="5">
        <f t="shared" si="90"/>
        <v>75.416666666666671</v>
      </c>
      <c r="I918" s="4">
        <f t="shared" si="89"/>
        <v>5.4821822319867278E-8</v>
      </c>
      <c r="J918" s="10">
        <f t="shared" si="91"/>
        <v>2.5233279319645616E-2</v>
      </c>
      <c r="K918" s="24">
        <f t="shared" si="92"/>
        <v>75</v>
      </c>
      <c r="L918" s="19">
        <f t="shared" si="93"/>
        <v>3.054591709451381</v>
      </c>
      <c r="M918" s="19">
        <f t="shared" si="94"/>
        <v>7.4288174717575947E-10</v>
      </c>
    </row>
    <row r="919" spans="7:13">
      <c r="G919" s="3">
        <v>906</v>
      </c>
      <c r="H919" s="5">
        <f t="shared" si="90"/>
        <v>75.5</v>
      </c>
      <c r="I919" s="4">
        <f t="shared" si="89"/>
        <v>4.6550947022052765E-8</v>
      </c>
      <c r="J919" s="10">
        <f t="shared" si="91"/>
        <v>2.5130892950969756E-2</v>
      </c>
      <c r="K919" s="24">
        <f t="shared" si="92"/>
        <v>75</v>
      </c>
      <c r="L919" s="19">
        <f t="shared" si="93"/>
        <v>3.054591709451381</v>
      </c>
      <c r="M919" s="19">
        <f t="shared" si="94"/>
        <v>6.3491057663482623E-10</v>
      </c>
    </row>
    <row r="920" spans="7:13">
      <c r="G920" s="3">
        <v>907</v>
      </c>
      <c r="H920" s="5">
        <f t="shared" si="90"/>
        <v>75.583333333333329</v>
      </c>
      <c r="I920" s="4">
        <f t="shared" si="89"/>
        <v>3.9464663698809135E-8</v>
      </c>
      <c r="J920" s="10">
        <f t="shared" si="91"/>
        <v>2.5028922024470792E-2</v>
      </c>
      <c r="K920" s="24">
        <f t="shared" si="92"/>
        <v>75</v>
      </c>
      <c r="L920" s="19">
        <f t="shared" si="93"/>
        <v>3.054591709451381</v>
      </c>
      <c r="M920" s="19">
        <f t="shared" si="94"/>
        <v>5.4176859478140835E-10</v>
      </c>
    </row>
    <row r="921" spans="7:13">
      <c r="G921" s="3">
        <v>908</v>
      </c>
      <c r="H921" s="5">
        <f t="shared" si="90"/>
        <v>75.666666666666671</v>
      </c>
      <c r="I921" s="4">
        <f t="shared" si="89"/>
        <v>3.3403065101440364E-8</v>
      </c>
      <c r="J921" s="10">
        <f t="shared" si="91"/>
        <v>2.4927364854453564E-2</v>
      </c>
      <c r="K921" s="24">
        <f t="shared" si="92"/>
        <v>75</v>
      </c>
      <c r="L921" s="19">
        <f t="shared" si="93"/>
        <v>3.054591709451381</v>
      </c>
      <c r="M921" s="19">
        <f t="shared" si="94"/>
        <v>4.6154782933347086E-10</v>
      </c>
    </row>
    <row r="922" spans="7:13">
      <c r="G922" s="3">
        <v>909</v>
      </c>
      <c r="H922" s="5">
        <f t="shared" si="90"/>
        <v>75.75</v>
      </c>
      <c r="I922" s="4">
        <f t="shared" si="89"/>
        <v>2.8226393406705292E-8</v>
      </c>
      <c r="J922" s="10">
        <f t="shared" si="91"/>
        <v>2.4826219762062875E-2</v>
      </c>
      <c r="K922" s="24">
        <f t="shared" si="92"/>
        <v>75</v>
      </c>
      <c r="L922" s="19">
        <f t="shared" si="93"/>
        <v>3.054591709451381</v>
      </c>
      <c r="M922" s="19">
        <f t="shared" si="94"/>
        <v>3.9256754043709823E-10</v>
      </c>
    </row>
    <row r="923" spans="7:13">
      <c r="G923" s="3">
        <v>910</v>
      </c>
      <c r="H923" s="5">
        <f t="shared" si="90"/>
        <v>75.833333333333329</v>
      </c>
      <c r="I923" s="4">
        <f t="shared" si="89"/>
        <v>2.3812702071217551E-8</v>
      </c>
      <c r="J923" s="10">
        <f t="shared" si="91"/>
        <v>2.4725485075255543E-2</v>
      </c>
      <c r="K923" s="24">
        <f t="shared" si="92"/>
        <v>75</v>
      </c>
      <c r="L923" s="19">
        <f t="shared" si="93"/>
        <v>3.054591709451381</v>
      </c>
      <c r="M923" s="19">
        <f t="shared" si="94"/>
        <v>3.3334960696875856E-10</v>
      </c>
    </row>
    <row r="924" spans="7:13">
      <c r="G924" s="3">
        <v>911</v>
      </c>
      <c r="H924" s="5">
        <f t="shared" si="90"/>
        <v>75.916666666666671</v>
      </c>
      <c r="I924" s="4">
        <f t="shared" si="89"/>
        <v>2.0055762489053581E-8</v>
      </c>
      <c r="J924" s="10">
        <f t="shared" si="91"/>
        <v>2.4625159128772871E-2</v>
      </c>
      <c r="K924" s="24">
        <f t="shared" si="92"/>
        <v>75</v>
      </c>
      <c r="L924" s="19">
        <f t="shared" si="93"/>
        <v>3.054591709451381</v>
      </c>
      <c r="M924" s="19">
        <f t="shared" si="94"/>
        <v>2.8259626997548486E-10</v>
      </c>
    </row>
    <row r="925" spans="7:13">
      <c r="G925" s="3">
        <v>912</v>
      </c>
      <c r="H925" s="5">
        <f t="shared" si="90"/>
        <v>76</v>
      </c>
      <c r="I925" s="4">
        <f t="shared" si="89"/>
        <v>1.6863193108737397E-8</v>
      </c>
      <c r="J925" s="10">
        <f t="shared" si="91"/>
        <v>2.4525240264113228E-2</v>
      </c>
      <c r="K925" s="24">
        <f t="shared" si="92"/>
        <v>76</v>
      </c>
      <c r="L925" s="19">
        <f t="shared" si="93"/>
        <v>3.1004105850931509</v>
      </c>
      <c r="M925" s="19">
        <f t="shared" si="94"/>
        <v>2.3917004399725848E-10</v>
      </c>
    </row>
    <row r="926" spans="7:13">
      <c r="G926" s="3">
        <v>913</v>
      </c>
      <c r="H926" s="5">
        <f t="shared" si="90"/>
        <v>76.083333333333329</v>
      </c>
      <c r="I926" s="4">
        <f t="shared" si="89"/>
        <v>1.415479032434282E-8</v>
      </c>
      <c r="J926" s="10">
        <f t="shared" si="91"/>
        <v>2.4425726829504193E-2</v>
      </c>
      <c r="K926" s="24">
        <f t="shared" si="92"/>
        <v>76</v>
      </c>
      <c r="L926" s="19">
        <f t="shared" si="93"/>
        <v>3.1004105850931509</v>
      </c>
      <c r="M926" s="19">
        <f t="shared" si="94"/>
        <v>2.0510675245961413E-10</v>
      </c>
    </row>
    <row r="927" spans="7:13">
      <c r="G927" s="3">
        <v>914</v>
      </c>
      <c r="H927" s="5">
        <f t="shared" si="90"/>
        <v>76.166666666666671</v>
      </c>
      <c r="I927" s="4">
        <f t="shared" si="89"/>
        <v>1.1861042032280424E-8</v>
      </c>
      <c r="J927" s="10">
        <f t="shared" si="91"/>
        <v>2.4326617179875935E-2</v>
      </c>
      <c r="K927" s="24">
        <f t="shared" si="92"/>
        <v>76</v>
      </c>
      <c r="L927" s="19">
        <f t="shared" si="93"/>
        <v>3.1004105850931509</v>
      </c>
      <c r="M927" s="19">
        <f t="shared" si="94"/>
        <v>1.7300023377849007E-10</v>
      </c>
    </row>
    <row r="928" spans="7:13">
      <c r="G928" s="3">
        <v>915</v>
      </c>
      <c r="H928" s="5">
        <f t="shared" si="90"/>
        <v>76.25</v>
      </c>
      <c r="I928" s="4">
        <f t="shared" si="89"/>
        <v>9.921806240061509E-9</v>
      </c>
      <c r="J928" s="10">
        <f t="shared" si="91"/>
        <v>2.4227909676833474E-2</v>
      </c>
      <c r="K928" s="24">
        <f t="shared" si="92"/>
        <v>76</v>
      </c>
      <c r="L928" s="19">
        <f t="shared" si="93"/>
        <v>3.1004105850931509</v>
      </c>
      <c r="M928" s="19">
        <f t="shared" si="94"/>
        <v>1.4566854258742608E-10</v>
      </c>
    </row>
    <row r="929" spans="7:13">
      <c r="G929" s="3">
        <v>916</v>
      </c>
      <c r="H929" s="5">
        <f t="shared" si="90"/>
        <v>76.333333333333329</v>
      </c>
      <c r="I929" s="4">
        <f t="shared" si="89"/>
        <v>8.2851385261647143E-9</v>
      </c>
      <c r="J929" s="10">
        <f t="shared" si="91"/>
        <v>2.412960268862975E-2</v>
      </c>
      <c r="K929" s="24">
        <f t="shared" si="92"/>
        <v>76</v>
      </c>
      <c r="L929" s="19">
        <f t="shared" si="93"/>
        <v>3.1004105850931509</v>
      </c>
      <c r="M929" s="19">
        <f t="shared" si="94"/>
        <v>1.2244185406054274E-10</v>
      </c>
    </row>
    <row r="930" spans="7:13">
      <c r="G930" s="3">
        <v>917</v>
      </c>
      <c r="H930" s="5">
        <f t="shared" si="90"/>
        <v>76.416666666666671</v>
      </c>
      <c r="I930" s="4">
        <f t="shared" si="89"/>
        <v>6.9062534817924293E-9</v>
      </c>
      <c r="J930" s="10">
        <f t="shared" si="91"/>
        <v>2.4031694590138677E-2</v>
      </c>
      <c r="K930" s="24">
        <f t="shared" si="92"/>
        <v>76</v>
      </c>
      <c r="L930" s="19">
        <f t="shared" si="93"/>
        <v>3.1004105850931509</v>
      </c>
      <c r="M930" s="19">
        <f t="shared" si="94"/>
        <v>1.0273813274526642E-10</v>
      </c>
    </row>
    <row r="931" spans="7:13">
      <c r="G931" s="3">
        <v>918</v>
      </c>
      <c r="H931" s="5">
        <f t="shared" si="90"/>
        <v>76.5</v>
      </c>
      <c r="I931" s="4">
        <f t="shared" si="89"/>
        <v>5.7466065169737813E-9</v>
      </c>
      <c r="J931" s="10">
        <f t="shared" si="91"/>
        <v>2.393418376282834E-2</v>
      </c>
      <c r="K931" s="24">
        <f t="shared" si="92"/>
        <v>76</v>
      </c>
      <c r="L931" s="19">
        <f t="shared" si="93"/>
        <v>3.1004105850931509</v>
      </c>
      <c r="M931" s="19">
        <f t="shared" si="94"/>
        <v>8.6052526896361967E-11</v>
      </c>
    </row>
    <row r="932" spans="7:13">
      <c r="G932" s="3">
        <v>919</v>
      </c>
      <c r="H932" s="5">
        <f t="shared" si="90"/>
        <v>76.583333333333329</v>
      </c>
      <c r="I932" s="4">
        <f t="shared" si="89"/>
        <v>4.7730835867314871E-9</v>
      </c>
      <c r="J932" s="10">
        <f t="shared" si="91"/>
        <v>2.3837068594734084E-2</v>
      </c>
      <c r="K932" s="24">
        <f t="shared" si="92"/>
        <v>76</v>
      </c>
      <c r="L932" s="19">
        <f t="shared" si="93"/>
        <v>3.1004105850931509</v>
      </c>
      <c r="M932" s="19">
        <f t="shared" si="94"/>
        <v>7.1947919896977223E-11</v>
      </c>
    </row>
    <row r="933" spans="7:13">
      <c r="G933" s="3">
        <v>920</v>
      </c>
      <c r="H933" s="5">
        <f t="shared" si="90"/>
        <v>76.666666666666671</v>
      </c>
      <c r="I933" s="4">
        <f t="shared" si="89"/>
        <v>3.957287489820043E-9</v>
      </c>
      <c r="J933" s="10">
        <f t="shared" si="91"/>
        <v>2.3740347480431963E-2</v>
      </c>
      <c r="K933" s="24">
        <f t="shared" si="92"/>
        <v>76</v>
      </c>
      <c r="L933" s="19">
        <f t="shared" si="93"/>
        <v>3.1004105850931509</v>
      </c>
      <c r="M933" s="19">
        <f t="shared" si="94"/>
        <v>6.0046528640577495E-11</v>
      </c>
    </row>
    <row r="934" spans="7:13">
      <c r="G934" s="3">
        <v>921</v>
      </c>
      <c r="H934" s="5">
        <f t="shared" si="90"/>
        <v>76.75</v>
      </c>
      <c r="I934" s="4">
        <f t="shared" si="89"/>
        <v>3.2749104151043374E-9</v>
      </c>
      <c r="J934" s="10">
        <f t="shared" si="91"/>
        <v>2.3644018821012257E-2</v>
      </c>
      <c r="K934" s="24">
        <f t="shared" si="92"/>
        <v>76</v>
      </c>
      <c r="L934" s="19">
        <f t="shared" si="93"/>
        <v>3.1004105850931509</v>
      </c>
      <c r="M934" s="19">
        <f t="shared" si="94"/>
        <v>5.002244726847256E-11</v>
      </c>
    </row>
    <row r="935" spans="7:13">
      <c r="G935" s="3">
        <v>922</v>
      </c>
      <c r="H935" s="5">
        <f t="shared" si="90"/>
        <v>76.833333333333329</v>
      </c>
      <c r="I935" s="4">
        <f t="shared" si="89"/>
        <v>2.7051833614797749E-9</v>
      </c>
      <c r="J935" s="10">
        <f t="shared" si="91"/>
        <v>2.3548081024052894E-2</v>
      </c>
      <c r="K935" s="24">
        <f t="shared" si="92"/>
        <v>76</v>
      </c>
      <c r="L935" s="19">
        <f t="shared" si="93"/>
        <v>3.1004105850931509</v>
      </c>
      <c r="M935" s="19">
        <f t="shared" si="94"/>
        <v>4.1595042743986649E-11</v>
      </c>
    </row>
    <row r="936" spans="7:13">
      <c r="G936" s="3">
        <v>923</v>
      </c>
      <c r="H936" s="5">
        <f t="shared" si="90"/>
        <v>76.916666666666671</v>
      </c>
      <c r="I936" s="4">
        <f t="shared" ref="I936:I999" si="95">I935*(B$9^(1/12))*B$8^((B$5^(B$7+H935))*((B$5^(1/12)-1)))</f>
        <v>2.2303939390477778E-9</v>
      </c>
      <c r="J936" s="10">
        <f t="shared" si="91"/>
        <v>2.3452532503593203E-2</v>
      </c>
      <c r="K936" s="24">
        <f t="shared" si="92"/>
        <v>76</v>
      </c>
      <c r="L936" s="19">
        <f t="shared" si="93"/>
        <v>3.1004105850931509</v>
      </c>
      <c r="M936" s="19">
        <f t="shared" si="94"/>
        <v>3.4523116392949872E-11</v>
      </c>
    </row>
    <row r="937" spans="7:13">
      <c r="G937" s="3">
        <v>924</v>
      </c>
      <c r="H937" s="5">
        <f t="shared" si="90"/>
        <v>77</v>
      </c>
      <c r="I937" s="4">
        <f t="shared" si="95"/>
        <v>1.8354648749329042E-9</v>
      </c>
      <c r="J937" s="10">
        <f t="shared" si="91"/>
        <v>2.3357371680107829E-2</v>
      </c>
      <c r="K937" s="24">
        <f t="shared" si="92"/>
        <v>77</v>
      </c>
      <c r="L937" s="19">
        <f t="shared" si="93"/>
        <v>3.1469167438695482</v>
      </c>
      <c r="M937" s="19">
        <f t="shared" si="94"/>
        <v>2.8599752751424697E-11</v>
      </c>
    </row>
    <row r="938" spans="7:13">
      <c r="G938" s="3">
        <v>925</v>
      </c>
      <c r="H938" s="5">
        <f t="shared" si="90"/>
        <v>77.083333333333329</v>
      </c>
      <c r="I938" s="4">
        <f t="shared" si="95"/>
        <v>1.5075862996673981E-9</v>
      </c>
      <c r="J938" s="10">
        <f t="shared" si="91"/>
        <v>2.3262596980480176E-2</v>
      </c>
      <c r="K938" s="24">
        <f t="shared" si="92"/>
        <v>77</v>
      </c>
      <c r="L938" s="19">
        <f t="shared" si="93"/>
        <v>3.1469167438695482</v>
      </c>
      <c r="M938" s="19">
        <f t="shared" si="94"/>
        <v>2.4002500596502539E-11</v>
      </c>
    </row>
    <row r="939" spans="7:13">
      <c r="G939" s="3">
        <v>926</v>
      </c>
      <c r="H939" s="5">
        <f t="shared" si="90"/>
        <v>77.166666666666671</v>
      </c>
      <c r="I939" s="4">
        <f t="shared" si="95"/>
        <v>1.2358955825747473E-9</v>
      </c>
      <c r="J939" s="10">
        <f t="shared" si="91"/>
        <v>2.316820683797708E-2</v>
      </c>
      <c r="K939" s="24">
        <f t="shared" si="92"/>
        <v>77</v>
      </c>
      <c r="L939" s="19">
        <f t="shared" si="93"/>
        <v>3.1469167438695482</v>
      </c>
      <c r="M939" s="19">
        <f t="shared" si="94"/>
        <v>1.9808540374994096E-11</v>
      </c>
    </row>
    <row r="940" spans="7:13">
      <c r="G940" s="3">
        <v>927</v>
      </c>
      <c r="H940" s="5">
        <f t="shared" si="90"/>
        <v>77.25</v>
      </c>
      <c r="I940" s="4">
        <f t="shared" si="95"/>
        <v>1.0111991202120701E-9</v>
      </c>
      <c r="J940" s="10">
        <f t="shared" si="91"/>
        <v>2.3074199692222352E-2</v>
      </c>
      <c r="K940" s="24">
        <f t="shared" si="92"/>
        <v>77</v>
      </c>
      <c r="L940" s="19">
        <f t="shared" si="93"/>
        <v>3.1469167438695482</v>
      </c>
      <c r="M940" s="19">
        <f t="shared" si="94"/>
        <v>1.6315791054038987E-11</v>
      </c>
    </row>
    <row r="941" spans="7:13">
      <c r="G941" s="3">
        <v>928</v>
      </c>
      <c r="H941" s="5">
        <f t="shared" si="90"/>
        <v>77.333333333333329</v>
      </c>
      <c r="I941" s="4">
        <f t="shared" si="95"/>
        <v>8.2573106386433312E-10</v>
      </c>
      <c r="J941" s="10">
        <f t="shared" si="91"/>
        <v>2.2980573989171187E-2</v>
      </c>
      <c r="K941" s="24">
        <f t="shared" si="92"/>
        <v>77</v>
      </c>
      <c r="L941" s="19">
        <f t="shared" si="93"/>
        <v>3.1469167438695482</v>
      </c>
      <c r="M941" s="19">
        <f t="shared" si="94"/>
        <v>1.3412670194987204E-11</v>
      </c>
    </row>
    <row r="942" spans="7:13">
      <c r="G942" s="3">
        <v>929</v>
      </c>
      <c r="H942" s="5">
        <f t="shared" si="90"/>
        <v>77.416666666666671</v>
      </c>
      <c r="I942" s="4">
        <f t="shared" si="95"/>
        <v>6.7294450350177652E-10</v>
      </c>
      <c r="J942" s="10">
        <f t="shared" si="91"/>
        <v>2.2887328181084465E-2</v>
      </c>
      <c r="K942" s="24">
        <f t="shared" si="92"/>
        <v>77</v>
      </c>
      <c r="L942" s="19">
        <f t="shared" si="93"/>
        <v>3.1469167438695482</v>
      </c>
      <c r="M942" s="19">
        <f t="shared" si="94"/>
        <v>1.100437810350941E-11</v>
      </c>
    </row>
    <row r="943" spans="7:13">
      <c r="G943" s="3">
        <v>930</v>
      </c>
      <c r="H943" s="5">
        <f t="shared" si="90"/>
        <v>77.5</v>
      </c>
      <c r="I943" s="4">
        <f t="shared" si="95"/>
        <v>5.4733110966889262E-10</v>
      </c>
      <c r="J943" s="10">
        <f t="shared" si="91"/>
        <v>2.2794460726503176E-2</v>
      </c>
      <c r="K943" s="24">
        <f t="shared" si="92"/>
        <v>77</v>
      </c>
      <c r="L943" s="19">
        <f t="shared" si="93"/>
        <v>3.1469167438695482</v>
      </c>
      <c r="M943" s="19">
        <f t="shared" si="94"/>
        <v>9.0105338980788078E-12</v>
      </c>
    </row>
    <row r="944" spans="7:13">
      <c r="G944" s="3">
        <v>931</v>
      </c>
      <c r="H944" s="5">
        <f t="shared" si="90"/>
        <v>77.583333333333329</v>
      </c>
      <c r="I944" s="4">
        <f t="shared" si="95"/>
        <v>4.4426567457263918E-10</v>
      </c>
      <c r="J944" s="10">
        <f t="shared" si="91"/>
        <v>2.2701970090222935E-2</v>
      </c>
      <c r="K944" s="24">
        <f t="shared" si="92"/>
        <v>77</v>
      </c>
      <c r="L944" s="19">
        <f t="shared" si="93"/>
        <v>3.1469167438695482</v>
      </c>
      <c r="M944" s="19">
        <f t="shared" si="94"/>
        <v>7.363119371401515E-12</v>
      </c>
    </row>
    <row r="945" spans="7:13">
      <c r="G945" s="3">
        <v>932</v>
      </c>
      <c r="H945" s="5">
        <f t="shared" si="90"/>
        <v>77.666666666666671</v>
      </c>
      <c r="I945" s="4">
        <f t="shared" si="95"/>
        <v>3.5987239221472105E-10</v>
      </c>
      <c r="J945" s="10">
        <f t="shared" si="91"/>
        <v>2.2609854743268546E-2</v>
      </c>
      <c r="K945" s="24">
        <f t="shared" si="92"/>
        <v>77</v>
      </c>
      <c r="L945" s="19">
        <f t="shared" si="93"/>
        <v>3.1469167438695482</v>
      </c>
      <c r="M945" s="19">
        <f t="shared" si="94"/>
        <v>6.0046943223316963E-12</v>
      </c>
    </row>
    <row r="946" spans="7:13">
      <c r="G946" s="3">
        <v>933</v>
      </c>
      <c r="H946" s="5">
        <f t="shared" si="90"/>
        <v>77.75</v>
      </c>
      <c r="I946" s="4">
        <f t="shared" si="95"/>
        <v>2.9091007771797048E-10</v>
      </c>
      <c r="J946" s="10">
        <f t="shared" si="91"/>
        <v>2.2518113162868812E-2</v>
      </c>
      <c r="K946" s="24">
        <f t="shared" si="92"/>
        <v>77</v>
      </c>
      <c r="L946" s="19">
        <f t="shared" si="93"/>
        <v>3.1469167438695482</v>
      </c>
      <c r="M946" s="19">
        <f t="shared" si="94"/>
        <v>4.8868507935547395E-12</v>
      </c>
    </row>
    <row r="947" spans="7:13">
      <c r="G947" s="3">
        <v>934</v>
      </c>
      <c r="H947" s="5">
        <f t="shared" si="90"/>
        <v>77.833333333333329</v>
      </c>
      <c r="I947" s="4">
        <f t="shared" si="95"/>
        <v>2.3467385088142935E-10</v>
      </c>
      <c r="J947" s="10">
        <f t="shared" si="91"/>
        <v>2.2426743832431321E-2</v>
      </c>
      <c r="K947" s="24">
        <f t="shared" si="92"/>
        <v>77</v>
      </c>
      <c r="L947" s="19">
        <f t="shared" si="93"/>
        <v>3.1469167438695482</v>
      </c>
      <c r="M947" s="19">
        <f t="shared" si="94"/>
        <v>3.9688770894883761E-12</v>
      </c>
    </row>
    <row r="948" spans="7:13">
      <c r="G948" s="3">
        <v>935</v>
      </c>
      <c r="H948" s="5">
        <f t="shared" si="90"/>
        <v>77.916666666666671</v>
      </c>
      <c r="I948" s="4">
        <f t="shared" si="95"/>
        <v>1.8891110120375798E-10</v>
      </c>
      <c r="J948" s="10">
        <f t="shared" si="91"/>
        <v>2.2335745241517345E-2</v>
      </c>
      <c r="K948" s="24">
        <f t="shared" si="92"/>
        <v>77</v>
      </c>
      <c r="L948" s="19">
        <f t="shared" si="93"/>
        <v>3.1469167438695482</v>
      </c>
      <c r="M948" s="19">
        <f t="shared" si="94"/>
        <v>3.2166055876057937E-12</v>
      </c>
    </row>
    <row r="949" spans="7:13">
      <c r="G949" s="3">
        <v>936</v>
      </c>
      <c r="H949" s="5">
        <f t="shared" si="90"/>
        <v>78</v>
      </c>
      <c r="I949" s="4">
        <f t="shared" si="95"/>
        <v>1.5174981376183689E-10</v>
      </c>
      <c r="J949" s="10">
        <f t="shared" si="91"/>
        <v>2.2245115885816989E-2</v>
      </c>
      <c r="K949" s="24">
        <f t="shared" si="92"/>
        <v>78</v>
      </c>
      <c r="L949" s="19">
        <f t="shared" si="93"/>
        <v>3.1941204950275908</v>
      </c>
      <c r="M949" s="19">
        <f t="shared" si="94"/>
        <v>2.601421212964835E-12</v>
      </c>
    </row>
    <row r="950" spans="7:13">
      <c r="G950" s="3">
        <v>937</v>
      </c>
      <c r="H950" s="5">
        <f t="shared" si="90"/>
        <v>78.083333333333329</v>
      </c>
      <c r="I950" s="4">
        <f t="shared" si="95"/>
        <v>1.216375699165819E-10</v>
      </c>
      <c r="J950" s="10">
        <f t="shared" si="91"/>
        <v>2.2154854267123977E-2</v>
      </c>
      <c r="K950" s="24">
        <f t="shared" si="92"/>
        <v>78</v>
      </c>
      <c r="L950" s="19">
        <f t="shared" si="93"/>
        <v>3.1941204950275908</v>
      </c>
      <c r="M950" s="19">
        <f t="shared" si="94"/>
        <v>2.1309011888422524E-12</v>
      </c>
    </row>
    <row r="951" spans="7:13">
      <c r="G951" s="3">
        <v>938</v>
      </c>
      <c r="H951" s="5">
        <f t="shared" si="90"/>
        <v>78.166666666666671</v>
      </c>
      <c r="I951" s="4">
        <f t="shared" si="95"/>
        <v>9.7289746205839698E-11</v>
      </c>
      <c r="J951" s="10">
        <f t="shared" si="91"/>
        <v>2.2064958893311511E-2</v>
      </c>
      <c r="K951" s="24">
        <f t="shared" si="92"/>
        <v>78</v>
      </c>
      <c r="L951" s="19">
        <f t="shared" si="93"/>
        <v>3.1941204950275908</v>
      </c>
      <c r="M951" s="19">
        <f t="shared" si="94"/>
        <v>1.7159892654383128E-12</v>
      </c>
    </row>
    <row r="952" spans="7:13">
      <c r="G952" s="3">
        <v>939</v>
      </c>
      <c r="H952" s="5">
        <f t="shared" si="90"/>
        <v>78.25</v>
      </c>
      <c r="I952" s="4">
        <f t="shared" si="95"/>
        <v>7.7645621205650242E-11</v>
      </c>
      <c r="J952" s="10">
        <f t="shared" si="91"/>
        <v>2.1975428278307008E-2</v>
      </c>
      <c r="K952" s="24">
        <f t="shared" si="92"/>
        <v>78</v>
      </c>
      <c r="L952" s="19">
        <f t="shared" si="93"/>
        <v>3.1941204950275908</v>
      </c>
      <c r="M952" s="19">
        <f t="shared" si="94"/>
        <v>1.3788636800061487E-12</v>
      </c>
    </row>
    <row r="953" spans="7:13">
      <c r="G953" s="3">
        <v>940</v>
      </c>
      <c r="H953" s="5">
        <f t="shared" si="90"/>
        <v>78.333333333333329</v>
      </c>
      <c r="I953" s="4">
        <f t="shared" si="95"/>
        <v>6.1831265691786005E-11</v>
      </c>
      <c r="J953" s="10">
        <f t="shared" si="91"/>
        <v>2.1886260942067793E-2</v>
      </c>
      <c r="K953" s="24">
        <f t="shared" si="92"/>
        <v>78</v>
      </c>
      <c r="L953" s="19">
        <f t="shared" si="93"/>
        <v>3.1941204950275908</v>
      </c>
      <c r="M953" s="19">
        <f t="shared" si="94"/>
        <v>1.1055397592250425E-12</v>
      </c>
    </row>
    <row r="954" spans="7:13">
      <c r="G954" s="3">
        <v>941</v>
      </c>
      <c r="H954" s="5">
        <f t="shared" si="90"/>
        <v>78.416666666666671</v>
      </c>
      <c r="I954" s="4">
        <f t="shared" si="95"/>
        <v>4.9128238073784517E-11</v>
      </c>
      <c r="J954" s="10">
        <f t="shared" si="91"/>
        <v>2.1797455410556627E-2</v>
      </c>
      <c r="K954" s="24">
        <f t="shared" si="92"/>
        <v>78</v>
      </c>
      <c r="L954" s="19">
        <f t="shared" si="93"/>
        <v>3.1941204950275908</v>
      </c>
      <c r="M954" s="19">
        <f t="shared" si="94"/>
        <v>8.844317721067472E-13</v>
      </c>
    </row>
    <row r="955" spans="7:13">
      <c r="G955" s="3">
        <v>942</v>
      </c>
      <c r="H955" s="5">
        <f t="shared" si="90"/>
        <v>78.5</v>
      </c>
      <c r="I955" s="4">
        <f t="shared" si="95"/>
        <v>3.8947236630424013E-11</v>
      </c>
      <c r="J955" s="10">
        <f t="shared" si="91"/>
        <v>2.1709010215717316E-2</v>
      </c>
      <c r="K955" s="24">
        <f t="shared" si="92"/>
        <v>78</v>
      </c>
      <c r="L955" s="19">
        <f t="shared" si="93"/>
        <v>3.1941204950275908</v>
      </c>
      <c r="M955" s="19">
        <f t="shared" si="94"/>
        <v>7.0596280084887992E-13</v>
      </c>
    </row>
    <row r="956" spans="7:13">
      <c r="G956" s="3">
        <v>943</v>
      </c>
      <c r="H956" s="5">
        <f t="shared" si="90"/>
        <v>78.583333333333329</v>
      </c>
      <c r="I956" s="4">
        <f t="shared" si="95"/>
        <v>3.0805974244232796E-11</v>
      </c>
      <c r="J956" s="10">
        <f t="shared" si="91"/>
        <v>2.1620923895450408E-2</v>
      </c>
      <c r="K956" s="24">
        <f t="shared" si="92"/>
        <v>78</v>
      </c>
      <c r="L956" s="19">
        <f t="shared" si="93"/>
        <v>3.1941204950275908</v>
      </c>
      <c r="M956" s="19">
        <f t="shared" si="94"/>
        <v>5.6223424632964962E-13</v>
      </c>
    </row>
    <row r="957" spans="7:13">
      <c r="G957" s="3">
        <v>944</v>
      </c>
      <c r="H957" s="5">
        <f t="shared" si="90"/>
        <v>78.666666666666671</v>
      </c>
      <c r="I957" s="4">
        <f t="shared" si="95"/>
        <v>2.4310641680858902E-11</v>
      </c>
      <c r="J957" s="10">
        <f t="shared" si="91"/>
        <v>2.1533194993589088E-2</v>
      </c>
      <c r="K957" s="24">
        <f t="shared" si="92"/>
        <v>78</v>
      </c>
      <c r="L957" s="19">
        <f t="shared" si="93"/>
        <v>3.1941204950275908</v>
      </c>
      <c r="M957" s="19">
        <f t="shared" si="94"/>
        <v>4.4674650192595267E-13</v>
      </c>
    </row>
    <row r="958" spans="7:13">
      <c r="G958" s="3">
        <v>945</v>
      </c>
      <c r="H958" s="5">
        <f t="shared" si="90"/>
        <v>78.75</v>
      </c>
      <c r="I958" s="4">
        <f t="shared" si="95"/>
        <v>1.9140413431082204E-11</v>
      </c>
      <c r="J958" s="10">
        <f t="shared" si="91"/>
        <v>2.1445822059875067E-2</v>
      </c>
      <c r="K958" s="24">
        <f t="shared" si="92"/>
        <v>78</v>
      </c>
      <c r="L958" s="19">
        <f t="shared" si="93"/>
        <v>3.1941204950275908</v>
      </c>
      <c r="M958" s="19">
        <f t="shared" si="94"/>
        <v>3.541634258653235E-13</v>
      </c>
    </row>
    <row r="959" spans="7:13">
      <c r="G959" s="3">
        <v>946</v>
      </c>
      <c r="H959" s="5">
        <f t="shared" si="90"/>
        <v>78.833333333333329</v>
      </c>
      <c r="I959" s="4">
        <f t="shared" si="95"/>
        <v>1.5034527054357539E-11</v>
      </c>
      <c r="J959" s="10">
        <f t="shared" si="91"/>
        <v>2.1358803649934602E-2</v>
      </c>
      <c r="K959" s="24">
        <f t="shared" si="92"/>
        <v>78</v>
      </c>
      <c r="L959" s="19">
        <f t="shared" si="93"/>
        <v>3.1941204950275908</v>
      </c>
      <c r="M959" s="19">
        <f t="shared" si="94"/>
        <v>2.8011421307937243E-13</v>
      </c>
    </row>
    <row r="960" spans="7:13">
      <c r="G960" s="3">
        <v>947</v>
      </c>
      <c r="H960" s="5">
        <f t="shared" si="90"/>
        <v>78.916666666666671</v>
      </c>
      <c r="I960" s="4">
        <f t="shared" si="95"/>
        <v>1.178153404516598E-11</v>
      </c>
      <c r="J960" s="10">
        <f t="shared" si="91"/>
        <v>2.1272138325254611E-2</v>
      </c>
      <c r="K960" s="24">
        <f t="shared" si="92"/>
        <v>78</v>
      </c>
      <c r="L960" s="19">
        <f t="shared" si="93"/>
        <v>3.1941204950275908</v>
      </c>
      <c r="M960" s="19">
        <f t="shared" si="94"/>
        <v>2.2102712456582219E-13</v>
      </c>
    </row>
    <row r="961" spans="7:13">
      <c r="G961" s="3">
        <v>948</v>
      </c>
      <c r="H961" s="5">
        <f t="shared" si="90"/>
        <v>79</v>
      </c>
      <c r="I961" s="4">
        <f t="shared" si="95"/>
        <v>9.2103785917024998E-12</v>
      </c>
      <c r="J961" s="10">
        <f t="shared" si="91"/>
        <v>2.1185824653159029E-2</v>
      </c>
      <c r="K961" s="24">
        <f t="shared" si="92"/>
        <v>79</v>
      </c>
      <c r="L961" s="19">
        <f t="shared" si="93"/>
        <v>3.242032302453004</v>
      </c>
      <c r="M961" s="19">
        <f t="shared" si="94"/>
        <v>1.7399028681733041E-13</v>
      </c>
    </row>
    <row r="962" spans="7:13">
      <c r="G962" s="3">
        <v>949</v>
      </c>
      <c r="H962" s="5">
        <f t="shared" si="90"/>
        <v>79.083333333333329</v>
      </c>
      <c r="I962" s="4">
        <f t="shared" si="95"/>
        <v>7.1830112135996873E-12</v>
      </c>
      <c r="J962" s="10">
        <f t="shared" si="91"/>
        <v>2.1099861206784743E-2</v>
      </c>
      <c r="K962" s="24">
        <f t="shared" si="92"/>
        <v>79</v>
      </c>
      <c r="L962" s="19">
        <f t="shared" si="93"/>
        <v>3.242032302453004</v>
      </c>
      <c r="M962" s="19">
        <f t="shared" si="94"/>
        <v>1.3868496789786837E-13</v>
      </c>
    </row>
    <row r="963" spans="7:13">
      <c r="G963" s="3">
        <v>950</v>
      </c>
      <c r="H963" s="5">
        <f t="shared" si="90"/>
        <v>79.166666666666671</v>
      </c>
      <c r="I963" s="4">
        <f t="shared" si="95"/>
        <v>5.5882880591935542E-12</v>
      </c>
      <c r="J963" s="10">
        <f t="shared" si="91"/>
        <v>2.1014246565058577E-2</v>
      </c>
      <c r="K963" s="24">
        <f t="shared" si="92"/>
        <v>79</v>
      </c>
      <c r="L963" s="19">
        <f t="shared" si="93"/>
        <v>3.242032302453004</v>
      </c>
      <c r="M963" s="19">
        <f t="shared" si="94"/>
        <v>1.0864668037371715E-13</v>
      </c>
    </row>
    <row r="964" spans="7:13">
      <c r="G964" s="3">
        <v>951</v>
      </c>
      <c r="H964" s="5">
        <f t="shared" si="90"/>
        <v>79.25</v>
      </c>
      <c r="I964" s="4">
        <f t="shared" si="95"/>
        <v>4.3369444319036785E-12</v>
      </c>
      <c r="J964" s="10">
        <f t="shared" si="91"/>
        <v>2.0928979312673339E-2</v>
      </c>
      <c r="K964" s="24">
        <f t="shared" si="92"/>
        <v>79</v>
      </c>
      <c r="L964" s="19">
        <f t="shared" si="93"/>
        <v>3.242032302453004</v>
      </c>
      <c r="M964" s="19">
        <f t="shared" si="94"/>
        <v>8.4906702108908838E-14</v>
      </c>
    </row>
    <row r="965" spans="7:13">
      <c r="G965" s="3">
        <v>952</v>
      </c>
      <c r="H965" s="5">
        <f t="shared" si="90"/>
        <v>79.333333333333329</v>
      </c>
      <c r="I965" s="4">
        <f t="shared" si="95"/>
        <v>3.3574636353994029E-12</v>
      </c>
      <c r="J965" s="10">
        <f t="shared" si="91"/>
        <v>2.0844058040064572E-2</v>
      </c>
      <c r="K965" s="24">
        <f t="shared" si="92"/>
        <v>79</v>
      </c>
      <c r="L965" s="19">
        <f t="shared" si="93"/>
        <v>3.242032302453004</v>
      </c>
      <c r="M965" s="19">
        <f t="shared" si="94"/>
        <v>6.6190481019019678E-14</v>
      </c>
    </row>
    <row r="966" spans="7:13">
      <c r="G966" s="3">
        <v>953</v>
      </c>
      <c r="H966" s="5">
        <f t="shared" si="90"/>
        <v>79.416666666666671</v>
      </c>
      <c r="I966" s="4">
        <f t="shared" si="95"/>
        <v>2.5926901374376173E-12</v>
      </c>
      <c r="J966" s="10">
        <f t="shared" si="91"/>
        <v>2.0759481343387263E-2</v>
      </c>
      <c r="K966" s="24">
        <f t="shared" si="92"/>
        <v>79</v>
      </c>
      <c r="L966" s="19">
        <f t="shared" si="93"/>
        <v>3.242032302453004</v>
      </c>
      <c r="M966" s="19">
        <f t="shared" si="94"/>
        <v>5.1471481213447149E-14</v>
      </c>
    </row>
    <row r="967" spans="7:13">
      <c r="G967" s="3">
        <v>954</v>
      </c>
      <c r="H967" s="5">
        <f t="shared" si="90"/>
        <v>79.5</v>
      </c>
      <c r="I967" s="4">
        <f t="shared" si="95"/>
        <v>1.9970599409950755E-12</v>
      </c>
      <c r="J967" s="10">
        <f t="shared" si="91"/>
        <v>2.067524782449268E-2</v>
      </c>
      <c r="K967" s="24">
        <f t="shared" si="92"/>
        <v>79</v>
      </c>
      <c r="L967" s="19">
        <f t="shared" si="93"/>
        <v>3.242032302453004</v>
      </c>
      <c r="M967" s="19">
        <f t="shared" si="94"/>
        <v>3.9924985633327405E-14</v>
      </c>
    </row>
    <row r="968" spans="7:13">
      <c r="G968" s="3">
        <v>955</v>
      </c>
      <c r="H968" s="5">
        <f t="shared" si="90"/>
        <v>79.583333333333329</v>
      </c>
      <c r="I968" s="4">
        <f t="shared" si="95"/>
        <v>1.5343414421455747E-12</v>
      </c>
      <c r="J968" s="10">
        <f t="shared" si="91"/>
        <v>2.0591356090905157E-2</v>
      </c>
      <c r="K968" s="24">
        <f t="shared" si="92"/>
        <v>79</v>
      </c>
      <c r="L968" s="19">
        <f t="shared" si="93"/>
        <v>3.242032302453004</v>
      </c>
      <c r="M968" s="19">
        <f t="shared" si="94"/>
        <v>3.0890088250671784E-14</v>
      </c>
    </row>
    <row r="969" spans="7:13">
      <c r="G969" s="3">
        <v>956</v>
      </c>
      <c r="H969" s="5">
        <f t="shared" si="90"/>
        <v>79.666666666666671</v>
      </c>
      <c r="I969" s="4">
        <f t="shared" si="95"/>
        <v>1.1757974113780529E-12</v>
      </c>
      <c r="J969" s="10">
        <f t="shared" si="91"/>
        <v>2.0507804755799126E-2</v>
      </c>
      <c r="K969" s="24">
        <f t="shared" si="92"/>
        <v>79</v>
      </c>
      <c r="L969" s="19">
        <f t="shared" si="93"/>
        <v>3.242032302453004</v>
      </c>
      <c r="M969" s="19">
        <f t="shared" si="94"/>
        <v>2.3838504593365857E-14</v>
      </c>
    </row>
    <row r="970" spans="7:13">
      <c r="G970" s="3">
        <v>957</v>
      </c>
      <c r="H970" s="5">
        <f t="shared" si="90"/>
        <v>79.75</v>
      </c>
      <c r="I970" s="4">
        <f t="shared" si="95"/>
        <v>8.9869346914966522E-13</v>
      </c>
      <c r="J970" s="10">
        <f t="shared" si="91"/>
        <v>2.0424592437976251E-2</v>
      </c>
      <c r="K970" s="24">
        <f t="shared" si="92"/>
        <v>79</v>
      </c>
      <c r="L970" s="19">
        <f t="shared" si="93"/>
        <v>3.242032302453004</v>
      </c>
      <c r="M970" s="19">
        <f t="shared" si="94"/>
        <v>1.8349043962319602E-14</v>
      </c>
    </row>
    <row r="971" spans="7:13">
      <c r="G971" s="3">
        <v>958</v>
      </c>
      <c r="H971" s="5">
        <f t="shared" si="90"/>
        <v>79.833333333333329</v>
      </c>
      <c r="I971" s="4">
        <f t="shared" si="95"/>
        <v>6.8509089901983548E-13</v>
      </c>
      <c r="J971" s="10">
        <f t="shared" si="91"/>
        <v>2.0341717761842473E-2</v>
      </c>
      <c r="K971" s="24">
        <f t="shared" si="92"/>
        <v>79</v>
      </c>
      <c r="L971" s="19">
        <f t="shared" si="93"/>
        <v>3.242032302453004</v>
      </c>
      <c r="M971" s="19">
        <f t="shared" si="94"/>
        <v>1.4086770393047089E-14</v>
      </c>
    </row>
    <row r="972" spans="7:13">
      <c r="G972" s="3">
        <v>959</v>
      </c>
      <c r="H972" s="5">
        <f t="shared" si="90"/>
        <v>79.916666666666671</v>
      </c>
      <c r="I972" s="4">
        <f t="shared" si="95"/>
        <v>5.2087217025196756E-13</v>
      </c>
      <c r="J972" s="10">
        <f t="shared" si="91"/>
        <v>2.0259179357385339E-2</v>
      </c>
      <c r="K972" s="24">
        <f t="shared" si="92"/>
        <v>79</v>
      </c>
      <c r="L972" s="19">
        <f t="shared" si="93"/>
        <v>3.242032302453004</v>
      </c>
      <c r="M972" s="19">
        <f t="shared" si="94"/>
        <v>1.078603618461382E-14</v>
      </c>
    </row>
    <row r="973" spans="7:13">
      <c r="G973" s="3">
        <v>960</v>
      </c>
      <c r="H973" s="5">
        <f t="shared" si="90"/>
        <v>80</v>
      </c>
      <c r="I973" s="4">
        <f t="shared" si="95"/>
        <v>3.9495640422293414E-13</v>
      </c>
      <c r="J973" s="10">
        <f t="shared" si="91"/>
        <v>2.0176975860151457E-2</v>
      </c>
      <c r="K973" s="24">
        <f t="shared" si="92"/>
        <v>80</v>
      </c>
      <c r="L973" s="19">
        <f t="shared" si="93"/>
        <v>3.2906627869897984</v>
      </c>
      <c r="M973" s="19">
        <f t="shared" si="94"/>
        <v>8.236705230255089E-15</v>
      </c>
    </row>
    <row r="974" spans="7:13">
      <c r="G974" s="3">
        <v>961</v>
      </c>
      <c r="H974" s="5">
        <f t="shared" ref="H974:H1037" si="96">G974/12</f>
        <v>80.083333333333329</v>
      </c>
      <c r="I974" s="4">
        <f t="shared" si="95"/>
        <v>2.9866945780544763E-13</v>
      </c>
      <c r="J974" s="10">
        <f t="shared" ref="J974:J1037" si="97">(1+B$6)^-H974</f>
        <v>2.0095105911223564E-2</v>
      </c>
      <c r="K974" s="24">
        <f t="shared" ref="K974:K1037" si="98">INT(H974+0.000001)</f>
        <v>80</v>
      </c>
      <c r="L974" s="19">
        <f t="shared" ref="L974:L1037" si="99">1.015^K974</f>
        <v>3.2906627869897984</v>
      </c>
      <c r="M974" s="19">
        <f t="shared" si="94"/>
        <v>6.3670915345114659E-15</v>
      </c>
    </row>
    <row r="975" spans="7:13">
      <c r="G975" s="3">
        <v>962</v>
      </c>
      <c r="H975" s="5">
        <f t="shared" si="96"/>
        <v>80.166666666666671</v>
      </c>
      <c r="I975" s="4">
        <f t="shared" si="95"/>
        <v>2.2523952291198238E-13</v>
      </c>
      <c r="J975" s="10">
        <f t="shared" si="97"/>
        <v>2.0013568157198642E-2</v>
      </c>
      <c r="K975" s="24">
        <f t="shared" si="98"/>
        <v>80</v>
      </c>
      <c r="L975" s="19">
        <f t="shared" si="99"/>
        <v>3.2906627869897984</v>
      </c>
      <c r="M975" s="19">
        <f t="shared" ref="M975:M1038" si="100">(I974-I975)*J975*L974</f>
        <v>4.8359416007208532E-15</v>
      </c>
    </row>
    <row r="976" spans="7:13">
      <c r="G976" s="3">
        <v>963</v>
      </c>
      <c r="H976" s="5">
        <f t="shared" si="96"/>
        <v>80.25</v>
      </c>
      <c r="I976" s="4">
        <f t="shared" si="95"/>
        <v>1.693943373332517E-13</v>
      </c>
      <c r="J976" s="10">
        <f t="shared" si="97"/>
        <v>1.9932361250165079E-2</v>
      </c>
      <c r="K976" s="24">
        <f t="shared" si="98"/>
        <v>80</v>
      </c>
      <c r="L976" s="19">
        <f t="shared" si="99"/>
        <v>3.2906627869897984</v>
      </c>
      <c r="M976" s="19">
        <f t="shared" si="100"/>
        <v>3.6629236645988233E-15</v>
      </c>
    </row>
    <row r="977" spans="7:13">
      <c r="G977" s="3">
        <v>964</v>
      </c>
      <c r="H977" s="5">
        <f t="shared" si="96"/>
        <v>80.333333333333329</v>
      </c>
      <c r="I977" s="4">
        <f t="shared" si="95"/>
        <v>1.2704042571478409E-13</v>
      </c>
      <c r="J977" s="10">
        <f t="shared" si="97"/>
        <v>1.9851483847680543E-2</v>
      </c>
      <c r="K977" s="24">
        <f t="shared" si="98"/>
        <v>80</v>
      </c>
      <c r="L977" s="19">
        <f t="shared" si="99"/>
        <v>3.2906627869897984</v>
      </c>
      <c r="M977" s="19">
        <f t="shared" si="100"/>
        <v>2.766749758273054E-15</v>
      </c>
    </row>
    <row r="978" spans="7:13">
      <c r="G978" s="3">
        <v>965</v>
      </c>
      <c r="H978" s="5">
        <f t="shared" si="96"/>
        <v>80.416666666666671</v>
      </c>
      <c r="I978" s="4">
        <f t="shared" si="95"/>
        <v>9.5008376900371562E-14</v>
      </c>
      <c r="J978" s="10">
        <f t="shared" si="97"/>
        <v>1.9770934612749771E-2</v>
      </c>
      <c r="K978" s="24">
        <f t="shared" si="98"/>
        <v>80</v>
      </c>
      <c r="L978" s="19">
        <f t="shared" si="99"/>
        <v>3.2906627869897984</v>
      </c>
      <c r="M978" s="19">
        <f t="shared" si="100"/>
        <v>2.0839884005755459E-15</v>
      </c>
    </row>
    <row r="979" spans="7:13">
      <c r="G979" s="3">
        <v>966</v>
      </c>
      <c r="H979" s="5">
        <f t="shared" si="96"/>
        <v>80.5</v>
      </c>
      <c r="I979" s="4">
        <f t="shared" si="95"/>
        <v>7.0851131567213812E-14</v>
      </c>
      <c r="J979" s="10">
        <f t="shared" si="97"/>
        <v>1.9690712213802548E-2</v>
      </c>
      <c r="K979" s="24">
        <f t="shared" si="98"/>
        <v>80</v>
      </c>
      <c r="L979" s="19">
        <f t="shared" si="99"/>
        <v>3.2906627869897984</v>
      </c>
      <c r="M979" s="19">
        <f t="shared" si="100"/>
        <v>1.5652806433811994E-15</v>
      </c>
    </row>
    <row r="980" spans="7:13">
      <c r="G980" s="3">
        <v>967</v>
      </c>
      <c r="H980" s="5">
        <f t="shared" si="96"/>
        <v>80.583333333333329</v>
      </c>
      <c r="I980" s="4">
        <f t="shared" si="95"/>
        <v>5.2684701851734926E-14</v>
      </c>
      <c r="J980" s="10">
        <f t="shared" si="97"/>
        <v>1.9610815324671575E-2</v>
      </c>
      <c r="K980" s="24">
        <f t="shared" si="98"/>
        <v>80</v>
      </c>
      <c r="L980" s="19">
        <f t="shared" si="99"/>
        <v>3.2906627869897984</v>
      </c>
      <c r="M980" s="19">
        <f t="shared" si="100"/>
        <v>1.1723265827693742E-15</v>
      </c>
    </row>
    <row r="981" spans="7:13">
      <c r="G981" s="3">
        <v>968</v>
      </c>
      <c r="H981" s="5">
        <f t="shared" si="96"/>
        <v>80.666666666666671</v>
      </c>
      <c r="I981" s="4">
        <f t="shared" si="95"/>
        <v>3.9062757574087019E-14</v>
      </c>
      <c r="J981" s="10">
        <f t="shared" si="97"/>
        <v>1.9531242624570594E-2</v>
      </c>
      <c r="K981" s="24">
        <f t="shared" si="98"/>
        <v>80</v>
      </c>
      <c r="L981" s="19">
        <f t="shared" si="99"/>
        <v>3.2906627869897984</v>
      </c>
      <c r="M981" s="19">
        <f t="shared" si="100"/>
        <v>8.7549234753738454E-16</v>
      </c>
    </row>
    <row r="982" spans="7:13">
      <c r="G982" s="3">
        <v>969</v>
      </c>
      <c r="H982" s="5">
        <f t="shared" si="96"/>
        <v>80.75</v>
      </c>
      <c r="I982" s="4">
        <f t="shared" si="95"/>
        <v>2.887816398876536E-14</v>
      </c>
      <c r="J982" s="10">
        <f t="shared" si="97"/>
        <v>1.9451992798072616E-2</v>
      </c>
      <c r="K982" s="24">
        <f t="shared" si="98"/>
        <v>80</v>
      </c>
      <c r="L982" s="19">
        <f t="shared" si="99"/>
        <v>3.2906627869897984</v>
      </c>
      <c r="M982" s="19">
        <f t="shared" si="100"/>
        <v>6.5191531428552651E-16</v>
      </c>
    </row>
    <row r="983" spans="7:13">
      <c r="G983" s="3">
        <v>970</v>
      </c>
      <c r="H983" s="5">
        <f t="shared" si="96"/>
        <v>80.833333333333329</v>
      </c>
      <c r="I983" s="4">
        <f t="shared" si="95"/>
        <v>2.1285904929638822E-14</v>
      </c>
      <c r="J983" s="10">
        <f t="shared" si="97"/>
        <v>1.9373064535088066E-2</v>
      </c>
      <c r="K983" s="24">
        <f t="shared" si="98"/>
        <v>80</v>
      </c>
      <c r="L983" s="19">
        <f t="shared" si="99"/>
        <v>3.2906627869897984</v>
      </c>
      <c r="M983" s="19">
        <f t="shared" si="100"/>
        <v>4.8400820456698466E-16</v>
      </c>
    </row>
    <row r="984" spans="7:13">
      <c r="G984" s="3">
        <v>971</v>
      </c>
      <c r="H984" s="5">
        <f t="shared" si="96"/>
        <v>80.916666666666671</v>
      </c>
      <c r="I984" s="4">
        <f t="shared" si="95"/>
        <v>1.5642924448032466E-14</v>
      </c>
      <c r="J984" s="10">
        <f t="shared" si="97"/>
        <v>1.929445653084318E-2</v>
      </c>
      <c r="K984" s="24">
        <f t="shared" si="98"/>
        <v>80</v>
      </c>
      <c r="L984" s="19">
        <f t="shared" si="99"/>
        <v>3.2906627869897984</v>
      </c>
      <c r="M984" s="19">
        <f t="shared" si="100"/>
        <v>3.5828157796821773E-16</v>
      </c>
    </row>
    <row r="985" spans="7:13">
      <c r="G985" s="3">
        <v>972</v>
      </c>
      <c r="H985" s="5">
        <f t="shared" si="96"/>
        <v>81</v>
      </c>
      <c r="I985" s="4">
        <f t="shared" si="95"/>
        <v>1.1461313029265731E-14</v>
      </c>
      <c r="J985" s="10">
        <f t="shared" si="97"/>
        <v>1.9216167485858526E-2</v>
      </c>
      <c r="K985" s="24">
        <f t="shared" si="98"/>
        <v>81</v>
      </c>
      <c r="L985" s="19">
        <f t="shared" si="99"/>
        <v>3.3400227287946453</v>
      </c>
      <c r="M985" s="19">
        <f t="shared" si="100"/>
        <v>2.6441971225995383E-16</v>
      </c>
    </row>
    <row r="986" spans="7:13">
      <c r="G986" s="3">
        <v>973</v>
      </c>
      <c r="H986" s="5">
        <f t="shared" si="96"/>
        <v>81.083333333333329</v>
      </c>
      <c r="I986" s="4">
        <f t="shared" si="95"/>
        <v>8.3719876612918231E-15</v>
      </c>
      <c r="J986" s="10">
        <f t="shared" si="97"/>
        <v>1.9138196105927201E-2</v>
      </c>
      <c r="K986" s="24">
        <f t="shared" si="98"/>
        <v>81</v>
      </c>
      <c r="L986" s="19">
        <f t="shared" si="99"/>
        <v>3.3400227287946453</v>
      </c>
      <c r="M986" s="19">
        <f t="shared" si="100"/>
        <v>1.9747588700904542E-16</v>
      </c>
    </row>
    <row r="987" spans="7:13">
      <c r="G987" s="3">
        <v>974</v>
      </c>
      <c r="H987" s="5">
        <f t="shared" si="96"/>
        <v>81.166666666666671</v>
      </c>
      <c r="I987" s="4">
        <f t="shared" si="95"/>
        <v>6.0965988733472424E-15</v>
      </c>
      <c r="J987" s="10">
        <f t="shared" si="97"/>
        <v>1.9060541102093941E-2</v>
      </c>
      <c r="K987" s="24">
        <f t="shared" si="98"/>
        <v>81</v>
      </c>
      <c r="L987" s="19">
        <f t="shared" si="99"/>
        <v>3.3400227287946453</v>
      </c>
      <c r="M987" s="19">
        <f t="shared" si="100"/>
        <v>1.4485725841401731E-16</v>
      </c>
    </row>
    <row r="988" spans="7:13">
      <c r="G988" s="3">
        <v>975</v>
      </c>
      <c r="H988" s="5">
        <f t="shared" si="96"/>
        <v>81.25</v>
      </c>
      <c r="I988" s="4">
        <f t="shared" si="95"/>
        <v>4.425867725413139E-15</v>
      </c>
      <c r="J988" s="10">
        <f t="shared" si="97"/>
        <v>1.8983201190633407E-2</v>
      </c>
      <c r="K988" s="24">
        <f t="shared" si="98"/>
        <v>81</v>
      </c>
      <c r="L988" s="19">
        <f t="shared" si="99"/>
        <v>3.3400227287946453</v>
      </c>
      <c r="M988" s="19">
        <f t="shared" si="100"/>
        <v>1.0593157808823308E-16</v>
      </c>
    </row>
    <row r="989" spans="7:13">
      <c r="G989" s="3">
        <v>976</v>
      </c>
      <c r="H989" s="5">
        <f t="shared" si="96"/>
        <v>81.333333333333329</v>
      </c>
      <c r="I989" s="4">
        <f t="shared" si="95"/>
        <v>3.2029326610443395E-15</v>
      </c>
      <c r="J989" s="10">
        <f t="shared" si="97"/>
        <v>1.8906175093029085E-2</v>
      </c>
      <c r="K989" s="24">
        <f t="shared" si="98"/>
        <v>81</v>
      </c>
      <c r="L989" s="19">
        <f t="shared" si="99"/>
        <v>3.3400227287946453</v>
      </c>
      <c r="M989" s="19">
        <f t="shared" si="100"/>
        <v>7.7224747190583617E-17</v>
      </c>
    </row>
    <row r="990" spans="7:13">
      <c r="G990" s="3">
        <v>977</v>
      </c>
      <c r="H990" s="5">
        <f t="shared" si="96"/>
        <v>81.416666666666671</v>
      </c>
      <c r="I990" s="4">
        <f t="shared" si="95"/>
        <v>2.3105875481333654E-15</v>
      </c>
      <c r="J990" s="10">
        <f t="shared" si="97"/>
        <v>1.8829461535952167E-2</v>
      </c>
      <c r="K990" s="24">
        <f t="shared" si="98"/>
        <v>81</v>
      </c>
      <c r="L990" s="19">
        <f t="shared" si="99"/>
        <v>3.3400227287946453</v>
      </c>
      <c r="M990" s="19">
        <f t="shared" si="100"/>
        <v>5.6120324352174609E-17</v>
      </c>
    </row>
    <row r="991" spans="7:13">
      <c r="G991" s="3">
        <v>978</v>
      </c>
      <c r="H991" s="5">
        <f t="shared" si="96"/>
        <v>81.5</v>
      </c>
      <c r="I991" s="4">
        <f t="shared" si="95"/>
        <v>1.6615324765810963E-15</v>
      </c>
      <c r="J991" s="10">
        <f t="shared" si="97"/>
        <v>1.875305925124052E-2</v>
      </c>
      <c r="K991" s="24">
        <f t="shared" si="98"/>
        <v>81</v>
      </c>
      <c r="L991" s="19">
        <f t="shared" si="99"/>
        <v>3.3400227287946453</v>
      </c>
      <c r="M991" s="19">
        <f t="shared" si="100"/>
        <v>4.0653982484840654E-17</v>
      </c>
    </row>
    <row r="992" spans="7:13">
      <c r="G992" s="3">
        <v>979</v>
      </c>
      <c r="H992" s="5">
        <f t="shared" si="96"/>
        <v>81.583333333333329</v>
      </c>
      <c r="I992" s="4">
        <f t="shared" si="95"/>
        <v>1.1909497481981411E-15</v>
      </c>
      <c r="J992" s="10">
        <f t="shared" si="97"/>
        <v>1.8676966975877687E-2</v>
      </c>
      <c r="K992" s="24">
        <f t="shared" si="98"/>
        <v>81</v>
      </c>
      <c r="L992" s="19">
        <f t="shared" si="99"/>
        <v>3.3400227287946453</v>
      </c>
      <c r="M992" s="19">
        <f t="shared" si="100"/>
        <v>2.9355653743301928E-17</v>
      </c>
    </row>
    <row r="993" spans="7:13">
      <c r="G993" s="3">
        <v>980</v>
      </c>
      <c r="H993" s="5">
        <f t="shared" si="96"/>
        <v>81.666666666666671</v>
      </c>
      <c r="I993" s="4">
        <f t="shared" si="95"/>
        <v>8.5086863336996173E-16</v>
      </c>
      <c r="J993" s="10">
        <f t="shared" si="97"/>
        <v>1.8601183451972002E-2</v>
      </c>
      <c r="K993" s="24">
        <f t="shared" si="98"/>
        <v>81</v>
      </c>
      <c r="L993" s="19">
        <f t="shared" si="99"/>
        <v>3.3400227287946453</v>
      </c>
      <c r="M993" s="19">
        <f t="shared" si="100"/>
        <v>2.1128687206606938E-17</v>
      </c>
    </row>
    <row r="994" spans="7:13">
      <c r="G994" s="3">
        <v>981</v>
      </c>
      <c r="H994" s="5">
        <f t="shared" si="96"/>
        <v>81.75</v>
      </c>
      <c r="I994" s="4">
        <f t="shared" si="95"/>
        <v>6.0590175371690287E-16</v>
      </c>
      <c r="J994" s="10">
        <f t="shared" si="97"/>
        <v>1.8525707426735823E-2</v>
      </c>
      <c r="K994" s="24">
        <f t="shared" si="98"/>
        <v>81</v>
      </c>
      <c r="L994" s="19">
        <f t="shared" si="99"/>
        <v>3.3400227287946453</v>
      </c>
      <c r="M994" s="19">
        <f t="shared" si="100"/>
        <v>1.5157640184723585E-17</v>
      </c>
    </row>
    <row r="995" spans="7:13">
      <c r="G995" s="3">
        <v>982</v>
      </c>
      <c r="H995" s="5">
        <f t="shared" si="96"/>
        <v>81.833333333333329</v>
      </c>
      <c r="I995" s="4">
        <f t="shared" si="95"/>
        <v>4.3002977963598398E-16</v>
      </c>
      <c r="J995" s="10">
        <f t="shared" si="97"/>
        <v>1.8450537652464825E-2</v>
      </c>
      <c r="K995" s="24">
        <f t="shared" si="98"/>
        <v>81</v>
      </c>
      <c r="L995" s="19">
        <f t="shared" si="99"/>
        <v>3.3400227287946453</v>
      </c>
      <c r="M995" s="19">
        <f t="shared" si="100"/>
        <v>1.0838148235913632E-17</v>
      </c>
    </row>
    <row r="996" spans="7:13">
      <c r="G996" s="3">
        <v>983</v>
      </c>
      <c r="H996" s="5">
        <f t="shared" si="96"/>
        <v>81.916666666666671</v>
      </c>
      <c r="I996" s="4">
        <f t="shared" si="95"/>
        <v>3.0418468981578287E-16</v>
      </c>
      <c r="J996" s="10">
        <f t="shared" si="97"/>
        <v>1.8375672886517317E-2</v>
      </c>
      <c r="K996" s="24">
        <f t="shared" si="98"/>
        <v>81</v>
      </c>
      <c r="L996" s="19">
        <f t="shared" si="99"/>
        <v>3.3400227287946453</v>
      </c>
      <c r="M996" s="19">
        <f t="shared" si="100"/>
        <v>7.723763164470285E-18</v>
      </c>
    </row>
    <row r="997" spans="7:13">
      <c r="G997" s="3">
        <v>984</v>
      </c>
      <c r="H997" s="5">
        <f t="shared" si="96"/>
        <v>82</v>
      </c>
      <c r="I997" s="4">
        <f t="shared" si="95"/>
        <v>2.1443931036811247E-16</v>
      </c>
      <c r="J997" s="10">
        <f t="shared" si="97"/>
        <v>1.8301111891293836E-2</v>
      </c>
      <c r="K997" s="24">
        <f t="shared" si="98"/>
        <v>82</v>
      </c>
      <c r="L997" s="19">
        <f t="shared" si="99"/>
        <v>3.3901230697265645</v>
      </c>
      <c r="M997" s="19">
        <f t="shared" si="100"/>
        <v>5.4857877022215114E-18</v>
      </c>
    </row>
    <row r="998" spans="7:13">
      <c r="G998" s="3">
        <v>985</v>
      </c>
      <c r="H998" s="5">
        <f t="shared" si="96"/>
        <v>82.083333333333329</v>
      </c>
      <c r="I998" s="4">
        <f t="shared" si="95"/>
        <v>1.5065559888336068E-16</v>
      </c>
      <c r="J998" s="10">
        <f t="shared" si="97"/>
        <v>1.8226853434216379E-2</v>
      </c>
      <c r="K998" s="24">
        <f t="shared" si="98"/>
        <v>82</v>
      </c>
      <c r="L998" s="19">
        <f t="shared" si="99"/>
        <v>3.3901230697265645</v>
      </c>
      <c r="M998" s="19">
        <f t="shared" si="100"/>
        <v>3.9412769408055059E-18</v>
      </c>
    </row>
    <row r="999" spans="7:13">
      <c r="G999" s="3">
        <v>986</v>
      </c>
      <c r="H999" s="5">
        <f t="shared" si="96"/>
        <v>82.166666666666671</v>
      </c>
      <c r="I999" s="4">
        <f t="shared" si="95"/>
        <v>1.0547885981048414E-16</v>
      </c>
      <c r="J999" s="10">
        <f t="shared" si="97"/>
        <v>1.8152896287708515E-2</v>
      </c>
      <c r="K999" s="24">
        <f t="shared" si="98"/>
        <v>82</v>
      </c>
      <c r="L999" s="19">
        <f t="shared" si="99"/>
        <v>3.3901230697265645</v>
      </c>
      <c r="M999" s="19">
        <f t="shared" si="100"/>
        <v>2.7802014821200636E-18</v>
      </c>
    </row>
    <row r="1000" spans="7:13">
      <c r="G1000" s="3">
        <v>987</v>
      </c>
      <c r="H1000" s="5">
        <f t="shared" si="96"/>
        <v>82.25</v>
      </c>
      <c r="I1000" s="4">
        <f t="shared" ref="I1000:I1063" si="101">I999*(B$9^(1/12))*B$8^((B$5^(B$7+H999))*((B$5^(1/12)-1)))</f>
        <v>7.3591924926415784E-17</v>
      </c>
      <c r="J1000" s="10">
        <f t="shared" si="97"/>
        <v>1.8079239229174669E-2</v>
      </c>
      <c r="K1000" s="24">
        <f t="shared" si="98"/>
        <v>82</v>
      </c>
      <c r="L1000" s="19">
        <f t="shared" si="99"/>
        <v>3.3901230697265645</v>
      </c>
      <c r="M1000" s="19">
        <f t="shared" si="100"/>
        <v>1.9543772151979256E-18</v>
      </c>
    </row>
    <row r="1001" spans="7:13">
      <c r="G1001" s="3">
        <v>988</v>
      </c>
      <c r="H1001" s="5">
        <f t="shared" si="96"/>
        <v>82.333333333333329</v>
      </c>
      <c r="I1001" s="4">
        <f t="shared" si="101"/>
        <v>5.1164018924519821E-17</v>
      </c>
      <c r="J1001" s="10">
        <f t="shared" si="97"/>
        <v>1.8005881040980078E-2</v>
      </c>
      <c r="K1001" s="24">
        <f t="shared" si="98"/>
        <v>82</v>
      </c>
      <c r="L1001" s="19">
        <f t="shared" si="99"/>
        <v>3.3901230697265645</v>
      </c>
      <c r="M1001" s="19">
        <f t="shared" si="100"/>
        <v>1.3690476630834405E-18</v>
      </c>
    </row>
    <row r="1002" spans="7:13">
      <c r="G1002" s="3">
        <v>989</v>
      </c>
      <c r="H1002" s="5">
        <f t="shared" si="96"/>
        <v>82.416666666666671</v>
      </c>
      <c r="I1002" s="4">
        <f t="shared" si="101"/>
        <v>3.5444912748936768E-17</v>
      </c>
      <c r="J1002" s="10">
        <f t="shared" si="97"/>
        <v>1.7932820510430627E-2</v>
      </c>
      <c r="K1002" s="24">
        <f t="shared" si="98"/>
        <v>82</v>
      </c>
      <c r="L1002" s="19">
        <f t="shared" si="99"/>
        <v>3.3901230697265645</v>
      </c>
      <c r="M1002" s="19">
        <f t="shared" si="100"/>
        <v>9.5563470551749935E-19</v>
      </c>
    </row>
    <row r="1003" spans="7:13">
      <c r="G1003" s="3">
        <v>990</v>
      </c>
      <c r="H1003" s="5">
        <f t="shared" si="96"/>
        <v>82.5</v>
      </c>
      <c r="I1003" s="4">
        <f t="shared" si="101"/>
        <v>2.4467118150656796E-17</v>
      </c>
      <c r="J1003" s="10">
        <f t="shared" si="97"/>
        <v>1.7860056429752871E-2</v>
      </c>
      <c r="K1003" s="24">
        <f t="shared" si="98"/>
        <v>82</v>
      </c>
      <c r="L1003" s="19">
        <f t="shared" si="99"/>
        <v>3.3901230697265645</v>
      </c>
      <c r="M1003" s="19">
        <f t="shared" si="100"/>
        <v>6.6468119463504529E-19</v>
      </c>
    </row>
    <row r="1004" spans="7:13">
      <c r="G1004" s="3">
        <v>991</v>
      </c>
      <c r="H1004" s="5">
        <f t="shared" si="96"/>
        <v>82.583333333333329</v>
      </c>
      <c r="I1004" s="4">
        <f t="shared" si="101"/>
        <v>1.682813934838309E-17</v>
      </c>
      <c r="J1004" s="10">
        <f t="shared" si="97"/>
        <v>1.7787587596073986E-2</v>
      </c>
      <c r="K1004" s="24">
        <f t="shared" si="98"/>
        <v>82</v>
      </c>
      <c r="L1004" s="19">
        <f t="shared" si="99"/>
        <v>3.3901230697265645</v>
      </c>
      <c r="M1004" s="19">
        <f t="shared" si="100"/>
        <v>4.6064654815202681E-19</v>
      </c>
    </row>
    <row r="1005" spans="7:13">
      <c r="G1005" s="3">
        <v>992</v>
      </c>
      <c r="H1005" s="5">
        <f t="shared" si="96"/>
        <v>82.666666666666671</v>
      </c>
      <c r="I1005" s="4">
        <f t="shared" si="101"/>
        <v>1.1531832604058883E-17</v>
      </c>
      <c r="J1005" s="10">
        <f t="shared" si="97"/>
        <v>1.7715412811401893E-2</v>
      </c>
      <c r="K1005" s="24">
        <f t="shared" si="98"/>
        <v>82</v>
      </c>
      <c r="L1005" s="19">
        <f t="shared" si="99"/>
        <v>3.3901230697265645</v>
      </c>
      <c r="M1005" s="19">
        <f t="shared" si="100"/>
        <v>3.1808256976384292E-19</v>
      </c>
    </row>
    <row r="1006" spans="7:13">
      <c r="G1006" s="3">
        <v>993</v>
      </c>
      <c r="H1006" s="5">
        <f t="shared" si="96"/>
        <v>82.75</v>
      </c>
      <c r="I1006" s="4">
        <f t="shared" si="101"/>
        <v>7.8732480554703141E-18</v>
      </c>
      <c r="J1006" s="10">
        <f t="shared" si="97"/>
        <v>1.7643530882605542E-2</v>
      </c>
      <c r="K1006" s="24">
        <f t="shared" si="98"/>
        <v>82</v>
      </c>
      <c r="L1006" s="19">
        <f t="shared" si="99"/>
        <v>3.3901230697265645</v>
      </c>
      <c r="M1006" s="19">
        <f t="shared" si="100"/>
        <v>2.1883362889595838E-19</v>
      </c>
    </row>
    <row r="1007" spans="7:13">
      <c r="G1007" s="3">
        <v>994</v>
      </c>
      <c r="H1007" s="5">
        <f t="shared" si="96"/>
        <v>82.833333333333329</v>
      </c>
      <c r="I1007" s="4">
        <f t="shared" si="101"/>
        <v>5.3553417183362137E-18</v>
      </c>
      <c r="J1007" s="10">
        <f t="shared" si="97"/>
        <v>1.7571940621395065E-2</v>
      </c>
      <c r="K1007" s="24">
        <f t="shared" si="98"/>
        <v>82</v>
      </c>
      <c r="L1007" s="19">
        <f t="shared" si="99"/>
        <v>3.3901230697265645</v>
      </c>
      <c r="M1007" s="19">
        <f t="shared" si="100"/>
        <v>1.4999430234973914E-19</v>
      </c>
    </row>
    <row r="1008" spans="7:13">
      <c r="G1008" s="3">
        <v>995</v>
      </c>
      <c r="H1008" s="5">
        <f t="shared" si="96"/>
        <v>82.916666666666671</v>
      </c>
      <c r="I1008" s="4">
        <f t="shared" si="101"/>
        <v>3.6289602292328617E-18</v>
      </c>
      <c r="J1008" s="10">
        <f t="shared" si="97"/>
        <v>1.7500640844302199E-2</v>
      </c>
      <c r="K1008" s="24">
        <f t="shared" si="98"/>
        <v>82</v>
      </c>
      <c r="L1008" s="19">
        <f t="shared" si="99"/>
        <v>3.3901230697265645</v>
      </c>
      <c r="M1008" s="19">
        <f t="shared" si="100"/>
        <v>1.0242505061842621E-19</v>
      </c>
    </row>
    <row r="1009" spans="7:13">
      <c r="G1009" s="3">
        <v>996</v>
      </c>
      <c r="H1009" s="5">
        <f t="shared" si="96"/>
        <v>83</v>
      </c>
      <c r="I1009" s="4">
        <f t="shared" si="101"/>
        <v>2.4497567370414418E-18</v>
      </c>
      <c r="J1009" s="10">
        <f t="shared" si="97"/>
        <v>1.7429630372660796E-2</v>
      </c>
      <c r="K1009" s="24">
        <f t="shared" si="98"/>
        <v>83</v>
      </c>
      <c r="L1009" s="19">
        <f t="shared" si="99"/>
        <v>3.4409749157724625</v>
      </c>
      <c r="M1009" s="19">
        <f t="shared" si="100"/>
        <v>6.9677474062389284E-20</v>
      </c>
    </row>
    <row r="1010" spans="7:13">
      <c r="G1010" s="3">
        <v>997</v>
      </c>
      <c r="H1010" s="5">
        <f t="shared" si="96"/>
        <v>83.083333333333329</v>
      </c>
      <c r="I1010" s="4">
        <f t="shared" si="101"/>
        <v>1.6473779576836093E-18</v>
      </c>
      <c r="J1010" s="10">
        <f t="shared" si="97"/>
        <v>1.7358908032587026E-2</v>
      </c>
      <c r="K1010" s="24">
        <f t="shared" si="98"/>
        <v>83</v>
      </c>
      <c r="L1010" s="19">
        <f t="shared" si="99"/>
        <v>3.4409749157724625</v>
      </c>
      <c r="M1010" s="19">
        <f t="shared" si="100"/>
        <v>4.7927341903107604E-20</v>
      </c>
    </row>
    <row r="1011" spans="7:13">
      <c r="G1011" s="3">
        <v>998</v>
      </c>
      <c r="H1011" s="5">
        <f t="shared" si="96"/>
        <v>83.166666666666671</v>
      </c>
      <c r="I1011" s="4">
        <f t="shared" si="101"/>
        <v>1.1035111534688102E-18</v>
      </c>
      <c r="J1011" s="10">
        <f t="shared" si="97"/>
        <v>1.7288472654960488E-2</v>
      </c>
      <c r="K1011" s="24">
        <f t="shared" si="98"/>
        <v>83</v>
      </c>
      <c r="L1011" s="19">
        <f t="shared" si="99"/>
        <v>3.4409749157724625</v>
      </c>
      <c r="M1011" s="19">
        <f t="shared" si="100"/>
        <v>3.2354201490525798E-20</v>
      </c>
    </row>
    <row r="1012" spans="7:13">
      <c r="G1012" s="3">
        <v>999</v>
      </c>
      <c r="H1012" s="5">
        <f t="shared" si="96"/>
        <v>83.25</v>
      </c>
      <c r="I1012" s="4">
        <f t="shared" si="101"/>
        <v>7.3630352200823434E-19</v>
      </c>
      <c r="J1012" s="10">
        <f t="shared" si="97"/>
        <v>1.7218323075404444E-2</v>
      </c>
      <c r="K1012" s="24">
        <f t="shared" si="98"/>
        <v>83</v>
      </c>
      <c r="L1012" s="19">
        <f t="shared" si="99"/>
        <v>3.4409749157724625</v>
      </c>
      <c r="M1012" s="19">
        <f t="shared" si="100"/>
        <v>2.1756250841391282E-20</v>
      </c>
    </row>
    <row r="1013" spans="7:13">
      <c r="G1013" s="3">
        <v>1000</v>
      </c>
      <c r="H1013" s="5">
        <f t="shared" si="96"/>
        <v>83.333333333333329</v>
      </c>
      <c r="I1013" s="4">
        <f t="shared" si="101"/>
        <v>4.8934711223588492E-19</v>
      </c>
      <c r="J1013" s="10">
        <f t="shared" si="97"/>
        <v>1.7148458134266738E-2</v>
      </c>
      <c r="K1013" s="24">
        <f t="shared" si="98"/>
        <v>83</v>
      </c>
      <c r="L1013" s="19">
        <f t="shared" si="99"/>
        <v>3.4409749157724625</v>
      </c>
      <c r="M1013" s="19">
        <f t="shared" si="100"/>
        <v>1.4572259181572247E-20</v>
      </c>
    </row>
    <row r="1014" spans="7:13">
      <c r="G1014" s="3">
        <v>1001</v>
      </c>
      <c r="H1014" s="5">
        <f t="shared" si="96"/>
        <v>83.416666666666671</v>
      </c>
      <c r="I1014" s="4">
        <f t="shared" si="101"/>
        <v>3.2392192607961907E-19</v>
      </c>
      <c r="J1014" s="10">
        <f t="shared" si="97"/>
        <v>1.7078876676600609E-2</v>
      </c>
      <c r="K1014" s="24">
        <f t="shared" si="98"/>
        <v>83</v>
      </c>
      <c r="L1014" s="19">
        <f t="shared" si="99"/>
        <v>3.4409749157724625</v>
      </c>
      <c r="M1014" s="19">
        <f t="shared" si="100"/>
        <v>9.721705062747633E-21</v>
      </c>
    </row>
    <row r="1015" spans="7:13">
      <c r="G1015" s="3">
        <v>1002</v>
      </c>
      <c r="H1015" s="5">
        <f t="shared" si="96"/>
        <v>83.5</v>
      </c>
      <c r="I1015" s="4">
        <f t="shared" si="101"/>
        <v>2.1355504003217149E-19</v>
      </c>
      <c r="J1015" s="10">
        <f t="shared" si="97"/>
        <v>1.7009577552145591E-2</v>
      </c>
      <c r="K1015" s="24">
        <f t="shared" si="98"/>
        <v>83</v>
      </c>
      <c r="L1015" s="19">
        <f t="shared" si="99"/>
        <v>3.4409749157724625</v>
      </c>
      <c r="M1015" s="19">
        <f t="shared" si="100"/>
        <v>6.4597219331351569E-21</v>
      </c>
    </row>
    <row r="1016" spans="7:13">
      <c r="G1016" s="3">
        <v>1003</v>
      </c>
      <c r="H1016" s="5">
        <f t="shared" si="96"/>
        <v>83.583333333333329</v>
      </c>
      <c r="I1016" s="4">
        <f t="shared" si="101"/>
        <v>1.402194631491243E-19</v>
      </c>
      <c r="J1016" s="10">
        <f t="shared" si="97"/>
        <v>1.6940559615308555E-2</v>
      </c>
      <c r="K1016" s="24">
        <f t="shared" si="98"/>
        <v>83</v>
      </c>
      <c r="L1016" s="19">
        <f t="shared" si="99"/>
        <v>3.4409749157724625</v>
      </c>
      <c r="M1016" s="19">
        <f t="shared" si="100"/>
        <v>4.2748804320890356E-21</v>
      </c>
    </row>
    <row r="1017" spans="7:13">
      <c r="G1017" s="3">
        <v>1004</v>
      </c>
      <c r="H1017" s="5">
        <f t="shared" si="96"/>
        <v>83.666666666666671</v>
      </c>
      <c r="I1017" s="4">
        <f t="shared" si="101"/>
        <v>9.1689252842235411E-20</v>
      </c>
      <c r="J1017" s="10">
        <f t="shared" si="97"/>
        <v>1.6871821725144672E-2</v>
      </c>
      <c r="K1017" s="24">
        <f t="shared" si="98"/>
        <v>83</v>
      </c>
      <c r="L1017" s="19">
        <f t="shared" si="99"/>
        <v>3.4409749157724625</v>
      </c>
      <c r="M1017" s="19">
        <f t="shared" si="100"/>
        <v>2.8174463689059751E-21</v>
      </c>
    </row>
    <row r="1018" spans="7:13">
      <c r="G1018" s="3">
        <v>1005</v>
      </c>
      <c r="H1018" s="5">
        <f t="shared" si="96"/>
        <v>83.75</v>
      </c>
      <c r="I1018" s="4">
        <f t="shared" si="101"/>
        <v>5.9706652269089717E-20</v>
      </c>
      <c r="J1018" s="10">
        <f t="shared" si="97"/>
        <v>1.6803362745338609E-2</v>
      </c>
      <c r="K1018" s="24">
        <f t="shared" si="98"/>
        <v>83</v>
      </c>
      <c r="L1018" s="19">
        <f t="shared" si="99"/>
        <v>3.4409749157724625</v>
      </c>
      <c r="M1018" s="19">
        <f t="shared" si="100"/>
        <v>1.8492323566490884E-21</v>
      </c>
    </row>
    <row r="1019" spans="7:13">
      <c r="G1019" s="3">
        <v>1006</v>
      </c>
      <c r="H1019" s="5">
        <f t="shared" si="96"/>
        <v>83.833333333333329</v>
      </c>
      <c r="I1019" s="4">
        <f t="shared" si="101"/>
        <v>3.8717159279024417E-20</v>
      </c>
      <c r="J1019" s="10">
        <f t="shared" si="97"/>
        <v>1.6735181544185775E-2</v>
      </c>
      <c r="K1019" s="24">
        <f t="shared" si="98"/>
        <v>83</v>
      </c>
      <c r="L1019" s="19">
        <f t="shared" si="99"/>
        <v>3.4409749157724625</v>
      </c>
      <c r="M1019" s="19">
        <f t="shared" si="100"/>
        <v>1.2086870882548028E-21</v>
      </c>
    </row>
    <row r="1020" spans="7:13">
      <c r="G1020" s="3">
        <v>1007</v>
      </c>
      <c r="H1020" s="5">
        <f t="shared" si="96"/>
        <v>83.916666666666671</v>
      </c>
      <c r="I1020" s="4">
        <f t="shared" si="101"/>
        <v>2.5000165045092672E-20</v>
      </c>
      <c r="J1020" s="10">
        <f t="shared" si="97"/>
        <v>1.6667276994573533E-2</v>
      </c>
      <c r="K1020" s="24">
        <f t="shared" si="98"/>
        <v>83</v>
      </c>
      <c r="L1020" s="19">
        <f t="shared" si="99"/>
        <v>3.4409749157724625</v>
      </c>
      <c r="M1020" s="19">
        <f t="shared" si="100"/>
        <v>7.8669269202123808E-22</v>
      </c>
    </row>
    <row r="1021" spans="7:13">
      <c r="G1021" s="3">
        <v>1008</v>
      </c>
      <c r="H1021" s="5">
        <f t="shared" si="96"/>
        <v>84</v>
      </c>
      <c r="I1021" s="4">
        <f t="shared" si="101"/>
        <v>1.6073959448401237E-20</v>
      </c>
      <c r="J1021" s="10">
        <f t="shared" si="97"/>
        <v>1.6599647973962663E-2</v>
      </c>
      <c r="K1021" s="24">
        <f t="shared" si="98"/>
        <v>84</v>
      </c>
      <c r="L1021" s="19">
        <f t="shared" si="99"/>
        <v>3.4925895395090487</v>
      </c>
      <c r="M1021" s="19">
        <f t="shared" si="100"/>
        <v>5.0985569012385883E-22</v>
      </c>
    </row>
    <row r="1022" spans="7:13">
      <c r="G1022" s="3">
        <v>1009</v>
      </c>
      <c r="H1022" s="5">
        <f t="shared" si="96"/>
        <v>84.083333333333329</v>
      </c>
      <c r="I1022" s="4">
        <f t="shared" si="101"/>
        <v>1.0290234258439846E-20</v>
      </c>
      <c r="J1022" s="10">
        <f t="shared" si="97"/>
        <v>1.6532293364368591E-2</v>
      </c>
      <c r="K1022" s="24">
        <f t="shared" si="98"/>
        <v>84</v>
      </c>
      <c r="L1022" s="19">
        <f t="shared" si="99"/>
        <v>3.4925895395090487</v>
      </c>
      <c r="M1022" s="19">
        <f t="shared" si="100"/>
        <v>3.3395527032621773E-22</v>
      </c>
    </row>
    <row r="1023" spans="7:13">
      <c r="G1023" s="3">
        <v>1010</v>
      </c>
      <c r="H1023" s="5">
        <f t="shared" si="96"/>
        <v>84.166666666666671</v>
      </c>
      <c r="I1023" s="4">
        <f t="shared" si="101"/>
        <v>6.5589100707065949E-21</v>
      </c>
      <c r="J1023" s="10">
        <f t="shared" si="97"/>
        <v>1.6465212052343331E-2</v>
      </c>
      <c r="K1023" s="24">
        <f t="shared" si="98"/>
        <v>84</v>
      </c>
      <c r="L1023" s="19">
        <f t="shared" si="99"/>
        <v>3.4925895395090487</v>
      </c>
      <c r="M1023" s="19">
        <f t="shared" si="100"/>
        <v>2.1457437716758298E-22</v>
      </c>
    </row>
    <row r="1024" spans="7:13">
      <c r="G1024" s="3">
        <v>1011</v>
      </c>
      <c r="H1024" s="5">
        <f t="shared" si="96"/>
        <v>84.25</v>
      </c>
      <c r="I1024" s="4">
        <f t="shared" si="101"/>
        <v>4.1622058295247224E-21</v>
      </c>
      <c r="J1024" s="10">
        <f t="shared" si="97"/>
        <v>1.6398402928956626E-2</v>
      </c>
      <c r="K1024" s="24">
        <f t="shared" si="98"/>
        <v>84</v>
      </c>
      <c r="L1024" s="19">
        <f t="shared" si="99"/>
        <v>3.4925895395090487</v>
      </c>
      <c r="M1024" s="19">
        <f t="shared" si="100"/>
        <v>1.3726617964837014E-22</v>
      </c>
    </row>
    <row r="1025" spans="7:13">
      <c r="G1025" s="3">
        <v>1012</v>
      </c>
      <c r="H1025" s="5">
        <f t="shared" si="96"/>
        <v>84.333333333333329</v>
      </c>
      <c r="I1025" s="4">
        <f t="shared" si="101"/>
        <v>2.6295543473253692E-21</v>
      </c>
      <c r="J1025" s="10">
        <f t="shared" si="97"/>
        <v>1.6331864889777843E-2</v>
      </c>
      <c r="K1025" s="24">
        <f t="shared" si="98"/>
        <v>84</v>
      </c>
      <c r="L1025" s="19">
        <f t="shared" si="99"/>
        <v>3.4925895395090487</v>
      </c>
      <c r="M1025" s="19">
        <f t="shared" si="100"/>
        <v>8.7423207597962092E-23</v>
      </c>
    </row>
    <row r="1026" spans="7:13">
      <c r="G1026" s="3">
        <v>1013</v>
      </c>
      <c r="H1026" s="5">
        <f t="shared" si="96"/>
        <v>84.416666666666671</v>
      </c>
      <c r="I1026" s="4">
        <f t="shared" si="101"/>
        <v>1.6538211669103843E-21</v>
      </c>
      <c r="J1026" s="10">
        <f t="shared" si="97"/>
        <v>1.6265596834857718E-2</v>
      </c>
      <c r="K1026" s="24">
        <f t="shared" si="98"/>
        <v>84</v>
      </c>
      <c r="L1026" s="19">
        <f t="shared" si="99"/>
        <v>3.4925895395090487</v>
      </c>
      <c r="M1026" s="19">
        <f t="shared" si="100"/>
        <v>5.5430478310630027E-23</v>
      </c>
    </row>
    <row r="1027" spans="7:13">
      <c r="G1027" s="3">
        <v>1014</v>
      </c>
      <c r="H1027" s="5">
        <f t="shared" si="96"/>
        <v>84.5</v>
      </c>
      <c r="I1027" s="4">
        <f t="shared" si="101"/>
        <v>1.0354368767501159E-21</v>
      </c>
      <c r="J1027" s="10">
        <f t="shared" si="97"/>
        <v>1.6199597668710097E-2</v>
      </c>
      <c r="K1027" s="24">
        <f t="shared" si="98"/>
        <v>84</v>
      </c>
      <c r="L1027" s="19">
        <f t="shared" si="99"/>
        <v>3.4925895395090487</v>
      </c>
      <c r="M1027" s="19">
        <f t="shared" si="100"/>
        <v>3.4987283611976011E-23</v>
      </c>
    </row>
    <row r="1028" spans="7:13">
      <c r="G1028" s="3">
        <v>1015</v>
      </c>
      <c r="H1028" s="5">
        <f t="shared" si="96"/>
        <v>84.583333333333329</v>
      </c>
      <c r="I1028" s="4">
        <f t="shared" si="101"/>
        <v>6.4530956264081367E-22</v>
      </c>
      <c r="J1028" s="10">
        <f t="shared" si="97"/>
        <v>1.6133866300293873E-2</v>
      </c>
      <c r="K1028" s="24">
        <f t="shared" si="98"/>
        <v>84</v>
      </c>
      <c r="L1028" s="19">
        <f t="shared" si="99"/>
        <v>3.4925895395090487</v>
      </c>
      <c r="M1028" s="19">
        <f t="shared" si="100"/>
        <v>2.1983273361440998E-23</v>
      </c>
    </row>
    <row r="1029" spans="7:13">
      <c r="G1029" s="3">
        <v>1016</v>
      </c>
      <c r="H1029" s="5">
        <f t="shared" si="96"/>
        <v>84.666666666666671</v>
      </c>
      <c r="I1029" s="4">
        <f t="shared" si="101"/>
        <v>4.0031556671308782E-22</v>
      </c>
      <c r="J1029" s="10">
        <f t="shared" si="97"/>
        <v>1.6068401642994924E-2</v>
      </c>
      <c r="K1029" s="24">
        <f t="shared" si="98"/>
        <v>84</v>
      </c>
      <c r="L1029" s="19">
        <f t="shared" si="99"/>
        <v>3.4925895395090487</v>
      </c>
      <c r="M1029" s="19">
        <f t="shared" si="100"/>
        <v>1.3749144265737406E-23</v>
      </c>
    </row>
    <row r="1030" spans="7:13">
      <c r="G1030" s="3">
        <v>1017</v>
      </c>
      <c r="H1030" s="5">
        <f t="shared" si="96"/>
        <v>84.75</v>
      </c>
      <c r="I1030" s="4">
        <f t="shared" si="101"/>
        <v>2.4717644671518041E-22</v>
      </c>
      <c r="J1030" s="10">
        <f t="shared" si="97"/>
        <v>1.6003202614608213E-2</v>
      </c>
      <c r="K1030" s="24">
        <f t="shared" si="98"/>
        <v>84</v>
      </c>
      <c r="L1030" s="19">
        <f t="shared" si="99"/>
        <v>3.4925895395090487</v>
      </c>
      <c r="M1030" s="19">
        <f t="shared" si="100"/>
        <v>8.5593463426211622E-24</v>
      </c>
    </row>
    <row r="1031" spans="7:13">
      <c r="G1031" s="3">
        <v>1018</v>
      </c>
      <c r="H1031" s="5">
        <f t="shared" si="96"/>
        <v>84.833333333333329</v>
      </c>
      <c r="I1031" s="4">
        <f t="shared" si="101"/>
        <v>1.5190149591695987E-22</v>
      </c>
      <c r="J1031" s="10">
        <f t="shared" si="97"/>
        <v>1.5938268137319796E-2</v>
      </c>
      <c r="K1031" s="24">
        <f t="shared" si="98"/>
        <v>84</v>
      </c>
      <c r="L1031" s="19">
        <f t="shared" si="99"/>
        <v>3.4925895395090487</v>
      </c>
      <c r="M1031" s="19">
        <f t="shared" si="100"/>
        <v>5.3035590785579915E-24</v>
      </c>
    </row>
    <row r="1032" spans="7:13">
      <c r="G1032" s="3">
        <v>1019</v>
      </c>
      <c r="H1032" s="5">
        <f t="shared" si="96"/>
        <v>84.916666666666671</v>
      </c>
      <c r="I1032" s="4">
        <f t="shared" si="101"/>
        <v>9.2906759632766864E-23</v>
      </c>
      <c r="J1032" s="10">
        <f t="shared" si="97"/>
        <v>1.5873597137689075E-2</v>
      </c>
      <c r="K1032" s="24">
        <f t="shared" si="98"/>
        <v>84</v>
      </c>
      <c r="L1032" s="19">
        <f t="shared" si="99"/>
        <v>3.4925895395090487</v>
      </c>
      <c r="M1032" s="19">
        <f t="shared" si="100"/>
        <v>3.2706657795407464E-24</v>
      </c>
    </row>
    <row r="1033" spans="7:13">
      <c r="G1033" s="3">
        <v>1020</v>
      </c>
      <c r="H1033" s="5">
        <f t="shared" si="96"/>
        <v>85</v>
      </c>
      <c r="I1033" s="4">
        <f t="shared" si="101"/>
        <v>5.6551302498220018E-23</v>
      </c>
      <c r="J1033" s="10">
        <f t="shared" si="97"/>
        <v>1.580918854663111E-2</v>
      </c>
      <c r="K1033" s="24">
        <f t="shared" si="98"/>
        <v>85</v>
      </c>
      <c r="L1033" s="19">
        <f t="shared" si="99"/>
        <v>3.5449783826016841</v>
      </c>
      <c r="M1033" s="19">
        <f t="shared" si="100"/>
        <v>2.007366803670101E-24</v>
      </c>
    </row>
    <row r="1034" spans="7:13">
      <c r="G1034" s="3">
        <v>1021</v>
      </c>
      <c r="H1034" s="5">
        <f t="shared" si="96"/>
        <v>85.083333333333329</v>
      </c>
      <c r="I1034" s="4">
        <f t="shared" si="101"/>
        <v>3.4255277453186385E-23</v>
      </c>
      <c r="J1034" s="10">
        <f t="shared" si="97"/>
        <v>1.574504129939867E-2</v>
      </c>
      <c r="K1034" s="24">
        <f t="shared" si="98"/>
        <v>85</v>
      </c>
      <c r="L1034" s="19">
        <f t="shared" si="99"/>
        <v>3.5449783826016841</v>
      </c>
      <c r="M1034" s="19">
        <f t="shared" si="100"/>
        <v>1.2444711667669274E-24</v>
      </c>
    </row>
    <row r="1035" spans="7:13">
      <c r="G1035" s="3">
        <v>1022</v>
      </c>
      <c r="H1035" s="5">
        <f t="shared" si="96"/>
        <v>85.166666666666671</v>
      </c>
      <c r="I1035" s="4">
        <f t="shared" si="101"/>
        <v>2.0648156673299166E-23</v>
      </c>
      <c r="J1035" s="10">
        <f t="shared" si="97"/>
        <v>1.5681154335565075E-2</v>
      </c>
      <c r="K1035" s="24">
        <f t="shared" si="98"/>
        <v>85</v>
      </c>
      <c r="L1035" s="19">
        <f t="shared" si="99"/>
        <v>3.5449783826016841</v>
      </c>
      <c r="M1035" s="19">
        <f t="shared" si="100"/>
        <v>7.5641104216767539E-25</v>
      </c>
    </row>
    <row r="1036" spans="7:13">
      <c r="G1036" s="3">
        <v>1023</v>
      </c>
      <c r="H1036" s="5">
        <f t="shared" si="96"/>
        <v>85.25</v>
      </c>
      <c r="I1036" s="4">
        <f t="shared" si="101"/>
        <v>1.2384633064733938E-23</v>
      </c>
      <c r="J1036" s="10">
        <f t="shared" si="97"/>
        <v>1.5617526599006309E-2</v>
      </c>
      <c r="K1036" s="24">
        <f t="shared" si="98"/>
        <v>85</v>
      </c>
      <c r="L1036" s="19">
        <f t="shared" si="99"/>
        <v>3.5449783826016841</v>
      </c>
      <c r="M1036" s="19">
        <f t="shared" si="100"/>
        <v>4.5750002029248862E-25</v>
      </c>
    </row>
    <row r="1037" spans="7:13">
      <c r="G1037" s="3">
        <v>1024</v>
      </c>
      <c r="H1037" s="5">
        <f t="shared" si="96"/>
        <v>85.333333333333329</v>
      </c>
      <c r="I1037" s="4">
        <f t="shared" si="101"/>
        <v>7.391149643216938E-24</v>
      </c>
      <c r="J1037" s="10">
        <f t="shared" si="97"/>
        <v>1.5554157037883673E-2</v>
      </c>
      <c r="K1037" s="24">
        <f t="shared" si="98"/>
        <v>85</v>
      </c>
      <c r="L1037" s="19">
        <f t="shared" si="99"/>
        <v>3.5449783826016841</v>
      </c>
      <c r="M1037" s="19">
        <f t="shared" si="100"/>
        <v>2.7533643369299603E-25</v>
      </c>
    </row>
    <row r="1038" spans="7:13">
      <c r="G1038" s="3">
        <v>1025</v>
      </c>
      <c r="H1038" s="5">
        <f t="shared" ref="H1038:H1101" si="102">G1038/12</f>
        <v>85.416666666666671</v>
      </c>
      <c r="I1038" s="4">
        <f t="shared" si="101"/>
        <v>4.3888078833258032E-24</v>
      </c>
      <c r="J1038" s="10">
        <f t="shared" ref="J1038:J1101" si="103">(1+B$6)^-H1038</f>
        <v>1.5491044604626397E-2</v>
      </c>
      <c r="K1038" s="24">
        <f t="shared" ref="K1038:K1101" si="104">INT(H1038+0.000001)</f>
        <v>85</v>
      </c>
      <c r="L1038" s="19">
        <f t="shared" ref="L1038:L1101" si="105">1.015^K1038</f>
        <v>3.5449783826016841</v>
      </c>
      <c r="M1038" s="19">
        <f t="shared" si="100"/>
        <v>1.6487485346581355E-25</v>
      </c>
    </row>
    <row r="1039" spans="7:13">
      <c r="G1039" s="3">
        <v>1026</v>
      </c>
      <c r="H1039" s="5">
        <f t="shared" si="102"/>
        <v>85.5</v>
      </c>
      <c r="I1039" s="4">
        <f t="shared" si="101"/>
        <v>2.5927783399029288E-24</v>
      </c>
      <c r="J1039" s="10">
        <f t="shared" si="103"/>
        <v>1.5428188255914375E-2</v>
      </c>
      <c r="K1039" s="24">
        <f t="shared" si="104"/>
        <v>85</v>
      </c>
      <c r="L1039" s="19">
        <f t="shared" si="105"/>
        <v>3.5449783826016841</v>
      </c>
      <c r="M1039" s="19">
        <f t="shared" ref="M1039:M1102" si="106">(I1038-I1039)*J1039*L1038</f>
        <v>9.8229514360894648E-26</v>
      </c>
    </row>
    <row r="1040" spans="7:13">
      <c r="G1040" s="3">
        <v>1027</v>
      </c>
      <c r="H1040" s="5">
        <f t="shared" si="102"/>
        <v>85.583333333333329</v>
      </c>
      <c r="I1040" s="4">
        <f t="shared" si="101"/>
        <v>1.5238659479517467E-24</v>
      </c>
      <c r="J1040" s="10">
        <f t="shared" si="103"/>
        <v>1.5365586952660831E-2</v>
      </c>
      <c r="K1040" s="24">
        <f t="shared" si="104"/>
        <v>85</v>
      </c>
      <c r="L1040" s="19">
        <f t="shared" si="105"/>
        <v>3.5449783826016841</v>
      </c>
      <c r="M1040" s="19">
        <f t="shared" si="106"/>
        <v>5.8224377990977383E-26</v>
      </c>
    </row>
    <row r="1041" spans="7:13">
      <c r="G1041" s="3">
        <v>1028</v>
      </c>
      <c r="H1041" s="5">
        <f t="shared" si="102"/>
        <v>85.666666666666671</v>
      </c>
      <c r="I1041" s="4">
        <f t="shared" si="101"/>
        <v>8.9098171671604353E-25</v>
      </c>
      <c r="J1041" s="10">
        <f t="shared" si="103"/>
        <v>1.5303239659995162E-2</v>
      </c>
      <c r="K1041" s="24">
        <f t="shared" si="104"/>
        <v>85</v>
      </c>
      <c r="L1041" s="19">
        <f t="shared" si="105"/>
        <v>3.5449783826016841</v>
      </c>
      <c r="M1041" s="19">
        <f t="shared" si="106"/>
        <v>3.4333750426380932E-26</v>
      </c>
    </row>
    <row r="1042" spans="7:13">
      <c r="G1042" s="3">
        <v>1029</v>
      </c>
      <c r="H1042" s="5">
        <f t="shared" si="102"/>
        <v>85.75</v>
      </c>
      <c r="I1042" s="4">
        <f t="shared" si="101"/>
        <v>5.1821425697290898E-25</v>
      </c>
      <c r="J1042" s="10">
        <f t="shared" si="103"/>
        <v>1.5241145347245912E-2</v>
      </c>
      <c r="K1042" s="24">
        <f t="shared" si="104"/>
        <v>85</v>
      </c>
      <c r="L1042" s="19">
        <f t="shared" si="105"/>
        <v>3.5449783826016841</v>
      </c>
      <c r="M1042" s="19">
        <f t="shared" si="106"/>
        <v>2.0140450940748334E-26</v>
      </c>
    </row>
    <row r="1043" spans="7:13">
      <c r="G1043" s="3">
        <v>1030</v>
      </c>
      <c r="H1043" s="5">
        <f t="shared" si="102"/>
        <v>85.833333333333329</v>
      </c>
      <c r="I1043" s="4">
        <f t="shared" si="101"/>
        <v>2.9981000809584633E-25</v>
      </c>
      <c r="J1043" s="10">
        <f t="shared" si="103"/>
        <v>1.5179302987923613E-2</v>
      </c>
      <c r="K1043" s="24">
        <f t="shared" si="104"/>
        <v>85</v>
      </c>
      <c r="L1043" s="19">
        <f t="shared" si="105"/>
        <v>3.5449783826016841</v>
      </c>
      <c r="M1043" s="19">
        <f t="shared" si="106"/>
        <v>1.1752398361958301E-26</v>
      </c>
    </row>
    <row r="1044" spans="7:13">
      <c r="G1044" s="3">
        <v>1031</v>
      </c>
      <c r="H1044" s="5">
        <f t="shared" si="102"/>
        <v>85.916666666666671</v>
      </c>
      <c r="I1044" s="4">
        <f t="shared" si="101"/>
        <v>1.7252679252923683E-25</v>
      </c>
      <c r="J1044" s="10">
        <f t="shared" si="103"/>
        <v>1.5117711559703881E-2</v>
      </c>
      <c r="K1044" s="24">
        <f t="shared" si="104"/>
        <v>85</v>
      </c>
      <c r="L1044" s="19">
        <f t="shared" si="105"/>
        <v>3.5449783826016841</v>
      </c>
      <c r="M1044" s="19">
        <f t="shared" si="106"/>
        <v>6.8213570830497216E-27</v>
      </c>
    </row>
    <row r="1045" spans="7:13">
      <c r="G1045" s="3">
        <v>1032</v>
      </c>
      <c r="H1045" s="5">
        <f t="shared" si="102"/>
        <v>86</v>
      </c>
      <c r="I1045" s="4">
        <f t="shared" si="101"/>
        <v>9.874562242620042E-26</v>
      </c>
      <c r="J1045" s="10">
        <f t="shared" si="103"/>
        <v>1.5056370044410581E-2</v>
      </c>
      <c r="K1045" s="24">
        <f t="shared" si="104"/>
        <v>86</v>
      </c>
      <c r="L1045" s="19">
        <f t="shared" si="105"/>
        <v>3.5981530583407086</v>
      </c>
      <c r="M1045" s="19">
        <f t="shared" si="106"/>
        <v>3.9380335305434284E-27</v>
      </c>
    </row>
    <row r="1046" spans="7:13">
      <c r="G1046" s="3">
        <v>1033</v>
      </c>
      <c r="H1046" s="5">
        <f t="shared" si="102"/>
        <v>86.083333333333329</v>
      </c>
      <c r="I1046" s="4">
        <f t="shared" si="101"/>
        <v>5.6209153002947721E-26</v>
      </c>
      <c r="J1046" s="10">
        <f t="shared" si="103"/>
        <v>1.4995277427998733E-2</v>
      </c>
      <c r="K1046" s="24">
        <f t="shared" si="104"/>
        <v>86</v>
      </c>
      <c r="L1046" s="19">
        <f t="shared" si="105"/>
        <v>3.5981530583407086</v>
      </c>
      <c r="M1046" s="19">
        <f t="shared" si="106"/>
        <v>2.2950681106685633E-27</v>
      </c>
    </row>
    <row r="1047" spans="7:13">
      <c r="G1047" s="3">
        <v>1034</v>
      </c>
      <c r="H1047" s="5">
        <f t="shared" si="102"/>
        <v>86.166666666666671</v>
      </c>
      <c r="I1047" s="4">
        <f t="shared" si="101"/>
        <v>3.1820052853378794E-26</v>
      </c>
      <c r="J1047" s="10">
        <f t="shared" si="103"/>
        <v>1.4934432700538165E-2</v>
      </c>
      <c r="K1047" s="24">
        <f t="shared" si="104"/>
        <v>86</v>
      </c>
      <c r="L1047" s="19">
        <f t="shared" si="105"/>
        <v>3.5981530583407086</v>
      </c>
      <c r="M1047" s="19">
        <f t="shared" si="106"/>
        <v>1.3105818241361125E-27</v>
      </c>
    </row>
    <row r="1048" spans="7:13">
      <c r="G1048" s="3">
        <v>1035</v>
      </c>
      <c r="H1048" s="5">
        <f t="shared" si="102"/>
        <v>86.25</v>
      </c>
      <c r="I1048" s="4">
        <f t="shared" si="101"/>
        <v>1.7913315336953383E-26</v>
      </c>
      <c r="J1048" s="10">
        <f t="shared" si="103"/>
        <v>1.4873834856196482E-2</v>
      </c>
      <c r="K1048" s="24">
        <f t="shared" si="104"/>
        <v>86</v>
      </c>
      <c r="L1048" s="19">
        <f t="shared" si="105"/>
        <v>3.5981530583407086</v>
      </c>
      <c r="M1048" s="19">
        <f t="shared" si="106"/>
        <v>7.4426542849831056E-28</v>
      </c>
    </row>
    <row r="1049" spans="7:13">
      <c r="G1049" s="3">
        <v>1036</v>
      </c>
      <c r="H1049" s="5">
        <f t="shared" si="102"/>
        <v>86.333333333333329</v>
      </c>
      <c r="I1049" s="4">
        <f t="shared" si="101"/>
        <v>1.0027867512246333E-26</v>
      </c>
      <c r="J1049" s="10">
        <f t="shared" si="103"/>
        <v>1.481348289322254E-2</v>
      </c>
      <c r="K1049" s="24">
        <f t="shared" si="104"/>
        <v>86</v>
      </c>
      <c r="L1049" s="19">
        <f t="shared" si="105"/>
        <v>3.5981530583407086</v>
      </c>
      <c r="M1049" s="19">
        <f t="shared" si="106"/>
        <v>4.2030366424083633E-28</v>
      </c>
    </row>
    <row r="1050" spans="7:13">
      <c r="G1050" s="3">
        <v>1037</v>
      </c>
      <c r="H1050" s="5">
        <f t="shared" si="102"/>
        <v>86.416666666666671</v>
      </c>
      <c r="I1050" s="4">
        <f t="shared" si="101"/>
        <v>5.5818072727844715E-27</v>
      </c>
      <c r="J1050" s="10">
        <f t="shared" si="103"/>
        <v>1.47533758139299E-2</v>
      </c>
      <c r="K1050" s="24">
        <f t="shared" si="104"/>
        <v>86</v>
      </c>
      <c r="L1050" s="19">
        <f t="shared" si="105"/>
        <v>3.5981530583407086</v>
      </c>
      <c r="M1050" s="19">
        <f t="shared" si="106"/>
        <v>2.3601868234939599E-28</v>
      </c>
    </row>
    <row r="1051" spans="7:13">
      <c r="G1051" s="3">
        <v>1038</v>
      </c>
      <c r="H1051" s="5">
        <f t="shared" si="102"/>
        <v>86.5</v>
      </c>
      <c r="I1051" s="4">
        <f t="shared" si="101"/>
        <v>3.0892323759639619E-27</v>
      </c>
      <c r="J1051" s="10">
        <f t="shared" si="103"/>
        <v>1.4693512624680358E-2</v>
      </c>
      <c r="K1051" s="24">
        <f t="shared" si="104"/>
        <v>86</v>
      </c>
      <c r="L1051" s="19">
        <f t="shared" si="105"/>
        <v>3.5981530583407086</v>
      </c>
      <c r="M1051" s="19">
        <f t="shared" si="106"/>
        <v>1.3178120692324695E-28</v>
      </c>
    </row>
    <row r="1052" spans="7:13">
      <c r="G1052" s="3">
        <v>1039</v>
      </c>
      <c r="H1052" s="5">
        <f t="shared" si="102"/>
        <v>86.583333333333329</v>
      </c>
      <c r="I1052" s="4">
        <f t="shared" si="101"/>
        <v>1.6998532503057301E-27</v>
      </c>
      <c r="J1052" s="10">
        <f t="shared" si="103"/>
        <v>1.4633892335867454E-2</v>
      </c>
      <c r="K1052" s="24">
        <f t="shared" si="104"/>
        <v>86</v>
      </c>
      <c r="L1052" s="19">
        <f t="shared" si="105"/>
        <v>3.5981530583407086</v>
      </c>
      <c r="M1052" s="19">
        <f t="shared" si="106"/>
        <v>7.3157736275765161E-29</v>
      </c>
    </row>
    <row r="1053" spans="7:13">
      <c r="G1053" s="3">
        <v>1040</v>
      </c>
      <c r="H1053" s="5">
        <f t="shared" si="102"/>
        <v>86.666666666666671</v>
      </c>
      <c r="I1053" s="4">
        <f t="shared" si="101"/>
        <v>9.2989256753874802E-28</v>
      </c>
      <c r="J1053" s="10">
        <f t="shared" si="103"/>
        <v>1.4574513961900152E-2</v>
      </c>
      <c r="K1053" s="24">
        <f t="shared" si="104"/>
        <v>86</v>
      </c>
      <c r="L1053" s="19">
        <f t="shared" si="105"/>
        <v>3.5981530583407086</v>
      </c>
      <c r="M1053" s="19">
        <f t="shared" si="106"/>
        <v>4.0377763781027647E-29</v>
      </c>
    </row>
    <row r="1054" spans="7:13">
      <c r="G1054" s="3">
        <v>1041</v>
      </c>
      <c r="H1054" s="5">
        <f t="shared" si="102"/>
        <v>86.75</v>
      </c>
      <c r="I1054" s="4">
        <f t="shared" si="101"/>
        <v>5.0569627964496543E-28</v>
      </c>
      <c r="J1054" s="10">
        <f t="shared" si="103"/>
        <v>1.451537652118658E-2</v>
      </c>
      <c r="K1054" s="24">
        <f t="shared" si="104"/>
        <v>86</v>
      </c>
      <c r="L1054" s="19">
        <f t="shared" si="105"/>
        <v>3.5981530583407086</v>
      </c>
      <c r="M1054" s="19">
        <f t="shared" si="106"/>
        <v>2.2155155514586583E-29</v>
      </c>
    </row>
    <row r="1055" spans="7:13">
      <c r="G1055" s="3">
        <v>1042</v>
      </c>
      <c r="H1055" s="5">
        <f t="shared" si="102"/>
        <v>86.833333333333329</v>
      </c>
      <c r="I1055" s="4">
        <f t="shared" si="101"/>
        <v>2.7337404216171666E-28</v>
      </c>
      <c r="J1055" s="10">
        <f t="shared" si="103"/>
        <v>1.4456479036117726E-2</v>
      </c>
      <c r="K1055" s="24">
        <f t="shared" si="104"/>
        <v>86</v>
      </c>
      <c r="L1055" s="19">
        <f t="shared" si="105"/>
        <v>3.5981530583407086</v>
      </c>
      <c r="M1055" s="19">
        <f t="shared" si="106"/>
        <v>1.2084618533629276E-29</v>
      </c>
    </row>
    <row r="1056" spans="7:13">
      <c r="G1056" s="3">
        <v>1043</v>
      </c>
      <c r="H1056" s="5">
        <f t="shared" si="102"/>
        <v>86.916666666666671</v>
      </c>
      <c r="I1056" s="4">
        <f t="shared" si="101"/>
        <v>1.468960021000987E-28</v>
      </c>
      <c r="J1056" s="10">
        <f t="shared" si="103"/>
        <v>1.4397820533051314E-2</v>
      </c>
      <c r="K1056" s="24">
        <f t="shared" si="104"/>
        <v>86</v>
      </c>
      <c r="L1056" s="19">
        <f t="shared" si="105"/>
        <v>3.5981530583407086</v>
      </c>
      <c r="M1056" s="19">
        <f t="shared" si="106"/>
        <v>6.5522659440825392E-30</v>
      </c>
    </row>
    <row r="1057" spans="7:13">
      <c r="G1057" s="3">
        <v>1044</v>
      </c>
      <c r="H1057" s="5">
        <f t="shared" si="102"/>
        <v>87</v>
      </c>
      <c r="I1057" s="4">
        <f t="shared" si="101"/>
        <v>7.8455296575904194E-29</v>
      </c>
      <c r="J1057" s="10">
        <f t="shared" si="103"/>
        <v>1.4339400042295789E-2</v>
      </c>
      <c r="K1057" s="24">
        <f t="shared" si="104"/>
        <v>87</v>
      </c>
      <c r="L1057" s="19">
        <f t="shared" si="105"/>
        <v>3.6521253542158187</v>
      </c>
      <c r="M1057" s="19">
        <f t="shared" si="106"/>
        <v>3.5312225744166343E-30</v>
      </c>
    </row>
    <row r="1058" spans="7:13">
      <c r="G1058" s="3">
        <v>1045</v>
      </c>
      <c r="H1058" s="5">
        <f t="shared" si="102"/>
        <v>87.083333333333329</v>
      </c>
      <c r="I1058" s="4">
        <f t="shared" si="101"/>
        <v>4.1645521485330531E-29</v>
      </c>
      <c r="J1058" s="10">
        <f t="shared" si="103"/>
        <v>1.4281216598094029E-2</v>
      </c>
      <c r="K1058" s="24">
        <f t="shared" si="104"/>
        <v>87</v>
      </c>
      <c r="L1058" s="19">
        <f t="shared" si="105"/>
        <v>3.6521253542158187</v>
      </c>
      <c r="M1058" s="19">
        <f t="shared" si="106"/>
        <v>1.9198798281294739E-30</v>
      </c>
    </row>
    <row r="1059" spans="7:13">
      <c r="G1059" s="3">
        <v>1046</v>
      </c>
      <c r="H1059" s="5">
        <f t="shared" si="102"/>
        <v>87.166666666666671</v>
      </c>
      <c r="I1059" s="4">
        <f t="shared" si="101"/>
        <v>2.1969591696221021E-29</v>
      </c>
      <c r="J1059" s="10">
        <f t="shared" si="103"/>
        <v>1.4223269238607774E-2</v>
      </c>
      <c r="K1059" s="24">
        <f t="shared" si="104"/>
        <v>87</v>
      </c>
      <c r="L1059" s="19">
        <f t="shared" si="105"/>
        <v>3.6521253542158187</v>
      </c>
      <c r="M1059" s="19">
        <f t="shared" si="106"/>
        <v>1.0220693644522573E-30</v>
      </c>
    </row>
    <row r="1060" spans="7:13">
      <c r="G1060" s="3">
        <v>1047</v>
      </c>
      <c r="H1060" s="5">
        <f t="shared" si="102"/>
        <v>87.25</v>
      </c>
      <c r="I1060" s="4">
        <f t="shared" si="101"/>
        <v>1.1517466469225939E-29</v>
      </c>
      <c r="J1060" s="10">
        <f t="shared" si="103"/>
        <v>1.416555700590141E-2</v>
      </c>
      <c r="K1060" s="24">
        <f t="shared" si="104"/>
        <v>87</v>
      </c>
      <c r="L1060" s="19">
        <f t="shared" si="105"/>
        <v>3.6521253542158187</v>
      </c>
      <c r="M1060" s="19">
        <f t="shared" si="106"/>
        <v>5.4073432175443449E-31</v>
      </c>
    </row>
    <row r="1061" spans="7:13">
      <c r="G1061" s="3">
        <v>1048</v>
      </c>
      <c r="H1061" s="5">
        <f t="shared" si="102"/>
        <v>87.333333333333329</v>
      </c>
      <c r="I1061" s="4">
        <f t="shared" si="101"/>
        <v>5.9999358174001952E-30</v>
      </c>
      <c r="J1061" s="10">
        <f t="shared" si="103"/>
        <v>1.4108078945926229E-2</v>
      </c>
      <c r="K1061" s="24">
        <f t="shared" si="104"/>
        <v>87</v>
      </c>
      <c r="L1061" s="19">
        <f t="shared" si="105"/>
        <v>3.6521253542158187</v>
      </c>
      <c r="M1061" s="19">
        <f t="shared" si="106"/>
        <v>2.8428785809079766E-31</v>
      </c>
    </row>
    <row r="1062" spans="7:13">
      <c r="G1062" s="3">
        <v>1049</v>
      </c>
      <c r="H1062" s="5">
        <f t="shared" si="102"/>
        <v>87.416666666666671</v>
      </c>
      <c r="I1062" s="4">
        <f t="shared" si="101"/>
        <v>3.1057325709982563E-30</v>
      </c>
      <c r="J1062" s="10">
        <f t="shared" si="103"/>
        <v>1.4050834108504665E-2</v>
      </c>
      <c r="K1062" s="24">
        <f t="shared" si="104"/>
        <v>87</v>
      </c>
      <c r="L1062" s="19">
        <f t="shared" si="105"/>
        <v>3.6521253542158187</v>
      </c>
      <c r="M1062" s="19">
        <f t="shared" si="106"/>
        <v>1.4851721896406009E-31</v>
      </c>
    </row>
    <row r="1063" spans="7:13">
      <c r="G1063" s="3">
        <v>1050</v>
      </c>
      <c r="H1063" s="5">
        <f t="shared" si="102"/>
        <v>87.5</v>
      </c>
      <c r="I1063" s="4">
        <f t="shared" si="101"/>
        <v>1.5972841285997806E-30</v>
      </c>
      <c r="J1063" s="10">
        <f t="shared" si="103"/>
        <v>1.3993821547314624E-2</v>
      </c>
      <c r="K1063" s="24">
        <f t="shared" si="104"/>
        <v>87</v>
      </c>
      <c r="L1063" s="19">
        <f t="shared" si="105"/>
        <v>3.6521253542158187</v>
      </c>
      <c r="M1063" s="19">
        <f t="shared" si="106"/>
        <v>7.7092561867857727E-32</v>
      </c>
    </row>
    <row r="1064" spans="7:13">
      <c r="G1064" s="3">
        <v>1051</v>
      </c>
      <c r="H1064" s="5">
        <f t="shared" si="102"/>
        <v>87.583333333333329</v>
      </c>
      <c r="I1064" s="4">
        <f t="shared" ref="I1064:I1127" si="107">I1063*(B$9^(1/12))*B$8^((B$5^(B$7+H1063))*((B$5^(1/12)-1)))</f>
        <v>8.1615672143308542E-31</v>
      </c>
      <c r="J1064" s="10">
        <f t="shared" si="103"/>
        <v>1.3937040319873764E-2</v>
      </c>
      <c r="K1064" s="24">
        <f t="shared" si="104"/>
        <v>87</v>
      </c>
      <c r="L1064" s="19">
        <f t="shared" si="105"/>
        <v>3.6521253542158187</v>
      </c>
      <c r="M1064" s="19">
        <f t="shared" si="106"/>
        <v>3.9759243105604255E-32</v>
      </c>
    </row>
    <row r="1065" spans="7:13">
      <c r="G1065" s="3">
        <v>1052</v>
      </c>
      <c r="H1065" s="5">
        <f t="shared" si="102"/>
        <v>87.666666666666671</v>
      </c>
      <c r="I1065" s="4">
        <f t="shared" si="107"/>
        <v>4.1429581121675657E-31</v>
      </c>
      <c r="J1065" s="10">
        <f t="shared" si="103"/>
        <v>1.3880489487523955E-2</v>
      </c>
      <c r="K1065" s="24">
        <f t="shared" si="104"/>
        <v>87</v>
      </c>
      <c r="L1065" s="19">
        <f t="shared" si="105"/>
        <v>3.6521253542158187</v>
      </c>
      <c r="M1065" s="19">
        <f t="shared" si="106"/>
        <v>2.0371650691293613E-32</v>
      </c>
    </row>
    <row r="1066" spans="7:13">
      <c r="G1066" s="3">
        <v>1053</v>
      </c>
      <c r="H1066" s="5">
        <f t="shared" si="102"/>
        <v>87.75</v>
      </c>
      <c r="I1066" s="4">
        <f t="shared" si="107"/>
        <v>2.0891286141583179E-31</v>
      </c>
      <c r="J1066" s="10">
        <f t="shared" si="103"/>
        <v>1.3824168115415789E-2</v>
      </c>
      <c r="K1066" s="24">
        <f t="shared" si="104"/>
        <v>87</v>
      </c>
      <c r="L1066" s="19">
        <f t="shared" si="105"/>
        <v>3.6521253542158187</v>
      </c>
      <c r="M1066" s="19">
        <f t="shared" si="106"/>
        <v>1.0369291163833292E-32</v>
      </c>
    </row>
    <row r="1067" spans="7:13">
      <c r="G1067" s="3">
        <v>1054</v>
      </c>
      <c r="H1067" s="5">
        <f t="shared" si="102"/>
        <v>87.833333333333329</v>
      </c>
      <c r="I1067" s="4">
        <f t="shared" si="107"/>
        <v>1.0464277607585627E-31</v>
      </c>
      <c r="J1067" s="10">
        <f t="shared" si="103"/>
        <v>1.3768075272493069E-2</v>
      </c>
      <c r="K1067" s="24">
        <f t="shared" si="104"/>
        <v>87</v>
      </c>
      <c r="L1067" s="19">
        <f t="shared" si="105"/>
        <v>3.6521253542158187</v>
      </c>
      <c r="M1067" s="19">
        <f t="shared" si="106"/>
        <v>5.2429852553265863E-33</v>
      </c>
    </row>
    <row r="1068" spans="7:13">
      <c r="G1068" s="3">
        <v>1055</v>
      </c>
      <c r="H1068" s="5">
        <f t="shared" si="102"/>
        <v>87.916666666666671</v>
      </c>
      <c r="I1068" s="4">
        <f t="shared" si="107"/>
        <v>5.2061212284581876E-32</v>
      </c>
      <c r="J1068" s="10">
        <f t="shared" si="103"/>
        <v>1.3712210031477438E-2</v>
      </c>
      <c r="K1068" s="24">
        <f t="shared" si="104"/>
        <v>87</v>
      </c>
      <c r="L1068" s="19">
        <f t="shared" si="105"/>
        <v>3.6521253542158187</v>
      </c>
      <c r="M1068" s="19">
        <f t="shared" si="106"/>
        <v>2.6332168801533565E-33</v>
      </c>
    </row>
    <row r="1069" spans="7:13">
      <c r="G1069" s="3">
        <v>1056</v>
      </c>
      <c r="H1069" s="5">
        <f t="shared" si="102"/>
        <v>88</v>
      </c>
      <c r="I1069" s="4">
        <f t="shared" si="107"/>
        <v>2.5724768814426215E-32</v>
      </c>
      <c r="J1069" s="10">
        <f t="shared" si="103"/>
        <v>1.3656571468853134E-2</v>
      </c>
      <c r="K1069" s="24">
        <f t="shared" si="104"/>
        <v>88</v>
      </c>
      <c r="L1069" s="19">
        <f t="shared" si="105"/>
        <v>3.7069072345290555</v>
      </c>
      <c r="M1069" s="19">
        <f t="shared" si="106"/>
        <v>1.3135435737069074E-33</v>
      </c>
    </row>
    <row r="1070" spans="7:13">
      <c r="G1070" s="3">
        <v>1057</v>
      </c>
      <c r="H1070" s="5">
        <f t="shared" si="102"/>
        <v>88.083333333333329</v>
      </c>
      <c r="I1070" s="4">
        <f t="shared" si="107"/>
        <v>1.2623849622908014E-32</v>
      </c>
      <c r="J1070" s="10">
        <f t="shared" si="103"/>
        <v>1.3601158664851454E-2</v>
      </c>
      <c r="K1070" s="24">
        <f t="shared" si="104"/>
        <v>88</v>
      </c>
      <c r="L1070" s="19">
        <f t="shared" si="105"/>
        <v>3.7069072345290555</v>
      </c>
      <c r="M1070" s="19">
        <f t="shared" si="106"/>
        <v>6.6052520224312425E-34</v>
      </c>
    </row>
    <row r="1071" spans="7:13">
      <c r="G1071" s="3">
        <v>1058</v>
      </c>
      <c r="H1071" s="5">
        <f t="shared" si="102"/>
        <v>88.166666666666671</v>
      </c>
      <c r="I1071" s="4">
        <f t="shared" si="107"/>
        <v>6.1518528281718996E-33</v>
      </c>
      <c r="J1071" s="10">
        <f t="shared" si="103"/>
        <v>1.3545970703435974E-2</v>
      </c>
      <c r="K1071" s="24">
        <f t="shared" si="104"/>
        <v>88</v>
      </c>
      <c r="L1071" s="19">
        <f t="shared" si="105"/>
        <v>3.7069072345290555</v>
      </c>
      <c r="M1071" s="19">
        <f t="shared" si="106"/>
        <v>3.2498262585695477E-34</v>
      </c>
    </row>
    <row r="1072" spans="7:13">
      <c r="G1072" s="3">
        <v>1059</v>
      </c>
      <c r="H1072" s="5">
        <f t="shared" si="102"/>
        <v>88.25</v>
      </c>
      <c r="I1072" s="4">
        <f t="shared" si="107"/>
        <v>2.9768999022714246E-33</v>
      </c>
      <c r="J1072" s="10">
        <f t="shared" si="103"/>
        <v>1.3491006672287056E-2</v>
      </c>
      <c r="K1072" s="24">
        <f t="shared" si="104"/>
        <v>88</v>
      </c>
      <c r="L1072" s="19">
        <f t="shared" si="105"/>
        <v>3.7069072345290555</v>
      </c>
      <c r="M1072" s="19">
        <f t="shared" si="106"/>
        <v>1.5877911082330193E-34</v>
      </c>
    </row>
    <row r="1073" spans="7:13">
      <c r="G1073" s="3">
        <v>1060</v>
      </c>
      <c r="H1073" s="5">
        <f t="shared" si="102"/>
        <v>88.333333333333329</v>
      </c>
      <c r="I1073" s="4">
        <f t="shared" si="107"/>
        <v>1.4303317648767213E-33</v>
      </c>
      <c r="J1073" s="10">
        <f t="shared" si="103"/>
        <v>1.343626566278688E-2</v>
      </c>
      <c r="K1073" s="24">
        <f t="shared" si="104"/>
        <v>88</v>
      </c>
      <c r="L1073" s="19">
        <f t="shared" si="105"/>
        <v>3.7069072345290555</v>
      </c>
      <c r="M1073" s="19">
        <f t="shared" si="106"/>
        <v>7.7029904357377175E-35</v>
      </c>
    </row>
    <row r="1074" spans="7:13">
      <c r="G1074" s="3">
        <v>1061</v>
      </c>
      <c r="H1074" s="5">
        <f t="shared" si="102"/>
        <v>88.416666666666671</v>
      </c>
      <c r="I1074" s="4">
        <f t="shared" si="107"/>
        <v>6.8232830417651284E-34</v>
      </c>
      <c r="J1074" s="10">
        <f t="shared" si="103"/>
        <v>1.338174677000444E-2</v>
      </c>
      <c r="K1074" s="24">
        <f t="shared" si="104"/>
        <v>88</v>
      </c>
      <c r="L1074" s="19">
        <f t="shared" si="105"/>
        <v>3.7069072345290555</v>
      </c>
      <c r="M1074" s="19">
        <f t="shared" si="106"/>
        <v>3.7104632314115931E-35</v>
      </c>
    </row>
    <row r="1075" spans="7:13">
      <c r="G1075" s="3">
        <v>1062</v>
      </c>
      <c r="H1075" s="5">
        <f t="shared" si="102"/>
        <v>88.5</v>
      </c>
      <c r="I1075" s="4">
        <f t="shared" si="107"/>
        <v>3.2314953900468771E-34</v>
      </c>
      <c r="J1075" s="10">
        <f t="shared" si="103"/>
        <v>1.3327449092680592E-2</v>
      </c>
      <c r="K1075" s="24">
        <f t="shared" si="104"/>
        <v>88</v>
      </c>
      <c r="L1075" s="19">
        <f t="shared" si="105"/>
        <v>3.7069072345290555</v>
      </c>
      <c r="M1075" s="19">
        <f t="shared" si="106"/>
        <v>1.774473031411559E-35</v>
      </c>
    </row>
    <row r="1076" spans="7:13">
      <c r="G1076" s="3">
        <v>1063</v>
      </c>
      <c r="H1076" s="5">
        <f t="shared" si="102"/>
        <v>88.583333333333329</v>
      </c>
      <c r="I1076" s="4">
        <f t="shared" si="107"/>
        <v>1.5192751873895446E-34</v>
      </c>
      <c r="J1076" s="10">
        <f t="shared" si="103"/>
        <v>1.3273371733213107E-2</v>
      </c>
      <c r="K1076" s="24">
        <f t="shared" si="104"/>
        <v>88</v>
      </c>
      <c r="L1076" s="19">
        <f t="shared" si="105"/>
        <v>3.7069072345290555</v>
      </c>
      <c r="M1076" s="19">
        <f t="shared" si="106"/>
        <v>8.4246640656078896E-36</v>
      </c>
    </row>
    <row r="1077" spans="7:13">
      <c r="G1077" s="3">
        <v>1064</v>
      </c>
      <c r="H1077" s="5">
        <f t="shared" si="102"/>
        <v>88.666666666666671</v>
      </c>
      <c r="I1077" s="4">
        <f t="shared" si="107"/>
        <v>7.0902410234648664E-35</v>
      </c>
      <c r="J1077" s="10">
        <f t="shared" si="103"/>
        <v>1.3219513797641859E-2</v>
      </c>
      <c r="K1077" s="24">
        <f t="shared" si="104"/>
        <v>88</v>
      </c>
      <c r="L1077" s="19">
        <f t="shared" si="105"/>
        <v>3.7069072345290555</v>
      </c>
      <c r="M1077" s="19">
        <f t="shared" si="106"/>
        <v>3.9705148228835723E-36</v>
      </c>
    </row>
    <row r="1078" spans="7:13">
      <c r="G1078" s="3">
        <v>1065</v>
      </c>
      <c r="H1078" s="5">
        <f t="shared" si="102"/>
        <v>88.75</v>
      </c>
      <c r="I1078" s="4">
        <f t="shared" si="107"/>
        <v>3.2843225028962334E-35</v>
      </c>
      <c r="J1078" s="10">
        <f t="shared" si="103"/>
        <v>1.3165874395634084E-2</v>
      </c>
      <c r="K1078" s="24">
        <f t="shared" si="104"/>
        <v>88</v>
      </c>
      <c r="L1078" s="19">
        <f t="shared" si="105"/>
        <v>3.7069072345290555</v>
      </c>
      <c r="M1078" s="19">
        <f t="shared" si="106"/>
        <v>1.8574661664819768E-36</v>
      </c>
    </row>
    <row r="1079" spans="7:13">
      <c r="G1079" s="3">
        <v>1066</v>
      </c>
      <c r="H1079" s="5">
        <f t="shared" si="102"/>
        <v>88.833333333333329</v>
      </c>
      <c r="I1079" s="4">
        <f t="shared" si="107"/>
        <v>1.5099380299802261E-35</v>
      </c>
      <c r="J1079" s="10">
        <f t="shared" si="103"/>
        <v>1.3112452640469589E-2</v>
      </c>
      <c r="K1079" s="24">
        <f t="shared" si="104"/>
        <v>88</v>
      </c>
      <c r="L1079" s="19">
        <f t="shared" si="105"/>
        <v>3.7069072345290555</v>
      </c>
      <c r="M1079" s="19">
        <f t="shared" si="106"/>
        <v>8.6246877153991629E-37</v>
      </c>
    </row>
    <row r="1080" spans="7:13">
      <c r="G1080" s="3">
        <v>1067</v>
      </c>
      <c r="H1080" s="5">
        <f t="shared" si="102"/>
        <v>88.916666666666671</v>
      </c>
      <c r="I1080" s="4">
        <f t="shared" si="107"/>
        <v>6.8892026201754039E-36</v>
      </c>
      <c r="J1080" s="10">
        <f t="shared" si="103"/>
        <v>1.3059247649026129E-2</v>
      </c>
      <c r="K1080" s="24">
        <f t="shared" si="104"/>
        <v>88</v>
      </c>
      <c r="L1080" s="19">
        <f t="shared" si="105"/>
        <v>3.7069072345290555</v>
      </c>
      <c r="M1080" s="19">
        <f t="shared" si="106"/>
        <v>3.9744993618247402E-37</v>
      </c>
    </row>
    <row r="1081" spans="7:13">
      <c r="G1081" s="3">
        <v>1068</v>
      </c>
      <c r="H1081" s="5">
        <f t="shared" si="102"/>
        <v>89</v>
      </c>
      <c r="I1081" s="4">
        <f t="shared" si="107"/>
        <v>3.1191981340670002E-36</v>
      </c>
      <c r="J1081" s="10">
        <f t="shared" si="103"/>
        <v>1.3006258541764888E-2</v>
      </c>
      <c r="K1081" s="24">
        <f t="shared" si="104"/>
        <v>89</v>
      </c>
      <c r="L1081" s="19">
        <f t="shared" si="105"/>
        <v>3.7625108430469911</v>
      </c>
      <c r="M1081" s="19">
        <f t="shared" si="106"/>
        <v>1.8176320322620795E-37</v>
      </c>
    </row>
    <row r="1082" spans="7:13">
      <c r="G1082" s="3">
        <v>1069</v>
      </c>
      <c r="H1082" s="5">
        <f t="shared" si="102"/>
        <v>89.083333333333329</v>
      </c>
      <c r="I1082" s="4">
        <f t="shared" si="107"/>
        <v>1.40135601789412E-36</v>
      </c>
      <c r="J1082" s="10">
        <f t="shared" si="103"/>
        <v>1.2953484442715667E-2</v>
      </c>
      <c r="K1082" s="24">
        <f t="shared" si="104"/>
        <v>89</v>
      </c>
      <c r="L1082" s="19">
        <f t="shared" si="105"/>
        <v>3.7625108430469911</v>
      </c>
      <c r="M1082" s="19">
        <f t="shared" si="106"/>
        <v>8.3723546019840529E-38</v>
      </c>
    </row>
    <row r="1083" spans="7:13">
      <c r="G1083" s="3">
        <v>1070</v>
      </c>
      <c r="H1083" s="5">
        <f t="shared" si="102"/>
        <v>89.166666666666671</v>
      </c>
      <c r="I1083" s="4">
        <f t="shared" si="107"/>
        <v>6.2467272860575341E-37</v>
      </c>
      <c r="J1083" s="10">
        <f t="shared" si="103"/>
        <v>1.290092447946283E-2</v>
      </c>
      <c r="K1083" s="24">
        <f t="shared" si="104"/>
        <v>89</v>
      </c>
      <c r="L1083" s="19">
        <f t="shared" si="105"/>
        <v>3.7625108430469911</v>
      </c>
      <c r="M1083" s="19">
        <f t="shared" si="106"/>
        <v>3.7700104525730629E-38</v>
      </c>
    </row>
    <row r="1084" spans="7:13">
      <c r="G1084" s="3">
        <v>1071</v>
      </c>
      <c r="H1084" s="5">
        <f t="shared" si="102"/>
        <v>89.25</v>
      </c>
      <c r="I1084" s="4">
        <f t="shared" si="107"/>
        <v>2.7626244858350912E-37</v>
      </c>
      <c r="J1084" s="10">
        <f t="shared" si="103"/>
        <v>1.2848577783130526E-2</v>
      </c>
      <c r="K1084" s="24">
        <f t="shared" si="104"/>
        <v>89</v>
      </c>
      <c r="L1084" s="19">
        <f t="shared" si="105"/>
        <v>3.7625108430469911</v>
      </c>
      <c r="M1084" s="19">
        <f t="shared" si="106"/>
        <v>1.6843167934426952E-38</v>
      </c>
    </row>
    <row r="1085" spans="7:13">
      <c r="G1085" s="3">
        <v>1072</v>
      </c>
      <c r="H1085" s="5">
        <f t="shared" si="102"/>
        <v>89.333333333333329</v>
      </c>
      <c r="I1085" s="4">
        <f t="shared" si="107"/>
        <v>1.2120562970934915E-37</v>
      </c>
      <c r="J1085" s="10">
        <f t="shared" si="103"/>
        <v>1.2796443488368456E-2</v>
      </c>
      <c r="K1085" s="24">
        <f t="shared" si="104"/>
        <v>89</v>
      </c>
      <c r="L1085" s="19">
        <f t="shared" si="105"/>
        <v>3.7625108430469911</v>
      </c>
      <c r="M1085" s="19">
        <f t="shared" si="106"/>
        <v>7.4654830380494167E-39</v>
      </c>
    </row>
    <row r="1086" spans="7:13">
      <c r="G1086" s="3">
        <v>1073</v>
      </c>
      <c r="H1086" s="5">
        <f t="shared" si="102"/>
        <v>89.416666666666671</v>
      </c>
      <c r="I1086" s="4">
        <f t="shared" si="107"/>
        <v>5.2749870977452201E-38</v>
      </c>
      <c r="J1086" s="10">
        <f t="shared" si="103"/>
        <v>1.274452073333756E-2</v>
      </c>
      <c r="K1086" s="24">
        <f t="shared" si="104"/>
        <v>89</v>
      </c>
      <c r="L1086" s="19">
        <f t="shared" si="105"/>
        <v>3.7625108430469911</v>
      </c>
      <c r="M1086" s="19">
        <f t="shared" si="106"/>
        <v>3.2825492946000137E-39</v>
      </c>
    </row>
    <row r="1087" spans="7:13">
      <c r="G1087" s="3">
        <v>1074</v>
      </c>
      <c r="H1087" s="5">
        <f t="shared" si="102"/>
        <v>89.5</v>
      </c>
      <c r="I1087" s="4">
        <f t="shared" si="107"/>
        <v>2.2771068085302892E-38</v>
      </c>
      <c r="J1087" s="10">
        <f t="shared" si="103"/>
        <v>1.26928086596958E-2</v>
      </c>
      <c r="K1087" s="24">
        <f t="shared" si="104"/>
        <v>89</v>
      </c>
      <c r="L1087" s="19">
        <f t="shared" si="105"/>
        <v>3.7625108430469911</v>
      </c>
      <c r="M1087" s="19">
        <f t="shared" si="106"/>
        <v>1.4316925996441995E-39</v>
      </c>
    </row>
    <row r="1088" spans="7:13">
      <c r="G1088" s="3">
        <v>1075</v>
      </c>
      <c r="H1088" s="5">
        <f t="shared" si="102"/>
        <v>89.583333333333329</v>
      </c>
      <c r="I1088" s="4">
        <f t="shared" si="107"/>
        <v>9.7493165929884947E-39</v>
      </c>
      <c r="J1088" s="10">
        <f t="shared" si="103"/>
        <v>1.2641306412583909E-2</v>
      </c>
      <c r="K1088" s="24">
        <f t="shared" si="104"/>
        <v>89</v>
      </c>
      <c r="L1088" s="19">
        <f t="shared" si="105"/>
        <v>3.7625108430469911</v>
      </c>
      <c r="M1088" s="19">
        <f t="shared" si="106"/>
        <v>6.193542491889073E-40</v>
      </c>
    </row>
    <row r="1089" spans="7:13">
      <c r="G1089" s="3">
        <v>1076</v>
      </c>
      <c r="H1089" s="5">
        <f t="shared" si="102"/>
        <v>89.666666666666671</v>
      </c>
      <c r="I1089" s="4">
        <f t="shared" si="107"/>
        <v>4.1396036310724887E-39</v>
      </c>
      <c r="J1089" s="10">
        <f t="shared" si="103"/>
        <v>1.2590013140611292E-2</v>
      </c>
      <c r="K1089" s="24">
        <f t="shared" si="104"/>
        <v>89</v>
      </c>
      <c r="L1089" s="19">
        <f t="shared" si="105"/>
        <v>3.7625108430469911</v>
      </c>
      <c r="M1089" s="19">
        <f t="shared" si="106"/>
        <v>2.6573244494968407E-40</v>
      </c>
    </row>
    <row r="1090" spans="7:13">
      <c r="G1090" s="3">
        <v>1077</v>
      </c>
      <c r="H1090" s="5">
        <f t="shared" si="102"/>
        <v>89.75</v>
      </c>
      <c r="I1090" s="4">
        <f t="shared" si="107"/>
        <v>1.7430179459937826E-39</v>
      </c>
      <c r="J1090" s="10">
        <f t="shared" si="103"/>
        <v>1.2538927995841982E-2</v>
      </c>
      <c r="K1090" s="24">
        <f t="shared" si="104"/>
        <v>89</v>
      </c>
      <c r="L1090" s="19">
        <f t="shared" si="105"/>
        <v>3.7625108430469911</v>
      </c>
      <c r="M1090" s="19">
        <f t="shared" si="106"/>
        <v>1.1306576606100081E-40</v>
      </c>
    </row>
    <row r="1091" spans="7:13">
      <c r="G1091" s="3">
        <v>1078</v>
      </c>
      <c r="H1091" s="5">
        <f t="shared" si="102"/>
        <v>89.833333333333329</v>
      </c>
      <c r="I1091" s="4">
        <f t="shared" si="107"/>
        <v>7.2772589045360811E-40</v>
      </c>
      <c r="J1091" s="10">
        <f t="shared" si="103"/>
        <v>1.2488050133780558E-2</v>
      </c>
      <c r="K1091" s="24">
        <f t="shared" si="104"/>
        <v>89</v>
      </c>
      <c r="L1091" s="19">
        <f t="shared" si="105"/>
        <v>3.7625108430469911</v>
      </c>
      <c r="M1091" s="19">
        <f t="shared" si="106"/>
        <v>4.7704943042869685E-41</v>
      </c>
    </row>
    <row r="1092" spans="7:13">
      <c r="G1092" s="3">
        <v>1079</v>
      </c>
      <c r="H1092" s="5">
        <f t="shared" si="102"/>
        <v>89.916666666666671</v>
      </c>
      <c r="I1092" s="4">
        <f t="shared" si="107"/>
        <v>3.0124556888294794E-40</v>
      </c>
      <c r="J1092" s="10">
        <f t="shared" si="103"/>
        <v>1.2437378713358217E-2</v>
      </c>
      <c r="K1092" s="24">
        <f t="shared" si="104"/>
        <v>89</v>
      </c>
      <c r="L1092" s="19">
        <f t="shared" si="105"/>
        <v>3.7625108430469911</v>
      </c>
      <c r="M1092" s="19">
        <f t="shared" si="106"/>
        <v>1.9957476005043308E-41</v>
      </c>
    </row>
    <row r="1093" spans="7:13">
      <c r="G1093" s="3">
        <v>1080</v>
      </c>
      <c r="H1093" s="5">
        <f t="shared" si="102"/>
        <v>90</v>
      </c>
      <c r="I1093" s="4">
        <f t="shared" si="107"/>
        <v>1.2363004734839876E-40</v>
      </c>
      <c r="J1093" s="10">
        <f t="shared" si="103"/>
        <v>1.2386912896918942E-2</v>
      </c>
      <c r="K1093" s="24">
        <f t="shared" si="104"/>
        <v>90</v>
      </c>
      <c r="L1093" s="19">
        <f t="shared" si="105"/>
        <v>3.8189485056926955</v>
      </c>
      <c r="M1093" s="19">
        <f t="shared" si="106"/>
        <v>8.2779301847640772E-42</v>
      </c>
    </row>
    <row r="1094" spans="7:13">
      <c r="G1094" s="3">
        <v>1081</v>
      </c>
      <c r="H1094" s="5">
        <f t="shared" si="102"/>
        <v>90.083333333333329</v>
      </c>
      <c r="I1094" s="4">
        <f t="shared" si="107"/>
        <v>5.0296901080571837E-41</v>
      </c>
      <c r="J1094" s="10">
        <f t="shared" si="103"/>
        <v>1.2336651850205396E-2</v>
      </c>
      <c r="K1094" s="24">
        <f t="shared" si="104"/>
        <v>90</v>
      </c>
      <c r="L1094" s="19">
        <f t="shared" si="105"/>
        <v>3.8189485056926955</v>
      </c>
      <c r="M1094" s="19">
        <f t="shared" si="106"/>
        <v>3.4549473176724752E-42</v>
      </c>
    </row>
    <row r="1095" spans="7:13">
      <c r="G1095" s="3">
        <v>1082</v>
      </c>
      <c r="H1095" s="5">
        <f t="shared" si="102"/>
        <v>90.166666666666671</v>
      </c>
      <c r="I1095" s="4">
        <f t="shared" si="107"/>
        <v>2.0283139730459257E-41</v>
      </c>
      <c r="J1095" s="10">
        <f t="shared" si="103"/>
        <v>1.2286594742345549E-2</v>
      </c>
      <c r="K1095" s="24">
        <f t="shared" si="104"/>
        <v>90</v>
      </c>
      <c r="L1095" s="19">
        <f t="shared" si="105"/>
        <v>3.8189485056926955</v>
      </c>
      <c r="M1095" s="19">
        <f t="shared" si="106"/>
        <v>1.4083018872571852E-42</v>
      </c>
    </row>
    <row r="1096" spans="7:13">
      <c r="G1096" s="3">
        <v>1083</v>
      </c>
      <c r="H1096" s="5">
        <f t="shared" si="102"/>
        <v>90.25</v>
      </c>
      <c r="I1096" s="4">
        <f t="shared" si="107"/>
        <v>8.1071549701400095E-42</v>
      </c>
      <c r="J1096" s="10">
        <f t="shared" si="103"/>
        <v>1.2236740745838595E-2</v>
      </c>
      <c r="K1096" s="24">
        <f t="shared" si="104"/>
        <v>90</v>
      </c>
      <c r="L1096" s="19">
        <f t="shared" si="105"/>
        <v>3.8189485056926955</v>
      </c>
      <c r="M1096" s="19">
        <f t="shared" si="106"/>
        <v>5.6900182222786492E-43</v>
      </c>
    </row>
    <row r="1097" spans="7:13">
      <c r="G1097" s="3">
        <v>1084</v>
      </c>
      <c r="H1097" s="5">
        <f t="shared" si="102"/>
        <v>90.333333333333329</v>
      </c>
      <c r="I1097" s="4">
        <f t="shared" si="107"/>
        <v>3.2114658893558022E-42</v>
      </c>
      <c r="J1097" s="10">
        <f t="shared" si="103"/>
        <v>1.2187089036541384E-2</v>
      </c>
      <c r="K1097" s="24">
        <f t="shared" si="104"/>
        <v>90</v>
      </c>
      <c r="L1097" s="19">
        <f t="shared" si="105"/>
        <v>3.8189485056926955</v>
      </c>
      <c r="M1097" s="19">
        <f t="shared" si="106"/>
        <v>2.2785450255556218E-43</v>
      </c>
    </row>
    <row r="1098" spans="7:13">
      <c r="G1098" s="3">
        <v>1085</v>
      </c>
      <c r="H1098" s="5">
        <f t="shared" si="102"/>
        <v>90.416666666666671</v>
      </c>
      <c r="I1098" s="4">
        <f t="shared" si="107"/>
        <v>1.2606703476356997E-42</v>
      </c>
      <c r="J1098" s="10">
        <f t="shared" si="103"/>
        <v>1.2137638793654816E-2</v>
      </c>
      <c r="K1098" s="24">
        <f t="shared" si="104"/>
        <v>90</v>
      </c>
      <c r="L1098" s="19">
        <f t="shared" si="105"/>
        <v>3.8189485056926955</v>
      </c>
      <c r="M1098" s="19">
        <f t="shared" si="106"/>
        <v>9.0425259949948886E-44</v>
      </c>
    </row>
    <row r="1099" spans="7:13">
      <c r="G1099" s="3">
        <v>1086</v>
      </c>
      <c r="H1099" s="5">
        <f t="shared" si="102"/>
        <v>90.5</v>
      </c>
      <c r="I1099" s="4">
        <f t="shared" si="107"/>
        <v>4.9037081338121813E-43</v>
      </c>
      <c r="J1099" s="10">
        <f t="shared" si="103"/>
        <v>1.2088389199710283E-2</v>
      </c>
      <c r="K1099" s="24">
        <f t="shared" si="104"/>
        <v>90</v>
      </c>
      <c r="L1099" s="19">
        <f t="shared" si="105"/>
        <v>3.8189485056926955</v>
      </c>
      <c r="M1099" s="19">
        <f t="shared" si="106"/>
        <v>3.5560828599907432E-44</v>
      </c>
    </row>
    <row r="1100" spans="7:13">
      <c r="G1100" s="3">
        <v>1087</v>
      </c>
      <c r="H1100" s="5">
        <f t="shared" si="102"/>
        <v>90.583333333333329</v>
      </c>
      <c r="I1100" s="4">
        <f t="shared" si="107"/>
        <v>1.8898773848117962E-43</v>
      </c>
      <c r="J1100" s="10">
        <f t="shared" si="103"/>
        <v>1.2039339440556102E-2</v>
      </c>
      <c r="K1100" s="24">
        <f t="shared" si="104"/>
        <v>90</v>
      </c>
      <c r="L1100" s="19">
        <f t="shared" si="105"/>
        <v>3.8189485056926955</v>
      </c>
      <c r="M1100" s="19">
        <f t="shared" si="106"/>
        <v>1.38568756983542E-44</v>
      </c>
    </row>
    <row r="1101" spans="7:13">
      <c r="G1101" s="3">
        <v>1088</v>
      </c>
      <c r="H1101" s="5">
        <f t="shared" si="102"/>
        <v>90.666666666666671</v>
      </c>
      <c r="I1101" s="4">
        <f t="shared" si="107"/>
        <v>7.2158797890537189E-44</v>
      </c>
      <c r="J1101" s="10">
        <f t="shared" si="103"/>
        <v>1.1990488705344086E-2</v>
      </c>
      <c r="K1101" s="24">
        <f t="shared" si="104"/>
        <v>90</v>
      </c>
      <c r="L1101" s="19">
        <f t="shared" si="105"/>
        <v>3.8189485056926955</v>
      </c>
      <c r="M1101" s="19">
        <f t="shared" si="106"/>
        <v>5.3497209025911128E-45</v>
      </c>
    </row>
    <row r="1102" spans="7:13">
      <c r="G1102" s="3">
        <v>1089</v>
      </c>
      <c r="H1102" s="5">
        <f t="shared" ref="H1102:H1129" si="108">G1102/12</f>
        <v>90.75</v>
      </c>
      <c r="I1102" s="4">
        <f t="shared" si="107"/>
        <v>2.7293040558872434E-44</v>
      </c>
      <c r="J1102" s="10">
        <f t="shared" ref="J1102:J1129" si="109">(1+B$6)^-H1102</f>
        <v>1.1941836186516171E-2</v>
      </c>
      <c r="K1102" s="24">
        <f t="shared" ref="K1102:K1129" si="110">INT(H1102+0.000001)</f>
        <v>90</v>
      </c>
      <c r="L1102" s="19">
        <f t="shared" ref="L1102:L1129" si="111">1.015^K1102</f>
        <v>3.8189485056926955</v>
      </c>
      <c r="M1102" s="19">
        <f t="shared" si="106"/>
        <v>2.0461144142360206E-45</v>
      </c>
    </row>
    <row r="1103" spans="7:13">
      <c r="G1103" s="3">
        <v>1090</v>
      </c>
      <c r="H1103" s="5">
        <f t="shared" si="108"/>
        <v>90.833333333333329</v>
      </c>
      <c r="I1103" s="4">
        <f t="shared" si="107"/>
        <v>1.022542706677001E-44</v>
      </c>
      <c r="J1103" s="10">
        <f t="shared" si="109"/>
        <v>1.1893381079791005E-2</v>
      </c>
      <c r="K1103" s="24">
        <f t="shared" si="110"/>
        <v>90</v>
      </c>
      <c r="L1103" s="19">
        <f t="shared" si="111"/>
        <v>3.8189485056926955</v>
      </c>
      <c r="M1103" s="19">
        <f t="shared" ref="M1103:M1129" si="112">(I1102-I1103)*J1103*L1102</f>
        <v>7.7521458734264755E-46</v>
      </c>
    </row>
    <row r="1104" spans="7:13">
      <c r="G1104" s="3">
        <v>1091</v>
      </c>
      <c r="H1104" s="5">
        <f t="shared" si="108"/>
        <v>90.916666666666671</v>
      </c>
      <c r="I1104" s="4">
        <f t="shared" si="107"/>
        <v>3.7943504155256692E-45</v>
      </c>
      <c r="J1104" s="10">
        <f t="shared" si="109"/>
        <v>1.1845122584150681E-2</v>
      </c>
      <c r="K1104" s="24">
        <f t="shared" si="110"/>
        <v>90</v>
      </c>
      <c r="L1104" s="19">
        <f t="shared" si="111"/>
        <v>3.8189485056926955</v>
      </c>
      <c r="M1104" s="19">
        <f t="shared" si="112"/>
        <v>2.9091562512993212E-46</v>
      </c>
    </row>
    <row r="1105" spans="7:13">
      <c r="G1105" s="3">
        <v>1092</v>
      </c>
      <c r="H1105" s="5">
        <f t="shared" si="108"/>
        <v>91</v>
      </c>
      <c r="I1105" s="4">
        <f t="shared" si="107"/>
        <v>1.3943731434809699E-45</v>
      </c>
      <c r="J1105" s="10">
        <f t="shared" si="109"/>
        <v>1.1797059901827561E-2</v>
      </c>
      <c r="K1105" s="24">
        <f t="shared" si="110"/>
        <v>91</v>
      </c>
      <c r="L1105" s="19">
        <f t="shared" si="111"/>
        <v>3.8762327332780857</v>
      </c>
      <c r="M1105" s="19">
        <f t="shared" si="112"/>
        <v>1.0812465033264217E-46</v>
      </c>
    </row>
    <row r="1106" spans="7:13">
      <c r="G1106" s="3">
        <v>1093</v>
      </c>
      <c r="H1106" s="5">
        <f t="shared" si="108"/>
        <v>91.083333333333329</v>
      </c>
      <c r="I1106" s="4">
        <f t="shared" si="107"/>
        <v>5.0741689199339728E-46</v>
      </c>
      <c r="J1106" s="10">
        <f t="shared" si="109"/>
        <v>1.1749192238290851E-2</v>
      </c>
      <c r="K1106" s="24">
        <f t="shared" si="110"/>
        <v>91</v>
      </c>
      <c r="L1106" s="19">
        <f t="shared" si="111"/>
        <v>3.8762327332780857</v>
      </c>
      <c r="M1106" s="19">
        <f t="shared" si="112"/>
        <v>4.0394296922051409E-47</v>
      </c>
    </row>
    <row r="1107" spans="7:13">
      <c r="G1107" s="3">
        <v>1094</v>
      </c>
      <c r="H1107" s="5">
        <f t="shared" si="108"/>
        <v>91.166666666666671</v>
      </c>
      <c r="I1107" s="4">
        <f t="shared" si="107"/>
        <v>1.8283254859489597E-46</v>
      </c>
      <c r="J1107" s="10">
        <f t="shared" si="109"/>
        <v>1.1701518802233855E-2</v>
      </c>
      <c r="K1107" s="24">
        <f t="shared" si="110"/>
        <v>91</v>
      </c>
      <c r="L1107" s="19">
        <f t="shared" si="111"/>
        <v>3.8762327332780857</v>
      </c>
      <c r="M1107" s="19">
        <f t="shared" si="112"/>
        <v>1.4722435045100121E-47</v>
      </c>
    </row>
    <row r="1108" spans="7:13">
      <c r="G1108" s="3">
        <v>1095</v>
      </c>
      <c r="H1108" s="5">
        <f t="shared" si="108"/>
        <v>91.25</v>
      </c>
      <c r="I1108" s="4">
        <f t="shared" si="107"/>
        <v>6.5223292876149766E-47</v>
      </c>
      <c r="J1108" s="10">
        <f t="shared" si="109"/>
        <v>1.1654038805560565E-2</v>
      </c>
      <c r="K1108" s="24">
        <f t="shared" si="110"/>
        <v>91</v>
      </c>
      <c r="L1108" s="19">
        <f t="shared" si="111"/>
        <v>3.8762327332780857</v>
      </c>
      <c r="M1108" s="19">
        <f t="shared" si="112"/>
        <v>5.3128530787768298E-48</v>
      </c>
    </row>
    <row r="1109" spans="7:13">
      <c r="G1109" s="3">
        <v>1096</v>
      </c>
      <c r="H1109" s="5">
        <f t="shared" si="108"/>
        <v>91.333333333333329</v>
      </c>
      <c r="I1109" s="4">
        <f t="shared" si="107"/>
        <v>2.3034037363832292E-47</v>
      </c>
      <c r="J1109" s="10">
        <f t="shared" si="109"/>
        <v>1.1606751463372745E-2</v>
      </c>
      <c r="K1109" s="24">
        <f t="shared" si="110"/>
        <v>91</v>
      </c>
      <c r="L1109" s="19">
        <f t="shared" si="111"/>
        <v>3.8762327332780857</v>
      </c>
      <c r="M1109" s="19">
        <f t="shared" si="112"/>
        <v>1.8981144323123158E-48</v>
      </c>
    </row>
    <row r="1110" spans="7:13">
      <c r="G1110" s="3">
        <v>1097</v>
      </c>
      <c r="H1110" s="5">
        <f t="shared" si="108"/>
        <v>91.416666666666671</v>
      </c>
      <c r="I1110" s="4">
        <f t="shared" si="107"/>
        <v>8.0521648674188254E-48</v>
      </c>
      <c r="J1110" s="10">
        <f t="shared" si="109"/>
        <v>1.1559655993956967E-2</v>
      </c>
      <c r="K1110" s="24">
        <f t="shared" si="110"/>
        <v>91</v>
      </c>
      <c r="L1110" s="19">
        <f t="shared" si="111"/>
        <v>3.8762327332780857</v>
      </c>
      <c r="M1110" s="19">
        <f t="shared" si="112"/>
        <v>6.7130649856295136E-49</v>
      </c>
    </row>
    <row r="1111" spans="7:13">
      <c r="G1111" s="3">
        <v>1098</v>
      </c>
      <c r="H1111" s="5">
        <f t="shared" si="108"/>
        <v>91.5</v>
      </c>
      <c r="I1111" s="4">
        <f t="shared" si="107"/>
        <v>2.7860389421711322E-48</v>
      </c>
      <c r="J1111" s="10">
        <f t="shared" si="109"/>
        <v>1.1512751618771695E-2</v>
      </c>
      <c r="K1111" s="24">
        <f t="shared" si="110"/>
        <v>91</v>
      </c>
      <c r="L1111" s="19">
        <f t="shared" si="111"/>
        <v>3.8762327332780857</v>
      </c>
      <c r="M1111" s="19">
        <f t="shared" si="112"/>
        <v>2.3500668677069265E-49</v>
      </c>
    </row>
    <row r="1112" spans="7:13">
      <c r="G1112" s="3">
        <v>1099</v>
      </c>
      <c r="H1112" s="5">
        <f t="shared" si="108"/>
        <v>91.583333333333329</v>
      </c>
      <c r="I1112" s="4">
        <f t="shared" si="107"/>
        <v>9.5400335592698475E-49</v>
      </c>
      <c r="J1112" s="10">
        <f t="shared" si="109"/>
        <v>1.146603756243438E-2</v>
      </c>
      <c r="K1112" s="24">
        <f t="shared" si="110"/>
        <v>91</v>
      </c>
      <c r="L1112" s="19">
        <f t="shared" si="111"/>
        <v>3.8762327332780857</v>
      </c>
      <c r="M1112" s="19">
        <f t="shared" si="112"/>
        <v>8.1424876812456729E-50</v>
      </c>
    </row>
    <row r="1113" spans="7:13">
      <c r="G1113" s="3">
        <v>1100</v>
      </c>
      <c r="H1113" s="5">
        <f t="shared" si="108"/>
        <v>91.666666666666671</v>
      </c>
      <c r="I1113" s="4">
        <f t="shared" si="107"/>
        <v>3.2326348698194782E-49</v>
      </c>
      <c r="J1113" s="10">
        <f t="shared" si="109"/>
        <v>1.1419513052708661E-2</v>
      </c>
      <c r="K1113" s="24">
        <f t="shared" si="110"/>
        <v>91</v>
      </c>
      <c r="L1113" s="19">
        <f t="shared" si="111"/>
        <v>3.8762327332780857</v>
      </c>
      <c r="M1113" s="19">
        <f t="shared" si="112"/>
        <v>2.7919504954303043E-50</v>
      </c>
    </row>
    <row r="1114" spans="7:13">
      <c r="G1114" s="3">
        <v>1101</v>
      </c>
      <c r="H1114" s="5">
        <f t="shared" si="108"/>
        <v>91.75</v>
      </c>
      <c r="I1114" s="4">
        <f t="shared" si="107"/>
        <v>1.0838341673442867E-49</v>
      </c>
      <c r="J1114" s="10">
        <f t="shared" si="109"/>
        <v>1.1373177320491592E-2</v>
      </c>
      <c r="K1114" s="24">
        <f t="shared" si="110"/>
        <v>91</v>
      </c>
      <c r="L1114" s="19">
        <f t="shared" si="111"/>
        <v>3.8762327332780857</v>
      </c>
      <c r="M1114" s="19">
        <f t="shared" si="112"/>
        <v>9.4730055623814014E-51</v>
      </c>
    </row>
    <row r="1115" spans="7:13">
      <c r="G1115" s="3">
        <v>1102</v>
      </c>
      <c r="H1115" s="5">
        <f t="shared" si="108"/>
        <v>91.833333333333329</v>
      </c>
      <c r="I1115" s="4">
        <f t="shared" si="107"/>
        <v>3.5952030398983507E-50</v>
      </c>
      <c r="J1115" s="10">
        <f t="shared" si="109"/>
        <v>1.1327029599800956E-2</v>
      </c>
      <c r="K1115" s="24">
        <f t="shared" si="110"/>
        <v>91</v>
      </c>
      <c r="L1115" s="19">
        <f t="shared" si="111"/>
        <v>3.8762327332780857</v>
      </c>
      <c r="M1115" s="19">
        <f t="shared" si="112"/>
        <v>3.1801871451749341E-51</v>
      </c>
    </row>
    <row r="1116" spans="7:13">
      <c r="G1116" s="3">
        <v>1103</v>
      </c>
      <c r="H1116" s="5">
        <f t="shared" si="108"/>
        <v>91.916666666666671</v>
      </c>
      <c r="I1116" s="4">
        <f t="shared" si="107"/>
        <v>1.1797580030027716E-50</v>
      </c>
      <c r="J1116" s="10">
        <f t="shared" si="109"/>
        <v>1.128106912776256E-2</v>
      </c>
      <c r="K1116" s="24">
        <f t="shared" si="110"/>
        <v>91</v>
      </c>
      <c r="L1116" s="19">
        <f t="shared" si="111"/>
        <v>3.8762327332780857</v>
      </c>
      <c r="M1116" s="19">
        <f t="shared" si="112"/>
        <v>1.0562269994322908E-51</v>
      </c>
    </row>
    <row r="1117" spans="7:13">
      <c r="G1117" s="3">
        <v>1104</v>
      </c>
      <c r="H1117" s="5">
        <f t="shared" si="108"/>
        <v>92</v>
      </c>
      <c r="I1117" s="4">
        <f t="shared" si="107"/>
        <v>3.8293533959086968E-51</v>
      </c>
      <c r="J1117" s="10">
        <f t="shared" si="109"/>
        <v>1.123529514459768E-2</v>
      </c>
      <c r="K1117" s="24">
        <f t="shared" si="110"/>
        <v>92</v>
      </c>
      <c r="L1117" s="19">
        <f t="shared" si="111"/>
        <v>3.9343762242772558</v>
      </c>
      <c r="M1117" s="19">
        <f t="shared" si="112"/>
        <v>3.470212007145242E-52</v>
      </c>
    </row>
    <row r="1118" spans="7:13">
      <c r="G1118" s="3">
        <v>1105</v>
      </c>
      <c r="H1118" s="5">
        <f t="shared" si="108"/>
        <v>92.083333333333329</v>
      </c>
      <c r="I1118" s="4">
        <f t="shared" si="107"/>
        <v>1.2293473214582229E-51</v>
      </c>
      <c r="J1118" s="10">
        <f t="shared" si="109"/>
        <v>1.1189706893610334E-2</v>
      </c>
      <c r="K1118" s="24">
        <f t="shared" si="110"/>
        <v>92</v>
      </c>
      <c r="L1118" s="19">
        <f t="shared" si="111"/>
        <v>3.9343762242772558</v>
      </c>
      <c r="M1118" s="19">
        <f t="shared" si="112"/>
        <v>1.1446401099776139E-52</v>
      </c>
    </row>
    <row r="1119" spans="7:13">
      <c r="G1119" s="3">
        <v>1106</v>
      </c>
      <c r="H1119" s="5">
        <f t="shared" si="108"/>
        <v>92.166666666666671</v>
      </c>
      <c r="I1119" s="4">
        <f t="shared" si="107"/>
        <v>3.9029551826603211E-52</v>
      </c>
      <c r="J1119" s="10">
        <f t="shared" si="109"/>
        <v>1.1144303621175109E-2</v>
      </c>
      <c r="K1119" s="24">
        <f t="shared" si="110"/>
        <v>92</v>
      </c>
      <c r="L1119" s="19">
        <f t="shared" si="111"/>
        <v>3.9343762242772558</v>
      </c>
      <c r="M1119" s="19">
        <f t="shared" si="112"/>
        <v>3.678896736426483E-53</v>
      </c>
    </row>
    <row r="1120" spans="7:13">
      <c r="G1120" s="3">
        <v>1107</v>
      </c>
      <c r="H1120" s="5">
        <f t="shared" si="108"/>
        <v>92.25</v>
      </c>
      <c r="I1120" s="4">
        <f t="shared" si="107"/>
        <v>1.225279200092476E-52</v>
      </c>
      <c r="J1120" s="10">
        <f t="shared" si="109"/>
        <v>1.1099084576724356E-2</v>
      </c>
      <c r="K1120" s="24">
        <f t="shared" si="110"/>
        <v>92</v>
      </c>
      <c r="L1120" s="19">
        <f t="shared" si="111"/>
        <v>3.9343762242772558</v>
      </c>
      <c r="M1120" s="19">
        <f t="shared" si="112"/>
        <v>1.1692868644545498E-53</v>
      </c>
    </row>
    <row r="1121" spans="7:13">
      <c r="G1121" s="3">
        <v>1108</v>
      </c>
      <c r="H1121" s="5">
        <f t="shared" si="108"/>
        <v>92.333333333333329</v>
      </c>
      <c r="I1121" s="4">
        <f t="shared" si="107"/>
        <v>3.8032190998789364E-53</v>
      </c>
      <c r="J1121" s="10">
        <f t="shared" si="109"/>
        <v>1.1054049012735946E-2</v>
      </c>
      <c r="K1121" s="24">
        <f t="shared" si="110"/>
        <v>92</v>
      </c>
      <c r="L1121" s="19">
        <f t="shared" si="111"/>
        <v>3.9343762242772558</v>
      </c>
      <c r="M1121" s="19">
        <f t="shared" si="112"/>
        <v>3.6747858049968908E-54</v>
      </c>
    </row>
    <row r="1122" spans="7:13">
      <c r="G1122" s="3">
        <v>1109</v>
      </c>
      <c r="H1122" s="5">
        <f t="shared" si="108"/>
        <v>92.416666666666671</v>
      </c>
      <c r="I1122" s="4">
        <f t="shared" si="107"/>
        <v>1.1670627445150787E-53</v>
      </c>
      <c r="J1122" s="10">
        <f t="shared" si="109"/>
        <v>1.1009196184720928E-2</v>
      </c>
      <c r="K1122" s="24">
        <f t="shared" si="110"/>
        <v>92</v>
      </c>
      <c r="L1122" s="19">
        <f t="shared" si="111"/>
        <v>3.9343762242772558</v>
      </c>
      <c r="M1122" s="19">
        <f t="shared" si="112"/>
        <v>1.1418331920173393E-54</v>
      </c>
    </row>
    <row r="1123" spans="7:13">
      <c r="G1123" s="3">
        <v>1110</v>
      </c>
      <c r="H1123" s="5">
        <f t="shared" si="108"/>
        <v>92.5</v>
      </c>
      <c r="I1123" s="4">
        <f t="shared" si="107"/>
        <v>3.5400953361521253E-54</v>
      </c>
      <c r="J1123" s="10">
        <f t="shared" si="109"/>
        <v>1.0964525351211146E-2</v>
      </c>
      <c r="K1123" s="24">
        <f t="shared" si="110"/>
        <v>92</v>
      </c>
      <c r="L1123" s="19">
        <f t="shared" si="111"/>
        <v>3.9343762242772558</v>
      </c>
      <c r="M1123" s="19">
        <f t="shared" si="112"/>
        <v>3.5073951105926424E-55</v>
      </c>
    </row>
    <row r="1124" spans="7:13">
      <c r="G1124" s="3">
        <v>1111</v>
      </c>
      <c r="H1124" s="5">
        <f t="shared" si="108"/>
        <v>92.583333333333329</v>
      </c>
      <c r="I1124" s="4">
        <f t="shared" si="107"/>
        <v>1.0613642187308093E-54</v>
      </c>
      <c r="J1124" s="10">
        <f t="shared" si="109"/>
        <v>1.0920035773747028E-2</v>
      </c>
      <c r="K1124" s="24">
        <f t="shared" si="110"/>
        <v>92</v>
      </c>
      <c r="L1124" s="19">
        <f t="shared" si="111"/>
        <v>3.9343762242772558</v>
      </c>
      <c r="M1124" s="19">
        <f t="shared" si="112"/>
        <v>1.0649503653527404E-55</v>
      </c>
    </row>
    <row r="1125" spans="7:13">
      <c r="G1125" s="3">
        <v>1112</v>
      </c>
      <c r="H1125" s="5">
        <f t="shared" si="108"/>
        <v>92.666666666666671</v>
      </c>
      <c r="I1125" s="4">
        <f t="shared" si="107"/>
        <v>3.1447999044071074E-55</v>
      </c>
      <c r="J1125" s="10">
        <f t="shared" si="109"/>
        <v>1.087572671686539E-2</v>
      </c>
      <c r="K1125" s="24">
        <f t="shared" si="110"/>
        <v>92</v>
      </c>
      <c r="L1125" s="19">
        <f t="shared" si="111"/>
        <v>3.9343762242772558</v>
      </c>
      <c r="M1125" s="19">
        <f t="shared" si="112"/>
        <v>3.1958579081658684E-56</v>
      </c>
    </row>
    <row r="1126" spans="7:13">
      <c r="G1126" s="3">
        <v>1113</v>
      </c>
      <c r="H1126" s="5">
        <f t="shared" si="108"/>
        <v>92.75</v>
      </c>
      <c r="I1126" s="4">
        <f t="shared" si="107"/>
        <v>9.2076871818440411E-56</v>
      </c>
      <c r="J1126" s="10">
        <f t="shared" si="109"/>
        <v>1.0831597448087236E-2</v>
      </c>
      <c r="K1126" s="24">
        <f t="shared" si="110"/>
        <v>92</v>
      </c>
      <c r="L1126" s="19">
        <f t="shared" si="111"/>
        <v>3.9343762242772558</v>
      </c>
      <c r="M1126" s="19">
        <f t="shared" si="112"/>
        <v>9.4778377761781263E-57</v>
      </c>
    </row>
    <row r="1127" spans="7:13">
      <c r="G1127" s="3">
        <v>1114</v>
      </c>
      <c r="H1127" s="5">
        <f t="shared" si="108"/>
        <v>92.833333333333329</v>
      </c>
      <c r="I1127" s="4">
        <f t="shared" si="107"/>
        <v>2.6637069299486368E-56</v>
      </c>
      <c r="J1127" s="10">
        <f t="shared" si="109"/>
        <v>1.078764723790568E-2</v>
      </c>
      <c r="K1127" s="24">
        <f t="shared" si="110"/>
        <v>92</v>
      </c>
      <c r="L1127" s="19">
        <f t="shared" si="111"/>
        <v>3.9343762242772558</v>
      </c>
      <c r="M1127" s="19">
        <f t="shared" si="112"/>
        <v>2.7774394725802966E-57</v>
      </c>
    </row>
    <row r="1128" spans="7:13">
      <c r="G1128" s="3">
        <v>1115</v>
      </c>
      <c r="H1128" s="5">
        <f t="shared" si="108"/>
        <v>92.916666666666671</v>
      </c>
      <c r="I1128" s="4">
        <f t="shared" ref="I1128:I1129" si="113">I1127*(B$9^(1/12))*B$8^((B$5^(B$7+H1127))*((B$5^(1/12)-1)))</f>
        <v>7.612890039692635E-57</v>
      </c>
      <c r="J1128" s="10">
        <f t="shared" si="109"/>
        <v>1.0743875359773865E-2</v>
      </c>
      <c r="K1128" s="24">
        <f t="shared" si="110"/>
        <v>92</v>
      </c>
      <c r="L1128" s="19">
        <f t="shared" si="111"/>
        <v>3.9343762242772558</v>
      </c>
      <c r="M1128" s="19">
        <f t="shared" si="112"/>
        <v>8.0416057580803723E-58</v>
      </c>
    </row>
    <row r="1129" spans="7:13">
      <c r="G1129" s="3">
        <v>1116</v>
      </c>
      <c r="H1129" s="5">
        <f t="shared" si="108"/>
        <v>93</v>
      </c>
      <c r="I1129" s="4">
        <f t="shared" si="113"/>
        <v>2.1492567112155601E-57</v>
      </c>
      <c r="J1129" s="10">
        <f t="shared" si="109"/>
        <v>1.0700281090093026E-2</v>
      </c>
      <c r="K1129" s="24">
        <f t="shared" si="110"/>
        <v>93</v>
      </c>
      <c r="L1129" s="19">
        <f t="shared" si="111"/>
        <v>3.9933918676414146</v>
      </c>
      <c r="M1129" s="19">
        <f t="shared" si="112"/>
        <v>2.3001312531286654E-58</v>
      </c>
    </row>
    <row r="1130" spans="7:13">
      <c r="G1130" s="3"/>
      <c r="H1130" s="5"/>
      <c r="I1130" s="3"/>
      <c r="L1130" s="3"/>
      <c r="M1130" s="10">
        <f>SUM(M14:M1129)</f>
        <v>0.22293178104604414</v>
      </c>
    </row>
    <row r="1131" spans="7:13">
      <c r="G1131" s="3"/>
      <c r="H1131" s="5"/>
      <c r="I1131" s="3"/>
      <c r="L1131" s="3"/>
      <c r="M1131" s="12">
        <f>200000*M1130</f>
        <v>44586.356209208825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5"/>
  <sheetViews>
    <sheetView zoomScale="125" zoomScaleNormal="125" zoomScalePageLayoutView="125" workbookViewId="0"/>
  </sheetViews>
  <sheetFormatPr baseColWidth="10" defaultRowHeight="12" x14ac:dyDescent="0"/>
  <sheetData>
    <row r="1" spans="1:10" ht="15">
      <c r="A1" s="70" t="s">
        <v>102</v>
      </c>
      <c r="G1" s="5"/>
      <c r="H1" s="3"/>
    </row>
    <row r="2" spans="1:10">
      <c r="G2" s="5"/>
      <c r="H2" s="3"/>
    </row>
    <row r="3" spans="1:10">
      <c r="A3" s="52" t="s">
        <v>9</v>
      </c>
      <c r="B3" s="51">
        <v>2.2000000000000001E-4</v>
      </c>
      <c r="E3" t="s">
        <v>97</v>
      </c>
      <c r="H3" s="24">
        <f>SUM(D34:D94)*50000</f>
        <v>342688.51898134022</v>
      </c>
      <c r="I3" s="3"/>
      <c r="J3" s="25"/>
    </row>
    <row r="4" spans="1:10">
      <c r="A4" s="52" t="s">
        <v>10</v>
      </c>
      <c r="B4" s="51">
        <f>2.7/1000000</f>
        <v>2.7E-6</v>
      </c>
      <c r="E4" t="s">
        <v>126</v>
      </c>
      <c r="H4" s="12">
        <f>(0.95*SUM(J15:J254)-0.15/12)*12</f>
        <v>144.6520887826014</v>
      </c>
      <c r="I4" s="3"/>
    </row>
    <row r="5" spans="1:10">
      <c r="A5" s="52" t="s">
        <v>24</v>
      </c>
      <c r="B5" s="51">
        <v>1.1240000000000001</v>
      </c>
      <c r="E5" t="s">
        <v>98</v>
      </c>
      <c r="G5" s="5"/>
      <c r="H5" s="12">
        <f>20*SUM(E16:E94)</f>
        <v>8.3284909009598369</v>
      </c>
    </row>
    <row r="6" spans="1:10">
      <c r="A6" s="52" t="s">
        <v>74</v>
      </c>
      <c r="B6" s="61">
        <v>0.05</v>
      </c>
      <c r="E6" t="s">
        <v>128</v>
      </c>
      <c r="G6" s="5"/>
      <c r="H6" s="12">
        <v>1250</v>
      </c>
    </row>
    <row r="7" spans="1:10">
      <c r="A7" s="52" t="s">
        <v>82</v>
      </c>
      <c r="B7" s="51">
        <v>40</v>
      </c>
      <c r="E7" t="s">
        <v>127</v>
      </c>
      <c r="G7" s="5"/>
      <c r="H7" s="57">
        <f>(H3+H5+H6)/H4</f>
        <v>2377.7523737604733</v>
      </c>
    </row>
    <row r="8" spans="1:10">
      <c r="A8" s="9" t="s">
        <v>25</v>
      </c>
      <c r="B8" s="18">
        <f>EXP(-B4/LN(B5))</f>
        <v>0.99997690236831238</v>
      </c>
      <c r="G8" s="5"/>
    </row>
    <row r="9" spans="1:10">
      <c r="A9" s="9" t="s">
        <v>27</v>
      </c>
      <c r="B9" s="18">
        <f>EXP(-B3)</f>
        <v>0.99978002419822543</v>
      </c>
      <c r="G9" s="5"/>
    </row>
    <row r="10" spans="1:10">
      <c r="G10" s="5"/>
    </row>
    <row r="11" spans="1:10">
      <c r="D11" s="3" t="s">
        <v>99</v>
      </c>
      <c r="G11" s="5"/>
      <c r="H11" s="3"/>
    </row>
    <row r="12" spans="1:10">
      <c r="D12" s="3" t="s">
        <v>75</v>
      </c>
      <c r="E12" s="3" t="s">
        <v>100</v>
      </c>
      <c r="G12" s="5"/>
      <c r="H12" s="3"/>
    </row>
    <row r="13" spans="1:10">
      <c r="A13" s="3" t="s">
        <v>0</v>
      </c>
      <c r="B13" s="7" t="s">
        <v>105</v>
      </c>
      <c r="C13" s="3" t="s">
        <v>85</v>
      </c>
      <c r="D13" s="3" t="s">
        <v>86</v>
      </c>
      <c r="E13" s="3" t="s">
        <v>89</v>
      </c>
      <c r="G13" s="5"/>
      <c r="H13" s="3"/>
      <c r="J13" s="3" t="s">
        <v>101</v>
      </c>
    </row>
    <row r="14" spans="1:10">
      <c r="A14" s="3">
        <v>0</v>
      </c>
      <c r="B14" s="4">
        <f>EXP(-(0.9^(2-A14))*(B$3*((0.9^A14 - 1)/LN(0.9)) +B$4*(B$5^B$7)*((0.9^A14 -B$5^A14)/LN(0.9/B$5))))</f>
        <v>1</v>
      </c>
      <c r="C14" s="3"/>
      <c r="D14" s="10"/>
      <c r="E14" s="3" t="s">
        <v>86</v>
      </c>
      <c r="G14" s="5" t="s">
        <v>0</v>
      </c>
      <c r="H14" s="7" t="s">
        <v>105</v>
      </c>
      <c r="I14" s="3" t="s">
        <v>85</v>
      </c>
      <c r="J14" s="3" t="s">
        <v>86</v>
      </c>
    </row>
    <row r="15" spans="1:10">
      <c r="A15" s="3">
        <v>1</v>
      </c>
      <c r="B15" s="4">
        <f t="shared" ref="B15:B16" si="0">EXP(-(0.9^(2-A15))*(B$3*((0.9^A15 - 1)/LN(0.9)) +B$4*(B$5^B$7)*((0.9^A15 -B$5^A15)/LN(0.9/B$5))))</f>
        <v>0.99954935645874254</v>
      </c>
      <c r="C15" s="10">
        <f>(1+B$6)^-A15</f>
        <v>0.95238095238095233</v>
      </c>
      <c r="D15" s="10"/>
      <c r="G15" s="5">
        <v>0</v>
      </c>
      <c r="H15" s="4">
        <f>EXP(-(0.9^(2-G15))*(B$3*((0.9^G15 - 1)/LN(0.9)) +B$4*(B$5^B$7)*((0.9^G15 -B$5^G15)/LN(0.9/B$5))))</f>
        <v>1</v>
      </c>
      <c r="I15" s="10">
        <f>(1+B$6)^-G15</f>
        <v>1</v>
      </c>
      <c r="J15" s="5">
        <f t="shared" ref="J15:J78" si="1">H15*I15/12</f>
        <v>8.3333333333333329E-2</v>
      </c>
    </row>
    <row r="16" spans="1:10">
      <c r="A16" s="3">
        <v>2</v>
      </c>
      <c r="B16" s="4">
        <f t="shared" si="0"/>
        <v>0.99901270407698106</v>
      </c>
      <c r="C16" s="10">
        <f t="shared" ref="C16:C79" si="2">(1+B$6)^-A16</f>
        <v>0.90702947845804982</v>
      </c>
      <c r="D16" s="10"/>
      <c r="E16" s="10">
        <f t="shared" ref="E16:E47" si="3">(1.03^A15)*(B14-B15)*C15</f>
        <v>4.4205985475731405E-4</v>
      </c>
      <c r="G16" s="5">
        <f>G15+1/12</f>
        <v>8.3333333333333329E-2</v>
      </c>
      <c r="H16" s="4">
        <f t="shared" ref="H16:H39" si="4">EXP(-(0.9^(2-G16))*(B$3*((0.9^G16 - 1)/LN(0.9)) +B$4*(B$5^B$7)*((0.9^G16 -B$5^G16)/LN(0.9/B$5))))</f>
        <v>0.99996534517789337</v>
      </c>
      <c r="I16" s="10">
        <f t="shared" ref="I16:I79" si="5">(1+B$6)^-G16</f>
        <v>0.99594240735106698</v>
      </c>
      <c r="J16" s="5">
        <f t="shared" si="1"/>
        <v>8.2992324428675976E-2</v>
      </c>
    </row>
    <row r="17" spans="1:10">
      <c r="A17" s="3">
        <v>3</v>
      </c>
      <c r="B17" s="4">
        <f>B16*B$9*B$8^((B$5^(B$7+A16))*(B$5-1))</f>
        <v>0.99840517887952152</v>
      </c>
      <c r="C17" s="10">
        <f t="shared" si="2"/>
        <v>0.86383759853147601</v>
      </c>
      <c r="D17" s="10"/>
      <c r="E17" s="10">
        <f t="shared" si="3"/>
        <v>5.1640318531587877E-4</v>
      </c>
      <c r="G17" s="5">
        <f t="shared" ref="G17:G80" si="6">G16+1/12</f>
        <v>0.16666666666666666</v>
      </c>
      <c r="H17" s="4">
        <f t="shared" si="4"/>
        <v>0.99993019104150482</v>
      </c>
      <c r="I17" s="10">
        <f t="shared" si="5"/>
        <v>0.99190127876023881</v>
      </c>
      <c r="J17" s="5">
        <f t="shared" si="1"/>
        <v>8.2652669597086545E-2</v>
      </c>
    </row>
    <row r="18" spans="1:10">
      <c r="A18" s="3">
        <v>4</v>
      </c>
      <c r="B18" s="4">
        <f t="shared" ref="B18:B81" si="7">B17*B$9*B$8^((B$5^(B$7+A17))*(B$5-1))</f>
        <v>0.99774997980465052</v>
      </c>
      <c r="C18" s="10">
        <f t="shared" si="2"/>
        <v>0.82270247479188197</v>
      </c>
      <c r="D18" s="10"/>
      <c r="E18" s="10">
        <f t="shared" si="3"/>
        <v>5.7346652538117066E-4</v>
      </c>
      <c r="G18" s="5">
        <f t="shared" si="6"/>
        <v>0.25</v>
      </c>
      <c r="H18" s="4">
        <f t="shared" si="4"/>
        <v>0.99989452958617264</v>
      </c>
      <c r="I18" s="10">
        <f t="shared" si="5"/>
        <v>0.98787654742307407</v>
      </c>
      <c r="J18" s="5">
        <f t="shared" si="1"/>
        <v>8.2314362972900582E-2</v>
      </c>
    </row>
    <row r="19" spans="1:10">
      <c r="A19" s="3">
        <v>5</v>
      </c>
      <c r="B19" s="4">
        <f t="shared" si="7"/>
        <v>0.99704124819671358</v>
      </c>
      <c r="C19" s="10">
        <f t="shared" si="2"/>
        <v>0.78352616646845896</v>
      </c>
      <c r="D19" s="10"/>
      <c r="E19" s="10">
        <f t="shared" si="3"/>
        <v>6.0668740376378376E-4</v>
      </c>
      <c r="G19" s="5">
        <f t="shared" si="6"/>
        <v>0.33333333333333331</v>
      </c>
      <c r="H19" s="4">
        <f t="shared" si="4"/>
        <v>0.99985835266998413</v>
      </c>
      <c r="I19" s="10">
        <f t="shared" si="5"/>
        <v>0.98386814680619694</v>
      </c>
      <c r="J19" s="5">
        <f t="shared" si="1"/>
        <v>8.1977398709176183E-2</v>
      </c>
    </row>
    <row r="20" spans="1:10">
      <c r="A20" s="3">
        <v>6</v>
      </c>
      <c r="B20" s="4">
        <f t="shared" si="7"/>
        <v>0.9962724127346585</v>
      </c>
      <c r="C20" s="10">
        <f t="shared" si="2"/>
        <v>0.74621539663662761</v>
      </c>
      <c r="D20" s="10"/>
      <c r="E20" s="10">
        <f t="shared" si="3"/>
        <v>6.4375620776723993E-4</v>
      </c>
      <c r="G20" s="5">
        <f t="shared" si="6"/>
        <v>0.41666666666666663</v>
      </c>
      <c r="H20" s="4">
        <f t="shared" si="4"/>
        <v>0.99982165201134099</v>
      </c>
      <c r="I20" s="10">
        <f t="shared" si="5"/>
        <v>0.97987601064619689</v>
      </c>
      <c r="J20" s="5">
        <f t="shared" si="1"/>
        <v>8.1641770977546907E-2</v>
      </c>
    </row>
    <row r="21" spans="1:10">
      <c r="A21" s="3">
        <v>7</v>
      </c>
      <c r="B21" s="4">
        <f t="shared" si="7"/>
        <v>0.99543610447165476</v>
      </c>
      <c r="C21" s="10">
        <f t="shared" si="2"/>
        <v>0.71068133013012147</v>
      </c>
      <c r="D21" s="10"/>
      <c r="E21" s="10">
        <f t="shared" si="3"/>
        <v>6.8504793336366125E-4</v>
      </c>
      <c r="G21" s="5">
        <f t="shared" si="6"/>
        <v>0.49999999999999994</v>
      </c>
      <c r="H21" s="4">
        <f t="shared" si="4"/>
        <v>0.99978441918648298</v>
      </c>
      <c r="I21" s="10">
        <f t="shared" si="5"/>
        <v>0.97590007294853309</v>
      </c>
      <c r="J21" s="5">
        <f t="shared" si="1"/>
        <v>8.1307473968074626E-2</v>
      </c>
    </row>
    <row r="22" spans="1:10">
      <c r="A22" s="3">
        <v>8</v>
      </c>
      <c r="B22" s="4">
        <f t="shared" si="7"/>
        <v>0.99452406220417222</v>
      </c>
      <c r="C22" s="10">
        <f t="shared" si="2"/>
        <v>0.67683936202868722</v>
      </c>
      <c r="D22" s="10"/>
      <c r="E22" s="10">
        <f t="shared" si="3"/>
        <v>7.3097389464606664E-4</v>
      </c>
      <c r="G22" s="5">
        <f t="shared" si="6"/>
        <v>0.58333333333333326</v>
      </c>
      <c r="H22" s="4">
        <f t="shared" si="4"/>
        <v>0.99974664562696558</v>
      </c>
      <c r="I22" s="10">
        <f t="shared" si="5"/>
        <v>0.97194026798644406</v>
      </c>
      <c r="J22" s="5">
        <f t="shared" si="1"/>
        <v>8.0974501889101783E-2</v>
      </c>
    </row>
    <row r="23" spans="1:10">
      <c r="A23" s="3">
        <v>9</v>
      </c>
      <c r="B23" s="4">
        <f t="shared" si="7"/>
        <v>0.99352702719264374</v>
      </c>
      <c r="C23" s="10">
        <f t="shared" si="2"/>
        <v>0.64460891621779726</v>
      </c>
      <c r="D23" s="10"/>
      <c r="E23" s="10">
        <f t="shared" si="3"/>
        <v>7.8198490672910619E-4</v>
      </c>
      <c r="G23" s="5">
        <f t="shared" si="6"/>
        <v>0.66666666666666663</v>
      </c>
      <c r="H23" s="4">
        <f t="shared" si="4"/>
        <v>0.99970832261709319</v>
      </c>
      <c r="I23" s="10">
        <f t="shared" si="5"/>
        <v>0.96799653029986032</v>
      </c>
      <c r="J23" s="5">
        <f t="shared" si="1"/>
        <v>8.0642848967103303E-2</v>
      </c>
    </row>
    <row r="24" spans="1:10">
      <c r="A24" s="3">
        <v>10</v>
      </c>
      <c r="B24" s="4">
        <f t="shared" si="7"/>
        <v>0.99243462619114131</v>
      </c>
      <c r="C24" s="10">
        <f t="shared" si="2"/>
        <v>0.61391325354075932</v>
      </c>
      <c r="D24" s="10"/>
      <c r="E24" s="10">
        <f t="shared" si="3"/>
        <v>8.3857466974561771E-4</v>
      </c>
      <c r="G24" s="5">
        <f t="shared" si="6"/>
        <v>0.75</v>
      </c>
      <c r="H24" s="4">
        <f t="shared" si="4"/>
        <v>0.99966944129130686</v>
      </c>
      <c r="I24" s="10">
        <f t="shared" si="5"/>
        <v>0.96406879469432316</v>
      </c>
      <c r="J24" s="5">
        <f t="shared" si="1"/>
        <v>8.031250944653813E-2</v>
      </c>
    </row>
    <row r="25" spans="1:10">
      <c r="A25" s="3">
        <v>11</v>
      </c>
      <c r="B25" s="4">
        <f t="shared" si="7"/>
        <v>0.99123524168507715</v>
      </c>
      <c r="C25" s="10">
        <f t="shared" si="2"/>
        <v>0.5846792890864374</v>
      </c>
      <c r="D25" s="10"/>
      <c r="E25" s="10">
        <f t="shared" si="3"/>
        <v>9.0128334552584059E-4</v>
      </c>
      <c r="G25" s="5">
        <f t="shared" si="6"/>
        <v>0.83333333333333337</v>
      </c>
      <c r="H25" s="4">
        <f t="shared" si="4"/>
        <v>0.99962999263152497</v>
      </c>
      <c r="I25" s="10">
        <f t="shared" si="5"/>
        <v>0.96015699623990569</v>
      </c>
      <c r="J25" s="5">
        <f t="shared" si="1"/>
        <v>7.9983477589700341E-2</v>
      </c>
    </row>
    <row r="26" spans="1:10">
      <c r="A26" s="3">
        <v>12</v>
      </c>
      <c r="B26" s="4">
        <f t="shared" si="7"/>
        <v>0.98991586818811816</v>
      </c>
      <c r="C26" s="10">
        <f t="shared" si="2"/>
        <v>0.5568374181775595</v>
      </c>
      <c r="D26" s="10"/>
      <c r="E26" s="10">
        <f t="shared" si="3"/>
        <v>9.7070131108051955E-4</v>
      </c>
      <c r="G26" s="5">
        <f t="shared" si="6"/>
        <v>0.91666666666666674</v>
      </c>
      <c r="H26" s="4">
        <f t="shared" si="4"/>
        <v>0.99958996746443562</v>
      </c>
      <c r="I26" s="10">
        <f t="shared" si="5"/>
        <v>0.95626107027014118</v>
      </c>
      <c r="J26" s="5">
        <f t="shared" si="1"/>
        <v>7.965574767656973E-2</v>
      </c>
    </row>
    <row r="27" spans="1:10">
      <c r="A27" s="3">
        <v>13</v>
      </c>
      <c r="B27" s="4">
        <f t="shared" si="7"/>
        <v>0.9884619534179786</v>
      </c>
      <c r="C27" s="10">
        <f t="shared" si="2"/>
        <v>0.53032135064529462</v>
      </c>
      <c r="D27" s="10"/>
      <c r="E27" s="10">
        <f t="shared" si="3"/>
        <v>1.0474730633225548E-3</v>
      </c>
      <c r="G27" s="5">
        <f t="shared" si="6"/>
        <v>1</v>
      </c>
      <c r="H27" s="4">
        <f t="shared" si="4"/>
        <v>0.99954935645874254</v>
      </c>
      <c r="I27" s="10">
        <f t="shared" si="5"/>
        <v>0.95238095238095233</v>
      </c>
      <c r="J27" s="5">
        <f t="shared" si="1"/>
        <v>7.9329314004662102E-2</v>
      </c>
    </row>
    <row r="28" spans="1:10">
      <c r="A28" s="3">
        <v>14</v>
      </c>
      <c r="B28" s="4">
        <f t="shared" si="7"/>
        <v>0.98685722316293367</v>
      </c>
      <c r="C28" s="10">
        <f t="shared" si="2"/>
        <v>0.50506795299551888</v>
      </c>
      <c r="D28" s="10"/>
      <c r="E28" s="10">
        <f t="shared" si="3"/>
        <v>1.1323012370183178E-3</v>
      </c>
      <c r="G28" s="5">
        <f t="shared" si="6"/>
        <v>1.0833333333333333</v>
      </c>
      <c r="H28" s="4">
        <f t="shared" si="4"/>
        <v>0.99950815012235961</v>
      </c>
      <c r="I28" s="10">
        <f t="shared" si="5"/>
        <v>0.94851657842958759</v>
      </c>
      <c r="J28" s="5">
        <f t="shared" si="1"/>
        <v>7.9004170888878927E-2</v>
      </c>
    </row>
    <row r="29" spans="1:10">
      <c r="A29" s="3">
        <v>15</v>
      </c>
      <c r="B29" s="4">
        <f t="shared" si="7"/>
        <v>0.9850834886763844</v>
      </c>
      <c r="C29" s="10">
        <f t="shared" si="2"/>
        <v>0.48101709809097021</v>
      </c>
      <c r="D29" s="10"/>
      <c r="E29" s="10">
        <f t="shared" si="3"/>
        <v>1.2259506821510155E-3</v>
      </c>
      <c r="G29" s="5">
        <f t="shared" si="6"/>
        <v>1.1666666666666665</v>
      </c>
      <c r="H29" s="4">
        <f t="shared" si="4"/>
        <v>0.99946633879955704</v>
      </c>
      <c r="I29" s="10">
        <f t="shared" si="5"/>
        <v>0.94466788453356076</v>
      </c>
      <c r="J29" s="5">
        <f t="shared" si="1"/>
        <v>7.8680312661356722E-2</v>
      </c>
    </row>
    <row r="30" spans="1:10">
      <c r="A30" s="3">
        <v>16</v>
      </c>
      <c r="B30" s="4">
        <f t="shared" si="7"/>
        <v>0.98312043550784634</v>
      </c>
      <c r="C30" s="10">
        <f t="shared" si="2"/>
        <v>0.45811152199140021</v>
      </c>
      <c r="D30" s="10"/>
      <c r="E30" s="10">
        <f t="shared" si="3"/>
        <v>1.3292525269089834E-3</v>
      </c>
      <c r="G30" s="5">
        <f t="shared" si="6"/>
        <v>1.2499999999999998</v>
      </c>
      <c r="H30" s="4">
        <f t="shared" si="4"/>
        <v>0.99942391266805564</v>
      </c>
      <c r="I30" s="10">
        <f t="shared" si="5"/>
        <v>0.94083480706959433</v>
      </c>
      <c r="J30" s="5">
        <f t="shared" si="1"/>
        <v>7.8357733671315766E-2</v>
      </c>
    </row>
    <row r="31" spans="1:10">
      <c r="A31" s="3">
        <v>17</v>
      </c>
      <c r="B31" s="4">
        <f t="shared" si="7"/>
        <v>0.98094539281093107</v>
      </c>
      <c r="C31" s="10">
        <f t="shared" si="2"/>
        <v>0.43629668761085727</v>
      </c>
      <c r="D31" s="10"/>
      <c r="E31" s="10">
        <f t="shared" si="3"/>
        <v>1.4431081275179214E-3</v>
      </c>
      <c r="G31" s="5">
        <f t="shared" si="6"/>
        <v>1.333333333333333</v>
      </c>
      <c r="H31" s="4">
        <f t="shared" si="4"/>
        <v>0.99938086173606955</v>
      </c>
      <c r="I31" s="10">
        <f t="shared" si="5"/>
        <v>0.93701728267256856</v>
      </c>
      <c r="J31" s="5">
        <f t="shared" si="1"/>
        <v>7.8036428284908491E-2</v>
      </c>
    </row>
    <row r="32" spans="1:10">
      <c r="A32" s="3">
        <v>18</v>
      </c>
      <c r="B32" s="4">
        <f t="shared" si="7"/>
        <v>0.97853308238184711</v>
      </c>
      <c r="C32" s="10">
        <f t="shared" si="2"/>
        <v>0.41552065486748313</v>
      </c>
      <c r="D32" s="10"/>
      <c r="E32" s="10">
        <f t="shared" si="3"/>
        <v>1.5684927750208471E-3</v>
      </c>
      <c r="G32" s="5">
        <f t="shared" si="6"/>
        <v>1.4166666666666663</v>
      </c>
      <c r="H32" s="4">
        <f t="shared" si="4"/>
        <v>0.99933717583929638</v>
      </c>
      <c r="I32" s="10">
        <f t="shared" si="5"/>
        <v>0.93321524823447322</v>
      </c>
      <c r="J32" s="5">
        <f t="shared" si="1"/>
        <v>7.7716390885067196E-2</v>
      </c>
    </row>
    <row r="33" spans="1:10">
      <c r="A33" s="3">
        <v>19</v>
      </c>
      <c r="B33" s="4">
        <f t="shared" si="7"/>
        <v>0.97585534700021614</v>
      </c>
      <c r="C33" s="10">
        <f t="shared" si="2"/>
        <v>0.39573395701665059</v>
      </c>
      <c r="D33" s="10"/>
      <c r="E33" s="10">
        <f t="shared" si="3"/>
        <v>1.706458990667864E-3</v>
      </c>
      <c r="G33" s="5">
        <f t="shared" si="6"/>
        <v>1.4999999999999996</v>
      </c>
      <c r="H33" s="4">
        <f t="shared" si="4"/>
        <v>0.99929284463785351</v>
      </c>
      <c r="I33" s="10">
        <f t="shared" si="5"/>
        <v>0.92942864090336497</v>
      </c>
      <c r="J33" s="5">
        <f t="shared" si="1"/>
        <v>7.7397615871351466E-2</v>
      </c>
    </row>
    <row r="34" spans="1:10">
      <c r="A34" s="3">
        <v>20</v>
      </c>
      <c r="B34" s="4">
        <f t="shared" si="7"/>
        <v>0.97288085809799829</v>
      </c>
      <c r="C34" s="10">
        <f t="shared" si="2"/>
        <v>0.37688948287300061</v>
      </c>
      <c r="D34" s="10">
        <f>B34*C34*(1.02^(A34-20))</f>
        <v>0.36666856350559568</v>
      </c>
      <c r="E34" s="10">
        <f t="shared" si="3"/>
        <v>1.8581391943621683E-3</v>
      </c>
      <c r="G34" s="5">
        <f t="shared" si="6"/>
        <v>1.5833333333333328</v>
      </c>
      <c r="H34" s="4">
        <f t="shared" si="4"/>
        <v>0.99924785761315937</v>
      </c>
      <c r="I34" s="10">
        <f t="shared" si="5"/>
        <v>0.92565739808232761</v>
      </c>
      <c r="J34" s="5">
        <f t="shared" si="1"/>
        <v>7.7080097659794775E-2</v>
      </c>
    </row>
    <row r="35" spans="1:10">
      <c r="A35" s="3">
        <v>21</v>
      </c>
      <c r="B35" s="4">
        <f t="shared" si="7"/>
        <v>0.96957480340948021</v>
      </c>
      <c r="C35" s="10">
        <f t="shared" si="2"/>
        <v>0.35894236464095297</v>
      </c>
      <c r="D35" s="10">
        <f t="shared" ref="D35:D94" si="8">B35*C35*(1.02^(A35-20))</f>
        <v>0.35498190208472769</v>
      </c>
      <c r="E35" s="10">
        <f t="shared" si="3"/>
        <v>2.0247474730328984E-3</v>
      </c>
      <c r="G35" s="5">
        <f t="shared" si="6"/>
        <v>1.6666666666666661</v>
      </c>
      <c r="H35" s="4">
        <f t="shared" si="4"/>
        <v>0.99920220406476035</v>
      </c>
      <c r="I35" s="10">
        <f t="shared" si="5"/>
        <v>0.92190145742843832</v>
      </c>
      <c r="J35" s="5">
        <f t="shared" si="1"/>
        <v>7.6763830682750875E-2</v>
      </c>
    </row>
    <row r="36" spans="1:10">
      <c r="A36" s="3">
        <v>22</v>
      </c>
      <c r="B36" s="4">
        <f t="shared" si="7"/>
        <v>0.96589855610120678</v>
      </c>
      <c r="C36" s="10">
        <f t="shared" si="2"/>
        <v>0.3418498710866219</v>
      </c>
      <c r="D36" s="10">
        <f t="shared" si="8"/>
        <v>0.34353206568014422</v>
      </c>
      <c r="E36" s="10">
        <f t="shared" si="3"/>
        <v>2.2075801060696411E-3</v>
      </c>
      <c r="G36" s="5">
        <f t="shared" si="6"/>
        <v>1.7499999999999993</v>
      </c>
      <c r="H36" s="4">
        <f t="shared" si="4"/>
        <v>0.99915587310709952</v>
      </c>
      <c r="I36" s="10">
        <f t="shared" si="5"/>
        <v>0.91816075685173626</v>
      </c>
      <c r="J36" s="5">
        <f t="shared" si="1"/>
        <v>7.6448809388739325E-2</v>
      </c>
    </row>
    <row r="37" spans="1:10">
      <c r="A37" s="3">
        <v>23</v>
      </c>
      <c r="B37" s="4">
        <f t="shared" si="7"/>
        <v>0.96180932800045493</v>
      </c>
      <c r="C37" s="10">
        <f t="shared" si="2"/>
        <v>0.32557130579678267</v>
      </c>
      <c r="D37" s="10">
        <f t="shared" si="8"/>
        <v>0.33230404009807651</v>
      </c>
      <c r="E37" s="10">
        <f t="shared" si="3"/>
        <v>2.4080144211509717E-3</v>
      </c>
      <c r="G37" s="5">
        <f t="shared" si="6"/>
        <v>1.8333333333333326</v>
      </c>
      <c r="H37" s="4">
        <f t="shared" si="4"/>
        <v>0.9991088536662297</v>
      </c>
      <c r="I37" s="10">
        <f t="shared" si="5"/>
        <v>0.91443523451419584</v>
      </c>
      <c r="J37" s="5">
        <f t="shared" si="1"/>
        <v>7.6135028242290681E-2</v>
      </c>
    </row>
    <row r="38" spans="1:10">
      <c r="A38" s="3">
        <v>24</v>
      </c>
      <c r="B38" s="4">
        <f t="shared" si="7"/>
        <v>0.9572598109999475</v>
      </c>
      <c r="C38" s="10">
        <f t="shared" si="2"/>
        <v>0.31006791028265024</v>
      </c>
      <c r="D38" s="10">
        <f t="shared" si="8"/>
        <v>0.32128269603599241</v>
      </c>
      <c r="E38" s="10">
        <f t="shared" si="3"/>
        <v>2.6275054539345939E-3</v>
      </c>
      <c r="G38" s="5">
        <f t="shared" si="6"/>
        <v>1.9166666666666659</v>
      </c>
      <c r="H38" s="4">
        <f t="shared" si="4"/>
        <v>0.99906113447646605</v>
      </c>
      <c r="I38" s="10">
        <f t="shared" si="5"/>
        <v>0.91072482882870598</v>
      </c>
      <c r="J38" s="5">
        <f t="shared" si="1"/>
        <v>7.5822481723791038E-2</v>
      </c>
    </row>
    <row r="39" spans="1:10">
      <c r="A39" s="3">
        <v>25</v>
      </c>
      <c r="B39" s="4">
        <f t="shared" si="7"/>
        <v>0.95219781259210123</v>
      </c>
      <c r="C39" s="10">
        <f t="shared" si="2"/>
        <v>0.29530277169776209</v>
      </c>
      <c r="D39" s="10">
        <f t="shared" si="8"/>
        <v>0.31045278598372605</v>
      </c>
      <c r="E39" s="10">
        <f t="shared" si="3"/>
        <v>2.8675797672253148E-3</v>
      </c>
      <c r="G39" s="5">
        <f t="shared" si="6"/>
        <v>1.9999999999999991</v>
      </c>
      <c r="H39" s="4">
        <f t="shared" si="4"/>
        <v>0.99901270407698106</v>
      </c>
      <c r="I39" s="10">
        <f t="shared" si="5"/>
        <v>0.90702947845804982</v>
      </c>
      <c r="J39" s="5">
        <f t="shared" si="1"/>
        <v>7.551116432932585E-2</v>
      </c>
    </row>
    <row r="40" spans="1:10">
      <c r="A40" s="3">
        <v>26</v>
      </c>
      <c r="B40" s="4">
        <f t="shared" si="7"/>
        <v>0.94656589386732493</v>
      </c>
      <c r="C40" s="10">
        <f t="shared" si="2"/>
        <v>0.28124073495024959</v>
      </c>
      <c r="D40" s="10">
        <f t="shared" si="8"/>
        <v>0.29979894961780001</v>
      </c>
      <c r="E40" s="10">
        <f t="shared" si="3"/>
        <v>3.1298256477149929E-3</v>
      </c>
      <c r="G40" s="5">
        <f t="shared" si="6"/>
        <v>2.0833333333333326</v>
      </c>
      <c r="H40" s="4">
        <f>H39*(B$9^(1/12))*B$8^((B$5^(B$7+G39))*((B$5^(1/12)-1)))</f>
        <v>0.99896376648945273</v>
      </c>
      <c r="I40" s="10">
        <f t="shared" si="5"/>
        <v>0.90334912231389286</v>
      </c>
      <c r="J40" s="5">
        <f t="shared" si="1"/>
        <v>7.5201086806802306E-2</v>
      </c>
    </row>
    <row r="41" spans="1:10">
      <c r="A41" s="3">
        <v>27</v>
      </c>
      <c r="B41" s="4">
        <f t="shared" si="7"/>
        <v>0.94030102129854531</v>
      </c>
      <c r="C41" s="10">
        <f t="shared" si="2"/>
        <v>0.2678483190002377</v>
      </c>
      <c r="D41" s="10">
        <f t="shared" si="8"/>
        <v>0.2893057299152193</v>
      </c>
      <c r="E41" s="10">
        <f t="shared" si="3"/>
        <v>3.4158787400622808E-3</v>
      </c>
      <c r="G41" s="5">
        <f t="shared" si="6"/>
        <v>2.1666666666666661</v>
      </c>
      <c r="H41" s="4">
        <f t="shared" ref="H41:H104" si="9">H40*(B$9^(1/12))*B$8^((B$5^(B$7+G40))*((B$5^(1/12)-1)))</f>
        <v>0.99891453156242682</v>
      </c>
      <c r="I41" s="10">
        <f t="shared" si="5"/>
        <v>0.89968369955577199</v>
      </c>
      <c r="J41" s="5">
        <f t="shared" si="1"/>
        <v>7.4892260108008757E-2</v>
      </c>
    </row>
    <row r="42" spans="1:10">
      <c r="A42" s="3">
        <v>28</v>
      </c>
      <c r="B42" s="4">
        <f t="shared" si="7"/>
        <v>0.93333424733907089</v>
      </c>
      <c r="C42" s="10">
        <f t="shared" si="2"/>
        <v>0.25509363714308358</v>
      </c>
      <c r="D42" s="10">
        <f t="shared" si="8"/>
        <v>0.27895760264047886</v>
      </c>
      <c r="E42" s="10">
        <f t="shared" si="3"/>
        <v>3.7274019987999277E-3</v>
      </c>
      <c r="G42" s="5">
        <f t="shared" si="6"/>
        <v>2.2499999999999996</v>
      </c>
      <c r="H42" s="4">
        <f t="shared" si="9"/>
        <v>0.99886499640620352</v>
      </c>
      <c r="I42" s="10">
        <f t="shared" si="5"/>
        <v>0.89603314959008984</v>
      </c>
      <c r="J42" s="5">
        <f t="shared" si="1"/>
        <v>7.4584679062095358E-2</v>
      </c>
    </row>
    <row r="43" spans="1:10">
      <c r="A43" s="3">
        <v>29</v>
      </c>
      <c r="B43" s="4">
        <f t="shared" si="7"/>
        <v>0.92559043940022501</v>
      </c>
      <c r="C43" s="10">
        <f t="shared" si="2"/>
        <v>0.24294632108865097</v>
      </c>
      <c r="D43" s="10">
        <f t="shared" si="8"/>
        <v>0.26873902233838376</v>
      </c>
      <c r="E43" s="10">
        <f t="shared" si="3"/>
        <v>4.0660586397810372E-3</v>
      </c>
      <c r="G43" s="5">
        <f t="shared" si="6"/>
        <v>2.333333333333333</v>
      </c>
      <c r="H43" s="4">
        <f t="shared" si="9"/>
        <v>0.99881515810321619</v>
      </c>
      <c r="I43" s="10">
        <f t="shared" si="5"/>
        <v>0.89239741206911283</v>
      </c>
      <c r="J43" s="5">
        <f t="shared" si="1"/>
        <v>7.4278338518892664E-2</v>
      </c>
    </row>
    <row r="44" spans="1:10">
      <c r="A44" s="3">
        <v>30</v>
      </c>
      <c r="B44" s="4">
        <f t="shared" si="7"/>
        <v>0.9169880822654507</v>
      </c>
      <c r="C44" s="10">
        <f t="shared" si="2"/>
        <v>0.23137744865585813</v>
      </c>
      <c r="D44" s="10">
        <f t="shared" si="8"/>
        <v>0.25863448849067799</v>
      </c>
      <c r="E44" s="10">
        <f t="shared" si="3"/>
        <v>4.4334765585277167E-3</v>
      </c>
      <c r="G44" s="5">
        <f t="shared" si="6"/>
        <v>2.4166666666666665</v>
      </c>
      <c r="H44" s="4">
        <f t="shared" si="9"/>
        <v>0.99876501370776616</v>
      </c>
      <c r="I44" s="10">
        <f t="shared" si="5"/>
        <v>0.88877642688997438</v>
      </c>
      <c r="J44" s="5">
        <f t="shared" si="1"/>
        <v>7.3973233348825398E-2</v>
      </c>
    </row>
    <row r="45" spans="1:10">
      <c r="A45" s="3">
        <v>31</v>
      </c>
      <c r="B45" s="4">
        <f t="shared" si="7"/>
        <v>0.90743918554352643</v>
      </c>
      <c r="C45" s="10">
        <f t="shared" si="2"/>
        <v>0.220359474910341</v>
      </c>
      <c r="D45" s="10">
        <f t="shared" si="8"/>
        <v>0.24862863605528004</v>
      </c>
      <c r="E45" s="10">
        <f t="shared" si="3"/>
        <v>4.8312024605095295E-3</v>
      </c>
      <c r="G45" s="5">
        <f t="shared" si="6"/>
        <v>2.5</v>
      </c>
      <c r="H45" s="4">
        <f t="shared" si="9"/>
        <v>0.99871456024575556</v>
      </c>
      <c r="I45" s="10">
        <f t="shared" si="5"/>
        <v>0.88517013419368074</v>
      </c>
      <c r="J45" s="5">
        <f t="shared" si="1"/>
        <v>7.366935844282653E-2</v>
      </c>
    </row>
    <row r="46" spans="1:10">
      <c r="A46" s="3">
        <v>32</v>
      </c>
      <c r="B46" s="4">
        <f t="shared" si="7"/>
        <v>0.89684933544051426</v>
      </c>
      <c r="C46" s="10">
        <f t="shared" si="2"/>
        <v>0.20986616658127716</v>
      </c>
      <c r="D46" s="10">
        <f t="shared" si="8"/>
        <v>0.23870635518312711</v>
      </c>
      <c r="E46" s="10">
        <f t="shared" si="3"/>
        <v>5.2606437308602826E-3</v>
      </c>
      <c r="G46" s="5">
        <f t="shared" si="6"/>
        <v>2.5833333333333335</v>
      </c>
      <c r="H46" s="4">
        <f t="shared" si="9"/>
        <v>0.99866379471441669</v>
      </c>
      <c r="I46" s="10">
        <f t="shared" si="5"/>
        <v>0.8815784743641214</v>
      </c>
      <c r="J46" s="5">
        <f t="shared" si="1"/>
        <v>7.3366708712251635E-2</v>
      </c>
    </row>
    <row r="47" spans="1:10">
      <c r="A47" s="3">
        <v>33</v>
      </c>
      <c r="B47" s="4">
        <f t="shared" si="7"/>
        <v>0.88511793895813518</v>
      </c>
      <c r="C47" s="10">
        <f t="shared" si="2"/>
        <v>0.19987253960121634</v>
      </c>
      <c r="D47" s="10">
        <f t="shared" si="8"/>
        <v>0.22885294546673307</v>
      </c>
      <c r="E47" s="10">
        <f t="shared" si="3"/>
        <v>5.7229958783834457E-3</v>
      </c>
      <c r="G47" s="5">
        <f t="shared" si="6"/>
        <v>2.666666666666667</v>
      </c>
      <c r="H47" s="4">
        <f t="shared" si="9"/>
        <v>0.99861271408204011</v>
      </c>
      <c r="I47" s="10">
        <f t="shared" si="5"/>
        <v>0.87800138802708416</v>
      </c>
      <c r="J47" s="5">
        <f t="shared" si="1"/>
        <v>7.3065279088793747E-2</v>
      </c>
    </row>
    <row r="48" spans="1:10">
      <c r="A48" s="3">
        <v>34</v>
      </c>
      <c r="B48" s="4">
        <f t="shared" si="7"/>
        <v>0.8721387185330628</v>
      </c>
      <c r="C48" s="10">
        <f t="shared" si="2"/>
        <v>0.19035479962020604</v>
      </c>
      <c r="D48" s="10">
        <f t="shared" si="8"/>
        <v>0.21905431056732794</v>
      </c>
      <c r="E48" s="10">
        <f t="shared" ref="E48:E79" si="10">(1.03^A47)*(B46-B47)*C47</f>
        <v>6.2191532507562229E-3</v>
      </c>
      <c r="G48" s="5">
        <f t="shared" si="6"/>
        <v>2.7500000000000004</v>
      </c>
      <c r="H48" s="4">
        <f t="shared" si="9"/>
        <v>0.99856131528769909</v>
      </c>
      <c r="I48" s="10">
        <f t="shared" si="5"/>
        <v>0.87443881604927254</v>
      </c>
      <c r="J48" s="5">
        <f t="shared" si="1"/>
        <v>7.2765064524398335E-2</v>
      </c>
    </row>
    <row r="49" spans="1:10">
      <c r="A49" s="3">
        <v>35</v>
      </c>
      <c r="B49" s="4">
        <f t="shared" si="7"/>
        <v>0.85780052590098765</v>
      </c>
      <c r="C49" s="10">
        <f t="shared" si="2"/>
        <v>0.18129028535257716</v>
      </c>
      <c r="D49" s="10">
        <f t="shared" si="8"/>
        <v>0.20929719942239056</v>
      </c>
      <c r="E49" s="10">
        <f t="shared" si="10"/>
        <v>6.7496006773437424E-3</v>
      </c>
      <c r="G49" s="5">
        <f t="shared" si="6"/>
        <v>2.8333333333333339</v>
      </c>
      <c r="H49" s="4">
        <f t="shared" si="9"/>
        <v>0.9985095952409726</v>
      </c>
      <c r="I49" s="10">
        <f t="shared" si="5"/>
        <v>0.87089069953732934</v>
      </c>
      <c r="J49" s="5">
        <f t="shared" si="1"/>
        <v>7.2466059991178847E-2</v>
      </c>
    </row>
    <row r="50" spans="1:10">
      <c r="A50" s="3">
        <v>36</v>
      </c>
      <c r="B50" s="4">
        <f t="shared" si="7"/>
        <v>0.84198855517267057</v>
      </c>
      <c r="C50" s="10">
        <f t="shared" si="2"/>
        <v>0.17265741462150208</v>
      </c>
      <c r="D50" s="10">
        <f t="shared" si="8"/>
        <v>0.199569500352757</v>
      </c>
      <c r="E50" s="10">
        <f t="shared" si="10"/>
        <v>7.3142838121848085E-3</v>
      </c>
      <c r="G50" s="5">
        <f t="shared" si="6"/>
        <v>2.9166666666666674</v>
      </c>
      <c r="H50" s="4">
        <f t="shared" si="9"/>
        <v>0.99845755082166443</v>
      </c>
      <c r="I50" s="10">
        <f t="shared" si="5"/>
        <v>0.86735697983686277</v>
      </c>
      <c r="J50" s="5">
        <f t="shared" si="1"/>
        <v>7.2168260481332486E-2</v>
      </c>
    </row>
    <row r="51" spans="1:10">
      <c r="A51" s="3">
        <v>37</v>
      </c>
      <c r="B51" s="4">
        <f t="shared" si="7"/>
        <v>0.82458604601682495</v>
      </c>
      <c r="C51" s="10">
        <f t="shared" si="2"/>
        <v>0.1644356329728591</v>
      </c>
      <c r="D51" s="10">
        <f t="shared" si="8"/>
        <v>0.18986059413331549</v>
      </c>
      <c r="E51" s="10">
        <f t="shared" si="10"/>
        <v>7.9124563019651421E-3</v>
      </c>
      <c r="G51" s="5">
        <f t="shared" si="6"/>
        <v>3.0000000000000009</v>
      </c>
      <c r="H51" s="4">
        <f t="shared" si="9"/>
        <v>0.99840517887952152</v>
      </c>
      <c r="I51" s="10">
        <f t="shared" si="5"/>
        <v>0.86383759853147601</v>
      </c>
      <c r="J51" s="5">
        <f t="shared" si="1"/>
        <v>7.187166100705622E-2</v>
      </c>
    </row>
    <row r="52" spans="1:10">
      <c r="A52" s="3">
        <v>38</v>
      </c>
      <c r="B52" s="4">
        <f t="shared" si="7"/>
        <v>0.80547657731567202</v>
      </c>
      <c r="C52" s="10">
        <f t="shared" si="2"/>
        <v>0.15660536473605632</v>
      </c>
      <c r="D52" s="10">
        <f t="shared" si="8"/>
        <v>0.18016177128680799</v>
      </c>
      <c r="E52" s="10">
        <f t="shared" si="10"/>
        <v>8.5425025955862769E-3</v>
      </c>
      <c r="G52" s="5">
        <f t="shared" si="6"/>
        <v>3.0833333333333344</v>
      </c>
      <c r="H52" s="4">
        <f t="shared" si="9"/>
        <v>0.99835247623394763</v>
      </c>
      <c r="I52" s="10">
        <f t="shared" si="5"/>
        <v>0.86033249744180262</v>
      </c>
      <c r="J52" s="5">
        <f t="shared" si="1"/>
        <v>7.1576256600463337E-2</v>
      </c>
    </row>
    <row r="53" spans="1:10">
      <c r="A53" s="3">
        <v>39</v>
      </c>
      <c r="B53" s="4">
        <f t="shared" si="7"/>
        <v>0.78454705801193869</v>
      </c>
      <c r="C53" s="10">
        <f t="shared" si="2"/>
        <v>0.14914796641529171</v>
      </c>
      <c r="D53" s="10">
        <f t="shared" si="8"/>
        <v>0.17046671728223625</v>
      </c>
      <c r="E53" s="10">
        <f t="shared" si="10"/>
        <v>9.2017363732418457E-3</v>
      </c>
      <c r="G53" s="5">
        <f t="shared" si="6"/>
        <v>3.1666666666666679</v>
      </c>
      <c r="H53" s="4">
        <f t="shared" si="9"/>
        <v>0.99829943967371626</v>
      </c>
      <c r="I53" s="10">
        <f t="shared" si="5"/>
        <v>0.85684161862454467</v>
      </c>
      <c r="J53" s="5">
        <f t="shared" si="1"/>
        <v>7.1282042313500257E-2</v>
      </c>
    </row>
    <row r="54" spans="1:10">
      <c r="A54" s="3">
        <v>40</v>
      </c>
      <c r="B54" s="4">
        <f t="shared" si="7"/>
        <v>0.76169152273759266</v>
      </c>
      <c r="C54" s="10">
        <f t="shared" si="2"/>
        <v>0.14204568230027784</v>
      </c>
      <c r="D54" s="10">
        <f t="shared" si="8"/>
        <v>0.16077206669400029</v>
      </c>
      <c r="E54" s="10">
        <f t="shared" si="10"/>
        <v>9.8861763605684674E-3</v>
      </c>
      <c r="G54" s="5">
        <f t="shared" si="6"/>
        <v>3.2500000000000013</v>
      </c>
      <c r="H54" s="4">
        <f t="shared" si="9"/>
        <v>0.99824606595667931</v>
      </c>
      <c r="I54" s="10">
        <f t="shared" si="5"/>
        <v>0.85336490437151402</v>
      </c>
      <c r="J54" s="5">
        <f t="shared" si="1"/>
        <v>7.0989013217863481E-2</v>
      </c>
    </row>
    <row r="55" spans="1:10">
      <c r="A55" s="3">
        <v>41</v>
      </c>
      <c r="B55" s="4">
        <f t="shared" si="7"/>
        <v>0.73681583202315382</v>
      </c>
      <c r="C55" s="10">
        <f t="shared" si="2"/>
        <v>0.13528160219074079</v>
      </c>
      <c r="D55" s="10">
        <f t="shared" si="8"/>
        <v>0.15107802338555593</v>
      </c>
      <c r="E55" s="10">
        <f t="shared" si="10"/>
        <v>1.0590303886834494E-2</v>
      </c>
      <c r="G55" s="5">
        <f t="shared" si="6"/>
        <v>3.3333333333333348</v>
      </c>
      <c r="H55" s="4">
        <f t="shared" si="9"/>
        <v>0.99819235180947452</v>
      </c>
      <c r="I55" s="10">
        <f t="shared" si="5"/>
        <v>0.84990229720867871</v>
      </c>
      <c r="J55" s="5">
        <f t="shared" si="1"/>
        <v>7.0697164404917162E-2</v>
      </c>
    </row>
    <row r="56" spans="1:10">
      <c r="A56" s="3">
        <v>42</v>
      </c>
      <c r="B56" s="4">
        <f t="shared" si="7"/>
        <v>0.70984335633179474</v>
      </c>
      <c r="C56" s="10">
        <f t="shared" si="2"/>
        <v>0.12883962113403885</v>
      </c>
      <c r="D56" s="10">
        <f t="shared" si="8"/>
        <v>0.14138903807130612</v>
      </c>
      <c r="E56" s="10">
        <f t="shared" si="10"/>
        <v>1.130681013532385E-2</v>
      </c>
      <c r="G56" s="5">
        <f t="shared" si="6"/>
        <v>3.4166666666666683</v>
      </c>
      <c r="H56" s="4">
        <f t="shared" si="9"/>
        <v>0.99813829392722919</v>
      </c>
      <c r="I56" s="10">
        <f t="shared" si="5"/>
        <v>0.84645373989521355</v>
      </c>
      <c r="J56" s="5">
        <f t="shared" si="1"/>
        <v>7.0406490985610928E-2</v>
      </c>
    </row>
    <row r="57" spans="1:10">
      <c r="A57" s="3">
        <v>43</v>
      </c>
      <c r="B57" s="4">
        <f t="shared" si="7"/>
        <v>0.68072168481321493</v>
      </c>
      <c r="C57" s="10">
        <f t="shared" si="2"/>
        <v>0.12270440108003698</v>
      </c>
      <c r="D57" s="10">
        <f t="shared" si="8"/>
        <v>0.13171452683191209</v>
      </c>
      <c r="E57" s="10">
        <f t="shared" si="10"/>
        <v>1.2026345795961442E-2</v>
      </c>
      <c r="G57" s="5">
        <f t="shared" si="6"/>
        <v>3.5000000000000018</v>
      </c>
      <c r="H57" s="4">
        <f t="shared" si="9"/>
        <v>0.99808388897326172</v>
      </c>
      <c r="I57" s="10">
        <f t="shared" si="5"/>
        <v>0.843019175422553</v>
      </c>
      <c r="J57" s="5">
        <f t="shared" si="1"/>
        <v>7.0116988090397833E-2</v>
      </c>
    </row>
    <row r="58" spans="1:10">
      <c r="A58" s="3">
        <v>44</v>
      </c>
      <c r="B58" s="4">
        <f t="shared" si="7"/>
        <v>0.64943033771937797</v>
      </c>
      <c r="C58" s="10">
        <f t="shared" si="2"/>
        <v>0.11686133436193999</v>
      </c>
      <c r="D58" s="10">
        <f t="shared" si="8"/>
        <v>0.12206960401612663</v>
      </c>
      <c r="E58" s="10">
        <f t="shared" si="10"/>
        <v>1.2737291887295263E-2</v>
      </c>
      <c r="G58" s="5">
        <f t="shared" si="6"/>
        <v>3.5833333333333353</v>
      </c>
      <c r="H58" s="4">
        <f t="shared" si="9"/>
        <v>0.99802913357877998</v>
      </c>
      <c r="I58" s="10">
        <f t="shared" si="5"/>
        <v>0.83959854701344894</v>
      </c>
      <c r="J58" s="5">
        <f t="shared" si="1"/>
        <v>6.9828650869152922E-2</v>
      </c>
    </row>
    <row r="59" spans="1:10">
      <c r="A59" s="3">
        <v>45</v>
      </c>
      <c r="B59" s="4">
        <f t="shared" si="7"/>
        <v>0.61598936971202944</v>
      </c>
      <c r="C59" s="10">
        <f t="shared" si="2"/>
        <v>0.1112965089161333</v>
      </c>
      <c r="D59" s="10">
        <f t="shared" si="8"/>
        <v>0.11247579030571427</v>
      </c>
      <c r="E59" s="10">
        <f t="shared" si="10"/>
        <v>1.3425577870463695E-2</v>
      </c>
      <c r="G59" s="5">
        <f t="shared" si="6"/>
        <v>3.6666666666666687</v>
      </c>
      <c r="H59" s="4">
        <f t="shared" si="9"/>
        <v>0.99797402434257743</v>
      </c>
      <c r="I59" s="10">
        <f t="shared" si="5"/>
        <v>0.83619179812103239</v>
      </c>
      <c r="J59" s="5">
        <f t="shared" si="1"/>
        <v>6.9541474491091895E-2</v>
      </c>
    </row>
    <row r="60" spans="1:10">
      <c r="A60" s="3">
        <v>46</v>
      </c>
      <c r="B60" s="4">
        <f t="shared" si="7"/>
        <v>0.580468624170843</v>
      </c>
      <c r="C60" s="10">
        <f t="shared" si="2"/>
        <v>0.10599667515822221</v>
      </c>
      <c r="D60" s="10">
        <f t="shared" si="8"/>
        <v>0.10296164167255395</v>
      </c>
      <c r="E60" s="10">
        <f t="shared" si="10"/>
        <v>1.4074581621283692E-2</v>
      </c>
      <c r="G60" s="5">
        <f t="shared" si="6"/>
        <v>3.7500000000000022</v>
      </c>
      <c r="H60" s="4">
        <f t="shared" si="9"/>
        <v>0.99791855783072592</v>
      </c>
      <c r="I60" s="10">
        <f t="shared" si="5"/>
        <v>0.83279887242787853</v>
      </c>
      <c r="J60" s="5">
        <f t="shared" si="1"/>
        <v>6.9255454144690268E-2</v>
      </c>
    </row>
    <row r="61" spans="1:10">
      <c r="A61" s="3">
        <v>47</v>
      </c>
      <c r="B61" s="4">
        <f t="shared" si="7"/>
        <v>0.54299723237779751</v>
      </c>
      <c r="C61" s="10">
        <f t="shared" si="2"/>
        <v>0.10094921443640208</v>
      </c>
      <c r="D61" s="10">
        <f t="shared" si="8"/>
        <v>9.3563228093531417E-2</v>
      </c>
      <c r="E61" s="10">
        <f t="shared" si="10"/>
        <v>1.4665154806414477E-2</v>
      </c>
      <c r="G61" s="5">
        <f t="shared" si="6"/>
        <v>3.8333333333333357</v>
      </c>
      <c r="H61" s="4">
        <f t="shared" si="9"/>
        <v>0.99786273057626618</v>
      </c>
      <c r="I61" s="10">
        <f t="shared" si="5"/>
        <v>0.82941971384507551</v>
      </c>
      <c r="J61" s="5">
        <f t="shared" si="1"/>
        <v>6.89705850376027E-2</v>
      </c>
    </row>
    <row r="62" spans="1:10">
      <c r="A62" s="3">
        <v>48</v>
      </c>
      <c r="B62" s="4">
        <f t="shared" si="7"/>
        <v>0.50377274653762194</v>
      </c>
      <c r="C62" s="10">
        <f t="shared" si="2"/>
        <v>9.6142108987049613E-2</v>
      </c>
      <c r="D62" s="10">
        <f t="shared" si="8"/>
        <v>8.4324373456713175E-2</v>
      </c>
      <c r="E62" s="10">
        <f t="shared" si="10"/>
        <v>1.5175825675334943E-2</v>
      </c>
      <c r="G62" s="5">
        <f t="shared" si="6"/>
        <v>3.9166666666666692</v>
      </c>
      <c r="H62" s="4">
        <f t="shared" si="9"/>
        <v>0.99780653907889527</v>
      </c>
      <c r="I62" s="10">
        <f t="shared" si="5"/>
        <v>0.82605426651129765</v>
      </c>
      <c r="J62" s="5">
        <f t="shared" si="1"/>
        <v>6.8686862396582768E-2</v>
      </c>
    </row>
    <row r="63" spans="1:10">
      <c r="A63" s="3">
        <v>49</v>
      </c>
      <c r="B63" s="4">
        <f t="shared" si="7"/>
        <v>0.46306905957765548</v>
      </c>
      <c r="C63" s="10">
        <f t="shared" si="2"/>
        <v>9.1563913320999626E-2</v>
      </c>
      <c r="D63" s="10">
        <f t="shared" si="8"/>
        <v>7.529655225758243E-2</v>
      </c>
      <c r="E63" s="10">
        <f t="shared" si="10"/>
        <v>1.5583237511175392E-2</v>
      </c>
      <c r="G63" s="5">
        <f t="shared" si="6"/>
        <v>4.0000000000000027</v>
      </c>
      <c r="H63" s="4">
        <f t="shared" si="9"/>
        <v>0.99774997980465108</v>
      </c>
      <c r="I63" s="10">
        <f t="shared" si="5"/>
        <v>0.82270247479188163</v>
      </c>
      <c r="J63" s="5">
        <f t="shared" si="1"/>
        <v>6.840428146740303E-2</v>
      </c>
    </row>
    <row r="64" spans="1:10">
      <c r="A64" s="3">
        <v>50</v>
      </c>
      <c r="B64" s="4">
        <f t="shared" si="7"/>
        <v>0.42124201604506206</v>
      </c>
      <c r="C64" s="10">
        <f t="shared" si="2"/>
        <v>8.7203726972380588E-2</v>
      </c>
      <c r="D64" s="10">
        <f t="shared" si="8"/>
        <v>6.6538327757806076E-2</v>
      </c>
      <c r="E64" s="10">
        <f t="shared" si="10"/>
        <v>1.5862882442118777E-2</v>
      </c>
      <c r="G64" s="5">
        <f t="shared" si="6"/>
        <v>4.0833333333333357</v>
      </c>
      <c r="H64" s="4">
        <f t="shared" si="9"/>
        <v>0.99769304918559365</v>
      </c>
      <c r="I64" s="10">
        <f t="shared" si="5"/>
        <v>0.81936428327790733</v>
      </c>
      <c r="J64" s="5">
        <f t="shared" si="1"/>
        <v>6.8122837514775325E-2</v>
      </c>
    </row>
    <row r="65" spans="1:10">
      <c r="A65" s="3">
        <v>51</v>
      </c>
      <c r="B65" s="4">
        <f t="shared" si="7"/>
        <v>0.37873139064424483</v>
      </c>
      <c r="C65" s="10">
        <f t="shared" si="2"/>
        <v>8.3051168545124371E-2</v>
      </c>
      <c r="D65" s="10">
        <f t="shared" si="8"/>
        <v>5.8114214839620718E-2</v>
      </c>
      <c r="E65" s="10">
        <f t="shared" si="10"/>
        <v>1.5990183591145117E-2</v>
      </c>
      <c r="G65" s="5">
        <f t="shared" si="6"/>
        <v>4.1666666666666687</v>
      </c>
      <c r="H65" s="4">
        <f t="shared" si="9"/>
        <v>0.99763574361948493</v>
      </c>
      <c r="I65" s="10">
        <f t="shared" si="5"/>
        <v>0.81603963678528069</v>
      </c>
      <c r="J65" s="5">
        <f t="shared" si="1"/>
        <v>6.7842525822271488E-2</v>
      </c>
    </row>
    <row r="66" spans="1:10">
      <c r="A66" s="3">
        <v>52</v>
      </c>
      <c r="B66" s="4">
        <f t="shared" si="7"/>
        <v>0.33605775582470482</v>
      </c>
      <c r="C66" s="10">
        <f t="shared" si="2"/>
        <v>7.9096350995356543E-2</v>
      </c>
      <c r="D66" s="10">
        <f t="shared" si="8"/>
        <v>5.0092864569951302E-2</v>
      </c>
      <c r="E66" s="10">
        <f t="shared" si="10"/>
        <v>1.5941959503963266E-2</v>
      </c>
      <c r="G66" s="5">
        <f t="shared" si="6"/>
        <v>4.2500000000000018</v>
      </c>
      <c r="H66" s="4">
        <f t="shared" si="9"/>
        <v>0.99757805946946376</v>
      </c>
      <c r="I66" s="10">
        <f t="shared" si="5"/>
        <v>0.81272848035382284</v>
      </c>
      <c r="J66" s="5">
        <f t="shared" si="1"/>
        <v>6.75633416922444E-2</v>
      </c>
    </row>
    <row r="67" spans="1:10">
      <c r="A67" s="3">
        <v>53</v>
      </c>
      <c r="B67" s="4">
        <f t="shared" si="7"/>
        <v>0.29381274838632609</v>
      </c>
      <c r="C67" s="10">
        <f t="shared" si="2"/>
        <v>7.5329858090815757E-2</v>
      </c>
      <c r="D67" s="10">
        <f t="shared" si="8"/>
        <v>4.2544502850416721E-2</v>
      </c>
      <c r="E67" s="10">
        <f t="shared" si="10"/>
        <v>1.5698269098130074E-2</v>
      </c>
      <c r="G67" s="5">
        <f t="shared" si="6"/>
        <v>4.3333333333333348</v>
      </c>
      <c r="H67" s="4">
        <f t="shared" si="9"/>
        <v>0.99751999306371897</v>
      </c>
      <c r="I67" s="10">
        <f t="shared" si="5"/>
        <v>0.80943075924636065</v>
      </c>
      <c r="J67" s="5">
        <f t="shared" si="1"/>
        <v>6.7285280445749204E-2</v>
      </c>
    </row>
    <row r="68" spans="1:10">
      <c r="A68" s="3">
        <v>54</v>
      </c>
      <c r="B68" s="4">
        <f t="shared" si="7"/>
        <v>0.25264146349201022</v>
      </c>
      <c r="C68" s="10">
        <f t="shared" si="2"/>
        <v>7.1742721991253117E-2</v>
      </c>
      <c r="D68" s="10">
        <f t="shared" si="8"/>
        <v>3.5537618312719829E-2</v>
      </c>
      <c r="E68" s="10">
        <f t="shared" si="10"/>
        <v>1.5244579503934914E-2</v>
      </c>
      <c r="G68" s="5">
        <f t="shared" si="6"/>
        <v>4.4166666666666679</v>
      </c>
      <c r="H68" s="4">
        <f t="shared" si="9"/>
        <v>0.99746154069515958</v>
      </c>
      <c r="I68" s="10">
        <f t="shared" si="5"/>
        <v>0.80614641894782246</v>
      </c>
      <c r="J68" s="5">
        <f t="shared" si="1"/>
        <v>6.700833742246505E-2</v>
      </c>
    </row>
    <row r="69" spans="1:10">
      <c r="A69" s="3">
        <v>55</v>
      </c>
      <c r="B69" s="4">
        <f t="shared" si="7"/>
        <v>0.21321624167375933</v>
      </c>
      <c r="C69" s="10">
        <f t="shared" si="2"/>
        <v>6.8326401896431521E-2</v>
      </c>
      <c r="D69" s="10">
        <f t="shared" si="8"/>
        <v>2.9134988209100821E-2</v>
      </c>
      <c r="E69" s="10">
        <f t="shared" si="10"/>
        <v>1.4574122151347017E-2</v>
      </c>
      <c r="G69" s="5">
        <f t="shared" si="6"/>
        <v>4.5000000000000009</v>
      </c>
      <c r="H69" s="4">
        <f t="shared" si="9"/>
        <v>0.99740269862108155</v>
      </c>
      <c r="I69" s="10">
        <f t="shared" si="5"/>
        <v>0.80287540516433609</v>
      </c>
      <c r="J69" s="5">
        <f t="shared" si="1"/>
        <v>6.6732507980616917E-2</v>
      </c>
    </row>
    <row r="70" spans="1:10">
      <c r="A70" s="3">
        <v>56</v>
      </c>
      <c r="B70" s="4">
        <f t="shared" si="7"/>
        <v>0.17620203832902034</v>
      </c>
      <c r="C70" s="10">
        <f t="shared" si="2"/>
        <v>6.5072763710887174E-2</v>
      </c>
      <c r="D70" s="10">
        <f t="shared" si="8"/>
        <v>2.3389253643615375E-2</v>
      </c>
      <c r="E70" s="10">
        <f t="shared" si="10"/>
        <v>1.3690208278970896E-2</v>
      </c>
      <c r="G70" s="5">
        <f t="shared" si="6"/>
        <v>4.5833333333333339</v>
      </c>
      <c r="H70" s="4">
        <f t="shared" si="9"/>
        <v>0.99734346306283161</v>
      </c>
      <c r="I70" s="10">
        <f t="shared" si="5"/>
        <v>0.79961766382233246</v>
      </c>
      <c r="J70" s="5">
        <f t="shared" si="1"/>
        <v>6.6457787496898013E-2</v>
      </c>
    </row>
    <row r="71" spans="1:10">
      <c r="A71" s="3">
        <v>57</v>
      </c>
      <c r="B71" s="4">
        <f t="shared" si="7"/>
        <v>0.14221488673888427</v>
      </c>
      <c r="C71" s="10">
        <f t="shared" si="2"/>
        <v>6.1974060677035397E-2</v>
      </c>
      <c r="D71" s="10">
        <f t="shared" si="8"/>
        <v>1.8338396899192245E-2</v>
      </c>
      <c r="E71" s="10">
        <f t="shared" si="10"/>
        <v>1.2608175404829218E-2</v>
      </c>
      <c r="G71" s="5">
        <f t="shared" si="6"/>
        <v>4.666666666666667</v>
      </c>
      <c r="H71" s="4">
        <f t="shared" si="9"/>
        <v>0.99728383020546851</v>
      </c>
      <c r="I71" s="10">
        <f t="shared" si="5"/>
        <v>0.79637314106764989</v>
      </c>
      <c r="J71" s="5">
        <f t="shared" si="1"/>
        <v>6.6184171366392153E-2</v>
      </c>
    </row>
    <row r="72" spans="1:10">
      <c r="A72" s="3">
        <v>58</v>
      </c>
      <c r="B72" s="4">
        <f t="shared" si="7"/>
        <v>0.11177659385384923</v>
      </c>
      <c r="C72" s="10">
        <f t="shared" si="2"/>
        <v>5.9022914930509894E-2</v>
      </c>
      <c r="D72" s="10">
        <f t="shared" si="8"/>
        <v>1.4001612435259778E-2</v>
      </c>
      <c r="E72" s="10">
        <f t="shared" si="10"/>
        <v>1.1356552940371764E-2</v>
      </c>
      <c r="G72" s="5">
        <f t="shared" si="6"/>
        <v>4.75</v>
      </c>
      <c r="H72" s="4">
        <f t="shared" si="9"/>
        <v>0.99722379619742019</v>
      </c>
      <c r="I72" s="10">
        <f t="shared" si="5"/>
        <v>0.79314178326464624</v>
      </c>
      <c r="J72" s="5">
        <f t="shared" si="1"/>
        <v>6.5911655002496836E-2</v>
      </c>
    </row>
    <row r="73" spans="1:10">
      <c r="A73" s="3">
        <v>59</v>
      </c>
      <c r="B73" s="4">
        <f t="shared" si="7"/>
        <v>8.5270508146709834E-2</v>
      </c>
      <c r="C73" s="10">
        <f t="shared" si="2"/>
        <v>5.6212299933818946E-2</v>
      </c>
      <c r="D73" s="10">
        <f t="shared" si="8"/>
        <v>1.0376165846575124E-2</v>
      </c>
      <c r="E73" s="10">
        <f t="shared" si="10"/>
        <v>9.9770001433263696E-3</v>
      </c>
      <c r="G73" s="5">
        <f t="shared" si="6"/>
        <v>4.833333333333333</v>
      </c>
      <c r="H73" s="4">
        <f t="shared" si="9"/>
        <v>0.99716335715013915</v>
      </c>
      <c r="I73" s="10">
        <f t="shared" si="5"/>
        <v>0.78992353699531004</v>
      </c>
      <c r="J73" s="5">
        <f t="shared" si="1"/>
        <v>6.5640233836846293E-2</v>
      </c>
    </row>
    <row r="74" spans="1:10">
      <c r="A74" s="3">
        <v>60</v>
      </c>
      <c r="B74" s="4">
        <f t="shared" si="7"/>
        <v>6.2904574326016288E-2</v>
      </c>
      <c r="C74" s="10">
        <f t="shared" si="2"/>
        <v>5.3535523746494243E-2</v>
      </c>
      <c r="D74" s="10">
        <f t="shared" si="8"/>
        <v>7.4358591387193853E-3</v>
      </c>
      <c r="E74" s="10">
        <f t="shared" si="10"/>
        <v>8.5226216781141093E-3</v>
      </c>
      <c r="G74" s="5">
        <f t="shared" si="6"/>
        <v>4.9166666666666661</v>
      </c>
      <c r="H74" s="4">
        <f t="shared" si="9"/>
        <v>0.99710250913775311</v>
      </c>
      <c r="I74" s="10">
        <f t="shared" si="5"/>
        <v>0.78671834905837879</v>
      </c>
      <c r="J74" s="5">
        <f t="shared" si="1"/>
        <v>6.536990331923502E-2</v>
      </c>
    </row>
    <row r="75" spans="1:10">
      <c r="A75" s="3">
        <v>61</v>
      </c>
      <c r="B75" s="4">
        <f t="shared" si="7"/>
        <v>4.4688419057371427E-2</v>
      </c>
      <c r="C75" s="10">
        <f t="shared" si="2"/>
        <v>5.0986213091899268E-2</v>
      </c>
      <c r="D75" s="10">
        <f t="shared" si="8"/>
        <v>5.1316235539775176E-3</v>
      </c>
      <c r="E75" s="10">
        <f t="shared" si="10"/>
        <v>7.0544404809600786E-3</v>
      </c>
      <c r="G75" s="5">
        <f t="shared" si="6"/>
        <v>4.9999999999999991</v>
      </c>
      <c r="H75" s="4">
        <f t="shared" si="9"/>
        <v>0.99704124819671458</v>
      </c>
      <c r="I75" s="10">
        <f t="shared" si="5"/>
        <v>0.78352616646845896</v>
      </c>
      <c r="J75" s="5">
        <f t="shared" si="1"/>
        <v>6.510065891754159E-2</v>
      </c>
    </row>
    <row r="76" spans="1:10">
      <c r="A76" s="3">
        <v>62</v>
      </c>
      <c r="B76" s="4">
        <f t="shared" si="7"/>
        <v>3.0430366579659324E-2</v>
      </c>
      <c r="C76" s="10">
        <f t="shared" si="2"/>
        <v>4.855829818276123E-2</v>
      </c>
      <c r="D76" s="10">
        <f t="shared" si="8"/>
        <v>3.3945159666277079E-3</v>
      </c>
      <c r="E76" s="10">
        <f t="shared" si="10"/>
        <v>5.6361193764691711E-3</v>
      </c>
      <c r="G76" s="5">
        <f t="shared" si="6"/>
        <v>5.0833333333333321</v>
      </c>
      <c r="H76" s="4">
        <f t="shared" si="9"/>
        <v>0.99697957032544482</v>
      </c>
      <c r="I76" s="10">
        <f t="shared" si="5"/>
        <v>0.78034693645514985</v>
      </c>
      <c r="J76" s="5">
        <f t="shared" si="1"/>
        <v>6.483249611765271E-2</v>
      </c>
    </row>
    <row r="77" spans="1:10">
      <c r="A77" s="3">
        <v>63</v>
      </c>
      <c r="B77" s="4">
        <f t="shared" si="7"/>
        <v>1.9757734121592679E-2</v>
      </c>
      <c r="C77" s="10">
        <f t="shared" si="2"/>
        <v>4.6245998269296387E-2</v>
      </c>
      <c r="D77" s="10">
        <f t="shared" si="8"/>
        <v>2.1410099283510745E-3</v>
      </c>
      <c r="E77" s="10">
        <f t="shared" si="10"/>
        <v>4.327445411838042E-3</v>
      </c>
      <c r="G77" s="5">
        <f t="shared" si="6"/>
        <v>5.1666666666666652</v>
      </c>
      <c r="H77" s="4">
        <f t="shared" si="9"/>
        <v>0.99691747148397669</v>
      </c>
      <c r="I77" s="10">
        <f t="shared" si="5"/>
        <v>0.77718060646217213</v>
      </c>
      <c r="J77" s="5">
        <f t="shared" si="1"/>
        <v>6.456541042338769E-2</v>
      </c>
    </row>
    <row r="78" spans="1:10">
      <c r="A78" s="3">
        <v>64</v>
      </c>
      <c r="B78" s="4">
        <f t="shared" si="7"/>
        <v>1.2159626951495462E-2</v>
      </c>
      <c r="C78" s="10">
        <f t="shared" si="2"/>
        <v>4.4043807875520369E-2</v>
      </c>
      <c r="D78" s="10">
        <f t="shared" si="8"/>
        <v>1.2800079539360067E-3</v>
      </c>
      <c r="E78" s="10">
        <f t="shared" si="10"/>
        <v>3.1775388457817438E-3</v>
      </c>
      <c r="G78" s="5">
        <f t="shared" si="6"/>
        <v>5.2499999999999982</v>
      </c>
      <c r="H78" s="4">
        <f t="shared" si="9"/>
        <v>0.99685494759359317</v>
      </c>
      <c r="I78" s="10">
        <f t="shared" si="5"/>
        <v>0.77402712414649799</v>
      </c>
      <c r="J78" s="5">
        <f t="shared" si="1"/>
        <v>6.429939735642308E-2</v>
      </c>
    </row>
    <row r="79" spans="1:10">
      <c r="A79" s="3">
        <v>65</v>
      </c>
      <c r="B79" s="4">
        <f t="shared" si="7"/>
        <v>7.0465075158064284E-3</v>
      </c>
      <c r="C79" s="10">
        <f t="shared" si="2"/>
        <v>4.1946483690971779E-2</v>
      </c>
      <c r="D79" s="10">
        <f t="shared" si="8"/>
        <v>7.2057171284978109E-4</v>
      </c>
      <c r="E79" s="10">
        <f t="shared" si="10"/>
        <v>2.21907844829819E-3</v>
      </c>
      <c r="G79" s="5">
        <f t="shared" si="6"/>
        <v>5.3333333333333313</v>
      </c>
      <c r="H79" s="4">
        <f t="shared" si="9"/>
        <v>0.99679199453646283</v>
      </c>
      <c r="I79" s="10">
        <f t="shared" si="5"/>
        <v>0.77088643737748652</v>
      </c>
      <c r="J79" s="5">
        <f t="shared" ref="J79:J142" si="11">H79*I79/12</f>
        <v>6.4034452456217736E-2</v>
      </c>
    </row>
    <row r="80" spans="1:10">
      <c r="A80" s="3">
        <v>66</v>
      </c>
      <c r="B80" s="4">
        <f t="shared" si="7"/>
        <v>3.8164369334817215E-3</v>
      </c>
      <c r="C80" s="10">
        <f t="shared" ref="C80:C94" si="12">(1+B$6)^-A80</f>
        <v>3.9949032086639788E-2</v>
      </c>
      <c r="D80" s="10">
        <f t="shared" si="8"/>
        <v>3.7911612131296275E-4</v>
      </c>
      <c r="E80" s="10">
        <f t="shared" ref="E80:E94" si="13">(1.03^A79)*(B78-B79)*C79</f>
        <v>1.4648768093197373E-3</v>
      </c>
      <c r="G80" s="5">
        <f t="shared" si="6"/>
        <v>5.4166666666666643</v>
      </c>
      <c r="H80" s="4">
        <f t="shared" si="9"/>
        <v>0.99672860815527198</v>
      </c>
      <c r="I80" s="10">
        <f t="shared" ref="I80:I143" si="14">(1+B$6)^-G80</f>
        <v>0.76775849423602149</v>
      </c>
      <c r="J80" s="5">
        <f t="shared" si="11"/>
        <v>6.3770571279938085E-2</v>
      </c>
    </row>
    <row r="81" spans="1:10">
      <c r="A81" s="3">
        <v>67</v>
      </c>
      <c r="B81" s="4">
        <f t="shared" si="7"/>
        <v>1.9157152011497851E-3</v>
      </c>
      <c r="C81" s="10">
        <f t="shared" si="12"/>
        <v>3.8046697225371226E-2</v>
      </c>
      <c r="D81" s="10">
        <f t="shared" si="8"/>
        <v>1.8486554714177672E-4</v>
      </c>
      <c r="E81" s="10">
        <f t="shared" si="13"/>
        <v>9.0776849156039708E-4</v>
      </c>
      <c r="G81" s="5">
        <f t="shared" ref="G81:G144" si="15">G80+1/12</f>
        <v>5.4999999999999973</v>
      </c>
      <c r="H81" s="4">
        <f t="shared" si="9"/>
        <v>0.99666478425285387</v>
      </c>
      <c r="I81" s="10">
        <f t="shared" si="14"/>
        <v>0.76464324301365372</v>
      </c>
      <c r="J81" s="5">
        <f t="shared" si="11"/>
        <v>6.3507749402383809E-2</v>
      </c>
    </row>
    <row r="82" spans="1:10">
      <c r="A82" s="3">
        <v>68</v>
      </c>
      <c r="B82" s="4">
        <f t="shared" ref="B82:B94" si="16">B81*B$9*B$8^((B$5^(B$7+A81))*(B$5-1))</f>
        <v>8.8287472152120245E-4</v>
      </c>
      <c r="C82" s="10">
        <f t="shared" si="12"/>
        <v>3.6234949738448791E-2</v>
      </c>
      <c r="D82" s="10">
        <f t="shared" si="8"/>
        <v>8.276276473702344E-5</v>
      </c>
      <c r="E82" s="10">
        <f t="shared" si="13"/>
        <v>5.2399791378140547E-4</v>
      </c>
      <c r="G82" s="5">
        <f t="shared" si="15"/>
        <v>5.5833333333333304</v>
      </c>
      <c r="H82" s="4">
        <f t="shared" si="9"/>
        <v>0.9966005185918142</v>
      </c>
      <c r="I82" s="10">
        <f t="shared" si="14"/>
        <v>0.76154063221174517</v>
      </c>
      <c r="J82" s="5">
        <f t="shared" si="11"/>
        <v>6.3245982415913601E-2</v>
      </c>
    </row>
    <row r="83" spans="1:10">
      <c r="A83" s="3">
        <v>69</v>
      </c>
      <c r="B83" s="4">
        <f t="shared" si="16"/>
        <v>3.6962515164251078E-4</v>
      </c>
      <c r="C83" s="10">
        <f t="shared" si="12"/>
        <v>3.4509475941379798E-2</v>
      </c>
      <c r="D83" s="10">
        <f t="shared" si="8"/>
        <v>3.3659549278529254E-5</v>
      </c>
      <c r="E83" s="10">
        <f t="shared" si="13"/>
        <v>2.793136717289092E-4</v>
      </c>
      <c r="G83" s="5">
        <f t="shared" si="15"/>
        <v>5.6666666666666634</v>
      </c>
      <c r="H83" s="4">
        <f t="shared" si="9"/>
        <v>0.99653580689415289</v>
      </c>
      <c r="I83" s="10">
        <f t="shared" si="14"/>
        <v>0.75845061054061913</v>
      </c>
      <c r="J83" s="5">
        <f t="shared" si="11"/>
        <v>6.2985265930371556E-2</v>
      </c>
    </row>
    <row r="84" spans="1:10">
      <c r="A84" s="3">
        <v>70</v>
      </c>
      <c r="B84" s="4">
        <f t="shared" si="16"/>
        <v>1.3891423078934658E-4</v>
      </c>
      <c r="C84" s="10">
        <f t="shared" si="12"/>
        <v>3.2866167563218862E-2</v>
      </c>
      <c r="D84" s="10">
        <f t="shared" si="8"/>
        <v>1.2288656129657935E-5</v>
      </c>
      <c r="E84" s="10">
        <f t="shared" si="13"/>
        <v>1.3615558576635445E-4</v>
      </c>
      <c r="G84" s="5">
        <f t="shared" si="15"/>
        <v>5.7499999999999964</v>
      </c>
      <c r="H84" s="4">
        <f t="shared" si="9"/>
        <v>0.99647064484088343</v>
      </c>
      <c r="I84" s="10">
        <f t="shared" si="14"/>
        <v>0.75537312691871084</v>
      </c>
      <c r="J84" s="5">
        <f t="shared" si="11"/>
        <v>6.2725595573013521E-2</v>
      </c>
    </row>
    <row r="85" spans="1:10">
      <c r="A85" s="3">
        <v>71</v>
      </c>
      <c r="B85" s="4">
        <f t="shared" si="16"/>
        <v>4.6242571458835604E-5</v>
      </c>
      <c r="C85" s="10">
        <f t="shared" si="12"/>
        <v>3.1301111964970339E-2</v>
      </c>
      <c r="D85" s="10">
        <f t="shared" si="8"/>
        <v>3.9738411460926408E-6</v>
      </c>
      <c r="E85" s="10">
        <f t="shared" si="13"/>
        <v>6.0037548030898312E-5</v>
      </c>
      <c r="G85" s="5">
        <f t="shared" si="15"/>
        <v>5.8333333333333295</v>
      </c>
      <c r="H85" s="4">
        <f t="shared" si="9"/>
        <v>0.99640502807164799</v>
      </c>
      <c r="I85" s="10">
        <f t="shared" si="14"/>
        <v>0.75230813047172396</v>
      </c>
      <c r="J85" s="5">
        <f t="shared" si="11"/>
        <v>6.2466966988433931E-2</v>
      </c>
    </row>
    <row r="86" spans="1:10">
      <c r="A86" s="3">
        <v>72</v>
      </c>
      <c r="B86" s="4">
        <f t="shared" si="16"/>
        <v>1.3431164595705496E-5</v>
      </c>
      <c r="C86" s="10">
        <f t="shared" si="12"/>
        <v>2.9810582823781274E-2</v>
      </c>
      <c r="D86" s="10">
        <f t="shared" si="8"/>
        <v>1.1212257673291106E-6</v>
      </c>
      <c r="E86" s="10">
        <f t="shared" si="13"/>
        <v>2.365645471546889E-5</v>
      </c>
      <c r="G86" s="5">
        <f t="shared" si="15"/>
        <v>5.9166666666666625</v>
      </c>
      <c r="H86" s="4">
        <f t="shared" si="9"/>
        <v>0.99633895218432944</v>
      </c>
      <c r="I86" s="10">
        <f t="shared" si="14"/>
        <v>0.74925557053178937</v>
      </c>
      <c r="J86" s="5">
        <f t="shared" si="11"/>
        <v>6.2209375838492918E-2</v>
      </c>
    </row>
    <row r="87" spans="1:10">
      <c r="A87" s="3">
        <v>73</v>
      </c>
      <c r="B87" s="4">
        <f t="shared" si="16"/>
        <v>3.3467101742528685E-6</v>
      </c>
      <c r="C87" s="10">
        <f t="shared" si="12"/>
        <v>2.8391031260744073E-2</v>
      </c>
      <c r="D87" s="10">
        <f t="shared" si="8"/>
        <v>2.7139908258706876E-7</v>
      </c>
      <c r="E87" s="10">
        <f t="shared" si="13"/>
        <v>8.2162850485093044E-6</v>
      </c>
      <c r="G87" s="5">
        <f t="shared" si="15"/>
        <v>5.9999999999999956</v>
      </c>
      <c r="H87" s="4">
        <f t="shared" si="9"/>
        <v>0.99627241273465983</v>
      </c>
      <c r="I87" s="10">
        <f t="shared" si="14"/>
        <v>0.74621539663662761</v>
      </c>
      <c r="J87" s="5">
        <f t="shared" si="11"/>
        <v>6.1952817802243682E-2</v>
      </c>
    </row>
    <row r="88" spans="1:10">
      <c r="A88" s="3">
        <v>74</v>
      </c>
      <c r="B88" s="4">
        <f t="shared" si="16"/>
        <v>7.0194152340685403E-7</v>
      </c>
      <c r="C88" s="10">
        <f t="shared" si="12"/>
        <v>2.7039077391184833E-2</v>
      </c>
      <c r="D88" s="10">
        <f t="shared" si="8"/>
        <v>5.5297064615293603E-8</v>
      </c>
      <c r="E88" s="10">
        <f t="shared" si="13"/>
        <v>2.4771424332749931E-6</v>
      </c>
      <c r="G88" s="5">
        <f t="shared" si="15"/>
        <v>6.0833333333333286</v>
      </c>
      <c r="H88" s="4">
        <f t="shared" si="9"/>
        <v>0.99620540523582524</v>
      </c>
      <c r="I88" s="10">
        <f t="shared" si="14"/>
        <v>0.74318755852871421</v>
      </c>
      <c r="J88" s="5">
        <f t="shared" si="11"/>
        <v>6.1697288575860106E-2</v>
      </c>
    </row>
    <row r="89" spans="1:10">
      <c r="A89" s="3">
        <v>75</v>
      </c>
      <c r="B89" s="4">
        <f t="shared" si="16"/>
        <v>1.2130655861272E-7</v>
      </c>
      <c r="C89" s="10">
        <f t="shared" si="12"/>
        <v>2.5751502277318886E-2</v>
      </c>
      <c r="D89" s="10">
        <f t="shared" si="8"/>
        <v>9.2831698990917977E-9</v>
      </c>
      <c r="E89" s="10">
        <f t="shared" si="13"/>
        <v>6.3728571755593143E-7</v>
      </c>
      <c r="G89" s="5">
        <f t="shared" si="15"/>
        <v>6.1666666666666616</v>
      </c>
      <c r="H89" s="4">
        <f t="shared" si="9"/>
        <v>0.99613792515806743</v>
      </c>
      <c r="I89" s="10">
        <f t="shared" si="14"/>
        <v>0.74017200615444967</v>
      </c>
      <c r="J89" s="5">
        <f t="shared" si="11"/>
        <v>6.144278387256482E-2</v>
      </c>
    </row>
    <row r="90" spans="1:10">
      <c r="A90" s="3">
        <v>76</v>
      </c>
      <c r="B90" s="4">
        <f t="shared" si="16"/>
        <v>1.6863193108733311E-8</v>
      </c>
      <c r="C90" s="10">
        <f t="shared" si="12"/>
        <v>2.4525240264113228E-2</v>
      </c>
      <c r="D90" s="10">
        <f t="shared" si="8"/>
        <v>1.2536107357458752E-9</v>
      </c>
      <c r="E90" s="10">
        <f t="shared" si="13"/>
        <v>1.3724533997845227E-7</v>
      </c>
      <c r="G90" s="5">
        <f t="shared" si="15"/>
        <v>6.2499999999999947</v>
      </c>
      <c r="H90" s="4">
        <f t="shared" si="9"/>
        <v>0.99606996792828151</v>
      </c>
      <c r="I90" s="10">
        <f t="shared" si="14"/>
        <v>0.7371686896633316</v>
      </c>
      <c r="J90" s="5">
        <f t="shared" si="11"/>
        <v>6.1189299422557332E-2</v>
      </c>
    </row>
    <row r="91" spans="1:10">
      <c r="A91" s="3">
        <v>77</v>
      </c>
      <c r="B91" s="4">
        <f t="shared" si="16"/>
        <v>1.8354648749324089E-9</v>
      </c>
      <c r="C91" s="10">
        <f t="shared" si="12"/>
        <v>2.3357371680107829E-2</v>
      </c>
      <c r="D91" s="10">
        <f t="shared" si="8"/>
        <v>1.3255003291784588E-10</v>
      </c>
      <c r="E91" s="10">
        <f t="shared" si="13"/>
        <v>2.4217159716380208E-8</v>
      </c>
      <c r="G91" s="5">
        <f t="shared" si="15"/>
        <v>6.3333333333333277</v>
      </c>
      <c r="H91" s="4">
        <f t="shared" si="9"/>
        <v>0.99600152892961014</v>
      </c>
      <c r="I91" s="10">
        <f t="shared" si="14"/>
        <v>0.73417755940713003</v>
      </c>
      <c r="J91" s="5">
        <f t="shared" si="11"/>
        <v>6.0936830972942592E-2</v>
      </c>
    </row>
    <row r="92" spans="1:10">
      <c r="A92" s="3">
        <v>78</v>
      </c>
      <c r="B92" s="4">
        <f t="shared" si="16"/>
        <v>1.5174981376179127E-10</v>
      </c>
      <c r="C92" s="10">
        <f t="shared" si="12"/>
        <v>2.2245115885816989E-2</v>
      </c>
      <c r="D92" s="10">
        <f t="shared" si="8"/>
        <v>1.0645665144716568E-11</v>
      </c>
      <c r="E92" s="10">
        <f t="shared" si="13"/>
        <v>3.4180908872558285E-9</v>
      </c>
      <c r="G92" s="5">
        <f t="shared" si="15"/>
        <v>6.4166666666666607</v>
      </c>
      <c r="H92" s="4">
        <f t="shared" si="9"/>
        <v>0.99593260350103474</v>
      </c>
      <c r="I92" s="10">
        <f t="shared" si="14"/>
        <v>0.73119856593906829</v>
      </c>
      <c r="J92" s="5">
        <f t="shared" si="11"/>
        <v>6.0685374287659938E-2</v>
      </c>
    </row>
    <row r="93" spans="1:10">
      <c r="A93" s="3">
        <v>79</v>
      </c>
      <c r="B93" s="4">
        <f t="shared" si="16"/>
        <v>9.2103785916994172E-12</v>
      </c>
      <c r="C93" s="10">
        <f t="shared" si="12"/>
        <v>2.1185824653159029E-2</v>
      </c>
      <c r="D93" s="10">
        <f t="shared" si="8"/>
        <v>6.2767233834825214E-13</v>
      </c>
      <c r="E93" s="10">
        <f t="shared" si="13"/>
        <v>3.7567024346554694E-10</v>
      </c>
      <c r="G93" s="5">
        <f t="shared" si="15"/>
        <v>6.4999999999999938</v>
      </c>
      <c r="H93" s="4">
        <f t="shared" si="9"/>
        <v>0.99586318693696163</v>
      </c>
      <c r="I93" s="10">
        <f t="shared" si="14"/>
        <v>0.72823166001300355</v>
      </c>
      <c r="J93" s="5">
        <f t="shared" si="11"/>
        <v>6.0434925147411972E-2</v>
      </c>
    </row>
    <row r="94" spans="1:10">
      <c r="A94" s="3">
        <v>80</v>
      </c>
      <c r="B94" s="4">
        <f t="shared" si="16"/>
        <v>3.9495640422278677E-13</v>
      </c>
      <c r="C94" s="10">
        <f t="shared" si="12"/>
        <v>2.0176975860151457E-2</v>
      </c>
      <c r="D94" s="10">
        <f t="shared" si="8"/>
        <v>2.6146619114027626E-14</v>
      </c>
      <c r="E94" s="10">
        <f t="shared" si="13"/>
        <v>3.1197598077498677E-11</v>
      </c>
      <c r="G94" s="5">
        <f t="shared" si="15"/>
        <v>6.5833333333333268</v>
      </c>
      <c r="H94" s="4">
        <f t="shared" si="9"/>
        <v>0.99579327448680621</v>
      </c>
      <c r="I94" s="10">
        <f t="shared" si="14"/>
        <v>0.72527679258261468</v>
      </c>
      <c r="J94" s="5">
        <f t="shared" si="11"/>
        <v>6.0185479349594173E-2</v>
      </c>
    </row>
    <row r="95" spans="1:10">
      <c r="D95" s="24"/>
      <c r="E95" s="10"/>
      <c r="G95" s="5">
        <f t="shared" si="15"/>
        <v>6.6666666666666599</v>
      </c>
      <c r="H95" s="4">
        <f t="shared" si="9"/>
        <v>0.995722861354572</v>
      </c>
      <c r="I95" s="10">
        <f t="shared" si="14"/>
        <v>0.72233391480058973</v>
      </c>
      <c r="J95" s="5">
        <f t="shared" si="11"/>
        <v>5.9937032708224404E-2</v>
      </c>
    </row>
    <row r="96" spans="1:10">
      <c r="E96" s="10"/>
      <c r="G96" s="5">
        <f t="shared" si="15"/>
        <v>6.7499999999999929</v>
      </c>
      <c r="H96" s="4">
        <f t="shared" si="9"/>
        <v>0.99565194269842683</v>
      </c>
      <c r="I96" s="10">
        <f t="shared" si="14"/>
        <v>0.71940297801781994</v>
      </c>
      <c r="J96" s="5">
        <f t="shared" si="11"/>
        <v>5.9689581053873009E-2</v>
      </c>
    </row>
    <row r="97" spans="5:10">
      <c r="E97" s="10"/>
      <c r="G97" s="5">
        <f t="shared" si="15"/>
        <v>6.8333333333333259</v>
      </c>
      <c r="H97" s="4">
        <f t="shared" si="9"/>
        <v>0.995580513630275</v>
      </c>
      <c r="I97" s="10">
        <f t="shared" si="14"/>
        <v>0.71648393378259434</v>
      </c>
      <c r="J97" s="5">
        <f t="shared" si="11"/>
        <v>5.9443120233592939E-2</v>
      </c>
    </row>
    <row r="98" spans="5:10">
      <c r="E98" s="10"/>
      <c r="G98" s="5">
        <f t="shared" si="15"/>
        <v>6.916666666666659</v>
      </c>
      <c r="H98" s="4">
        <f t="shared" si="9"/>
        <v>0.99550856921532538</v>
      </c>
      <c r="I98" s="10">
        <f t="shared" si="14"/>
        <v>0.71357673383979958</v>
      </c>
      <c r="J98" s="5">
        <f t="shared" si="11"/>
        <v>5.9197646110850329E-2</v>
      </c>
    </row>
    <row r="99" spans="5:10">
      <c r="E99" s="10"/>
      <c r="G99" s="5">
        <f t="shared" si="15"/>
        <v>6.999999999999992</v>
      </c>
      <c r="H99" s="4">
        <f t="shared" si="9"/>
        <v>0.99543610447165631</v>
      </c>
      <c r="I99" s="10">
        <f t="shared" si="14"/>
        <v>0.71068133013012169</v>
      </c>
      <c r="J99" s="5">
        <f t="shared" si="11"/>
        <v>5.8953154565455294E-2</v>
      </c>
    </row>
    <row r="100" spans="5:10">
      <c r="E100" s="10"/>
      <c r="G100" s="5">
        <f t="shared" si="15"/>
        <v>7.083333333333325</v>
      </c>
      <c r="H100" s="4">
        <f t="shared" si="9"/>
        <v>0.99536311436977609</v>
      </c>
      <c r="I100" s="10">
        <f t="shared" si="14"/>
        <v>0.70779767478925171</v>
      </c>
      <c r="J100" s="5">
        <f t="shared" si="11"/>
        <v>5.8709641493492955E-2</v>
      </c>
    </row>
    <row r="101" spans="5:10">
      <c r="E101" s="10"/>
      <c r="G101" s="5">
        <f t="shared" si="15"/>
        <v>7.1666666666666581</v>
      </c>
      <c r="H101" s="4">
        <f t="shared" si="9"/>
        <v>0.99528959383217952</v>
      </c>
      <c r="I101" s="10">
        <f t="shared" si="14"/>
        <v>0.70492572014709509</v>
      </c>
      <c r="J101" s="5">
        <f t="shared" si="11"/>
        <v>5.8467102807254916E-2</v>
      </c>
    </row>
    <row r="102" spans="5:10">
      <c r="E102" s="10"/>
      <c r="G102" s="5">
        <f t="shared" si="15"/>
        <v>7.2499999999999911</v>
      </c>
      <c r="H102" s="4">
        <f t="shared" si="9"/>
        <v>0.99521553773290117</v>
      </c>
      <c r="I102" s="10">
        <f t="shared" si="14"/>
        <v>0.70206541872698247</v>
      </c>
      <c r="J102" s="5">
        <f t="shared" si="11"/>
        <v>5.8225534435170694E-2</v>
      </c>
    </row>
    <row r="103" spans="5:10">
      <c r="E103" s="10"/>
      <c r="G103" s="5">
        <f t="shared" si="15"/>
        <v>7.3333333333333242</v>
      </c>
      <c r="H103" s="4">
        <f t="shared" si="9"/>
        <v>0.99514094089706417</v>
      </c>
      <c r="I103" s="10">
        <f t="shared" si="14"/>
        <v>0.69921672324488582</v>
      </c>
      <c r="J103" s="5">
        <f t="shared" si="11"/>
        <v>5.7984932321739818E-2</v>
      </c>
    </row>
    <row r="104" spans="5:10">
      <c r="E104" s="10"/>
      <c r="G104" s="5">
        <f t="shared" si="15"/>
        <v>7.4166666666666572</v>
      </c>
      <c r="H104" s="4">
        <f t="shared" si="9"/>
        <v>0.9950657981004255</v>
      </c>
      <c r="I104" s="10">
        <f t="shared" si="14"/>
        <v>0.69637958660863652</v>
      </c>
      <c r="J104" s="5">
        <f t="shared" si="11"/>
        <v>5.7745292427463936E-2</v>
      </c>
    </row>
    <row r="105" spans="5:10">
      <c r="G105" s="5">
        <f t="shared" si="15"/>
        <v>7.4999999999999902</v>
      </c>
      <c r="H105" s="4">
        <f t="shared" ref="H105:H168" si="17">H104*(B$9^(1/12))*B$8^((B$5^(B$7+G104))*((B$5^(1/12)-1)))</f>
        <v>0.99499010406891619</v>
      </c>
      <c r="I105" s="10">
        <f t="shared" si="14"/>
        <v>0.69355396191714636</v>
      </c>
      <c r="J105" s="5">
        <f t="shared" si="11"/>
        <v>5.7506610728779217E-2</v>
      </c>
    </row>
    <row r="106" spans="5:10">
      <c r="G106" s="5">
        <f t="shared" si="15"/>
        <v>7.5833333333333233</v>
      </c>
      <c r="H106" s="4">
        <f t="shared" si="17"/>
        <v>0.99491385347817907</v>
      </c>
      <c r="I106" s="10">
        <f t="shared" si="14"/>
        <v>0.69073980245963296</v>
      </c>
      <c r="J106" s="5">
        <f t="shared" si="11"/>
        <v>5.726888321798914E-2</v>
      </c>
    </row>
    <row r="107" spans="5:10">
      <c r="G107" s="5">
        <f t="shared" si="15"/>
        <v>7.6666666666666563</v>
      </c>
      <c r="H107" s="4">
        <f t="shared" si="17"/>
        <v>0.99483704095310121</v>
      </c>
      <c r="I107" s="10">
        <f t="shared" si="14"/>
        <v>0.68793706171484736</v>
      </c>
      <c r="J107" s="5">
        <f t="shared" si="11"/>
        <v>5.7032105903197482E-2</v>
      </c>
    </row>
    <row r="108" spans="5:10">
      <c r="G108" s="5">
        <f t="shared" si="15"/>
        <v>7.7499999999999893</v>
      </c>
      <c r="H108" s="4">
        <f t="shared" si="17"/>
        <v>0.99475966106734293</v>
      </c>
      <c r="I108" s="10">
        <f t="shared" si="14"/>
        <v>0.68514569335030484</v>
      </c>
      <c r="J108" s="5">
        <f t="shared" si="11"/>
        <v>5.6796274808241572E-2</v>
      </c>
    </row>
    <row r="109" spans="5:10">
      <c r="G109" s="5">
        <f t="shared" si="15"/>
        <v>7.8333333333333224</v>
      </c>
      <c r="H109" s="4">
        <f t="shared" si="17"/>
        <v>0.9946817083428624</v>
      </c>
      <c r="I109" s="10">
        <f t="shared" si="14"/>
        <v>0.68236565122151849</v>
      </c>
      <c r="J109" s="5">
        <f t="shared" si="11"/>
        <v>5.6561385972625812E-2</v>
      </c>
    </row>
    <row r="110" spans="5:10">
      <c r="G110" s="5">
        <f t="shared" si="15"/>
        <v>7.9166666666666554</v>
      </c>
      <c r="H110" s="4">
        <f t="shared" si="17"/>
        <v>0.99460317724943581</v>
      </c>
      <c r="I110" s="10">
        <f t="shared" si="14"/>
        <v>0.67959688937123786</v>
      </c>
      <c r="J110" s="5">
        <f t="shared" si="11"/>
        <v>5.6327435451455542E-2</v>
      </c>
    </row>
    <row r="111" spans="5:10">
      <c r="G111" s="5">
        <f t="shared" si="15"/>
        <v>7.9999999999999885</v>
      </c>
      <c r="H111" s="4">
        <f t="shared" si="17"/>
        <v>0.99452406220417433</v>
      </c>
      <c r="I111" s="10">
        <f t="shared" si="14"/>
        <v>0.67683936202868733</v>
      </c>
      <c r="J111" s="5">
        <f t="shared" si="11"/>
        <v>5.6094419315370993E-2</v>
      </c>
    </row>
    <row r="112" spans="5:10">
      <c r="G112" s="5">
        <f t="shared" si="15"/>
        <v>8.0833333333333215</v>
      </c>
      <c r="H112" s="4">
        <f t="shared" si="17"/>
        <v>0.99444435757103566</v>
      </c>
      <c r="I112" s="10">
        <f t="shared" si="14"/>
        <v>0.67409302360881129</v>
      </c>
      <c r="J112" s="5">
        <f t="shared" si="11"/>
        <v>5.5862333650481773E-2</v>
      </c>
    </row>
    <row r="113" spans="7:10">
      <c r="G113" s="5">
        <f t="shared" si="15"/>
        <v>8.1666666666666554</v>
      </c>
      <c r="H113" s="4">
        <f t="shared" si="17"/>
        <v>0.99436405766033242</v>
      </c>
      <c r="I113" s="10">
        <f t="shared" si="14"/>
        <v>0.67135782871151917</v>
      </c>
      <c r="J113" s="5">
        <f t="shared" si="11"/>
        <v>5.5631174558301383E-2</v>
      </c>
    </row>
    <row r="114" spans="7:10">
      <c r="G114" s="5">
        <f t="shared" si="15"/>
        <v>8.2499999999999893</v>
      </c>
      <c r="H114" s="4">
        <f t="shared" si="17"/>
        <v>0.9942831567282352</v>
      </c>
      <c r="I114" s="10">
        <f t="shared" si="14"/>
        <v>0.66863373212093569</v>
      </c>
      <c r="J114" s="5">
        <f t="shared" si="11"/>
        <v>5.5400938155682096E-2</v>
      </c>
    </row>
    <row r="115" spans="7:10">
      <c r="G115" s="5">
        <f t="shared" si="15"/>
        <v>8.3333333333333233</v>
      </c>
      <c r="H115" s="4">
        <f t="shared" si="17"/>
        <v>0.99420164897627195</v>
      </c>
      <c r="I115" s="10">
        <f t="shared" si="14"/>
        <v>0.66592068880465327</v>
      </c>
      <c r="J115" s="5">
        <f t="shared" si="11"/>
        <v>5.5171620574750092E-2</v>
      </c>
    </row>
    <row r="116" spans="7:10">
      <c r="G116" s="5">
        <f t="shared" si="15"/>
        <v>8.4166666666666572</v>
      </c>
      <c r="H116" s="4">
        <f t="shared" si="17"/>
        <v>0.99411952855082342</v>
      </c>
      <c r="I116" s="10">
        <f t="shared" si="14"/>
        <v>0.66321865391298707</v>
      </c>
      <c r="J116" s="5">
        <f t="shared" si="11"/>
        <v>5.4943217962840872E-2</v>
      </c>
    </row>
    <row r="117" spans="7:10">
      <c r="G117" s="5">
        <f t="shared" si="15"/>
        <v>8.4999999999999911</v>
      </c>
      <c r="H117" s="4">
        <f t="shared" si="17"/>
        <v>0.99403678954261299</v>
      </c>
      <c r="I117" s="10">
        <f t="shared" si="14"/>
        <v>0.66052758277823453</v>
      </c>
      <c r="J117" s="5">
        <f t="shared" si="11"/>
        <v>5.4715726482434897E-2</v>
      </c>
    </row>
    <row r="118" spans="7:10">
      <c r="G118" s="5">
        <f t="shared" si="15"/>
        <v>8.583333333333325</v>
      </c>
      <c r="H118" s="4">
        <f t="shared" si="17"/>
        <v>0.99395342598619307</v>
      </c>
      <c r="I118" s="10">
        <f t="shared" si="14"/>
        <v>0.65784743091393605</v>
      </c>
      <c r="J118" s="5">
        <f t="shared" si="11"/>
        <v>5.4489142311093509E-2</v>
      </c>
    </row>
    <row r="119" spans="7:10">
      <c r="G119" s="5">
        <f t="shared" si="15"/>
        <v>8.666666666666659</v>
      </c>
      <c r="H119" s="4">
        <f t="shared" si="17"/>
        <v>0.99386943185942722</v>
      </c>
      <c r="I119" s="10">
        <f t="shared" si="14"/>
        <v>0.65517815401414026</v>
      </c>
      <c r="J119" s="5">
        <f t="shared" si="11"/>
        <v>5.4263461641395151E-2</v>
      </c>
    </row>
    <row r="120" spans="7:10">
      <c r="G120" s="5">
        <f t="shared" si="15"/>
        <v>8.7499999999999929</v>
      </c>
      <c r="H120" s="4">
        <f t="shared" si="17"/>
        <v>0.99378480108296674</v>
      </c>
      <c r="I120" s="10">
        <f t="shared" si="14"/>
        <v>0.652519707952671</v>
      </c>
      <c r="J120" s="5">
        <f t="shared" si="11"/>
        <v>5.4038680680871726E-2</v>
      </c>
    </row>
    <row r="121" spans="7:10">
      <c r="G121" s="5">
        <f t="shared" si="15"/>
        <v>8.8333333333333268</v>
      </c>
      <c r="H121" s="4">
        <f t="shared" si="17"/>
        <v>0.99369952751972357</v>
      </c>
      <c r="I121" s="10">
        <f t="shared" si="14"/>
        <v>0.64987204878239835</v>
      </c>
      <c r="J121" s="5">
        <f t="shared" si="11"/>
        <v>5.381479565194533E-2</v>
      </c>
    </row>
    <row r="122" spans="7:10">
      <c r="G122" s="5">
        <f t="shared" si="15"/>
        <v>8.9166666666666607</v>
      </c>
      <c r="H122" s="4">
        <f t="shared" si="17"/>
        <v>0.9936136049743387</v>
      </c>
      <c r="I122" s="10">
        <f t="shared" si="14"/>
        <v>0.64723513273451194</v>
      </c>
      <c r="J122" s="5">
        <f t="shared" si="11"/>
        <v>5.3591802791865255E-2</v>
      </c>
    </row>
    <row r="123" spans="7:10">
      <c r="G123" s="5">
        <f t="shared" si="15"/>
        <v>8.9999999999999947</v>
      </c>
      <c r="H123" s="4">
        <f t="shared" si="17"/>
        <v>0.99352702719264585</v>
      </c>
      <c r="I123" s="10">
        <f t="shared" si="14"/>
        <v>0.64460891621779726</v>
      </c>
      <c r="J123" s="5">
        <f t="shared" si="11"/>
        <v>5.3369698352645122E-2</v>
      </c>
    </row>
    <row r="124" spans="7:10">
      <c r="G124" s="5">
        <f t="shared" si="15"/>
        <v>9.0833333333333286</v>
      </c>
      <c r="H124" s="4">
        <f t="shared" si="17"/>
        <v>0.9934397878611303</v>
      </c>
      <c r="I124" s="10">
        <f t="shared" si="14"/>
        <v>0.64199335581791528</v>
      </c>
      <c r="J124" s="5">
        <f t="shared" si="11"/>
        <v>5.3148478601000408E-2</v>
      </c>
    </row>
    <row r="125" spans="7:10">
      <c r="G125" s="5">
        <f t="shared" si="15"/>
        <v>9.1666666666666625</v>
      </c>
      <c r="H125" s="4">
        <f t="shared" si="17"/>
        <v>0.99335188060638324</v>
      </c>
      <c r="I125" s="10">
        <f t="shared" si="14"/>
        <v>0.63938840829668475</v>
      </c>
      <c r="J125" s="5">
        <f t="shared" si="11"/>
        <v>5.2928139818286153E-2</v>
      </c>
    </row>
    <row r="126" spans="7:10">
      <c r="G126" s="5">
        <f t="shared" si="15"/>
        <v>9.2499999999999964</v>
      </c>
      <c r="H126" s="4">
        <f t="shared" si="17"/>
        <v>0.99326329899455146</v>
      </c>
      <c r="I126" s="10">
        <f t="shared" si="14"/>
        <v>0.63679403059136708</v>
      </c>
      <c r="J126" s="5">
        <f t="shared" si="11"/>
        <v>5.270867830043488E-2</v>
      </c>
    </row>
    <row r="127" spans="7:10">
      <c r="G127" s="5">
        <f t="shared" si="15"/>
        <v>9.3333333333333304</v>
      </c>
      <c r="H127" s="4">
        <f t="shared" si="17"/>
        <v>0.99317403653078262</v>
      </c>
      <c r="I127" s="10">
        <f t="shared" si="14"/>
        <v>0.63421017981395522</v>
      </c>
      <c r="J127" s="5">
        <f t="shared" si="11"/>
        <v>5.2490090357894946E-2</v>
      </c>
    </row>
    <row r="128" spans="7:10">
      <c r="G128" s="5">
        <f t="shared" si="15"/>
        <v>9.4166666666666643</v>
      </c>
      <c r="H128" s="4">
        <f t="shared" si="17"/>
        <v>0.99308408665866543</v>
      </c>
      <c r="I128" s="10">
        <f t="shared" si="14"/>
        <v>0.63163681325046361</v>
      </c>
      <c r="J128" s="5">
        <f t="shared" si="11"/>
        <v>5.2272372315568888E-2</v>
      </c>
    </row>
    <row r="129" spans="7:10">
      <c r="G129" s="5">
        <f t="shared" si="15"/>
        <v>9.4999999999999982</v>
      </c>
      <c r="H129" s="4">
        <f t="shared" si="17"/>
        <v>0.99299344275966517</v>
      </c>
      <c r="I129" s="10">
        <f t="shared" si="14"/>
        <v>0.62907388836022315</v>
      </c>
      <c r="J129" s="5">
        <f t="shared" si="11"/>
        <v>5.2055520512752272E-2</v>
      </c>
    </row>
    <row r="130" spans="7:10">
      <c r="G130" s="5">
        <f t="shared" si="15"/>
        <v>9.5833333333333321</v>
      </c>
      <c r="H130" s="4">
        <f t="shared" si="17"/>
        <v>0.99290209815255437</v>
      </c>
      <c r="I130" s="10">
        <f t="shared" si="14"/>
        <v>0.626521362775177</v>
      </c>
      <c r="J130" s="5">
        <f t="shared" si="11"/>
        <v>5.1839531303072582E-2</v>
      </c>
    </row>
    <row r="131" spans="7:10">
      <c r="G131" s="5">
        <f t="shared" si="15"/>
        <v>9.6666666666666661</v>
      </c>
      <c r="H131" s="4">
        <f t="shared" si="17"/>
        <v>0.99281004609283863</v>
      </c>
      <c r="I131" s="10">
        <f t="shared" si="14"/>
        <v>0.62397919429918092</v>
      </c>
      <c r="J131" s="5">
        <f t="shared" si="11"/>
        <v>5.1624401054428511E-2</v>
      </c>
    </row>
    <row r="132" spans="7:10">
      <c r="G132" s="5">
        <f t="shared" si="15"/>
        <v>9.75</v>
      </c>
      <c r="H132" s="4">
        <f t="shared" si="17"/>
        <v>0.99271727977217805</v>
      </c>
      <c r="I132" s="10">
        <f t="shared" si="14"/>
        <v>0.62144734090730558</v>
      </c>
      <c r="J132" s="5">
        <f t="shared" si="11"/>
        <v>5.141012614892948E-2</v>
      </c>
    </row>
    <row r="133" spans="7:10">
      <c r="G133" s="5">
        <f t="shared" si="15"/>
        <v>9.8333333333333339</v>
      </c>
      <c r="H133" s="4">
        <f t="shared" si="17"/>
        <v>0.99262379231780284</v>
      </c>
      <c r="I133" s="10">
        <f t="shared" si="14"/>
        <v>0.61892576074514116</v>
      </c>
      <c r="J133" s="5">
        <f t="shared" si="11"/>
        <v>5.1196702982835261E-2</v>
      </c>
    </row>
    <row r="134" spans="7:10">
      <c r="G134" s="5">
        <f t="shared" si="15"/>
        <v>9.9166666666666679</v>
      </c>
      <c r="H134" s="4">
        <f t="shared" si="17"/>
        <v>0.99252957679192499</v>
      </c>
      <c r="I134" s="10">
        <f t="shared" si="14"/>
        <v>0.61641441212810644</v>
      </c>
      <c r="J134" s="5">
        <f t="shared" si="11"/>
        <v>5.0984127966496061E-2</v>
      </c>
    </row>
    <row r="135" spans="7:10">
      <c r="G135" s="5">
        <f t="shared" si="15"/>
        <v>10.000000000000002</v>
      </c>
      <c r="H135" s="4">
        <f t="shared" si="17"/>
        <v>0.99243462619114431</v>
      </c>
      <c r="I135" s="10">
        <f t="shared" si="14"/>
        <v>0.6139132535407591</v>
      </c>
      <c r="J135" s="5">
        <f t="shared" si="11"/>
        <v>5.077239752429271E-2</v>
      </c>
    </row>
    <row r="136" spans="7:10">
      <c r="G136" s="5">
        <f t="shared" si="15"/>
        <v>10.083333333333336</v>
      </c>
      <c r="H136" s="4">
        <f t="shared" si="17"/>
        <v>0.99233893344584967</v>
      </c>
      <c r="I136" s="10">
        <f t="shared" si="14"/>
        <v>0.61142224363610964</v>
      </c>
      <c r="J136" s="5">
        <f t="shared" si="11"/>
        <v>5.0561508094577122E-2</v>
      </c>
    </row>
    <row r="137" spans="7:10">
      <c r="G137" s="5">
        <f t="shared" si="15"/>
        <v>10.16666666666667</v>
      </c>
      <c r="H137" s="4">
        <f t="shared" si="17"/>
        <v>0.99224249141961518</v>
      </c>
      <c r="I137" s="10">
        <f t="shared" si="14"/>
        <v>0.60894134123493759</v>
      </c>
      <c r="J137" s="5">
        <f t="shared" si="11"/>
        <v>5.0351456129613038E-2</v>
      </c>
    </row>
    <row r="138" spans="7:10">
      <c r="G138" s="5">
        <f t="shared" si="15"/>
        <v>10.250000000000004</v>
      </c>
      <c r="H138" s="4">
        <f t="shared" si="17"/>
        <v>0.99214529290859155</v>
      </c>
      <c r="I138" s="10">
        <f t="shared" si="14"/>
        <v>0.60647050532511126</v>
      </c>
      <c r="J138" s="5">
        <f t="shared" si="11"/>
        <v>5.014223809551701E-2</v>
      </c>
    </row>
    <row r="139" spans="7:10">
      <c r="G139" s="5">
        <f t="shared" si="15"/>
        <v>10.333333333333337</v>
      </c>
      <c r="H139" s="4">
        <f t="shared" si="17"/>
        <v>0.9920473306408919</v>
      </c>
      <c r="I139" s="10">
        <f t="shared" si="14"/>
        <v>0.6040096950609094</v>
      </c>
      <c r="J139" s="5">
        <f t="shared" si="11"/>
        <v>4.9933850472199524E-2</v>
      </c>
    </row>
    <row r="140" spans="7:10">
      <c r="G140" s="5">
        <f t="shared" si="15"/>
        <v>10.416666666666671</v>
      </c>
      <c r="H140" s="4">
        <f t="shared" si="17"/>
        <v>0.99194859727597307</v>
      </c>
      <c r="I140" s="10">
        <f t="shared" si="14"/>
        <v>0.60155886976234607</v>
      </c>
      <c r="J140" s="5">
        <f t="shared" si="11"/>
        <v>4.9726289753306584E-2</v>
      </c>
    </row>
    <row r="141" spans="7:10">
      <c r="G141" s="5">
        <f t="shared" si="15"/>
        <v>10.500000000000005</v>
      </c>
      <c r="H141" s="4">
        <f t="shared" si="17"/>
        <v>0.99184908540401073</v>
      </c>
      <c r="I141" s="10">
        <f t="shared" si="14"/>
        <v>0.59911798891449797</v>
      </c>
      <c r="J141" s="5">
        <f t="shared" si="11"/>
        <v>4.9519552446161248E-2</v>
      </c>
    </row>
    <row r="142" spans="7:10">
      <c r="G142" s="5">
        <f t="shared" si="15"/>
        <v>10.583333333333339</v>
      </c>
      <c r="H142" s="4">
        <f t="shared" si="17"/>
        <v>0.99174878754527074</v>
      </c>
      <c r="I142" s="10">
        <f t="shared" si="14"/>
        <v>0.59668701216683506</v>
      </c>
      <c r="J142" s="5">
        <f t="shared" si="11"/>
        <v>4.931363507170574E-2</v>
      </c>
    </row>
    <row r="143" spans="7:10">
      <c r="G143" s="5">
        <f t="shared" si="15"/>
        <v>10.666666666666673</v>
      </c>
      <c r="H143" s="4">
        <f t="shared" si="17"/>
        <v>0.99164769614947379</v>
      </c>
      <c r="I143" s="10">
        <f t="shared" si="14"/>
        <v>0.59426589933255303</v>
      </c>
      <c r="J143" s="5">
        <f t="shared" ref="J143:J206" si="18">H143*I143/12</f>
        <v>4.910853416444344E-2</v>
      </c>
    </row>
    <row r="144" spans="7:10">
      <c r="G144" s="5">
        <f t="shared" si="15"/>
        <v>10.750000000000007</v>
      </c>
      <c r="H144" s="4">
        <f t="shared" si="17"/>
        <v>0.99154580359515609</v>
      </c>
      <c r="I144" s="10">
        <f t="shared" ref="I144:I207" si="19">(1+B$6)^-G144</f>
        <v>0.59185461038790987</v>
      </c>
      <c r="J144" s="5">
        <f t="shared" si="18"/>
        <v>4.8904246272381512E-2</v>
      </c>
    </row>
    <row r="145" spans="7:10">
      <c r="G145" s="5">
        <f t="shared" ref="G145:G208" si="20">G144+1/12</f>
        <v>10.833333333333341</v>
      </c>
      <c r="H145" s="4">
        <f t="shared" si="17"/>
        <v>0.99144310218902376</v>
      </c>
      <c r="I145" s="10">
        <f t="shared" si="19"/>
        <v>0.58945310547156271</v>
      </c>
      <c r="J145" s="5">
        <f t="shared" si="18"/>
        <v>4.8700767956973333E-2</v>
      </c>
    </row>
    <row r="146" spans="7:10">
      <c r="G146" s="5">
        <f t="shared" si="20"/>
        <v>10.916666666666675</v>
      </c>
      <c r="H146" s="4">
        <f t="shared" si="17"/>
        <v>0.99133958416530221</v>
      </c>
      <c r="I146" s="10">
        <f t="shared" si="19"/>
        <v>0.5870613448839106</v>
      </c>
      <c r="J146" s="5">
        <f t="shared" si="18"/>
        <v>4.849809579306158E-2</v>
      </c>
    </row>
    <row r="147" spans="7:10">
      <c r="G147" s="5">
        <f t="shared" si="20"/>
        <v>11.000000000000009</v>
      </c>
      <c r="H147" s="4">
        <f t="shared" si="17"/>
        <v>0.9912352416850807</v>
      </c>
      <c r="I147" s="10">
        <f t="shared" si="19"/>
        <v>0.58467928908643696</v>
      </c>
      <c r="J147" s="5">
        <f t="shared" si="18"/>
        <v>4.8296226368821298E-2</v>
      </c>
    </row>
    <row r="148" spans="7:10">
      <c r="G148" s="5">
        <f t="shared" si="20"/>
        <v>11.083333333333343</v>
      </c>
      <c r="H148" s="4">
        <f t="shared" si="17"/>
        <v>0.99113006683565041</v>
      </c>
      <c r="I148" s="10">
        <f t="shared" si="19"/>
        <v>0.58230689870105645</v>
      </c>
      <c r="J148" s="5">
        <f t="shared" si="18"/>
        <v>4.8095156285703204E-2</v>
      </c>
    </row>
    <row r="149" spans="7:10">
      <c r="G149" s="5">
        <f t="shared" si="20"/>
        <v>11.166666666666677</v>
      </c>
      <c r="H149" s="4">
        <f t="shared" si="17"/>
        <v>0.99102405162983831</v>
      </c>
      <c r="I149" s="10">
        <f t="shared" si="19"/>
        <v>0.57994413450946414</v>
      </c>
      <c r="J149" s="5">
        <f t="shared" si="18"/>
        <v>4.7894882158377422E-2</v>
      </c>
    </row>
    <row r="150" spans="7:10">
      <c r="G150" s="5">
        <f t="shared" si="20"/>
        <v>11.250000000000011</v>
      </c>
      <c r="H150" s="4">
        <f t="shared" si="17"/>
        <v>0.99091718800533446</v>
      </c>
      <c r="I150" s="10">
        <f t="shared" si="19"/>
        <v>0.57759095745248679</v>
      </c>
      <c r="J150" s="5">
        <f t="shared" si="18"/>
        <v>4.7695400614677252E-2</v>
      </c>
    </row>
    <row r="151" spans="7:10">
      <c r="G151" s="5">
        <f t="shared" si="20"/>
        <v>11.333333333333345</v>
      </c>
      <c r="H151" s="4">
        <f t="shared" si="17"/>
        <v>0.99080946782401458</v>
      </c>
      <c r="I151" s="10">
        <f t="shared" si="19"/>
        <v>0.57524732862943739</v>
      </c>
      <c r="J151" s="5">
        <f t="shared" si="18"/>
        <v>4.7496708295543234E-2</v>
      </c>
    </row>
    <row r="152" spans="7:10">
      <c r="G152" s="5">
        <f t="shared" si="20"/>
        <v>11.416666666666679</v>
      </c>
      <c r="H152" s="4">
        <f t="shared" si="17"/>
        <v>0.99070088287125679</v>
      </c>
      <c r="I152" s="10">
        <f t="shared" si="19"/>
        <v>0.57291320929747225</v>
      </c>
      <c r="J152" s="5">
        <f t="shared" si="18"/>
        <v>4.729880185496757E-2</v>
      </c>
    </row>
    <row r="153" spans="7:10">
      <c r="G153" s="5">
        <f t="shared" si="20"/>
        <v>11.500000000000012</v>
      </c>
      <c r="H153" s="4">
        <f t="shared" si="17"/>
        <v>0.99059142485525264</v>
      </c>
      <c r="I153" s="10">
        <f t="shared" si="19"/>
        <v>0.57058856087095022</v>
      </c>
      <c r="J153" s="5">
        <f t="shared" si="18"/>
        <v>4.7101677959938554E-2</v>
      </c>
    </row>
    <row r="154" spans="7:10">
      <c r="G154" s="5">
        <f t="shared" si="20"/>
        <v>11.583333333333346</v>
      </c>
      <c r="H154" s="4">
        <f t="shared" si="17"/>
        <v>0.99048108540631286</v>
      </c>
      <c r="I154" s="10">
        <f t="shared" si="19"/>
        <v>0.56827334492079495</v>
      </c>
      <c r="J154" s="5">
        <f t="shared" si="18"/>
        <v>4.6905333290385411E-2</v>
      </c>
    </row>
    <row r="155" spans="7:10">
      <c r="G155" s="5">
        <f t="shared" si="20"/>
        <v>11.66666666666668</v>
      </c>
      <c r="H155" s="4">
        <f t="shared" si="17"/>
        <v>0.99036985607616757</v>
      </c>
      <c r="I155" s="10">
        <f t="shared" si="19"/>
        <v>0.5659675231738599</v>
      </c>
      <c r="J155" s="5">
        <f t="shared" si="18"/>
        <v>4.6709764539123393E-2</v>
      </c>
    </row>
    <row r="156" spans="7:10">
      <c r="G156" s="5">
        <f t="shared" si="20"/>
        <v>11.750000000000014</v>
      </c>
      <c r="H156" s="4">
        <f t="shared" si="17"/>
        <v>0.99025772833726022</v>
      </c>
      <c r="I156" s="10">
        <f t="shared" si="19"/>
        <v>0.56367105751229485</v>
      </c>
      <c r="J156" s="5">
        <f t="shared" si="18"/>
        <v>4.6514968411798856E-2</v>
      </c>
    </row>
    <row r="157" spans="7:10">
      <c r="G157" s="5">
        <f t="shared" si="20"/>
        <v>11.833333333333348</v>
      </c>
      <c r="H157" s="4">
        <f t="shared" si="17"/>
        <v>0.99014469358203616</v>
      </c>
      <c r="I157" s="10">
        <f t="shared" si="19"/>
        <v>0.56138390997291665</v>
      </c>
      <c r="J157" s="5">
        <f t="shared" si="18"/>
        <v>4.6320941626834915E-2</v>
      </c>
    </row>
    <row r="158" spans="7:10">
      <c r="G158" s="5">
        <f t="shared" si="20"/>
        <v>11.916666666666682</v>
      </c>
      <c r="H158" s="4">
        <f t="shared" si="17"/>
        <v>0.99003074312222605</v>
      </c>
      <c r="I158" s="10">
        <f t="shared" si="19"/>
        <v>0.55910604274658127</v>
      </c>
      <c r="J158" s="5">
        <f t="shared" si="18"/>
        <v>4.6127680915377077E-2</v>
      </c>
    </row>
    <row r="159" spans="7:10">
      <c r="G159" s="5">
        <f t="shared" si="20"/>
        <v>12.000000000000016</v>
      </c>
      <c r="H159" s="4">
        <f t="shared" si="17"/>
        <v>0.98991586818812227</v>
      </c>
      <c r="I159" s="10">
        <f t="shared" si="19"/>
        <v>0.55683741817755872</v>
      </c>
      <c r="J159" s="5">
        <f t="shared" si="18"/>
        <v>4.5935183021239216E-2</v>
      </c>
    </row>
    <row r="160" spans="7:10">
      <c r="G160" s="5">
        <f t="shared" si="20"/>
        <v>12.08333333333335</v>
      </c>
      <c r="H160" s="4">
        <f t="shared" si="17"/>
        <v>0.98980005992785103</v>
      </c>
      <c r="I160" s="10">
        <f t="shared" si="19"/>
        <v>0.5545779987629107</v>
      </c>
      <c r="J160" s="5">
        <f t="shared" si="18"/>
        <v>4.5743444700849727E-2</v>
      </c>
    </row>
    <row r="161" spans="7:10">
      <c r="G161" s="5">
        <f t="shared" si="20"/>
        <v>12.166666666666684</v>
      </c>
      <c r="H161" s="4">
        <f t="shared" si="17"/>
        <v>0.98968330940663729</v>
      </c>
      <c r="I161" s="10">
        <f t="shared" si="19"/>
        <v>0.55232774715187039</v>
      </c>
      <c r="J161" s="5">
        <f t="shared" si="18"/>
        <v>4.5552462723197955E-2</v>
      </c>
    </row>
    <row r="162" spans="7:10">
      <c r="G162" s="5">
        <f t="shared" si="20"/>
        <v>12.250000000000018</v>
      </c>
      <c r="H162" s="4">
        <f t="shared" si="17"/>
        <v>0.98956560760606482</v>
      </c>
      <c r="I162" s="10">
        <f t="shared" si="19"/>
        <v>0.55008662614522519</v>
      </c>
      <c r="J162" s="5">
        <f t="shared" si="18"/>
        <v>4.5362233869780832E-2</v>
      </c>
    </row>
    <row r="163" spans="7:10">
      <c r="G163" s="5">
        <f t="shared" si="20"/>
        <v>12.333333333333352</v>
      </c>
      <c r="H163" s="4">
        <f t="shared" si="17"/>
        <v>0.98944694542332967</v>
      </c>
      <c r="I163" s="10">
        <f t="shared" si="19"/>
        <v>0.5478545986947021</v>
      </c>
      <c r="J163" s="5">
        <f t="shared" si="18"/>
        <v>4.5172754934549759E-2</v>
      </c>
    </row>
    <row r="164" spans="7:10">
      <c r="G164" s="5">
        <f t="shared" si="20"/>
        <v>12.416666666666686</v>
      </c>
      <c r="H164" s="4">
        <f t="shared" si="17"/>
        <v>0.98932731367048798</v>
      </c>
      <c r="I164" s="10">
        <f t="shared" si="19"/>
        <v>0.54563162790235431</v>
      </c>
      <c r="J164" s="5">
        <f t="shared" si="18"/>
        <v>4.4984022723857625E-2</v>
      </c>
    </row>
    <row r="165" spans="7:10">
      <c r="G165" s="5">
        <f t="shared" si="20"/>
        <v>12.50000000000002</v>
      </c>
      <c r="H165" s="4">
        <f t="shared" si="17"/>
        <v>0.9892067030736984</v>
      </c>
      <c r="I165" s="10">
        <f t="shared" si="19"/>
        <v>0.54341767701995247</v>
      </c>
      <c r="J165" s="5">
        <f t="shared" si="18"/>
        <v>4.4796034056406253E-2</v>
      </c>
    </row>
    <row r="166" spans="7:10">
      <c r="G166" s="5">
        <f t="shared" si="20"/>
        <v>12.583333333333353</v>
      </c>
      <c r="H166" s="4">
        <f t="shared" si="17"/>
        <v>0.98908510427245744</v>
      </c>
      <c r="I166" s="10">
        <f t="shared" si="19"/>
        <v>0.54121270944837596</v>
      </c>
      <c r="J166" s="5">
        <f t="shared" si="18"/>
        <v>4.4608785763193846E-2</v>
      </c>
    </row>
    <row r="167" spans="7:10">
      <c r="G167" s="5">
        <f t="shared" si="20"/>
        <v>12.666666666666687</v>
      </c>
      <c r="H167" s="4">
        <f t="shared" si="17"/>
        <v>0.98896250781882955</v>
      </c>
      <c r="I167" s="10">
        <f t="shared" si="19"/>
        <v>0.53901668873700914</v>
      </c>
      <c r="J167" s="5">
        <f t="shared" si="18"/>
        <v>4.4422274687462841E-2</v>
      </c>
    </row>
    <row r="168" spans="7:10">
      <c r="G168" s="5">
        <f t="shared" si="20"/>
        <v>12.750000000000021</v>
      </c>
      <c r="H168" s="4">
        <f t="shared" si="17"/>
        <v>0.98883890417667109</v>
      </c>
      <c r="I168" s="10">
        <f t="shared" si="19"/>
        <v>0.53682957858313773</v>
      </c>
      <c r="J168" s="5">
        <f t="shared" si="18"/>
        <v>4.4236497684647831E-2</v>
      </c>
    </row>
    <row r="169" spans="7:10">
      <c r="G169" s="5">
        <f t="shared" si="20"/>
        <v>12.833333333333355</v>
      </c>
      <c r="H169" s="4">
        <f t="shared" ref="H169:H232" si="21">H168*(B$9^(1/12))*B$8^((B$5^(B$7+G168))*((B$5^(1/12)-1)))</f>
        <v>0.98871428372084791</v>
      </c>
      <c r="I169" s="10">
        <f t="shared" si="19"/>
        <v>0.53465134283134907</v>
      </c>
      <c r="J169" s="5">
        <f t="shared" si="18"/>
        <v>4.4051451622323899E-2</v>
      </c>
    </row>
    <row r="170" spans="7:10">
      <c r="G170" s="5">
        <f t="shared" si="20"/>
        <v>12.916666666666689</v>
      </c>
      <c r="H170" s="4">
        <f t="shared" si="21"/>
        <v>0.98858863673644726</v>
      </c>
      <c r="I170" s="10">
        <f t="shared" si="19"/>
        <v>0.53248194547293437</v>
      </c>
      <c r="J170" s="5">
        <f t="shared" si="18"/>
        <v>4.3867133380154959E-2</v>
      </c>
    </row>
    <row r="171" spans="7:10">
      <c r="G171" s="5">
        <f t="shared" si="20"/>
        <v>13.000000000000023</v>
      </c>
      <c r="H171" s="4">
        <f t="shared" si="21"/>
        <v>0.98846195341798293</v>
      </c>
      <c r="I171" s="10">
        <f t="shared" si="19"/>
        <v>0.53032135064529384</v>
      </c>
      <c r="J171" s="5">
        <f t="shared" si="18"/>
        <v>4.3683539849842523E-2</v>
      </c>
    </row>
    <row r="172" spans="7:10">
      <c r="G172" s="5">
        <f t="shared" si="20"/>
        <v>13.083333333333357</v>
      </c>
      <c r="H172" s="4">
        <f t="shared" si="21"/>
        <v>0.98833422386859515</v>
      </c>
      <c r="I172" s="10">
        <f t="shared" si="19"/>
        <v>0.52816952263134331</v>
      </c>
      <c r="J172" s="5">
        <f t="shared" si="18"/>
        <v>4.3500667935074594E-2</v>
      </c>
    </row>
    <row r="173" spans="7:10">
      <c r="G173" s="5">
        <f t="shared" si="20"/>
        <v>13.166666666666691</v>
      </c>
      <c r="H173" s="4">
        <f t="shared" si="21"/>
        <v>0.98820543809924322</v>
      </c>
      <c r="I173" s="10">
        <f t="shared" si="19"/>
        <v>0.52602642585892401</v>
      </c>
      <c r="J173" s="5">
        <f t="shared" si="18"/>
        <v>4.3318514551474757E-2</v>
      </c>
    </row>
    <row r="174" spans="7:10">
      <c r="G174" s="5">
        <f t="shared" si="20"/>
        <v>13.250000000000025</v>
      </c>
      <c r="H174" s="4">
        <f t="shared" si="21"/>
        <v>0.98807558602789292</v>
      </c>
      <c r="I174" s="10">
        <f t="shared" si="19"/>
        <v>0.52389202490021425</v>
      </c>
      <c r="J174" s="5">
        <f t="shared" si="18"/>
        <v>4.3137076626551557E-2</v>
      </c>
    </row>
    <row r="175" spans="7:10">
      <c r="G175" s="5">
        <f t="shared" si="20"/>
        <v>13.333333333333359</v>
      </c>
      <c r="H175" s="4">
        <f t="shared" si="21"/>
        <v>0.98794465747869675</v>
      </c>
      <c r="I175" s="10">
        <f t="shared" si="19"/>
        <v>0.52176628447114459</v>
      </c>
      <c r="J175" s="5">
        <f t="shared" si="18"/>
        <v>4.2956351099648099E-2</v>
      </c>
    </row>
    <row r="176" spans="7:10">
      <c r="G176" s="5">
        <f t="shared" si="20"/>
        <v>13.416666666666693</v>
      </c>
      <c r="H176" s="4">
        <f t="shared" si="21"/>
        <v>0.98781264218116871</v>
      </c>
      <c r="I176" s="10">
        <f t="shared" si="19"/>
        <v>0.51964916943081341</v>
      </c>
      <c r="J176" s="5">
        <f t="shared" si="18"/>
        <v>4.2776334921891805E-2</v>
      </c>
    </row>
    <row r="177" spans="7:10">
      <c r="G177" s="5">
        <f t="shared" si="20"/>
        <v>13.500000000000027</v>
      </c>
      <c r="H177" s="4">
        <f t="shared" si="21"/>
        <v>0.98767952976935214</v>
      </c>
      <c r="I177" s="10">
        <f t="shared" si="19"/>
        <v>0.51754064478090689</v>
      </c>
      <c r="J177" s="5">
        <f t="shared" si="18"/>
        <v>4.2597025056144454E-2</v>
      </c>
    </row>
    <row r="178" spans="7:10">
      <c r="G178" s="5">
        <f t="shared" si="20"/>
        <v>13.583333333333361</v>
      </c>
      <c r="H178" s="4">
        <f t="shared" si="21"/>
        <v>0.98754530978098132</v>
      </c>
      <c r="I178" s="10">
        <f t="shared" si="19"/>
        <v>0.51544067566511986</v>
      </c>
      <c r="J178" s="5">
        <f t="shared" si="18"/>
        <v>4.2418418476952428E-2</v>
      </c>
    </row>
    <row r="179" spans="7:10">
      <c r="G179" s="5">
        <f t="shared" si="20"/>
        <v>13.666666666666694</v>
      </c>
      <c r="H179" s="4">
        <f t="shared" si="21"/>
        <v>0.98740997165663735</v>
      </c>
      <c r="I179" s="10">
        <f t="shared" si="19"/>
        <v>0.51334922736858002</v>
      </c>
      <c r="J179" s="5">
        <f t="shared" si="18"/>
        <v>4.2240512170497187E-2</v>
      </c>
    </row>
    <row r="180" spans="7:10">
      <c r="G180" s="5">
        <f t="shared" si="20"/>
        <v>13.750000000000028</v>
      </c>
      <c r="H180" s="4">
        <f t="shared" si="21"/>
        <v>0.98727350473889663</v>
      </c>
      <c r="I180" s="10">
        <f t="shared" si="19"/>
        <v>0.51126626531727382</v>
      </c>
      <c r="J180" s="5">
        <f t="shared" si="18"/>
        <v>4.2063303134545961E-2</v>
      </c>
    </row>
    <row r="181" spans="7:10">
      <c r="G181" s="5">
        <f t="shared" si="20"/>
        <v>13.833333333333362</v>
      </c>
      <c r="H181" s="4">
        <f t="shared" si="21"/>
        <v>0.98713589827147352</v>
      </c>
      <c r="I181" s="10">
        <f t="shared" si="19"/>
        <v>0.50919175507747505</v>
      </c>
      <c r="J181" s="5">
        <f t="shared" si="18"/>
        <v>4.1886788378402623E-2</v>
      </c>
    </row>
    <row r="182" spans="7:10">
      <c r="G182" s="5">
        <f t="shared" si="20"/>
        <v>13.916666666666696</v>
      </c>
      <c r="H182" s="4">
        <f t="shared" si="21"/>
        <v>0.98699714139835659</v>
      </c>
      <c r="I182" s="10">
        <f t="shared" si="19"/>
        <v>0.50712566235517542</v>
      </c>
      <c r="J182" s="5">
        <f t="shared" si="18"/>
        <v>4.1710964922858862E-2</v>
      </c>
    </row>
    <row r="183" spans="7:10">
      <c r="G183" s="5">
        <f t="shared" si="20"/>
        <v>14.00000000000003</v>
      </c>
      <c r="H183" s="4">
        <f t="shared" si="21"/>
        <v>0.98685722316293822</v>
      </c>
      <c r="I183" s="10">
        <f t="shared" si="19"/>
        <v>0.50506795299551777</v>
      </c>
      <c r="J183" s="5">
        <f t="shared" si="18"/>
        <v>4.1535829800145509E-2</v>
      </c>
    </row>
    <row r="184" spans="7:10">
      <c r="G184" s="5">
        <f t="shared" si="20"/>
        <v>14.083333333333364</v>
      </c>
      <c r="H184" s="4">
        <f t="shared" si="21"/>
        <v>0.9867161325071373</v>
      </c>
      <c r="I184" s="10">
        <f t="shared" si="19"/>
        <v>0.5030185929822315</v>
      </c>
      <c r="J184" s="5">
        <f t="shared" si="18"/>
        <v>4.1361380053884109E-2</v>
      </c>
    </row>
    <row r="185" spans="7:10">
      <c r="G185" s="5">
        <f t="shared" si="20"/>
        <v>14.166666666666698</v>
      </c>
      <c r="H185" s="4">
        <f t="shared" si="21"/>
        <v>0.98657385827051647</v>
      </c>
      <c r="I185" s="10">
        <f t="shared" si="19"/>
        <v>0.50097754843707021</v>
      </c>
      <c r="J185" s="5">
        <f t="shared" si="18"/>
        <v>4.1187612739038738E-2</v>
      </c>
    </row>
    <row r="186" spans="7:10">
      <c r="G186" s="5">
        <f t="shared" si="20"/>
        <v>14.250000000000032</v>
      </c>
      <c r="H186" s="4">
        <f t="shared" si="21"/>
        <v>0.9864303891893913</v>
      </c>
      <c r="I186" s="10">
        <f t="shared" si="19"/>
        <v>0.49894478561925149</v>
      </c>
      <c r="J186" s="5">
        <f t="shared" si="18"/>
        <v>4.1014524921867974E-2</v>
      </c>
    </row>
    <row r="187" spans="7:10">
      <c r="G187" s="5">
        <f t="shared" si="20"/>
        <v>14.333333333333366</v>
      </c>
      <c r="H187" s="4">
        <f t="shared" si="21"/>
        <v>0.98628571389593478</v>
      </c>
      <c r="I187" s="10">
        <f t="shared" si="19"/>
        <v>0.49692027092489943</v>
      </c>
      <c r="J187" s="5">
        <f t="shared" si="18"/>
        <v>4.0842113679877147E-2</v>
      </c>
    </row>
    <row r="188" spans="7:10">
      <c r="G188" s="5">
        <f t="shared" si="20"/>
        <v>14.4166666666667</v>
      </c>
      <c r="H188" s="4">
        <f t="shared" si="21"/>
        <v>0.98613982091727326</v>
      </c>
      <c r="I188" s="10">
        <f t="shared" si="19"/>
        <v>0.4949039708864888</v>
      </c>
      <c r="J188" s="5">
        <f t="shared" si="18"/>
        <v>4.0670376101770787E-2</v>
      </c>
    </row>
    <row r="189" spans="7:10">
      <c r="G189" s="5">
        <f t="shared" si="20"/>
        <v>14.500000000000034</v>
      </c>
      <c r="H189" s="4">
        <f t="shared" si="21"/>
        <v>0.98599269867457706</v>
      </c>
      <c r="I189" s="10">
        <f t="shared" si="19"/>
        <v>0.49289585217229204</v>
      </c>
      <c r="J189" s="5">
        <f t="shared" si="18"/>
        <v>4.0499309287405298E-2</v>
      </c>
    </row>
    <row r="190" spans="7:10">
      <c r="G190" s="5">
        <f t="shared" si="20"/>
        <v>14.583333333333368</v>
      </c>
      <c r="H190" s="4">
        <f t="shared" si="21"/>
        <v>0.98584433548214367</v>
      </c>
      <c r="I190" s="10">
        <f t="shared" si="19"/>
        <v>0.49089588158582814</v>
      </c>
      <c r="J190" s="5">
        <f t="shared" si="18"/>
        <v>4.0328910347741824E-2</v>
      </c>
    </row>
    <row r="191" spans="7:10">
      <c r="G191" s="5">
        <f t="shared" si="20"/>
        <v>14.666666666666702</v>
      </c>
      <c r="H191" s="4">
        <f t="shared" si="21"/>
        <v>0.98569471954647547</v>
      </c>
      <c r="I191" s="10">
        <f t="shared" si="19"/>
        <v>0.48890402606531402</v>
      </c>
      <c r="J191" s="5">
        <f t="shared" si="18"/>
        <v>4.0159176404799372E-2</v>
      </c>
    </row>
    <row r="192" spans="7:10">
      <c r="G192" s="5">
        <f t="shared" si="20"/>
        <v>14.750000000000036</v>
      </c>
      <c r="H192" s="4">
        <f t="shared" si="21"/>
        <v>0.98554383896534892</v>
      </c>
      <c r="I192" s="10">
        <f t="shared" si="19"/>
        <v>0.48692025268311767</v>
      </c>
      <c r="J192" s="5">
        <f t="shared" si="18"/>
        <v>3.9990104591608129E-2</v>
      </c>
    </row>
    <row r="193" spans="7:10">
      <c r="G193" s="5">
        <f t="shared" si="20"/>
        <v>14.833333333333369</v>
      </c>
      <c r="H193" s="4">
        <f t="shared" si="21"/>
        <v>0.98539168172687874</v>
      </c>
      <c r="I193" s="10">
        <f t="shared" si="19"/>
        <v>0.48494452864521409</v>
      </c>
      <c r="J193" s="5">
        <f t="shared" si="18"/>
        <v>3.9821692052163002E-2</v>
      </c>
    </row>
    <row r="194" spans="7:10">
      <c r="G194" s="5">
        <f t="shared" si="20"/>
        <v>14.916666666666703</v>
      </c>
      <c r="H194" s="4">
        <f t="shared" si="21"/>
        <v>0.98523823570857427</v>
      </c>
      <c r="I194" s="10">
        <f t="shared" si="19"/>
        <v>0.48297682129064301</v>
      </c>
      <c r="J194" s="5">
        <f t="shared" si="18"/>
        <v>3.9653935941377373E-2</v>
      </c>
    </row>
    <row r="195" spans="7:10">
      <c r="G195" s="5">
        <f t="shared" si="20"/>
        <v>15.000000000000037</v>
      </c>
      <c r="H195" s="4">
        <f t="shared" si="21"/>
        <v>0.98508348867638929</v>
      </c>
      <c r="I195" s="10">
        <f t="shared" si="19"/>
        <v>0.48101709809096915</v>
      </c>
      <c r="J195" s="5">
        <f t="shared" si="18"/>
        <v>3.9486833425037067E-2</v>
      </c>
    </row>
    <row r="196" spans="7:10">
      <c r="G196" s="5">
        <f t="shared" si="20"/>
        <v>15.083333333333371</v>
      </c>
      <c r="H196" s="4">
        <f t="shared" si="21"/>
        <v>0.98492742828376589</v>
      </c>
      <c r="I196" s="10">
        <f t="shared" si="19"/>
        <v>0.47906532664974416</v>
      </c>
      <c r="J196" s="5">
        <f t="shared" si="18"/>
        <v>3.9320381679754567E-2</v>
      </c>
    </row>
    <row r="197" spans="7:10">
      <c r="G197" s="5">
        <f t="shared" si="20"/>
        <v>15.166666666666705</v>
      </c>
      <c r="H197" s="4">
        <f t="shared" si="21"/>
        <v>0.9847700420706702</v>
      </c>
      <c r="I197" s="10">
        <f t="shared" si="19"/>
        <v>0.47712147470197147</v>
      </c>
      <c r="J197" s="5">
        <f t="shared" si="18"/>
        <v>3.9154577892923391E-2</v>
      </c>
    </row>
    <row r="198" spans="7:10">
      <c r="G198" s="5">
        <f t="shared" si="20"/>
        <v>15.250000000000039</v>
      </c>
      <c r="H198" s="4">
        <f t="shared" si="21"/>
        <v>0.98461131746262254</v>
      </c>
      <c r="I198" s="10">
        <f t="shared" si="19"/>
        <v>0.47518551011357274</v>
      </c>
      <c r="J198" s="5">
        <f t="shared" si="18"/>
        <v>3.8989419262672763E-2</v>
      </c>
    </row>
    <row r="199" spans="7:10">
      <c r="G199" s="5">
        <f t="shared" si="20"/>
        <v>15.333333333333373</v>
      </c>
      <c r="H199" s="4">
        <f t="shared" si="21"/>
        <v>0.98445124176971943</v>
      </c>
      <c r="I199" s="10">
        <f t="shared" si="19"/>
        <v>0.47325740088085638</v>
      </c>
      <c r="J199" s="5">
        <f t="shared" si="18"/>
        <v>3.8824902997822416E-2</v>
      </c>
    </row>
    <row r="200" spans="7:10">
      <c r="G200" s="5">
        <f t="shared" si="20"/>
        <v>15.416666666666707</v>
      </c>
      <c r="H200" s="4">
        <f t="shared" si="21"/>
        <v>0.98428980218565032</v>
      </c>
      <c r="I200" s="10">
        <f t="shared" si="19"/>
        <v>0.4713371151299891</v>
      </c>
      <c r="J200" s="5">
        <f t="shared" si="18"/>
        <v>3.8661026317837674E-2</v>
      </c>
    </row>
    <row r="201" spans="7:10">
      <c r="G201" s="5">
        <f t="shared" si="20"/>
        <v>15.500000000000041</v>
      </c>
      <c r="H201" s="4">
        <f t="shared" si="21"/>
        <v>0.98412698578670599</v>
      </c>
      <c r="I201" s="10">
        <f t="shared" si="19"/>
        <v>0.46942462111646838</v>
      </c>
      <c r="J201" s="5">
        <f t="shared" si="18"/>
        <v>3.8497786452784712E-2</v>
      </c>
    </row>
    <row r="202" spans="7:10">
      <c r="G202" s="5">
        <f t="shared" si="20"/>
        <v>15.583333333333375</v>
      </c>
      <c r="H202" s="4">
        <f t="shared" si="21"/>
        <v>0.98396277953078126</v>
      </c>
      <c r="I202" s="10">
        <f t="shared" si="19"/>
        <v>0.46751988722459814</v>
      </c>
      <c r="J202" s="5">
        <f t="shared" si="18"/>
        <v>3.8335180643286081E-2</v>
      </c>
    </row>
    <row r="203" spans="7:10">
      <c r="G203" s="5">
        <f t="shared" si="20"/>
        <v>15.666666666666709</v>
      </c>
      <c r="H203" s="4">
        <f t="shared" si="21"/>
        <v>0.98379717025636981</v>
      </c>
      <c r="I203" s="10">
        <f t="shared" si="19"/>
        <v>0.46562288196696566</v>
      </c>
      <c r="J203" s="5">
        <f t="shared" si="18"/>
        <v>3.8173206140476375E-2</v>
      </c>
    </row>
    <row r="204" spans="7:10">
      <c r="G204" s="5">
        <f t="shared" si="20"/>
        <v>15.750000000000043</v>
      </c>
      <c r="H204" s="4">
        <f t="shared" si="21"/>
        <v>0.98363014468155274</v>
      </c>
      <c r="I204" s="10">
        <f t="shared" si="19"/>
        <v>0.46373357398392145</v>
      </c>
      <c r="J204" s="5">
        <f t="shared" si="18"/>
        <v>3.8011860205958183E-2</v>
      </c>
    </row>
    <row r="205" spans="7:10">
      <c r="G205" s="5">
        <f t="shared" si="20"/>
        <v>15.833333333333377</v>
      </c>
      <c r="H205" s="4">
        <f t="shared" si="21"/>
        <v>0.98346168940297995</v>
      </c>
      <c r="I205" s="10">
        <f t="shared" si="19"/>
        <v>0.46185193204306085</v>
      </c>
      <c r="J205" s="5">
        <f t="shared" si="18"/>
        <v>3.785114011175824E-2</v>
      </c>
    </row>
    <row r="206" spans="7:10">
      <c r="G206" s="5">
        <f t="shared" si="20"/>
        <v>15.91666666666671</v>
      </c>
      <c r="H206" s="4">
        <f t="shared" si="21"/>
        <v>0.98329179089484475</v>
      </c>
      <c r="I206" s="10">
        <f t="shared" si="19"/>
        <v>0.45997792503870744</v>
      </c>
      <c r="J206" s="5">
        <f t="shared" si="18"/>
        <v>3.7691043140283771E-2</v>
      </c>
    </row>
    <row r="207" spans="7:10">
      <c r="G207" s="5">
        <f t="shared" si="20"/>
        <v>16.000000000000043</v>
      </c>
      <c r="H207" s="4">
        <f t="shared" si="21"/>
        <v>0.98312043550785144</v>
      </c>
      <c r="I207" s="10">
        <f t="shared" si="19"/>
        <v>0.45811152199139898</v>
      </c>
      <c r="J207" s="5">
        <f t="shared" ref="J207:J254" si="22">H207*I207/12</f>
        <v>3.7531566584279065E-2</v>
      </c>
    </row>
    <row r="208" spans="7:10">
      <c r="G208" s="5">
        <f t="shared" si="20"/>
        <v>16.083333333333375</v>
      </c>
      <c r="H208" s="4">
        <f t="shared" si="21"/>
        <v>0.98294760946817572</v>
      </c>
      <c r="I208" s="10">
        <f t="shared" ref="I208:I254" si="23">(1+B$6)^-G208</f>
        <v>0.45625269204737529</v>
      </c>
      <c r="J208" s="5">
        <f t="shared" si="22"/>
        <v>3.7372707746782273E-2</v>
      </c>
    </row>
    <row r="209" spans="7:10">
      <c r="G209" s="5">
        <f t="shared" ref="G209:G254" si="24">G208+1/12</f>
        <v>16.166666666666707</v>
      </c>
      <c r="H209" s="4">
        <f t="shared" si="21"/>
        <v>0.98277329887641884</v>
      </c>
      <c r="I209" s="10">
        <f t="shared" si="23"/>
        <v>0.45440140447806804</v>
      </c>
      <c r="J209" s="5">
        <f t="shared" si="22"/>
        <v>3.7214463941082403E-2</v>
      </c>
    </row>
    <row r="210" spans="7:10">
      <c r="G210" s="5">
        <f t="shared" si="24"/>
        <v>16.250000000000039</v>
      </c>
      <c r="H210" s="4">
        <f t="shared" si="21"/>
        <v>0.98259748970655347</v>
      </c>
      <c r="I210" s="10">
        <f t="shared" si="23"/>
        <v>0.45255762867959298</v>
      </c>
      <c r="J210" s="5">
        <f t="shared" si="22"/>
        <v>3.7056832490676553E-2</v>
      </c>
    </row>
    <row r="211" spans="7:10">
      <c r="G211" s="5">
        <f t="shared" si="24"/>
        <v>16.333333333333371</v>
      </c>
      <c r="H211" s="4">
        <f t="shared" si="21"/>
        <v>0.98242016780486441</v>
      </c>
      <c r="I211" s="10">
        <f t="shared" si="23"/>
        <v>0.45072133417224419</v>
      </c>
      <c r="J211" s="5">
        <f t="shared" si="22"/>
        <v>3.6899810729227371E-2</v>
      </c>
    </row>
    <row r="212" spans="7:10">
      <c r="G212" s="5">
        <f t="shared" si="24"/>
        <v>16.416666666666703</v>
      </c>
      <c r="H212" s="4">
        <f t="shared" si="21"/>
        <v>0.98224131888888022</v>
      </c>
      <c r="I212" s="10">
        <f t="shared" si="23"/>
        <v>0.4488924905999897</v>
      </c>
      <c r="J212" s="5">
        <f t="shared" si="22"/>
        <v>3.6743396000520678E-2</v>
      </c>
    </row>
    <row r="213" spans="7:10">
      <c r="G213" s="5">
        <f t="shared" si="24"/>
        <v>16.500000000000036</v>
      </c>
      <c r="H213" s="4">
        <f t="shared" si="21"/>
        <v>0.9820609285463</v>
      </c>
      <c r="I213" s="10">
        <f t="shared" si="23"/>
        <v>0.44707106772997002</v>
      </c>
      <c r="J213" s="5">
        <f t="shared" si="22"/>
        <v>3.6587585658423342E-2</v>
      </c>
    </row>
    <row r="214" spans="7:10">
      <c r="G214" s="5">
        <f t="shared" si="24"/>
        <v>16.583333333333368</v>
      </c>
      <c r="H214" s="4">
        <f t="shared" si="21"/>
        <v>0.98187898223391168</v>
      </c>
      <c r="I214" s="10">
        <f t="shared" si="23"/>
        <v>0.44525703545199835</v>
      </c>
      <c r="J214" s="5">
        <f t="shared" si="22"/>
        <v>3.6432377066841402E-2</v>
      </c>
    </row>
    <row r="215" spans="7:10">
      <c r="G215" s="5">
        <f t="shared" si="24"/>
        <v>16.6666666666667</v>
      </c>
      <c r="H215" s="4">
        <f t="shared" si="21"/>
        <v>0.98169546527650353</v>
      </c>
      <c r="I215" s="10">
        <f t="shared" si="23"/>
        <v>0.44345036377806263</v>
      </c>
      <c r="J215" s="5">
        <f t="shared" si="22"/>
        <v>3.627776759967833E-2</v>
      </c>
    </row>
    <row r="216" spans="7:10">
      <c r="G216" s="5">
        <f t="shared" si="24"/>
        <v>16.750000000000032</v>
      </c>
      <c r="H216" s="4">
        <f t="shared" si="21"/>
        <v>0.98151036286576965</v>
      </c>
      <c r="I216" s="10">
        <f t="shared" si="23"/>
        <v>0.44165102284183022</v>
      </c>
      <c r="J216" s="5">
        <f t="shared" si="22"/>
        <v>3.6123754640793593E-2</v>
      </c>
    </row>
    <row r="217" spans="7:10">
      <c r="G217" s="5">
        <f t="shared" si="24"/>
        <v>16.833333333333364</v>
      </c>
      <c r="H217" s="4">
        <f t="shared" si="21"/>
        <v>0.98132366005920679</v>
      </c>
      <c r="I217" s="10">
        <f t="shared" si="23"/>
        <v>0.43985898289815345</v>
      </c>
      <c r="J217" s="5">
        <f t="shared" si="22"/>
        <v>3.5970335583961337E-2</v>
      </c>
    </row>
    <row r="218" spans="7:10">
      <c r="G218" s="5">
        <f t="shared" si="24"/>
        <v>16.916666666666696</v>
      </c>
      <c r="H218" s="4">
        <f t="shared" si="21"/>
        <v>0.98113534177900619</v>
      </c>
      <c r="I218" s="10">
        <f t="shared" si="23"/>
        <v>0.43807421432257887</v>
      </c>
      <c r="J218" s="5">
        <f t="shared" si="22"/>
        <v>3.5817507832829422E-2</v>
      </c>
    </row>
    <row r="219" spans="7:10">
      <c r="G219" s="5">
        <f t="shared" si="24"/>
        <v>17.000000000000028</v>
      </c>
      <c r="H219" s="4">
        <f t="shared" si="21"/>
        <v>0.98094539281093618</v>
      </c>
      <c r="I219" s="10">
        <f t="shared" si="23"/>
        <v>0.43629668761085655</v>
      </c>
      <c r="J219" s="5">
        <f t="shared" si="22"/>
        <v>3.5665268800878495E-2</v>
      </c>
    </row>
    <row r="220" spans="7:10">
      <c r="G220" s="5">
        <f t="shared" si="24"/>
        <v>17.083333333333361</v>
      </c>
      <c r="H220" s="4">
        <f t="shared" si="21"/>
        <v>0.98075379780322036</v>
      </c>
      <c r="I220" s="10">
        <f t="shared" si="23"/>
        <v>0.4345263733784529</v>
      </c>
      <c r="J220" s="5">
        <f t="shared" si="22"/>
        <v>3.5513615911381489E-2</v>
      </c>
    </row>
    <row r="221" spans="7:10">
      <c r="G221" s="5">
        <f t="shared" si="24"/>
        <v>17.166666666666693</v>
      </c>
      <c r="H221" s="4">
        <f t="shared" si="21"/>
        <v>0.98056054126540626</v>
      </c>
      <c r="I221" s="10">
        <f t="shared" si="23"/>
        <v>0.43276324236006503</v>
      </c>
      <c r="J221" s="5">
        <f t="shared" si="22"/>
        <v>3.5362546597363133E-2</v>
      </c>
    </row>
    <row r="222" spans="7:10">
      <c r="G222" s="5">
        <f t="shared" si="24"/>
        <v>17.250000000000025</v>
      </c>
      <c r="H222" s="4">
        <f t="shared" si="21"/>
        <v>0.98036560756722901</v>
      </c>
      <c r="I222" s="10">
        <f t="shared" si="23"/>
        <v>0.43100726540913642</v>
      </c>
      <c r="J222" s="5">
        <f t="shared" si="22"/>
        <v>3.521205830155983E-2</v>
      </c>
    </row>
    <row r="223" spans="7:10">
      <c r="G223" s="5">
        <f t="shared" si="24"/>
        <v>17.333333333333357</v>
      </c>
      <c r="H223" s="4">
        <f t="shared" si="21"/>
        <v>0.98016898093746652</v>
      </c>
      <c r="I223" s="10">
        <f t="shared" si="23"/>
        <v>0.42925841349737576</v>
      </c>
      <c r="J223" s="5">
        <f t="shared" si="22"/>
        <v>3.5062148476379701E-2</v>
      </c>
    </row>
    <row r="224" spans="7:10">
      <c r="G224" s="5">
        <f t="shared" si="24"/>
        <v>17.416666666666689</v>
      </c>
      <c r="H224" s="4">
        <f t="shared" si="21"/>
        <v>0.979970645462789</v>
      </c>
      <c r="I224" s="10">
        <f t="shared" si="23"/>
        <v>0.42751665771427616</v>
      </c>
      <c r="J224" s="5">
        <f t="shared" si="22"/>
        <v>3.4912814583862785E-2</v>
      </c>
    </row>
    <row r="225" spans="7:10">
      <c r="G225" s="5">
        <f t="shared" si="24"/>
        <v>17.500000000000021</v>
      </c>
      <c r="H225" s="4">
        <f t="shared" si="21"/>
        <v>0.97977058508660053</v>
      </c>
      <c r="I225" s="10">
        <f t="shared" si="23"/>
        <v>0.42578196926663842</v>
      </c>
      <c r="J225" s="5">
        <f t="shared" si="22"/>
        <v>3.4764054095641608E-2</v>
      </c>
    </row>
    <row r="226" spans="7:10">
      <c r="G226" s="5">
        <f t="shared" si="24"/>
        <v>17.583333333333353</v>
      </c>
      <c r="H226" s="4">
        <f t="shared" si="21"/>
        <v>0.97956878360787458</v>
      </c>
      <c r="I226" s="10">
        <f t="shared" si="23"/>
        <v>0.42405431947809386</v>
      </c>
      <c r="J226" s="5">
        <f t="shared" si="22"/>
        <v>3.4615864492901785E-2</v>
      </c>
    </row>
    <row r="227" spans="7:10">
      <c r="G227" s="5">
        <f t="shared" si="24"/>
        <v>17.666666666666686</v>
      </c>
      <c r="H227" s="4">
        <f t="shared" si="21"/>
        <v>0.97936522467998177</v>
      </c>
      <c r="I227" s="10">
        <f t="shared" si="23"/>
        <v>0.42233367978863134</v>
      </c>
      <c r="J227" s="5">
        <f t="shared" si="22"/>
        <v>3.4468243266343034E-2</v>
      </c>
    </row>
    <row r="228" spans="7:10">
      <c r="G228" s="5">
        <f t="shared" si="24"/>
        <v>17.750000000000018</v>
      </c>
      <c r="H228" s="4">
        <f t="shared" si="21"/>
        <v>0.97915989180951113</v>
      </c>
      <c r="I228" s="10">
        <f t="shared" si="23"/>
        <v>0.42062002175412427</v>
      </c>
      <c r="J228" s="5">
        <f t="shared" si="22"/>
        <v>3.4321187916140215E-2</v>
      </c>
    </row>
    <row r="229" spans="7:10">
      <c r="G229" s="5">
        <f t="shared" si="24"/>
        <v>17.83333333333335</v>
      </c>
      <c r="H229" s="4">
        <f t="shared" si="21"/>
        <v>0.97895276835508438</v>
      </c>
      <c r="I229" s="10">
        <f t="shared" si="23"/>
        <v>0.41891331704586077</v>
      </c>
      <c r="J229" s="5">
        <f t="shared" si="22"/>
        <v>3.4174695951904713E-2</v>
      </c>
    </row>
    <row r="230" spans="7:10">
      <c r="G230" s="5">
        <f t="shared" si="24"/>
        <v>17.916666666666682</v>
      </c>
      <c r="H230" s="4">
        <f t="shared" si="21"/>
        <v>0.97874383752616378</v>
      </c>
      <c r="I230" s="10">
        <f t="shared" si="23"/>
        <v>0.41721353745007539</v>
      </c>
      <c r="J230" s="5">
        <f t="shared" si="22"/>
        <v>3.402876489264605E-2</v>
      </c>
    </row>
    <row r="231" spans="7:10">
      <c r="G231" s="5">
        <f t="shared" si="24"/>
        <v>18.000000000000014</v>
      </c>
      <c r="H231" s="4">
        <f t="shared" si="21"/>
        <v>0.97853308238185244</v>
      </c>
      <c r="I231" s="10">
        <f t="shared" si="23"/>
        <v>0.41552065486748269</v>
      </c>
      <c r="J231" s="5">
        <f t="shared" si="22"/>
        <v>3.388339226673364E-2</v>
      </c>
    </row>
    <row r="232" spans="7:10">
      <c r="G232" s="5">
        <f t="shared" si="24"/>
        <v>18.083333333333346</v>
      </c>
      <c r="H232" s="4">
        <f t="shared" si="21"/>
        <v>0.978320485829688</v>
      </c>
      <c r="I232" s="10">
        <f t="shared" si="23"/>
        <v>0.41383464131281261</v>
      </c>
      <c r="J232" s="5">
        <f t="shared" si="22"/>
        <v>3.3738575611858793E-2</v>
      </c>
    </row>
    <row r="233" spans="7:10">
      <c r="G233" s="5">
        <f t="shared" si="24"/>
        <v>18.166666666666679</v>
      </c>
      <c r="H233" s="4">
        <f t="shared" ref="H233:H254" si="25">H232*(B$9^(1/12))*B$8^((B$5^(B$7+G232))*((B$5^(1/12)-1)))</f>
        <v>0.97810603062443013</v>
      </c>
      <c r="I233" s="10">
        <f t="shared" si="23"/>
        <v>0.4121554689143479</v>
      </c>
      <c r="J233" s="5">
        <f t="shared" si="22"/>
        <v>3.359431247499696E-2</v>
      </c>
    </row>
    <row r="234" spans="7:10">
      <c r="G234" s="5">
        <f t="shared" si="24"/>
        <v>18.250000000000011</v>
      </c>
      <c r="H234" s="4">
        <f t="shared" si="25"/>
        <v>0.97788969936684045</v>
      </c>
      <c r="I234" s="10">
        <f t="shared" si="23"/>
        <v>0.41048310991346365</v>
      </c>
      <c r="J234" s="5">
        <f t="shared" si="22"/>
        <v>3.3450600412370225E-2</v>
      </c>
    </row>
    <row r="235" spans="7:10">
      <c r="G235" s="5">
        <f t="shared" si="24"/>
        <v>18.333333333333343</v>
      </c>
      <c r="H235" s="4">
        <f t="shared" si="25"/>
        <v>0.97767147450245573</v>
      </c>
      <c r="I235" s="10">
        <f t="shared" si="23"/>
        <v>0.4088175366641677</v>
      </c>
      <c r="J235" s="5">
        <f t="shared" si="22"/>
        <v>3.3307436989409883E-2</v>
      </c>
    </row>
    <row r="236" spans="7:10">
      <c r="G236" s="5">
        <f t="shared" si="24"/>
        <v>18.416666666666675</v>
      </c>
      <c r="H236" s="4">
        <f t="shared" si="25"/>
        <v>0.97745133832035513</v>
      </c>
      <c r="I236" s="10">
        <f t="shared" si="23"/>
        <v>0.40715872163264427</v>
      </c>
      <c r="J236" s="5">
        <f t="shared" si="22"/>
        <v>3.3164819780719425E-2</v>
      </c>
    </row>
    <row r="237" spans="7:10">
      <c r="G237" s="5">
        <f t="shared" si="24"/>
        <v>18.500000000000007</v>
      </c>
      <c r="H237" s="4">
        <f t="shared" si="25"/>
        <v>0.97722927295192008</v>
      </c>
      <c r="I237" s="10">
        <f t="shared" si="23"/>
        <v>0.40550663739679865</v>
      </c>
      <c r="J237" s="5">
        <f t="shared" si="22"/>
        <v>3.3022746370037617E-2</v>
      </c>
    </row>
    <row r="238" spans="7:10">
      <c r="G238" s="5">
        <f t="shared" si="24"/>
        <v>18.583333333333339</v>
      </c>
      <c r="H238" s="4">
        <f t="shared" si="25"/>
        <v>0.9770052603695879</v>
      </c>
      <c r="I238" s="10">
        <f t="shared" si="23"/>
        <v>0.40386125664580397</v>
      </c>
      <c r="J238" s="5">
        <f t="shared" si="22"/>
        <v>3.2881214350201887E-2</v>
      </c>
    </row>
    <row r="239" spans="7:10">
      <c r="G239" s="5">
        <f t="shared" si="24"/>
        <v>18.666666666666671</v>
      </c>
      <c r="H239" s="4">
        <f t="shared" si="25"/>
        <v>0.9767792823855983</v>
      </c>
      <c r="I239" s="10">
        <f t="shared" si="23"/>
        <v>0.40222255217964914</v>
      </c>
      <c r="J239" s="5">
        <f t="shared" si="22"/>
        <v>3.2740221323111794E-2</v>
      </c>
    </row>
    <row r="240" spans="7:10">
      <c r="G240" s="5">
        <f t="shared" si="24"/>
        <v>18.750000000000004</v>
      </c>
      <c r="H240" s="4">
        <f t="shared" si="25"/>
        <v>0.97655132065073391</v>
      </c>
      <c r="I240" s="10">
        <f t="shared" si="23"/>
        <v>0.40059049690868997</v>
      </c>
      <c r="J240" s="5">
        <f t="shared" si="22"/>
        <v>3.2599764899692914E-2</v>
      </c>
    </row>
    <row r="241" spans="7:10">
      <c r="G241" s="5">
        <f t="shared" si="24"/>
        <v>18.833333333333336</v>
      </c>
      <c r="H241" s="4">
        <f t="shared" si="25"/>
        <v>0.97632135665305375</v>
      </c>
      <c r="I241" s="10">
        <f t="shared" si="23"/>
        <v>0.39896506385320096</v>
      </c>
      <c r="J241" s="5">
        <f t="shared" si="22"/>
        <v>3.2459842699860783E-2</v>
      </c>
    </row>
    <row r="242" spans="7:10">
      <c r="G242" s="5">
        <f t="shared" si="24"/>
        <v>18.916666666666668</v>
      </c>
      <c r="H242" s="4">
        <f t="shared" si="25"/>
        <v>0.97608937171662058</v>
      </c>
      <c r="I242" s="10">
        <f t="shared" si="23"/>
        <v>0.39734622614292914</v>
      </c>
      <c r="J242" s="5">
        <f t="shared" si="22"/>
        <v>3.2320452352485159E-2</v>
      </c>
    </row>
    <row r="243" spans="7:10">
      <c r="G243" s="5">
        <f t="shared" si="24"/>
        <v>19</v>
      </c>
      <c r="H243" s="4">
        <f t="shared" si="25"/>
        <v>0.97585534700022192</v>
      </c>
      <c r="I243" s="10">
        <f t="shared" si="23"/>
        <v>0.39573395701665059</v>
      </c>
      <c r="J243" s="5">
        <f t="shared" si="22"/>
        <v>3.2181591495354538E-2</v>
      </c>
    </row>
    <row r="244" spans="7:10">
      <c r="G244" s="5">
        <f t="shared" si="24"/>
        <v>19.083333333333332</v>
      </c>
      <c r="H244" s="4">
        <f t="shared" si="25"/>
        <v>0.97561926349608419</v>
      </c>
      <c r="I244" s="10">
        <f t="shared" si="23"/>
        <v>0.39412822982172652</v>
      </c>
      <c r="J244" s="5">
        <f t="shared" si="22"/>
        <v>3.2043257775140686E-2</v>
      </c>
    </row>
    <row r="245" spans="7:10">
      <c r="G245" s="5">
        <f t="shared" si="24"/>
        <v>19.166666666666664</v>
      </c>
      <c r="H245" s="4">
        <f t="shared" si="25"/>
        <v>0.97538110202858075</v>
      </c>
      <c r="I245" s="10">
        <f t="shared" si="23"/>
        <v>0.39252901801366491</v>
      </c>
      <c r="J245" s="5">
        <f t="shared" si="22"/>
        <v>3.1905448847363758E-2</v>
      </c>
    </row>
    <row r="246" spans="7:10">
      <c r="G246" s="5">
        <f t="shared" si="24"/>
        <v>19.249999999999996</v>
      </c>
      <c r="H246" s="4">
        <f t="shared" si="25"/>
        <v>0.9751408432529336</v>
      </c>
      <c r="I246" s="10">
        <f t="shared" si="23"/>
        <v>0.3909362951556799</v>
      </c>
      <c r="J246" s="5">
        <f t="shared" si="22"/>
        <v>3.1768162376357288E-2</v>
      </c>
    </row>
    <row r="247" spans="7:10">
      <c r="G247" s="5">
        <f t="shared" si="24"/>
        <v>19.333333333333329</v>
      </c>
      <c r="H247" s="4">
        <f t="shared" si="25"/>
        <v>0.97489846765390886</v>
      </c>
      <c r="I247" s="10">
        <f t="shared" si="23"/>
        <v>0.38935003491825515</v>
      </c>
      <c r="J247" s="5">
        <f t="shared" si="22"/>
        <v>3.1631396035233572E-2</v>
      </c>
    </row>
    <row r="248" spans="7:10">
      <c r="G248" s="5">
        <f t="shared" si="24"/>
        <v>19.416666666666661</v>
      </c>
      <c r="H248" s="4">
        <f t="shared" si="25"/>
        <v>0.9746539555445064</v>
      </c>
      <c r="I248" s="10">
        <f t="shared" si="23"/>
        <v>0.38777021107870907</v>
      </c>
      <c r="J248" s="5">
        <f t="shared" si="22"/>
        <v>3.1495147505849329E-2</v>
      </c>
    </row>
    <row r="249" spans="7:10">
      <c r="G249" s="5">
        <f t="shared" si="24"/>
        <v>19.499999999999993</v>
      </c>
      <c r="H249" s="4">
        <f t="shared" si="25"/>
        <v>0.97440728706464275</v>
      </c>
      <c r="I249" s="10">
        <f t="shared" si="23"/>
        <v>0.38619679752076091</v>
      </c>
      <c r="J249" s="5">
        <f t="shared" si="22"/>
        <v>3.1359414478771483E-2</v>
      </c>
    </row>
    <row r="250" spans="7:10">
      <c r="G250" s="5">
        <f t="shared" si="24"/>
        <v>19.583333333333325</v>
      </c>
      <c r="H250" s="4">
        <f t="shared" si="25"/>
        <v>0.9741584421798285</v>
      </c>
      <c r="I250" s="10">
        <f t="shared" si="23"/>
        <v>0.38462976823409933</v>
      </c>
      <c r="J250" s="5">
        <f t="shared" si="22"/>
        <v>3.1224194653243224E-2</v>
      </c>
    </row>
    <row r="251" spans="7:10">
      <c r="G251" s="5">
        <f t="shared" si="24"/>
        <v>19.666666666666657</v>
      </c>
      <c r="H251" s="4">
        <f t="shared" si="25"/>
        <v>0.97390740067983894</v>
      </c>
      <c r="I251" s="10">
        <f t="shared" si="23"/>
        <v>0.38306909731395183</v>
      </c>
      <c r="J251" s="5">
        <f t="shared" si="22"/>
        <v>3.1089485737150258E-2</v>
      </c>
    </row>
    <row r="252" spans="7:10">
      <c r="G252" s="5">
        <f t="shared" si="24"/>
        <v>19.749999999999989</v>
      </c>
      <c r="H252" s="4">
        <f t="shared" si="25"/>
        <v>0.97365414217737989</v>
      </c>
      <c r="I252" s="10">
        <f t="shared" si="23"/>
        <v>0.38151475896065734</v>
      </c>
      <c r="J252" s="5">
        <f t="shared" si="22"/>
        <v>3.0955285446987391E-2</v>
      </c>
    </row>
    <row r="253" spans="7:10">
      <c r="G253" s="5">
        <f t="shared" si="24"/>
        <v>19.833333333333321</v>
      </c>
      <c r="H253" s="4">
        <f t="shared" si="25"/>
        <v>0.97339864610674687</v>
      </c>
      <c r="I253" s="10">
        <f t="shared" si="23"/>
        <v>0.37996672747923921</v>
      </c>
      <c r="J253" s="5">
        <f t="shared" si="22"/>
        <v>3.0821591507825225E-2</v>
      </c>
    </row>
    <row r="254" spans="7:10">
      <c r="G254" s="5">
        <f t="shared" si="24"/>
        <v>19.916666666666654</v>
      </c>
      <c r="H254" s="4">
        <f t="shared" si="25"/>
        <v>0.97314089172247842</v>
      </c>
      <c r="I254" s="10">
        <f t="shared" si="23"/>
        <v>0.37842497727898039</v>
      </c>
      <c r="J254" s="5">
        <f t="shared" si="22"/>
        <v>3.0688401653277134E-2</v>
      </c>
    </row>
    <row r="255" spans="7:10">
      <c r="J255" s="13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6"/>
  <sheetViews>
    <sheetView zoomScale="125" zoomScaleNormal="125" zoomScalePageLayoutView="125" workbookViewId="0"/>
  </sheetViews>
  <sheetFormatPr baseColWidth="10" defaultRowHeight="12" x14ac:dyDescent="0"/>
  <cols>
    <col min="6" max="6" width="11.33203125" customWidth="1"/>
  </cols>
  <sheetData>
    <row r="1" spans="1:10" ht="15">
      <c r="A1" s="70" t="s">
        <v>749</v>
      </c>
      <c r="E1" s="10"/>
      <c r="F1" s="3"/>
      <c r="H1" s="19"/>
      <c r="I1" s="5"/>
    </row>
    <row r="2" spans="1:10">
      <c r="E2" s="10"/>
      <c r="F2" s="3"/>
      <c r="H2" s="19"/>
      <c r="I2" s="5"/>
    </row>
    <row r="3" spans="1:10">
      <c r="A3" s="52" t="s">
        <v>9</v>
      </c>
      <c r="B3" s="51">
        <v>1E-4</v>
      </c>
      <c r="E3" s="10"/>
      <c r="F3" s="3"/>
      <c r="H3" s="19"/>
      <c r="I3" s="5"/>
    </row>
    <row r="4" spans="1:10">
      <c r="A4" s="52" t="s">
        <v>10</v>
      </c>
      <c r="B4" s="51">
        <v>3.5E-4</v>
      </c>
      <c r="E4" s="10"/>
      <c r="F4" s="3"/>
      <c r="H4" s="19"/>
      <c r="I4" s="5"/>
    </row>
    <row r="5" spans="1:10">
      <c r="A5" s="52" t="s">
        <v>24</v>
      </c>
      <c r="B5" s="51">
        <v>1.075</v>
      </c>
      <c r="E5" s="10"/>
      <c r="F5" s="12"/>
      <c r="H5" s="19"/>
      <c r="I5" s="5"/>
    </row>
    <row r="6" spans="1:10">
      <c r="A6" s="52" t="s">
        <v>74</v>
      </c>
      <c r="B6" s="61">
        <v>0.06</v>
      </c>
      <c r="E6" s="10"/>
      <c r="F6" s="12"/>
      <c r="H6" s="19"/>
      <c r="I6" s="5"/>
    </row>
    <row r="7" spans="1:10">
      <c r="A7" s="52" t="s">
        <v>82</v>
      </c>
      <c r="B7" s="51">
        <v>40</v>
      </c>
      <c r="E7" s="10"/>
      <c r="F7" s="12"/>
      <c r="H7" s="19"/>
      <c r="I7" s="5"/>
    </row>
    <row r="8" spans="1:10">
      <c r="A8" s="9" t="s">
        <v>25</v>
      </c>
      <c r="B8" s="18">
        <f>EXP(-B4/LN(B5))</f>
        <v>0.99517213429186457</v>
      </c>
      <c r="E8" s="10"/>
      <c r="F8" s="12"/>
      <c r="H8" s="19"/>
      <c r="I8" s="5"/>
    </row>
    <row r="9" spans="1:10">
      <c r="A9" s="9" t="s">
        <v>27</v>
      </c>
      <c r="B9" s="18">
        <f>EXP(-B3)</f>
        <v>0.99990000499983334</v>
      </c>
      <c r="E9" s="10"/>
      <c r="F9" s="3"/>
      <c r="H9" s="19"/>
      <c r="I9" s="5"/>
    </row>
    <row r="10" spans="1:10">
      <c r="E10" s="10"/>
      <c r="F10" s="3"/>
      <c r="H10" s="19"/>
      <c r="I10" s="5"/>
    </row>
    <row r="11" spans="1:10">
      <c r="E11" s="10"/>
      <c r="F11" s="3"/>
      <c r="H11" s="19"/>
      <c r="I11" s="5"/>
    </row>
    <row r="12" spans="1:10">
      <c r="E12" s="10"/>
      <c r="F12" s="3" t="s">
        <v>91</v>
      </c>
      <c r="H12" s="19" t="s">
        <v>92</v>
      </c>
      <c r="I12" s="5" t="s">
        <v>75</v>
      </c>
      <c r="J12" s="3" t="s">
        <v>89</v>
      </c>
    </row>
    <row r="13" spans="1:10">
      <c r="A13" s="3" t="s">
        <v>0</v>
      </c>
      <c r="B13" s="7" t="s">
        <v>84</v>
      </c>
      <c r="C13" s="3" t="s">
        <v>103</v>
      </c>
      <c r="D13" s="3" t="s">
        <v>104</v>
      </c>
      <c r="E13" s="26" t="s">
        <v>105</v>
      </c>
      <c r="F13" s="3" t="s">
        <v>106</v>
      </c>
      <c r="G13" s="3" t="s">
        <v>85</v>
      </c>
      <c r="H13" s="19" t="s">
        <v>86</v>
      </c>
      <c r="I13" s="5" t="s">
        <v>86</v>
      </c>
      <c r="J13" s="3" t="s">
        <v>86</v>
      </c>
    </row>
    <row r="14" spans="1:10">
      <c r="A14" s="3">
        <v>0</v>
      </c>
      <c r="B14" s="10">
        <f t="shared" ref="B14:B45" si="0">(B$9^A14)*B$8^((B$5^B$7)*((B$5^A14)-1))</f>
        <v>1</v>
      </c>
      <c r="C14" s="10">
        <f>B15/B14</f>
        <v>0.99337259883849993</v>
      </c>
      <c r="D14" s="10">
        <f>1-(0.75*(1-C14))</f>
        <v>0.99502944912887492</v>
      </c>
      <c r="E14" s="10">
        <f>B14</f>
        <v>1</v>
      </c>
      <c r="F14" s="3">
        <v>100000</v>
      </c>
      <c r="G14" s="10">
        <f>(1+B$6)^-A14</f>
        <v>1</v>
      </c>
      <c r="H14" s="12">
        <f>F14*(E14-E15)*G15</f>
        <v>468.91989350236594</v>
      </c>
      <c r="I14" s="5">
        <f>G14*E14</f>
        <v>1</v>
      </c>
      <c r="J14" s="5">
        <f>I14*(1.03^A14)*10</f>
        <v>10</v>
      </c>
    </row>
    <row r="15" spans="1:10">
      <c r="A15" s="3">
        <v>1</v>
      </c>
      <c r="B15" s="10">
        <f t="shared" si="0"/>
        <v>0.99337259883849993</v>
      </c>
      <c r="C15" s="10">
        <f>B16/B15</f>
        <v>0.99288476461257136</v>
      </c>
      <c r="D15" s="10">
        <f>1-(0.9*(1-C15))</f>
        <v>0.99359628815131418</v>
      </c>
      <c r="E15" s="10">
        <f>E14*D14</f>
        <v>0.99502944912887492</v>
      </c>
      <c r="F15" s="3">
        <v>100000</v>
      </c>
      <c r="G15" s="10">
        <f t="shared" ref="G15:G78" si="1">(1+B$6)^-A15</f>
        <v>0.94339622641509424</v>
      </c>
      <c r="H15" s="12">
        <f t="shared" ref="H15:H78" si="2">F15*(E15-E16)*G16</f>
        <v>567.09521833196345</v>
      </c>
      <c r="I15" s="5">
        <f t="shared" ref="I15:I33" si="3">G15*E15</f>
        <v>0.93870702748007062</v>
      </c>
      <c r="J15" s="5">
        <f t="shared" ref="J15:J33" si="4">I15*(1.03^A15)*10</f>
        <v>9.668682383044727</v>
      </c>
    </row>
    <row r="16" spans="1:10">
      <c r="A16" s="3">
        <v>2</v>
      </c>
      <c r="B16" s="10">
        <f t="shared" si="0"/>
        <v>0.98630451897034233</v>
      </c>
      <c r="C16" s="10">
        <f t="shared" ref="C16:C79" si="5">B17/B16</f>
        <v>0.99236061001178621</v>
      </c>
      <c r="D16" s="8"/>
      <c r="E16" s="10">
        <f>E15*D15</f>
        <v>0.98865756725569698</v>
      </c>
      <c r="F16" s="3">
        <v>100000</v>
      </c>
      <c r="G16" s="10">
        <f t="shared" si="1"/>
        <v>0.88999644001423983</v>
      </c>
      <c r="H16" s="12">
        <f t="shared" si="2"/>
        <v>634.1426749149407</v>
      </c>
      <c r="I16" s="5">
        <f t="shared" si="3"/>
        <v>0.87990171525070915</v>
      </c>
      <c r="J16" s="5">
        <f t="shared" si="4"/>
        <v>9.3348772970947724</v>
      </c>
    </row>
    <row r="17" spans="1:10">
      <c r="A17" s="3">
        <v>3</v>
      </c>
      <c r="B17" s="10">
        <f t="shared" si="0"/>
        <v>0.97876975410279032</v>
      </c>
      <c r="C17" s="10">
        <f t="shared" si="5"/>
        <v>0.99179745242651085</v>
      </c>
      <c r="D17" s="8"/>
      <c r="E17" s="10">
        <f>E16*C16</f>
        <v>0.98110482653463205</v>
      </c>
      <c r="F17" s="3">
        <v>100000</v>
      </c>
      <c r="G17" s="10">
        <f t="shared" si="1"/>
        <v>0.8396192830323016</v>
      </c>
      <c r="H17" s="12">
        <f t="shared" si="2"/>
        <v>637.44204997057159</v>
      </c>
      <c r="I17" s="5">
        <f t="shared" si="3"/>
        <v>0.82375453103453844</v>
      </c>
      <c r="J17" s="5">
        <f t="shared" si="4"/>
        <v>9.0013881743377802</v>
      </c>
    </row>
    <row r="18" spans="1:10">
      <c r="A18" s="3">
        <v>4</v>
      </c>
      <c r="B18" s="10">
        <f t="shared" si="0"/>
        <v>0.97074134863126993</v>
      </c>
      <c r="C18" s="10">
        <f t="shared" si="5"/>
        <v>0.99119241445768724</v>
      </c>
      <c r="D18" s="8"/>
      <c r="E18" s="10">
        <f t="shared" ref="E18:E81" si="6">E17*C17</f>
        <v>0.97305726752040189</v>
      </c>
      <c r="F18" s="3">
        <v>100000</v>
      </c>
      <c r="G18" s="10">
        <f t="shared" si="1"/>
        <v>0.79209366323802044</v>
      </c>
      <c r="H18" s="12">
        <f t="shared" si="2"/>
        <v>640.42156006501773</v>
      </c>
      <c r="I18" s="5">
        <f t="shared" si="3"/>
        <v>0.77075249557061354</v>
      </c>
      <c r="J18" s="5">
        <f t="shared" si="4"/>
        <v>8.6748872409421143</v>
      </c>
    </row>
    <row r="19" spans="1:10">
      <c r="A19" s="3">
        <v>5</v>
      </c>
      <c r="B19" s="10">
        <f t="shared" si="0"/>
        <v>0.96219146116373999</v>
      </c>
      <c r="C19" s="10">
        <f t="shared" si="5"/>
        <v>0.99054241029508427</v>
      </c>
      <c r="D19" s="8"/>
      <c r="E19" s="10">
        <f t="shared" si="6"/>
        <v>0.96448698239914687</v>
      </c>
      <c r="F19" s="3">
        <v>100000</v>
      </c>
      <c r="G19" s="10">
        <f t="shared" si="1"/>
        <v>0.74725817286605689</v>
      </c>
      <c r="H19" s="12">
        <f t="shared" si="2"/>
        <v>643.04541803150641</v>
      </c>
      <c r="I19" s="5">
        <f t="shared" si="3"/>
        <v>0.72072078022068331</v>
      </c>
      <c r="J19" s="5">
        <f t="shared" si="4"/>
        <v>8.3551291531910632</v>
      </c>
    </row>
    <row r="20" spans="1:10">
      <c r="A20" s="3">
        <v>6</v>
      </c>
      <c r="B20" s="10">
        <f t="shared" si="0"/>
        <v>0.95309144910648003</v>
      </c>
      <c r="C20" s="10">
        <f t="shared" si="5"/>
        <v>0.98984413122529635</v>
      </c>
      <c r="D20" s="8"/>
      <c r="E20" s="10">
        <f t="shared" si="6"/>
        <v>0.95536526024388346</v>
      </c>
      <c r="F20" s="3">
        <v>100000</v>
      </c>
      <c r="G20" s="10">
        <f t="shared" si="1"/>
        <v>0.70496054043967626</v>
      </c>
      <c r="H20" s="12">
        <f t="shared" si="2"/>
        <v>645.27593515283695</v>
      </c>
      <c r="I20" s="5">
        <f t="shared" si="3"/>
        <v>0.67349481017882007</v>
      </c>
      <c r="J20" s="5">
        <f t="shared" si="4"/>
        <v>8.0418802479438298</v>
      </c>
    </row>
    <row r="21" spans="1:10">
      <c r="A21" s="3">
        <v>7</v>
      </c>
      <c r="B21" s="10">
        <f t="shared" si="0"/>
        <v>0.94341197741906246</v>
      </c>
      <c r="C21" s="10">
        <f t="shared" si="5"/>
        <v>0.98909403022722686</v>
      </c>
      <c r="D21" s="8"/>
      <c r="E21" s="10">
        <f t="shared" si="6"/>
        <v>0.94566269602893593</v>
      </c>
      <c r="F21" s="3">
        <v>100000</v>
      </c>
      <c r="G21" s="10">
        <f t="shared" si="1"/>
        <v>0.66505711362233599</v>
      </c>
      <c r="H21" s="12">
        <f t="shared" si="2"/>
        <v>647.0735161609748</v>
      </c>
      <c r="I21" s="5">
        <f t="shared" si="3"/>
        <v>0.62891970308132061</v>
      </c>
      <c r="J21" s="5">
        <f t="shared" si="4"/>
        <v>7.7349190627048525</v>
      </c>
    </row>
    <row r="22" spans="1:10">
      <c r="A22" s="3">
        <v>8</v>
      </c>
      <c r="B22" s="10">
        <f t="shared" si="0"/>
        <v>0.93312315491005804</v>
      </c>
      <c r="C22" s="10">
        <f t="shared" si="5"/>
        <v>0.98828830561307301</v>
      </c>
      <c r="D22" s="8"/>
      <c r="E22" s="10">
        <f t="shared" si="6"/>
        <v>0.93534932725080522</v>
      </c>
      <c r="F22" s="3">
        <v>100000</v>
      </c>
      <c r="G22" s="10">
        <f t="shared" si="1"/>
        <v>0.62741237134182648</v>
      </c>
      <c r="H22" s="12">
        <f t="shared" si="2"/>
        <v>648.39667918952637</v>
      </c>
      <c r="I22" s="5">
        <f t="shared" si="3"/>
        <v>0.58684973944340979</v>
      </c>
      <c r="J22" s="5">
        <f t="shared" si="4"/>
        <v>7.4340369219702938</v>
      </c>
    </row>
    <row r="23" spans="1:10">
      <c r="A23" s="3">
        <v>9</v>
      </c>
      <c r="B23" s="10">
        <f t="shared" si="0"/>
        <v>0.92219470169438633</v>
      </c>
      <c r="C23" s="10">
        <f t="shared" si="5"/>
        <v>0.98742288367363007</v>
      </c>
      <c r="D23" s="8"/>
      <c r="E23" s="10">
        <f t="shared" si="6"/>
        <v>0.92439480178502598</v>
      </c>
      <c r="F23" s="3">
        <v>100000</v>
      </c>
      <c r="G23" s="10">
        <f t="shared" si="1"/>
        <v>0.59189846353002495</v>
      </c>
      <c r="H23" s="12">
        <f t="shared" si="2"/>
        <v>649.20210557189171</v>
      </c>
      <c r="I23" s="5">
        <f t="shared" si="3"/>
        <v>0.54714786287169881</v>
      </c>
      <c r="J23" s="5">
        <f t="shared" si="4"/>
        <v>7.1390385906447325</v>
      </c>
    </row>
    <row r="24" spans="1:10">
      <c r="A24" s="3">
        <v>10</v>
      </c>
      <c r="B24" s="10">
        <f t="shared" si="0"/>
        <v>0.91059615165561403</v>
      </c>
      <c r="C24" s="10">
        <f t="shared" si="5"/>
        <v>0.98649340028817756</v>
      </c>
      <c r="D24" s="8"/>
      <c r="E24" s="10">
        <f t="shared" si="6"/>
        <v>0.91276858083148404</v>
      </c>
      <c r="F24" s="3">
        <v>100000</v>
      </c>
      <c r="G24" s="10">
        <f t="shared" si="1"/>
        <v>0.55839477691511785</v>
      </c>
      <c r="H24" s="12">
        <f t="shared" si="2"/>
        <v>649.44472494514321</v>
      </c>
      <c r="I24" s="5">
        <f t="shared" si="3"/>
        <v>0.50968520806852524</v>
      </c>
      <c r="J24" s="5">
        <f t="shared" si="4"/>
        <v>6.8497429943270784</v>
      </c>
    </row>
    <row r="25" spans="1:10">
      <c r="A25" s="3">
        <v>11</v>
      </c>
      <c r="B25" s="10">
        <f t="shared" si="0"/>
        <v>0.89829709393607571</v>
      </c>
      <c r="C25" s="10">
        <f t="shared" si="5"/>
        <v>0.98549518146141657</v>
      </c>
      <c r="D25" s="8"/>
      <c r="E25" s="10">
        <f t="shared" si="6"/>
        <v>0.90044018098066492</v>
      </c>
      <c r="F25" s="3">
        <v>100000</v>
      </c>
      <c r="G25" s="10">
        <f t="shared" si="1"/>
        <v>0.52678752539162055</v>
      </c>
      <c r="H25" s="12">
        <f t="shared" si="2"/>
        <v>649.07784169105321</v>
      </c>
      <c r="I25" s="5">
        <f t="shared" si="3"/>
        <v>0.47434065470198744</v>
      </c>
      <c r="J25" s="5">
        <f t="shared" si="4"/>
        <v>6.5659840050009972</v>
      </c>
    </row>
    <row r="26" spans="1:10">
      <c r="A26" s="3">
        <v>12</v>
      </c>
      <c r="B26" s="10">
        <f t="shared" si="0"/>
        <v>0.88526745759479608</v>
      </c>
      <c r="C26" s="10">
        <f t="shared" si="5"/>
        <v>0.98442322275303162</v>
      </c>
      <c r="D26" s="8"/>
      <c r="E26" s="10">
        <f t="shared" si="6"/>
        <v>0.8873794595506912</v>
      </c>
      <c r="F26" s="3">
        <v>100000</v>
      </c>
      <c r="G26" s="10">
        <f t="shared" si="1"/>
        <v>0.4969693635770005</v>
      </c>
      <c r="H26" s="12">
        <f t="shared" si="2"/>
        <v>648.05330930409355</v>
      </c>
      <c r="I26" s="5">
        <f t="shared" si="3"/>
        <v>0.44100040526420964</v>
      </c>
      <c r="J26" s="5">
        <f t="shared" si="4"/>
        <v>6.2876112890902371</v>
      </c>
    </row>
    <row r="27" spans="1:10">
      <c r="A27" s="3">
        <v>13</v>
      </c>
      <c r="B27" s="10">
        <f t="shared" si="0"/>
        <v>0.87147784360385194</v>
      </c>
      <c r="C27" s="10">
        <f t="shared" si="5"/>
        <v>0.9832721675696765</v>
      </c>
      <c r="D27" s="8"/>
      <c r="E27" s="10">
        <f t="shared" si="6"/>
        <v>0.87355694737573486</v>
      </c>
      <c r="F27" s="3">
        <v>100000</v>
      </c>
      <c r="G27" s="10">
        <f t="shared" si="1"/>
        <v>0.46883902224245327</v>
      </c>
      <c r="H27" s="12">
        <f t="shared" si="2"/>
        <v>646.32175979232068</v>
      </c>
      <c r="I27" s="5">
        <f t="shared" si="3"/>
        <v>0.40955758508074175</v>
      </c>
      <c r="J27" s="5">
        <f t="shared" si="4"/>
        <v>6.0144912129087649</v>
      </c>
    </row>
    <row r="28" spans="1:10">
      <c r="A28" s="3">
        <v>14</v>
      </c>
      <c r="B28" s="10">
        <f t="shared" si="0"/>
        <v>0.85689990826930706</v>
      </c>
      <c r="C28" s="10">
        <f t="shared" si="5"/>
        <v>0.98203628429463719</v>
      </c>
      <c r="D28" s="8"/>
      <c r="E28" s="10">
        <f t="shared" si="6"/>
        <v>0.85894423314168866</v>
      </c>
      <c r="F28" s="3">
        <v>100000</v>
      </c>
      <c r="G28" s="10">
        <f t="shared" si="1"/>
        <v>0.44230096437967292</v>
      </c>
      <c r="H28" s="12">
        <f t="shared" si="2"/>
        <v>643.83289566448184</v>
      </c>
      <c r="I28" s="5">
        <f t="shared" si="3"/>
        <v>0.3799118626669275</v>
      </c>
      <c r="J28" s="5">
        <f t="shared" si="4"/>
        <v>5.7465077982056059</v>
      </c>
    </row>
    <row r="29" spans="1:10">
      <c r="A29" s="3">
        <v>15</v>
      </c>
      <c r="B29" s="10">
        <f t="shared" si="0"/>
        <v>0.84150680192920579</v>
      </c>
      <c r="C29" s="10">
        <f t="shared" si="5"/>
        <v>0.98070944223742618</v>
      </c>
      <c r="D29" s="8"/>
      <c r="E29" s="10">
        <f t="shared" si="6"/>
        <v>0.84351440313077053</v>
      </c>
      <c r="F29" s="3">
        <v>100000</v>
      </c>
      <c r="G29" s="10">
        <f t="shared" si="1"/>
        <v>0.41726506073554037</v>
      </c>
      <c r="H29" s="12">
        <f t="shared" si="2"/>
        <v>640.53585238811161</v>
      </c>
      <c r="I29" s="5">
        <f t="shared" si="3"/>
        <v>0.35196908865366405</v>
      </c>
      <c r="J29" s="5">
        <f t="shared" si="4"/>
        <v>5.4835637177307444</v>
      </c>
    </row>
    <row r="30" spans="1:10">
      <c r="A30" s="3">
        <v>16</v>
      </c>
      <c r="B30" s="10">
        <f t="shared" si="0"/>
        <v>0.82527366635899169</v>
      </c>
      <c r="C30" s="10">
        <f t="shared" si="5"/>
        <v>0.9792850863943019</v>
      </c>
      <c r="D30" s="8"/>
      <c r="E30" s="10">
        <f t="shared" si="6"/>
        <v>0.8272425398136134</v>
      </c>
      <c r="F30" s="3">
        <v>100000</v>
      </c>
      <c r="G30" s="10">
        <f t="shared" si="1"/>
        <v>0.39364628371277405</v>
      </c>
      <c r="H30" s="12">
        <f t="shared" si="2"/>
        <v>636.37963937300492</v>
      </c>
      <c r="I30" s="5">
        <f t="shared" si="3"/>
        <v>0.32564095152674544</v>
      </c>
      <c r="J30" s="5">
        <f t="shared" si="4"/>
        <v>5.2255813174922441</v>
      </c>
    </row>
    <row r="31" spans="1:10">
      <c r="A31" s="3">
        <v>17</v>
      </c>
      <c r="B31" s="10">
        <f t="shared" si="0"/>
        <v>0.80817819365930743</v>
      </c>
      <c r="C31" s="10">
        <f t="shared" si="5"/>
        <v>0.97775621102149768</v>
      </c>
      <c r="D31" s="8"/>
      <c r="E31" s="10">
        <f t="shared" si="6"/>
        <v>0.81010628207041613</v>
      </c>
      <c r="F31" s="3">
        <v>100000</v>
      </c>
      <c r="G31" s="10">
        <f t="shared" si="1"/>
        <v>0.37136441859695657</v>
      </c>
      <c r="H31" s="12">
        <f t="shared" si="2"/>
        <v>631.3136674786648</v>
      </c>
      <c r="I31" s="5">
        <f t="shared" si="3"/>
        <v>0.30084464844282216</v>
      </c>
      <c r="J31" s="5">
        <f t="shared" si="4"/>
        <v>4.9725036486034586</v>
      </c>
    </row>
    <row r="32" spans="1:10">
      <c r="A32" s="3">
        <v>18</v>
      </c>
      <c r="B32" s="10">
        <f t="shared" si="0"/>
        <v>0.7902012484625226</v>
      </c>
      <c r="C32" s="10">
        <f t="shared" si="5"/>
        <v>0.97611533203613154</v>
      </c>
      <c r="D32" s="8"/>
      <c r="E32" s="10">
        <f t="shared" si="6"/>
        <v>0.79208644888188273</v>
      </c>
      <c r="F32" s="3">
        <v>100000</v>
      </c>
      <c r="G32" s="10">
        <f t="shared" si="1"/>
        <v>0.35034379112920433</v>
      </c>
      <c r="H32" s="12">
        <f t="shared" si="2"/>
        <v>625.2883706905028</v>
      </c>
      <c r="I32" s="5">
        <f t="shared" si="3"/>
        <v>0.2775025694033475</v>
      </c>
      <c r="J32" s="5">
        <f t="shared" si="4"/>
        <v>4.724295487312796</v>
      </c>
    </row>
    <row r="33" spans="1:10">
      <c r="A33" s="3">
        <v>19</v>
      </c>
      <c r="B33" s="10">
        <f t="shared" si="0"/>
        <v>0.77132755401836095</v>
      </c>
      <c r="C33" s="10">
        <f t="shared" si="5"/>
        <v>0.974354458275699</v>
      </c>
      <c r="D33" s="8"/>
      <c r="E33" s="10">
        <f t="shared" si="6"/>
        <v>0.77316772705165926</v>
      </c>
      <c r="F33" s="3">
        <v>100000</v>
      </c>
      <c r="G33" s="10">
        <f t="shared" si="1"/>
        <v>0.3305130104992493</v>
      </c>
      <c r="H33" s="12">
        <f t="shared" si="2"/>
        <v>618.25592887428604</v>
      </c>
      <c r="I33" s="5">
        <f t="shared" si="3"/>
        <v>0.25554199308870579</v>
      </c>
      <c r="J33" s="5">
        <f t="shared" si="4"/>
        <v>4.4809443169643215</v>
      </c>
    </row>
    <row r="34" spans="1:10">
      <c r="A34" s="3">
        <v>20</v>
      </c>
      <c r="B34" s="10">
        <f t="shared" si="0"/>
        <v>0.75154644104868007</v>
      </c>
      <c r="C34" s="10">
        <f t="shared" si="5"/>
        <v>0.97246506166615931</v>
      </c>
      <c r="D34" s="8"/>
      <c r="E34" s="10">
        <f t="shared" si="6"/>
        <v>0.753339421847673</v>
      </c>
      <c r="F34" s="3">
        <v>20000</v>
      </c>
      <c r="G34" s="10">
        <f t="shared" si="1"/>
        <v>0.31180472688608429</v>
      </c>
      <c r="H34" s="12">
        <f t="shared" si="2"/>
        <v>122.03421946097804</v>
      </c>
      <c r="I34" s="5"/>
    </row>
    <row r="35" spans="1:10">
      <c r="A35" s="3">
        <v>21</v>
      </c>
      <c r="B35" s="10">
        <f t="shared" si="0"/>
        <v>0.73085265613938721</v>
      </c>
      <c r="C35" s="10">
        <f t="shared" si="5"/>
        <v>0.97043804637140318</v>
      </c>
      <c r="D35" s="8"/>
      <c r="E35" s="10">
        <f t="shared" si="6"/>
        <v>0.73259626732264616</v>
      </c>
      <c r="F35" s="3">
        <v>20000</v>
      </c>
      <c r="G35" s="10">
        <f t="shared" si="1"/>
        <v>0.29415540272272095</v>
      </c>
      <c r="H35" s="12">
        <f t="shared" si="2"/>
        <v>120.19842937354053</v>
      </c>
      <c r="I35" s="5"/>
    </row>
    <row r="36" spans="1:10">
      <c r="A36" s="3">
        <v>22</v>
      </c>
      <c r="B36" s="10">
        <f t="shared" si="0"/>
        <v>0.70924722380925787</v>
      </c>
      <c r="C36" s="10">
        <f t="shared" si="5"/>
        <v>0.96826371702381897</v>
      </c>
      <c r="D36" s="8"/>
      <c r="E36" s="10">
        <f t="shared" si="6"/>
        <v>0.71093929043957094</v>
      </c>
      <c r="F36" s="3">
        <v>20000</v>
      </c>
      <c r="G36" s="10">
        <f t="shared" si="1"/>
        <v>0.27750509690822728</v>
      </c>
      <c r="H36" s="12">
        <f t="shared" si="2"/>
        <v>118.13638326750332</v>
      </c>
      <c r="I36" s="5"/>
    </row>
    <row r="37" spans="1:10">
      <c r="A37" s="3">
        <v>23</v>
      </c>
      <c r="B37" s="10">
        <f t="shared" si="0"/>
        <v>0.68673835321437648</v>
      </c>
      <c r="C37" s="10">
        <f t="shared" si="5"/>
        <v>0.96593174616738753</v>
      </c>
      <c r="D37" s="8"/>
      <c r="E37" s="10">
        <f t="shared" si="6"/>
        <v>0.68837671993929539</v>
      </c>
      <c r="F37" s="3">
        <v>20000</v>
      </c>
      <c r="G37" s="10">
        <f t="shared" si="1"/>
        <v>0.26179726123417668</v>
      </c>
      <c r="H37" s="12">
        <f t="shared" si="2"/>
        <v>115.84179496664815</v>
      </c>
      <c r="I37" s="5"/>
    </row>
    <row r="38" spans="1:10">
      <c r="A38" s="3">
        <v>24</v>
      </c>
      <c r="B38" s="10">
        <f t="shared" si="0"/>
        <v>0.6633423766804788</v>
      </c>
      <c r="C38" s="10">
        <f t="shared" si="5"/>
        <v>0.96343114108185202</v>
      </c>
      <c r="D38" s="8"/>
      <c r="E38" s="10">
        <f t="shared" si="6"/>
        <v>0.66492492711194229</v>
      </c>
      <c r="F38" s="3">
        <v>20000</v>
      </c>
      <c r="G38" s="10">
        <f t="shared" si="1"/>
        <v>0.24697854833412897</v>
      </c>
      <c r="H38" s="12">
        <f t="shared" si="2"/>
        <v>113.3097776634323</v>
      </c>
      <c r="I38" s="5"/>
    </row>
    <row r="39" spans="1:10">
      <c r="A39" s="3">
        <v>25</v>
      </c>
      <c r="B39" s="10">
        <f t="shared" si="0"/>
        <v>0.63908470289322139</v>
      </c>
      <c r="C39" s="10">
        <f t="shared" si="5"/>
        <v>0.96075021019974849</v>
      </c>
      <c r="D39" s="8"/>
      <c r="E39" s="10">
        <f t="shared" si="6"/>
        <v>0.6406093812612258</v>
      </c>
      <c r="F39" s="3">
        <v>20000</v>
      </c>
      <c r="G39" s="10">
        <f t="shared" si="1"/>
        <v>0.23299863050389524</v>
      </c>
      <c r="H39" s="12">
        <f t="shared" si="2"/>
        <v>110.53711575157921</v>
      </c>
      <c r="I39" s="5"/>
    </row>
    <row r="40" spans="1:10">
      <c r="A40" s="3">
        <v>26</v>
      </c>
      <c r="B40" s="10">
        <f t="shared" si="0"/>
        <v>0.61400076264010628</v>
      </c>
      <c r="C40" s="10">
        <f t="shared" si="5"/>
        <v>0.95787652937821044</v>
      </c>
      <c r="D40" s="8"/>
      <c r="E40" s="10">
        <f t="shared" si="6"/>
        <v>0.61546559770265352</v>
      </c>
      <c r="F40" s="3">
        <v>20000</v>
      </c>
      <c r="G40" s="10">
        <f t="shared" si="1"/>
        <v>0.21981002877725966</v>
      </c>
      <c r="H40" s="12">
        <f t="shared" si="2"/>
        <v>107.52255164740936</v>
      </c>
      <c r="I40" s="5"/>
    </row>
    <row r="41" spans="1:10">
      <c r="A41" s="3">
        <v>27</v>
      </c>
      <c r="B41" s="10">
        <f t="shared" si="0"/>
        <v>0.5881369195532794</v>
      </c>
      <c r="C41" s="10">
        <f t="shared" si="5"/>
        <v>0.95479690834534203</v>
      </c>
      <c r="D41" s="8"/>
      <c r="E41" s="10">
        <f t="shared" si="6"/>
        <v>0.58954005067910364</v>
      </c>
      <c r="F41" s="3">
        <v>20000</v>
      </c>
      <c r="G41" s="10">
        <f t="shared" si="1"/>
        <v>0.20736795167666003</v>
      </c>
      <c r="H41" s="12">
        <f t="shared" si="2"/>
        <v>104.26708256520537</v>
      </c>
      <c r="I41" s="5"/>
    </row>
    <row r="42" spans="1:10">
      <c r="A42" s="3">
        <v>28</v>
      </c>
      <c r="B42" s="10">
        <f t="shared" si="0"/>
        <v>0.56155131247322432</v>
      </c>
      <c r="C42" s="10">
        <f t="shared" si="5"/>
        <v>0.95149735770741206</v>
      </c>
      <c r="D42" s="8"/>
      <c r="E42" s="10">
        <f t="shared" si="6"/>
        <v>0.56289101773416439</v>
      </c>
      <c r="F42" s="3">
        <v>20000</v>
      </c>
      <c r="G42" s="10">
        <f t="shared" si="1"/>
        <v>0.1956301430911887</v>
      </c>
      <c r="H42" s="12">
        <f t="shared" si="2"/>
        <v>100.77426050666016</v>
      </c>
      <c r="I42" s="5"/>
    </row>
    <row r="43" spans="1:10">
      <c r="A43" s="3">
        <v>29</v>
      </c>
      <c r="B43" s="10">
        <f t="shared" si="0"/>
        <v>0.53431459003540227</v>
      </c>
      <c r="C43" s="10">
        <f t="shared" si="5"/>
        <v>0.94796305697922867</v>
      </c>
      <c r="D43" s="8"/>
      <c r="E43" s="10">
        <f t="shared" si="6"/>
        <v>0.53558931605129345</v>
      </c>
      <c r="F43" s="3">
        <v>20000</v>
      </c>
      <c r="G43" s="10">
        <f t="shared" si="1"/>
        <v>0.18455673876527234</v>
      </c>
      <c r="H43" s="12">
        <f t="shared" si="2"/>
        <v>97.050486830498372</v>
      </c>
      <c r="I43" s="5"/>
    </row>
    <row r="44" spans="1:10">
      <c r="A44" s="3">
        <v>30</v>
      </c>
      <c r="B44" s="10">
        <f t="shared" si="0"/>
        <v>0.50651049215856325</v>
      </c>
      <c r="C44" s="10">
        <f t="shared" si="5"/>
        <v>0.94417832418661007</v>
      </c>
      <c r="D44" s="8"/>
      <c r="E44" s="10">
        <f t="shared" si="6"/>
        <v>0.50771888532939835</v>
      </c>
      <c r="F44" s="3">
        <v>20000</v>
      </c>
      <c r="G44" s="10">
        <f t="shared" si="1"/>
        <v>0.17411013091063426</v>
      </c>
      <c r="H44" s="12">
        <f t="shared" si="2"/>
        <v>93.105290736082836</v>
      </c>
      <c r="I44" s="5"/>
    </row>
    <row r="45" spans="1:10">
      <c r="A45" s="3">
        <v>31</v>
      </c>
      <c r="B45" s="10">
        <f t="shared" si="0"/>
        <v>0.47823622766920737</v>
      </c>
      <c r="C45" s="10">
        <f t="shared" si="5"/>
        <v>0.94012658768808444</v>
      </c>
      <c r="D45" s="8"/>
      <c r="E45" s="10">
        <f t="shared" si="6"/>
        <v>0.47937716630820498</v>
      </c>
      <c r="F45" s="3">
        <v>20000</v>
      </c>
      <c r="G45" s="10">
        <f t="shared" si="1"/>
        <v>0.16425484048173042</v>
      </c>
      <c r="H45" s="12">
        <f t="shared" si="2"/>
        <v>88.951578903075145</v>
      </c>
      <c r="I45" s="5"/>
    </row>
    <row r="46" spans="1:10">
      <c r="A46" s="3">
        <v>32</v>
      </c>
      <c r="B46" s="10">
        <f t="shared" ref="B46:B77" si="7">(B$9^A46)*B$8^((B$5^B$7)*((B$5^A46)-1))</f>
        <v>0.44960259282747378</v>
      </c>
      <c r="C46" s="10">
        <f t="shared" si="5"/>
        <v>0.9357903609736441</v>
      </c>
      <c r="D46" s="8"/>
      <c r="E46" s="10">
        <f t="shared" si="6"/>
        <v>0.45067521957691609</v>
      </c>
      <c r="F46" s="3">
        <v>20000</v>
      </c>
      <c r="G46" s="10">
        <f t="shared" si="1"/>
        <v>0.15495739668087777</v>
      </c>
      <c r="H46" s="12">
        <f t="shared" si="2"/>
        <v>84.605841493070599</v>
      </c>
      <c r="I46" s="5"/>
    </row>
    <row r="47" spans="1:10">
      <c r="A47" s="3">
        <v>33</v>
      </c>
      <c r="B47" s="10">
        <f t="shared" si="7"/>
        <v>0.42073377263670803</v>
      </c>
      <c r="C47" s="10">
        <f t="shared" si="5"/>
        <v>0.9311512213226274</v>
      </c>
      <c r="D47" s="8"/>
      <c r="E47" s="10">
        <f t="shared" si="6"/>
        <v>0.42173752640975865</v>
      </c>
      <c r="F47" s="3">
        <v>20000</v>
      </c>
      <c r="G47" s="10">
        <f t="shared" si="1"/>
        <v>0.14618622328384695</v>
      </c>
      <c r="H47" s="12">
        <f t="shared" si="2"/>
        <v>80.088297892905089</v>
      </c>
      <c r="I47" s="5"/>
    </row>
    <row r="48" spans="1:10">
      <c r="A48" s="3">
        <v>34</v>
      </c>
      <c r="B48" s="10">
        <f t="shared" si="7"/>
        <v>0.3917667662423473</v>
      </c>
      <c r="C48" s="10">
        <f t="shared" si="5"/>
        <v>0.92618979334144569</v>
      </c>
      <c r="D48" s="8"/>
      <c r="E48" s="10">
        <f t="shared" si="6"/>
        <v>0.39270141279403059</v>
      </c>
      <c r="F48" s="3">
        <v>20000</v>
      </c>
      <c r="G48" s="10">
        <f t="shared" si="1"/>
        <v>0.1379115313998556</v>
      </c>
      <c r="H48" s="12">
        <f t="shared" si="2"/>
        <v>75.422964160188513</v>
      </c>
      <c r="I48" s="5"/>
    </row>
    <row r="49" spans="1:9">
      <c r="A49" s="3">
        <v>35</v>
      </c>
      <c r="B49" s="10">
        <f t="shared" si="7"/>
        <v>0.36285038026404609</v>
      </c>
      <c r="C49" s="10">
        <f t="shared" si="5"/>
        <v>0.92088573855561062</v>
      </c>
      <c r="D49" s="8"/>
      <c r="E49" s="10">
        <f t="shared" si="6"/>
        <v>0.36371604036059696</v>
      </c>
      <c r="F49" s="3">
        <v>20000</v>
      </c>
      <c r="G49" s="10">
        <f t="shared" si="1"/>
        <v>0.13010521830175056</v>
      </c>
      <c r="H49" s="12">
        <f t="shared" si="2"/>
        <v>70.637623358482813</v>
      </c>
      <c r="I49" s="5"/>
    </row>
    <row r="50" spans="1:9">
      <c r="A50" s="3">
        <v>36</v>
      </c>
      <c r="B50" s="10">
        <f t="shared" si="7"/>
        <v>0.33414374041464023</v>
      </c>
      <c r="C50" s="10">
        <f t="shared" si="5"/>
        <v>0.91521775239994141</v>
      </c>
      <c r="D50" s="8"/>
      <c r="E50" s="10">
        <f t="shared" si="6"/>
        <v>0.33494091445199059</v>
      </c>
      <c r="F50" s="3">
        <v>20000</v>
      </c>
      <c r="G50" s="10">
        <f t="shared" si="1"/>
        <v>0.12274077198278353</v>
      </c>
      <c r="H50" s="12">
        <f t="shared" si="2"/>
        <v>65.763680116690864</v>
      </c>
      <c r="I50" s="5"/>
    </row>
    <row r="51" spans="1:9">
      <c r="A51" s="3">
        <v>37</v>
      </c>
      <c r="B51" s="10">
        <f t="shared" si="7"/>
        <v>0.3058142830807965</v>
      </c>
      <c r="C51" s="10">
        <f t="shared" si="5"/>
        <v>0.90916357013604776</v>
      </c>
      <c r="D51" s="8"/>
      <c r="E51" s="10">
        <f t="shared" si="6"/>
        <v>0.3065438709115319</v>
      </c>
      <c r="F51" s="3">
        <v>20000</v>
      </c>
      <c r="G51" s="10">
        <f t="shared" si="1"/>
        <v>0.11579318111583352</v>
      </c>
      <c r="H51" s="12">
        <f t="shared" si="2"/>
        <v>60.835882111783235</v>
      </c>
      <c r="I51" s="5"/>
    </row>
    <row r="52" spans="1:9">
      <c r="A52" s="3">
        <v>38</v>
      </c>
      <c r="B52" s="10">
        <f t="shared" si="7"/>
        <v>0.27803520540433291</v>
      </c>
      <c r="C52" s="10">
        <f t="shared" si="5"/>
        <v>0.9026999834270607</v>
      </c>
      <c r="D52" s="8"/>
      <c r="E52" s="10">
        <f t="shared" si="6"/>
        <v>0.27869852008125212</v>
      </c>
      <c r="F52" s="3">
        <v>20000</v>
      </c>
      <c r="G52" s="10">
        <f t="shared" si="1"/>
        <v>0.10923885010927689</v>
      </c>
      <c r="H52" s="12">
        <f t="shared" si="2"/>
        <v>55.891894053157195</v>
      </c>
      <c r="I52" s="5"/>
    </row>
    <row r="53" spans="1:9">
      <c r="A53" s="3">
        <v>39</v>
      </c>
      <c r="B53" s="10">
        <f t="shared" si="7"/>
        <v>0.25098237531063072</v>
      </c>
      <c r="C53" s="10">
        <f t="shared" si="5"/>
        <v>0.89580286951519084</v>
      </c>
      <c r="D53" s="8"/>
      <c r="E53" s="10">
        <f t="shared" si="6"/>
        <v>0.25158114945849264</v>
      </c>
      <c r="F53" s="3">
        <v>20000</v>
      </c>
      <c r="G53" s="10">
        <f t="shared" si="1"/>
        <v>0.10305551897101592</v>
      </c>
      <c r="H53" s="12">
        <f t="shared" si="2"/>
        <v>50.971714406101356</v>
      </c>
      <c r="I53" s="5"/>
    </row>
    <row r="54" spans="1:9">
      <c r="A54" s="3">
        <v>40</v>
      </c>
      <c r="B54" s="10">
        <f t="shared" si="7"/>
        <v>0.22483073200100159</v>
      </c>
      <c r="C54" s="10">
        <f t="shared" si="5"/>
        <v>0.88844723517659152</v>
      </c>
      <c r="D54" s="8"/>
      <c r="E54" s="10">
        <f t="shared" si="6"/>
        <v>0.22536711560084779</v>
      </c>
      <c r="F54" s="3">
        <v>20000</v>
      </c>
      <c r="G54" s="10">
        <f t="shared" si="1"/>
        <v>9.7222187708505589E-2</v>
      </c>
      <c r="H54" s="12">
        <f t="shared" si="2"/>
        <v>46.116931720509328</v>
      </c>
      <c r="I54" s="5"/>
    </row>
    <row r="55" spans="1:9">
      <c r="A55" s="3">
        <v>41</v>
      </c>
      <c r="B55" s="10">
        <f t="shared" si="7"/>
        <v>0.19975024222901908</v>
      </c>
      <c r="C55" s="10">
        <f t="shared" si="5"/>
        <v>0.88060727786749282</v>
      </c>
      <c r="D55" s="8"/>
      <c r="E55" s="10">
        <f t="shared" si="6"/>
        <v>0.20022679075529651</v>
      </c>
      <c r="F55" s="3">
        <v>20000</v>
      </c>
      <c r="G55" s="10">
        <f t="shared" si="1"/>
        <v>9.171904500802415E-2</v>
      </c>
      <c r="H55" s="12">
        <f t="shared" si="2"/>
        <v>41.369826089687479</v>
      </c>
      <c r="I55" s="5"/>
    </row>
    <row r="56" spans="1:9">
      <c r="A56" s="3">
        <v>42</v>
      </c>
      <c r="B56" s="10">
        <f t="shared" si="7"/>
        <v>0.17590151706266879</v>
      </c>
      <c r="C56" s="10">
        <f t="shared" si="5"/>
        <v>0.87225646672206336</v>
      </c>
      <c r="D56" s="8"/>
      <c r="E56" s="10">
        <f t="shared" si="6"/>
        <v>0.17632116916316573</v>
      </c>
      <c r="F56" s="3">
        <v>20000</v>
      </c>
      <c r="G56" s="10">
        <f t="shared" si="1"/>
        <v>8.6527400950966171E-2</v>
      </c>
      <c r="H56" s="12">
        <f t="shared" si="2"/>
        <v>36.772331823467354</v>
      </c>
      <c r="I56" s="5"/>
    </row>
    <row r="57" spans="1:9">
      <c r="A57" s="3">
        <v>43</v>
      </c>
      <c r="B57" s="10">
        <f t="shared" si="7"/>
        <v>0.15343123576413423</v>
      </c>
      <c r="C57" s="10">
        <f t="shared" si="5"/>
        <v>0.86336764631048313</v>
      </c>
      <c r="D57" s="8"/>
      <c r="E57" s="10">
        <f t="shared" si="6"/>
        <v>0.15379728002256618</v>
      </c>
      <c r="F57" s="3">
        <v>20000</v>
      </c>
      <c r="G57" s="10">
        <f t="shared" si="1"/>
        <v>8.162962353864732E-2</v>
      </c>
      <c r="H57" s="12">
        <f t="shared" si="2"/>
        <v>32.364889500187473</v>
      </c>
      <c r="I57" s="5"/>
    </row>
    <row r="58" spans="1:9">
      <c r="A58" s="3">
        <v>44</v>
      </c>
      <c r="B58" s="10">
        <f t="shared" si="7"/>
        <v>0.13246756489218939</v>
      </c>
      <c r="C58" s="10">
        <f t="shared" si="5"/>
        <v>0.85391316630823422</v>
      </c>
      <c r="D58" s="8"/>
      <c r="E58" s="10">
        <f t="shared" si="6"/>
        <v>0.13278359566203726</v>
      </c>
      <c r="F58" s="3">
        <v>20000</v>
      </c>
      <c r="G58" s="10">
        <f t="shared" si="1"/>
        <v>7.7009078810044637E-2</v>
      </c>
      <c r="H58" s="12">
        <f t="shared" si="2"/>
        <v>28.185228481437516</v>
      </c>
      <c r="I58" s="5"/>
    </row>
    <row r="59" spans="1:9">
      <c r="A59" s="3">
        <v>45</v>
      </c>
      <c r="B59" s="10">
        <f t="shared" si="7"/>
        <v>0.11311579777023092</v>
      </c>
      <c r="C59" s="10">
        <f t="shared" si="5"/>
        <v>0.84386504045528898</v>
      </c>
      <c r="D59" s="8"/>
      <c r="E59" s="10">
        <f t="shared" si="6"/>
        <v>0.11338566060556256</v>
      </c>
      <c r="F59" s="3">
        <v>20000</v>
      </c>
      <c r="G59" s="10">
        <f t="shared" si="1"/>
        <v>7.2650074349098717E-2</v>
      </c>
      <c r="H59" s="12">
        <f t="shared" si="2"/>
        <v>24.267133719008214</v>
      </c>
      <c r="I59" s="5"/>
    </row>
    <row r="60" spans="1:9">
      <c r="A60" s="3">
        <v>46</v>
      </c>
      <c r="B60" s="10">
        <f t="shared" si="7"/>
        <v>9.5454467261508205E-2</v>
      </c>
      <c r="C60" s="10">
        <f t="shared" si="5"/>
        <v>0.83319513838444947</v>
      </c>
      <c r="D60" s="8"/>
      <c r="E60" s="10">
        <f t="shared" si="6"/>
        <v>9.5682195073962709E-2</v>
      </c>
      <c r="F60" s="3">
        <v>20000</v>
      </c>
      <c r="G60" s="10">
        <f t="shared" si="1"/>
        <v>6.8537805989715761E-2</v>
      </c>
      <c r="H60" s="12">
        <f t="shared" si="2"/>
        <v>20.639261922120475</v>
      </c>
      <c r="I60" s="5"/>
    </row>
    <row r="61" spans="1:9">
      <c r="A61" s="3">
        <v>47</v>
      </c>
      <c r="B61" s="10">
        <f t="shared" si="7"/>
        <v>7.9532198059366233E-2</v>
      </c>
      <c r="C61" s="10">
        <f t="shared" si="5"/>
        <v>0.82187541405668618</v>
      </c>
      <c r="D61" s="8"/>
      <c r="E61" s="10">
        <f t="shared" si="6"/>
        <v>7.9721939765578245E-2</v>
      </c>
      <c r="F61" s="3">
        <v>20000</v>
      </c>
      <c r="G61" s="10">
        <f t="shared" si="1"/>
        <v>6.465830753746768E-2</v>
      </c>
      <c r="H61" s="12">
        <f t="shared" si="2"/>
        <v>17.324080297639739</v>
      </c>
      <c r="I61" s="5"/>
    </row>
    <row r="62" spans="1:9">
      <c r="A62" s="3">
        <v>48</v>
      </c>
      <c r="B62" s="10">
        <f t="shared" si="7"/>
        <v>6.5365558210879998E-2</v>
      </c>
      <c r="C62" s="10">
        <f t="shared" si="5"/>
        <v>0.80987817463889467</v>
      </c>
      <c r="D62" s="8"/>
      <c r="E62" s="10">
        <f t="shared" si="6"/>
        <v>6.5521502254236821E-2</v>
      </c>
      <c r="F62" s="3">
        <v>20000</v>
      </c>
      <c r="G62" s="10">
        <f t="shared" si="1"/>
        <v>6.0998403337233678E-2</v>
      </c>
      <c r="H62" s="12">
        <f t="shared" si="2"/>
        <v>14.337004422860097</v>
      </c>
      <c r="I62" s="5"/>
    </row>
    <row r="63" spans="1:9">
      <c r="A63" s="3">
        <v>49</v>
      </c>
      <c r="B63" s="10">
        <f t="shared" si="7"/>
        <v>5.2938138968079904E-2</v>
      </c>
      <c r="C63" s="10">
        <f t="shared" si="5"/>
        <v>0.79717639367343229</v>
      </c>
      <c r="D63" s="8"/>
      <c r="E63" s="10">
        <f t="shared" si="6"/>
        <v>5.3064434645259541E-2</v>
      </c>
      <c r="F63" s="3">
        <v>20000</v>
      </c>
      <c r="G63" s="10">
        <f t="shared" si="1"/>
        <v>5.7545663525692139E-2</v>
      </c>
      <c r="H63" s="12">
        <f t="shared" si="2"/>
        <v>11.685808752475255</v>
      </c>
      <c r="I63" s="5"/>
    </row>
    <row r="64" spans="1:9">
      <c r="A64" s="3">
        <v>50</v>
      </c>
      <c r="B64" s="10">
        <f t="shared" si="7"/>
        <v>4.2201034710356931E-2</v>
      </c>
      <c r="C64" s="10">
        <f t="shared" si="5"/>
        <v>0.78374407229164977</v>
      </c>
      <c r="D64" s="8"/>
      <c r="E64" s="10">
        <f t="shared" si="6"/>
        <v>4.2301714642827538E-2</v>
      </c>
      <c r="F64" s="3">
        <v>20000</v>
      </c>
      <c r="G64" s="10">
        <f t="shared" si="1"/>
        <v>5.4288361816690701E-2</v>
      </c>
      <c r="H64" s="12">
        <f t="shared" si="2"/>
        <v>9.3703725710248236</v>
      </c>
      <c r="I64" s="5"/>
    </row>
    <row r="65" spans="1:9">
      <c r="A65" s="3">
        <v>51</v>
      </c>
      <c r="B65" s="10">
        <f t="shared" si="7"/>
        <v>3.3074810798816405E-2</v>
      </c>
      <c r="C65" s="10">
        <f t="shared" si="5"/>
        <v>0.769556651983346</v>
      </c>
      <c r="D65" s="8"/>
      <c r="E65" s="10">
        <f t="shared" si="6"/>
        <v>3.3153718099088965E-2</v>
      </c>
      <c r="F65" s="3">
        <v>20000</v>
      </c>
      <c r="G65" s="10">
        <f t="shared" si="1"/>
        <v>5.12154356761233E-2</v>
      </c>
      <c r="H65" s="12">
        <f t="shared" si="2"/>
        <v>7.3828053556840558</v>
      </c>
      <c r="I65" s="5"/>
    </row>
    <row r="66" spans="1:9">
      <c r="A66" s="3">
        <v>52</v>
      </c>
      <c r="B66" s="10">
        <f t="shared" si="7"/>
        <v>2.5452940663319771E-2</v>
      </c>
      <c r="C66" s="10">
        <f t="shared" si="5"/>
        <v>0.7545914820133347</v>
      </c>
      <c r="D66" s="8"/>
      <c r="E66" s="10">
        <f t="shared" si="6"/>
        <v>2.5513664301134567E-2</v>
      </c>
      <c r="F66" s="3">
        <v>20000</v>
      </c>
      <c r="G66" s="10">
        <f t="shared" si="1"/>
        <v>4.8316448751059712E-2</v>
      </c>
      <c r="H66" s="12">
        <f t="shared" si="2"/>
        <v>5.7079690072132969</v>
      </c>
      <c r="I66" s="5"/>
    </row>
    <row r="67" spans="1:9">
      <c r="A67" s="3">
        <v>53</v>
      </c>
      <c r="B67" s="10">
        <f t="shared" si="7"/>
        <v>1.9206572216731936E-2</v>
      </c>
      <c r="C67" s="10">
        <f t="shared" si="5"/>
        <v>0.73882834393309416</v>
      </c>
      <c r="D67" s="8"/>
      <c r="E67" s="10">
        <f t="shared" si="6"/>
        <v>1.9252393756583844E-2</v>
      </c>
      <c r="F67" s="3">
        <v>20000</v>
      </c>
      <c r="G67" s="10">
        <f t="shared" si="1"/>
        <v>4.5581555425528025E-2</v>
      </c>
      <c r="H67" s="12">
        <f t="shared" si="2"/>
        <v>4.324381987428163</v>
      </c>
      <c r="I67" s="5"/>
    </row>
    <row r="68" spans="1:9">
      <c r="A68" s="3">
        <v>54</v>
      </c>
      <c r="B68" s="10">
        <f t="shared" si="7"/>
        <v>1.4190359943519434E-2</v>
      </c>
      <c r="C68" s="10">
        <f t="shared" si="5"/>
        <v>0.72225003472274019</v>
      </c>
      <c r="D68" s="8"/>
      <c r="E68" s="10">
        <f t="shared" si="6"/>
        <v>1.4224214195924683E-2</v>
      </c>
      <c r="F68" s="3">
        <v>20000</v>
      </c>
      <c r="G68" s="10">
        <f t="shared" si="1"/>
        <v>4.3001467382573606E-2</v>
      </c>
      <c r="H68" s="12">
        <f t="shared" si="2"/>
        <v>3.2054551369057434</v>
      </c>
      <c r="I68" s="5"/>
    </row>
    <row r="69" spans="1:9">
      <c r="A69" s="3">
        <v>55</v>
      </c>
      <c r="B69" s="10">
        <f t="shared" si="7"/>
        <v>1.0248987961935093E-2</v>
      </c>
      <c r="C69" s="10">
        <f t="shared" si="5"/>
        <v>0.70484300886590223</v>
      </c>
      <c r="D69" s="8"/>
      <c r="E69" s="10">
        <f t="shared" si="6"/>
        <v>1.0273439196910296E-2</v>
      </c>
      <c r="F69" s="3">
        <v>20000</v>
      </c>
      <c r="G69" s="10">
        <f t="shared" si="1"/>
        <v>4.0567422059031695E-2</v>
      </c>
      <c r="H69" s="12">
        <f t="shared" si="2"/>
        <v>2.3209750408554859</v>
      </c>
      <c r="I69" s="5"/>
    </row>
    <row r="70" spans="1:9">
      <c r="A70" s="3">
        <v>56</v>
      </c>
      <c r="B70" s="10">
        <f t="shared" si="7"/>
        <v>7.2239275129207421E-3</v>
      </c>
      <c r="C70" s="10">
        <f t="shared" si="5"/>
        <v>0.68659807805447304</v>
      </c>
      <c r="D70" s="8"/>
      <c r="E70" s="10">
        <f t="shared" si="6"/>
        <v>7.2411617949511512E-3</v>
      </c>
      <c r="F70" s="3">
        <v>20000</v>
      </c>
      <c r="G70" s="10">
        <f t="shared" si="1"/>
        <v>3.827115288587897E-2</v>
      </c>
      <c r="H70" s="12">
        <f t="shared" si="2"/>
        <v>1.6387231252386214</v>
      </c>
      <c r="I70" s="5"/>
    </row>
    <row r="71" spans="1:9">
      <c r="A71" s="3">
        <v>57</v>
      </c>
      <c r="B71" s="10">
        <f t="shared" si="7"/>
        <v>4.9599347463762109E-3</v>
      </c>
      <c r="C71" s="10">
        <f t="shared" si="5"/>
        <v>0.66751116518892739</v>
      </c>
      <c r="D71" s="8"/>
      <c r="E71" s="10">
        <f t="shared" si="6"/>
        <v>4.9717677712949387E-3</v>
      </c>
      <c r="F71" s="3">
        <v>20000</v>
      </c>
      <c r="G71" s="10">
        <f t="shared" si="1"/>
        <v>3.6104861213093364E-2</v>
      </c>
      <c r="H71" s="12">
        <f t="shared" si="2"/>
        <v>1.1261019514571913</v>
      </c>
      <c r="I71" s="5"/>
    </row>
    <row r="72" spans="1:9">
      <c r="A72" s="3">
        <v>58</v>
      </c>
      <c r="B72" s="10">
        <f t="shared" si="7"/>
        <v>3.3108118218146318E-3</v>
      </c>
      <c r="C72" s="10">
        <f t="shared" si="5"/>
        <v>0.64758410683329926</v>
      </c>
      <c r="D72" s="8"/>
      <c r="E72" s="10">
        <f t="shared" si="6"/>
        <v>3.3187104980658411E-3</v>
      </c>
      <c r="F72" s="3">
        <v>20000</v>
      </c>
      <c r="G72" s="10">
        <f t="shared" si="1"/>
        <v>3.406118982367299E-2</v>
      </c>
      <c r="H72" s="12">
        <f t="shared" si="2"/>
        <v>0.75163812423844867</v>
      </c>
      <c r="I72" s="5"/>
    </row>
    <row r="73" spans="1:9">
      <c r="A73" s="3">
        <v>59</v>
      </c>
      <c r="B73" s="10">
        <f t="shared" si="7"/>
        <v>2.1440291165229566E-3</v>
      </c>
      <c r="C73" s="10">
        <f t="shared" si="5"/>
        <v>0.62682549526088838</v>
      </c>
      <c r="D73" s="8"/>
      <c r="E73" s="10">
        <f t="shared" si="6"/>
        <v>2.1491441737282613E-3</v>
      </c>
      <c r="F73" s="3">
        <v>20000</v>
      </c>
      <c r="G73" s="10">
        <f t="shared" si="1"/>
        <v>3.21331979468613E-2</v>
      </c>
      <c r="H73" s="12">
        <f t="shared" si="2"/>
        <v>0.48624550060797594</v>
      </c>
      <c r="I73" s="5"/>
    </row>
    <row r="74" spans="1:9">
      <c r="A74" s="3">
        <v>60</v>
      </c>
      <c r="B74" s="10">
        <f t="shared" si="7"/>
        <v>1.3439321128182673E-3</v>
      </c>
      <c r="C74" s="10">
        <f t="shared" si="5"/>
        <v>0.60525154765951861</v>
      </c>
      <c r="D74" s="8"/>
      <c r="E74" s="10">
        <f t="shared" si="6"/>
        <v>1.3471383610842702E-3</v>
      </c>
      <c r="F74" s="3">
        <v>20000</v>
      </c>
      <c r="G74" s="10">
        <f t="shared" si="1"/>
        <v>3.0314337685718208E-2</v>
      </c>
      <c r="H74" s="12">
        <f t="shared" si="2"/>
        <v>0.30416192895231414</v>
      </c>
      <c r="I74" s="5"/>
    </row>
    <row r="75" spans="1:9">
      <c r="A75" s="3">
        <v>61</v>
      </c>
      <c r="B75" s="10">
        <f t="shared" si="7"/>
        <v>8.1341699123258307E-4</v>
      </c>
      <c r="C75" s="10">
        <f t="shared" si="5"/>
        <v>0.58288698594886301</v>
      </c>
      <c r="D75" s="8"/>
      <c r="E75" s="10">
        <f t="shared" si="6"/>
        <v>8.1535757795776201E-4</v>
      </c>
      <c r="F75" s="3">
        <v>20000</v>
      </c>
      <c r="G75" s="10">
        <f t="shared" si="1"/>
        <v>2.8598431778979437E-2</v>
      </c>
      <c r="H75" s="12">
        <f t="shared" si="2"/>
        <v>0.18351357736647006</v>
      </c>
      <c r="I75" s="5"/>
    </row>
    <row r="76" spans="1:9">
      <c r="A76" s="3">
        <v>62</v>
      </c>
      <c r="B76" s="10">
        <f t="shared" si="7"/>
        <v>4.7413017833915303E-4</v>
      </c>
      <c r="C76" s="10">
        <f t="shared" si="5"/>
        <v>0.55976590602243381</v>
      </c>
      <c r="D76" s="8"/>
      <c r="E76" s="10">
        <f t="shared" si="6"/>
        <v>4.75261321086365E-4</v>
      </c>
      <c r="F76" s="3">
        <v>20000</v>
      </c>
      <c r="G76" s="10">
        <f t="shared" si="1"/>
        <v>2.6979652621678712E-2</v>
      </c>
      <c r="H76" s="12">
        <f t="shared" si="2"/>
        <v>0.10650662634070129</v>
      </c>
      <c r="I76" s="5"/>
    </row>
    <row r="77" spans="1:9">
      <c r="A77" s="3">
        <v>63</v>
      </c>
      <c r="B77" s="10">
        <f t="shared" si="7"/>
        <v>2.6540190885059414E-4</v>
      </c>
      <c r="C77" s="10">
        <f t="shared" si="5"/>
        <v>0.53593261013251237</v>
      </c>
      <c r="D77" s="8"/>
      <c r="E77" s="10">
        <f t="shared" si="6"/>
        <v>2.6603508399532792E-4</v>
      </c>
      <c r="F77" s="3">
        <v>20000</v>
      </c>
      <c r="G77" s="10">
        <f t="shared" si="1"/>
        <v>2.5452502473281798E-2</v>
      </c>
      <c r="H77" s="12">
        <f t="shared" si="2"/>
        <v>5.928906264351106E-2</v>
      </c>
      <c r="I77" s="5"/>
    </row>
    <row r="78" spans="1:9">
      <c r="A78" s="3">
        <v>64</v>
      </c>
      <c r="B78" s="10">
        <f t="shared" ref="B78:B99" si="8">(B$9^A78)*B$8^((B$5^B$7)*((B$5^A78)-1))</f>
        <v>1.4223753774445004E-4</v>
      </c>
      <c r="C78" s="10">
        <f t="shared" si="5"/>
        <v>0.51144237071132159</v>
      </c>
      <c r="D78" s="8"/>
      <c r="E78" s="10">
        <f t="shared" si="6"/>
        <v>1.4257687695243826E-4</v>
      </c>
      <c r="F78" s="3">
        <v>20000</v>
      </c>
      <c r="G78" s="10">
        <f t="shared" si="1"/>
        <v>2.4011794786114912E-2</v>
      </c>
      <c r="H78" s="12">
        <f t="shared" si="2"/>
        <v>3.1558303651895193E-2</v>
      </c>
      <c r="I78" s="5"/>
    </row>
    <row r="79" spans="1:9">
      <c r="A79" s="3">
        <v>65</v>
      </c>
      <c r="B79" s="10">
        <f t="shared" si="8"/>
        <v>7.2746303508162611E-5</v>
      </c>
      <c r="C79" s="10">
        <f t="shared" si="5"/>
        <v>0.48636208836006822</v>
      </c>
      <c r="D79" s="8"/>
      <c r="E79" s="10">
        <f t="shared" si="6"/>
        <v>7.2919855957171418E-5</v>
      </c>
      <c r="F79" s="3">
        <v>20000</v>
      </c>
      <c r="G79" s="10">
        <f t="shared" ref="G79:G99" si="9">(1+B$6)^-A79</f>
        <v>2.2652636590674444E-2</v>
      </c>
      <c r="H79" s="12">
        <f t="shared" ref="H79:H98" si="10">F79*(E79-E80)*G80</f>
        <v>1.6008320174602027E-2</v>
      </c>
      <c r="I79" s="5"/>
    </row>
    <row r="80" spans="1:9">
      <c r="A80" s="3">
        <v>66</v>
      </c>
      <c r="B80" s="10">
        <f t="shared" si="8"/>
        <v>3.5381044094705323E-5</v>
      </c>
      <c r="C80" s="10">
        <f t="shared" ref="C80:C98" si="11">B81/B80</f>
        <v>0.4607708013151593</v>
      </c>
      <c r="D80" s="8"/>
      <c r="E80" s="10">
        <f t="shared" si="6"/>
        <v>3.5465453426245254E-5</v>
      </c>
      <c r="F80" s="3">
        <v>20000</v>
      </c>
      <c r="G80" s="10">
        <f t="shared" si="9"/>
        <v>2.1370411877994759E-2</v>
      </c>
      <c r="H80" s="12">
        <f t="shared" si="10"/>
        <v>7.7110929887270691E-3</v>
      </c>
      <c r="I80" s="5"/>
    </row>
    <row r="81" spans="1:9">
      <c r="A81" s="3">
        <v>67</v>
      </c>
      <c r="B81" s="10">
        <f t="shared" si="8"/>
        <v>1.6302552038884356E-5</v>
      </c>
      <c r="C81" s="10">
        <f t="shared" si="11"/>
        <v>0.43475999878999327</v>
      </c>
      <c r="D81" s="8"/>
      <c r="E81" s="10">
        <f t="shared" si="6"/>
        <v>1.6341445394216488E-5</v>
      </c>
      <c r="F81" s="3">
        <v>20000</v>
      </c>
      <c r="G81" s="10">
        <f t="shared" si="9"/>
        <v>2.0160765922636562E-2</v>
      </c>
      <c r="H81" s="12">
        <f t="shared" si="10"/>
        <v>3.5136177579262787E-3</v>
      </c>
      <c r="I81" s="5"/>
    </row>
    <row r="82" spans="1:9">
      <c r="A82" s="3">
        <v>68</v>
      </c>
      <c r="B82" s="10">
        <f t="shared" si="8"/>
        <v>7.0876975046991649E-6</v>
      </c>
      <c r="C82" s="10">
        <f t="shared" si="11"/>
        <v>0.40843368666681834</v>
      </c>
      <c r="D82" s="8"/>
      <c r="E82" s="10">
        <f t="shared" ref="E82:E99" si="12">E81*C81</f>
        <v>7.1046067798163016E-6</v>
      </c>
      <c r="F82" s="3">
        <v>20000</v>
      </c>
      <c r="G82" s="10">
        <f t="shared" si="9"/>
        <v>1.9019590493053358E-2</v>
      </c>
      <c r="H82" s="12">
        <f t="shared" si="10"/>
        <v>1.5082341621528001E-3</v>
      </c>
      <c r="I82" s="5"/>
    </row>
    <row r="83" spans="1:9">
      <c r="A83" s="3">
        <v>69</v>
      </c>
      <c r="B83" s="10">
        <f t="shared" si="8"/>
        <v>2.894854421823489E-6</v>
      </c>
      <c r="C83" s="10">
        <f t="shared" si="11"/>
        <v>0.38190815165849323</v>
      </c>
      <c r="D83" s="8"/>
      <c r="E83" s="10">
        <f t="shared" si="12"/>
        <v>2.9017607393984446E-6</v>
      </c>
      <c r="F83" s="3">
        <v>20000</v>
      </c>
      <c r="G83" s="10">
        <f t="shared" si="9"/>
        <v>1.7943009899106941E-2</v>
      </c>
      <c r="H83" s="12">
        <f t="shared" si="10"/>
        <v>6.0720318865107941E-4</v>
      </c>
      <c r="I83" s="5"/>
    </row>
    <row r="84" spans="1:9">
      <c r="A84" s="3">
        <v>70</v>
      </c>
      <c r="B84" s="10">
        <f t="shared" si="8"/>
        <v>1.1055685015590248E-6</v>
      </c>
      <c r="C84" s="10">
        <f t="shared" si="11"/>
        <v>0.35531136995485613</v>
      </c>
      <c r="D84" s="8"/>
      <c r="E84" s="10">
        <f t="shared" si="12"/>
        <v>1.1082060805388426E-6</v>
      </c>
      <c r="F84" s="3">
        <v>20000</v>
      </c>
      <c r="G84" s="10">
        <f t="shared" si="9"/>
        <v>1.692736782934617E-2</v>
      </c>
      <c r="H84" s="12">
        <f t="shared" si="10"/>
        <v>2.2818342865874486E-4</v>
      </c>
      <c r="I84" s="5"/>
    </row>
    <row r="85" spans="1:9">
      <c r="A85" s="3">
        <v>71</v>
      </c>
      <c r="B85" s="10">
        <f t="shared" si="8"/>
        <v>3.9282105886787458E-7</v>
      </c>
      <c r="C85" s="10">
        <f t="shared" si="11"/>
        <v>0.32878200927021933</v>
      </c>
      <c r="D85" s="8"/>
      <c r="E85" s="10">
        <f t="shared" si="12"/>
        <v>3.9375822066855781E-7</v>
      </c>
      <c r="F85" s="3">
        <v>20000</v>
      </c>
      <c r="G85" s="10">
        <f t="shared" si="9"/>
        <v>1.5969214933345442E-2</v>
      </c>
      <c r="H85" s="12">
        <f t="shared" si="10"/>
        <v>7.9634437888347737E-5</v>
      </c>
      <c r="I85" s="5"/>
    </row>
    <row r="86" spans="1:9">
      <c r="A86" s="3">
        <v>72</v>
      </c>
      <c r="B86" s="10">
        <f t="shared" si="8"/>
        <v>1.2915249701823492E-7</v>
      </c>
      <c r="C86" s="10">
        <f t="shared" si="11"/>
        <v>0.30246797991012131</v>
      </c>
      <c r="D86" s="8"/>
      <c r="E86" s="10">
        <f t="shared" si="12"/>
        <v>1.2946061895807485E-7</v>
      </c>
      <c r="F86" s="3">
        <v>20000</v>
      </c>
      <c r="G86" s="10">
        <f t="shared" si="9"/>
        <v>1.5065297106929661E-2</v>
      </c>
      <c r="H86" s="12">
        <f t="shared" si="10"/>
        <v>2.5668687280061013E-5</v>
      </c>
      <c r="I86" s="5"/>
    </row>
    <row r="87" spans="1:9">
      <c r="A87" s="3">
        <v>73</v>
      </c>
      <c r="B87" s="10">
        <f t="shared" si="8"/>
        <v>3.9064494873453483E-8</v>
      </c>
      <c r="C87" s="10">
        <f t="shared" si="11"/>
        <v>0.27652450174230725</v>
      </c>
      <c r="D87" s="8"/>
      <c r="E87" s="10">
        <f t="shared" si="12"/>
        <v>3.9157691894162856E-8</v>
      </c>
      <c r="F87" s="3">
        <v>20000</v>
      </c>
      <c r="G87" s="10">
        <f t="shared" si="9"/>
        <v>1.4212544440499682E-2</v>
      </c>
      <c r="H87" s="12">
        <f t="shared" si="10"/>
        <v>7.596908200931578E-6</v>
      </c>
      <c r="I87" s="5"/>
    </row>
    <row r="88" spans="1:9">
      <c r="A88" s="3">
        <v>74</v>
      </c>
      <c r="B88" s="10">
        <f t="shared" si="8"/>
        <v>1.0802289980696641E-8</v>
      </c>
      <c r="C88" s="10">
        <f t="shared" si="11"/>
        <v>0.25111167043632238</v>
      </c>
      <c r="D88" s="8"/>
      <c r="E88" s="10">
        <f t="shared" si="12"/>
        <v>1.0828061240412168E-8</v>
      </c>
      <c r="F88" s="3">
        <v>20000</v>
      </c>
      <c r="G88" s="10">
        <f t="shared" si="9"/>
        <v>1.3408060792924227E-2</v>
      </c>
      <c r="H88" s="12">
        <f t="shared" si="10"/>
        <v>2.0514355009339322E-6</v>
      </c>
      <c r="I88" s="5"/>
    </row>
    <row r="89" spans="1:9">
      <c r="A89" s="3">
        <v>75</v>
      </c>
      <c r="B89" s="10">
        <f t="shared" si="8"/>
        <v>2.712581081590282E-9</v>
      </c>
      <c r="C89" s="10">
        <f t="shared" si="11"/>
        <v>0.22639152844050503</v>
      </c>
      <c r="D89" s="8"/>
      <c r="E89" s="10">
        <f t="shared" si="12"/>
        <v>2.7190525456666965E-9</v>
      </c>
      <c r="F89" s="3">
        <v>20000</v>
      </c>
      <c r="G89" s="10">
        <f t="shared" si="9"/>
        <v>1.2649113955588891E-2</v>
      </c>
      <c r="H89" s="12">
        <f t="shared" si="10"/>
        <v>5.020223506289947E-7</v>
      </c>
      <c r="I89" s="5"/>
    </row>
    <row r="90" spans="1:9">
      <c r="A90" s="3">
        <v>76</v>
      </c>
      <c r="B90" s="10">
        <f t="shared" si="8"/>
        <v>6.141053770800222E-10</v>
      </c>
      <c r="C90" s="10">
        <f t="shared" si="11"/>
        <v>0.20252467392908183</v>
      </c>
      <c r="D90" s="8"/>
      <c r="E90" s="10">
        <f t="shared" si="12"/>
        <v>6.1557046172352951E-10</v>
      </c>
      <c r="F90" s="3">
        <v>20000</v>
      </c>
      <c r="G90" s="10">
        <f t="shared" si="9"/>
        <v>1.1933126373197067E-2</v>
      </c>
      <c r="H90" s="12">
        <f t="shared" si="10"/>
        <v>1.1052827626443031E-7</v>
      </c>
      <c r="I90" s="5"/>
    </row>
    <row r="91" spans="1:9">
      <c r="A91" s="3">
        <v>77</v>
      </c>
      <c r="B91" s="10">
        <f t="shared" si="8"/>
        <v>1.2437149125122733E-10</v>
      </c>
      <c r="C91" s="10">
        <f t="shared" si="11"/>
        <v>0.17966647387532064</v>
      </c>
      <c r="D91" s="8"/>
      <c r="E91" s="10">
        <f t="shared" si="12"/>
        <v>1.2466820704093215E-10</v>
      </c>
      <c r="F91" s="3">
        <v>20000</v>
      </c>
      <c r="G91" s="10">
        <f t="shared" si="9"/>
        <v>1.1257666389808553E-2</v>
      </c>
      <c r="H91" s="12">
        <f t="shared" si="10"/>
        <v>2.1722943850008624E-8</v>
      </c>
      <c r="I91" s="5"/>
    </row>
    <row r="92" spans="1:9">
      <c r="A92" s="3">
        <v>78</v>
      </c>
      <c r="B92" s="10">
        <f t="shared" si="8"/>
        <v>2.2345387283723307E-11</v>
      </c>
      <c r="C92" s="10">
        <f t="shared" si="11"/>
        <v>0.1579629842933829</v>
      </c>
      <c r="D92" s="8"/>
      <c r="E92" s="10">
        <f t="shared" si="12"/>
        <v>2.2398697163402701E-11</v>
      </c>
      <c r="F92" s="3">
        <v>20000</v>
      </c>
      <c r="G92" s="10">
        <f t="shared" si="9"/>
        <v>1.0620439990385427E-2</v>
      </c>
      <c r="H92" s="12">
        <f t="shared" si="10"/>
        <v>3.7793801795488675E-9</v>
      </c>
      <c r="I92" s="5"/>
    </row>
    <row r="93" spans="1:9">
      <c r="A93" s="3">
        <v>79</v>
      </c>
      <c r="B93" s="10">
        <f t="shared" si="8"/>
        <v>3.5297440605283429E-12</v>
      </c>
      <c r="C93" s="10">
        <f t="shared" si="11"/>
        <v>0.13754671951745029</v>
      </c>
      <c r="D93" s="8"/>
      <c r="E93" s="10">
        <f t="shared" si="12"/>
        <v>3.5381650482148211E-12</v>
      </c>
      <c r="F93" s="3">
        <v>20000</v>
      </c>
      <c r="G93" s="10">
        <f t="shared" si="9"/>
        <v>1.0019283009797571E-2</v>
      </c>
      <c r="H93" s="12">
        <f t="shared" si="10"/>
        <v>5.7686533341878594E-10</v>
      </c>
      <c r="I93" s="5"/>
    </row>
    <row r="94" spans="1:9">
      <c r="A94" s="3">
        <v>80</v>
      </c>
      <c r="B94" s="10">
        <f t="shared" si="8"/>
        <v>4.8550471626187808E-13</v>
      </c>
      <c r="C94" s="10">
        <f t="shared" si="11"/>
        <v>0.11853245022017388</v>
      </c>
      <c r="D94" s="8"/>
      <c r="E94" s="10">
        <f t="shared" si="12"/>
        <v>4.8666299549325E-13</v>
      </c>
      <c r="F94" s="3">
        <v>20000</v>
      </c>
      <c r="G94" s="10">
        <f t="shared" si="9"/>
        <v>9.4521537828278993E-3</v>
      </c>
      <c r="H94" s="12">
        <f t="shared" si="10"/>
        <v>7.6504954824847289E-11</v>
      </c>
      <c r="I94" s="5"/>
    </row>
    <row r="95" spans="1:9">
      <c r="A95" s="3">
        <v>81</v>
      </c>
      <c r="B95" s="10">
        <f t="shared" si="8"/>
        <v>5.7548063611970705E-14</v>
      </c>
      <c r="C95" s="10">
        <f t="shared" si="11"/>
        <v>0.10101324289615946</v>
      </c>
      <c r="D95" s="8"/>
      <c r="E95" s="10">
        <f t="shared" si="12"/>
        <v>5.7685357287304355E-14</v>
      </c>
      <c r="F95" s="3">
        <v>20000</v>
      </c>
      <c r="G95" s="10">
        <f t="shared" si="9"/>
        <v>8.9171262102149974E-3</v>
      </c>
      <c r="H95" s="12">
        <f t="shared" si="10"/>
        <v>8.7250500127901646E-12</v>
      </c>
      <c r="I95" s="5"/>
    </row>
    <row r="96" spans="1:9">
      <c r="A96" s="3">
        <v>82</v>
      </c>
      <c r="B96" s="10">
        <f t="shared" si="8"/>
        <v>5.8131165278396325E-15</v>
      </c>
      <c r="C96" s="10">
        <f t="shared" si="11"/>
        <v>8.5056977211243542E-2</v>
      </c>
      <c r="D96" s="8"/>
      <c r="E96" s="10">
        <f t="shared" si="12"/>
        <v>5.8269850072142164E-15</v>
      </c>
      <c r="F96" s="3">
        <v>20000</v>
      </c>
      <c r="G96" s="10">
        <f t="shared" si="9"/>
        <v>8.4123832171839608E-3</v>
      </c>
      <c r="H96" s="12">
        <f t="shared" si="10"/>
        <v>8.462157981181947E-13</v>
      </c>
      <c r="I96" s="5"/>
    </row>
    <row r="97" spans="1:9">
      <c r="A97" s="3">
        <v>83</v>
      </c>
      <c r="B97" s="10">
        <f t="shared" si="8"/>
        <v>4.9444612003475878E-16</v>
      </c>
      <c r="C97" s="10">
        <f t="shared" si="11"/>
        <v>7.0703587029799841E-2</v>
      </c>
      <c r="D97" s="8"/>
      <c r="E97" s="10">
        <f t="shared" si="12"/>
        <v>4.9562573096887739E-16</v>
      </c>
      <c r="F97" s="3">
        <v>20000</v>
      </c>
      <c r="G97" s="10">
        <f t="shared" si="9"/>
        <v>7.9362105822490189E-3</v>
      </c>
      <c r="H97" s="12">
        <f t="shared" si="10"/>
        <v>6.8967648616531693E-14</v>
      </c>
      <c r="I97" s="5"/>
    </row>
    <row r="98" spans="1:9">
      <c r="A98" s="3">
        <v>84</v>
      </c>
      <c r="B98" s="10">
        <f t="shared" si="8"/>
        <v>3.4959114279424427E-17</v>
      </c>
      <c r="C98" s="10">
        <f t="shared" si="11"/>
        <v>5.7963261340311559E-2</v>
      </c>
      <c r="D98" s="8"/>
      <c r="E98" s="10">
        <f t="shared" si="12"/>
        <v>3.5042517003766186E-17</v>
      </c>
      <c r="F98" s="3">
        <v>20000</v>
      </c>
      <c r="G98" s="10">
        <f t="shared" si="9"/>
        <v>7.4869911153292628E-3</v>
      </c>
      <c r="H98" s="12">
        <f t="shared" si="10"/>
        <v>4.6633131613285316E-15</v>
      </c>
      <c r="I98" s="5"/>
    </row>
    <row r="99" spans="1:9">
      <c r="A99" s="3">
        <v>85</v>
      </c>
      <c r="B99" s="10">
        <f t="shared" si="8"/>
        <v>2.0263442772040957E-18</v>
      </c>
      <c r="C99" s="10"/>
      <c r="D99" s="8"/>
      <c r="E99" s="10">
        <f t="shared" si="12"/>
        <v>2.031178571111611E-18</v>
      </c>
      <c r="F99" s="3">
        <v>20000</v>
      </c>
      <c r="G99" s="10">
        <f t="shared" si="9"/>
        <v>7.0631991654049632E-3</v>
      </c>
      <c r="H99" s="19"/>
      <c r="I99" s="5"/>
    </row>
    <row r="100" spans="1:9">
      <c r="E100" s="10"/>
      <c r="F100" s="3"/>
      <c r="H100" s="19"/>
      <c r="I100" s="5"/>
    </row>
    <row r="101" spans="1:9">
      <c r="E101" s="20" t="s">
        <v>107</v>
      </c>
      <c r="F101" s="3"/>
      <c r="G101" s="5">
        <f>SUM(I14:I33)</f>
        <v>11.296243632029544</v>
      </c>
      <c r="H101" s="19"/>
      <c r="I101" s="5"/>
    </row>
    <row r="102" spans="1:9">
      <c r="E102" s="20" t="s">
        <v>108</v>
      </c>
      <c r="F102" s="3"/>
      <c r="G102" s="12">
        <f>SUM(H14:H98)*0.06/LN(1.06)</f>
        <v>15152.737475690725</v>
      </c>
      <c r="H102" s="19"/>
      <c r="I102" s="5"/>
    </row>
    <row r="103" spans="1:9">
      <c r="E103" s="78" t="s">
        <v>109</v>
      </c>
      <c r="F103" s="56"/>
      <c r="G103" s="57">
        <f>G102/G101</f>
        <v>1341.3961285968035</v>
      </c>
      <c r="H103" s="19"/>
      <c r="I103" s="5"/>
    </row>
    <row r="104" spans="1:9">
      <c r="E104" s="10"/>
      <c r="F104" s="3"/>
      <c r="H104" s="19"/>
      <c r="I104" s="5"/>
    </row>
    <row r="105" spans="1:9">
      <c r="E105" s="20" t="s">
        <v>129</v>
      </c>
      <c r="F105" s="3"/>
      <c r="G105" s="12">
        <f>SUM(J14:J33)</f>
        <v>141.73606485951038</v>
      </c>
      <c r="H105" s="19"/>
      <c r="I105" s="5"/>
    </row>
    <row r="106" spans="1:9">
      <c r="E106" s="78" t="s">
        <v>110</v>
      </c>
      <c r="F106" s="56"/>
      <c r="G106" s="57">
        <f>(G102+G105)/(0.97*G101-0.27)</f>
        <v>1431.0810904224381</v>
      </c>
      <c r="H106" s="19"/>
      <c r="I106" s="5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zoomScale="125" zoomScaleNormal="125" zoomScalePageLayoutView="125" workbookViewId="0"/>
  </sheetViews>
  <sheetFormatPr baseColWidth="10" defaultRowHeight="12" x14ac:dyDescent="0"/>
  <cols>
    <col min="7" max="7" width="4.6640625" customWidth="1"/>
    <col min="10" max="10" width="10.83203125" customWidth="1"/>
    <col min="11" max="11" width="4.6640625" customWidth="1"/>
    <col min="13" max="13" width="7.33203125" customWidth="1"/>
    <col min="14" max="14" width="10.83203125" customWidth="1"/>
    <col min="15" max="15" width="4.6640625" customWidth="1"/>
  </cols>
  <sheetData>
    <row r="1" spans="1:16" ht="15">
      <c r="A1" s="70" t="s">
        <v>748</v>
      </c>
    </row>
    <row r="2" spans="1:16">
      <c r="A2" s="27"/>
    </row>
    <row r="3" spans="1:16">
      <c r="A3" s="52" t="s">
        <v>9</v>
      </c>
      <c r="B3" s="51">
        <v>2.2000000000000001E-4</v>
      </c>
    </row>
    <row r="4" spans="1:16">
      <c r="A4" s="52" t="s">
        <v>10</v>
      </c>
      <c r="B4" s="51">
        <f>2.7/1000000</f>
        <v>2.7E-6</v>
      </c>
    </row>
    <row r="5" spans="1:16">
      <c r="A5" s="52" t="s">
        <v>24</v>
      </c>
      <c r="B5" s="51">
        <v>1.1240000000000001</v>
      </c>
    </row>
    <row r="6" spans="1:16">
      <c r="A6" s="52" t="s">
        <v>74</v>
      </c>
      <c r="B6" s="61">
        <v>0.05</v>
      </c>
      <c r="D6" s="25"/>
      <c r="H6" s="42"/>
      <c r="I6" s="42"/>
      <c r="J6" s="42"/>
      <c r="K6" s="42"/>
      <c r="L6" s="42"/>
      <c r="M6" s="42"/>
      <c r="N6" s="42"/>
      <c r="O6" s="42"/>
      <c r="P6" s="42"/>
    </row>
    <row r="7" spans="1:16">
      <c r="A7" s="52" t="s">
        <v>82</v>
      </c>
      <c r="B7" s="51">
        <v>30</v>
      </c>
      <c r="D7" s="25"/>
      <c r="H7" s="3"/>
      <c r="I7" s="3"/>
      <c r="J7" s="3"/>
      <c r="K7" s="3"/>
      <c r="L7" s="3"/>
      <c r="M7" s="3"/>
      <c r="N7" s="3"/>
      <c r="O7" s="3"/>
      <c r="P7" s="3"/>
    </row>
    <row r="8" spans="1:16">
      <c r="A8" s="9" t="s">
        <v>25</v>
      </c>
      <c r="B8" s="18">
        <f>EXP(-B4/LN(B5))</f>
        <v>0.99997690236831238</v>
      </c>
      <c r="H8" s="3"/>
      <c r="I8" s="3"/>
      <c r="J8" s="3"/>
      <c r="K8" s="3"/>
      <c r="L8" s="3"/>
      <c r="M8" s="3"/>
      <c r="N8" s="3"/>
      <c r="O8" s="3"/>
      <c r="P8" s="3"/>
    </row>
    <row r="9" spans="1:16">
      <c r="A9" s="9" t="s">
        <v>27</v>
      </c>
      <c r="B9" s="18">
        <f>EXP(-B3)</f>
        <v>0.99978002419822543</v>
      </c>
      <c r="H9" s="42"/>
      <c r="I9" s="42"/>
      <c r="J9" s="42"/>
      <c r="K9" s="42"/>
      <c r="L9" s="42"/>
      <c r="M9" s="42"/>
      <c r="N9" s="42"/>
      <c r="O9" s="42"/>
      <c r="P9" s="42"/>
    </row>
    <row r="10" spans="1:16">
      <c r="A10" s="9" t="s">
        <v>68</v>
      </c>
      <c r="B10" s="20">
        <f>0.05/1.05</f>
        <v>4.7619047619047616E-2</v>
      </c>
      <c r="H10" s="42"/>
      <c r="I10" s="42"/>
      <c r="J10" s="42"/>
      <c r="K10" s="42"/>
      <c r="L10" s="42"/>
      <c r="M10" s="42"/>
      <c r="N10" s="42"/>
      <c r="O10" s="42"/>
      <c r="P10" s="42"/>
    </row>
    <row r="11" spans="1:16">
      <c r="D11" s="25"/>
      <c r="H11" s="3"/>
      <c r="I11" s="3"/>
      <c r="J11" s="3"/>
      <c r="K11" s="3"/>
      <c r="L11" s="3"/>
      <c r="M11" s="3"/>
      <c r="N11" s="3"/>
      <c r="O11" s="3"/>
      <c r="P11" s="3"/>
    </row>
    <row r="12" spans="1:16">
      <c r="A12" s="25" t="s">
        <v>111</v>
      </c>
      <c r="E12" s="3"/>
      <c r="F12" s="3"/>
      <c r="G12" s="3"/>
      <c r="H12" s="3"/>
      <c r="I12" s="3"/>
      <c r="J12" s="3"/>
      <c r="K12" s="3"/>
      <c r="L12" s="25" t="s">
        <v>112</v>
      </c>
      <c r="M12" s="3"/>
      <c r="P12" s="3" t="s">
        <v>113</v>
      </c>
    </row>
    <row r="13" spans="1:16">
      <c r="A13" s="24" t="s">
        <v>0</v>
      </c>
      <c r="B13" s="7" t="s">
        <v>105</v>
      </c>
      <c r="C13" s="7" t="s">
        <v>130</v>
      </c>
      <c r="D13" s="3" t="s">
        <v>114</v>
      </c>
      <c r="E13" s="3" t="s">
        <v>115</v>
      </c>
      <c r="F13" s="3" t="s">
        <v>23</v>
      </c>
      <c r="G13" s="3"/>
      <c r="H13" s="3" t="s">
        <v>116</v>
      </c>
      <c r="I13" s="3" t="s">
        <v>117</v>
      </c>
      <c r="J13" s="3" t="s">
        <v>23</v>
      </c>
      <c r="K13" s="3"/>
      <c r="L13" s="3" t="s">
        <v>23</v>
      </c>
      <c r="M13" s="3"/>
      <c r="N13" s="3" t="s">
        <v>23</v>
      </c>
      <c r="P13" s="3" t="s">
        <v>23</v>
      </c>
    </row>
    <row r="14" spans="1:16">
      <c r="A14" s="24">
        <v>0</v>
      </c>
      <c r="B14" s="10">
        <f>EXP(-(0.9^(2-A14))*(B$3*((0.9^A14 - 1)/LN(0.9)) +B$4*(B$5^B$7)*((0.9^A14 -B$5^A14)/LN(0.9/B$5))))</f>
        <v>1</v>
      </c>
      <c r="C14" s="4">
        <f>B14-B15</f>
        <v>2.6954687195623883E-4</v>
      </c>
      <c r="D14" s="10">
        <f>(1+B$6)^-(A14+1)</f>
        <v>0.95238095238095233</v>
      </c>
      <c r="E14" s="19">
        <f>1.025^A14</f>
        <v>1</v>
      </c>
      <c r="F14" s="4">
        <f>C14*D14*E14</f>
        <v>2.5671130662498936E-4</v>
      </c>
      <c r="G14" s="3"/>
      <c r="H14" s="5">
        <f>D14^2</f>
        <v>0.90702947845804982</v>
      </c>
      <c r="I14" s="19">
        <f>E14^2</f>
        <v>1</v>
      </c>
      <c r="J14" s="4">
        <f>C14*H14*I14</f>
        <v>2.4448695869046602E-4</v>
      </c>
      <c r="K14" s="3"/>
      <c r="L14" s="4">
        <f>C14*D14</f>
        <v>2.5671130662498936E-4</v>
      </c>
      <c r="M14" s="3"/>
      <c r="N14" s="4">
        <f>H14*C14</f>
        <v>2.4448695869046602E-4</v>
      </c>
      <c r="P14" s="4">
        <f>E14*H14*C14</f>
        <v>2.4448695869046602E-4</v>
      </c>
    </row>
    <row r="15" spans="1:16">
      <c r="A15" s="24">
        <v>1</v>
      </c>
      <c r="B15" s="10">
        <f t="shared" ref="B15:B16" si="0">EXP(-(0.9^(2-A15))*(B$3*((0.9^A15 - 1)/LN(0.9)) +B$4*(B$5^B$7)*((0.9^A15 -B$5^A15)/LN(0.9/B$5))))</f>
        <v>0.99973045312804376</v>
      </c>
      <c r="C15" s="4">
        <f t="shared" ref="C15:C38" si="1">B15-B16</f>
        <v>3.1065537026853107E-4</v>
      </c>
      <c r="D15" s="10">
        <f t="shared" ref="D15:D38" si="2">(1+B$6)^-(A15+1)</f>
        <v>0.90702947845804982</v>
      </c>
      <c r="E15" s="19">
        <f t="shared" ref="E15:E38" si="3">1.025^A15</f>
        <v>1.0249999999999999</v>
      </c>
      <c r="F15" s="4">
        <f t="shared" ref="F15:F38" si="4">C15*D15*E15</f>
        <v>2.8881791793672953E-4</v>
      </c>
      <c r="G15" s="3"/>
      <c r="H15" s="5">
        <f t="shared" ref="H15:I38" si="5">D15^2</f>
        <v>0.82270247479188185</v>
      </c>
      <c r="I15" s="19">
        <f t="shared" si="5"/>
        <v>1.0506249999999999</v>
      </c>
      <c r="J15" s="4">
        <f t="shared" ref="J15:J38" si="6">C15*H15*I15</f>
        <v>2.6851552461237892E-4</v>
      </c>
      <c r="K15" s="3"/>
      <c r="L15" s="4">
        <f t="shared" ref="L15:L38" si="7">C15*D15</f>
        <v>2.817735784748581E-4</v>
      </c>
      <c r="M15" s="3"/>
      <c r="N15" s="4">
        <f t="shared" ref="N15:N38" si="8">H15*C15</f>
        <v>2.5557694192730892E-4</v>
      </c>
      <c r="P15" s="4">
        <f t="shared" ref="P15:P38" si="9">E15*H15*C15</f>
        <v>2.6196636547549165E-4</v>
      </c>
    </row>
    <row r="16" spans="1:16">
      <c r="A16" s="24">
        <v>2</v>
      </c>
      <c r="B16" s="10">
        <f t="shared" si="0"/>
        <v>0.99941979775777523</v>
      </c>
      <c r="C16" s="4">
        <f t="shared" si="1"/>
        <v>3.4039126068630132E-4</v>
      </c>
      <c r="D16" s="10">
        <f t="shared" si="2"/>
        <v>0.86383759853147601</v>
      </c>
      <c r="E16" s="19">
        <f t="shared" si="3"/>
        <v>1.0506249999999999</v>
      </c>
      <c r="F16" s="4">
        <f t="shared" si="4"/>
        <v>3.0892868438271915E-4</v>
      </c>
      <c r="G16" s="3"/>
      <c r="H16" s="5">
        <f t="shared" si="5"/>
        <v>0.7462153966366275</v>
      </c>
      <c r="I16" s="19">
        <f t="shared" si="5"/>
        <v>1.1038128906249998</v>
      </c>
      <c r="J16" s="4">
        <f t="shared" si="6"/>
        <v>2.8037421360941082E-4</v>
      </c>
      <c r="K16" s="3"/>
      <c r="L16" s="4">
        <f t="shared" si="7"/>
        <v>2.9404276919235613E-4</v>
      </c>
      <c r="M16" s="3"/>
      <c r="N16" s="4">
        <f t="shared" si="8"/>
        <v>2.5400519960467E-4</v>
      </c>
      <c r="P16" s="4">
        <f t="shared" si="9"/>
        <v>2.6686421283465638E-4</v>
      </c>
    </row>
    <row r="17" spans="1:16">
      <c r="A17" s="24">
        <v>3</v>
      </c>
      <c r="B17" s="10">
        <f>B16*B$9*B$8^((B$5^(B$7+A16))*(B$5-1))</f>
        <v>0.99907940649708893</v>
      </c>
      <c r="C17" s="4">
        <f t="shared" si="1"/>
        <v>3.5521656628134668E-4</v>
      </c>
      <c r="D17" s="10">
        <f t="shared" si="2"/>
        <v>0.82270247479188197</v>
      </c>
      <c r="E17" s="19">
        <f t="shared" si="3"/>
        <v>1.0768906249999999</v>
      </c>
      <c r="F17" s="4">
        <f t="shared" si="4"/>
        <v>3.1470787589374659E-4</v>
      </c>
      <c r="G17" s="3"/>
      <c r="H17" s="5">
        <f t="shared" si="5"/>
        <v>0.67683936202868722</v>
      </c>
      <c r="I17" s="19">
        <f t="shared" si="5"/>
        <v>1.1596934182128904</v>
      </c>
      <c r="J17" s="4">
        <f t="shared" si="6"/>
        <v>2.7881877297104737E-4</v>
      </c>
      <c r="K17" s="3"/>
      <c r="L17" s="4">
        <f t="shared" si="7"/>
        <v>2.922375481667385E-4</v>
      </c>
      <c r="M17" s="3"/>
      <c r="N17" s="4">
        <f t="shared" si="8"/>
        <v>2.4042455410388757E-4</v>
      </c>
      <c r="P17" s="4">
        <f t="shared" si="9"/>
        <v>2.5891094833428176E-4</v>
      </c>
    </row>
    <row r="18" spans="1:16">
      <c r="A18" s="24">
        <v>4</v>
      </c>
      <c r="B18" s="10">
        <f t="shared" ref="B18:B39" si="10">B17*B$9*B$8^((B$5^(B$7+A17))*(B$5-1))</f>
        <v>0.99872418993080758</v>
      </c>
      <c r="C18" s="4">
        <f t="shared" si="1"/>
        <v>3.7187798621274304E-4</v>
      </c>
      <c r="D18" s="10">
        <f t="shared" si="2"/>
        <v>0.78352616646845896</v>
      </c>
      <c r="E18" s="19">
        <f t="shared" si="3"/>
        <v>1.1038128906249998</v>
      </c>
      <c r="F18" s="4">
        <f t="shared" si="4"/>
        <v>3.2162473155001144E-4</v>
      </c>
      <c r="G18" s="3"/>
      <c r="H18" s="5">
        <f t="shared" si="5"/>
        <v>0.61391325354075932</v>
      </c>
      <c r="I18" s="19">
        <f t="shared" si="5"/>
        <v>1.2184028975099177</v>
      </c>
      <c r="J18" s="4">
        <f t="shared" si="6"/>
        <v>2.7816238599678725E-4</v>
      </c>
      <c r="K18" s="3"/>
      <c r="L18" s="4">
        <f t="shared" si="7"/>
        <v>2.9137613293128098E-4</v>
      </c>
      <c r="M18" s="3"/>
      <c r="N18" s="4">
        <f t="shared" si="8"/>
        <v>2.2830082443605073E-4</v>
      </c>
      <c r="P18" s="4">
        <f t="shared" si="9"/>
        <v>2.5200139295282774E-4</v>
      </c>
    </row>
    <row r="19" spans="1:16">
      <c r="A19" s="24">
        <v>5</v>
      </c>
      <c r="B19" s="10">
        <f t="shared" si="10"/>
        <v>0.99835231194459484</v>
      </c>
      <c r="C19" s="4">
        <f t="shared" si="1"/>
        <v>3.9060154506953548E-4</v>
      </c>
      <c r="D19" s="10">
        <f t="shared" si="2"/>
        <v>0.74621539663662761</v>
      </c>
      <c r="E19" s="19">
        <f t="shared" si="3"/>
        <v>1.1314082128906247</v>
      </c>
      <c r="F19" s="4">
        <f t="shared" si="4"/>
        <v>3.2977481805203894E-4</v>
      </c>
      <c r="G19" s="3"/>
      <c r="H19" s="5">
        <f t="shared" si="5"/>
        <v>0.5568374181775595</v>
      </c>
      <c r="I19" s="19">
        <f t="shared" si="5"/>
        <v>1.2800845441963571</v>
      </c>
      <c r="J19" s="4">
        <f t="shared" si="6"/>
        <v>2.7842038003688719E-4</v>
      </c>
      <c r="K19" s="3"/>
      <c r="L19" s="4">
        <f t="shared" si="7"/>
        <v>2.9147288688094301E-4</v>
      </c>
      <c r="M19" s="3"/>
      <c r="N19" s="4">
        <f t="shared" si="8"/>
        <v>2.175015558926858E-4</v>
      </c>
      <c r="P19" s="4">
        <f t="shared" si="9"/>
        <v>2.4608304665347391E-4</v>
      </c>
    </row>
    <row r="20" spans="1:16">
      <c r="A20" s="24">
        <v>6</v>
      </c>
      <c r="B20" s="10">
        <f t="shared" si="10"/>
        <v>0.9979617103995253</v>
      </c>
      <c r="C20" s="4">
        <f t="shared" si="1"/>
        <v>4.1164092386303253E-4</v>
      </c>
      <c r="D20" s="10">
        <f t="shared" si="2"/>
        <v>0.71068133013012147</v>
      </c>
      <c r="E20" s="19">
        <f t="shared" si="3"/>
        <v>1.1596934182128902</v>
      </c>
      <c r="F20" s="4">
        <f t="shared" si="4"/>
        <v>3.392631132679674E-4</v>
      </c>
      <c r="G20" s="3"/>
      <c r="H20" s="5">
        <f t="shared" si="5"/>
        <v>0.50506795299551865</v>
      </c>
      <c r="I20" s="19">
        <f t="shared" si="5"/>
        <v>1.3448888242462973</v>
      </c>
      <c r="J20" s="4">
        <f t="shared" si="6"/>
        <v>2.7961131498813597E-4</v>
      </c>
      <c r="K20" s="3"/>
      <c r="L20" s="4">
        <f t="shared" si="7"/>
        <v>2.92545519306972E-4</v>
      </c>
      <c r="M20" s="3"/>
      <c r="N20" s="4">
        <f t="shared" si="8"/>
        <v>2.0790663878468598E-4</v>
      </c>
      <c r="P20" s="4">
        <f t="shared" si="9"/>
        <v>2.4110796060136512E-4</v>
      </c>
    </row>
    <row r="21" spans="1:16">
      <c r="A21" s="24">
        <v>7</v>
      </c>
      <c r="B21" s="10">
        <f t="shared" si="10"/>
        <v>0.99755006947566227</v>
      </c>
      <c r="C21" s="4">
        <f t="shared" si="1"/>
        <v>4.3528079999854974E-4</v>
      </c>
      <c r="D21" s="10">
        <f t="shared" si="2"/>
        <v>0.67683936202868722</v>
      </c>
      <c r="E21" s="19">
        <f t="shared" si="3"/>
        <v>1.1886857536682125</v>
      </c>
      <c r="F21" s="4">
        <f t="shared" si="4"/>
        <v>3.5020486606122649E-4</v>
      </c>
      <c r="G21" s="3"/>
      <c r="H21" s="5">
        <f t="shared" si="5"/>
        <v>0.45811152199140032</v>
      </c>
      <c r="I21" s="19">
        <f t="shared" si="5"/>
        <v>1.4129738209737663</v>
      </c>
      <c r="J21" s="4">
        <f t="shared" si="6"/>
        <v>2.8175708235550522E-4</v>
      </c>
      <c r="K21" s="3"/>
      <c r="L21" s="4">
        <f t="shared" si="7"/>
        <v>2.94615178974355E-4</v>
      </c>
      <c r="M21" s="3"/>
      <c r="N21" s="4">
        <f t="shared" si="8"/>
        <v>1.9940714978096993E-4</v>
      </c>
      <c r="P21" s="4">
        <f t="shared" si="9"/>
        <v>2.3703243812422237E-4</v>
      </c>
    </row>
    <row r="22" spans="1:16">
      <c r="A22" s="24">
        <v>8</v>
      </c>
      <c r="B22" s="10">
        <f t="shared" si="10"/>
        <v>0.99711478867566372</v>
      </c>
      <c r="C22" s="4">
        <f t="shared" si="1"/>
        <v>4.6184057894016473E-4</v>
      </c>
      <c r="D22" s="10">
        <f t="shared" si="2"/>
        <v>0.64460891621779726</v>
      </c>
      <c r="E22" s="19">
        <f t="shared" si="3"/>
        <v>1.2184028975099177</v>
      </c>
      <c r="F22" s="4">
        <f t="shared" si="4"/>
        <v>3.6272652928795012E-4</v>
      </c>
      <c r="G22" s="3"/>
      <c r="H22" s="5">
        <f t="shared" si="5"/>
        <v>0.41552065486748319</v>
      </c>
      <c r="I22" s="19">
        <f t="shared" si="5"/>
        <v>1.4845056206605631</v>
      </c>
      <c r="J22" s="4">
        <f t="shared" si="6"/>
        <v>2.8488301169033532E-4</v>
      </c>
      <c r="K22" s="3"/>
      <c r="L22" s="4">
        <f t="shared" si="7"/>
        <v>2.9770655505601961E-4</v>
      </c>
      <c r="M22" s="3"/>
      <c r="N22" s="4">
        <f t="shared" si="8"/>
        <v>1.919042998055948E-4</v>
      </c>
      <c r="P22" s="4">
        <f t="shared" si="9"/>
        <v>2.3381675492774868E-4</v>
      </c>
    </row>
    <row r="23" spans="1:16">
      <c r="A23" s="24">
        <v>9</v>
      </c>
      <c r="B23" s="10">
        <f t="shared" si="10"/>
        <v>0.99665294809672356</v>
      </c>
      <c r="C23" s="4">
        <f t="shared" si="1"/>
        <v>4.9167856038823121E-4</v>
      </c>
      <c r="D23" s="10">
        <f t="shared" si="2"/>
        <v>0.61391325354075932</v>
      </c>
      <c r="E23" s="19">
        <f t="shared" si="3"/>
        <v>1.2488629699476654</v>
      </c>
      <c r="F23" s="4">
        <f t="shared" si="4"/>
        <v>3.7696677065037436E-4</v>
      </c>
      <c r="G23" s="3"/>
      <c r="H23" s="5">
        <f t="shared" si="5"/>
        <v>0.37688948287300061</v>
      </c>
      <c r="I23" s="19">
        <f t="shared" si="5"/>
        <v>1.5596587177065036</v>
      </c>
      <c r="J23" s="4">
        <f t="shared" si="6"/>
        <v>2.8901798374605996E-4</v>
      </c>
      <c r="K23" s="3"/>
      <c r="L23" s="4">
        <f t="shared" si="7"/>
        <v>3.0184798470417573E-4</v>
      </c>
      <c r="M23" s="3"/>
      <c r="N23" s="4">
        <f t="shared" si="8"/>
        <v>1.8530847836446186E-4</v>
      </c>
      <c r="P23" s="4">
        <f t="shared" si="9"/>
        <v>2.3142489664672455E-4</v>
      </c>
    </row>
    <row r="24" spans="1:16">
      <c r="A24" s="24">
        <v>10</v>
      </c>
      <c r="B24" s="10">
        <f t="shared" si="10"/>
        <v>0.99616126953633533</v>
      </c>
      <c r="C24" s="4">
        <f t="shared" si="1"/>
        <v>5.251965856195584E-4</v>
      </c>
      <c r="D24" s="10">
        <f t="shared" si="2"/>
        <v>0.5846792890864374</v>
      </c>
      <c r="E24" s="19">
        <f t="shared" si="3"/>
        <v>1.2800845441963571</v>
      </c>
      <c r="F24" s="4">
        <f t="shared" si="4"/>
        <v>3.9307756599645243E-4</v>
      </c>
      <c r="G24" s="3"/>
      <c r="H24" s="5">
        <f t="shared" si="5"/>
        <v>0.34184987108662185</v>
      </c>
      <c r="I24" s="19">
        <f t="shared" si="5"/>
        <v>1.6386164402903953</v>
      </c>
      <c r="J24" s="4">
        <f t="shared" si="6"/>
        <v>2.9419454947031832E-4</v>
      </c>
      <c r="K24" s="3"/>
      <c r="L24" s="4">
        <f t="shared" si="7"/>
        <v>3.0707156631066765E-4</v>
      </c>
      <c r="M24" s="3"/>
      <c r="N24" s="4">
        <f t="shared" si="8"/>
        <v>1.7953838508918E-4</v>
      </c>
      <c r="P24" s="4">
        <f t="shared" si="9"/>
        <v>2.2982431184263302E-4</v>
      </c>
    </row>
    <row r="25" spans="1:16">
      <c r="A25" s="24">
        <v>11</v>
      </c>
      <c r="B25" s="10">
        <f t="shared" si="10"/>
        <v>0.99563607295071577</v>
      </c>
      <c r="C25" s="4">
        <f t="shared" si="1"/>
        <v>5.6284521655558528E-4</v>
      </c>
      <c r="D25" s="10">
        <f t="shared" si="2"/>
        <v>0.5568374181775595</v>
      </c>
      <c r="E25" s="19">
        <f t="shared" si="3"/>
        <v>1.312086657801266</v>
      </c>
      <c r="F25" s="4">
        <f t="shared" si="4"/>
        <v>4.1122537941865826E-4</v>
      </c>
      <c r="G25" s="3"/>
      <c r="H25" s="5">
        <f t="shared" si="5"/>
        <v>0.31006791028265024</v>
      </c>
      <c r="I25" s="19">
        <f t="shared" si="5"/>
        <v>1.7215713975800964</v>
      </c>
      <c r="J25" s="4">
        <f t="shared" si="6"/>
        <v>3.004490536721455E-4</v>
      </c>
      <c r="K25" s="3"/>
      <c r="L25" s="4">
        <f t="shared" si="7"/>
        <v>3.1341327722040149E-4</v>
      </c>
      <c r="M25" s="3"/>
      <c r="N25" s="4">
        <f t="shared" si="8"/>
        <v>1.7452024010997607E-4</v>
      </c>
      <c r="P25" s="4">
        <f t="shared" si="9"/>
        <v>2.2898567856457296E-4</v>
      </c>
    </row>
    <row r="26" spans="1:16">
      <c r="A26" s="24">
        <v>12</v>
      </c>
      <c r="B26" s="10">
        <f t="shared" si="10"/>
        <v>0.99507322773416018</v>
      </c>
      <c r="C26" s="4">
        <f t="shared" si="1"/>
        <v>6.0512950105517938E-4</v>
      </c>
      <c r="D26" s="10">
        <f t="shared" si="2"/>
        <v>0.53032135064529462</v>
      </c>
      <c r="E26" s="19">
        <f t="shared" si="3"/>
        <v>1.3448888242462975</v>
      </c>
      <c r="F26" s="4">
        <f t="shared" si="4"/>
        <v>4.315924340984016E-4</v>
      </c>
      <c r="G26" s="3"/>
      <c r="H26" s="5">
        <f t="shared" si="5"/>
        <v>0.28124073495024954</v>
      </c>
      <c r="I26" s="19">
        <f t="shared" si="5"/>
        <v>1.8087259495825885</v>
      </c>
      <c r="J26" s="4">
        <f t="shared" si="6"/>
        <v>3.0782176186448681E-4</v>
      </c>
      <c r="K26" s="3"/>
      <c r="L26" s="4">
        <f t="shared" si="7"/>
        <v>3.2091309431489594E-4</v>
      </c>
      <c r="M26" s="3"/>
      <c r="N26" s="4">
        <f t="shared" si="8"/>
        <v>1.7018706561683646E-4</v>
      </c>
      <c r="P26" s="4">
        <f t="shared" si="9"/>
        <v>2.2888268257935466E-4</v>
      </c>
    </row>
    <row r="27" spans="1:16">
      <c r="A27" s="24">
        <v>13</v>
      </c>
      <c r="B27" s="10">
        <f t="shared" si="10"/>
        <v>0.994468098233105</v>
      </c>
      <c r="C27" s="4">
        <f t="shared" si="1"/>
        <v>6.5261538274696829E-4</v>
      </c>
      <c r="D27" s="10">
        <f t="shared" si="2"/>
        <v>0.50506795299551888</v>
      </c>
      <c r="E27" s="19">
        <f t="shared" si="3"/>
        <v>1.3785110448524549</v>
      </c>
      <c r="F27" s="4">
        <f t="shared" si="4"/>
        <v>4.5437807720834071E-4</v>
      </c>
      <c r="G27" s="3"/>
      <c r="H27" s="5">
        <f t="shared" si="5"/>
        <v>0.25509363714308364</v>
      </c>
      <c r="I27" s="19">
        <f t="shared" si="5"/>
        <v>1.9002927007802068</v>
      </c>
      <c r="J27" s="4">
        <f t="shared" si="6"/>
        <v>3.1635698836660303E-4</v>
      </c>
      <c r="K27" s="3"/>
      <c r="L27" s="4">
        <f t="shared" si="7"/>
        <v>3.2961511545739832E-4</v>
      </c>
      <c r="M27" s="3"/>
      <c r="N27" s="4">
        <f t="shared" si="8"/>
        <v>1.6647803164044977E-4</v>
      </c>
      <c r="P27" s="4">
        <f t="shared" si="9"/>
        <v>2.294918053416565E-4</v>
      </c>
    </row>
    <row r="28" spans="1:16">
      <c r="A28" s="24">
        <v>14</v>
      </c>
      <c r="B28" s="10">
        <f t="shared" si="10"/>
        <v>0.99381548285035803</v>
      </c>
      <c r="C28" s="4">
        <f t="shared" si="1"/>
        <v>7.0593681724850921E-4</v>
      </c>
      <c r="D28" s="10">
        <f t="shared" si="2"/>
        <v>0.48101709809097021</v>
      </c>
      <c r="E28" s="19">
        <f t="shared" si="3"/>
        <v>1.4129738209737661</v>
      </c>
      <c r="F28" s="4">
        <f t="shared" si="4"/>
        <v>4.7980024125514103E-4</v>
      </c>
      <c r="G28" s="3"/>
      <c r="H28" s="5">
        <f t="shared" si="5"/>
        <v>0.23137744865585805</v>
      </c>
      <c r="I28" s="19">
        <f t="shared" si="5"/>
        <v>1.9964950187572044</v>
      </c>
      <c r="J28" s="4">
        <f t="shared" si="6"/>
        <v>3.2610322323995154E-4</v>
      </c>
      <c r="K28" s="3"/>
      <c r="L28" s="4">
        <f t="shared" si="7"/>
        <v>3.3956767926845348E-4</v>
      </c>
      <c r="M28" s="3"/>
      <c r="N28" s="4">
        <f t="shared" si="8"/>
        <v>1.6333785968719678E-4</v>
      </c>
      <c r="P28" s="4">
        <f t="shared" si="9"/>
        <v>2.307921197118953E-4</v>
      </c>
    </row>
    <row r="29" spans="1:16">
      <c r="A29" s="24">
        <v>15</v>
      </c>
      <c r="B29" s="10">
        <f t="shared" si="10"/>
        <v>0.99310954603310952</v>
      </c>
      <c r="C29" s="4">
        <f t="shared" si="1"/>
        <v>7.6580365965461805E-4</v>
      </c>
      <c r="D29" s="10">
        <f t="shared" si="2"/>
        <v>0.45811152199140021</v>
      </c>
      <c r="E29" s="19">
        <f t="shared" si="3"/>
        <v>1.4482981664981105</v>
      </c>
      <c r="F29" s="4">
        <f t="shared" si="4"/>
        <v>5.0809700295125968E-4</v>
      </c>
      <c r="G29" s="3"/>
      <c r="H29" s="5">
        <f t="shared" si="5"/>
        <v>0.20986616658127716</v>
      </c>
      <c r="I29" s="19">
        <f t="shared" si="5"/>
        <v>2.0975675790817885</v>
      </c>
      <c r="J29" s="4">
        <f t="shared" si="6"/>
        <v>3.3711325501432731E-4</v>
      </c>
      <c r="K29" s="3"/>
      <c r="L29" s="4">
        <f t="shared" si="7"/>
        <v>3.5082348007096134E-4</v>
      </c>
      <c r="M29" s="3"/>
      <c r="N29" s="4">
        <f t="shared" si="8"/>
        <v>1.6071627840562775E-4</v>
      </c>
      <c r="P29" s="4">
        <f t="shared" si="9"/>
        <v>2.3276509134127052E-4</v>
      </c>
    </row>
    <row r="30" spans="1:16">
      <c r="A30" s="24">
        <v>16</v>
      </c>
      <c r="B30" s="10">
        <f t="shared" si="10"/>
        <v>0.99234374237345491</v>
      </c>
      <c r="C30" s="4">
        <f t="shared" si="1"/>
        <v>8.3301039041006053E-4</v>
      </c>
      <c r="D30" s="10">
        <f t="shared" si="2"/>
        <v>0.43629668761085727</v>
      </c>
      <c r="E30" s="19">
        <f t="shared" si="3"/>
        <v>1.4845056206605631</v>
      </c>
      <c r="F30" s="4">
        <f t="shared" si="4"/>
        <v>5.3952823894478719E-4</v>
      </c>
      <c r="G30" s="3"/>
      <c r="H30" s="5">
        <f t="shared" si="5"/>
        <v>0.19035479962020599</v>
      </c>
      <c r="I30" s="19">
        <f t="shared" si="5"/>
        <v>2.2037569377728037</v>
      </c>
      <c r="J30" s="4">
        <f t="shared" si="6"/>
        <v>3.4944428541349885E-4</v>
      </c>
      <c r="K30" s="3"/>
      <c r="L30" s="4">
        <f t="shared" si="7"/>
        <v>3.6343967408133645E-4</v>
      </c>
      <c r="M30" s="3"/>
      <c r="N30" s="4">
        <f t="shared" si="8"/>
        <v>1.5856752594805662E-4</v>
      </c>
      <c r="P30" s="4">
        <f t="shared" si="9"/>
        <v>2.3539438352412976E-4</v>
      </c>
    </row>
    <row r="31" spans="1:16">
      <c r="A31" s="24">
        <v>17</v>
      </c>
      <c r="B31" s="10">
        <f t="shared" si="10"/>
        <v>0.99151073198304485</v>
      </c>
      <c r="C31" s="4">
        <f t="shared" si="1"/>
        <v>9.0844574771686837E-4</v>
      </c>
      <c r="D31" s="10">
        <f t="shared" si="2"/>
        <v>0.41552065486748313</v>
      </c>
      <c r="E31" s="19">
        <f t="shared" si="3"/>
        <v>1.521618261177077</v>
      </c>
      <c r="F31" s="4">
        <f t="shared" si="4"/>
        <v>5.7437737539169217E-4</v>
      </c>
      <c r="G31" s="3"/>
      <c r="H31" s="5">
        <f t="shared" si="5"/>
        <v>0.17265741462150203</v>
      </c>
      <c r="I31" s="19">
        <f t="shared" si="5"/>
        <v>2.3153221327475513</v>
      </c>
      <c r="J31" s="4">
        <f t="shared" si="6"/>
        <v>3.6315803138600895E-4</v>
      </c>
      <c r="K31" s="3"/>
      <c r="L31" s="4">
        <f t="shared" si="7"/>
        <v>3.7747797200289352E-4</v>
      </c>
      <c r="M31" s="3"/>
      <c r="N31" s="4">
        <f t="shared" si="8"/>
        <v>1.5684989412469177E-4</v>
      </c>
      <c r="P31" s="4">
        <f t="shared" si="9"/>
        <v>2.3866566316382213E-4</v>
      </c>
    </row>
    <row r="32" spans="1:16">
      <c r="A32" s="24">
        <v>18</v>
      </c>
      <c r="B32" s="10">
        <f t="shared" si="10"/>
        <v>0.99060228623532798</v>
      </c>
      <c r="C32" s="4">
        <f t="shared" si="1"/>
        <v>9.9310333395841166E-4</v>
      </c>
      <c r="D32" s="10">
        <f t="shared" si="2"/>
        <v>0.39573395701665059</v>
      </c>
      <c r="E32" s="19">
        <f t="shared" si="3"/>
        <v>1.559658717706504</v>
      </c>
      <c r="F32" s="4">
        <f t="shared" si="4"/>
        <v>6.1295322528562182E-4</v>
      </c>
      <c r="G32" s="3"/>
      <c r="H32" s="5">
        <f t="shared" si="5"/>
        <v>0.15660536473605627</v>
      </c>
      <c r="I32" s="19">
        <f t="shared" si="5"/>
        <v>2.4325353157178964</v>
      </c>
      <c r="J32" s="4">
        <f t="shared" si="6"/>
        <v>3.7832080866197161E-4</v>
      </c>
      <c r="K32" s="3"/>
      <c r="L32" s="4">
        <f t="shared" si="7"/>
        <v>3.9300471207379047E-4</v>
      </c>
      <c r="M32" s="3"/>
      <c r="N32" s="4">
        <f t="shared" si="8"/>
        <v>1.5552530983515056E-4</v>
      </c>
      <c r="P32" s="4">
        <f t="shared" si="9"/>
        <v>2.4256640530839765E-4</v>
      </c>
    </row>
    <row r="33" spans="1:16">
      <c r="A33" s="24">
        <v>19</v>
      </c>
      <c r="B33" s="10">
        <f t="shared" si="10"/>
        <v>0.98960918290136957</v>
      </c>
      <c r="C33" s="4">
        <f t="shared" si="1"/>
        <v>1.0880932605850102E-3</v>
      </c>
      <c r="D33" s="10">
        <f t="shared" si="2"/>
        <v>0.37688948287300061</v>
      </c>
      <c r="E33" s="19">
        <f t="shared" si="3"/>
        <v>1.5986501856491666</v>
      </c>
      <c r="F33" s="4">
        <f t="shared" si="4"/>
        <v>6.5559190348870124E-4</v>
      </c>
      <c r="G33" s="3"/>
      <c r="H33" s="5">
        <f t="shared" si="5"/>
        <v>0.14204568230027784</v>
      </c>
      <c r="I33" s="19">
        <f t="shared" si="5"/>
        <v>2.5556824160761149</v>
      </c>
      <c r="J33" s="4">
        <f t="shared" si="6"/>
        <v>3.9500358975558535E-4</v>
      </c>
      <c r="K33" s="3"/>
      <c r="L33" s="4">
        <f t="shared" si="7"/>
        <v>4.1009090629948159E-4</v>
      </c>
      <c r="M33" s="3"/>
      <c r="N33" s="4">
        <f t="shared" si="8"/>
        <v>1.5455894960613177E-4</v>
      </c>
      <c r="P33" s="4">
        <f t="shared" si="9"/>
        <v>2.4708569348158278E-4</v>
      </c>
    </row>
    <row r="34" spans="1:16">
      <c r="A34" s="24">
        <v>20</v>
      </c>
      <c r="B34" s="10">
        <f t="shared" si="10"/>
        <v>0.98852108964078456</v>
      </c>
      <c r="C34" s="4">
        <f t="shared" si="1"/>
        <v>1.1946548896455411E-3</v>
      </c>
      <c r="D34" s="10">
        <f t="shared" si="2"/>
        <v>0.35894236464095297</v>
      </c>
      <c r="E34" s="19">
        <f t="shared" si="3"/>
        <v>1.6386164402903955</v>
      </c>
      <c r="F34" s="4">
        <f t="shared" si="4"/>
        <v>7.0265880431807047E-4</v>
      </c>
      <c r="G34" s="3"/>
      <c r="H34" s="5">
        <f t="shared" si="5"/>
        <v>0.12883962113403885</v>
      </c>
      <c r="I34" s="19">
        <f t="shared" si="5"/>
        <v>2.6850638383899676</v>
      </c>
      <c r="J34" s="4">
        <f t="shared" si="6"/>
        <v>4.1328202777639989E-4</v>
      </c>
      <c r="K34" s="3"/>
      <c r="L34" s="4">
        <f t="shared" si="7"/>
        <v>4.2881225101924726E-4</v>
      </c>
      <c r="M34" s="3"/>
      <c r="N34" s="4">
        <f t="shared" si="8"/>
        <v>1.539188833678585E-4</v>
      </c>
      <c r="P34" s="4">
        <f t="shared" si="9"/>
        <v>2.5221401275771292E-4</v>
      </c>
    </row>
    <row r="35" spans="1:16">
      <c r="A35" s="24">
        <v>21</v>
      </c>
      <c r="B35" s="10">
        <f t="shared" si="10"/>
        <v>0.98732643475113901</v>
      </c>
      <c r="C35" s="4">
        <f t="shared" si="1"/>
        <v>1.3141707195993835E-3</v>
      </c>
      <c r="D35" s="10">
        <f t="shared" si="2"/>
        <v>0.3418498710866219</v>
      </c>
      <c r="E35" s="19">
        <f t="shared" si="3"/>
        <v>1.6795818512976552</v>
      </c>
      <c r="F35" s="4">
        <f t="shared" si="4"/>
        <v>7.5455062009138383E-4</v>
      </c>
      <c r="G35" s="3"/>
      <c r="H35" s="5">
        <f t="shared" si="5"/>
        <v>0.11686133436194002</v>
      </c>
      <c r="I35" s="19">
        <f t="shared" si="5"/>
        <v>2.8209951952084591</v>
      </c>
      <c r="J35" s="4">
        <f t="shared" si="6"/>
        <v>4.3323643556284185E-4</v>
      </c>
      <c r="K35" s="3"/>
      <c r="L35" s="4">
        <f t="shared" si="7"/>
        <v>4.492490910808624E-4</v>
      </c>
      <c r="M35" s="3"/>
      <c r="N35" s="4">
        <f t="shared" si="8"/>
        <v>1.5357574387177487E-4</v>
      </c>
      <c r="P35" s="4">
        <f t="shared" si="9"/>
        <v>2.5794303220657015E-4</v>
      </c>
    </row>
    <row r="36" spans="1:16">
      <c r="A36" s="24">
        <v>22</v>
      </c>
      <c r="B36" s="10">
        <f t="shared" si="10"/>
        <v>0.98601226403153963</v>
      </c>
      <c r="C36" s="4">
        <f t="shared" si="1"/>
        <v>1.4481814468113585E-3</v>
      </c>
      <c r="D36" s="10">
        <f t="shared" si="2"/>
        <v>0.32557130579678267</v>
      </c>
      <c r="E36" s="19">
        <f t="shared" si="3"/>
        <v>1.7215713975800966</v>
      </c>
      <c r="F36" s="4">
        <f t="shared" si="4"/>
        <v>8.1169737090039601E-4</v>
      </c>
      <c r="G36" s="3"/>
      <c r="H36" s="5">
        <f t="shared" si="5"/>
        <v>0.10599667515822217</v>
      </c>
      <c r="I36" s="19">
        <f t="shared" si="5"/>
        <v>2.9638080769658868</v>
      </c>
      <c r="J36" s="4">
        <f t="shared" si="6"/>
        <v>4.5495170745164082E-4</v>
      </c>
      <c r="K36" s="3"/>
      <c r="L36" s="4">
        <f t="shared" si="7"/>
        <v>4.7148632466904796E-4</v>
      </c>
      <c r="M36" s="3"/>
      <c r="N36" s="4">
        <f t="shared" si="8"/>
        <v>1.5350241838782777E-4</v>
      </c>
      <c r="P36" s="4">
        <f t="shared" si="9"/>
        <v>2.6426537295585735E-4</v>
      </c>
    </row>
    <row r="37" spans="1:16">
      <c r="A37" s="24">
        <v>23</v>
      </c>
      <c r="B37" s="10">
        <f t="shared" si="10"/>
        <v>0.98456408258472827</v>
      </c>
      <c r="C37" s="4">
        <f t="shared" si="1"/>
        <v>1.5984022105159923E-3</v>
      </c>
      <c r="D37" s="10">
        <f t="shared" si="2"/>
        <v>0.31006791028265024</v>
      </c>
      <c r="E37" s="19">
        <f t="shared" si="3"/>
        <v>1.7646106825195991</v>
      </c>
      <c r="F37" s="4">
        <f t="shared" si="4"/>
        <v>8.7456440571314221E-4</v>
      </c>
      <c r="G37" s="3"/>
      <c r="H37" s="5">
        <f t="shared" si="5"/>
        <v>9.614210898704964E-2</v>
      </c>
      <c r="I37" s="19">
        <f t="shared" si="5"/>
        <v>3.1138508608622852</v>
      </c>
      <c r="J37" s="4">
        <f t="shared" si="6"/>
        <v>4.7851716839998024E-4</v>
      </c>
      <c r="K37" s="3"/>
      <c r="L37" s="4">
        <f t="shared" si="7"/>
        <v>4.956132332058625E-4</v>
      </c>
      <c r="M37" s="3"/>
      <c r="N37" s="4">
        <f t="shared" si="8"/>
        <v>1.536737595285696E-4</v>
      </c>
      <c r="P37" s="4">
        <f t="shared" si="9"/>
        <v>2.7117435768706194E-4</v>
      </c>
    </row>
    <row r="38" spans="1:16">
      <c r="A38" s="24">
        <v>24</v>
      </c>
      <c r="B38" s="10">
        <f t="shared" si="10"/>
        <v>0.98296568037421228</v>
      </c>
      <c r="C38" s="4">
        <f t="shared" si="1"/>
        <v>1.766739995869071E-3</v>
      </c>
      <c r="D38" s="10">
        <f t="shared" si="2"/>
        <v>0.29530277169776209</v>
      </c>
      <c r="E38" s="19">
        <f t="shared" si="3"/>
        <v>1.8087259495825889</v>
      </c>
      <c r="F38" s="4">
        <f t="shared" si="4"/>
        <v>9.4365432226224785E-4</v>
      </c>
      <c r="G38" s="3"/>
      <c r="H38" s="5">
        <f t="shared" si="5"/>
        <v>8.7203726972380602E-2</v>
      </c>
      <c r="I38" s="19">
        <f t="shared" si="5"/>
        <v>3.2714895606934382</v>
      </c>
      <c r="J38" s="4">
        <f t="shared" si="6"/>
        <v>5.0402633211809298E-4</v>
      </c>
      <c r="K38" s="3"/>
      <c r="L38" s="4">
        <f t="shared" si="7"/>
        <v>5.2172321764942938E-4</v>
      </c>
      <c r="M38" s="3"/>
      <c r="N38" s="4">
        <f t="shared" si="8"/>
        <v>1.5406631223095131E-4</v>
      </c>
      <c r="P38" s="4">
        <f t="shared" si="9"/>
        <v>2.7866373688861503E-4</v>
      </c>
    </row>
    <row r="39" spans="1:16">
      <c r="A39" s="24">
        <v>25</v>
      </c>
      <c r="B39" s="10">
        <f t="shared" si="10"/>
        <v>0.98119894037834321</v>
      </c>
      <c r="C39" s="4"/>
      <c r="D39" s="5"/>
      <c r="E39" s="3"/>
      <c r="F39" s="3"/>
      <c r="G39" s="3"/>
      <c r="H39" s="3"/>
      <c r="I39" s="3"/>
      <c r="J39" s="4"/>
      <c r="K39" s="3"/>
      <c r="L39" s="4"/>
      <c r="M39" s="3"/>
      <c r="N39" s="4"/>
    </row>
    <row r="40" spans="1:16">
      <c r="E40" s="9" t="s">
        <v>91</v>
      </c>
      <c r="F40" s="30">
        <f>SUM(F14:F38)</f>
        <v>1.2397473581032051E-2</v>
      </c>
      <c r="G40" s="31"/>
      <c r="H40" s="32"/>
      <c r="I40" s="33">
        <f>SUM(J14:J38)</f>
        <v>8.4160268468508673E-3</v>
      </c>
      <c r="J40" s="31"/>
      <c r="K40" s="31"/>
      <c r="L40" s="33">
        <f>SUM(L14:L38)</f>
        <v>8.7666310550374178E-3</v>
      </c>
      <c r="M40" s="31"/>
      <c r="N40" s="33">
        <f>SUM(N14:N38)</f>
        <v>4.6338392588410613E-3</v>
      </c>
      <c r="O40" s="34"/>
      <c r="P40" s="35">
        <f>SUM(P14:P38)</f>
        <v>6.1424093225963929E-3</v>
      </c>
    </row>
    <row r="41" spans="1:16">
      <c r="E41" s="9" t="s">
        <v>118</v>
      </c>
      <c r="F41" s="36">
        <f>B39*(1.05^-25)*(1.025^25)</f>
        <v>0.5371817238718769</v>
      </c>
      <c r="G41" s="37"/>
      <c r="H41" s="38"/>
      <c r="I41" s="39">
        <f>B39*((1.025/1.05)^50)</f>
        <v>0.2940934733894961</v>
      </c>
      <c r="J41" s="37"/>
      <c r="K41" s="37"/>
      <c r="L41" s="39">
        <f>B39*D38</f>
        <v>0.28975076668063199</v>
      </c>
      <c r="M41" s="37"/>
      <c r="N41" s="39">
        <f>B39*(D38^2)</f>
        <v>8.55642045023422E-2</v>
      </c>
      <c r="O41" s="40"/>
      <c r="P41" s="41">
        <f>B39*(1.025^25)/(1.05^50)</f>
        <v>0.15863125196474712</v>
      </c>
    </row>
    <row r="42" spans="1:16">
      <c r="E42" s="48" t="s">
        <v>162</v>
      </c>
      <c r="F42" s="55">
        <f>F40+F41</f>
        <v>0.54957919745290895</v>
      </c>
      <c r="G42" s="3"/>
      <c r="H42" s="48" t="s">
        <v>163</v>
      </c>
      <c r="I42" s="68">
        <f>I41+I40</f>
        <v>0.30250950023634698</v>
      </c>
      <c r="J42" s="3"/>
      <c r="K42" s="48" t="s">
        <v>164</v>
      </c>
      <c r="L42" s="68">
        <f>L40+L41</f>
        <v>0.29851739773566943</v>
      </c>
      <c r="M42" s="48" t="s">
        <v>165</v>
      </c>
      <c r="N42" s="68">
        <f>N40+N41</f>
        <v>9.0198043761183261E-2</v>
      </c>
      <c r="P42" s="10">
        <f>P40+P41</f>
        <v>0.1647736612873435</v>
      </c>
    </row>
    <row r="43" spans="1:16">
      <c r="H43" s="3"/>
      <c r="I43" s="3"/>
      <c r="J43" s="3"/>
      <c r="K43" s="3"/>
      <c r="L43" s="3"/>
      <c r="M43" s="3"/>
      <c r="N43" s="3"/>
      <c r="O43" s="3"/>
      <c r="P43" s="3"/>
    </row>
    <row r="44" spans="1:16">
      <c r="H44" s="42"/>
      <c r="I44" s="3"/>
      <c r="J44" s="3"/>
      <c r="K44" s="3"/>
      <c r="L44" s="3"/>
      <c r="M44" s="3"/>
      <c r="N44" s="3"/>
      <c r="O44" s="3"/>
      <c r="P44" s="3"/>
    </row>
    <row r="45" spans="1:16">
      <c r="A45" s="48" t="s">
        <v>159</v>
      </c>
      <c r="B45" s="78">
        <f>I42-F42^2</f>
        <v>4.722059633635034E-4</v>
      </c>
      <c r="H45" s="42"/>
      <c r="I45" s="3"/>
      <c r="J45" s="3"/>
      <c r="K45" s="3"/>
      <c r="L45" s="3"/>
      <c r="M45" s="3"/>
      <c r="N45" s="3"/>
      <c r="O45" s="3"/>
      <c r="P45" s="3"/>
    </row>
    <row r="46" spans="1:16">
      <c r="A46" s="48" t="s">
        <v>160</v>
      </c>
      <c r="B46" s="78">
        <f>N42-L42^2</f>
        <v>1.0854070103074043E-3</v>
      </c>
      <c r="H46" s="42"/>
      <c r="I46" s="3"/>
      <c r="J46" s="3"/>
      <c r="K46" s="3"/>
      <c r="L46" s="3"/>
      <c r="M46" s="3"/>
      <c r="N46" s="3"/>
      <c r="O46" s="3"/>
      <c r="P46" s="3"/>
    </row>
    <row r="47" spans="1:16">
      <c r="A47" s="60" t="s">
        <v>161</v>
      </c>
      <c r="B47" s="78">
        <f>P42-F42*L42</f>
        <v>7.1470941404347399E-4</v>
      </c>
      <c r="H47" s="42"/>
      <c r="I47" s="3"/>
      <c r="J47" s="3"/>
      <c r="K47" s="3"/>
      <c r="L47" s="3"/>
      <c r="M47" s="3"/>
      <c r="N47" s="3"/>
      <c r="O47" s="3"/>
      <c r="P47" s="3"/>
    </row>
    <row r="48" spans="1:16">
      <c r="A48" s="48" t="s">
        <v>119</v>
      </c>
      <c r="B48" s="57">
        <f>(250000*F42+1200)/(-0.99*L42/B10 -0.39+0.99/B10)</f>
        <v>9764.4444645669355</v>
      </c>
      <c r="G48" s="3"/>
      <c r="H48" s="3"/>
      <c r="I48" s="3"/>
      <c r="J48" s="3"/>
      <c r="K48" s="3"/>
      <c r="L48" s="3"/>
      <c r="M48" s="3"/>
      <c r="N48" s="3"/>
      <c r="O48" s="3"/>
    </row>
    <row r="49" spans="1:8">
      <c r="A49" s="48" t="s">
        <v>157</v>
      </c>
      <c r="B49" s="56">
        <f>((250000^2)*B45)+(((0.99*B48)/B10)^2)*B46+500000*0.99*B48*B47/B10</f>
        <v>146786650.54962361</v>
      </c>
    </row>
    <row r="50" spans="1:8">
      <c r="H50" s="3"/>
    </row>
    <row r="51" spans="1:8">
      <c r="G51" s="9"/>
      <c r="H51" s="3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zoomScale="125" zoomScaleNormal="125" zoomScalePageLayoutView="125" workbookViewId="0"/>
  </sheetViews>
  <sheetFormatPr baseColWidth="10" defaultRowHeight="12" x14ac:dyDescent="0"/>
  <sheetData>
    <row r="1" spans="1:9" ht="15">
      <c r="A1" s="70" t="s">
        <v>747</v>
      </c>
      <c r="D1" s="42"/>
      <c r="E1" s="42"/>
    </row>
    <row r="2" spans="1:9">
      <c r="D2" s="42"/>
      <c r="E2" s="42"/>
    </row>
    <row r="3" spans="1:9">
      <c r="A3" s="52" t="s">
        <v>9</v>
      </c>
      <c r="B3" s="51">
        <v>2.2000000000000001E-4</v>
      </c>
      <c r="D3" s="42"/>
      <c r="E3" s="42"/>
    </row>
    <row r="4" spans="1:9">
      <c r="A4" s="52" t="s">
        <v>10</v>
      </c>
      <c r="B4" s="51">
        <f>2.7/1000000</f>
        <v>2.7E-6</v>
      </c>
      <c r="D4" s="42"/>
      <c r="E4" s="42"/>
    </row>
    <row r="5" spans="1:9">
      <c r="A5" s="52" t="s">
        <v>24</v>
      </c>
      <c r="B5" s="51">
        <v>1.1240000000000001</v>
      </c>
      <c r="D5" s="42"/>
      <c r="E5" s="42"/>
    </row>
    <row r="6" spans="1:9">
      <c r="A6" s="52" t="s">
        <v>74</v>
      </c>
      <c r="B6" s="51">
        <v>0.05</v>
      </c>
      <c r="D6" s="42"/>
      <c r="E6" s="42"/>
    </row>
    <row r="7" spans="1:9">
      <c r="A7" s="52" t="s">
        <v>82</v>
      </c>
      <c r="B7" s="51">
        <v>35</v>
      </c>
      <c r="D7" s="42"/>
      <c r="E7" s="42"/>
    </row>
    <row r="8" spans="1:9">
      <c r="A8" s="9" t="s">
        <v>25</v>
      </c>
      <c r="B8" s="18">
        <f>EXP(-B4/LN(B5))</f>
        <v>0.99997690236831238</v>
      </c>
      <c r="D8" s="42"/>
      <c r="E8" s="42"/>
    </row>
    <row r="9" spans="1:9">
      <c r="A9" s="9" t="s">
        <v>27</v>
      </c>
      <c r="B9" s="18">
        <f>EXP(-B3)</f>
        <v>0.99978002419822543</v>
      </c>
      <c r="D9" s="42"/>
      <c r="E9" s="42"/>
    </row>
    <row r="10" spans="1:9">
      <c r="D10" s="42"/>
      <c r="E10" s="42"/>
    </row>
    <row r="11" spans="1:9">
      <c r="A11" s="1" t="s">
        <v>1</v>
      </c>
      <c r="D11" s="42"/>
      <c r="E11" s="42"/>
      <c r="G11" s="1" t="s">
        <v>2</v>
      </c>
    </row>
    <row r="12" spans="1:9">
      <c r="D12" s="42" t="s">
        <v>86</v>
      </c>
      <c r="E12" s="42" t="s">
        <v>86</v>
      </c>
      <c r="G12" s="60" t="s">
        <v>166</v>
      </c>
      <c r="H12" s="60"/>
      <c r="I12" s="57">
        <f>100000*E35-0.96*C37*(D35-1)</f>
        <v>-122.33452253664541</v>
      </c>
    </row>
    <row r="13" spans="1:9">
      <c r="A13" s="42" t="s">
        <v>0</v>
      </c>
      <c r="B13" s="7" t="s">
        <v>84</v>
      </c>
      <c r="C13" s="42" t="s">
        <v>85</v>
      </c>
      <c r="D13" s="42" t="s">
        <v>167</v>
      </c>
      <c r="E13" s="42" t="s">
        <v>168</v>
      </c>
    </row>
    <row r="14" spans="1:9">
      <c r="A14" s="42">
        <v>0</v>
      </c>
      <c r="B14" s="10">
        <f>EXP(-(0.9^(2-A14))*(B$3*((0.9^A14 - 1)/LN(0.9)) +B$4*(B$5^B$7)*((0.9^A14 -B$5^A14)/LN(0.9/B$5))))</f>
        <v>1</v>
      </c>
      <c r="C14" s="10">
        <f>(1+B$6)^-A14</f>
        <v>1</v>
      </c>
      <c r="D14" s="10">
        <f t="shared" ref="D14:D33" si="0">B14*C14</f>
        <v>1</v>
      </c>
      <c r="E14" s="10">
        <f t="shared" ref="E14:E33" si="1">(B14-B15)*C15</f>
        <v>3.1844384947769875E-4</v>
      </c>
    </row>
    <row r="15" spans="1:9">
      <c r="A15" s="42">
        <v>1</v>
      </c>
      <c r="B15" s="10">
        <f t="shared" ref="B15:B16" si="2">EXP(-(0.9^(2-A15))*(B$3*((0.9^A15 - 1)/LN(0.9)) +B$4*(B$5^B$7)*((0.9^A15 -B$5^A15)/LN(0.9/B$5))))</f>
        <v>0.99966563395804842</v>
      </c>
      <c r="C15" s="10">
        <f t="shared" ref="C15:C34" si="3">(1+B$6)^-A15</f>
        <v>0.95238095238095233</v>
      </c>
      <c r="D15" s="10">
        <f t="shared" si="0"/>
        <v>0.95206250853147467</v>
      </c>
      <c r="E15" s="10">
        <f t="shared" si="1"/>
        <v>3.551529385234288E-4</v>
      </c>
      <c r="G15" s="1" t="s">
        <v>3</v>
      </c>
    </row>
    <row r="16" spans="1:9">
      <c r="A16" s="42">
        <v>2</v>
      </c>
      <c r="B16" s="10">
        <f t="shared" si="2"/>
        <v>0.99927407784332634</v>
      </c>
      <c r="C16" s="10">
        <f t="shared" si="3"/>
        <v>0.90702947845804982</v>
      </c>
      <c r="D16" s="10">
        <f t="shared" si="0"/>
        <v>0.90637104566288096</v>
      </c>
      <c r="E16" s="10">
        <f t="shared" si="1"/>
        <v>3.7666176071796088E-4</v>
      </c>
    </row>
    <row r="17" spans="1:10">
      <c r="A17" s="42">
        <v>3</v>
      </c>
      <c r="B17" s="10">
        <f>B16*B$9*B$8^((B$5^(B$7+A16))*(B$5-1))</f>
        <v>0.99883804477257521</v>
      </c>
      <c r="C17" s="10">
        <f t="shared" si="3"/>
        <v>0.86383759853147601</v>
      </c>
      <c r="D17" s="10">
        <f t="shared" si="0"/>
        <v>0.86283385791821632</v>
      </c>
      <c r="E17" s="10">
        <f t="shared" si="1"/>
        <v>3.8061404573603262E-4</v>
      </c>
      <c r="G17" s="42" t="s">
        <v>0</v>
      </c>
      <c r="H17" s="42" t="s">
        <v>103</v>
      </c>
      <c r="I17" s="80" t="s">
        <v>169</v>
      </c>
      <c r="J17" s="80" t="s">
        <v>170</v>
      </c>
    </row>
    <row r="18" spans="1:10">
      <c r="A18" s="42">
        <v>4</v>
      </c>
      <c r="B18" s="10">
        <f t="shared" ref="B18:B34" si="4">B17*B$9*B$8^((B$5^(B$7+A17))*(B$5-1))</f>
        <v>0.99837540602114527</v>
      </c>
      <c r="C18" s="10">
        <f t="shared" si="3"/>
        <v>0.82270247479188197</v>
      </c>
      <c r="D18" s="10">
        <f t="shared" si="0"/>
        <v>0.82136591730494624</v>
      </c>
      <c r="E18" s="10">
        <f t="shared" si="1"/>
        <v>3.8590881088897795E-4</v>
      </c>
      <c r="G18" s="42">
        <v>1</v>
      </c>
      <c r="H18" s="10">
        <f>B16/B15</f>
        <v>0.99960831291841878</v>
      </c>
      <c r="I18" s="12">
        <f t="shared" ref="I18:I34" si="5">(100000*(1-H18)+I19*H18)/(1+B$6) -0.96*C$37</f>
        <v>-161.94200076446464</v>
      </c>
      <c r="J18" s="12">
        <f>I18+0.96*C$37</f>
        <v>-74.225696805852607</v>
      </c>
    </row>
    <row r="19" spans="1:10">
      <c r="A19" s="42">
        <v>5</v>
      </c>
      <c r="B19" s="10">
        <f t="shared" si="4"/>
        <v>0.99788287772100137</v>
      </c>
      <c r="C19" s="10">
        <f t="shared" si="3"/>
        <v>0.78352616646845896</v>
      </c>
      <c r="D19" s="10">
        <f t="shared" si="0"/>
        <v>0.78186734576525019</v>
      </c>
      <c r="E19" s="10">
        <f t="shared" si="1"/>
        <v>3.9258709356267851E-4</v>
      </c>
      <c r="G19" s="42">
        <v>2</v>
      </c>
      <c r="H19" s="10">
        <f t="shared" ref="H19:H36" si="6">B17/B16</f>
        <v>0.99956365017324156</v>
      </c>
      <c r="I19" s="12">
        <f t="shared" si="5"/>
        <v>-117.15157656339359</v>
      </c>
      <c r="J19" s="12">
        <f t="shared" ref="J19:J36" si="7">I19+0.96*C$37</f>
        <v>-29.435272604781559</v>
      </c>
    </row>
    <row r="20" spans="1:10">
      <c r="A20" s="42">
        <v>6</v>
      </c>
      <c r="B20" s="10">
        <f t="shared" si="4"/>
        <v>0.99735677346835239</v>
      </c>
      <c r="C20" s="10">
        <f t="shared" si="3"/>
        <v>0.74621539663662761</v>
      </c>
      <c r="D20" s="10">
        <f t="shared" si="0"/>
        <v>0.74424298030191371</v>
      </c>
      <c r="E20" s="10">
        <f t="shared" si="1"/>
        <v>4.0069489033527344E-4</v>
      </c>
      <c r="G20" s="42">
        <v>3</v>
      </c>
      <c r="H20" s="10">
        <f t="shared" si="6"/>
        <v>0.99953682305770075</v>
      </c>
      <c r="I20" s="12">
        <f t="shared" si="5"/>
        <v>-74.574559506986304</v>
      </c>
      <c r="J20" s="12">
        <f t="shared" si="7"/>
        <v>13.141744451625726</v>
      </c>
    </row>
    <row r="21" spans="1:10">
      <c r="A21" s="42">
        <v>7</v>
      </c>
      <c r="B21" s="10">
        <f t="shared" si="4"/>
        <v>0.99679295551880542</v>
      </c>
      <c r="C21" s="10">
        <f t="shared" si="3"/>
        <v>0.71068133013012147</v>
      </c>
      <c r="D21" s="10">
        <f t="shared" si="0"/>
        <v>0.70840214349243968</v>
      </c>
      <c r="E21" s="10">
        <f t="shared" si="1"/>
        <v>4.1028331114129052E-4</v>
      </c>
      <c r="G21" s="42">
        <v>4</v>
      </c>
      <c r="H21" s="10">
        <f t="shared" si="6"/>
        <v>0.99950667023929729</v>
      </c>
      <c r="I21" s="81">
        <f t="shared" si="5"/>
        <v>-32.533931522641446</v>
      </c>
      <c r="J21" s="57">
        <f t="shared" si="7"/>
        <v>55.182372435970585</v>
      </c>
    </row>
    <row r="22" spans="1:10">
      <c r="A22" s="42">
        <v>8</v>
      </c>
      <c r="B22" s="10">
        <f t="shared" si="4"/>
        <v>0.99618678020726392</v>
      </c>
      <c r="C22" s="10">
        <f t="shared" si="3"/>
        <v>0.67683936202868722</v>
      </c>
      <c r="D22" s="10">
        <f t="shared" si="0"/>
        <v>0.67425842477689657</v>
      </c>
      <c r="E22" s="10">
        <f t="shared" si="1"/>
        <v>4.2140873453851157E-4</v>
      </c>
      <c r="G22" s="42">
        <v>5</v>
      </c>
      <c r="H22" s="10">
        <f t="shared" si="6"/>
        <v>0.99947277955720559</v>
      </c>
      <c r="I22" s="12">
        <f t="shared" si="5"/>
        <v>8.612763920261898</v>
      </c>
      <c r="J22" s="12">
        <f t="shared" si="7"/>
        <v>96.329067878873929</v>
      </c>
    </row>
    <row r="23" spans="1:10">
      <c r="A23" s="42">
        <v>9</v>
      </c>
      <c r="B23" s="10">
        <f t="shared" si="4"/>
        <v>0.99553303694691453</v>
      </c>
      <c r="C23" s="10">
        <f t="shared" si="3"/>
        <v>0.64460891621779726</v>
      </c>
      <c r="D23" s="10">
        <f t="shared" si="0"/>
        <v>0.6417294720053629</v>
      </c>
      <c r="E23" s="10">
        <f t="shared" si="1"/>
        <v>4.3413296083868558E-4</v>
      </c>
      <c r="G23" s="42">
        <v>6</v>
      </c>
      <c r="H23" s="10">
        <f t="shared" si="6"/>
        <v>0.99943468780225331</v>
      </c>
      <c r="I23" s="12">
        <f t="shared" si="5"/>
        <v>48.449020307316289</v>
      </c>
      <c r="J23" s="12">
        <f t="shared" si="7"/>
        <v>136.16532426592832</v>
      </c>
    </row>
    <row r="24" spans="1:10">
      <c r="A24" s="42">
        <v>10</v>
      </c>
      <c r="B24" s="10">
        <f t="shared" si="4"/>
        <v>0.99482588009969741</v>
      </c>
      <c r="C24" s="10">
        <f t="shared" si="3"/>
        <v>0.61391325354075932</v>
      </c>
      <c r="D24" s="10">
        <f t="shared" si="0"/>
        <v>0.61073679275855453</v>
      </c>
      <c r="E24" s="10">
        <f t="shared" si="1"/>
        <v>4.4852335906374487E-4</v>
      </c>
      <c r="G24" s="42">
        <v>7</v>
      </c>
      <c r="H24" s="10">
        <f t="shared" si="6"/>
        <v>0.99939187440261756</v>
      </c>
      <c r="I24" s="12">
        <f t="shared" si="5"/>
        <v>86.49126527181221</v>
      </c>
      <c r="J24" s="12">
        <f t="shared" si="7"/>
        <v>174.20756923042424</v>
      </c>
    </row>
    <row r="25" spans="1:10">
      <c r="A25" s="42">
        <v>11</v>
      </c>
      <c r="B25" s="10">
        <f t="shared" si="4"/>
        <v>0.99405875294565615</v>
      </c>
      <c r="C25" s="10">
        <f t="shared" si="3"/>
        <v>0.5846792890864374</v>
      </c>
      <c r="D25" s="10">
        <f t="shared" si="0"/>
        <v>0.58120556498241671</v>
      </c>
      <c r="E25" s="10">
        <f t="shared" si="1"/>
        <v>4.6465300270956151E-4</v>
      </c>
      <c r="G25" s="42">
        <v>8</v>
      </c>
      <c r="H25" s="10">
        <f t="shared" si="6"/>
        <v>0.99934375433067546</v>
      </c>
      <c r="I25" s="12">
        <f t="shared" si="5"/>
        <v>122.17968854978918</v>
      </c>
      <c r="J25" s="12">
        <f t="shared" si="7"/>
        <v>209.89599250840121</v>
      </c>
    </row>
    <row r="26" spans="1:10">
      <c r="A26" s="42">
        <v>12</v>
      </c>
      <c r="B26" s="10">
        <f t="shared" si="4"/>
        <v>0.99322430291133501</v>
      </c>
      <c r="C26" s="10">
        <f t="shared" si="3"/>
        <v>0.5568374181775595</v>
      </c>
      <c r="D26" s="10">
        <f t="shared" si="0"/>
        <v>0.5530644565043541</v>
      </c>
      <c r="E26" s="10">
        <f t="shared" si="1"/>
        <v>4.826007881258065E-4</v>
      </c>
      <c r="G26" s="42">
        <v>9</v>
      </c>
      <c r="H26" s="10">
        <f t="shared" si="6"/>
        <v>0.99928967013552272</v>
      </c>
      <c r="I26" s="12">
        <f t="shared" si="5"/>
        <v>154.86785656155337</v>
      </c>
      <c r="J26" s="12">
        <f t="shared" si="7"/>
        <v>242.5841605201654</v>
      </c>
    </row>
    <row r="27" spans="1:10">
      <c r="A27" s="42">
        <v>13</v>
      </c>
      <c r="B27" s="10">
        <f t="shared" si="4"/>
        <v>0.99231428714912107</v>
      </c>
      <c r="C27" s="10">
        <f t="shared" si="3"/>
        <v>0.53032135064529462</v>
      </c>
      <c r="D27" s="10">
        <f t="shared" si="0"/>
        <v>0.5262454530255446</v>
      </c>
      <c r="E27" s="10">
        <f t="shared" si="1"/>
        <v>5.0245152790670544E-4</v>
      </c>
      <c r="G27" s="42">
        <v>10</v>
      </c>
      <c r="H27" s="10">
        <f t="shared" si="6"/>
        <v>0.99922888299411317</v>
      </c>
      <c r="I27" s="12">
        <f t="shared" si="5"/>
        <v>183.81094850458666</v>
      </c>
      <c r="J27" s="12">
        <f t="shared" si="7"/>
        <v>271.52725246319869</v>
      </c>
    </row>
    <row r="28" spans="1:10">
      <c r="A28" s="42">
        <v>14</v>
      </c>
      <c r="B28" s="10">
        <f t="shared" si="4"/>
        <v>0.99131946749183197</v>
      </c>
      <c r="C28" s="10">
        <f t="shared" si="3"/>
        <v>0.50506795299551888</v>
      </c>
      <c r="D28" s="10">
        <f t="shared" si="0"/>
        <v>0.50068369421070735</v>
      </c>
      <c r="E28" s="10">
        <f t="shared" si="1"/>
        <v>5.2429600999832069E-4</v>
      </c>
      <c r="G28" s="42">
        <v>11</v>
      </c>
      <c r="H28" s="10">
        <f t="shared" si="6"/>
        <v>0.99916056266106157</v>
      </c>
      <c r="I28" s="12">
        <f t="shared" si="5"/>
        <v>208.15242437192492</v>
      </c>
      <c r="J28" s="12">
        <f t="shared" si="7"/>
        <v>295.86872833053695</v>
      </c>
    </row>
    <row r="29" spans="1:10">
      <c r="A29" s="42">
        <v>15</v>
      </c>
      <c r="B29" s="10">
        <f t="shared" si="4"/>
        <v>0.99022949374229352</v>
      </c>
      <c r="C29" s="10">
        <f t="shared" si="3"/>
        <v>0.48101709809097021</v>
      </c>
      <c r="D29" s="10">
        <f t="shared" si="0"/>
        <v>0.47631731752400858</v>
      </c>
      <c r="E29" s="10">
        <f t="shared" si="1"/>
        <v>5.4823101120800256E-4</v>
      </c>
      <c r="G29" s="42">
        <v>12</v>
      </c>
      <c r="H29" s="10">
        <f t="shared" si="6"/>
        <v>0.99908377618273481</v>
      </c>
      <c r="I29" s="12">
        <f t="shared" si="5"/>
        <v>226.90890666201042</v>
      </c>
      <c r="J29" s="12">
        <f t="shared" si="7"/>
        <v>314.62521062062245</v>
      </c>
    </row>
    <row r="30" spans="1:10">
      <c r="A30" s="42">
        <v>16</v>
      </c>
      <c r="B30" s="10">
        <f t="shared" si="4"/>
        <v>0.98903277419936464</v>
      </c>
      <c r="C30" s="10">
        <f t="shared" si="3"/>
        <v>0.45811152199140021</v>
      </c>
      <c r="D30" s="10">
        <f t="shared" si="0"/>
        <v>0.45308730948784781</v>
      </c>
      <c r="E30" s="10">
        <f t="shared" si="1"/>
        <v>5.7435925140223365E-4</v>
      </c>
      <c r="G30" s="42">
        <v>13</v>
      </c>
      <c r="H30" s="10">
        <f t="shared" si="6"/>
        <v>0.99899747522516569</v>
      </c>
      <c r="I30" s="81">
        <f t="shared" si="5"/>
        <v>238.9530238768177</v>
      </c>
      <c r="J30" s="57">
        <f t="shared" si="7"/>
        <v>326.66932783542973</v>
      </c>
    </row>
    <row r="31" spans="1:10">
      <c r="A31" s="42">
        <v>17</v>
      </c>
      <c r="B31" s="10">
        <f t="shared" si="4"/>
        <v>0.98771633227415223</v>
      </c>
      <c r="C31" s="10">
        <f t="shared" si="3"/>
        <v>0.43629668761085727</v>
      </c>
      <c r="D31" s="10">
        <f t="shared" si="0"/>
        <v>0.43093736407035749</v>
      </c>
      <c r="E31" s="10">
        <f t="shared" si="1"/>
        <v>6.0278927183086658E-4</v>
      </c>
      <c r="G31" s="42">
        <v>14</v>
      </c>
      <c r="H31" s="10">
        <f t="shared" si="6"/>
        <v>0.99890048184739455</v>
      </c>
      <c r="I31" s="12">
        <f t="shared" si="5"/>
        <v>242.99392417288752</v>
      </c>
      <c r="J31" s="12">
        <f t="shared" si="7"/>
        <v>330.71022813149955</v>
      </c>
    </row>
    <row r="32" spans="1:10">
      <c r="A32" s="42">
        <v>18</v>
      </c>
      <c r="B32" s="10">
        <f t="shared" si="4"/>
        <v>0.98626564801870142</v>
      </c>
      <c r="C32" s="10">
        <f t="shared" si="3"/>
        <v>0.41552065486748313</v>
      </c>
      <c r="D32" s="10">
        <f t="shared" si="0"/>
        <v>0.40981374793803343</v>
      </c>
      <c r="E32" s="10">
        <f t="shared" si="1"/>
        <v>6.3363521765684167E-4</v>
      </c>
      <c r="G32" s="42">
        <v>15</v>
      </c>
      <c r="H32" s="10">
        <f t="shared" si="6"/>
        <v>0.99879147253188127</v>
      </c>
      <c r="I32" s="12">
        <f t="shared" si="5"/>
        <v>237.55512044470285</v>
      </c>
      <c r="J32" s="12">
        <f t="shared" si="7"/>
        <v>325.27142440331488</v>
      </c>
    </row>
    <row r="33" spans="1:10">
      <c r="A33" s="42">
        <v>19</v>
      </c>
      <c r="B33" s="10">
        <f t="shared" si="4"/>
        <v>0.98466448338164658</v>
      </c>
      <c r="C33" s="10">
        <f t="shared" si="3"/>
        <v>0.39573395701665059</v>
      </c>
      <c r="D33" s="10">
        <f t="shared" si="0"/>
        <v>0.38966517234237497</v>
      </c>
      <c r="E33" s="10">
        <f t="shared" si="1"/>
        <v>6.6701650081771161E-4</v>
      </c>
      <c r="G33" s="42">
        <v>16</v>
      </c>
      <c r="H33" s="10">
        <f t="shared" si="6"/>
        <v>0.99866896026142504</v>
      </c>
      <c r="I33" s="12">
        <f t="shared" si="5"/>
        <v>220.9492720759728</v>
      </c>
      <c r="J33" s="12">
        <f t="shared" si="7"/>
        <v>308.66557603458483</v>
      </c>
    </row>
    <row r="34" spans="1:10">
      <c r="A34" s="42">
        <v>20</v>
      </c>
      <c r="B34" s="10">
        <f t="shared" si="4"/>
        <v>0.98289469003073349</v>
      </c>
      <c r="C34" s="10">
        <f t="shared" si="3"/>
        <v>0.37688948287300061</v>
      </c>
      <c r="D34" s="10"/>
      <c r="E34" s="10"/>
      <c r="G34" s="42">
        <v>17</v>
      </c>
      <c r="H34" s="10">
        <f t="shared" si="6"/>
        <v>0.99853127440738909</v>
      </c>
      <c r="I34" s="12">
        <f t="shared" si="5"/>
        <v>191.24944158554902</v>
      </c>
      <c r="J34" s="12">
        <f t="shared" si="7"/>
        <v>278.96574554416105</v>
      </c>
    </row>
    <row r="35" spans="1:10">
      <c r="D35" s="10">
        <f>SUM(D14:D33)</f>
        <v>13.024890568603581</v>
      </c>
      <c r="E35" s="10">
        <f>SUM(E14:E33)</f>
        <v>9.3244443364803326E-3</v>
      </c>
      <c r="G35" s="42">
        <v>18</v>
      </c>
      <c r="H35" s="10">
        <f t="shared" si="6"/>
        <v>0.99837653816669836</v>
      </c>
      <c r="I35" s="12">
        <f>(100000*(1-H35)+I36*H35)/(1+B$6) -0.96*C$37</f>
        <v>146.25628390753337</v>
      </c>
      <c r="J35" s="12">
        <f t="shared" si="7"/>
        <v>233.9725878661454</v>
      </c>
    </row>
    <row r="36" spans="1:10">
      <c r="G36" s="42">
        <v>19</v>
      </c>
      <c r="H36" s="10">
        <f t="shared" si="6"/>
        <v>0.99820264325485264</v>
      </c>
      <c r="I36" s="12">
        <f>100000*(1-H36)/(1+B$6) -0.96*C37</f>
        <v>83.460528912565138</v>
      </c>
      <c r="J36" s="12">
        <f t="shared" si="7"/>
        <v>171.17683287117717</v>
      </c>
    </row>
    <row r="37" spans="1:10">
      <c r="A37" s="60"/>
      <c r="B37" s="48" t="s">
        <v>171</v>
      </c>
      <c r="C37" s="57">
        <f>(100000*E35+200)/(0.96*D35-0.11)</f>
        <v>91.371149956887535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6"/>
  <sheetViews>
    <sheetView zoomScale="125" zoomScaleNormal="125" zoomScalePageLayoutView="125" workbookViewId="0"/>
  </sheetViews>
  <sheetFormatPr baseColWidth="10" defaultRowHeight="12" x14ac:dyDescent="0"/>
  <cols>
    <col min="8" max="21" width="10.83203125" style="14"/>
    <col min="22" max="24" width="10.83203125" style="4"/>
  </cols>
  <sheetData>
    <row r="1" spans="1:24" ht="15">
      <c r="A1" s="310" t="s">
        <v>574</v>
      </c>
      <c r="B1" s="311"/>
      <c r="C1" s="311"/>
      <c r="D1" s="311"/>
      <c r="E1" s="312"/>
      <c r="F1" s="312"/>
      <c r="G1" s="313"/>
      <c r="H1" s="311"/>
      <c r="I1" s="311"/>
      <c r="J1" s="311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1"/>
      <c r="W1" s="311"/>
      <c r="X1" s="311"/>
    </row>
    <row r="2" spans="1:24" ht="15">
      <c r="A2" s="310" t="s">
        <v>546</v>
      </c>
      <c r="B2" s="311"/>
      <c r="C2" s="311"/>
      <c r="D2" s="311"/>
      <c r="E2" s="312"/>
      <c r="F2" s="312"/>
      <c r="G2" s="313"/>
      <c r="H2" s="311"/>
      <c r="I2" s="311"/>
      <c r="J2" s="311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1"/>
      <c r="W2" s="311"/>
      <c r="X2" s="311"/>
    </row>
    <row r="3" spans="1:24">
      <c r="A3" s="312"/>
      <c r="B3" s="311"/>
      <c r="C3" s="311"/>
      <c r="D3" s="311"/>
      <c r="E3" s="312"/>
      <c r="F3" s="312"/>
      <c r="G3" s="311"/>
      <c r="H3" s="311"/>
      <c r="I3" s="311"/>
      <c r="J3" s="311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1"/>
      <c r="W3" s="311"/>
      <c r="X3" s="311"/>
    </row>
    <row r="4" spans="1:24">
      <c r="A4" s="316" t="s">
        <v>380</v>
      </c>
      <c r="B4" s="328">
        <v>2.2000000000000001E-4</v>
      </c>
      <c r="C4" s="317" t="s">
        <v>547</v>
      </c>
      <c r="D4" s="318">
        <v>0.9</v>
      </c>
      <c r="E4" s="316" t="s">
        <v>381</v>
      </c>
      <c r="F4" s="319">
        <v>0.05</v>
      </c>
      <c r="G4" s="316" t="s">
        <v>291</v>
      </c>
      <c r="H4" s="351">
        <v>12</v>
      </c>
      <c r="I4" s="311"/>
      <c r="J4" s="311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1"/>
      <c r="W4" s="311"/>
      <c r="X4" s="311"/>
    </row>
    <row r="5" spans="1:24">
      <c r="A5" s="316" t="s">
        <v>382</v>
      </c>
      <c r="B5" s="317">
        <v>2.7E-6</v>
      </c>
      <c r="C5" s="320"/>
      <c r="D5" s="321"/>
      <c r="E5" s="312" t="s">
        <v>456</v>
      </c>
      <c r="F5" s="314">
        <f>1/(1+i)</f>
        <v>0.95238095238095233</v>
      </c>
      <c r="G5" s="311"/>
      <c r="H5" s="311"/>
      <c r="I5" s="311"/>
      <c r="J5" s="311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1"/>
      <c r="W5" s="311"/>
      <c r="X5" s="311"/>
    </row>
    <row r="6" spans="1:24">
      <c r="A6" s="316" t="s">
        <v>386</v>
      </c>
      <c r="B6" s="329">
        <v>1.1240000000000001</v>
      </c>
      <c r="C6" s="322"/>
      <c r="D6" s="322"/>
      <c r="E6" s="352" t="s">
        <v>548</v>
      </c>
      <c r="F6" s="314">
        <f>LN(1+i)</f>
        <v>4.8790164169432049E-2</v>
      </c>
      <c r="G6" s="313"/>
      <c r="H6" s="311"/>
      <c r="I6" s="311"/>
      <c r="J6" s="311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1"/>
      <c r="W6" s="311"/>
      <c r="X6" s="311"/>
    </row>
    <row r="7" spans="1:24">
      <c r="A7" s="312"/>
      <c r="B7" s="311"/>
      <c r="C7" s="311"/>
      <c r="D7" s="311"/>
      <c r="E7" s="312"/>
      <c r="F7" s="312"/>
      <c r="G7" s="313"/>
      <c r="H7" s="311"/>
      <c r="I7" s="311"/>
      <c r="J7" s="311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1"/>
      <c r="W7" s="311"/>
      <c r="X7" s="311"/>
    </row>
    <row r="8" spans="1:24" ht="17">
      <c r="A8" s="323" t="s">
        <v>5</v>
      </c>
      <c r="B8" s="324" t="s">
        <v>549</v>
      </c>
      <c r="C8" s="324" t="s">
        <v>550</v>
      </c>
      <c r="D8" s="324" t="s">
        <v>551</v>
      </c>
      <c r="E8" s="324" t="s">
        <v>552</v>
      </c>
      <c r="F8" s="324" t="s">
        <v>553</v>
      </c>
      <c r="G8" s="324" t="s">
        <v>554</v>
      </c>
      <c r="H8" s="324" t="s">
        <v>555</v>
      </c>
      <c r="I8" s="324" t="s">
        <v>556</v>
      </c>
      <c r="J8" s="324" t="s">
        <v>557</v>
      </c>
      <c r="K8" s="324" t="s">
        <v>558</v>
      </c>
      <c r="L8" s="324" t="s">
        <v>559</v>
      </c>
      <c r="M8" s="324" t="s">
        <v>560</v>
      </c>
      <c r="N8" s="324" t="s">
        <v>561</v>
      </c>
      <c r="O8" s="324" t="s">
        <v>562</v>
      </c>
      <c r="P8" s="324" t="s">
        <v>563</v>
      </c>
      <c r="Q8" s="324" t="s">
        <v>564</v>
      </c>
      <c r="R8" s="324" t="s">
        <v>565</v>
      </c>
      <c r="S8" s="324" t="s">
        <v>566</v>
      </c>
      <c r="T8" s="324" t="s">
        <v>567</v>
      </c>
      <c r="U8" s="324" t="s">
        <v>568</v>
      </c>
      <c r="V8" s="324" t="s">
        <v>569</v>
      </c>
      <c r="W8" s="324" t="s">
        <v>570</v>
      </c>
      <c r="X8" s="324" t="s">
        <v>571</v>
      </c>
    </row>
    <row r="9" spans="1:24">
      <c r="A9" s="312">
        <v>18</v>
      </c>
      <c r="B9" s="311">
        <f t="shared" ref="B9:B40" si="0">EXP(sel*(A/LN(sel)*(1-sel)-B*cc^x*(cc-sel)/LN(cc/sel)))</f>
        <v>0.99979201386913163</v>
      </c>
      <c r="C9" s="312"/>
      <c r="D9" s="312"/>
      <c r="E9" s="313">
        <f>F10/B9</f>
        <v>100044.19919441693</v>
      </c>
      <c r="F9" s="312"/>
      <c r="G9" s="312"/>
      <c r="H9" s="349">
        <f t="shared" ref="H9:H40" si="1">1+v*B9*I10</f>
        <v>20.054289640475805</v>
      </c>
      <c r="I9" s="349"/>
      <c r="J9" s="311"/>
      <c r="K9" s="311">
        <f t="shared" ref="K9:K40" si="2">v^10*G19/E9</f>
        <v>0.61233617722639966</v>
      </c>
      <c r="L9" s="311">
        <f>H9-K9*J19</f>
        <v>8.0997583077130759</v>
      </c>
      <c r="M9" s="311">
        <f t="shared" ref="M9:M40" si="3">v^20*G29/E9</f>
        <v>0.37458824424368681</v>
      </c>
      <c r="N9" s="311">
        <f>H9-M9*J29</f>
        <v>13.05785800021698</v>
      </c>
      <c r="O9" s="311">
        <f t="shared" ref="O9:O40" si="4">G34/E9*v^25</f>
        <v>0.29272064046382229</v>
      </c>
      <c r="P9" s="311">
        <f>H9-O9*J34</f>
        <v>14.759116621443393</v>
      </c>
      <c r="Q9" s="311">
        <f t="shared" ref="Q9:Q40" si="5">H9-(m-1)/(2*m)-(m^2-1)/(12*m^2)*(delta+sel^2*(A+B*cc^x))</f>
        <v>19.591902464299384</v>
      </c>
      <c r="R9" s="311"/>
      <c r="S9" s="311"/>
      <c r="T9" s="311"/>
      <c r="U9" s="311"/>
      <c r="V9" s="311"/>
      <c r="W9" s="311"/>
      <c r="X9" s="311"/>
    </row>
    <row r="10" spans="1:24">
      <c r="A10" s="312">
        <v>19</v>
      </c>
      <c r="B10" s="311">
        <f t="shared" si="0"/>
        <v>0.99978952427475665</v>
      </c>
      <c r="C10" s="311">
        <f t="shared" ref="C10:C41" si="6">EXP(A/LN(sel)*(1-sel)-B*cc^x*(cc-sel)/LN(cc/sel))</f>
        <v>0.99976614081780335</v>
      </c>
      <c r="D10" s="311"/>
      <c r="E10" s="313">
        <f t="shared" ref="E10:F73" si="7">F11/B10</f>
        <v>100019.78436623908</v>
      </c>
      <c r="F10" s="313">
        <f>G11/C10</f>
        <v>100023.39138851066</v>
      </c>
      <c r="G10" s="312"/>
      <c r="H10" s="349">
        <f t="shared" si="1"/>
        <v>20.011839701073932</v>
      </c>
      <c r="I10" s="349">
        <f t="shared" ref="I10:I41" si="8">1+v*C10*J11</f>
        <v>20.011166167524944</v>
      </c>
      <c r="J10" s="311"/>
      <c r="K10" s="311">
        <f t="shared" si="2"/>
        <v>0.61230463203840879</v>
      </c>
      <c r="L10" s="311">
        <f t="shared" ref="L10:L73" si="9">H10-K10*J20</f>
        <v>8.0996277265726562</v>
      </c>
      <c r="M10" s="311">
        <f t="shared" si="3"/>
        <v>0.37450613824057144</v>
      </c>
      <c r="N10" s="311">
        <f t="shared" ref="N10:N73" si="10">H10-M10*J30</f>
        <v>13.057206923768861</v>
      </c>
      <c r="O10" s="311">
        <f t="shared" si="4"/>
        <v>0.29259995002527156</v>
      </c>
      <c r="P10" s="311">
        <f t="shared" ref="P10:P73" si="11">H10-O10*J35</f>
        <v>14.757982550082303</v>
      </c>
      <c r="Q10" s="311">
        <f t="shared" si="5"/>
        <v>19.549452340881178</v>
      </c>
      <c r="R10" s="311"/>
      <c r="S10" s="311"/>
      <c r="T10" s="311"/>
      <c r="U10" s="311"/>
      <c r="V10" s="311"/>
      <c r="W10" s="311"/>
      <c r="X10" s="311"/>
    </row>
    <row r="11" spans="1:24">
      <c r="A11" s="325">
        <v>20</v>
      </c>
      <c r="B11" s="326">
        <f t="shared" si="0"/>
        <v>0.99978672597807927</v>
      </c>
      <c r="C11" s="326">
        <f t="shared" si="6"/>
        <v>0.99976303167247593</v>
      </c>
      <c r="D11" s="326">
        <f t="shared" ref="D11:D42" si="12">EXP(-(A+B/LN(cc)*cc^x*(cc-1)))</f>
        <v>0.99975036097160142</v>
      </c>
      <c r="E11" s="327">
        <f t="shared" si="7"/>
        <v>99995.077040026983</v>
      </c>
      <c r="F11" s="327">
        <f t="shared" si="7"/>
        <v>99998.732629585909</v>
      </c>
      <c r="G11" s="327">
        <v>100000</v>
      </c>
      <c r="H11" s="350">
        <f t="shared" si="1"/>
        <v>19.967315311773387</v>
      </c>
      <c r="I11" s="350">
        <f t="shared" si="8"/>
        <v>19.9666341779369</v>
      </c>
      <c r="J11" s="326">
        <f t="shared" ref="J11:J42" si="13">1+v*D11*J12</f>
        <v>19.966393800426779</v>
      </c>
      <c r="K11" s="326">
        <f t="shared" si="2"/>
        <v>0.6122691771869484</v>
      </c>
      <c r="L11" s="326">
        <f t="shared" si="9"/>
        <v>8.0994809576464863</v>
      </c>
      <c r="M11" s="326">
        <f t="shared" si="3"/>
        <v>0.3744138725754585</v>
      </c>
      <c r="N11" s="326">
        <f t="shared" si="10"/>
        <v>13.056475194691968</v>
      </c>
      <c r="O11" s="326">
        <f t="shared" si="4"/>
        <v>0.292464353370886</v>
      </c>
      <c r="P11" s="326">
        <f t="shared" si="11"/>
        <v>14.75670810369207</v>
      </c>
      <c r="Q11" s="326">
        <f t="shared" si="5"/>
        <v>19.504927744746279</v>
      </c>
      <c r="R11" s="326">
        <f t="shared" ref="R11:R42" si="14">I11-(m-1)/(2*m)-(m^2-1)/(12*m^2)*(delta+sel*(A+B*cc^x))</f>
        <v>19.504244764051084</v>
      </c>
      <c r="S11" s="326">
        <f t="shared" ref="S11:S42" si="15">J11-(m-1)/(2*m)-(m^2-1)/(12*m^2)*(delta+(A+B*cc^x))</f>
        <v>19.504002334475732</v>
      </c>
      <c r="T11" s="326">
        <f>Q11-K11*S21</f>
        <v>7.9202045771277483</v>
      </c>
      <c r="U11" s="326">
        <f t="shared" ref="U11:U74" si="16">Q11-M11*S31</f>
        <v>12.767221518050427</v>
      </c>
      <c r="V11" s="326">
        <f t="shared" ref="V11:V42" si="17">(1-(1-v)*H11)</f>
        <v>4.9175461344123428E-2</v>
      </c>
      <c r="W11" s="326">
        <f t="shared" ref="W11:W42" si="18">(1-(1-v)*I11)</f>
        <v>4.9207896288718023E-2</v>
      </c>
      <c r="X11" s="326">
        <f t="shared" ref="X11:X42" si="19">(1-(1-v)*J11)</f>
        <v>4.9219342836818947E-2</v>
      </c>
    </row>
    <row r="12" spans="1:24">
      <c r="A12" s="312">
        <f t="shared" ref="A12:A29" si="20">A11+1</f>
        <v>21</v>
      </c>
      <c r="B12" s="311">
        <f t="shared" si="0"/>
        <v>0.99978358070196294</v>
      </c>
      <c r="C12" s="311">
        <f t="shared" si="6"/>
        <v>0.99975953700466968</v>
      </c>
      <c r="D12" s="311">
        <f t="shared" si="12"/>
        <v>0.99974668279283296</v>
      </c>
      <c r="E12" s="313">
        <f t="shared" si="7"/>
        <v>99970.04043624537</v>
      </c>
      <c r="F12" s="313">
        <f t="shared" si="7"/>
        <v>99973.750687774387</v>
      </c>
      <c r="G12" s="313">
        <f>G11*D11</f>
        <v>99975.036097160148</v>
      </c>
      <c r="H12" s="349">
        <f t="shared" si="1"/>
        <v>19.920619229124291</v>
      </c>
      <c r="I12" s="349">
        <f t="shared" si="8"/>
        <v>19.919929480838814</v>
      </c>
      <c r="J12" s="311">
        <f t="shared" si="13"/>
        <v>19.919686221562475</v>
      </c>
      <c r="K12" s="311">
        <f t="shared" si="2"/>
        <v>0.61222932838451349</v>
      </c>
      <c r="L12" s="311">
        <f t="shared" si="9"/>
        <v>8.0993159947750346</v>
      </c>
      <c r="M12" s="311">
        <f t="shared" si="3"/>
        <v>0.37431019310148905</v>
      </c>
      <c r="N12" s="311">
        <f t="shared" si="10"/>
        <v>13.055652833339021</v>
      </c>
      <c r="O12" s="311">
        <f t="shared" si="4"/>
        <v>0.2923120177391188</v>
      </c>
      <c r="P12" s="311">
        <f t="shared" si="11"/>
        <v>14.755275941477292</v>
      </c>
      <c r="Q12" s="311">
        <f t="shared" si="5"/>
        <v>19.458231429615363</v>
      </c>
      <c r="R12" s="311">
        <f t="shared" si="14"/>
        <v>19.457539808639865</v>
      </c>
      <c r="S12" s="311">
        <f t="shared" si="15"/>
        <v>19.457294468596839</v>
      </c>
      <c r="T12" s="311">
        <f t="shared" ref="T12:T75" si="21">Q12-K12*S22</f>
        <v>7.9200215213869676</v>
      </c>
      <c r="U12" s="311">
        <f t="shared" si="16"/>
        <v>12.766352094380311</v>
      </c>
      <c r="V12" s="311">
        <f t="shared" si="17"/>
        <v>5.1399084327413691E-2</v>
      </c>
      <c r="W12" s="311">
        <f t="shared" si="18"/>
        <v>5.1431929483864991E-2</v>
      </c>
      <c r="X12" s="311">
        <f t="shared" si="19"/>
        <v>5.1443513258928708E-2</v>
      </c>
    </row>
    <row r="13" spans="1:24">
      <c r="A13" s="312">
        <f t="shared" si="20"/>
        <v>22</v>
      </c>
      <c r="B13" s="311">
        <f t="shared" si="0"/>
        <v>0.99978004542341958</v>
      </c>
      <c r="C13" s="311">
        <f t="shared" si="6"/>
        <v>0.99975560901263716</v>
      </c>
      <c r="D13" s="311">
        <f t="shared" si="12"/>
        <v>0.99974254853605071</v>
      </c>
      <c r="E13" s="313">
        <f t="shared" si="7"/>
        <v>99944.633228704013</v>
      </c>
      <c r="F13" s="313">
        <f t="shared" si="7"/>
        <v>99948.404990269424</v>
      </c>
      <c r="G13" s="313">
        <f t="shared" ref="G13:G76" si="22">G12*D12</f>
        <v>99949.710700229596</v>
      </c>
      <c r="H13" s="349">
        <f t="shared" si="1"/>
        <v>19.871650149453057</v>
      </c>
      <c r="I13" s="349">
        <f t="shared" si="8"/>
        <v>19.870950647771025</v>
      </c>
      <c r="J13" s="311">
        <f t="shared" si="13"/>
        <v>19.870704123913715</v>
      </c>
      <c r="K13" s="311">
        <f t="shared" si="2"/>
        <v>0.61218454142641165</v>
      </c>
      <c r="L13" s="311">
        <f t="shared" si="9"/>
        <v>8.0991305833314478</v>
      </c>
      <c r="M13" s="311">
        <f t="shared" si="3"/>
        <v>0.37419369164317284</v>
      </c>
      <c r="N13" s="311">
        <f t="shared" si="10"/>
        <v>13.054728628184272</v>
      </c>
      <c r="O13" s="311">
        <f t="shared" si="4"/>
        <v>0.29214088720243553</v>
      </c>
      <c r="P13" s="311">
        <f t="shared" si="11"/>
        <v>14.753666589652855</v>
      </c>
      <c r="Q13" s="311">
        <f t="shared" si="5"/>
        <v>19.409262088634566</v>
      </c>
      <c r="R13" s="311">
        <f t="shared" si="14"/>
        <v>19.408560685228117</v>
      </c>
      <c r="S13" s="311">
        <f t="shared" si="15"/>
        <v>19.408312048343678</v>
      </c>
      <c r="T13" s="311">
        <f t="shared" si="21"/>
        <v>7.9198157749018829</v>
      </c>
      <c r="U13" s="311">
        <f t="shared" si="16"/>
        <v>12.765375006292437</v>
      </c>
      <c r="V13" s="311">
        <f t="shared" si="17"/>
        <v>5.3730945264139129E-2</v>
      </c>
      <c r="W13" s="311">
        <f t="shared" si="18"/>
        <v>5.3764254868045369E-2</v>
      </c>
      <c r="X13" s="311">
        <f t="shared" si="19"/>
        <v>5.3775994099345859E-2</v>
      </c>
    </row>
    <row r="14" spans="1:24">
      <c r="A14" s="312">
        <f t="shared" si="20"/>
        <v>23</v>
      </c>
      <c r="B14" s="311">
        <f t="shared" si="0"/>
        <v>0.99977607178525907</v>
      </c>
      <c r="C14" s="311">
        <f t="shared" si="6"/>
        <v>0.9997511939680146</v>
      </c>
      <c r="D14" s="311">
        <f t="shared" si="12"/>
        <v>0.99973790165183529</v>
      </c>
      <c r="E14" s="313">
        <f t="shared" si="7"/>
        <v>99918.808983154217</v>
      </c>
      <c r="F14" s="313">
        <f t="shared" si="7"/>
        <v>99922.649949220708</v>
      </c>
      <c r="G14" s="313">
        <f t="shared" si="22"/>
        <v>99923.978500888508</v>
      </c>
      <c r="H14" s="349">
        <f t="shared" si="1"/>
        <v>19.820302600336078</v>
      </c>
      <c r="I14" s="349">
        <f t="shared" si="8"/>
        <v>19.819592066906782</v>
      </c>
      <c r="J14" s="311">
        <f t="shared" si="13"/>
        <v>19.819341848682857</v>
      </c>
      <c r="K14" s="311">
        <f t="shared" si="2"/>
        <v>0.61213420479642155</v>
      </c>
      <c r="L14" s="311">
        <f t="shared" si="9"/>
        <v>8.0989221894896275</v>
      </c>
      <c r="M14" s="311">
        <f t="shared" si="3"/>
        <v>0.37406278728692138</v>
      </c>
      <c r="N14" s="311">
        <f t="shared" si="10"/>
        <v>13.05368998454219</v>
      </c>
      <c r="O14" s="311">
        <f t="shared" si="4"/>
        <v>0.29194865606749776</v>
      </c>
      <c r="P14" s="311">
        <f t="shared" si="11"/>
        <v>14.751858181485918</v>
      </c>
      <c r="Q14" s="311">
        <f t="shared" si="5"/>
        <v>19.357914245805638</v>
      </c>
      <c r="R14" s="311">
        <f t="shared" si="14"/>
        <v>19.357201778017266</v>
      </c>
      <c r="S14" s="311">
        <f t="shared" si="15"/>
        <v>19.356949410505479</v>
      </c>
      <c r="T14" s="311">
        <f t="shared" si="21"/>
        <v>7.9195845261708069</v>
      </c>
      <c r="U14" s="311">
        <f t="shared" si="16"/>
        <v>12.764276941319039</v>
      </c>
      <c r="V14" s="311">
        <f t="shared" si="17"/>
        <v>5.6176066650661882E-2</v>
      </c>
      <c r="W14" s="311">
        <f t="shared" si="18"/>
        <v>5.6209901575866472E-2</v>
      </c>
      <c r="X14" s="311">
        <f t="shared" si="19"/>
        <v>5.6221816729386753E-2</v>
      </c>
    </row>
    <row r="15" spans="1:24">
      <c r="A15" s="312">
        <f t="shared" si="20"/>
        <v>24</v>
      </c>
      <c r="B15" s="311">
        <f t="shared" si="0"/>
        <v>0.99977160543481891</v>
      </c>
      <c r="C15" s="311">
        <f t="shared" si="6"/>
        <v>0.99974623148113262</v>
      </c>
      <c r="D15" s="311">
        <f t="shared" si="12"/>
        <v>0.99973267857975967</v>
      </c>
      <c r="E15" s="313">
        <f t="shared" si="7"/>
        <v>99892.515526740826</v>
      </c>
      <c r="F15" s="313">
        <f t="shared" si="7"/>
        <v>99896.434342639579</v>
      </c>
      <c r="G15" s="313">
        <f t="shared" si="22"/>
        <v>99897.788591181379</v>
      </c>
      <c r="H15" s="349">
        <f t="shared" si="1"/>
        <v>19.766466837259294</v>
      </c>
      <c r="I15" s="349">
        <f t="shared" si="8"/>
        <v>19.765743838083573</v>
      </c>
      <c r="J15" s="311">
        <f t="shared" si="13"/>
        <v>19.765489443250747</v>
      </c>
      <c r="K15" s="311">
        <f t="shared" si="2"/>
        <v>0.61207763136486215</v>
      </c>
      <c r="L15" s="311">
        <f t="shared" si="9"/>
        <v>8.0986879657021493</v>
      </c>
      <c r="M15" s="311">
        <f t="shared" si="3"/>
        <v>0.37391570545384983</v>
      </c>
      <c r="N15" s="311">
        <f t="shared" si="10"/>
        <v>13.052522754913699</v>
      </c>
      <c r="O15" s="311">
        <f t="shared" si="4"/>
        <v>0.29173273925694149</v>
      </c>
      <c r="P15" s="311">
        <f t="shared" si="11"/>
        <v>14.749826166290372</v>
      </c>
      <c r="Q15" s="311">
        <f t="shared" si="5"/>
        <v>19.304078152596627</v>
      </c>
      <c r="R15" s="311">
        <f t="shared" si="14"/>
        <v>19.303353182380469</v>
      </c>
      <c r="S15" s="311">
        <f t="shared" si="15"/>
        <v>19.303096597502712</v>
      </c>
      <c r="T15" s="311">
        <f t="shared" si="21"/>
        <v>7.9193246156320676</v>
      </c>
      <c r="U15" s="311">
        <f t="shared" si="16"/>
        <v>12.763042946218068</v>
      </c>
      <c r="V15" s="311">
        <f t="shared" si="17"/>
        <v>5.8739674416223076E-2</v>
      </c>
      <c r="W15" s="311">
        <f t="shared" si="18"/>
        <v>5.8774102948400242E-2</v>
      </c>
      <c r="X15" s="311">
        <f t="shared" si="19"/>
        <v>5.8786216988058637E-2</v>
      </c>
    </row>
    <row r="16" spans="1:24">
      <c r="A16" s="312">
        <f t="shared" si="20"/>
        <v>25</v>
      </c>
      <c r="B16" s="311">
        <f t="shared" si="0"/>
        <v>0.99976658528074147</v>
      </c>
      <c r="C16" s="311">
        <f t="shared" si="6"/>
        <v>0.99974065367528064</v>
      </c>
      <c r="D16" s="311">
        <f t="shared" si="12"/>
        <v>0.99972680787931956</v>
      </c>
      <c r="E16" s="313">
        <f t="shared" si="7"/>
        <v>99865.694239839795</v>
      </c>
      <c r="F16" s="313">
        <f t="shared" si="7"/>
        <v>99869.700619092255</v>
      </c>
      <c r="G16" s="313">
        <f t="shared" si="22"/>
        <v>99871.083772456317</v>
      </c>
      <c r="H16" s="349">
        <f t="shared" si="1"/>
        <v>19.710028746835771</v>
      </c>
      <c r="I16" s="349">
        <f t="shared" si="8"/>
        <v>19.709291674224222</v>
      </c>
      <c r="J16" s="311">
        <f t="shared" si="13"/>
        <v>19.709032561989318</v>
      </c>
      <c r="K16" s="311">
        <f t="shared" si="2"/>
        <v>0.61201404906898171</v>
      </c>
      <c r="L16" s="311">
        <f t="shared" si="9"/>
        <v>8.0984247119232791</v>
      </c>
      <c r="M16" s="311">
        <f t="shared" si="3"/>
        <v>0.37375045450657018</v>
      </c>
      <c r="N16" s="311">
        <f t="shared" si="10"/>
        <v>13.051211048783042</v>
      </c>
      <c r="O16" s="311">
        <f t="shared" si="4"/>
        <v>0.29149023937113033</v>
      </c>
      <c r="P16" s="311">
        <f t="shared" si="11"/>
        <v>14.747542983833851</v>
      </c>
      <c r="Q16" s="311">
        <f t="shared" si="5"/>
        <v>19.247639691104474</v>
      </c>
      <c r="R16" s="311">
        <f t="shared" si="14"/>
        <v>19.246900606222642</v>
      </c>
      <c r="S16" s="311">
        <f t="shared" si="15"/>
        <v>19.246639258131868</v>
      </c>
      <c r="T16" s="311">
        <f t="shared" si="21"/>
        <v>7.919032492653546</v>
      </c>
      <c r="U16" s="311">
        <f t="shared" si="16"/>
        <v>12.76165622613691</v>
      </c>
      <c r="V16" s="311">
        <f t="shared" si="17"/>
        <v>6.1427202531628922E-2</v>
      </c>
      <c r="W16" s="311">
        <f t="shared" si="18"/>
        <v>6.1462301227417027E-2</v>
      </c>
      <c r="X16" s="311">
        <f t="shared" si="19"/>
        <v>6.1474639905269579E-2</v>
      </c>
    </row>
    <row r="17" spans="1:24">
      <c r="A17" s="312">
        <f t="shared" si="20"/>
        <v>26</v>
      </c>
      <c r="B17" s="311">
        <f t="shared" si="0"/>
        <v>0.99976094265764859</v>
      </c>
      <c r="C17" s="311">
        <f t="shared" si="6"/>
        <v>0.99973438425865035</v>
      </c>
      <c r="D17" s="311">
        <f t="shared" si="12"/>
        <v>0.99972020925317651</v>
      </c>
      <c r="E17" s="313">
        <f t="shared" si="7"/>
        <v>99838.279260786076</v>
      </c>
      <c r="F17" s="313">
        <f t="shared" si="7"/>
        <v>99842.384116855246</v>
      </c>
      <c r="G17" s="313">
        <f t="shared" si="22"/>
        <v>99843.799779285866</v>
      </c>
      <c r="H17" s="349">
        <f t="shared" si="1"/>
        <v>19.650869758125086</v>
      </c>
      <c r="I17" s="349">
        <f t="shared" si="8"/>
        <v>19.650116810676323</v>
      </c>
      <c r="J17" s="311">
        <f t="shared" si="13"/>
        <v>19.649852374930148</v>
      </c>
      <c r="K17" s="311">
        <f t="shared" si="2"/>
        <v>0.61194259045256194</v>
      </c>
      <c r="L17" s="311">
        <f t="shared" si="9"/>
        <v>8.0981288320565348</v>
      </c>
      <c r="M17" s="311">
        <f t="shared" si="3"/>
        <v>0.37356479961786082</v>
      </c>
      <c r="N17" s="311">
        <f t="shared" si="10"/>
        <v>13.049737019445061</v>
      </c>
      <c r="O17" s="311">
        <f t="shared" si="4"/>
        <v>0.29121791010955478</v>
      </c>
      <c r="P17" s="311">
        <f t="shared" si="11"/>
        <v>14.744977700259053</v>
      </c>
      <c r="Q17" s="311">
        <f t="shared" si="5"/>
        <v>19.188480285312654</v>
      </c>
      <c r="R17" s="311">
        <f t="shared" si="14"/>
        <v>19.187725279251261</v>
      </c>
      <c r="S17" s="311">
        <f t="shared" si="15"/>
        <v>19.187458556157715</v>
      </c>
      <c r="T17" s="311">
        <f t="shared" si="21"/>
        <v>7.9187041672282472</v>
      </c>
      <c r="U17" s="311">
        <f t="shared" si="16"/>
        <v>12.760097919559804</v>
      </c>
      <c r="V17" s="311">
        <f t="shared" si="17"/>
        <v>6.4244297232137648E-2</v>
      </c>
      <c r="W17" s="311">
        <f t="shared" si="18"/>
        <v>6.428015187255498E-2</v>
      </c>
      <c r="X17" s="311">
        <f t="shared" si="19"/>
        <v>6.4292744050944317E-2</v>
      </c>
    </row>
    <row r="18" spans="1:24">
      <c r="A18" s="312">
        <f t="shared" si="20"/>
        <v>27</v>
      </c>
      <c r="B18" s="311">
        <f t="shared" si="0"/>
        <v>0.99975460038730701</v>
      </c>
      <c r="C18" s="311">
        <f t="shared" si="6"/>
        <v>0.99972733748128861</v>
      </c>
      <c r="D18" s="311">
        <f t="shared" si="12"/>
        <v>0.99971279244938138</v>
      </c>
      <c r="E18" s="313">
        <f t="shared" si="7"/>
        <v>99810.196592850465</v>
      </c>
      <c r="F18" s="313">
        <f t="shared" si="7"/>
        <v>99814.412187081049</v>
      </c>
      <c r="G18" s="313">
        <f t="shared" si="22"/>
        <v>99815.864407979927</v>
      </c>
      <c r="H18" s="349">
        <f t="shared" si="1"/>
        <v>19.588866763784957</v>
      </c>
      <c r="I18" s="349">
        <f t="shared" si="8"/>
        <v>19.588095924184699</v>
      </c>
      <c r="J18" s="311">
        <f t="shared" si="13"/>
        <v>19.587825485998032</v>
      </c>
      <c r="K18" s="311">
        <f t="shared" si="2"/>
        <v>0.61186228092718331</v>
      </c>
      <c r="L18" s="311">
        <f t="shared" si="9"/>
        <v>8.0977962850430369</v>
      </c>
      <c r="M18" s="311">
        <f t="shared" si="3"/>
        <v>0.37335623360410203</v>
      </c>
      <c r="N18" s="311">
        <f t="shared" si="10"/>
        <v>13.048080625175643</v>
      </c>
      <c r="O18" s="311">
        <f t="shared" si="4"/>
        <v>0.29091211571525127</v>
      </c>
      <c r="P18" s="311">
        <f t="shared" si="11"/>
        <v>14.742095601238669</v>
      </c>
      <c r="Q18" s="311">
        <f t="shared" si="5"/>
        <v>19.126476822173327</v>
      </c>
      <c r="R18" s="311">
        <f t="shared" si="14"/>
        <v>19.125703871871639</v>
      </c>
      <c r="S18" s="311">
        <f t="shared" si="15"/>
        <v>19.125431088461156</v>
      </c>
      <c r="T18" s="311">
        <f t="shared" si="21"/>
        <v>7.9183351557295261</v>
      </c>
      <c r="U18" s="311">
        <f t="shared" si="16"/>
        <v>12.758346846215696</v>
      </c>
      <c r="V18" s="311">
        <f t="shared" si="17"/>
        <v>6.7196820772143839E-2</v>
      </c>
      <c r="W18" s="311">
        <f t="shared" si="18"/>
        <v>6.7233527419775174E-2</v>
      </c>
      <c r="X18" s="311">
        <f t="shared" si="19"/>
        <v>6.7246405428664113E-2</v>
      </c>
    </row>
    <row r="19" spans="1:24">
      <c r="A19" s="312">
        <f t="shared" si="20"/>
        <v>28</v>
      </c>
      <c r="B19" s="311">
        <f t="shared" si="0"/>
        <v>0.99974747172347</v>
      </c>
      <c r="C19" s="311">
        <f t="shared" si="6"/>
        <v>0.99971941696282496</v>
      </c>
      <c r="D19" s="311">
        <f t="shared" si="12"/>
        <v>0.9997044560275975</v>
      </c>
      <c r="E19" s="313">
        <f t="shared" si="7"/>
        <v>99781.363101543349</v>
      </c>
      <c r="F19" s="313">
        <f t="shared" si="7"/>
        <v>99785.703209263767</v>
      </c>
      <c r="G19" s="313">
        <f t="shared" si="22"/>
        <v>99787.196538050426</v>
      </c>
      <c r="H19" s="349">
        <f t="shared" si="1"/>
        <v>19.523892052989066</v>
      </c>
      <c r="I19" s="349">
        <f t="shared" si="8"/>
        <v>19.523101063413733</v>
      </c>
      <c r="J19" s="311">
        <f t="shared" si="13"/>
        <v>19.522823862720703</v>
      </c>
      <c r="K19" s="311">
        <f t="shared" si="2"/>
        <v>0.61177202560156374</v>
      </c>
      <c r="L19" s="311">
        <f t="shared" si="9"/>
        <v>8.0974225299371554</v>
      </c>
      <c r="M19" s="311">
        <f t="shared" si="3"/>
        <v>0.37312194440052088</v>
      </c>
      <c r="N19" s="311">
        <f t="shared" si="10"/>
        <v>13.046219361767255</v>
      </c>
      <c r="O19" s="311">
        <f t="shared" si="4"/>
        <v>0.2905687860932078</v>
      </c>
      <c r="P19" s="311">
        <f t="shared" si="11"/>
        <v>14.738857737680007</v>
      </c>
      <c r="Q19" s="311">
        <f t="shared" si="5"/>
        <v>19.061501584447139</v>
      </c>
      <c r="R19" s="311">
        <f t="shared" si="14"/>
        <v>19.060708425622565</v>
      </c>
      <c r="S19" s="311">
        <f t="shared" si="15"/>
        <v>19.060428814652596</v>
      </c>
      <c r="T19" s="311">
        <f t="shared" si="21"/>
        <v>7.9179204200026145</v>
      </c>
      <c r="U19" s="311">
        <f t="shared" si="16"/>
        <v>12.756379224820705</v>
      </c>
      <c r="V19" s="311">
        <f t="shared" si="17"/>
        <v>7.02908546195673E-2</v>
      </c>
      <c r="W19" s="311">
        <f t="shared" si="18"/>
        <v>7.0328520789821214E-2</v>
      </c>
      <c r="X19" s="311">
        <f t="shared" si="19"/>
        <v>7.034172082282264E-2</v>
      </c>
    </row>
    <row r="20" spans="1:24">
      <c r="A20" s="312">
        <f t="shared" si="20"/>
        <v>29</v>
      </c>
      <c r="B20" s="311">
        <f t="shared" si="0"/>
        <v>0.99973945916599283</v>
      </c>
      <c r="C20" s="311">
        <f t="shared" si="6"/>
        <v>0.9997105143749776</v>
      </c>
      <c r="D20" s="311">
        <f t="shared" si="12"/>
        <v>0.99969508597249268</v>
      </c>
      <c r="E20" s="313">
        <f t="shared" si="7"/>
        <v>99751.685388894024</v>
      </c>
      <c r="F20" s="313">
        <f t="shared" si="7"/>
        <v>99756.165485889505</v>
      </c>
      <c r="G20" s="313">
        <f t="shared" si="22"/>
        <v>99757.705033590668</v>
      </c>
      <c r="H20" s="349">
        <f t="shared" si="1"/>
        <v>19.455813258264595</v>
      </c>
      <c r="I20" s="349">
        <f t="shared" si="8"/>
        <v>19.454999593155669</v>
      </c>
      <c r="J20" s="311">
        <f t="shared" si="13"/>
        <v>19.454714779544641</v>
      </c>
      <c r="K20" s="311">
        <f t="shared" si="2"/>
        <v>0.61167059450762651</v>
      </c>
      <c r="L20" s="311">
        <f t="shared" si="9"/>
        <v>8.0970024642374696</v>
      </c>
      <c r="M20" s="311">
        <f t="shared" si="3"/>
        <v>0.37285877882906321</v>
      </c>
      <c r="N20" s="311">
        <f t="shared" si="10"/>
        <v>13.044127963134738</v>
      </c>
      <c r="O20" s="311">
        <f t="shared" si="4"/>
        <v>0.29018336724712518</v>
      </c>
      <c r="P20" s="311">
        <f t="shared" si="11"/>
        <v>14.735220418873967</v>
      </c>
      <c r="Q20" s="311">
        <f t="shared" si="5"/>
        <v>18.993422197453011</v>
      </c>
      <c r="R20" s="311">
        <f t="shared" si="14"/>
        <v>18.992606297287104</v>
      </c>
      <c r="S20" s="311">
        <f t="shared" si="15"/>
        <v>18.99231900027943</v>
      </c>
      <c r="T20" s="311">
        <f t="shared" si="21"/>
        <v>7.9174542989823884</v>
      </c>
      <c r="U20" s="311">
        <f t="shared" si="16"/>
        <v>12.754168357200165</v>
      </c>
      <c r="V20" s="311">
        <f t="shared" si="17"/>
        <v>7.3532701987399252E-2</v>
      </c>
      <c r="W20" s="311">
        <f t="shared" si="18"/>
        <v>7.3571447944967061E-2</v>
      </c>
      <c r="X20" s="311">
        <f t="shared" si="19"/>
        <v>7.3585010497873138E-2</v>
      </c>
    </row>
    <row r="21" spans="1:24">
      <c r="A21" s="325">
        <f t="shared" si="20"/>
        <v>30</v>
      </c>
      <c r="B21" s="326">
        <f t="shared" si="0"/>
        <v>0.99973045312804376</v>
      </c>
      <c r="C21" s="326">
        <f t="shared" si="6"/>
        <v>0.99970050796087084</v>
      </c>
      <c r="D21" s="326">
        <f t="shared" si="12"/>
        <v>0.99968455413538904</v>
      </c>
      <c r="E21" s="327">
        <f t="shared" si="7"/>
        <v>99721.058529760121</v>
      </c>
      <c r="F21" s="327">
        <f t="shared" si="7"/>
        <v>99725.696001589182</v>
      </c>
      <c r="G21" s="327">
        <f t="shared" si="22"/>
        <v>99727.28750997399</v>
      </c>
      <c r="H21" s="350">
        <f t="shared" si="1"/>
        <v>19.384493318640512</v>
      </c>
      <c r="I21" s="350">
        <f t="shared" si="8"/>
        <v>19.383654154597373</v>
      </c>
      <c r="J21" s="326">
        <f t="shared" si="13"/>
        <v>19.383360777123052</v>
      </c>
      <c r="K21" s="326">
        <f t="shared" si="2"/>
        <v>0.61155660603234308</v>
      </c>
      <c r="L21" s="326">
        <f t="shared" si="9"/>
        <v>8.0965303546541811</v>
      </c>
      <c r="M21" s="326">
        <f t="shared" si="3"/>
        <v>0.37256320228376577</v>
      </c>
      <c r="N21" s="326">
        <f t="shared" si="10"/>
        <v>13.041778066355107</v>
      </c>
      <c r="O21" s="326">
        <f t="shared" si="4"/>
        <v>0.28975076668062527</v>
      </c>
      <c r="P21" s="326">
        <f t="shared" si="11"/>
        <v>14.731134647550874</v>
      </c>
      <c r="Q21" s="326">
        <f t="shared" si="5"/>
        <v>18.922101592117837</v>
      </c>
      <c r="R21" s="326">
        <f t="shared" si="14"/>
        <v>18.921260119049816</v>
      </c>
      <c r="S21" s="326">
        <f t="shared" si="15"/>
        <v>18.920964175992296</v>
      </c>
      <c r="T21" s="326">
        <f t="shared" si="21"/>
        <v>7.9169304319315472</v>
      </c>
      <c r="U21" s="326">
        <f t="shared" si="16"/>
        <v>12.751684274981713</v>
      </c>
      <c r="V21" s="326">
        <f t="shared" si="17"/>
        <v>7.6928889588546046E-2</v>
      </c>
      <c r="W21" s="326">
        <f t="shared" si="18"/>
        <v>7.6968849781076432E-2</v>
      </c>
      <c r="X21" s="326">
        <f t="shared" si="19"/>
        <v>7.6982820136996533E-2</v>
      </c>
    </row>
    <row r="22" spans="1:24">
      <c r="A22" s="312">
        <f t="shared" si="20"/>
        <v>31</v>
      </c>
      <c r="B22" s="311">
        <f t="shared" si="0"/>
        <v>0.99972033043823272</v>
      </c>
      <c r="C22" s="311">
        <f t="shared" si="6"/>
        <v>0.99968926087097132</v>
      </c>
      <c r="D22" s="311">
        <f t="shared" si="12"/>
        <v>0.99967271648292844</v>
      </c>
      <c r="E22" s="313">
        <f t="shared" si="7"/>
        <v>99689.364653444645</v>
      </c>
      <c r="F22" s="313">
        <f t="shared" si="7"/>
        <v>99694.179030365252</v>
      </c>
      <c r="G22" s="313">
        <f t="shared" si="22"/>
        <v>99695.828949540097</v>
      </c>
      <c r="H22" s="349">
        <f t="shared" si="1"/>
        <v>19.309790461752034</v>
      </c>
      <c r="I22" s="349">
        <f t="shared" si="8"/>
        <v>19.308922644272148</v>
      </c>
      <c r="J22" s="311">
        <f t="shared" si="13"/>
        <v>19.308619640196053</v>
      </c>
      <c r="K22" s="311">
        <f t="shared" si="2"/>
        <v>0.61142850834276841</v>
      </c>
      <c r="L22" s="311">
        <f t="shared" si="9"/>
        <v>8.0959997593969373</v>
      </c>
      <c r="M22" s="311">
        <f t="shared" si="3"/>
        <v>0.37223125393377371</v>
      </c>
      <c r="N22" s="311">
        <f t="shared" si="10"/>
        <v>13.039137837137581</v>
      </c>
      <c r="O22" s="311">
        <f t="shared" si="4"/>
        <v>0.28926529342225954</v>
      </c>
      <c r="P22" s="311">
        <f t="shared" si="11"/>
        <v>14.726545490870055</v>
      </c>
      <c r="Q22" s="311">
        <f t="shared" si="5"/>
        <v>18.84739798697009</v>
      </c>
      <c r="R22" s="311">
        <f t="shared" si="14"/>
        <v>18.846527777325406</v>
      </c>
      <c r="S22" s="311">
        <f t="shared" si="15"/>
        <v>18.846222115288423</v>
      </c>
      <c r="T22" s="311">
        <f t="shared" si="21"/>
        <v>7.9163416722862365</v>
      </c>
      <c r="U22" s="311">
        <f t="shared" si="16"/>
        <v>12.748893344671583</v>
      </c>
      <c r="V22" s="311">
        <f t="shared" si="17"/>
        <v>8.0486168487997389E-2</v>
      </c>
      <c r="W22" s="311">
        <f t="shared" si="18"/>
        <v>8.052749312989671E-2</v>
      </c>
      <c r="X22" s="311">
        <f t="shared" si="19"/>
        <v>8.0541921895425084E-2</v>
      </c>
    </row>
    <row r="23" spans="1:24">
      <c r="A23" s="312">
        <f t="shared" si="20"/>
        <v>32</v>
      </c>
      <c r="B23" s="311">
        <f t="shared" si="0"/>
        <v>0.99970895265723392</v>
      </c>
      <c r="C23" s="311">
        <f t="shared" si="6"/>
        <v>0.99967661929296736</v>
      </c>
      <c r="D23" s="311">
        <f t="shared" si="12"/>
        <v>0.99965941112888679</v>
      </c>
      <c r="E23" s="313">
        <f t="shared" si="7"/>
        <v>99656.471351922592</v>
      </c>
      <c r="F23" s="313">
        <f t="shared" si="7"/>
        <v>99661.484572519155</v>
      </c>
      <c r="G23" s="313">
        <f t="shared" si="22"/>
        <v>99663.200148004122</v>
      </c>
      <c r="H23" s="349">
        <f t="shared" si="1"/>
        <v>19.231558207818949</v>
      </c>
      <c r="I23" s="349">
        <f t="shared" si="8"/>
        <v>19.23065821459501</v>
      </c>
      <c r="J23" s="311">
        <f t="shared" si="13"/>
        <v>19.230344396954589</v>
      </c>
      <c r="K23" s="311">
        <f t="shared" si="2"/>
        <v>0.61128455856792085</v>
      </c>
      <c r="L23" s="311">
        <f t="shared" si="9"/>
        <v>8.095403440959247</v>
      </c>
      <c r="M23" s="311">
        <f t="shared" si="3"/>
        <v>0.37185849702186885</v>
      </c>
      <c r="N23" s="311">
        <f t="shared" si="10"/>
        <v>13.036171551329446</v>
      </c>
      <c r="O23" s="311">
        <f t="shared" si="4"/>
        <v>0.28872059236257414</v>
      </c>
      <c r="P23" s="311">
        <f t="shared" si="11"/>
        <v>14.721391380944546</v>
      </c>
      <c r="Q23" s="311">
        <f t="shared" si="5"/>
        <v>18.76916489199359</v>
      </c>
      <c r="R23" s="311">
        <f t="shared" si="14"/>
        <v>18.768262413155583</v>
      </c>
      <c r="S23" s="311">
        <f t="shared" si="15"/>
        <v>18.76794583372175</v>
      </c>
      <c r="T23" s="311">
        <f t="shared" si="21"/>
        <v>7.915679990977571</v>
      </c>
      <c r="U23" s="311">
        <f t="shared" si="16"/>
        <v>12.745757826524869</v>
      </c>
      <c r="V23" s="311">
        <f t="shared" si="17"/>
        <v>8.421151391338233E-2</v>
      </c>
      <c r="W23" s="311">
        <f t="shared" si="18"/>
        <v>8.4254370733569894E-2</v>
      </c>
      <c r="X23" s="311">
        <f t="shared" si="19"/>
        <v>8.4269314430732822E-2</v>
      </c>
    </row>
    <row r="24" spans="1:24">
      <c r="A24" s="312">
        <f t="shared" si="20"/>
        <v>33</v>
      </c>
      <c r="B24" s="311">
        <f t="shared" si="0"/>
        <v>0.99969616418596197</v>
      </c>
      <c r="C24" s="311">
        <f t="shared" si="6"/>
        <v>0.99966241035011283</v>
      </c>
      <c r="D24" s="311">
        <f t="shared" si="12"/>
        <v>0.99964445612233466</v>
      </c>
      <c r="E24" s="313">
        <f t="shared" si="7"/>
        <v>99622.229893779717</v>
      </c>
      <c r="F24" s="313">
        <f t="shared" si="7"/>
        <v>99627.466600746164</v>
      </c>
      <c r="G24" s="313">
        <f t="shared" si="22"/>
        <v>99629.255971174178</v>
      </c>
      <c r="H24" s="349">
        <f t="shared" si="1"/>
        <v>19.14964539870471</v>
      </c>
      <c r="I24" s="349">
        <f t="shared" si="8"/>
        <v>19.148709299168821</v>
      </c>
      <c r="J24" s="311">
        <f t="shared" si="13"/>
        <v>19.148383343068776</v>
      </c>
      <c r="K24" s="311">
        <f t="shared" si="2"/>
        <v>0.61112279947512504</v>
      </c>
      <c r="L24" s="311">
        <f t="shared" si="9"/>
        <v>8.0947332682559558</v>
      </c>
      <c r="M24" s="311">
        <f t="shared" si="3"/>
        <v>0.37143996381825056</v>
      </c>
      <c r="N24" s="311">
        <f t="shared" si="10"/>
        <v>13.0328391276507</v>
      </c>
      <c r="O24" s="311">
        <f t="shared" si="4"/>
        <v>0.28810957264124509</v>
      </c>
      <c r="P24" s="311">
        <f t="shared" si="11"/>
        <v>14.715603338102769</v>
      </c>
      <c r="Q24" s="311">
        <f t="shared" si="5"/>
        <v>18.68725113754655</v>
      </c>
      <c r="R24" s="311">
        <f t="shared" si="14"/>
        <v>18.686312447359615</v>
      </c>
      <c r="S24" s="311">
        <f t="shared" si="15"/>
        <v>18.685983612758406</v>
      </c>
      <c r="T24" s="311">
        <f t="shared" si="21"/>
        <v>7.9149363679657405</v>
      </c>
      <c r="U24" s="311">
        <f t="shared" si="16"/>
        <v>12.74223538219891</v>
      </c>
      <c r="V24" s="311">
        <f t="shared" si="17"/>
        <v>8.8112123871203263E-2</v>
      </c>
      <c r="W24" s="311">
        <f t="shared" si="18"/>
        <v>8.8156700039578872E-2</v>
      </c>
      <c r="X24" s="311">
        <f t="shared" si="19"/>
        <v>8.817222175862871E-2</v>
      </c>
    </row>
    <row r="25" spans="1:24">
      <c r="A25" s="312">
        <f t="shared" si="20"/>
        <v>34</v>
      </c>
      <c r="B25" s="311">
        <f t="shared" si="0"/>
        <v>0.99968179013953062</v>
      </c>
      <c r="C25" s="311">
        <f t="shared" si="6"/>
        <v>0.99964643973942069</v>
      </c>
      <c r="D25" s="311">
        <f t="shared" si="12"/>
        <v>0.99962764696203188</v>
      </c>
      <c r="E25" s="313">
        <f t="shared" si="7"/>
        <v>99586.473220529137</v>
      </c>
      <c r="F25" s="313">
        <f t="shared" si="7"/>
        <v>99591.961092463651</v>
      </c>
      <c r="G25" s="313">
        <f t="shared" si="22"/>
        <v>99593.833399177267</v>
      </c>
      <c r="H25" s="349">
        <f t="shared" si="1"/>
        <v>19.063896255569023</v>
      </c>
      <c r="I25" s="349">
        <f t="shared" si="8"/>
        <v>19.062919666354716</v>
      </c>
      <c r="J25" s="311">
        <f t="shared" si="13"/>
        <v>19.062580093867098</v>
      </c>
      <c r="K25" s="311">
        <f t="shared" si="2"/>
        <v>0.61094103335001748</v>
      </c>
      <c r="L25" s="311">
        <f t="shared" si="9"/>
        <v>8.0939801068377015</v>
      </c>
      <c r="M25" s="311">
        <f t="shared" si="3"/>
        <v>0.3709700947775238</v>
      </c>
      <c r="N25" s="311">
        <f t="shared" si="10"/>
        <v>13.029095606421237</v>
      </c>
      <c r="O25" s="311">
        <f t="shared" si="4"/>
        <v>0.2874243298994153</v>
      </c>
      <c r="P25" s="311">
        <f t="shared" si="11"/>
        <v>14.70910410973876</v>
      </c>
      <c r="Q25" s="311">
        <f t="shared" si="5"/>
        <v>18.601500931856798</v>
      </c>
      <c r="R25" s="311">
        <f t="shared" si="14"/>
        <v>18.60052163392988</v>
      </c>
      <c r="S25" s="311">
        <f t="shared" si="15"/>
        <v>18.600179051761586</v>
      </c>
      <c r="T25" s="311">
        <f t="shared" si="21"/>
        <v>7.9141006705778913</v>
      </c>
      <c r="U25" s="311">
        <f t="shared" si="16"/>
        <v>12.738278525743205</v>
      </c>
      <c r="V25" s="311">
        <f t="shared" si="17"/>
        <v>9.2195416401474106E-2</v>
      </c>
      <c r="W25" s="311">
        <f t="shared" si="18"/>
        <v>9.2241920649774434E-2</v>
      </c>
      <c r="X25" s="311">
        <f t="shared" si="19"/>
        <v>9.2258090768232437E-2</v>
      </c>
    </row>
    <row r="26" spans="1:24">
      <c r="A26" s="312">
        <f t="shared" si="20"/>
        <v>35</v>
      </c>
      <c r="B26" s="311">
        <f t="shared" si="0"/>
        <v>0.99966563395804842</v>
      </c>
      <c r="C26" s="311">
        <f t="shared" si="6"/>
        <v>0.99962848907756796</v>
      </c>
      <c r="D26" s="311">
        <f t="shared" si="12"/>
        <v>0.9996087538032451</v>
      </c>
      <c r="E26" s="313">
        <f t="shared" si="7"/>
        <v>99549.013699267947</v>
      </c>
      <c r="F26" s="313">
        <f t="shared" si="7"/>
        <v>99554.783822780999</v>
      </c>
      <c r="G26" s="313">
        <f t="shared" si="22"/>
        <v>99556.749332748193</v>
      </c>
      <c r="H26" s="349">
        <f t="shared" si="1"/>
        <v>18.974150468947308</v>
      </c>
      <c r="I26" s="349">
        <f t="shared" si="8"/>
        <v>18.973128504921693</v>
      </c>
      <c r="J26" s="311">
        <f t="shared" si="13"/>
        <v>18.972773668474591</v>
      </c>
      <c r="K26" s="311">
        <f t="shared" si="2"/>
        <v>0.61073679275855164</v>
      </c>
      <c r="L26" s="311">
        <f t="shared" si="9"/>
        <v>8.0931336957593683</v>
      </c>
      <c r="M26" s="311">
        <f t="shared" si="3"/>
        <v>0.37044267144429349</v>
      </c>
      <c r="N26" s="311">
        <f t="shared" si="10"/>
        <v>13.024890568603519</v>
      </c>
      <c r="O26" s="311">
        <f t="shared" si="4"/>
        <v>0.28665606232500096</v>
      </c>
      <c r="P26" s="311">
        <f t="shared" si="11"/>
        <v>14.701807217330249</v>
      </c>
      <c r="Q26" s="311">
        <f t="shared" si="5"/>
        <v>18.511753950924309</v>
      </c>
      <c r="R26" s="311">
        <f t="shared" si="14"/>
        <v>18.510729145484888</v>
      </c>
      <c r="S26" s="311">
        <f t="shared" si="15"/>
        <v>18.510371151911336</v>
      </c>
      <c r="T26" s="311">
        <f t="shared" si="21"/>
        <v>7.9131615170797822</v>
      </c>
      <c r="U26" s="311">
        <f t="shared" si="16"/>
        <v>12.733834012036292</v>
      </c>
      <c r="V26" s="311">
        <f t="shared" si="17"/>
        <v>9.6469025288222432E-2</v>
      </c>
      <c r="W26" s="311">
        <f t="shared" si="18"/>
        <v>9.6517690241823106E-2</v>
      </c>
      <c r="X26" s="311">
        <f t="shared" si="19"/>
        <v>9.6534587215494683E-2</v>
      </c>
    </row>
    <row r="27" spans="1:24">
      <c r="A27" s="312">
        <f t="shared" si="20"/>
        <v>36</v>
      </c>
      <c r="B27" s="311">
        <f t="shared" si="0"/>
        <v>0.99964747472174054</v>
      </c>
      <c r="C27" s="311">
        <f t="shared" si="6"/>
        <v>0.99960831291841878</v>
      </c>
      <c r="D27" s="311">
        <f t="shared" si="12"/>
        <v>0.99958751831901593</v>
      </c>
      <c r="E27" s="313">
        <f t="shared" si="7"/>
        <v>99509.640602648622</v>
      </c>
      <c r="F27" s="313">
        <f t="shared" si="7"/>
        <v>99515.727889577145</v>
      </c>
      <c r="G27" s="313">
        <f t="shared" si="22"/>
        <v>99517.798133210468</v>
      </c>
      <c r="H27" s="349">
        <f t="shared" si="1"/>
        <v>18.880243325425024</v>
      </c>
      <c r="I27" s="349">
        <f t="shared" si="8"/>
        <v>18.879170545925444</v>
      </c>
      <c r="J27" s="311">
        <f t="shared" si="13"/>
        <v>18.878798610053806</v>
      </c>
      <c r="K27" s="311">
        <f t="shared" si="2"/>
        <v>0.61050730783600371</v>
      </c>
      <c r="L27" s="311">
        <f t="shared" si="9"/>
        <v>8.0921825095178779</v>
      </c>
      <c r="M27" s="311">
        <f t="shared" si="3"/>
        <v>0.36985074266316359</v>
      </c>
      <c r="N27" s="311">
        <f t="shared" si="10"/>
        <v>13.020167489042411</v>
      </c>
      <c r="O27" s="311">
        <f t="shared" si="4"/>
        <v>0.28579498057691438</v>
      </c>
      <c r="P27" s="311">
        <f t="shared" si="11"/>
        <v>14.693615904049988</v>
      </c>
      <c r="Q27" s="311">
        <f t="shared" si="5"/>
        <v>18.417845464996716</v>
      </c>
      <c r="R27" s="311">
        <f t="shared" si="14"/>
        <v>18.416769694927186</v>
      </c>
      <c r="S27" s="311">
        <f t="shared" si="15"/>
        <v>18.416394436200047</v>
      </c>
      <c r="T27" s="311">
        <f t="shared" si="21"/>
        <v>7.9121061237341905</v>
      </c>
      <c r="U27" s="311">
        <f t="shared" si="16"/>
        <v>12.728842156341679</v>
      </c>
      <c r="V27" s="311">
        <f t="shared" si="17"/>
        <v>0.10094079402737877</v>
      </c>
      <c r="W27" s="311">
        <f t="shared" si="18"/>
        <v>0.10099187876545401</v>
      </c>
      <c r="X27" s="311">
        <f t="shared" si="19"/>
        <v>0.10100958999743681</v>
      </c>
    </row>
    <row r="28" spans="1:24">
      <c r="A28" s="312">
        <f t="shared" si="20"/>
        <v>37</v>
      </c>
      <c r="B28" s="311">
        <f t="shared" si="0"/>
        <v>0.99962706413388969</v>
      </c>
      <c r="C28" s="311">
        <f t="shared" si="6"/>
        <v>0.99958563540163869</v>
      </c>
      <c r="D28" s="311">
        <f t="shared" si="12"/>
        <v>0.99956365017324111</v>
      </c>
      <c r="E28" s="313">
        <f t="shared" si="7"/>
        <v>99468.11728384337</v>
      </c>
      <c r="F28" s="313">
        <f t="shared" si="7"/>
        <v>99474.560938905677</v>
      </c>
      <c r="G28" s="313">
        <f t="shared" si="22"/>
        <v>99476.748864548645</v>
      </c>
      <c r="H28" s="349">
        <f t="shared" si="1"/>
        <v>18.78200587541976</v>
      </c>
      <c r="I28" s="349">
        <f t="shared" si="8"/>
        <v>18.780876225313563</v>
      </c>
      <c r="J28" s="311">
        <f t="shared" si="13"/>
        <v>18.780485146639482</v>
      </c>
      <c r="K28" s="311">
        <f t="shared" si="2"/>
        <v>0.61024946971219218</v>
      </c>
      <c r="L28" s="311">
        <f t="shared" si="9"/>
        <v>8.0911136032963658</v>
      </c>
      <c r="M28" s="311">
        <f t="shared" si="3"/>
        <v>0.3691865436770343</v>
      </c>
      <c r="N28" s="311">
        <f t="shared" si="10"/>
        <v>13.014863017353157</v>
      </c>
      <c r="O28" s="311">
        <f t="shared" si="4"/>
        <v>0.28483021189020297</v>
      </c>
      <c r="P28" s="311">
        <f t="shared" si="11"/>
        <v>14.684421975408359</v>
      </c>
      <c r="Q28" s="311">
        <f t="shared" si="5"/>
        <v>18.319606506127887</v>
      </c>
      <c r="R28" s="311">
        <f t="shared" si="14"/>
        <v>18.318473697800229</v>
      </c>
      <c r="S28" s="311">
        <f t="shared" si="15"/>
        <v>18.318079109991196</v>
      </c>
      <c r="T28" s="311">
        <f t="shared" si="21"/>
        <v>7.9109201334041952</v>
      </c>
      <c r="U28" s="311">
        <f t="shared" si="16"/>
        <v>12.723236078235123</v>
      </c>
      <c r="V28" s="311">
        <f t="shared" si="17"/>
        <v>0.10561876783715329</v>
      </c>
      <c r="W28" s="311">
        <f t="shared" si="18"/>
        <v>0.10567256069935316</v>
      </c>
      <c r="X28" s="311">
        <f t="shared" si="19"/>
        <v>0.10569118349335704</v>
      </c>
    </row>
    <row r="29" spans="1:24">
      <c r="A29" s="312">
        <f t="shared" si="20"/>
        <v>38</v>
      </c>
      <c r="B29" s="311">
        <f t="shared" si="0"/>
        <v>0.99960412313060143</v>
      </c>
      <c r="C29" s="311">
        <f t="shared" si="6"/>
        <v>0.99956014648689551</v>
      </c>
      <c r="D29" s="311">
        <f t="shared" si="12"/>
        <v>0.99953682305770042</v>
      </c>
      <c r="E29" s="313">
        <f t="shared" si="7"/>
        <v>99424.178010551856</v>
      </c>
      <c r="F29" s="313">
        <f t="shared" si="7"/>
        <v>99431.02205537376</v>
      </c>
      <c r="G29" s="313">
        <f t="shared" si="22"/>
        <v>99433.342202415064</v>
      </c>
      <c r="H29" s="349">
        <f t="shared" si="1"/>
        <v>18.679265146936803</v>
      </c>
      <c r="I29" s="349">
        <f t="shared" si="8"/>
        <v>18.678071892109102</v>
      </c>
      <c r="J29" s="311">
        <f t="shared" si="13"/>
        <v>18.67765939741378</v>
      </c>
      <c r="K29" s="311">
        <f t="shared" si="2"/>
        <v>0.6099597896440544</v>
      </c>
      <c r="L29" s="311">
        <f t="shared" si="9"/>
        <v>8.0899124395564126</v>
      </c>
      <c r="M29" s="311">
        <f t="shared" si="3"/>
        <v>0.36844140774945167</v>
      </c>
      <c r="N29" s="311">
        <f t="shared" si="10"/>
        <v>13.008906179507672</v>
      </c>
      <c r="O29" s="311">
        <f t="shared" si="4"/>
        <v>0.2837496989529506</v>
      </c>
      <c r="P29" s="311">
        <f t="shared" si="11"/>
        <v>14.674104525609804</v>
      </c>
      <c r="Q29" s="311">
        <f t="shared" si="5"/>
        <v>18.216864081682282</v>
      </c>
      <c r="R29" s="311">
        <f t="shared" si="14"/>
        <v>18.215667480192828</v>
      </c>
      <c r="S29" s="311">
        <f t="shared" si="15"/>
        <v>18.215251266984446</v>
      </c>
      <c r="T29" s="311">
        <f t="shared" si="21"/>
        <v>7.9095874235463981</v>
      </c>
      <c r="U29" s="311">
        <f t="shared" si="16"/>
        <v>12.716940862775914</v>
      </c>
      <c r="V29" s="311">
        <f t="shared" si="17"/>
        <v>0.11051118347919886</v>
      </c>
      <c r="W29" s="311">
        <f t="shared" si="18"/>
        <v>0.11056800513766085</v>
      </c>
      <c r="X29" s="311">
        <f t="shared" si="19"/>
        <v>0.11058764774219998</v>
      </c>
    </row>
    <row r="30" spans="1:24">
      <c r="A30" s="312">
        <v>39</v>
      </c>
      <c r="B30" s="311">
        <f t="shared" si="0"/>
        <v>0.99957833807136465</v>
      </c>
      <c r="C30" s="311">
        <f t="shared" si="6"/>
        <v>0.99953149772256566</v>
      </c>
      <c r="D30" s="311">
        <f t="shared" si="12"/>
        <v>0.99950667023929685</v>
      </c>
      <c r="E30" s="313">
        <f t="shared" si="7"/>
        <v>99377.524418124347</v>
      </c>
      <c r="F30" s="313">
        <f t="shared" si="7"/>
        <v>99384.818278218518</v>
      </c>
      <c r="G30" s="313">
        <f t="shared" si="22"/>
        <v>99387.286971011126</v>
      </c>
      <c r="H30" s="349">
        <f t="shared" si="1"/>
        <v>18.571844410519756</v>
      </c>
      <c r="I30" s="349">
        <f t="shared" si="8"/>
        <v>18.570580067383634</v>
      </c>
      <c r="J30" s="311">
        <f t="shared" si="13"/>
        <v>18.570143629628905</v>
      </c>
      <c r="K30" s="311">
        <f t="shared" si="2"/>
        <v>0.60963435338659611</v>
      </c>
      <c r="L30" s="311">
        <f t="shared" si="9"/>
        <v>8.0885626938062654</v>
      </c>
      <c r="M30" s="311">
        <f t="shared" si="3"/>
        <v>0.36760567002996947</v>
      </c>
      <c r="N30" s="311">
        <f t="shared" si="10"/>
        <v>13.002217492821448</v>
      </c>
      <c r="O30" s="311">
        <f t="shared" si="4"/>
        <v>0.2825400945253605</v>
      </c>
      <c r="P30" s="311">
        <f t="shared" si="11"/>
        <v>14.662528542861637</v>
      </c>
      <c r="Q30" s="311">
        <f t="shared" si="5"/>
        <v>18.109441439003216</v>
      </c>
      <c r="R30" s="311">
        <f t="shared" si="14"/>
        <v>18.108173537398454</v>
      </c>
      <c r="S30" s="311">
        <f t="shared" si="15"/>
        <v>18.107733145789673</v>
      </c>
      <c r="T30" s="311">
        <f t="shared" si="21"/>
        <v>7.9080898912067035</v>
      </c>
      <c r="U30" s="311">
        <f t="shared" si="16"/>
        <v>12.709872631481678</v>
      </c>
      <c r="V30" s="311">
        <f t="shared" si="17"/>
        <v>0.1156264566419154</v>
      </c>
      <c r="W30" s="311">
        <f t="shared" si="18"/>
        <v>0.11568666345792122</v>
      </c>
      <c r="X30" s="311">
        <f t="shared" si="19"/>
        <v>0.11570744620814644</v>
      </c>
    </row>
    <row r="31" spans="1:24">
      <c r="A31" s="325">
        <f t="shared" ref="A31:A94" si="23">A30+1</f>
        <v>40</v>
      </c>
      <c r="B31" s="326">
        <f t="shared" si="0"/>
        <v>0.99954935645874254</v>
      </c>
      <c r="C31" s="326">
        <f t="shared" si="6"/>
        <v>0.99949929749161048</v>
      </c>
      <c r="D31" s="326">
        <f t="shared" si="12"/>
        <v>0.99947277955720504</v>
      </c>
      <c r="E31" s="327">
        <f t="shared" si="7"/>
        <v>99327.821537521479</v>
      </c>
      <c r="F31" s="327">
        <f t="shared" si="7"/>
        <v>99335.620699515188</v>
      </c>
      <c r="G31" s="327">
        <f t="shared" si="22"/>
        <v>99338.256264512776</v>
      </c>
      <c r="H31" s="350">
        <f t="shared" si="1"/>
        <v>18.459563500971278</v>
      </c>
      <c r="I31" s="350">
        <f t="shared" si="8"/>
        <v>18.458219759588747</v>
      </c>
      <c r="J31" s="326">
        <f t="shared" si="13"/>
        <v>18.457756571743008</v>
      </c>
      <c r="K31" s="326">
        <f t="shared" si="2"/>
        <v>0.60926877029150572</v>
      </c>
      <c r="L31" s="326">
        <f t="shared" si="9"/>
        <v>8.0870460371404267</v>
      </c>
      <c r="M31" s="326">
        <f t="shared" si="3"/>
        <v>0.36666856350558197</v>
      </c>
      <c r="N31" s="326">
        <f t="shared" si="10"/>
        <v>12.994707986779812</v>
      </c>
      <c r="O31" s="326">
        <f t="shared" si="4"/>
        <v>0.28118665326297365</v>
      </c>
      <c r="P31" s="326">
        <f t="shared" si="11"/>
        <v>14.649543387842318</v>
      </c>
      <c r="Q31" s="326">
        <f t="shared" si="5"/>
        <v>17.997158386816235</v>
      </c>
      <c r="R31" s="326">
        <f t="shared" si="14"/>
        <v>17.995810848894113</v>
      </c>
      <c r="S31" s="326">
        <f t="shared" si="15"/>
        <v>17.995343442671054</v>
      </c>
      <c r="T31" s="326">
        <f t="shared" si="21"/>
        <v>7.9064072123791824</v>
      </c>
      <c r="U31" s="326">
        <f t="shared" si="16"/>
        <v>12.701937515455441</v>
      </c>
      <c r="V31" s="326">
        <f t="shared" si="17"/>
        <v>0.12097316662041435</v>
      </c>
      <c r="W31" s="326">
        <f t="shared" si="18"/>
        <v>0.12103715430529682</v>
      </c>
      <c r="X31" s="326">
        <f t="shared" si="19"/>
        <v>0.12105921086937954</v>
      </c>
    </row>
    <row r="32" spans="1:24">
      <c r="A32" s="312">
        <f t="shared" si="23"/>
        <v>41</v>
      </c>
      <c r="B32" s="311">
        <f t="shared" si="0"/>
        <v>0.99951678212919604</v>
      </c>
      <c r="C32" s="311">
        <f t="shared" si="6"/>
        <v>0.99946310567027641</v>
      </c>
      <c r="D32" s="311">
        <f t="shared" si="12"/>
        <v>0.99943468780225275</v>
      </c>
      <c r="E32" s="313">
        <f t="shared" si="7"/>
        <v>99274.693349100155</v>
      </c>
      <c r="F32" s="313">
        <f t="shared" si="7"/>
        <v>99283.060096278423</v>
      </c>
      <c r="G32" s="313">
        <f t="shared" si="22"/>
        <v>99285.883105058514</v>
      </c>
      <c r="H32" s="349">
        <f t="shared" si="1"/>
        <v>18.342239201763494</v>
      </c>
      <c r="I32" s="349">
        <f t="shared" si="8"/>
        <v>18.340806842164714</v>
      </c>
      <c r="J32" s="311">
        <f t="shared" si="13"/>
        <v>18.340313788686831</v>
      </c>
      <c r="K32" s="311">
        <f t="shared" si="2"/>
        <v>0.60885811658004152</v>
      </c>
      <c r="L32" s="311">
        <f t="shared" si="9"/>
        <v>8.0853418928939771</v>
      </c>
      <c r="M32" s="311">
        <f t="shared" si="3"/>
        <v>0.36561810705803566</v>
      </c>
      <c r="N32" s="311">
        <f t="shared" si="10"/>
        <v>12.986278122004588</v>
      </c>
      <c r="O32" s="311">
        <f t="shared" si="4"/>
        <v>0.27967312283424089</v>
      </c>
      <c r="P32" s="311">
        <f t="shared" si="11"/>
        <v>14.634981141042431</v>
      </c>
      <c r="Q32" s="311">
        <f t="shared" si="5"/>
        <v>17.87983167928277</v>
      </c>
      <c r="R32" s="311">
        <f t="shared" si="14"/>
        <v>17.878395255552658</v>
      </c>
      <c r="S32" s="311">
        <f t="shared" si="15"/>
        <v>17.877897686373295</v>
      </c>
      <c r="T32" s="311">
        <f t="shared" si="21"/>
        <v>7.9045165728163518</v>
      </c>
      <c r="U32" s="311">
        <f t="shared" si="16"/>
        <v>12.693030522951659</v>
      </c>
      <c r="V32" s="311">
        <f t="shared" si="17"/>
        <v>0.12656003801126126</v>
      </c>
      <c r="W32" s="311">
        <f t="shared" si="18"/>
        <v>0.12662824561120312</v>
      </c>
      <c r="X32" s="311">
        <f t="shared" si="19"/>
        <v>0.12665172434824512</v>
      </c>
    </row>
    <row r="33" spans="1:24">
      <c r="A33" s="312">
        <f t="shared" si="23"/>
        <v>42</v>
      </c>
      <c r="B33" s="311">
        <f t="shared" si="0"/>
        <v>0.9994801698499618</v>
      </c>
      <c r="C33" s="311">
        <f t="shared" si="6"/>
        <v>0.99942242762742772</v>
      </c>
      <c r="D33" s="311">
        <f t="shared" si="12"/>
        <v>0.9993918744026169</v>
      </c>
      <c r="E33" s="313">
        <f t="shared" si="7"/>
        <v>99217.717808088302</v>
      </c>
      <c r="F33" s="313">
        <f t="shared" si="7"/>
        <v>99226.722043155285</v>
      </c>
      <c r="G33" s="313">
        <f t="shared" si="22"/>
        <v>99229.755584275117</v>
      </c>
      <c r="H33" s="349">
        <f t="shared" si="1"/>
        <v>18.21968569838457</v>
      </c>
      <c r="I33" s="349">
        <f t="shared" si="8"/>
        <v>18.218154499678981</v>
      </c>
      <c r="J33" s="311">
        <f t="shared" si="13"/>
        <v>18.217628125514551</v>
      </c>
      <c r="K33" s="311">
        <f t="shared" si="2"/>
        <v>0.60839687219411032</v>
      </c>
      <c r="L33" s="311">
        <f t="shared" si="9"/>
        <v>8.0834271644840427</v>
      </c>
      <c r="M33" s="311">
        <f t="shared" si="3"/>
        <v>0.36444098589076046</v>
      </c>
      <c r="N33" s="311">
        <f t="shared" si="10"/>
        <v>12.976816599702321</v>
      </c>
      <c r="O33" s="311">
        <f t="shared" si="4"/>
        <v>0.27798163721604258</v>
      </c>
      <c r="P33" s="311">
        <f t="shared" si="11"/>
        <v>14.618654816887938</v>
      </c>
      <c r="Q33" s="311">
        <f t="shared" si="5"/>
        <v>17.757275468945778</v>
      </c>
      <c r="R33" s="311">
        <f t="shared" si="14"/>
        <v>17.755739905335741</v>
      </c>
      <c r="S33" s="311">
        <f t="shared" si="15"/>
        <v>17.755208681277477</v>
      </c>
      <c r="T33" s="311">
        <f t="shared" si="21"/>
        <v>7.9023923670879235</v>
      </c>
      <c r="U33" s="311">
        <f t="shared" si="16"/>
        <v>12.683034293813579</v>
      </c>
      <c r="V33" s="311">
        <f t="shared" si="17"/>
        <v>0.13239591912454329</v>
      </c>
      <c r="W33" s="311">
        <f t="shared" si="18"/>
        <v>0.13246883334861903</v>
      </c>
      <c r="X33" s="311">
        <f t="shared" si="19"/>
        <v>0.13249389878502038</v>
      </c>
    </row>
    <row r="34" spans="1:24">
      <c r="A34" s="312">
        <f t="shared" si="23"/>
        <v>43</v>
      </c>
      <c r="B34" s="311">
        <f t="shared" si="0"/>
        <v>0.9994390192489635</v>
      </c>
      <c r="C34" s="311">
        <f t="shared" si="6"/>
        <v>0.99937670748352281</v>
      </c>
      <c r="D34" s="311">
        <f t="shared" si="12"/>
        <v>0.99934375433067468</v>
      </c>
      <c r="E34" s="313">
        <f t="shared" si="7"/>
        <v>99156.421282095311</v>
      </c>
      <c r="F34" s="313">
        <f t="shared" si="7"/>
        <v>99166.141446953668</v>
      </c>
      <c r="G34" s="313">
        <f t="shared" si="22"/>
        <v>99169.411429882253</v>
      </c>
      <c r="H34" s="349">
        <f t="shared" si="1"/>
        <v>18.091715107167541</v>
      </c>
      <c r="I34" s="349">
        <f t="shared" si="8"/>
        <v>18.090073749054973</v>
      </c>
      <c r="J34" s="311">
        <f t="shared" si="13"/>
        <v>18.089510226002833</v>
      </c>
      <c r="K34" s="311">
        <f t="shared" si="2"/>
        <v>0.60787885058811564</v>
      </c>
      <c r="L34" s="311">
        <f t="shared" si="9"/>
        <v>8.081275931220711</v>
      </c>
      <c r="M34" s="311">
        <f t="shared" si="3"/>
        <v>0.36312242491792457</v>
      </c>
      <c r="N34" s="311">
        <f t="shared" si="10"/>
        <v>12.966199054221196</v>
      </c>
      <c r="O34" s="311">
        <f t="shared" si="4"/>
        <v>0.27609261604091428</v>
      </c>
      <c r="P34" s="311">
        <f t="shared" si="11"/>
        <v>14.600356445628242</v>
      </c>
      <c r="Q34" s="311">
        <f t="shared" si="5"/>
        <v>17.629301835107885</v>
      </c>
      <c r="R34" s="311">
        <f t="shared" si="14"/>
        <v>17.627655774021878</v>
      </c>
      <c r="S34" s="311">
        <f t="shared" si="15"/>
        <v>17.6270870254437</v>
      </c>
      <c r="T34" s="311">
        <f t="shared" si="21"/>
        <v>7.9000058623749787</v>
      </c>
      <c r="U34" s="311">
        <f t="shared" si="16"/>
        <v>12.671817733642703</v>
      </c>
      <c r="V34" s="311">
        <f t="shared" si="17"/>
        <v>0.13848975680154474</v>
      </c>
      <c r="W34" s="311">
        <f t="shared" si="18"/>
        <v>0.13856791671166702</v>
      </c>
      <c r="X34" s="311">
        <f t="shared" si="19"/>
        <v>0.13859475114272124</v>
      </c>
    </row>
    <row r="35" spans="1:24">
      <c r="A35" s="312">
        <f t="shared" si="23"/>
        <v>44</v>
      </c>
      <c r="B35" s="311">
        <f t="shared" si="0"/>
        <v>0.99939276799584709</v>
      </c>
      <c r="C35" s="311">
        <f t="shared" si="6"/>
        <v>0.99932532053841461</v>
      </c>
      <c r="D35" s="311">
        <f t="shared" si="12"/>
        <v>0.99928967013552195</v>
      </c>
      <c r="E35" s="313">
        <f t="shared" si="7"/>
        <v>99090.272335113579</v>
      </c>
      <c r="F35" s="313">
        <f t="shared" si="7"/>
        <v>99100.796438414385</v>
      </c>
      <c r="G35" s="313">
        <f t="shared" si="22"/>
        <v>99104.331933101857</v>
      </c>
      <c r="H35" s="349">
        <f t="shared" si="1"/>
        <v>17.958138086407676</v>
      </c>
      <c r="I35" s="349">
        <f t="shared" si="8"/>
        <v>17.956374042722299</v>
      </c>
      <c r="J35" s="311">
        <f t="shared" si="13"/>
        <v>17.955769133035936</v>
      </c>
      <c r="K35" s="311">
        <f t="shared" si="2"/>
        <v>0.60729712078593323</v>
      </c>
      <c r="L35" s="311">
        <f t="shared" si="9"/>
        <v>8.0788591085632859</v>
      </c>
      <c r="M35" s="311">
        <f t="shared" si="3"/>
        <v>0.36164605614300599</v>
      </c>
      <c r="N35" s="311">
        <f t="shared" si="10"/>
        <v>12.954286621960273</v>
      </c>
      <c r="O35" s="311">
        <f t="shared" si="4"/>
        <v>0.27398467509093066</v>
      </c>
      <c r="P35" s="311">
        <f t="shared" si="11"/>
        <v>14.5798550281432</v>
      </c>
      <c r="Q35" s="311">
        <f t="shared" si="5"/>
        <v>17.495721394442164</v>
      </c>
      <c r="R35" s="311">
        <f t="shared" si="14"/>
        <v>17.493952267793812</v>
      </c>
      <c r="S35" s="311">
        <f t="shared" si="15"/>
        <v>17.493341710370814</v>
      </c>
      <c r="T35" s="311">
        <f t="shared" si="21"/>
        <v>7.8973248231612043</v>
      </c>
      <c r="U35" s="311">
        <f t="shared" si="16"/>
        <v>12.659234521367367</v>
      </c>
      <c r="V35" s="311">
        <f t="shared" si="17"/>
        <v>0.14485056731391921</v>
      </c>
      <c r="W35" s="311">
        <f t="shared" si="18"/>
        <v>0.14493456939417526</v>
      </c>
      <c r="X35" s="311">
        <f t="shared" si="19"/>
        <v>0.14496337461733544</v>
      </c>
    </row>
    <row r="36" spans="1:24">
      <c r="A36" s="312">
        <f t="shared" si="23"/>
        <v>45</v>
      </c>
      <c r="B36" s="311">
        <f t="shared" si="0"/>
        <v>0.99934078414228422</v>
      </c>
      <c r="C36" s="311">
        <f t="shared" si="6"/>
        <v>0.99926756476614631</v>
      </c>
      <c r="D36" s="311">
        <f t="shared" si="12"/>
        <v>0.99922888299411228</v>
      </c>
      <c r="E36" s="313">
        <f t="shared" si="7"/>
        <v>99018.674786228905</v>
      </c>
      <c r="F36" s="313">
        <f t="shared" si="7"/>
        <v>99030.101550451465</v>
      </c>
      <c r="G36" s="313">
        <f t="shared" si="22"/>
        <v>99033.93516643063</v>
      </c>
      <c r="H36" s="349">
        <f t="shared" si="1"/>
        <v>17.818764536781533</v>
      </c>
      <c r="I36" s="349">
        <f t="shared" si="8"/>
        <v>17.816863960738662</v>
      </c>
      <c r="J36" s="311">
        <f t="shared" si="13"/>
        <v>17.816212977837793</v>
      </c>
      <c r="K36" s="311">
        <f t="shared" si="2"/>
        <v>0.60664392099478814</v>
      </c>
      <c r="L36" s="311">
        <f t="shared" si="9"/>
        <v>8.076144068976312</v>
      </c>
      <c r="M36" s="311">
        <f t="shared" si="3"/>
        <v>0.35999378162067242</v>
      </c>
      <c r="N36" s="311">
        <f t="shared" si="10"/>
        <v>12.940924380928285</v>
      </c>
      <c r="O36" s="311">
        <f t="shared" si="4"/>
        <v>0.27163455452071317</v>
      </c>
      <c r="P36" s="311">
        <f t="shared" si="11"/>
        <v>14.556894374356931</v>
      </c>
      <c r="Q36" s="311">
        <f t="shared" si="5"/>
        <v>17.35634400084184</v>
      </c>
      <c r="R36" s="311">
        <f t="shared" si="14"/>
        <v>17.354437914727754</v>
      </c>
      <c r="S36" s="311">
        <f t="shared" si="15"/>
        <v>17.353780809525535</v>
      </c>
      <c r="T36" s="311">
        <f t="shared" si="21"/>
        <v>7.8943130926447811</v>
      </c>
      <c r="U36" s="311">
        <f t="shared" si="16"/>
        <v>12.645121485178786</v>
      </c>
      <c r="V36" s="311">
        <f t="shared" si="17"/>
        <v>0.15148740301040231</v>
      </c>
      <c r="W36" s="311">
        <f t="shared" si="18"/>
        <v>0.1515779066314914</v>
      </c>
      <c r="X36" s="311">
        <f t="shared" si="19"/>
        <v>0.15160890581724695</v>
      </c>
    </row>
    <row r="37" spans="1:24">
      <c r="A37" s="312">
        <f t="shared" si="23"/>
        <v>46</v>
      </c>
      <c r="B37" s="311">
        <f t="shared" si="0"/>
        <v>0.99928235751856076</v>
      </c>
      <c r="C37" s="311">
        <f t="shared" si="6"/>
        <v>0.99920265126261554</v>
      </c>
      <c r="D37" s="311">
        <f t="shared" si="12"/>
        <v>0.99916056266106057</v>
      </c>
      <c r="E37" s="313">
        <f t="shared" si="7"/>
        <v>98940.959964733658</v>
      </c>
      <c r="F37" s="313">
        <f t="shared" si="7"/>
        <v>98953.400105599823</v>
      </c>
      <c r="G37" s="313">
        <f t="shared" si="22"/>
        <v>98957.56841486381</v>
      </c>
      <c r="H37" s="349">
        <f t="shared" si="1"/>
        <v>17.673404398218047</v>
      </c>
      <c r="I37" s="349">
        <f t="shared" si="8"/>
        <v>17.671351999085687</v>
      </c>
      <c r="J37" s="311">
        <f t="shared" si="13"/>
        <v>17.670649765268767</v>
      </c>
      <c r="K37" s="311">
        <f t="shared" si="2"/>
        <v>0.60591056304404167</v>
      </c>
      <c r="L37" s="311">
        <f t="shared" si="9"/>
        <v>8.0730942192086008</v>
      </c>
      <c r="M37" s="311">
        <f t="shared" si="3"/>
        <v>0.35814563432345015</v>
      </c>
      <c r="N37" s="311">
        <f t="shared" si="10"/>
        <v>12.925939656872114</v>
      </c>
      <c r="O37" s="311">
        <f t="shared" si="4"/>
        <v>0.26901707317952167</v>
      </c>
      <c r="P37" s="311">
        <f t="shared" si="11"/>
        <v>14.531190843147296</v>
      </c>
      <c r="Q37" s="311">
        <f t="shared" si="5"/>
        <v>17.21097954165138</v>
      </c>
      <c r="R37" s="311">
        <f t="shared" si="14"/>
        <v>17.208921152378139</v>
      </c>
      <c r="S37" s="311">
        <f t="shared" si="15"/>
        <v>17.208212262849127</v>
      </c>
      <c r="T37" s="311">
        <f t="shared" si="21"/>
        <v>7.8909301263500247</v>
      </c>
      <c r="U37" s="311">
        <f t="shared" si="16"/>
        <v>12.629296843745024</v>
      </c>
      <c r="V37" s="311">
        <f t="shared" si="17"/>
        <v>0.15840931437056827</v>
      </c>
      <c r="W37" s="311">
        <f t="shared" si="18"/>
        <v>0.15850704766258539</v>
      </c>
      <c r="X37" s="311">
        <f t="shared" si="19"/>
        <v>0.15854048736815307</v>
      </c>
    </row>
    <row r="38" spans="1:24">
      <c r="A38" s="312">
        <f t="shared" si="23"/>
        <v>47</v>
      </c>
      <c r="B38" s="311">
        <f t="shared" si="0"/>
        <v>0.99921669007103109</v>
      </c>
      <c r="C38" s="311">
        <f t="shared" si="6"/>
        <v>0.99912969351823844</v>
      </c>
      <c r="D38" s="311">
        <f t="shared" si="12"/>
        <v>0.9990837761827337</v>
      </c>
      <c r="E38" s="313">
        <f t="shared" si="7"/>
        <v>98856.378076610257</v>
      </c>
      <c r="F38" s="313">
        <f t="shared" si="7"/>
        <v>98869.955728708592</v>
      </c>
      <c r="G38" s="313">
        <f t="shared" si="22"/>
        <v>98874.499736965721</v>
      </c>
      <c r="H38" s="349">
        <f t="shared" si="1"/>
        <v>17.521868550420884</v>
      </c>
      <c r="I38" s="349">
        <f t="shared" si="8"/>
        <v>17.519647461407093</v>
      </c>
      <c r="J38" s="311">
        <f t="shared" si="13"/>
        <v>17.518888262476437</v>
      </c>
      <c r="K38" s="311">
        <f t="shared" si="2"/>
        <v>0.60508732690624201</v>
      </c>
      <c r="L38" s="311">
        <f t="shared" si="9"/>
        <v>8.0696685294832786</v>
      </c>
      <c r="M38" s="311">
        <f t="shared" si="3"/>
        <v>0.35607964015805355</v>
      </c>
      <c r="N38" s="311">
        <f t="shared" si="10"/>
        <v>12.909140194249597</v>
      </c>
      <c r="O38" s="311">
        <f t="shared" si="4"/>
        <v>0.26610511951775523</v>
      </c>
      <c r="P38" s="311">
        <f t="shared" si="11"/>
        <v>14.502431010856421</v>
      </c>
      <c r="Q38" s="311">
        <f t="shared" si="5"/>
        <v>17.059438837469493</v>
      </c>
      <c r="R38" s="311">
        <f t="shared" si="14"/>
        <v>17.057211218716517</v>
      </c>
      <c r="S38" s="311">
        <f t="shared" si="15"/>
        <v>17.056444764520105</v>
      </c>
      <c r="T38" s="311">
        <f t="shared" si="21"/>
        <v>7.8871304730749472</v>
      </c>
      <c r="U38" s="311">
        <f t="shared" si="16"/>
        <v>12.611558312374253</v>
      </c>
      <c r="V38" s="311">
        <f t="shared" si="17"/>
        <v>0.16562530712281409</v>
      </c>
      <c r="W38" s="311">
        <f t="shared" si="18"/>
        <v>0.16573107326632797</v>
      </c>
      <c r="X38" s="311">
        <f t="shared" si="19"/>
        <v>0.16576722559635915</v>
      </c>
    </row>
    <row r="39" spans="1:24">
      <c r="A39" s="312">
        <f t="shared" si="23"/>
        <v>48</v>
      </c>
      <c r="B39" s="311">
        <f t="shared" si="0"/>
        <v>0.99914288501112813</v>
      </c>
      <c r="C39" s="311">
        <f t="shared" si="6"/>
        <v>0.99904769537241089</v>
      </c>
      <c r="D39" s="311">
        <f t="shared" si="12"/>
        <v>0.99899747522516436</v>
      </c>
      <c r="E39" s="313">
        <f t="shared" si="7"/>
        <v>98764.088590554311</v>
      </c>
      <c r="F39" s="313">
        <f t="shared" si="7"/>
        <v>98778.942894120948</v>
      </c>
      <c r="G39" s="313">
        <f t="shared" si="22"/>
        <v>98783.908565386417</v>
      </c>
      <c r="H39" s="349">
        <f t="shared" si="1"/>
        <v>17.363969824180348</v>
      </c>
      <c r="I39" s="349">
        <f t="shared" si="8"/>
        <v>17.361561461417061</v>
      </c>
      <c r="J39" s="311">
        <f t="shared" si="13"/>
        <v>17.360738998155714</v>
      </c>
      <c r="K39" s="311">
        <f t="shared" si="2"/>
        <v>0.60416334456572551</v>
      </c>
      <c r="L39" s="311">
        <f t="shared" si="9"/>
        <v>8.065821009756446</v>
      </c>
      <c r="M39" s="311">
        <f t="shared" si="3"/>
        <v>0.35377168553416699</v>
      </c>
      <c r="N39" s="311">
        <f t="shared" si="10"/>
        <v>12.890312193604545</v>
      </c>
      <c r="O39" s="311">
        <f t="shared" si="4"/>
        <v>0.26286969202211602</v>
      </c>
      <c r="P39" s="311">
        <f t="shared" si="11"/>
        <v>14.470269307124244</v>
      </c>
      <c r="Q39" s="311">
        <f t="shared" si="5"/>
        <v>16.901534652652529</v>
      </c>
      <c r="R39" s="311">
        <f t="shared" si="14"/>
        <v>16.899119153641568</v>
      </c>
      <c r="S39" s="311">
        <f t="shared" si="15"/>
        <v>16.898288761216136</v>
      </c>
      <c r="T39" s="311">
        <f t="shared" si="21"/>
        <v>7.8828631979804893</v>
      </c>
      <c r="U39" s="311">
        <f t="shared" si="16"/>
        <v>12.591681077592739</v>
      </c>
      <c r="V39" s="311">
        <f t="shared" si="17"/>
        <v>0.17314429408664922</v>
      </c>
      <c r="W39" s="311">
        <f t="shared" si="18"/>
        <v>0.17325897802775803</v>
      </c>
      <c r="X39" s="311">
        <f t="shared" si="19"/>
        <v>0.17329814294496504</v>
      </c>
    </row>
    <row r="40" spans="1:24">
      <c r="A40" s="312">
        <f t="shared" si="23"/>
        <v>49</v>
      </c>
      <c r="B40" s="311">
        <f t="shared" si="0"/>
        <v>0.99905993463111609</v>
      </c>
      <c r="C40" s="311">
        <f t="shared" si="6"/>
        <v>0.99895553748945976</v>
      </c>
      <c r="D40" s="311">
        <f t="shared" si="12"/>
        <v>0.99890048184739311</v>
      </c>
      <c r="E40" s="313">
        <f t="shared" si="7"/>
        <v>98663.149545019231</v>
      </c>
      <c r="F40" s="313">
        <f t="shared" si="7"/>
        <v>98679.436409861082</v>
      </c>
      <c r="G40" s="313">
        <f t="shared" si="22"/>
        <v>98684.875249694524</v>
      </c>
      <c r="H40" s="349">
        <f t="shared" si="1"/>
        <v>17.199524130418414</v>
      </c>
      <c r="I40" s="349">
        <f t="shared" si="8"/>
        <v>17.196908043035304</v>
      </c>
      <c r="J40" s="311">
        <f t="shared" si="13"/>
        <v>17.196015379509916</v>
      </c>
      <c r="K40" s="311">
        <f t="shared" si="2"/>
        <v>0.60312647253365836</v>
      </c>
      <c r="L40" s="311">
        <f t="shared" si="9"/>
        <v>8.0615001278886602</v>
      </c>
      <c r="M40" s="311">
        <f t="shared" si="3"/>
        <v>0.35119539632352609</v>
      </c>
      <c r="N40" s="311">
        <f t="shared" si="10"/>
        <v>12.869218221350732</v>
      </c>
      <c r="O40" s="311">
        <f t="shared" si="4"/>
        <v>0.25928000492042425</v>
      </c>
      <c r="P40" s="311">
        <f t="shared" si="11"/>
        <v>14.434325671195788</v>
      </c>
      <c r="Q40" s="311">
        <f t="shared" si="5"/>
        <v>16.737082823450688</v>
      </c>
      <c r="R40" s="311">
        <f t="shared" si="14"/>
        <v>16.734458918104359</v>
      </c>
      <c r="S40" s="311">
        <f t="shared" si="15"/>
        <v>16.73355756795317</v>
      </c>
      <c r="T40" s="311">
        <f t="shared" si="21"/>
        <v>7.8780712423242658</v>
      </c>
      <c r="U40" s="311">
        <f t="shared" si="16"/>
        <v>12.569415648686736</v>
      </c>
      <c r="V40" s="311">
        <f t="shared" si="17"/>
        <v>0.18097504140864606</v>
      </c>
      <c r="W40" s="311">
        <f t="shared" si="18"/>
        <v>0.181099616998318</v>
      </c>
      <c r="X40" s="311">
        <f t="shared" si="19"/>
        <v>0.18114212478524117</v>
      </c>
    </row>
    <row r="41" spans="1:24">
      <c r="A41" s="325">
        <f t="shared" si="23"/>
        <v>50</v>
      </c>
      <c r="B41" s="326">
        <f t="shared" ref="B41:B72" si="24">EXP(sel*(A/LN(sel)*(1-sel)-B*cc^x*(cc-sel)/LN(cc/sel)))</f>
        <v>0.99896670662448772</v>
      </c>
      <c r="C41" s="326">
        <f t="shared" si="6"/>
        <v>0.99885196217672989</v>
      </c>
      <c r="D41" s="326">
        <f t="shared" si="12"/>
        <v>0.99879147253187961</v>
      </c>
      <c r="E41" s="327">
        <f t="shared" si="7"/>
        <v>98552.505671439023</v>
      </c>
      <c r="F41" s="327">
        <f t="shared" si="7"/>
        <v>98570.399734946943</v>
      </c>
      <c r="G41" s="327">
        <f t="shared" si="22"/>
        <v>98576.369437969741</v>
      </c>
      <c r="H41" s="350">
        <f t="shared" ref="H41:H72" si="25">1+v*B41*I42</f>
        <v>17.028351713555264</v>
      </c>
      <c r="I41" s="350">
        <f t="shared" si="8"/>
        <v>17.025505424977101</v>
      </c>
      <c r="J41" s="326">
        <f t="shared" si="13"/>
        <v>17.024534933684688</v>
      </c>
      <c r="K41" s="326">
        <f t="shared" ref="K41:K72" si="26">v^10*G51/E41</f>
        <v>0.60196315237667453</v>
      </c>
      <c r="L41" s="326">
        <f t="shared" si="9"/>
        <v>8.0566481642934864</v>
      </c>
      <c r="M41" s="326">
        <f t="shared" ref="M41:M72" si="27">v^20*G61/E41</f>
        <v>0.3483220358041812</v>
      </c>
      <c r="N41" s="326">
        <f t="shared" si="10"/>
        <v>12.845595003867158</v>
      </c>
      <c r="O41" s="326">
        <f t="shared" ref="O41:O72" si="28">G66/E41*v^25</f>
        <v>0.25530367799133419</v>
      </c>
      <c r="P41" s="326">
        <f t="shared" si="11"/>
        <v>14.394183299510585</v>
      </c>
      <c r="Q41" s="326">
        <f t="shared" ref="Q41:Q72" si="29">H41-(m-1)/(2*m)-(m^2-1)/(12*m^2)*(delta+sel^2*(A+B*cc^x))</f>
        <v>16.565903510353085</v>
      </c>
      <c r="R41" s="326">
        <f t="shared" si="14"/>
        <v>16.56304863756343</v>
      </c>
      <c r="S41" s="326">
        <f t="shared" si="15"/>
        <v>16.562068608258247</v>
      </c>
      <c r="T41" s="326">
        <f t="shared" si="21"/>
        <v>7.8726907140873355</v>
      </c>
      <c r="U41" s="326">
        <f t="shared" si="16"/>
        <v>12.544485601432411</v>
      </c>
      <c r="V41" s="326">
        <f t="shared" si="17"/>
        <v>0.18912610887831993</v>
      </c>
      <c r="W41" s="326">
        <f t="shared" si="18"/>
        <v>0.18926164642966092</v>
      </c>
      <c r="X41" s="326">
        <f t="shared" si="19"/>
        <v>0.18930786030072821</v>
      </c>
    </row>
    <row r="42" spans="1:24">
      <c r="A42" s="312">
        <f t="shared" si="23"/>
        <v>51</v>
      </c>
      <c r="B42" s="311">
        <f t="shared" si="24"/>
        <v>0.9988619287296524</v>
      </c>
      <c r="C42" s="311">
        <f t="shared" ref="C42:C73" si="30">EXP(A/LN(sel)*(1-sel)-B*cc^x*(cc-sel)/LN(cc/sel))</f>
        <v>0.99873555634425604</v>
      </c>
      <c r="D42" s="311">
        <f t="shared" si="12"/>
        <v>0.99866896026142316</v>
      </c>
      <c r="E42" s="313">
        <f t="shared" si="7"/>
        <v>98430.975223165588</v>
      </c>
      <c r="F42" s="313">
        <f t="shared" si="7"/>
        <v>98450.672020188591</v>
      </c>
      <c r="G42" s="313">
        <f t="shared" si="22"/>
        <v>98457.237187796374</v>
      </c>
      <c r="H42" s="349">
        <f t="shared" si="25"/>
        <v>16.850278535240541</v>
      </c>
      <c r="I42" s="349">
        <f t="shared" ref="I42:I73" si="31">1+v*C42*J43</f>
        <v>16.847177376011743</v>
      </c>
      <c r="J42" s="311">
        <f t="shared" si="13"/>
        <v>16.846120679941905</v>
      </c>
      <c r="K42" s="311">
        <f t="shared" si="26"/>
        <v>0.60065825874056167</v>
      </c>
      <c r="L42" s="311">
        <f t="shared" si="9"/>
        <v>8.0512004974027107</v>
      </c>
      <c r="M42" s="311">
        <f t="shared" si="27"/>
        <v>0.34512043130822401</v>
      </c>
      <c r="N42" s="311">
        <f t="shared" si="10"/>
        <v>12.819151125476141</v>
      </c>
      <c r="O42" s="311">
        <f t="shared" si="28"/>
        <v>0.25090703261344216</v>
      </c>
      <c r="P42" s="311">
        <f t="shared" si="11"/>
        <v>14.349386576657944</v>
      </c>
      <c r="Q42" s="311">
        <f t="shared" si="29"/>
        <v>16.387822580670836</v>
      </c>
      <c r="R42" s="311">
        <f t="shared" si="14"/>
        <v>16.384711975967488</v>
      </c>
      <c r="S42" s="311">
        <f t="shared" si="15"/>
        <v>16.383644784925924</v>
      </c>
      <c r="T42" s="311">
        <f t="shared" si="21"/>
        <v>7.8666501035625149</v>
      </c>
      <c r="U42" s="311">
        <f t="shared" si="16"/>
        <v>12.516585237851864</v>
      </c>
      <c r="V42" s="311">
        <f t="shared" si="17"/>
        <v>0.1976057840361638</v>
      </c>
      <c r="W42" s="311">
        <f t="shared" si="18"/>
        <v>0.19775345828515423</v>
      </c>
      <c r="X42" s="311">
        <f t="shared" si="19"/>
        <v>0.19780377714562269</v>
      </c>
    </row>
    <row r="43" spans="1:24">
      <c r="A43" s="312">
        <f t="shared" si="23"/>
        <v>52</v>
      </c>
      <c r="B43" s="311">
        <f t="shared" si="24"/>
        <v>0.99874417149414885</v>
      </c>
      <c r="C43" s="311">
        <f t="shared" si="30"/>
        <v>0.99860473238191982</v>
      </c>
      <c r="D43" s="311">
        <f t="shared" ref="D43:D74" si="32">EXP(-(A+B/LN(cc)*cc^x*(cc-1)))</f>
        <v>0.99853127440738698</v>
      </c>
      <c r="E43" s="313">
        <f t="shared" si="7"/>
        <v>98297.23539519521</v>
      </c>
      <c r="F43" s="313">
        <f t="shared" si="7"/>
        <v>98318.953758151809</v>
      </c>
      <c r="G43" s="313">
        <f t="shared" si="22"/>
        <v>98326.18669254893</v>
      </c>
      <c r="H43" s="349">
        <f t="shared" si="25"/>
        <v>16.665137793725414</v>
      </c>
      <c r="I43" s="349">
        <f t="shared" si="31"/>
        <v>16.66175472637023</v>
      </c>
      <c r="J43" s="311">
        <f t="shared" ref="J43:J74" si="33">1+v*D43*J44</f>
        <v>16.660602638118974</v>
      </c>
      <c r="K43" s="311">
        <f t="shared" si="26"/>
        <v>0.59919493452504002</v>
      </c>
      <c r="L43" s="311">
        <f t="shared" si="9"/>
        <v>8.0450848141466675</v>
      </c>
      <c r="M43" s="311">
        <f t="shared" si="27"/>
        <v>0.34155694182044694</v>
      </c>
      <c r="N43" s="311">
        <f t="shared" si="10"/>
        <v>12.789564659693015</v>
      </c>
      <c r="O43" s="311">
        <f t="shared" si="28"/>
        <v>0.24605551952426929</v>
      </c>
      <c r="P43" s="311">
        <f t="shared" si="11"/>
        <v>14.29943930698078</v>
      </c>
      <c r="Q43" s="311">
        <f t="shared" si="29"/>
        <v>16.20267312661861</v>
      </c>
      <c r="R43" s="311">
        <f t="shared" ref="R43:R74" si="34">I43-(m-1)/(2*m)-(m^2-1)/(12*m^2)*(delta+sel*(A+B*cc^x))</f>
        <v>16.199279645729195</v>
      </c>
      <c r="S43" s="311">
        <f t="shared" ref="S43:S74" si="35">J43-(m-1)/(2*m)-(m^2-1)/(12*m^2)*(delta+(A+B*cc^x))</f>
        <v>16.198115986884353</v>
      </c>
      <c r="T43" s="311">
        <f t="shared" si="21"/>
        <v>7.8598694179024768</v>
      </c>
      <c r="U43" s="311">
        <f t="shared" si="16"/>
        <v>12.485377196779583</v>
      </c>
      <c r="V43" s="311">
        <f t="shared" ref="V43:V74" si="36">(1-(1-v)*H43)</f>
        <v>0.20642200982259851</v>
      </c>
      <c r="W43" s="311">
        <f t="shared" ref="W43:W74" si="37">(1-(1-v)*I43)</f>
        <v>0.20658310826808346</v>
      </c>
      <c r="X43" s="311">
        <f t="shared" ref="X43:X74" si="38">(1-(1-v)*J43)</f>
        <v>0.20663796961338132</v>
      </c>
    </row>
    <row r="44" spans="1:24">
      <c r="A44" s="312">
        <f t="shared" si="23"/>
        <v>53</v>
      </c>
      <c r="B44" s="311">
        <f t="shared" si="24"/>
        <v>0.99861182893281442</v>
      </c>
      <c r="C44" s="311">
        <f t="shared" si="30"/>
        <v>0.99845770670386991</v>
      </c>
      <c r="D44" s="311">
        <f t="shared" si="32"/>
        <v>0.99837653816669603</v>
      </c>
      <c r="E44" s="313">
        <f t="shared" si="7"/>
        <v>98149.806217056088</v>
      </c>
      <c r="F44" s="313">
        <f t="shared" si="7"/>
        <v>98173.79092493956</v>
      </c>
      <c r="G44" s="313">
        <f t="shared" si="22"/>
        <v>98181.772505729532</v>
      </c>
      <c r="H44" s="349">
        <f t="shared" si="25"/>
        <v>16.472771583128775</v>
      </c>
      <c r="I44" s="349">
        <f t="shared" si="31"/>
        <v>16.469077019798206</v>
      </c>
      <c r="J44" s="311">
        <f t="shared" si="33"/>
        <v>16.467819477946712</v>
      </c>
      <c r="K44" s="311">
        <f t="shared" si="26"/>
        <v>0.59755441311827984</v>
      </c>
      <c r="L44" s="311">
        <f t="shared" si="9"/>
        <v>8.0382202396281777</v>
      </c>
      <c r="M44" s="311">
        <f t="shared" si="27"/>
        <v>0.33759548173796128</v>
      </c>
      <c r="N44" s="311">
        <f t="shared" si="10"/>
        <v>12.756480775519227</v>
      </c>
      <c r="O44" s="311">
        <f t="shared" si="28"/>
        <v>0.24071430685882059</v>
      </c>
      <c r="P44" s="311">
        <f t="shared" si="11"/>
        <v>14.243803393380642</v>
      </c>
      <c r="Q44" s="311">
        <f t="shared" si="29"/>
        <v>16.010297123130272</v>
      </c>
      <c r="R44" s="311">
        <f t="shared" si="34"/>
        <v>16.006591058166396</v>
      </c>
      <c r="S44" s="311">
        <f t="shared" si="35"/>
        <v>16.005320736722336</v>
      </c>
      <c r="T44" s="311">
        <f t="shared" si="21"/>
        <v>7.8522592287099418</v>
      </c>
      <c r="U44" s="311">
        <f t="shared" si="16"/>
        <v>12.450490063733989</v>
      </c>
      <c r="V44" s="311">
        <f t="shared" si="36"/>
        <v>0.21558230556529556</v>
      </c>
      <c r="W44" s="311">
        <f t="shared" si="37"/>
        <v>0.21575823715246545</v>
      </c>
      <c r="X44" s="311">
        <f t="shared" si="38"/>
        <v>0.21581812009777479</v>
      </c>
    </row>
    <row r="45" spans="1:24">
      <c r="A45" s="312">
        <f t="shared" si="23"/>
        <v>54</v>
      </c>
      <c r="B45" s="311">
        <f t="shared" si="24"/>
        <v>0.99846309682696066</v>
      </c>
      <c r="C45" s="311">
        <f t="shared" si="30"/>
        <v>0.99829247568105395</v>
      </c>
      <c r="D45" s="311">
        <f t="shared" si="32"/>
        <v>0.99820264325484998</v>
      </c>
      <c r="E45" s="313">
        <f t="shared" si="7"/>
        <v>97987.032801061287</v>
      </c>
      <c r="F45" s="313">
        <f t="shared" si="7"/>
        <v>98013.557495815694</v>
      </c>
      <c r="G45" s="313">
        <f t="shared" si="22"/>
        <v>98022.37814534035</v>
      </c>
      <c r="H45" s="349">
        <f t="shared" si="25"/>
        <v>16.273032695536536</v>
      </c>
      <c r="I45" s="349">
        <f t="shared" si="31"/>
        <v>16.26899430947784</v>
      </c>
      <c r="J45" s="311">
        <f t="shared" si="33"/>
        <v>16.267620312540139</v>
      </c>
      <c r="K45" s="311">
        <f t="shared" si="26"/>
        <v>0.59571582795229971</v>
      </c>
      <c r="L45" s="311">
        <f t="shared" si="9"/>
        <v>8.0305163803167652</v>
      </c>
      <c r="M45" s="311">
        <f t="shared" si="27"/>
        <v>0.33319761940220544</v>
      </c>
      <c r="N45" s="311">
        <f t="shared" si="10"/>
        <v>12.71950937594851</v>
      </c>
      <c r="O45" s="311">
        <f t="shared" si="28"/>
        <v>0.23484905948517448</v>
      </c>
      <c r="P45" s="311">
        <f t="shared" si="11"/>
        <v>14.181898143093276</v>
      </c>
      <c r="Q45" s="311">
        <f t="shared" si="29"/>
        <v>15.810547228327758</v>
      </c>
      <c r="R45" s="311">
        <f t="shared" si="34"/>
        <v>15.806496117612394</v>
      </c>
      <c r="S45" s="311">
        <f t="shared" si="35"/>
        <v>15.80510798216728</v>
      </c>
      <c r="T45" s="311">
        <f t="shared" si="21"/>
        <v>7.8437196270476885</v>
      </c>
      <c r="U45" s="311">
        <f t="shared" si="16"/>
        <v>12.411516045517692</v>
      </c>
      <c r="V45" s="311">
        <f t="shared" si="36"/>
        <v>0.22509368116492601</v>
      </c>
      <c r="W45" s="311">
        <f t="shared" si="37"/>
        <v>0.22528598526295918</v>
      </c>
      <c r="X45" s="311">
        <f t="shared" si="38"/>
        <v>0.22535141368856393</v>
      </c>
    </row>
    <row r="46" spans="1:24">
      <c r="A46" s="312">
        <f t="shared" si="23"/>
        <v>55</v>
      </c>
      <c r="B46" s="311">
        <f t="shared" si="24"/>
        <v>0.998295948382383</v>
      </c>
      <c r="C46" s="311">
        <f t="shared" si="30"/>
        <v>0.99810678865074853</v>
      </c>
      <c r="D46" s="311">
        <f t="shared" si="32"/>
        <v>0.99800722152882837</v>
      </c>
      <c r="E46" s="313">
        <f t="shared" si="7"/>
        <v>97807.06583150434</v>
      </c>
      <c r="F46" s="313">
        <f t="shared" si="7"/>
        <v>97836.436219432624</v>
      </c>
      <c r="G46" s="313">
        <f t="shared" si="22"/>
        <v>97846.196962805174</v>
      </c>
      <c r="H46" s="349">
        <f t="shared" si="25"/>
        <v>16.065786567230756</v>
      </c>
      <c r="I46" s="349">
        <f t="shared" si="31"/>
        <v>16.061369099445656</v>
      </c>
      <c r="J46" s="311">
        <f t="shared" si="33"/>
        <v>16.059866637794798</v>
      </c>
      <c r="K46" s="311">
        <f t="shared" si="26"/>
        <v>0.59365601011950697</v>
      </c>
      <c r="L46" s="311">
        <f t="shared" si="9"/>
        <v>8.0218722754671514</v>
      </c>
      <c r="M46" s="311">
        <f t="shared" si="27"/>
        <v>0.32832277282383904</v>
      </c>
      <c r="N46" s="311">
        <f t="shared" si="10"/>
        <v>12.678222844731312</v>
      </c>
      <c r="O46" s="311">
        <f t="shared" si="28"/>
        <v>0.22842694185409448</v>
      </c>
      <c r="P46" s="311">
        <f t="shared" si="11"/>
        <v>14.113100416825548</v>
      </c>
      <c r="Q46" s="311">
        <f t="shared" si="29"/>
        <v>15.603288727917635</v>
      </c>
      <c r="R46" s="311">
        <f t="shared" si="34"/>
        <v>15.598857160797605</v>
      </c>
      <c r="S46" s="311">
        <f t="shared" si="35"/>
        <v>15.597339033219045</v>
      </c>
      <c r="T46" s="311">
        <f t="shared" si="21"/>
        <v>7.8341390808252074</v>
      </c>
      <c r="U46" s="311">
        <f t="shared" si="16"/>
        <v>12.368008795569946</v>
      </c>
      <c r="V46" s="311">
        <f t="shared" si="36"/>
        <v>0.23496254441758224</v>
      </c>
      <c r="W46" s="311">
        <f t="shared" si="37"/>
        <v>0.23517290002639646</v>
      </c>
      <c r="X46" s="311">
        <f t="shared" si="38"/>
        <v>0.23524444581929449</v>
      </c>
    </row>
    <row r="47" spans="1:24">
      <c r="A47" s="312">
        <f t="shared" si="23"/>
        <v>56</v>
      </c>
      <c r="B47" s="311">
        <f t="shared" si="24"/>
        <v>0.99810810693175567</v>
      </c>
      <c r="C47" s="311">
        <f t="shared" si="30"/>
        <v>0.99789811765673897</v>
      </c>
      <c r="D47" s="311">
        <f t="shared" si="32"/>
        <v>0.99778761317702136</v>
      </c>
      <c r="E47" s="313">
        <f t="shared" si="7"/>
        <v>97607.840188570553</v>
      </c>
      <c r="F47" s="313">
        <f t="shared" si="7"/>
        <v>97640.397542759791</v>
      </c>
      <c r="G47" s="313">
        <f t="shared" si="22"/>
        <v>97651.21116801168</v>
      </c>
      <c r="H47" s="349">
        <f t="shared" si="25"/>
        <v>15.85091336833889</v>
      </c>
      <c r="I47" s="349">
        <f t="shared" si="31"/>
        <v>15.846078431175826</v>
      </c>
      <c r="J47" s="311">
        <f t="shared" si="33"/>
        <v>15.844434417479581</v>
      </c>
      <c r="K47" s="311">
        <f t="shared" si="26"/>
        <v>0.59134927542876448</v>
      </c>
      <c r="L47" s="311">
        <f t="shared" si="9"/>
        <v>8.0121752521481895</v>
      </c>
      <c r="M47" s="311">
        <f t="shared" si="27"/>
        <v>0.32292852914978387</v>
      </c>
      <c r="N47" s="311">
        <f t="shared" si="10"/>
        <v>12.632154000235259</v>
      </c>
      <c r="O47" s="311">
        <f t="shared" si="28"/>
        <v>0.22141787570989988</v>
      </c>
      <c r="P47" s="311">
        <f t="shared" si="11"/>
        <v>14.036745876513391</v>
      </c>
      <c r="Q47" s="311">
        <f t="shared" si="29"/>
        <v>15.388401622780487</v>
      </c>
      <c r="R47" s="311">
        <f t="shared" si="34"/>
        <v>15.383551041144127</v>
      </c>
      <c r="S47" s="311">
        <f t="shared" si="35"/>
        <v>15.381889644699775</v>
      </c>
      <c r="T47" s="311">
        <f t="shared" si="21"/>
        <v>7.8233931904718395</v>
      </c>
      <c r="U47" s="311">
        <f t="shared" si="16"/>
        <v>12.31948150077065</v>
      </c>
      <c r="V47" s="311">
        <f t="shared" si="36"/>
        <v>0.24519460150767103</v>
      </c>
      <c r="W47" s="311">
        <f t="shared" si="37"/>
        <v>0.24542483661067416</v>
      </c>
      <c r="X47" s="311">
        <f t="shared" si="38"/>
        <v>0.24550312297716193</v>
      </c>
    </row>
    <row r="48" spans="1:24">
      <c r="A48" s="312">
        <f t="shared" si="23"/>
        <v>57</v>
      </c>
      <c r="B48" s="311">
        <f t="shared" si="24"/>
        <v>0.99789701533139474</v>
      </c>
      <c r="C48" s="311">
        <f t="shared" si="30"/>
        <v>0.99766362353506655</v>
      </c>
      <c r="D48" s="311">
        <f t="shared" si="32"/>
        <v>0.99754083107299685</v>
      </c>
      <c r="E48" s="313">
        <f t="shared" si="7"/>
        <v>97387.051615379387</v>
      </c>
      <c r="F48" s="313">
        <f t="shared" si="7"/>
        <v>97423.176592311502</v>
      </c>
      <c r="G48" s="313">
        <f t="shared" si="22"/>
        <v>97435.168915175673</v>
      </c>
      <c r="H48" s="349">
        <f t="shared" si="25"/>
        <v>15.628310232787989</v>
      </c>
      <c r="I48" s="349">
        <f t="shared" si="31"/>
        <v>15.623016112644418</v>
      </c>
      <c r="J48" s="311">
        <f t="shared" si="33"/>
        <v>15.621216311479978</v>
      </c>
      <c r="K48" s="311">
        <f t="shared" si="26"/>
        <v>0.58876720311524255</v>
      </c>
      <c r="L48" s="311">
        <f t="shared" si="9"/>
        <v>8.0012996803512841</v>
      </c>
      <c r="M48" s="311">
        <f t="shared" si="27"/>
        <v>0.31697111869854511</v>
      </c>
      <c r="N48" s="311">
        <f t="shared" si="10"/>
        <v>12.580794382313679</v>
      </c>
      <c r="O48" s="311">
        <f t="shared" si="28"/>
        <v>0.21379607998839373</v>
      </c>
      <c r="P48" s="311">
        <f t="shared" si="11"/>
        <v>13.952131626062917</v>
      </c>
      <c r="Q48" s="311">
        <f t="shared" si="29"/>
        <v>15.165782856609887</v>
      </c>
      <c r="R48" s="311">
        <f t="shared" si="34"/>
        <v>15.160471355257499</v>
      </c>
      <c r="S48" s="311">
        <f t="shared" si="35"/>
        <v>15.158652241638817</v>
      </c>
      <c r="T48" s="311">
        <f t="shared" si="21"/>
        <v>7.811343340245835</v>
      </c>
      <c r="U48" s="311">
        <f t="shared" si="16"/>
        <v>12.265405369441661</v>
      </c>
      <c r="V48" s="311">
        <f t="shared" si="36"/>
        <v>0.25579475081961878</v>
      </c>
      <c r="W48" s="311">
        <f t="shared" si="37"/>
        <v>0.25604685177883646</v>
      </c>
      <c r="X48" s="311">
        <f t="shared" si="38"/>
        <v>0.25613255659619072</v>
      </c>
    </row>
    <row r="49" spans="1:24">
      <c r="A49" s="312">
        <f t="shared" si="23"/>
        <v>58</v>
      </c>
      <c r="B49" s="311">
        <f t="shared" si="24"/>
        <v>0.99765980166328017</v>
      </c>
      <c r="C49" s="311">
        <f t="shared" si="30"/>
        <v>0.99740011791783223</v>
      </c>
      <c r="D49" s="311">
        <f t="shared" si="32"/>
        <v>0.99726352084579795</v>
      </c>
      <c r="E49" s="313">
        <f t="shared" si="7"/>
        <v>97142.131359708917</v>
      </c>
      <c r="F49" s="313">
        <f t="shared" si="7"/>
        <v>97182.248138911571</v>
      </c>
      <c r="G49" s="313">
        <f t="shared" si="22"/>
        <v>97195.559375382174</v>
      </c>
      <c r="H49" s="349">
        <f t="shared" si="25"/>
        <v>15.397893622612651</v>
      </c>
      <c r="I49" s="349">
        <f t="shared" si="31"/>
        <v>15.392095084407613</v>
      </c>
      <c r="J49" s="311">
        <f t="shared" si="33"/>
        <v>15.390124041880496</v>
      </c>
      <c r="K49" s="311">
        <f t="shared" si="26"/>
        <v>0.58587840949773329</v>
      </c>
      <c r="L49" s="311">
        <f t="shared" si="9"/>
        <v>7.9891056262482181</v>
      </c>
      <c r="M49" s="311">
        <f t="shared" si="27"/>
        <v>0.31040607852517005</v>
      </c>
      <c r="N49" s="311">
        <f t="shared" si="10"/>
        <v>12.523593029657629</v>
      </c>
      <c r="O49" s="311">
        <f t="shared" si="28"/>
        <v>0.20554191169150268</v>
      </c>
      <c r="P49" s="311">
        <f t="shared" si="11"/>
        <v>13.85852057561161</v>
      </c>
      <c r="Q49" s="311">
        <f t="shared" si="29"/>
        <v>14.935348677618009</v>
      </c>
      <c r="R49" s="311">
        <f t="shared" si="34"/>
        <v>14.929530806113426</v>
      </c>
      <c r="S49" s="311">
        <f t="shared" si="35"/>
        <v>14.927538282142372</v>
      </c>
      <c r="T49" s="311">
        <f t="shared" si="21"/>
        <v>7.7978352445926236</v>
      </c>
      <c r="U49" s="311">
        <f t="shared" si="16"/>
        <v>12.205208693793956</v>
      </c>
      <c r="V49" s="311">
        <f t="shared" si="36"/>
        <v>0.26676697035177765</v>
      </c>
      <c r="W49" s="311">
        <f t="shared" si="37"/>
        <v>0.2670430912186843</v>
      </c>
      <c r="X49" s="311">
        <f t="shared" si="38"/>
        <v>0.2671369503866422</v>
      </c>
    </row>
    <row r="50" spans="1:24">
      <c r="A50" s="312">
        <f t="shared" si="23"/>
        <v>59</v>
      </c>
      <c r="B50" s="311">
        <f t="shared" si="24"/>
        <v>0.99739324081042247</v>
      </c>
      <c r="C50" s="311">
        <f t="shared" si="30"/>
        <v>0.99710402068123283</v>
      </c>
      <c r="D50" s="311">
        <f t="shared" si="32"/>
        <v>0.99695191617142243</v>
      </c>
      <c r="E50" s="313">
        <f t="shared" si="7"/>
        <v>96870.218756132905</v>
      </c>
      <c r="F50" s="313">
        <f t="shared" si="7"/>
        <v>96914.799505475501</v>
      </c>
      <c r="G50" s="313">
        <f t="shared" si="22"/>
        <v>96929.585753270439</v>
      </c>
      <c r="H50" s="349">
        <f t="shared" si="25"/>
        <v>15.159601817372538</v>
      </c>
      <c r="I50" s="349">
        <f t="shared" si="31"/>
        <v>15.153249913987898</v>
      </c>
      <c r="J50" s="311">
        <f t="shared" si="33"/>
        <v>15.151090888353922</v>
      </c>
      <c r="K50" s="311">
        <f t="shared" si="26"/>
        <v>0.58264832125328192</v>
      </c>
      <c r="L50" s="311">
        <f t="shared" si="9"/>
        <v>7.9754374039324825</v>
      </c>
      <c r="M50" s="311">
        <f t="shared" si="27"/>
        <v>0.30318914402012953</v>
      </c>
      <c r="N50" s="311">
        <f t="shared" si="10"/>
        <v>12.459955941097645</v>
      </c>
      <c r="O50" s="311">
        <f t="shared" si="28"/>
        <v>0.19664401185109029</v>
      </c>
      <c r="P50" s="311">
        <f t="shared" si="11"/>
        <v>13.755147888468914</v>
      </c>
      <c r="Q50" s="311">
        <f t="shared" si="29"/>
        <v>14.697037125028105</v>
      </c>
      <c r="R50" s="311">
        <f t="shared" si="34"/>
        <v>14.690663694193944</v>
      </c>
      <c r="S50" s="311">
        <f t="shared" si="35"/>
        <v>14.688480749171612</v>
      </c>
      <c r="T50" s="311">
        <f t="shared" si="21"/>
        <v>7.782697391822559</v>
      </c>
      <c r="U50" s="311">
        <f t="shared" si="16"/>
        <v>12.138276697775476</v>
      </c>
      <c r="V50" s="311">
        <f t="shared" si="36"/>
        <v>0.2781141991727355</v>
      </c>
      <c r="W50" s="311">
        <f t="shared" si="37"/>
        <v>0.27841667076248022</v>
      </c>
      <c r="X50" s="311">
        <f t="shared" si="38"/>
        <v>0.27851948150695527</v>
      </c>
    </row>
    <row r="51" spans="1:24">
      <c r="A51" s="325">
        <f t="shared" si="23"/>
        <v>60</v>
      </c>
      <c r="B51" s="326">
        <f t="shared" si="24"/>
        <v>0.99709371142695469</v>
      </c>
      <c r="C51" s="326">
        <f t="shared" si="30"/>
        <v>0.99677131231369975</v>
      </c>
      <c r="D51" s="326">
        <f t="shared" si="32"/>
        <v>0.99660178873805105</v>
      </c>
      <c r="E51" s="327">
        <f t="shared" si="7"/>
        <v>96568.131762683872</v>
      </c>
      <c r="F51" s="327">
        <f t="shared" si="7"/>
        <v>96617.701423193968</v>
      </c>
      <c r="G51" s="327">
        <f t="shared" si="22"/>
        <v>96634.136250425174</v>
      </c>
      <c r="H51" s="350">
        <f t="shared" si="25"/>
        <v>14.9133975156668</v>
      </c>
      <c r="I51" s="350">
        <f t="shared" si="31"/>
        <v>14.906439406147019</v>
      </c>
      <c r="J51" s="326">
        <f t="shared" si="33"/>
        <v>14.904074300627279</v>
      </c>
      <c r="K51" s="326">
        <f t="shared" si="26"/>
        <v>0.5790389547126078</v>
      </c>
      <c r="L51" s="326">
        <f t="shared" si="9"/>
        <v>7.9601220290807904</v>
      </c>
      <c r="M51" s="326">
        <f t="shared" si="27"/>
        <v>0.29527740933558577</v>
      </c>
      <c r="N51" s="326">
        <f t="shared" si="10"/>
        <v>12.389246454250344</v>
      </c>
      <c r="O51" s="326">
        <f t="shared" si="28"/>
        <v>0.18710173806878075</v>
      </c>
      <c r="P51" s="326">
        <f t="shared" si="11"/>
        <v>13.64122988456209</v>
      </c>
      <c r="Q51" s="326">
        <f t="shared" si="29"/>
        <v>14.450810627301202</v>
      </c>
      <c r="R51" s="326">
        <f t="shared" si="34"/>
        <v>14.443828524107326</v>
      </c>
      <c r="S51" s="326">
        <f t="shared" si="35"/>
        <v>14.441436758949703</v>
      </c>
      <c r="T51" s="326">
        <f t="shared" si="21"/>
        <v>7.7657393912308823</v>
      </c>
      <c r="U51" s="326">
        <f t="shared" si="16"/>
        <v>12.063952422410562</v>
      </c>
      <c r="V51" s="326">
        <f t="shared" si="36"/>
        <v>0.28983821353967543</v>
      </c>
      <c r="W51" s="326">
        <f t="shared" si="37"/>
        <v>0.29016955208823636</v>
      </c>
      <c r="X51" s="326">
        <f t="shared" si="38"/>
        <v>0.29028217616060492</v>
      </c>
    </row>
    <row r="52" spans="1:24">
      <c r="A52" s="312">
        <f t="shared" si="23"/>
        <v>61</v>
      </c>
      <c r="B52" s="311">
        <f t="shared" si="24"/>
        <v>0.99675714777362756</v>
      </c>
      <c r="C52" s="311">
        <f t="shared" si="30"/>
        <v>0.99639748062566025</v>
      </c>
      <c r="D52" s="311">
        <f t="shared" si="32"/>
        <v>0.99620839228149105</v>
      </c>
      <c r="E52" s="313">
        <f t="shared" si="7"/>
        <v>96232.335532620098</v>
      </c>
      <c r="F52" s="313">
        <f t="shared" si="7"/>
        <v>96287.476904821655</v>
      </c>
      <c r="G52" s="313">
        <f t="shared" si="22"/>
        <v>96305.753040330266</v>
      </c>
      <c r="H52" s="349">
        <f t="shared" si="25"/>
        <v>14.659270531480955</v>
      </c>
      <c r="I52" s="349">
        <f t="shared" si="31"/>
        <v>14.651649312423103</v>
      </c>
      <c r="J52" s="311">
        <f t="shared" si="33"/>
        <v>14.649058611609565</v>
      </c>
      <c r="K52" s="311">
        <f t="shared" si="26"/>
        <v>0.5750087097382004</v>
      </c>
      <c r="L52" s="311">
        <f t="shared" si="9"/>
        <v>7.9429675821235595</v>
      </c>
      <c r="M52" s="311">
        <f t="shared" si="27"/>
        <v>0.28663079754155851</v>
      </c>
      <c r="N52" s="311">
        <f t="shared" si="10"/>
        <v>12.310786817649255</v>
      </c>
      <c r="O52" s="311">
        <f t="shared" si="28"/>
        <v>0.17692783274153251</v>
      </c>
      <c r="P52" s="311">
        <f t="shared" si="11"/>
        <v>13.515975766499512</v>
      </c>
      <c r="Q52" s="311">
        <f t="shared" si="29"/>
        <v>14.196658694787567</v>
      </c>
      <c r="R52" s="311">
        <f t="shared" si="34"/>
        <v>14.189010710019199</v>
      </c>
      <c r="S52" s="311">
        <f t="shared" si="35"/>
        <v>14.18639026952731</v>
      </c>
      <c r="T52" s="311">
        <f t="shared" si="21"/>
        <v>7.7467502348718451</v>
      </c>
      <c r="U52" s="311">
        <f t="shared" si="16"/>
        <v>11.981538943763891</v>
      </c>
      <c r="V52" s="311">
        <f t="shared" si="36"/>
        <v>0.30193949850090618</v>
      </c>
      <c r="W52" s="311">
        <f t="shared" si="37"/>
        <v>0.30230241369413713</v>
      </c>
      <c r="X52" s="311">
        <f t="shared" si="38"/>
        <v>0.30242578039954371</v>
      </c>
    </row>
    <row r="53" spans="1:24">
      <c r="A53" s="312">
        <f t="shared" si="23"/>
        <v>62</v>
      </c>
      <c r="B53" s="311">
        <f t="shared" si="24"/>
        <v>0.99637898583463436</v>
      </c>
      <c r="C53" s="311">
        <f t="shared" si="30"/>
        <v>0.99597746116411157</v>
      </c>
      <c r="D53" s="311">
        <f t="shared" si="32"/>
        <v>0.99576640002728212</v>
      </c>
      <c r="E53" s="313">
        <f t="shared" si="7"/>
        <v>95858.909191139319</v>
      </c>
      <c r="F53" s="313">
        <f t="shared" si="7"/>
        <v>95920.268289089116</v>
      </c>
      <c r="G53" s="313">
        <f t="shared" si="22"/>
        <v>95940.599403765736</v>
      </c>
      <c r="H53" s="349">
        <f t="shared" si="25"/>
        <v>14.397240563372856</v>
      </c>
      <c r="I53" s="349">
        <f t="shared" si="31"/>
        <v>14.388895118625477</v>
      </c>
      <c r="J53" s="311">
        <f t="shared" si="33"/>
        <v>14.386057830097558</v>
      </c>
      <c r="K53" s="311">
        <f t="shared" si="26"/>
        <v>0.57051218940236381</v>
      </c>
      <c r="L53" s="311">
        <f t="shared" si="9"/>
        <v>7.9237614939644612</v>
      </c>
      <c r="M53" s="311">
        <f t="shared" si="27"/>
        <v>0.2772138781006861</v>
      </c>
      <c r="N53" s="311">
        <f t="shared" si="10"/>
        <v>12.223861276040333</v>
      </c>
      <c r="O53" s="311">
        <f t="shared" si="28"/>
        <v>0.166151232491</v>
      </c>
      <c r="P53" s="311">
        <f t="shared" si="11"/>
        <v>13.378602493751336</v>
      </c>
      <c r="Q53" s="311">
        <f t="shared" si="29"/>
        <v>13.934600684759031</v>
      </c>
      <c r="R53" s="311">
        <f t="shared" si="34"/>
        <v>13.9262253585322</v>
      </c>
      <c r="S53" s="311">
        <f t="shared" si="35"/>
        <v>13.923354868360443</v>
      </c>
      <c r="T53" s="311">
        <f t="shared" si="21"/>
        <v>7.7254964918077356</v>
      </c>
      <c r="U53" s="311">
        <f t="shared" si="16"/>
        <v>11.890303261046885</v>
      </c>
      <c r="V53" s="311">
        <f t="shared" si="36"/>
        <v>0.31441711602986322</v>
      </c>
      <c r="W53" s="311">
        <f t="shared" si="37"/>
        <v>0.31481451816069084</v>
      </c>
      <c r="X53" s="311">
        <f t="shared" si="38"/>
        <v>0.31494962713821073</v>
      </c>
    </row>
    <row r="54" spans="1:24">
      <c r="A54" s="312">
        <f t="shared" si="23"/>
        <v>63</v>
      </c>
      <c r="B54" s="311">
        <f t="shared" si="24"/>
        <v>0.99595410307297816</v>
      </c>
      <c r="C54" s="311">
        <f t="shared" si="30"/>
        <v>0.99550557063310907</v>
      </c>
      <c r="D54" s="311">
        <f t="shared" si="32"/>
        <v>0.99526983481229825</v>
      </c>
      <c r="E54" s="313">
        <f t="shared" si="7"/>
        <v>95443.51110462191</v>
      </c>
      <c r="F54" s="313">
        <f t="shared" si="7"/>
        <v>95511.80272308171</v>
      </c>
      <c r="G54" s="313">
        <f t="shared" si="22"/>
        <v>95534.425284747413</v>
      </c>
      <c r="H54" s="349">
        <f t="shared" si="25"/>
        <v>14.127360009322349</v>
      </c>
      <c r="I54" s="349">
        <f t="shared" si="31"/>
        <v>14.118224883835685</v>
      </c>
      <c r="J54" s="311">
        <f t="shared" si="33"/>
        <v>14.115118486843246</v>
      </c>
      <c r="K54" s="311">
        <f t="shared" si="26"/>
        <v>0.56550005990830343</v>
      </c>
      <c r="L54" s="311">
        <f t="shared" si="9"/>
        <v>7.9022687743303708</v>
      </c>
      <c r="M54" s="311">
        <f t="shared" si="27"/>
        <v>0.26699806091831568</v>
      </c>
      <c r="N54" s="311">
        <f t="shared" si="10"/>
        <v>12.127721029628121</v>
      </c>
      <c r="O54" s="311">
        <f t="shared" si="28"/>
        <v>0.15481986892107072</v>
      </c>
      <c r="P54" s="311">
        <f t="shared" si="11"/>
        <v>13.22835304458027</v>
      </c>
      <c r="Q54" s="311">
        <f t="shared" si="29"/>
        <v>13.664688611589954</v>
      </c>
      <c r="R54" s="311">
        <f t="shared" si="34"/>
        <v>13.655520102499553</v>
      </c>
      <c r="S54" s="311">
        <f t="shared" si="35"/>
        <v>13.65237661261407</v>
      </c>
      <c r="T54" s="311">
        <f t="shared" si="21"/>
        <v>7.7017204611064463</v>
      </c>
      <c r="U54" s="311">
        <f t="shared" si="16"/>
        <v>11.789482230176601</v>
      </c>
      <c r="V54" s="311">
        <f t="shared" si="36"/>
        <v>0.32726857098464934</v>
      </c>
      <c r="W54" s="311">
        <f t="shared" si="37"/>
        <v>0.32770357696020469</v>
      </c>
      <c r="X54" s="311">
        <f t="shared" si="38"/>
        <v>0.32785150062651136</v>
      </c>
    </row>
    <row r="55" spans="1:24">
      <c r="A55" s="312">
        <f t="shared" si="23"/>
        <v>64</v>
      </c>
      <c r="B55" s="311">
        <f t="shared" si="24"/>
        <v>0.99547675111915312</v>
      </c>
      <c r="C55" s="311">
        <f t="shared" si="30"/>
        <v>0.9949754325558372</v>
      </c>
      <c r="D55" s="311">
        <f t="shared" si="32"/>
        <v>0.99471199109198305</v>
      </c>
      <c r="E55" s="313">
        <f t="shared" si="7"/>
        <v>94981.34308295192</v>
      </c>
      <c r="F55" s="313">
        <f t="shared" si="7"/>
        <v>95057.356496339547</v>
      </c>
      <c r="G55" s="313">
        <f t="shared" si="22"/>
        <v>95082.5316720384</v>
      </c>
      <c r="H55" s="349">
        <f t="shared" si="25"/>
        <v>13.849716794479965</v>
      </c>
      <c r="I55" s="349">
        <f t="shared" si="31"/>
        <v>13.839722098899239</v>
      </c>
      <c r="J55" s="311">
        <f t="shared" si="33"/>
        <v>13.836322502211182</v>
      </c>
      <c r="K55" s="311">
        <f t="shared" si="26"/>
        <v>0.55991896906218908</v>
      </c>
      <c r="L55" s="311">
        <f t="shared" si="9"/>
        <v>7.8782302117970007</v>
      </c>
      <c r="M55" s="311">
        <f t="shared" si="27"/>
        <v>0.25596418092614054</v>
      </c>
      <c r="N55" s="311">
        <f t="shared" si="10"/>
        <v>12.021591461924496</v>
      </c>
      <c r="O55" s="311">
        <f t="shared" si="28"/>
        <v>0.14300324469664652</v>
      </c>
      <c r="P55" s="311">
        <f t="shared" si="11"/>
        <v>13.064518160828614</v>
      </c>
      <c r="Q55" s="311">
        <f t="shared" si="29"/>
        <v>13.387009969258299</v>
      </c>
      <c r="R55" s="311">
        <f t="shared" si="34"/>
        <v>13.376977953686136</v>
      </c>
      <c r="S55" s="311">
        <f t="shared" si="35"/>
        <v>13.373536890340928</v>
      </c>
      <c r="T55" s="311">
        <f t="shared" si="21"/>
        <v>7.6751383205239199</v>
      </c>
      <c r="U55" s="311">
        <f t="shared" si="16"/>
        <v>11.678290945621001</v>
      </c>
      <c r="V55" s="311">
        <f t="shared" si="36"/>
        <v>0.34048967645333428</v>
      </c>
      <c r="W55" s="311">
        <f t="shared" si="37"/>
        <v>0.34096561433813077</v>
      </c>
      <c r="X55" s="311">
        <f t="shared" si="38"/>
        <v>0.34112749989470492</v>
      </c>
    </row>
    <row r="56" spans="1:24">
      <c r="A56" s="312">
        <f t="shared" si="23"/>
        <v>65</v>
      </c>
      <c r="B56" s="311">
        <f t="shared" si="24"/>
        <v>0.99494048062217788</v>
      </c>
      <c r="C56" s="311">
        <f t="shared" si="30"/>
        <v>0.9943798943458636</v>
      </c>
      <c r="D56" s="311">
        <f t="shared" si="32"/>
        <v>0.99408534797044545</v>
      </c>
      <c r="E56" s="313">
        <f t="shared" si="7"/>
        <v>94467.114151566682</v>
      </c>
      <c r="F56" s="313">
        <f t="shared" si="7"/>
        <v>94551.718829150632</v>
      </c>
      <c r="G56" s="313">
        <f t="shared" si="22"/>
        <v>94579.734397559863</v>
      </c>
      <c r="H56" s="349">
        <f t="shared" si="25"/>
        <v>13.564437173125512</v>
      </c>
      <c r="I56" s="349">
        <f t="shared" si="31"/>
        <v>13.553508526477904</v>
      </c>
      <c r="J56" s="311">
        <f t="shared" si="33"/>
        <v>13.549790037743087</v>
      </c>
      <c r="K56" s="311">
        <f t="shared" si="26"/>
        <v>0.55371154616216589</v>
      </c>
      <c r="L56" s="311">
        <f t="shared" si="9"/>
        <v>7.8513605857928068</v>
      </c>
      <c r="M56" s="311">
        <f t="shared" si="27"/>
        <v>0.24410546265729038</v>
      </c>
      <c r="N56" s="311">
        <f t="shared" si="10"/>
        <v>11.904682050731701</v>
      </c>
      <c r="O56" s="311">
        <f t="shared" si="28"/>
        <v>0.13079449580333324</v>
      </c>
      <c r="P56" s="311">
        <f t="shared" si="11"/>
        <v>12.886461454611789</v>
      </c>
      <c r="Q56" s="311">
        <f t="shared" si="29"/>
        <v>13.101690527405903</v>
      </c>
      <c r="R56" s="311">
        <f t="shared" si="34"/>
        <v>13.090720136267088</v>
      </c>
      <c r="S56" s="311">
        <f t="shared" si="35"/>
        <v>13.086955264764262</v>
      </c>
      <c r="T56" s="311">
        <f t="shared" si="21"/>
        <v>7.6454383210783066</v>
      </c>
      <c r="U56" s="311">
        <f t="shared" si="16"/>
        <v>11.55593398286093</v>
      </c>
      <c r="V56" s="311">
        <f t="shared" si="36"/>
        <v>0.35407442032735581</v>
      </c>
      <c r="W56" s="311">
        <f t="shared" si="37"/>
        <v>0.3545948320724801</v>
      </c>
      <c r="X56" s="311">
        <f t="shared" si="38"/>
        <v>0.35477190296461425</v>
      </c>
    </row>
    <row r="57" spans="1:24">
      <c r="A57" s="312">
        <f t="shared" si="23"/>
        <v>66</v>
      </c>
      <c r="B57" s="311">
        <f t="shared" si="24"/>
        <v>0.99433805742374282</v>
      </c>
      <c r="C57" s="311">
        <f t="shared" si="30"/>
        <v>0.99371093488553053</v>
      </c>
      <c r="D57" s="311">
        <f t="shared" si="32"/>
        <v>0.99338147232075569</v>
      </c>
      <c r="E57" s="313">
        <f t="shared" si="7"/>
        <v>93895.004778223418</v>
      </c>
      <c r="F57" s="313">
        <f t="shared" si="7"/>
        <v>93989.155956949893</v>
      </c>
      <c r="G57" s="313">
        <f t="shared" si="22"/>
        <v>94020.328179550605</v>
      </c>
      <c r="H57" s="349">
        <f t="shared" si="25"/>
        <v>13.27168845999009</v>
      </c>
      <c r="I57" s="349">
        <f t="shared" si="31"/>
        <v>13.259746978564856</v>
      </c>
      <c r="J57" s="311">
        <f t="shared" si="33"/>
        <v>13.25568228777677</v>
      </c>
      <c r="K57" s="311">
        <f t="shared" si="26"/>
        <v>0.54681651144689425</v>
      </c>
      <c r="L57" s="311">
        <f t="shared" si="9"/>
        <v>7.8213469448337625</v>
      </c>
      <c r="M57" s="311">
        <f t="shared" si="27"/>
        <v>0.23143081822332118</v>
      </c>
      <c r="N57" s="311">
        <f t="shared" si="10"/>
        <v>11.776199373676405</v>
      </c>
      <c r="O57" s="311">
        <f t="shared" si="28"/>
        <v>0.1183115783099719</v>
      </c>
      <c r="P57" s="311">
        <f t="shared" si="11"/>
        <v>12.693647458693578</v>
      </c>
      <c r="Q57" s="311">
        <f t="shared" si="29"/>
        <v>12.808897056030794</v>
      </c>
      <c r="R57" s="311">
        <f t="shared" si="34"/>
        <v>12.796908856976609</v>
      </c>
      <c r="S57" s="311">
        <f t="shared" si="35"/>
        <v>12.792792257711913</v>
      </c>
      <c r="T57" s="311">
        <f t="shared" si="21"/>
        <v>7.6122790940165856</v>
      </c>
      <c r="U57" s="311">
        <f t="shared" si="16"/>
        <v>11.421619895171915</v>
      </c>
      <c r="V57" s="311">
        <f t="shared" si="36"/>
        <v>0.36801483523856648</v>
      </c>
      <c r="W57" s="311">
        <f t="shared" si="37"/>
        <v>0.36858347721119666</v>
      </c>
      <c r="X57" s="311">
        <f t="shared" si="38"/>
        <v>0.36877703391539118</v>
      </c>
    </row>
    <row r="58" spans="1:24">
      <c r="A58" s="312">
        <f t="shared" si="23"/>
        <v>67</v>
      </c>
      <c r="B58" s="311">
        <f t="shared" si="24"/>
        <v>0.99366136914650294</v>
      </c>
      <c r="C58" s="311">
        <f t="shared" si="30"/>
        <v>0.9929595616397604</v>
      </c>
      <c r="D58" s="311">
        <f t="shared" si="32"/>
        <v>0.99259091099373209</v>
      </c>
      <c r="E58" s="313">
        <f t="shared" si="7"/>
        <v>93258.632750293211</v>
      </c>
      <c r="F58" s="313">
        <f t="shared" si="7"/>
        <v>93363.376652971725</v>
      </c>
      <c r="G58" s="313">
        <f t="shared" si="22"/>
        <v>93398.052035082612</v>
      </c>
      <c r="H58" s="349">
        <f t="shared" si="25"/>
        <v>12.971681639841693</v>
      </c>
      <c r="I58" s="349">
        <f t="shared" si="31"/>
        <v>12.958643981076611</v>
      </c>
      <c r="J58" s="311">
        <f t="shared" si="33"/>
        <v>12.954204160967555</v>
      </c>
      <c r="K58" s="311">
        <f t="shared" si="26"/>
        <v>0.53916892921705473</v>
      </c>
      <c r="L58" s="311">
        <f t="shared" si="9"/>
        <v>7.7878470222943204</v>
      </c>
      <c r="M58" s="311">
        <f t="shared" si="27"/>
        <v>0.21796838239648847</v>
      </c>
      <c r="N58" s="311">
        <f t="shared" si="10"/>
        <v>11.635363582165466</v>
      </c>
      <c r="O58" s="311">
        <f t="shared" si="28"/>
        <v>0.10569715863022947</v>
      </c>
      <c r="P58" s="311">
        <f t="shared" si="11"/>
        <v>12.485671821235712</v>
      </c>
      <c r="Q58" s="311">
        <f t="shared" si="29"/>
        <v>12.508839927620988</v>
      </c>
      <c r="R58" s="311">
        <f t="shared" si="34"/>
        <v>12.495749961420133</v>
      </c>
      <c r="S58" s="311">
        <f t="shared" si="35"/>
        <v>12.491252021937996</v>
      </c>
      <c r="T58" s="311">
        <f t="shared" si="21"/>
        <v>7.5752881563979821</v>
      </c>
      <c r="U58" s="311">
        <f t="shared" si="16"/>
        <v>11.274579299221287</v>
      </c>
      <c r="V58" s="311">
        <f t="shared" si="36"/>
        <v>0.38230087429325199</v>
      </c>
      <c r="W58" s="311">
        <f t="shared" si="37"/>
        <v>0.38292171518682738</v>
      </c>
      <c r="X58" s="311">
        <f t="shared" si="38"/>
        <v>0.38313313519202052</v>
      </c>
    </row>
    <row r="59" spans="1:24">
      <c r="A59" s="312">
        <f t="shared" si="23"/>
        <v>68</v>
      </c>
      <c r="B59" s="311">
        <f t="shared" si="24"/>
        <v>0.99290132121797003</v>
      </c>
      <c r="C59" s="311">
        <f t="shared" si="30"/>
        <v>0.9921156962659986</v>
      </c>
      <c r="D59" s="311">
        <f t="shared" si="32"/>
        <v>0.99170307104776678</v>
      </c>
      <c r="E59" s="313">
        <f t="shared" si="7"/>
        <v>92551.022282873077</v>
      </c>
      <c r="F59" s="313">
        <f t="shared" si="7"/>
        <v>92667.500703387253</v>
      </c>
      <c r="G59" s="313">
        <f t="shared" si="22"/>
        <v>92706.05755454264</v>
      </c>
      <c r="H59" s="349">
        <f t="shared" si="25"/>
        <v>12.664673798059791</v>
      </c>
      <c r="I59" s="349">
        <f t="shared" si="31"/>
        <v>12.650452268896094</v>
      </c>
      <c r="J59" s="311">
        <f t="shared" si="33"/>
        <v>12.645606795300582</v>
      </c>
      <c r="K59" s="311">
        <f t="shared" si="26"/>
        <v>0.5307006453053319</v>
      </c>
      <c r="L59" s="311">
        <f t="shared" si="9"/>
        <v>7.7504878815651228</v>
      </c>
      <c r="M59" s="311">
        <f t="shared" si="27"/>
        <v>0.20376912382794771</v>
      </c>
      <c r="N59" s="311">
        <f t="shared" si="10"/>
        <v>11.481428631936389</v>
      </c>
      <c r="O59" s="311">
        <f t="shared" si="28"/>
        <v>9.3116758519380741E-2</v>
      </c>
      <c r="P59" s="311">
        <f t="shared" si="11"/>
        <v>12.262292390456414</v>
      </c>
      <c r="Q59" s="311">
        <f t="shared" si="29"/>
        <v>12.201775539353264</v>
      </c>
      <c r="R59" s="311">
        <f t="shared" si="34"/>
        <v>12.187495419810924</v>
      </c>
      <c r="S59" s="311">
        <f t="shared" si="35"/>
        <v>12.182584845794697</v>
      </c>
      <c r="T59" s="311">
        <f t="shared" si="21"/>
        <v>7.534060725025534</v>
      </c>
      <c r="U59" s="311">
        <f t="shared" si="16"/>
        <v>11.114086769754694</v>
      </c>
      <c r="V59" s="311">
        <f t="shared" si="36"/>
        <v>0.39692029533048545</v>
      </c>
      <c r="W59" s="311">
        <f t="shared" si="37"/>
        <v>0.39759751100494722</v>
      </c>
      <c r="X59" s="311">
        <f t="shared" si="38"/>
        <v>0.39782824784282877</v>
      </c>
    </row>
    <row r="60" spans="1:24">
      <c r="A60" s="312">
        <f t="shared" si="23"/>
        <v>69</v>
      </c>
      <c r="B60" s="311">
        <f t="shared" si="24"/>
        <v>0.99204772128426433</v>
      </c>
      <c r="C60" s="311">
        <f t="shared" si="30"/>
        <v>0.99116804761856303</v>
      </c>
      <c r="D60" s="311">
        <f t="shared" si="32"/>
        <v>0.99070608687319361</v>
      </c>
      <c r="E60" s="313">
        <f t="shared" si="7"/>
        <v>91764.578407839945</v>
      </c>
      <c r="F60" s="313">
        <f t="shared" si="7"/>
        <v>91894.032304738459</v>
      </c>
      <c r="G60" s="313">
        <f t="shared" si="22"/>
        <v>91936.881981570958</v>
      </c>
      <c r="H60" s="349">
        <f t="shared" si="25"/>
        <v>12.350970309043095</v>
      </c>
      <c r="I60" s="349">
        <f t="shared" si="31"/>
        <v>12.335473048760319</v>
      </c>
      <c r="J60" s="311">
        <f t="shared" si="33"/>
        <v>12.330189844170238</v>
      </c>
      <c r="K60" s="311">
        <f t="shared" si="26"/>
        <v>0.52134095650257684</v>
      </c>
      <c r="L60" s="311">
        <f t="shared" si="9"/>
        <v>7.7088649068063102</v>
      </c>
      <c r="M60" s="311">
        <f t="shared" si="27"/>
        <v>0.18891029215698926</v>
      </c>
      <c r="N60" s="311">
        <f t="shared" si="10"/>
        <v>11.313706409199403</v>
      </c>
      <c r="O60" s="311">
        <f t="shared" si="28"/>
        <v>8.0754733568500589E-2</v>
      </c>
      <c r="P60" s="311">
        <f t="shared" si="11"/>
        <v>12.023459433697059</v>
      </c>
      <c r="Q60" s="311">
        <f t="shared" si="29"/>
        <v>11.888008492086502</v>
      </c>
      <c r="R60" s="311">
        <f t="shared" si="34"/>
        <v>11.872445579397299</v>
      </c>
      <c r="S60" s="311">
        <f t="shared" si="35"/>
        <v>11.867089427688965</v>
      </c>
      <c r="T60" s="311">
        <f t="shared" si="21"/>
        <v>7.4881589759829135</v>
      </c>
      <c r="U60" s="311">
        <f t="shared" si="16"/>
        <v>10.939486579048843</v>
      </c>
      <c r="V60" s="311">
        <f t="shared" si="36"/>
        <v>0.41185855671223293</v>
      </c>
      <c r="W60" s="311">
        <f t="shared" si="37"/>
        <v>0.41259652148760317</v>
      </c>
      <c r="X60" s="311">
        <f t="shared" si="38"/>
        <v>0.41284810265855942</v>
      </c>
    </row>
    <row r="61" spans="1:24">
      <c r="A61" s="325">
        <f t="shared" si="23"/>
        <v>70</v>
      </c>
      <c r="B61" s="326">
        <f t="shared" si="24"/>
        <v>0.99108915090622218</v>
      </c>
      <c r="C61" s="326">
        <f t="shared" si="30"/>
        <v>0.99010397099227221</v>
      </c>
      <c r="D61" s="326">
        <f t="shared" si="32"/>
        <v>0.98958667303685266</v>
      </c>
      <c r="E61" s="327">
        <f t="shared" si="7"/>
        <v>90891.069260594537</v>
      </c>
      <c r="F61" s="327">
        <f t="shared" si="7"/>
        <v>91034.840904108816</v>
      </c>
      <c r="G61" s="327">
        <f t="shared" si="22"/>
        <v>91082.428587284783</v>
      </c>
      <c r="H61" s="350">
        <f t="shared" si="25"/>
        <v>12.030926713963986</v>
      </c>
      <c r="I61" s="350">
        <f t="shared" si="31"/>
        <v>12.014057961915405</v>
      </c>
      <c r="J61" s="326">
        <f t="shared" si="33"/>
        <v>12.008303465588256</v>
      </c>
      <c r="K61" s="326">
        <f t="shared" si="26"/>
        <v>0.51101756645958207</v>
      </c>
      <c r="L61" s="326">
        <f t="shared" si="9"/>
        <v>7.6625412838566636</v>
      </c>
      <c r="M61" s="326">
        <f t="shared" si="27"/>
        <v>0.17349837010063032</v>
      </c>
      <c r="N61" s="326">
        <f t="shared" si="10"/>
        <v>11.131594663272775</v>
      </c>
      <c r="O61" s="326">
        <f t="shared" si="28"/>
        <v>6.8807773510795686E-2</v>
      </c>
      <c r="P61" s="326">
        <f t="shared" si="11"/>
        <v>11.769342741202246</v>
      </c>
      <c r="Q61" s="326">
        <f t="shared" si="29"/>
        <v>11.56789345753432</v>
      </c>
      <c r="R61" s="326">
        <f t="shared" si="34"/>
        <v>11.55095111536008</v>
      </c>
      <c r="S61" s="326">
        <f t="shared" si="35"/>
        <v>11.545114852226645</v>
      </c>
      <c r="T61" s="326">
        <f t="shared" si="21"/>
        <v>7.4371119186016568</v>
      </c>
      <c r="U61" s="326">
        <f t="shared" si="16"/>
        <v>10.750222047553788</v>
      </c>
      <c r="V61" s="326">
        <f t="shared" si="36"/>
        <v>0.42709872790647618</v>
      </c>
      <c r="W61" s="326">
        <f t="shared" si="37"/>
        <v>0.42790200181355154</v>
      </c>
      <c r="X61" s="326">
        <f t="shared" si="38"/>
        <v>0.42817602544817768</v>
      </c>
    </row>
    <row r="62" spans="1:24">
      <c r="A62" s="312">
        <f t="shared" si="23"/>
        <v>71</v>
      </c>
      <c r="B62" s="311">
        <f t="shared" si="24"/>
        <v>0.99001282337811991</v>
      </c>
      <c r="C62" s="311">
        <f t="shared" si="30"/>
        <v>0.98890931241117497</v>
      </c>
      <c r="D62" s="311">
        <f t="shared" si="32"/>
        <v>0.98832996164179732</v>
      </c>
      <c r="E62" s="313">
        <f t="shared" si="7"/>
        <v>89921.619554617224</v>
      </c>
      <c r="F62" s="313">
        <f t="shared" si="7"/>
        <v>90081.152658441264</v>
      </c>
      <c r="G62" s="313">
        <f t="shared" si="22"/>
        <v>90133.957477807868</v>
      </c>
      <c r="H62" s="349">
        <f t="shared" si="25"/>
        <v>11.70495021489951</v>
      </c>
      <c r="I62" s="349">
        <f t="shared" si="31"/>
        <v>11.686610673794098</v>
      </c>
      <c r="J62" s="311">
        <f t="shared" si="33"/>
        <v>11.680349941856196</v>
      </c>
      <c r="K62" s="311">
        <f t="shared" si="26"/>
        <v>0.49965788885065626</v>
      </c>
      <c r="L62" s="311">
        <f t="shared" si="9"/>
        <v>7.6110481481365708</v>
      </c>
      <c r="M62" s="311">
        <f t="shared" si="27"/>
        <v>0.15767110507198376</v>
      </c>
      <c r="N62" s="311">
        <f t="shared" si="10"/>
        <v>10.934608336672234</v>
      </c>
      <c r="O62" s="311">
        <f t="shared" si="28"/>
        <v>5.7475828691591811E-2</v>
      </c>
      <c r="P62" s="311">
        <f t="shared" si="11"/>
        <v>11.500352958834378</v>
      </c>
      <c r="Q62" s="311">
        <f t="shared" si="29"/>
        <v>11.241836660502109</v>
      </c>
      <c r="R62" s="311">
        <f t="shared" si="34"/>
        <v>11.223414607274623</v>
      </c>
      <c r="S62" s="311">
        <f t="shared" si="35"/>
        <v>11.217062195201086</v>
      </c>
      <c r="T62" s="311">
        <f t="shared" si="21"/>
        <v>7.3804160879713212</v>
      </c>
      <c r="U62" s="311">
        <f t="shared" si="16"/>
        <v>10.545867908319773</v>
      </c>
      <c r="V62" s="311">
        <f t="shared" si="36"/>
        <v>0.44262141833811797</v>
      </c>
      <c r="W62" s="311">
        <f t="shared" si="37"/>
        <v>0.44349472981932803</v>
      </c>
      <c r="X62" s="311">
        <f t="shared" si="38"/>
        <v>0.44379285991160911</v>
      </c>
    </row>
    <row r="63" spans="1:24">
      <c r="A63" s="312">
        <f t="shared" si="23"/>
        <v>72</v>
      </c>
      <c r="B63" s="311">
        <f t="shared" si="24"/>
        <v>0.98880442647198197</v>
      </c>
      <c r="C63" s="311">
        <f t="shared" si="30"/>
        <v>0.98756823675039318</v>
      </c>
      <c r="D63" s="311">
        <f t="shared" si="32"/>
        <v>0.98691932299126284</v>
      </c>
      <c r="E63" s="313">
        <f t="shared" si="7"/>
        <v>88846.719320656455</v>
      </c>
      <c r="F63" s="313">
        <f t="shared" si="7"/>
        <v>89023.556457999759</v>
      </c>
      <c r="G63" s="313">
        <f t="shared" si="22"/>
        <v>89082.090736665239</v>
      </c>
      <c r="H63" s="349">
        <f t="shared" si="25"/>
        <v>11.373500709067244</v>
      </c>
      <c r="I63" s="349">
        <f t="shared" si="31"/>
        <v>11.353588014436726</v>
      </c>
      <c r="J63" s="311">
        <f t="shared" si="33"/>
        <v>11.346784853430817</v>
      </c>
      <c r="K63" s="311">
        <f t="shared" si="26"/>
        <v>0.48719076327107014</v>
      </c>
      <c r="L63" s="311">
        <f t="shared" si="9"/>
        <v>7.5538856121330138</v>
      </c>
      <c r="M63" s="311">
        <f t="shared" si="27"/>
        <v>0.14159810981900972</v>
      </c>
      <c r="N63" s="311">
        <f t="shared" si="10"/>
        <v>10.722413465475016</v>
      </c>
      <c r="O63" s="311">
        <f t="shared" si="28"/>
        <v>4.695070280145696E-2</v>
      </c>
      <c r="P63" s="311">
        <f t="shared" si="11"/>
        <v>11.217154284822664</v>
      </c>
      <c r="Q63" s="311">
        <f t="shared" si="29"/>
        <v>10.91029689975411</v>
      </c>
      <c r="R63" s="311">
        <f t="shared" si="34"/>
        <v>10.890291664677548</v>
      </c>
      <c r="S63" s="311">
        <f t="shared" si="35"/>
        <v>10.883385680953813</v>
      </c>
      <c r="T63" s="311">
        <f t="shared" si="21"/>
        <v>7.3175372982681353</v>
      </c>
      <c r="U63" s="311">
        <f t="shared" si="16"/>
        <v>10.32616462862107</v>
      </c>
      <c r="V63" s="311">
        <f t="shared" si="36"/>
        <v>0.45840472813965449</v>
      </c>
      <c r="W63" s="311">
        <f t="shared" si="37"/>
        <v>0.45935295169348866</v>
      </c>
      <c r="X63" s="311">
        <f t="shared" si="38"/>
        <v>0.45967691174138903</v>
      </c>
    </row>
    <row r="64" spans="1:24">
      <c r="A64" s="312">
        <f t="shared" si="23"/>
        <v>73</v>
      </c>
      <c r="B64" s="311">
        <f t="shared" si="24"/>
        <v>0.98744794889517284</v>
      </c>
      <c r="C64" s="311">
        <f t="shared" si="30"/>
        <v>0.98606303849147081</v>
      </c>
      <c r="D64" s="311">
        <f t="shared" si="32"/>
        <v>0.98533616837506299</v>
      </c>
      <c r="E64" s="313">
        <f t="shared" si="7"/>
        <v>87656.252887803217</v>
      </c>
      <c r="F64" s="313">
        <f t="shared" si="7"/>
        <v>87852.029341778863</v>
      </c>
      <c r="G64" s="313">
        <f t="shared" si="22"/>
        <v>87916.836680475899</v>
      </c>
      <c r="H64" s="349">
        <f t="shared" si="25"/>
        <v>11.037091285139402</v>
      </c>
      <c r="I64" s="349">
        <f t="shared" si="31"/>
        <v>11.015500591338867</v>
      </c>
      <c r="J64" s="311">
        <f t="shared" si="33"/>
        <v>11.008117728584121</v>
      </c>
      <c r="K64" s="311">
        <f t="shared" si="26"/>
        <v>0.47354865111171068</v>
      </c>
      <c r="L64" s="311">
        <f t="shared" si="9"/>
        <v>7.4905249232424982</v>
      </c>
      <c r="M64" s="311">
        <f t="shared" si="27"/>
        <v>0.12547946643260016</v>
      </c>
      <c r="N64" s="311">
        <f t="shared" si="10"/>
        <v>10.494862312274529</v>
      </c>
      <c r="O64" s="311">
        <f t="shared" si="28"/>
        <v>3.7402997100321841E-2</v>
      </c>
      <c r="P64" s="311">
        <f t="shared" si="11"/>
        <v>10.920665780174032</v>
      </c>
      <c r="Q64" s="311">
        <f t="shared" si="29"/>
        <v>10.573786029300983</v>
      </c>
      <c r="R64" s="311">
        <f t="shared" si="34"/>
        <v>10.552091523218262</v>
      </c>
      <c r="S64" s="311">
        <f t="shared" si="35"/>
        <v>10.544593313483309</v>
      </c>
      <c r="T64" s="311">
        <f t="shared" si="21"/>
        <v>7.2479137386178056</v>
      </c>
      <c r="U64" s="311">
        <f t="shared" si="16"/>
        <v>10.091053092252867</v>
      </c>
      <c r="V64" s="311">
        <f t="shared" si="36"/>
        <v>0.4744242245171707</v>
      </c>
      <c r="W64" s="311">
        <f t="shared" si="37"/>
        <v>0.47545235279338671</v>
      </c>
      <c r="X64" s="311">
        <f t="shared" si="38"/>
        <v>0.47580391768646979</v>
      </c>
    </row>
    <row r="65" spans="1:24">
      <c r="A65" s="312">
        <f t="shared" si="23"/>
        <v>74</v>
      </c>
      <c r="B65" s="311">
        <f t="shared" si="24"/>
        <v>0.98592548926490853</v>
      </c>
      <c r="C65" s="311">
        <f t="shared" si="30"/>
        <v>0.98437393396567563</v>
      </c>
      <c r="D65" s="311">
        <f t="shared" si="32"/>
        <v>0.98355973387328199</v>
      </c>
      <c r="E65" s="313">
        <f t="shared" si="7"/>
        <v>86339.554088150384</v>
      </c>
      <c r="F65" s="313">
        <f t="shared" si="7"/>
        <v>86555.987121897851</v>
      </c>
      <c r="G65" s="313">
        <f t="shared" si="22"/>
        <v>86627.638990396314</v>
      </c>
      <c r="H65" s="349">
        <f t="shared" si="25"/>
        <v>10.696288103785664</v>
      </c>
      <c r="I65" s="349">
        <f t="shared" si="31"/>
        <v>10.672912796252296</v>
      </c>
      <c r="J65" s="311">
        <f t="shared" si="33"/>
        <v>10.664912090198758</v>
      </c>
      <c r="K65" s="311">
        <f t="shared" si="26"/>
        <v>0.45867037569174957</v>
      </c>
      <c r="L65" s="311">
        <f t="shared" si="9"/>
        <v>7.4204120415143722</v>
      </c>
      <c r="M65" s="311">
        <f t="shared" si="27"/>
        <v>0.1095417705586216</v>
      </c>
      <c r="N65" s="311">
        <f t="shared" si="10"/>
        <v>10.252027816155877</v>
      </c>
      <c r="O65" s="311">
        <f t="shared" si="28"/>
        <v>2.8968598433207343E-2</v>
      </c>
      <c r="P65" s="311">
        <f t="shared" si="11"/>
        <v>10.612049102823441</v>
      </c>
      <c r="Q65" s="311">
        <f t="shared" si="29"/>
        <v>10.232868822052826</v>
      </c>
      <c r="R65" s="311">
        <f t="shared" si="34"/>
        <v>10.209377032693448</v>
      </c>
      <c r="S65" s="311">
        <f t="shared" si="35"/>
        <v>10.201246902388787</v>
      </c>
      <c r="T65" s="311">
        <f t="shared" si="21"/>
        <v>7.1709607312894939</v>
      </c>
      <c r="U65" s="311">
        <f t="shared" si="16"/>
        <v>9.8407074624585675</v>
      </c>
      <c r="V65" s="311">
        <f t="shared" si="36"/>
        <v>0.49065294743877741</v>
      </c>
      <c r="W65" s="311">
        <f t="shared" si="37"/>
        <v>0.49176605732131862</v>
      </c>
      <c r="X65" s="311">
        <f t="shared" si="38"/>
        <v>0.49214704332386805</v>
      </c>
    </row>
    <row r="66" spans="1:24">
      <c r="A66" s="312">
        <f t="shared" si="23"/>
        <v>75</v>
      </c>
      <c r="B66" s="311">
        <f t="shared" si="24"/>
        <v>0.98421704646222774</v>
      </c>
      <c r="C66" s="311">
        <f t="shared" si="30"/>
        <v>0.98247883405006509</v>
      </c>
      <c r="D66" s="311">
        <f t="shared" si="32"/>
        <v>0.98156684421272111</v>
      </c>
      <c r="E66" s="313">
        <f t="shared" si="7"/>
        <v>84885.494749911159</v>
      </c>
      <c r="F66" s="313">
        <f t="shared" si="7"/>
        <v>85124.367107273705</v>
      </c>
      <c r="G66" s="313">
        <f t="shared" si="22"/>
        <v>85203.457551464948</v>
      </c>
      <c r="H66" s="349">
        <f t="shared" si="25"/>
        <v>10.351709587095348</v>
      </c>
      <c r="I66" s="349">
        <f t="shared" si="31"/>
        <v>10.326442129583066</v>
      </c>
      <c r="J66" s="311">
        <f t="shared" si="33"/>
        <v>10.317784823037648</v>
      </c>
      <c r="K66" s="311">
        <f t="shared" si="26"/>
        <v>0.44250446085730294</v>
      </c>
      <c r="L66" s="311">
        <f t="shared" si="9"/>
        <v>7.3429729631995375</v>
      </c>
      <c r="M66" s="311">
        <f t="shared" si="27"/>
        <v>9.4031145938423391E-2</v>
      </c>
      <c r="N66" s="311">
        <f t="shared" si="10"/>
        <v>9.9942348504065848</v>
      </c>
      <c r="O66" s="311">
        <f t="shared" si="28"/>
        <v>2.1736377974587443E-2</v>
      </c>
      <c r="P66" s="311">
        <f t="shared" si="11"/>
        <v>10.292681563299039</v>
      </c>
      <c r="Q66" s="311">
        <f t="shared" si="29"/>
        <v>9.8881621402571831</v>
      </c>
      <c r="R66" s="311">
        <f t="shared" si="34"/>
        <v>9.8627639603516322</v>
      </c>
      <c r="S66" s="311">
        <f t="shared" si="35"/>
        <v>9.8539614067025809</v>
      </c>
      <c r="T66" s="311">
        <f t="shared" si="21"/>
        <v>7.0860775047288804</v>
      </c>
      <c r="U66" s="311">
        <f t="shared" si="16"/>
        <v>9.5755634849076738</v>
      </c>
      <c r="V66" s="311">
        <f t="shared" si="36"/>
        <v>0.50706144823355426</v>
      </c>
      <c r="W66" s="311">
        <f t="shared" si="37"/>
        <v>0.50826466049604391</v>
      </c>
      <c r="X66" s="311">
        <f t="shared" si="38"/>
        <v>0.5086769131886828</v>
      </c>
    </row>
    <row r="67" spans="1:24">
      <c r="A67" s="312">
        <f t="shared" si="23"/>
        <v>76</v>
      </c>
      <c r="B67" s="311">
        <f t="shared" si="24"/>
        <v>0.98230029034481758</v>
      </c>
      <c r="C67" s="311">
        <f t="shared" si="30"/>
        <v>0.98035309646629076</v>
      </c>
      <c r="D67" s="311">
        <f t="shared" si="32"/>
        <v>0.97933165593645743</v>
      </c>
      <c r="E67" s="313">
        <f t="shared" si="7"/>
        <v>83282.614657710918</v>
      </c>
      <c r="F67" s="313">
        <f t="shared" si="7"/>
        <v>83545.750930242502</v>
      </c>
      <c r="G67" s="313">
        <f t="shared" si="22"/>
        <v>83632.888944803984</v>
      </c>
      <c r="H67" s="349">
        <f t="shared" si="25"/>
        <v>10.004024846730589</v>
      </c>
      <c r="I67" s="349">
        <f t="shared" si="31"/>
        <v>9.976757770804328</v>
      </c>
      <c r="J67" s="311">
        <f t="shared" si="33"/>
        <v>9.9674047894686773</v>
      </c>
      <c r="K67" s="311">
        <f t="shared" si="26"/>
        <v>0.42501310210859089</v>
      </c>
      <c r="L67" s="311">
        <f t="shared" si="9"/>
        <v>7.2576211455156923</v>
      </c>
      <c r="M67" s="311">
        <f t="shared" si="27"/>
        <v>7.9202977034505948E-2</v>
      </c>
      <c r="N67" s="311">
        <f t="shared" si="10"/>
        <v>9.7220852532990261</v>
      </c>
      <c r="O67" s="311">
        <f t="shared" si="28"/>
        <v>1.5739070233426689E-2</v>
      </c>
      <c r="P67" s="311">
        <f t="shared" si="11"/>
        <v>9.9641150070893065</v>
      </c>
      <c r="Q67" s="311">
        <f t="shared" si="29"/>
        <v>9.5403333423140353</v>
      </c>
      <c r="R67" s="311">
        <f t="shared" si="34"/>
        <v>9.5129195375969058</v>
      </c>
      <c r="S67" s="311">
        <f t="shared" si="35"/>
        <v>9.5034035242714019</v>
      </c>
      <c r="T67" s="311">
        <f t="shared" si="21"/>
        <v>6.9926563555262149</v>
      </c>
      <c r="U67" s="311">
        <f t="shared" si="16"/>
        <v>9.2963390525934511</v>
      </c>
      <c r="V67" s="311">
        <f t="shared" si="36"/>
        <v>0.52361786444140002</v>
      </c>
      <c r="W67" s="311">
        <f t="shared" si="37"/>
        <v>0.52491629662836481</v>
      </c>
      <c r="X67" s="311">
        <f t="shared" si="38"/>
        <v>0.52536167669196721</v>
      </c>
    </row>
    <row r="68" spans="1:24">
      <c r="A68" s="312">
        <f t="shared" si="23"/>
        <v>77</v>
      </c>
      <c r="B68" s="311">
        <f t="shared" si="24"/>
        <v>0.98015031199180702</v>
      </c>
      <c r="C68" s="311">
        <f t="shared" si="30"/>
        <v>0.97796925711525062</v>
      </c>
      <c r="D68" s="311">
        <f t="shared" si="32"/>
        <v>0.97682537948162906</v>
      </c>
      <c r="E68" s="313">
        <f t="shared" si="7"/>
        <v>81519.30222316437</v>
      </c>
      <c r="F68" s="313">
        <f t="shared" si="7"/>
        <v>81808.536558944994</v>
      </c>
      <c r="G68" s="313">
        <f t="shared" si="22"/>
        <v>81904.335621064733</v>
      </c>
      <c r="H68" s="349">
        <f t="shared" si="25"/>
        <v>9.653951288905203</v>
      </c>
      <c r="I68" s="349">
        <f t="shared" si="31"/>
        <v>9.6245783310808104</v>
      </c>
      <c r="J68" s="311">
        <f t="shared" si="33"/>
        <v>9.6144906292634342</v>
      </c>
      <c r="K68" s="311">
        <f t="shared" si="26"/>
        <v>0.40617677061036367</v>
      </c>
      <c r="L68" s="311">
        <f t="shared" si="9"/>
        <v>7.1637674044007333</v>
      </c>
      <c r="M68" s="311">
        <f t="shared" si="27"/>
        <v>6.530847388279723E-2</v>
      </c>
      <c r="N68" s="311">
        <f t="shared" si="10"/>
        <v>9.4364732586481352</v>
      </c>
      <c r="O68" s="311">
        <f t="shared" si="28"/>
        <v>1.094926997805358E-2</v>
      </c>
      <c r="P68" s="311">
        <f t="shared" si="11"/>
        <v>9.628023011053692</v>
      </c>
      <c r="Q68" s="311">
        <f t="shared" si="29"/>
        <v>9.1900978637705411</v>
      </c>
      <c r="R68" s="311">
        <f t="shared" si="34"/>
        <v>9.1605601859643802</v>
      </c>
      <c r="S68" s="311">
        <f t="shared" si="35"/>
        <v>9.1502894619450377</v>
      </c>
      <c r="T68" s="311">
        <f t="shared" si="21"/>
        <v>6.8900945760323049</v>
      </c>
      <c r="U68" s="311">
        <f t="shared" si="16"/>
        <v>9.0040436710698994</v>
      </c>
      <c r="V68" s="311">
        <f t="shared" si="36"/>
        <v>0.54028803386165647</v>
      </c>
      <c r="W68" s="311">
        <f t="shared" si="37"/>
        <v>0.54168674613900847</v>
      </c>
      <c r="X68" s="311">
        <f t="shared" si="38"/>
        <v>0.54216711289221697</v>
      </c>
    </row>
    <row r="69" spans="1:24">
      <c r="A69" s="312">
        <f t="shared" si="23"/>
        <v>78</v>
      </c>
      <c r="B69" s="311">
        <f t="shared" si="24"/>
        <v>0.97773935294791225</v>
      </c>
      <c r="C69" s="311">
        <f t="shared" si="30"/>
        <v>0.97529674029065161</v>
      </c>
      <c r="D69" s="311">
        <f t="shared" si="32"/>
        <v>0.97401598023679736</v>
      </c>
      <c r="E69" s="313">
        <f t="shared" si="7"/>
        <v>79584.036000298569</v>
      </c>
      <c r="F69" s="313">
        <f t="shared" si="7"/>
        <v>79901.169507388971</v>
      </c>
      <c r="G69" s="313">
        <f t="shared" si="22"/>
        <v>80006.23372423726</v>
      </c>
      <c r="H69" s="349">
        <f t="shared" si="25"/>
        <v>9.3022513458452405</v>
      </c>
      <c r="I69" s="349">
        <f t="shared" si="31"/>
        <v>9.2706687353749668</v>
      </c>
      <c r="J69" s="311">
        <f t="shared" si="33"/>
        <v>9.2598076900158155</v>
      </c>
      <c r="K69" s="311">
        <f t="shared" si="26"/>
        <v>0.38599939936204902</v>
      </c>
      <c r="L69" s="311">
        <f t="shared" si="9"/>
        <v>7.0608326517779165</v>
      </c>
      <c r="M69" s="311">
        <f t="shared" si="27"/>
        <v>5.2578699568204247E-2</v>
      </c>
      <c r="N69" s="311">
        <f t="shared" si="10"/>
        <v>9.1385879465932582</v>
      </c>
      <c r="O69" s="311">
        <f t="shared" si="28"/>
        <v>7.2819821608173518E-3</v>
      </c>
      <c r="P69" s="311">
        <f t="shared" si="11"/>
        <v>9.286140926623391</v>
      </c>
      <c r="Q69" s="311">
        <f t="shared" si="29"/>
        <v>8.8382159218234246</v>
      </c>
      <c r="R69" s="311">
        <f t="shared" si="34"/>
        <v>8.8064483692728093</v>
      </c>
      <c r="S69" s="311">
        <f t="shared" si="35"/>
        <v>8.7953818327132787</v>
      </c>
      <c r="T69" s="311">
        <f t="shared" si="21"/>
        <v>6.7778094977746486</v>
      </c>
      <c r="U69" s="311">
        <f t="shared" si="16"/>
        <v>8.6999736821574807</v>
      </c>
      <c r="V69" s="311">
        <f t="shared" si="36"/>
        <v>0.55703565019784518</v>
      </c>
      <c r="W69" s="311">
        <f t="shared" si="37"/>
        <v>0.558539584029763</v>
      </c>
      <c r="X69" s="311">
        <f t="shared" si="38"/>
        <v>0.55905677666591314</v>
      </c>
    </row>
    <row r="70" spans="1:24">
      <c r="A70" s="312">
        <f t="shared" si="23"/>
        <v>79</v>
      </c>
      <c r="B70" s="311">
        <f t="shared" si="24"/>
        <v>0.97503651335859953</v>
      </c>
      <c r="C70" s="311">
        <f t="shared" si="30"/>
        <v>0.97230154818688264</v>
      </c>
      <c r="D70" s="311">
        <f t="shared" si="32"/>
        <v>0.97086785930687258</v>
      </c>
      <c r="E70" s="313">
        <f t="shared" si="7"/>
        <v>77465.697718786862</v>
      </c>
      <c r="F70" s="313">
        <f t="shared" si="7"/>
        <v>77812.44386391528</v>
      </c>
      <c r="G70" s="313">
        <f t="shared" si="22"/>
        <v>77927.350165967277</v>
      </c>
      <c r="H70" s="349">
        <f t="shared" si="25"/>
        <v>8.9497282984484325</v>
      </c>
      <c r="I70" s="349">
        <f t="shared" si="31"/>
        <v>8.9158361958679482</v>
      </c>
      <c r="J70" s="311">
        <f t="shared" si="33"/>
        <v>8.9041640491443736</v>
      </c>
      <c r="K70" s="311">
        <f t="shared" si="26"/>
        <v>0.36451402867082616</v>
      </c>
      <c r="L70" s="311">
        <f t="shared" si="9"/>
        <v>6.9482638011481566</v>
      </c>
      <c r="M70" s="311">
        <f t="shared" si="27"/>
        <v>4.120731745568719E-2</v>
      </c>
      <c r="N70" s="311">
        <f t="shared" si="10"/>
        <v>8.8298998137254348</v>
      </c>
      <c r="O70" s="311">
        <f t="shared" si="28"/>
        <v>4.604147711377491E-3</v>
      </c>
      <c r="P70" s="311">
        <f t="shared" si="11"/>
        <v>8.9402049506020838</v>
      </c>
      <c r="Q70" s="311">
        <f t="shared" si="29"/>
        <v>8.4854883076774552</v>
      </c>
      <c r="R70" s="311">
        <f t="shared" si="34"/>
        <v>8.451388533377834</v>
      </c>
      <c r="S70" s="311">
        <f t="shared" si="35"/>
        <v>8.4394856402996634</v>
      </c>
      <c r="T70" s="311">
        <f t="shared" si="21"/>
        <v>6.6552569324774744</v>
      </c>
      <c r="U70" s="311">
        <f t="shared" si="16"/>
        <v>8.3856908659637419</v>
      </c>
      <c r="V70" s="311">
        <f t="shared" si="36"/>
        <v>0.57382246197864561</v>
      </c>
      <c r="W70" s="311">
        <f t="shared" si="37"/>
        <v>0.57543637162533534</v>
      </c>
      <c r="X70" s="311">
        <f t="shared" si="38"/>
        <v>0.57599218813598174</v>
      </c>
    </row>
    <row r="71" spans="1:24">
      <c r="A71" s="325">
        <f t="shared" si="23"/>
        <v>80</v>
      </c>
      <c r="B71" s="326">
        <f t="shared" si="24"/>
        <v>0.97200743947852208</v>
      </c>
      <c r="C71" s="326">
        <f t="shared" si="30"/>
        <v>0.96894593089482661</v>
      </c>
      <c r="D71" s="326">
        <f t="shared" si="32"/>
        <v>0.96734151559797676</v>
      </c>
      <c r="E71" s="327">
        <f t="shared" si="7"/>
        <v>75153.967442519337</v>
      </c>
      <c r="F71" s="327">
        <f t="shared" si="7"/>
        <v>75531.88380861716</v>
      </c>
      <c r="G71" s="327">
        <f t="shared" si="22"/>
        <v>75657.159637089717</v>
      </c>
      <c r="H71" s="350">
        <f t="shared" si="25"/>
        <v>8.5972211734725548</v>
      </c>
      <c r="I71" s="350">
        <f t="shared" si="31"/>
        <v>8.5609252566533485</v>
      </c>
      <c r="J71" s="326">
        <f t="shared" si="33"/>
        <v>8.5484056064300304</v>
      </c>
      <c r="K71" s="326">
        <f t="shared" si="26"/>
        <v>0.34178869209968732</v>
      </c>
      <c r="L71" s="326">
        <f t="shared" si="9"/>
        <v>6.8255530869608751</v>
      </c>
      <c r="M71" s="326">
        <f t="shared" si="27"/>
        <v>3.1333957117897472E-2</v>
      </c>
      <c r="N71" s="326">
        <f t="shared" si="10"/>
        <v>8.5121296477109887</v>
      </c>
      <c r="O71" s="326">
        <f t="shared" si="28"/>
        <v>2.7501757039281975E-3</v>
      </c>
      <c r="P71" s="326">
        <f t="shared" si="11"/>
        <v>8.5918971334009022</v>
      </c>
      <c r="Q71" s="326">
        <f t="shared" si="29"/>
        <v>8.1327512496755201</v>
      </c>
      <c r="R71" s="326">
        <f t="shared" si="34"/>
        <v>8.0962221130231704</v>
      </c>
      <c r="S71" s="326">
        <f t="shared" si="35"/>
        <v>8.0834433296519155</v>
      </c>
      <c r="T71" s="326">
        <f t="shared" si="21"/>
        <v>6.5219531676966627</v>
      </c>
      <c r="U71" s="326">
        <f t="shared" si="16"/>
        <v>8.0629834287267439</v>
      </c>
      <c r="V71" s="326">
        <f t="shared" si="36"/>
        <v>0.59060851554892557</v>
      </c>
      <c r="W71" s="326">
        <f t="shared" si="37"/>
        <v>0.5923368925403163</v>
      </c>
      <c r="X71" s="326">
        <f t="shared" si="38"/>
        <v>0.59293306636047427</v>
      </c>
    </row>
    <row r="72" spans="1:24">
      <c r="A72" s="312">
        <f t="shared" si="23"/>
        <v>81</v>
      </c>
      <c r="B72" s="311">
        <f t="shared" si="24"/>
        <v>0.96861399183673891</v>
      </c>
      <c r="C72" s="311">
        <f t="shared" si="30"/>
        <v>0.96518803911603657</v>
      </c>
      <c r="D72" s="311">
        <f t="shared" si="32"/>
        <v>0.96339319200383977</v>
      </c>
      <c r="E72" s="313">
        <f t="shared" si="7"/>
        <v>72639.810457142885</v>
      </c>
      <c r="F72" s="313">
        <f t="shared" si="7"/>
        <v>73050.215460455438</v>
      </c>
      <c r="G72" s="313">
        <f t="shared" si="22"/>
        <v>73186.311469180437</v>
      </c>
      <c r="H72" s="349">
        <f t="shared" si="25"/>
        <v>8.2455987206382382</v>
      </c>
      <c r="I72" s="349">
        <f t="shared" si="31"/>
        <v>8.2068119112605284</v>
      </c>
      <c r="J72" s="311">
        <f t="shared" si="33"/>
        <v>8.193410247519525</v>
      </c>
      <c r="K72" s="311">
        <f t="shared" si="26"/>
        <v>0.31793220358733287</v>
      </c>
      <c r="L72" s="311">
        <f t="shared" si="9"/>
        <v>6.6922608991738208</v>
      </c>
      <c r="M72" s="311">
        <f t="shared" si="27"/>
        <v>2.3030598161617767E-2</v>
      </c>
      <c r="N72" s="311">
        <f t="shared" si="10"/>
        <v>8.1871996242595397</v>
      </c>
      <c r="O72" s="311">
        <f t="shared" si="28"/>
        <v>1.5410680679556884E-3</v>
      </c>
      <c r="P72" s="311">
        <f t="shared" si="11"/>
        <v>8.2428026240686041</v>
      </c>
      <c r="Q72" s="311">
        <f t="shared" si="29"/>
        <v>7.7808703521199174</v>
      </c>
      <c r="R72" s="311">
        <f t="shared" si="34"/>
        <v>7.7418216068289212</v>
      </c>
      <c r="S72" s="311">
        <f t="shared" si="35"/>
        <v>7.7281289031842659</v>
      </c>
      <c r="T72" s="311">
        <f t="shared" si="21"/>
        <v>6.3775004771625703</v>
      </c>
      <c r="U72" s="311">
        <f t="shared" si="16"/>
        <v>7.7338103697718612</v>
      </c>
      <c r="V72" s="311">
        <f t="shared" si="36"/>
        <v>0.60735244187436921</v>
      </c>
      <c r="W72" s="311">
        <f t="shared" si="37"/>
        <v>0.6091994327971173</v>
      </c>
      <c r="X72" s="311">
        <f t="shared" si="38"/>
        <v>0.60983760726097458</v>
      </c>
    </row>
    <row r="73" spans="1:24">
      <c r="A73" s="312">
        <f t="shared" si="23"/>
        <v>82</v>
      </c>
      <c r="B73" s="311">
        <f t="shared" ref="B73:B104" si="39">EXP(sel*(A/LN(sel)*(1-sel)-B*cc^x*(cc-sel)/LN(cc/sel)))</f>
        <v>0.96481389640780058</v>
      </c>
      <c r="C73" s="311">
        <f t="shared" si="30"/>
        <v>0.9609815631841423</v>
      </c>
      <c r="D73" s="311">
        <f t="shared" si="32"/>
        <v>0.95897450999736522</v>
      </c>
      <c r="E73" s="313">
        <f t="shared" si="7"/>
        <v>69916.063120804087</v>
      </c>
      <c r="F73" s="313">
        <f t="shared" si="7"/>
        <v>70359.936773157257</v>
      </c>
      <c r="G73" s="313">
        <f t="shared" si="22"/>
        <v>70507.194217280965</v>
      </c>
      <c r="H73" s="349">
        <f t="shared" ref="H73:H104" si="40">1+v*B73*I74</f>
        <v>7.8957525002285234</v>
      </c>
      <c r="I73" s="349">
        <f t="shared" si="31"/>
        <v>7.8543968193600771</v>
      </c>
      <c r="J73" s="311">
        <f t="shared" si="33"/>
        <v>7.8400811035266251</v>
      </c>
      <c r="K73" s="311">
        <f t="shared" ref="K73:K104" si="41">v^10*G83/E73</f>
        <v>0.29309936463398389</v>
      </c>
      <c r="L73" s="311">
        <f t="shared" si="9"/>
        <v>6.5480420141062421</v>
      </c>
      <c r="M73" s="311">
        <f t="shared" ref="M73:M104" si="42">v^20*G93/E73</f>
        <v>1.6293528610737091E-2</v>
      </c>
      <c r="N73" s="311">
        <f t="shared" si="10"/>
        <v>7.857168819503916</v>
      </c>
      <c r="O73" s="311">
        <f t="shared" ref="O73:O104" si="43">G98/E73*v^25</f>
        <v>8.0369712255852488E-4</v>
      </c>
      <c r="P73" s="311">
        <f t="shared" si="11"/>
        <v>7.8943833830352563</v>
      </c>
      <c r="Q73" s="311">
        <f t="shared" ref="Q73:Q104" si="44">H73-(m-1)/(2*m)-(m^2-1)/(12*m^2)*(delta+sel^2*(A+B*cc^x))</f>
        <v>7.4307336398434742</v>
      </c>
      <c r="R73" s="311">
        <f t="shared" si="34"/>
        <v>7.3890837461876613</v>
      </c>
      <c r="S73" s="311">
        <f t="shared" si="35"/>
        <v>7.3744411272571346</v>
      </c>
      <c r="T73" s="311">
        <f t="shared" si="21"/>
        <v>6.2216158221682347</v>
      </c>
      <c r="U73" s="311">
        <f t="shared" si="16"/>
        <v>7.4002326099808613</v>
      </c>
      <c r="V73" s="311">
        <f t="shared" si="36"/>
        <v>0.62401178570340321</v>
      </c>
      <c r="W73" s="311">
        <f t="shared" si="37"/>
        <v>0.62598110383999583</v>
      </c>
      <c r="X73" s="311">
        <f t="shared" si="38"/>
        <v>0.62666280459396984</v>
      </c>
    </row>
    <row r="74" spans="1:24">
      <c r="A74" s="312">
        <f t="shared" si="23"/>
        <v>83</v>
      </c>
      <c r="B74" s="311">
        <f t="shared" si="39"/>
        <v>0.96056038253182485</v>
      </c>
      <c r="C74" s="311">
        <f t="shared" ref="C74:C105" si="45">EXP(A/LN(sel)*(1-sel)-B*cc^x*(cc-sel)/LN(cc/sel))</f>
        <v>0.9562753637369541</v>
      </c>
      <c r="D74" s="311">
        <f t="shared" si="32"/>
        <v>0.95403209888565044</v>
      </c>
      <c r="E74" s="313">
        <f t="shared" ref="E74:F121" si="46">F75/B74</f>
        <v>66978.120659382403</v>
      </c>
      <c r="F74" s="313">
        <f t="shared" si="46"/>
        <v>67455.98928107672</v>
      </c>
      <c r="G74" s="313">
        <f t="shared" si="22"/>
        <v>67614.602025806074</v>
      </c>
      <c r="H74" s="349">
        <f t="shared" si="40"/>
        <v>7.5485891395866194</v>
      </c>
      <c r="I74" s="349">
        <f t="shared" ref="I74:I105" si="47">1+v*C74*J75</f>
        <v>7.5045976765031694</v>
      </c>
      <c r="J74" s="311">
        <f t="shared" si="33"/>
        <v>7.4893389593042352</v>
      </c>
      <c r="K74" s="311">
        <f t="shared" si="41"/>
        <v>0.26749495655595446</v>
      </c>
      <c r="L74" s="311">
        <f t="shared" ref="L74:L111" si="48">H74-K74*J84</f>
        <v>6.3926747922955629</v>
      </c>
      <c r="M74" s="311">
        <f t="shared" si="42"/>
        <v>1.1043051780839568E-2</v>
      </c>
      <c r="N74" s="311">
        <f t="shared" ref="N74:N111" si="49">H74-M74*J94</f>
        <v>7.5241578529192061</v>
      </c>
      <c r="O74" s="311">
        <f t="shared" si="43"/>
        <v>3.8663802048781654E-4</v>
      </c>
      <c r="P74" s="311">
        <f t="shared" ref="P74:P111" si="50">H74-O74*J99</f>
        <v>7.5479694067214327</v>
      </c>
      <c r="Q74" s="311">
        <f t="shared" si="44"/>
        <v>7.0832437663433687</v>
      </c>
      <c r="R74" s="311">
        <f t="shared" si="34"/>
        <v>7.0389218112660847</v>
      </c>
      <c r="S74" s="311">
        <f t="shared" si="35"/>
        <v>7.023295880740668</v>
      </c>
      <c r="T74" s="311">
        <f t="shared" si="21"/>
        <v>6.054162039308979</v>
      </c>
      <c r="U74" s="311">
        <f t="shared" si="16"/>
        <v>7.0643366660036353</v>
      </c>
      <c r="V74" s="311">
        <f t="shared" si="36"/>
        <v>0.64054337430539876</v>
      </c>
      <c r="W74" s="311">
        <f t="shared" si="37"/>
        <v>0.64263820588080112</v>
      </c>
      <c r="X74" s="311">
        <f t="shared" si="38"/>
        <v>0.64336481146170277</v>
      </c>
    </row>
    <row r="75" spans="1:24">
      <c r="A75" s="312">
        <f t="shared" si="23"/>
        <v>84</v>
      </c>
      <c r="B75" s="311">
        <f t="shared" si="39"/>
        <v>0.95580181312492096</v>
      </c>
      <c r="C75" s="311">
        <f t="shared" si="45"/>
        <v>0.95101310162018882</v>
      </c>
      <c r="D75" s="311">
        <f t="shared" ref="D75:D106" si="51">EXP(-(A+B/LN(cc)*cc^x*(cc-1)))</f>
        <v>0.94850722846604663</v>
      </c>
      <c r="E75" s="313">
        <f t="shared" si="46"/>
        <v>63824.723162027964</v>
      </c>
      <c r="F75" s="313">
        <f t="shared" si="46"/>
        <v>64336.529201839083</v>
      </c>
      <c r="G75" s="313">
        <f t="shared" si="22"/>
        <v>64506.500685997722</v>
      </c>
      <c r="H75" s="349">
        <f t="shared" si="40"/>
        <v>7.2050218466052547</v>
      </c>
      <c r="I75" s="349">
        <f t="shared" si="47"/>
        <v>7.1583408202223433</v>
      </c>
      <c r="J75" s="311">
        <f t="shared" ref="J75:J106" si="52">1+v*D75*J76</f>
        <v>7.142113892423807</v>
      </c>
      <c r="K75" s="311">
        <f t="shared" si="41"/>
        <v>0.24137573464941528</v>
      </c>
      <c r="L75" s="311">
        <f t="shared" si="48"/>
        <v>6.2260925052649672</v>
      </c>
      <c r="M75" s="311">
        <f t="shared" si="42"/>
        <v>7.1320805713405259E-3</v>
      </c>
      <c r="N75" s="311">
        <f t="shared" si="49"/>
        <v>7.1902696517568527</v>
      </c>
      <c r="O75" s="311">
        <f t="shared" si="43"/>
        <v>1.6986777952632858E-4</v>
      </c>
      <c r="P75" s="311">
        <f t="shared" si="50"/>
        <v>7.204765004639432</v>
      </c>
      <c r="Q75" s="311">
        <f t="shared" si="44"/>
        <v>6.739309472909385</v>
      </c>
      <c r="R75" s="311">
        <f t="shared" ref="R75:R111" si="53">I75-(m-1)/(2*m)-(m^2-1)/(12*m^2)*(delta+sel*(A+B*cc^x))</f>
        <v>6.6922571767045707</v>
      </c>
      <c r="S75" s="311">
        <f t="shared" ref="S75:S111" si="54">J75-(m-1)/(2*m)-(m^2-1)/(12*m^2)*(delta+(A+B*cc^x))</f>
        <v>6.6756177268816979</v>
      </c>
      <c r="T75" s="311">
        <f t="shared" si="21"/>
        <v>5.8751803302959651</v>
      </c>
      <c r="U75" s="311">
        <f t="shared" ref="U75:U111" si="55">Q75-M75*S95</f>
        <v>6.7281585118388794</v>
      </c>
      <c r="V75" s="311">
        <f t="shared" ref="V75:V111" si="56">(1-(1-v)*H75)</f>
        <v>0.65690372159022559</v>
      </c>
      <c r="W75" s="311">
        <f t="shared" ref="W75:W111" si="57">(1-(1-v)*I75)</f>
        <v>0.65912662760845953</v>
      </c>
      <c r="X75" s="311">
        <f t="shared" ref="X75:X111" si="58">(1-(1-v)*J75)</f>
        <v>0.65989933845600879</v>
      </c>
    </row>
    <row r="76" spans="1:24">
      <c r="A76" s="312">
        <f t="shared" si="23"/>
        <v>85</v>
      </c>
      <c r="B76" s="311">
        <f t="shared" si="39"/>
        <v>0.95048131501162025</v>
      </c>
      <c r="C76" s="311">
        <f t="shared" si="45"/>
        <v>0.94513287742285756</v>
      </c>
      <c r="D76" s="311">
        <f t="shared" si="51"/>
        <v>0.94233545692866583</v>
      </c>
      <c r="E76" s="313">
        <f t="shared" si="46"/>
        <v>60458.826225238787</v>
      </c>
      <c r="F76" s="313">
        <f t="shared" si="46"/>
        <v>61003.786120462464</v>
      </c>
      <c r="G76" s="313">
        <f t="shared" si="22"/>
        <v>61184.882183718837</v>
      </c>
      <c r="H76" s="349">
        <f t="shared" si="40"/>
        <v>6.8659612988807801</v>
      </c>
      <c r="I76" s="349">
        <f t="shared" si="47"/>
        <v>6.8165521863097656</v>
      </c>
      <c r="J76" s="311">
        <f t="shared" si="52"/>
        <v>6.799336255428293</v>
      </c>
      <c r="K76" s="311">
        <f t="shared" si="41"/>
        <v>0.21504952737462688</v>
      </c>
      <c r="L76" s="311">
        <f t="shared" si="48"/>
        <v>6.0484154484491635</v>
      </c>
      <c r="M76" s="311">
        <f t="shared" si="42"/>
        <v>4.3631398889275542E-3</v>
      </c>
      <c r="N76" s="311">
        <f t="shared" si="49"/>
        <v>6.857514736148917</v>
      </c>
      <c r="O76" s="311">
        <f t="shared" si="43"/>
        <v>6.7394656009230552E-5</v>
      </c>
      <c r="P76" s="311">
        <f t="shared" si="50"/>
        <v>6.8658648918068321</v>
      </c>
      <c r="Q76" s="311">
        <f t="shared" si="44"/>
        <v>6.399836416676167</v>
      </c>
      <c r="R76" s="311">
        <f t="shared" si="53"/>
        <v>6.3500102000045002</v>
      </c>
      <c r="S76" s="311">
        <f t="shared" si="54"/>
        <v>6.3323308201223032</v>
      </c>
      <c r="T76" s="311">
        <f t="shared" ref="T76:T111" si="59">Q76-K76*S86</f>
        <v>5.6849223058253031</v>
      </c>
      <c r="U76" s="311">
        <f t="shared" si="55"/>
        <v>6.3936159722502062</v>
      </c>
      <c r="V76" s="311">
        <f t="shared" si="56"/>
        <v>0.6730494619580577</v>
      </c>
      <c r="W76" s="311">
        <f t="shared" si="57"/>
        <v>0.67540227684239174</v>
      </c>
      <c r="X76" s="311">
        <f t="shared" si="58"/>
        <v>0.67622208307484288</v>
      </c>
    </row>
    <row r="77" spans="1:24">
      <c r="A77" s="312">
        <f t="shared" si="23"/>
        <v>86</v>
      </c>
      <c r="B77" s="311">
        <f t="shared" si="39"/>
        <v>0.9445364200933315</v>
      </c>
      <c r="C77" s="311">
        <f t="shared" si="45"/>
        <v>0.93856689455491804</v>
      </c>
      <c r="D77" s="311">
        <f t="shared" si="51"/>
        <v>0.9354463097008382</v>
      </c>
      <c r="E77" s="313">
        <f t="shared" si="46"/>
        <v>56888.529269406041</v>
      </c>
      <c r="F77" s="313">
        <f t="shared" si="46"/>
        <v>57464.984654623993</v>
      </c>
      <c r="G77" s="313">
        <f t="shared" ref="G77:G121" si="60">G76*D76</f>
        <v>57656.683909721272</v>
      </c>
      <c r="H77" s="349">
        <f t="shared" si="40"/>
        <v>6.5323060574695182</v>
      </c>
      <c r="I77" s="349">
        <f t="shared" si="47"/>
        <v>6.4801477594007393</v>
      </c>
      <c r="J77" s="311">
        <f t="shared" si="52"/>
        <v>6.4619271443382233</v>
      </c>
      <c r="K77" s="311">
        <f t="shared" si="41"/>
        <v>0.18887050512834733</v>
      </c>
      <c r="L77" s="311">
        <f t="shared" si="48"/>
        <v>5.8599819173819432</v>
      </c>
      <c r="M77" s="311">
        <f t="shared" si="42"/>
        <v>2.5114140127030613E-3</v>
      </c>
      <c r="N77" s="311">
        <f t="shared" si="49"/>
        <v>6.5277493761315135</v>
      </c>
      <c r="O77" s="311">
        <f t="shared" si="43"/>
        <v>2.3842714807636062E-5</v>
      </c>
      <c r="P77" s="311">
        <f t="shared" si="50"/>
        <v>6.5322736825848988</v>
      </c>
      <c r="Q77" s="311">
        <f t="shared" si="44"/>
        <v>6.0657175157010768</v>
      </c>
      <c r="R77" s="311">
        <f t="shared" si="53"/>
        <v>6.013090595802332</v>
      </c>
      <c r="S77" s="311">
        <f t="shared" si="54"/>
        <v>5.9943492898176309</v>
      </c>
      <c r="T77" s="311">
        <f t="shared" si="59"/>
        <v>5.4838792253564836</v>
      </c>
      <c r="U77" s="311">
        <f t="shared" si="55"/>
        <v>6.0624570755071616</v>
      </c>
      <c r="V77" s="311">
        <f t="shared" si="56"/>
        <v>0.68893780678716543</v>
      </c>
      <c r="W77" s="311">
        <f t="shared" si="57"/>
        <v>0.69142153526663108</v>
      </c>
      <c r="X77" s="311">
        <f t="shared" si="58"/>
        <v>0.69228918360294145</v>
      </c>
    </row>
    <row r="78" spans="1:24">
      <c r="A78" s="312">
        <f t="shared" si="23"/>
        <v>87</v>
      </c>
      <c r="B78" s="311">
        <f t="shared" si="39"/>
        <v>0.93789873165198501</v>
      </c>
      <c r="C78" s="311">
        <f t="shared" si="45"/>
        <v>0.9312411640975341</v>
      </c>
      <c r="D78" s="311">
        <f t="shared" si="51"/>
        <v>0.92776300964100145</v>
      </c>
      <c r="E78" s="313">
        <f t="shared" si="46"/>
        <v>53128.017208570142</v>
      </c>
      <c r="F78" s="313">
        <f t="shared" si="46"/>
        <v>53733.287780499486</v>
      </c>
      <c r="G78" s="313">
        <f t="shared" si="60"/>
        <v>53934.732192936463</v>
      </c>
      <c r="H78" s="349">
        <f t="shared" si="40"/>
        <v>6.2049326827443609</v>
      </c>
      <c r="I78" s="349">
        <f t="shared" si="47"/>
        <v>6.1500236907423895</v>
      </c>
      <c r="J78" s="311">
        <f t="shared" si="52"/>
        <v>6.1307885253074899</v>
      </c>
      <c r="K78" s="311">
        <f t="shared" si="41"/>
        <v>0.16322977115838866</v>
      </c>
      <c r="L78" s="311">
        <f t="shared" si="48"/>
        <v>5.6613755147335931</v>
      </c>
      <c r="M78" s="311">
        <f t="shared" si="42"/>
        <v>1.3498709981648361E-3</v>
      </c>
      <c r="N78" s="311">
        <f t="shared" si="49"/>
        <v>6.2026331453435102</v>
      </c>
      <c r="O78" s="311">
        <f t="shared" si="43"/>
        <v>7.4152960957055834E-6</v>
      </c>
      <c r="P78" s="311">
        <f t="shared" si="50"/>
        <v>6.2049230898450123</v>
      </c>
      <c r="Q78" s="311">
        <f t="shared" si="44"/>
        <v>5.7378229876261768</v>
      </c>
      <c r="R78" s="311">
        <f t="shared" si="53"/>
        <v>5.6823874678664898</v>
      </c>
      <c r="S78" s="311">
        <f t="shared" si="54"/>
        <v>5.6625672715896842</v>
      </c>
      <c r="T78" s="311">
        <f t="shared" si="59"/>
        <v>5.2728054869556527</v>
      </c>
      <c r="U78" s="311">
        <f t="shared" si="55"/>
        <v>5.736229169623571</v>
      </c>
      <c r="V78" s="311">
        <f t="shared" si="56"/>
        <v>0.704527015107411</v>
      </c>
      <c r="W78" s="311">
        <f t="shared" si="57"/>
        <v>0.7071417290122668</v>
      </c>
      <c r="X78" s="311">
        <f t="shared" si="58"/>
        <v>0.7080576892710716</v>
      </c>
    </row>
    <row r="79" spans="1:24">
      <c r="A79" s="312">
        <f t="shared" si="23"/>
        <v>88</v>
      </c>
      <c r="B79" s="311">
        <f t="shared" si="39"/>
        <v>0.93049363449423217</v>
      </c>
      <c r="C79" s="311">
        <f t="shared" si="45"/>
        <v>0.92307527490508678</v>
      </c>
      <c r="D79" s="311">
        <f t="shared" si="51"/>
        <v>0.91920228468137066</v>
      </c>
      <c r="E79" s="313">
        <f t="shared" si="46"/>
        <v>49198.450056658046</v>
      </c>
      <c r="F79" s="313">
        <f t="shared" si="46"/>
        <v>49828.699955102769</v>
      </c>
      <c r="G79" s="313">
        <f t="shared" si="60"/>
        <v>50038.649463500144</v>
      </c>
      <c r="H79" s="349">
        <f t="shared" si="40"/>
        <v>5.8846857551889977</v>
      </c>
      <c r="I79" s="349">
        <f t="shared" si="47"/>
        <v>5.8270462816975837</v>
      </c>
      <c r="J79" s="311">
        <f t="shared" si="52"/>
        <v>5.8067932172220313</v>
      </c>
      <c r="K79" s="311">
        <f t="shared" si="41"/>
        <v>0.13854069762576265</v>
      </c>
      <c r="L79" s="311">
        <f t="shared" si="48"/>
        <v>5.4534456961083997</v>
      </c>
      <c r="M79" s="311">
        <f t="shared" si="42"/>
        <v>6.7178853922994909E-4</v>
      </c>
      <c r="N79" s="311">
        <f t="shared" si="49"/>
        <v>5.8836089613556046</v>
      </c>
      <c r="O79" s="311">
        <f t="shared" si="43"/>
        <v>1.9952858232137252E-6</v>
      </c>
      <c r="P79" s="311">
        <f t="shared" si="50"/>
        <v>5.8846832860801106</v>
      </c>
      <c r="Q79" s="311">
        <f t="shared" si="44"/>
        <v>5.4169902837057036</v>
      </c>
      <c r="R79" s="311">
        <f t="shared" si="53"/>
        <v>5.3587591961937839</v>
      </c>
      <c r="S79" s="311">
        <f t="shared" si="54"/>
        <v>5.3378487828065584</v>
      </c>
      <c r="T79" s="311">
        <f t="shared" si="59"/>
        <v>5.0527329612167016</v>
      </c>
      <c r="U79" s="311">
        <f t="shared" si="55"/>
        <v>5.416269737078161</v>
      </c>
      <c r="V79" s="311">
        <f t="shared" si="56"/>
        <v>0.71977686880052361</v>
      </c>
      <c r="W79" s="311">
        <f t="shared" si="57"/>
        <v>0.72252160563344803</v>
      </c>
      <c r="X79" s="311">
        <f t="shared" si="58"/>
        <v>0.72348603727514105</v>
      </c>
    </row>
    <row r="80" spans="1:24">
      <c r="A80" s="312">
        <f t="shared" si="23"/>
        <v>89</v>
      </c>
      <c r="B80" s="311">
        <f t="shared" si="39"/>
        <v>0.92224007298845856</v>
      </c>
      <c r="C80" s="311">
        <f t="shared" si="45"/>
        <v>0.9139822587281391</v>
      </c>
      <c r="D80" s="311">
        <f t="shared" si="51"/>
        <v>0.90967428579484921</v>
      </c>
      <c r="E80" s="313">
        <f t="shared" si="46"/>
        <v>45128.711150058429</v>
      </c>
      <c r="F80" s="313">
        <f t="shared" si="46"/>
        <v>45778.84460470271</v>
      </c>
      <c r="G80" s="313">
        <f t="shared" si="60"/>
        <v>45995.640909219575</v>
      </c>
      <c r="H80" s="349">
        <f t="shared" si="40"/>
        <v>5.5723680245163081</v>
      </c>
      <c r="I80" s="349">
        <f t="shared" si="47"/>
        <v>5.5120420525351168</v>
      </c>
      <c r="J80" s="311">
        <f t="shared" si="52"/>
        <v>5.4907749493166849</v>
      </c>
      <c r="K80" s="311">
        <f t="shared" si="41"/>
        <v>0.11521893071696189</v>
      </c>
      <c r="L80" s="311">
        <f t="shared" si="48"/>
        <v>5.2373180690304997</v>
      </c>
      <c r="M80" s="311">
        <f t="shared" si="42"/>
        <v>3.0661508269646756E-4</v>
      </c>
      <c r="N80" s="311">
        <f t="shared" si="49"/>
        <v>5.5719044191120917</v>
      </c>
      <c r="O80" s="311">
        <f t="shared" si="43"/>
        <v>4.562327289861489E-7</v>
      </c>
      <c r="P80" s="311">
        <f t="shared" si="50"/>
        <v>5.5723674821359088</v>
      </c>
      <c r="Q80" s="311">
        <f t="shared" si="44"/>
        <v>5.104014140398629</v>
      </c>
      <c r="R80" s="311">
        <f t="shared" si="53"/>
        <v>5.0430233974375565</v>
      </c>
      <c r="S80" s="311">
        <f t="shared" si="54"/>
        <v>5.0210176597970335</v>
      </c>
      <c r="T80" s="311">
        <f t="shared" si="59"/>
        <v>4.8249725712669429</v>
      </c>
      <c r="U80" s="311">
        <f t="shared" si="55"/>
        <v>5.1037157138039744</v>
      </c>
      <c r="V80" s="311">
        <f t="shared" si="56"/>
        <v>0.7346491416896993</v>
      </c>
      <c r="W80" s="311">
        <f t="shared" si="57"/>
        <v>0.73752180702213699</v>
      </c>
      <c r="X80" s="311">
        <f t="shared" si="58"/>
        <v>0.73853452622301474</v>
      </c>
    </row>
    <row r="81" spans="1:24">
      <c r="A81" s="325">
        <f t="shared" si="23"/>
        <v>90</v>
      </c>
      <c r="B81" s="326">
        <f t="shared" si="39"/>
        <v>0.91305042744516984</v>
      </c>
      <c r="C81" s="326">
        <f t="shared" si="45"/>
        <v>0.90386858754684396</v>
      </c>
      <c r="D81" s="326">
        <f t="shared" si="51"/>
        <v>0.89908265609398241</v>
      </c>
      <c r="E81" s="327">
        <f t="shared" si="46"/>
        <v>40955.900073785153</v>
      </c>
      <c r="F81" s="327">
        <f t="shared" si="46"/>
        <v>41619.505864904946</v>
      </c>
      <c r="G81" s="327">
        <f t="shared" si="60"/>
        <v>41841.051793770668</v>
      </c>
      <c r="H81" s="350">
        <f t="shared" si="40"/>
        <v>5.2687309247308978</v>
      </c>
      <c r="I81" s="350">
        <f t="shared" si="47"/>
        <v>5.2057881308332679</v>
      </c>
      <c r="J81" s="326">
        <f t="shared" si="52"/>
        <v>5.1835187279833939</v>
      </c>
      <c r="K81" s="326">
        <f t="shared" si="41"/>
        <v>9.3657739819087746E-2</v>
      </c>
      <c r="L81" s="326">
        <f t="shared" si="48"/>
        <v>5.0143908823736592</v>
      </c>
      <c r="M81" s="326">
        <f t="shared" si="42"/>
        <v>1.2697411453819026E-4</v>
      </c>
      <c r="N81" s="326">
        <f t="shared" si="49"/>
        <v>5.2685492901091839</v>
      </c>
      <c r="O81" s="326">
        <f t="shared" si="43"/>
        <v>8.6877285211765985E-8</v>
      </c>
      <c r="P81" s="326">
        <f t="shared" si="50"/>
        <v>5.2687308250597891</v>
      </c>
      <c r="Q81" s="326">
        <f t="shared" si="44"/>
        <v>4.7996369848121709</v>
      </c>
      <c r="R81" s="326">
        <f t="shared" si="53"/>
        <v>4.735947191512321</v>
      </c>
      <c r="S81" s="326">
        <f t="shared" si="54"/>
        <v>4.7128477893266467</v>
      </c>
      <c r="T81" s="326">
        <f t="shared" si="59"/>
        <v>4.5910997611994899</v>
      </c>
      <c r="U81" s="326">
        <f t="shared" si="55"/>
        <v>4.7995249550947134</v>
      </c>
      <c r="V81" s="326">
        <f t="shared" si="56"/>
        <v>0.74910805120329038</v>
      </c>
      <c r="W81" s="326">
        <f t="shared" si="57"/>
        <v>0.75210532710317746</v>
      </c>
      <c r="X81" s="326">
        <f t="shared" si="58"/>
        <v>0.75316577485793335</v>
      </c>
    </row>
    <row r="82" spans="1:24">
      <c r="A82" s="312">
        <f t="shared" si="23"/>
        <v>91</v>
      </c>
      <c r="B82" s="311">
        <f t="shared" si="39"/>
        <v>0.90283052682657294</v>
      </c>
      <c r="C82" s="311">
        <f t="shared" si="45"/>
        <v>0.89263434889718585</v>
      </c>
      <c r="D82" s="311">
        <f t="shared" si="51"/>
        <v>0.88732480097037647</v>
      </c>
      <c r="E82" s="313">
        <f t="shared" si="46"/>
        <v>36725.434780826945</v>
      </c>
      <c r="F82" s="313">
        <f t="shared" si="46"/>
        <v>37394.802068771198</v>
      </c>
      <c r="G82" s="313">
        <f t="shared" si="60"/>
        <v>37618.563980509221</v>
      </c>
      <c r="H82" s="349">
        <f t="shared" si="40"/>
        <v>4.9744656993018488</v>
      </c>
      <c r="I82" s="349">
        <f t="shared" si="47"/>
        <v>4.9090032009613234</v>
      </c>
      <c r="J82" s="311">
        <f t="shared" si="52"/>
        <v>4.8857517544231097</v>
      </c>
      <c r="K82" s="311">
        <f t="shared" si="41"/>
        <v>7.4200351879121107E-2</v>
      </c>
      <c r="L82" s="311">
        <f t="shared" si="48"/>
        <v>4.7863145505425546</v>
      </c>
      <c r="M82" s="311">
        <f t="shared" si="42"/>
        <v>4.7136785192028459E-5</v>
      </c>
      <c r="N82" s="311">
        <f t="shared" si="49"/>
        <v>4.9744016945106893</v>
      </c>
      <c r="O82" s="311">
        <f t="shared" si="43"/>
        <v>1.3468254093568257E-8</v>
      </c>
      <c r="P82" s="311">
        <f t="shared" si="50"/>
        <v>4.9744656843209043</v>
      </c>
      <c r="Q82" s="311">
        <f t="shared" si="44"/>
        <v>4.5045399366627441</v>
      </c>
      <c r="R82" s="311">
        <f t="shared" si="53"/>
        <v>4.4382380141732893</v>
      </c>
      <c r="S82" s="311">
        <f t="shared" si="54"/>
        <v>4.4140538741362656</v>
      </c>
      <c r="T82" s="311">
        <f t="shared" si="59"/>
        <v>4.352921328012342</v>
      </c>
      <c r="U82" s="311">
        <f t="shared" si="55"/>
        <v>4.5045022728563895</v>
      </c>
      <c r="V82" s="311">
        <f t="shared" si="56"/>
        <v>0.76312068098562602</v>
      </c>
      <c r="W82" s="311">
        <f t="shared" si="57"/>
        <v>0.76623794281136526</v>
      </c>
      <c r="X82" s="311">
        <f t="shared" si="58"/>
        <v>0.76734515455128027</v>
      </c>
    </row>
    <row r="83" spans="1:24">
      <c r="A83" s="312">
        <f t="shared" si="23"/>
        <v>92</v>
      </c>
      <c r="B83" s="311">
        <f t="shared" si="39"/>
        <v>0.89147984447955164</v>
      </c>
      <c r="C83" s="311">
        <f t="shared" si="45"/>
        <v>0.8801736546999277</v>
      </c>
      <c r="D83" s="311">
        <f t="shared" si="51"/>
        <v>0.87429241936472424</v>
      </c>
      <c r="E83" s="313">
        <f t="shared" si="46"/>
        <v>32490.614343578072</v>
      </c>
      <c r="F83" s="313">
        <f t="shared" si="46"/>
        <v>33156.843631108939</v>
      </c>
      <c r="G83" s="313">
        <f t="shared" si="60"/>
        <v>33379.884796796716</v>
      </c>
      <c r="H83" s="349">
        <f t="shared" si="40"/>
        <v>4.6901953783673056</v>
      </c>
      <c r="I83" s="349">
        <f t="shared" si="47"/>
        <v>4.6223392544507753</v>
      </c>
      <c r="J83" s="311">
        <f t="shared" si="52"/>
        <v>4.5981351334734972</v>
      </c>
      <c r="K83" s="311">
        <f t="shared" si="41"/>
        <v>5.7111975259670857E-2</v>
      </c>
      <c r="L83" s="311">
        <f t="shared" si="48"/>
        <v>4.5549521003999596</v>
      </c>
      <c r="M83" s="311">
        <f t="shared" si="42"/>
        <v>1.5475357027929624E-5</v>
      </c>
      <c r="N83" s="311">
        <f t="shared" si="49"/>
        <v>4.6901753584597472</v>
      </c>
      <c r="O83" s="311">
        <f t="shared" si="43"/>
        <v>1.6570155672022622E-9</v>
      </c>
      <c r="P83" s="311">
        <f t="shared" si="50"/>
        <v>4.6901953765719586</v>
      </c>
      <c r="Q83" s="311">
        <f t="shared" si="44"/>
        <v>4.2193346469904958</v>
      </c>
      <c r="R83" s="311">
        <f t="shared" si="53"/>
        <v>4.1505352135097366</v>
      </c>
      <c r="S83" s="311">
        <f t="shared" si="54"/>
        <v>4.1252829707944256</v>
      </c>
      <c r="T83" s="311">
        <f t="shared" si="59"/>
        <v>4.1124226266095887</v>
      </c>
      <c r="U83" s="311">
        <f t="shared" si="55"/>
        <v>4.2193234600697762</v>
      </c>
      <c r="V83" s="311">
        <f t="shared" si="56"/>
        <v>0.77665736293488996</v>
      </c>
      <c r="W83" s="311">
        <f t="shared" si="57"/>
        <v>0.77988860693091522</v>
      </c>
      <c r="X83" s="311">
        <f t="shared" si="58"/>
        <v>0.78104118412030943</v>
      </c>
    </row>
    <row r="84" spans="1:24">
      <c r="A84" s="312">
        <f t="shared" si="23"/>
        <v>93</v>
      </c>
      <c r="B84" s="311">
        <f t="shared" si="39"/>
        <v>0.87889193341945615</v>
      </c>
      <c r="C84" s="311">
        <f t="shared" si="45"/>
        <v>0.86637534979857445</v>
      </c>
      <c r="D84" s="311">
        <f t="shared" si="51"/>
        <v>0.85987236727984351</v>
      </c>
      <c r="E84" s="313">
        <f t="shared" si="46"/>
        <v>28311.496702547556</v>
      </c>
      <c r="F84" s="313">
        <f t="shared" si="46"/>
        <v>28964.72782205807</v>
      </c>
      <c r="G84" s="313">
        <f t="shared" si="60"/>
        <v>29183.780237107178</v>
      </c>
      <c r="H84" s="349">
        <f t="shared" si="40"/>
        <v>4.416467838134702</v>
      </c>
      <c r="I84" s="349">
        <f t="shared" si="47"/>
        <v>4.3463743698521133</v>
      </c>
      <c r="J84" s="311">
        <f t="shared" si="52"/>
        <v>4.3212566030165993</v>
      </c>
      <c r="K84" s="311">
        <f t="shared" si="41"/>
        <v>4.255515998645118E-2</v>
      </c>
      <c r="L84" s="311">
        <f t="shared" si="48"/>
        <v>4.3223201936755373</v>
      </c>
      <c r="M84" s="311">
        <f t="shared" si="42"/>
        <v>4.4252743862785102E-6</v>
      </c>
      <c r="N84" s="311">
        <f t="shared" si="49"/>
        <v>4.4164623619847756</v>
      </c>
      <c r="O84" s="311">
        <f t="shared" si="43"/>
        <v>1.5721854452527684E-10</v>
      </c>
      <c r="P84" s="311">
        <f t="shared" si="50"/>
        <v>4.416467837968014</v>
      </c>
      <c r="Q84" s="311">
        <f t="shared" si="44"/>
        <v>3.9445562018967117</v>
      </c>
      <c r="R84" s="311">
        <f t="shared" si="53"/>
        <v>3.8734026568430959</v>
      </c>
      <c r="S84" s="311">
        <f t="shared" si="54"/>
        <v>3.8471070269286622</v>
      </c>
      <c r="T84" s="311">
        <f t="shared" si="59"/>
        <v>3.8716963896088372</v>
      </c>
      <c r="U84" s="311">
        <f t="shared" si="55"/>
        <v>3.9445533110706101</v>
      </c>
      <c r="V84" s="311">
        <f t="shared" si="56"/>
        <v>0.78969200770787107</v>
      </c>
      <c r="W84" s="311">
        <f t="shared" si="57"/>
        <v>0.79302979191180389</v>
      </c>
      <c r="X84" s="311">
        <f t="shared" si="58"/>
        <v>0.79422587604682837</v>
      </c>
    </row>
    <row r="85" spans="1:24">
      <c r="A85" s="312">
        <f t="shared" si="23"/>
        <v>94</v>
      </c>
      <c r="B85" s="311">
        <f t="shared" si="39"/>
        <v>0.86495516846879972</v>
      </c>
      <c r="C85" s="311">
        <f t="shared" si="45"/>
        <v>0.85112409772092046</v>
      </c>
      <c r="D85" s="311">
        <f t="shared" si="51"/>
        <v>0.84394793604590779</v>
      </c>
      <c r="E85" s="313">
        <f t="shared" si="46"/>
        <v>24252.973433874326</v>
      </c>
      <c r="F85" s="313">
        <f t="shared" si="46"/>
        <v>24882.74607490058</v>
      </c>
      <c r="G85" s="313">
        <f t="shared" si="60"/>
        <v>25094.326198656061</v>
      </c>
      <c r="H85" s="349">
        <f t="shared" si="40"/>
        <v>4.1537501511206933</v>
      </c>
      <c r="I85" s="349">
        <f t="shared" si="47"/>
        <v>4.081606729606178</v>
      </c>
      <c r="J85" s="311">
        <f t="shared" si="52"/>
        <v>4.0556244925038847</v>
      </c>
      <c r="K85" s="311">
        <f t="shared" si="41"/>
        <v>3.0572656735744073E-2</v>
      </c>
      <c r="L85" s="311">
        <f t="shared" si="48"/>
        <v>4.0905128131955797</v>
      </c>
      <c r="M85" s="311">
        <f t="shared" si="42"/>
        <v>1.0834799325753977E-6</v>
      </c>
      <c r="N85" s="311">
        <f t="shared" si="49"/>
        <v>4.1537488630537904</v>
      </c>
      <c r="O85" s="311">
        <f t="shared" si="43"/>
        <v>1.1139121088226261E-11</v>
      </c>
      <c r="P85" s="311">
        <f t="shared" si="50"/>
        <v>4.1537501511090866</v>
      </c>
      <c r="Q85" s="311">
        <f t="shared" si="44"/>
        <v>3.6806572978187369</v>
      </c>
      <c r="R85" s="311">
        <f t="shared" si="53"/>
        <v>3.6073225531927533</v>
      </c>
      <c r="S85" s="311">
        <f t="shared" si="54"/>
        <v>3.5800166237443842</v>
      </c>
      <c r="T85" s="311">
        <f t="shared" si="59"/>
        <v>3.6328571500677231</v>
      </c>
      <c r="U85" s="311">
        <f t="shared" si="55"/>
        <v>3.6806566591078935</v>
      </c>
      <c r="V85" s="311">
        <f t="shared" si="56"/>
        <v>0.80220237375615722</v>
      </c>
      <c r="W85" s="311">
        <f t="shared" si="57"/>
        <v>0.80563777478065801</v>
      </c>
      <c r="X85" s="311">
        <f t="shared" si="58"/>
        <v>0.80687502416648149</v>
      </c>
    </row>
    <row r="86" spans="1:24">
      <c r="A86" s="312">
        <f t="shared" si="23"/>
        <v>95</v>
      </c>
      <c r="B86" s="311">
        <f t="shared" si="39"/>
        <v>0.84955387389484938</v>
      </c>
      <c r="C86" s="311">
        <f t="shared" si="45"/>
        <v>0.83430193246664042</v>
      </c>
      <c r="D86" s="311">
        <f t="shared" si="51"/>
        <v>0.82640063883393244</v>
      </c>
      <c r="E86" s="313">
        <f t="shared" si="46"/>
        <v>20381.984573296191</v>
      </c>
      <c r="F86" s="313">
        <f t="shared" si="46"/>
        <v>20977.734722366091</v>
      </c>
      <c r="G86" s="313">
        <f t="shared" si="60"/>
        <v>21178.304801818533</v>
      </c>
      <c r="H86" s="349">
        <f t="shared" si="40"/>
        <v>3.9024244048845209</v>
      </c>
      <c r="I86" s="349">
        <f t="shared" si="47"/>
        <v>3.8284500508146007</v>
      </c>
      <c r="J86" s="311">
        <f t="shared" si="52"/>
        <v>3.8016630885563925</v>
      </c>
      <c r="K86" s="311">
        <f t="shared" si="41"/>
        <v>2.1081687474480085E-2</v>
      </c>
      <c r="L86" s="311">
        <f t="shared" si="48"/>
        <v>3.8616125583061862</v>
      </c>
      <c r="M86" s="311">
        <f t="shared" si="42"/>
        <v>2.2280387659062592E-7</v>
      </c>
      <c r="N86" s="311">
        <f t="shared" si="49"/>
        <v>3.9024241492698408</v>
      </c>
      <c r="O86" s="311">
        <f t="shared" si="43"/>
        <v>5.6838305973892483E-13</v>
      </c>
      <c r="P86" s="311">
        <f t="shared" si="50"/>
        <v>3.9024244048839365</v>
      </c>
      <c r="Q86" s="311">
        <f t="shared" si="44"/>
        <v>3.4280038636026657</v>
      </c>
      <c r="R86" s="311">
        <f t="shared" si="53"/>
        <v>3.352690665534622</v>
      </c>
      <c r="S86" s="311">
        <f t="shared" si="54"/>
        <v>3.3244160988340545</v>
      </c>
      <c r="T86" s="311">
        <f t="shared" si="59"/>
        <v>3.3979481081882534</v>
      </c>
      <c r="U86" s="311">
        <f t="shared" si="55"/>
        <v>3.4280037453030117</v>
      </c>
      <c r="V86" s="311">
        <f t="shared" si="56"/>
        <v>0.8141702664340702</v>
      </c>
      <c r="W86" s="311">
        <f t="shared" si="57"/>
        <v>0.81769285472311404</v>
      </c>
      <c r="X86" s="311">
        <f t="shared" si="58"/>
        <v>0.81896842435445727</v>
      </c>
    </row>
    <row r="87" spans="1:24">
      <c r="A87" s="312">
        <f t="shared" si="23"/>
        <v>96</v>
      </c>
      <c r="B87" s="311">
        <f t="shared" si="39"/>
        <v>0.83256992642856165</v>
      </c>
      <c r="C87" s="311">
        <f t="shared" si="45"/>
        <v>0.81579037537873511</v>
      </c>
      <c r="D87" s="311">
        <f t="shared" si="51"/>
        <v>0.80711260827344944</v>
      </c>
      <c r="E87" s="313">
        <f t="shared" si="46"/>
        <v>16763.916802123265</v>
      </c>
      <c r="F87" s="313">
        <f t="shared" si="46"/>
        <v>17315.593951908839</v>
      </c>
      <c r="G87" s="313">
        <f t="shared" si="60"/>
        <v>17501.764617642573</v>
      </c>
      <c r="H87" s="349">
        <f t="shared" si="40"/>
        <v>3.662785127302993</v>
      </c>
      <c r="I87" s="349">
        <f t="shared" si="47"/>
        <v>3.5872305674471527</v>
      </c>
      <c r="J87" s="311">
        <f t="shared" si="52"/>
        <v>3.5597095461289503</v>
      </c>
      <c r="K87" s="311">
        <f t="shared" si="41"/>
        <v>1.3882270841268184E-2</v>
      </c>
      <c r="L87" s="311">
        <f t="shared" si="48"/>
        <v>3.637597291226752</v>
      </c>
      <c r="M87" s="311">
        <f t="shared" si="42"/>
        <v>3.7657305856980594E-8</v>
      </c>
      <c r="N87" s="311">
        <f t="shared" si="49"/>
        <v>3.6627850854161976</v>
      </c>
      <c r="O87" s="311">
        <f t="shared" si="43"/>
        <v>2.0053829172156942E-14</v>
      </c>
      <c r="P87" s="311">
        <f t="shared" si="50"/>
        <v>3.6627851273029726</v>
      </c>
      <c r="Q87" s="311">
        <f t="shared" si="44"/>
        <v>3.1868722647317322</v>
      </c>
      <c r="R87" s="311">
        <f t="shared" si="53"/>
        <v>3.1098130474011678</v>
      </c>
      <c r="S87" s="311">
        <f t="shared" si="54"/>
        <v>3.080620184444383</v>
      </c>
      <c r="T87" s="311">
        <f t="shared" si="59"/>
        <v>3.1688496234608206</v>
      </c>
      <c r="U87" s="311">
        <f t="shared" si="55"/>
        <v>3.1868722467720114</v>
      </c>
      <c r="V87" s="311">
        <f t="shared" si="56"/>
        <v>0.82558166060461913</v>
      </c>
      <c r="W87" s="311">
        <f t="shared" si="57"/>
        <v>0.82917949678823066</v>
      </c>
      <c r="X87" s="311">
        <f t="shared" si="58"/>
        <v>0.83049002161290697</v>
      </c>
    </row>
    <row r="88" spans="1:24">
      <c r="A88" s="312">
        <f t="shared" si="23"/>
        <v>97</v>
      </c>
      <c r="B88" s="311">
        <f t="shared" si="39"/>
        <v>0.81388493362812886</v>
      </c>
      <c r="C88" s="311">
        <f t="shared" si="45"/>
        <v>0.795473223861351</v>
      </c>
      <c r="D88" s="311">
        <f t="shared" si="51"/>
        <v>0.78596971397961868</v>
      </c>
      <c r="E88" s="313">
        <f t="shared" si="46"/>
        <v>13458.36715765085</v>
      </c>
      <c r="F88" s="313">
        <f t="shared" si="46"/>
        <v>13957.132978598294</v>
      </c>
      <c r="G88" s="313">
        <f t="shared" si="60"/>
        <v>14125.894889933468</v>
      </c>
      <c r="H88" s="349">
        <f t="shared" si="40"/>
        <v>3.4350384096075617</v>
      </c>
      <c r="I88" s="349">
        <f t="shared" si="47"/>
        <v>3.3581856549415563</v>
      </c>
      <c r="J88" s="311">
        <f t="shared" si="52"/>
        <v>3.3300124367835524</v>
      </c>
      <c r="K88" s="311">
        <f t="shared" si="41"/>
        <v>8.6799354037165599E-3</v>
      </c>
      <c r="L88" s="311">
        <f t="shared" si="48"/>
        <v>3.4202519328813019</v>
      </c>
      <c r="M88" s="311">
        <f t="shared" si="42"/>
        <v>5.1055041666582217E-9</v>
      </c>
      <c r="N88" s="311">
        <f t="shared" si="49"/>
        <v>3.435038404075839</v>
      </c>
      <c r="O88" s="311">
        <f t="shared" si="43"/>
        <v>4.6735884204184613E-16</v>
      </c>
      <c r="P88" s="311">
        <f t="shared" si="50"/>
        <v>3.4350384096075612</v>
      </c>
      <c r="Q88" s="311">
        <f t="shared" si="44"/>
        <v>2.9574481779070085</v>
      </c>
      <c r="R88" s="311">
        <f t="shared" si="53"/>
        <v>2.8789043914185801</v>
      </c>
      <c r="S88" s="311">
        <f t="shared" si="54"/>
        <v>2.8488522490134391</v>
      </c>
      <c r="T88" s="311">
        <f t="shared" si="59"/>
        <v>2.9471996153949584</v>
      </c>
      <c r="U88" s="311">
        <f t="shared" si="55"/>
        <v>2.9574481757287958</v>
      </c>
      <c r="V88" s="311">
        <f t="shared" si="56"/>
        <v>0.83642674239963977</v>
      </c>
      <c r="W88" s="311">
        <f t="shared" si="57"/>
        <v>0.84008639738373525</v>
      </c>
      <c r="X88" s="311">
        <f t="shared" si="58"/>
        <v>0.84142797920078305</v>
      </c>
    </row>
    <row r="89" spans="1:24">
      <c r="A89" s="312">
        <f t="shared" si="23"/>
        <v>98</v>
      </c>
      <c r="B89" s="311">
        <f t="shared" si="39"/>
        <v>0.79338309489803882</v>
      </c>
      <c r="C89" s="311">
        <f t="shared" si="45"/>
        <v>0.77324012169538969</v>
      </c>
      <c r="D89" s="311">
        <f t="shared" si="51"/>
        <v>0.76286550883957915</v>
      </c>
      <c r="E89" s="313">
        <f t="shared" si="46"/>
        <v>10514.620137595241</v>
      </c>
      <c r="F89" s="313">
        <f t="shared" si="46"/>
        <v>10953.562260847651</v>
      </c>
      <c r="G89" s="313">
        <f t="shared" si="60"/>
        <v>11102.525566347165</v>
      </c>
      <c r="H89" s="349">
        <f t="shared" si="40"/>
        <v>3.2193027662046645</v>
      </c>
      <c r="I89" s="349">
        <f t="shared" si="47"/>
        <v>3.1414641363249021</v>
      </c>
      <c r="J89" s="311">
        <f t="shared" si="52"/>
        <v>3.1127319731383083</v>
      </c>
      <c r="K89" s="311">
        <f t="shared" si="41"/>
        <v>5.1201586110910958E-3</v>
      </c>
      <c r="L89" s="311">
        <f t="shared" si="48"/>
        <v>3.2110957860368581</v>
      </c>
      <c r="M89" s="311">
        <f t="shared" si="42"/>
        <v>5.4028076786398271E-10</v>
      </c>
      <c r="N89" s="311">
        <f t="shared" si="49"/>
        <v>3.2193027656318418</v>
      </c>
      <c r="O89" s="311">
        <f t="shared" si="43"/>
        <v>6.8338872147065071E-18</v>
      </c>
      <c r="P89" s="311">
        <f t="shared" si="50"/>
        <v>3.2193027662046645</v>
      </c>
      <c r="Q89" s="311">
        <f t="shared" si="44"/>
        <v>2.7398271716027871</v>
      </c>
      <c r="R89" s="311">
        <f t="shared" si="53"/>
        <v>2.6600880251337875</v>
      </c>
      <c r="S89" s="311">
        <f t="shared" si="54"/>
        <v>2.6292441768480415</v>
      </c>
      <c r="T89" s="311">
        <f t="shared" si="59"/>
        <v>2.7343353943480935</v>
      </c>
      <c r="U89" s="311">
        <f t="shared" si="55"/>
        <v>2.739827171397871</v>
      </c>
      <c r="V89" s="311">
        <f t="shared" si="56"/>
        <v>0.84669986827596821</v>
      </c>
      <c r="W89" s="311">
        <f t="shared" si="57"/>
        <v>0.85040646969881406</v>
      </c>
      <c r="X89" s="311">
        <f t="shared" si="58"/>
        <v>0.85177466794579471</v>
      </c>
    </row>
    <row r="90" spans="1:24">
      <c r="A90" s="312">
        <f t="shared" si="23"/>
        <v>99</v>
      </c>
      <c r="B90" s="311">
        <f t="shared" si="39"/>
        <v>0.77095485485206783</v>
      </c>
      <c r="C90" s="311">
        <f t="shared" si="45"/>
        <v>0.7489910160212454</v>
      </c>
      <c r="D90" s="311">
        <f t="shared" si="51"/>
        <v>0.73770610370652323</v>
      </c>
      <c r="E90" s="313">
        <f t="shared" si="46"/>
        <v>7967.3519328224156</v>
      </c>
      <c r="F90" s="313">
        <f t="shared" si="46"/>
        <v>8342.1218664425542</v>
      </c>
      <c r="G90" s="313">
        <f t="shared" si="60"/>
        <v>8469.7338155758662</v>
      </c>
      <c r="H90" s="349">
        <f t="shared" si="40"/>
        <v>3.0156117149035748</v>
      </c>
      <c r="I90" s="349">
        <f t="shared" si="47"/>
        <v>2.937128254307424</v>
      </c>
      <c r="J90" s="311">
        <f t="shared" si="52"/>
        <v>2.9079418928896921</v>
      </c>
      <c r="K90" s="311">
        <f t="shared" si="41"/>
        <v>2.8289510604267484E-3</v>
      </c>
      <c r="L90" s="311">
        <f t="shared" si="48"/>
        <v>3.0113343095380509</v>
      </c>
      <c r="M90" s="311">
        <f t="shared" si="42"/>
        <v>4.3276129349347485E-11</v>
      </c>
      <c r="N90" s="311">
        <f t="shared" si="49"/>
        <v>3.0156117148584816</v>
      </c>
      <c r="O90" s="311">
        <f t="shared" si="43"/>
        <v>5.9176230997586876E-20</v>
      </c>
      <c r="P90" s="311">
        <f t="shared" si="50"/>
        <v>3.0156117149035748</v>
      </c>
      <c r="Q90" s="311">
        <f t="shared" si="44"/>
        <v>2.5340169724006087</v>
      </c>
      <c r="R90" s="311">
        <f t="shared" si="53"/>
        <v>2.4533975343373222</v>
      </c>
      <c r="S90" s="311">
        <f t="shared" si="54"/>
        <v>2.4218378646227725</v>
      </c>
      <c r="T90" s="311">
        <f t="shared" si="59"/>
        <v>2.5312635715438003</v>
      </c>
      <c r="U90" s="311">
        <f t="shared" si="55"/>
        <v>2.5340169723861576</v>
      </c>
      <c r="V90" s="311">
        <f t="shared" si="56"/>
        <v>0.85639944214744868</v>
      </c>
      <c r="W90" s="311">
        <f t="shared" si="57"/>
        <v>0.86013674979488441</v>
      </c>
      <c r="X90" s="311">
        <f t="shared" si="58"/>
        <v>0.86152657652906206</v>
      </c>
    </row>
    <row r="91" spans="1:24">
      <c r="A91" s="325">
        <f t="shared" si="23"/>
        <v>100</v>
      </c>
      <c r="B91" s="326">
        <f t="shared" si="39"/>
        <v>0.74650145307570803</v>
      </c>
      <c r="C91" s="326">
        <f t="shared" si="45"/>
        <v>0.72264158984165405</v>
      </c>
      <c r="D91" s="326">
        <f t="shared" si="51"/>
        <v>0.71041604742031894</v>
      </c>
      <c r="E91" s="327">
        <f t="shared" si="46"/>
        <v>5833.1990139067111</v>
      </c>
      <c r="F91" s="327">
        <f t="shared" si="46"/>
        <v>6142.4686529244473</v>
      </c>
      <c r="G91" s="327">
        <f t="shared" si="60"/>
        <v>6248.1743325198568</v>
      </c>
      <c r="H91" s="350">
        <f t="shared" si="40"/>
        <v>2.8239180049034829</v>
      </c>
      <c r="I91" s="350">
        <f t="shared" si="47"/>
        <v>2.7451572388824905</v>
      </c>
      <c r="J91" s="326">
        <f t="shared" si="52"/>
        <v>2.7156329295211474</v>
      </c>
      <c r="K91" s="326">
        <f t="shared" si="41"/>
        <v>1.4521713512168596E-3</v>
      </c>
      <c r="L91" s="326">
        <f t="shared" si="48"/>
        <v>2.8218406949336368</v>
      </c>
      <c r="M91" s="326">
        <f t="shared" si="42"/>
        <v>2.5347042661639139E-12</v>
      </c>
      <c r="N91" s="326">
        <f t="shared" si="49"/>
        <v>2.823918004900877</v>
      </c>
      <c r="O91" s="326">
        <f t="shared" si="43"/>
        <v>2.8436376273585438E-22</v>
      </c>
      <c r="P91" s="326">
        <f t="shared" si="50"/>
        <v>2.8239180049034829</v>
      </c>
      <c r="Q91" s="326">
        <f t="shared" si="44"/>
        <v>2.3399413401596934</v>
      </c>
      <c r="R91" s="326">
        <f t="shared" si="53"/>
        <v>2.2587799386448069</v>
      </c>
      <c r="S91" s="326">
        <f t="shared" si="54"/>
        <v>2.2265882565124704</v>
      </c>
      <c r="T91" s="326">
        <f t="shared" si="59"/>
        <v>2.3386600841590597</v>
      </c>
      <c r="U91" s="326">
        <f t="shared" si="55"/>
        <v>2.3399413401589593</v>
      </c>
      <c r="V91" s="326">
        <f t="shared" si="56"/>
        <v>0.86552771405221496</v>
      </c>
      <c r="W91" s="326">
        <f t="shared" si="57"/>
        <v>0.86927822671988131</v>
      </c>
      <c r="X91" s="326">
        <f t="shared" si="58"/>
        <v>0.87068414621327861</v>
      </c>
    </row>
    <row r="92" spans="1:24">
      <c r="A92" s="312">
        <f t="shared" si="23"/>
        <v>101</v>
      </c>
      <c r="B92" s="311">
        <f t="shared" si="39"/>
        <v>0.71994045674296347</v>
      </c>
      <c r="C92" s="311">
        <f t="shared" si="45"/>
        <v>0.69412972632743664</v>
      </c>
      <c r="D92" s="311">
        <f t="shared" si="51"/>
        <v>0.68094524759475572</v>
      </c>
      <c r="E92" s="313">
        <f t="shared" si="46"/>
        <v>4108.8561789383593</v>
      </c>
      <c r="F92" s="313">
        <f t="shared" si="46"/>
        <v>4354.4915399611473</v>
      </c>
      <c r="G92" s="313">
        <f t="shared" si="60"/>
        <v>4438.8033129018459</v>
      </c>
      <c r="H92" s="349">
        <f t="shared" si="40"/>
        <v>2.6440993650115696</v>
      </c>
      <c r="I92" s="349">
        <f t="shared" si="47"/>
        <v>2.5654523474242072</v>
      </c>
      <c r="J92" s="311">
        <f t="shared" si="52"/>
        <v>2.5357177424954687</v>
      </c>
      <c r="K92" s="311">
        <f t="shared" si="41"/>
        <v>6.862762289929175E-4</v>
      </c>
      <c r="L92" s="311">
        <f t="shared" si="48"/>
        <v>2.6431675032705679</v>
      </c>
      <c r="M92" s="311">
        <f t="shared" si="42"/>
        <v>1.044235282950213E-13</v>
      </c>
      <c r="N92" s="311">
        <f t="shared" si="49"/>
        <v>2.6440993650114635</v>
      </c>
      <c r="O92" s="311">
        <f t="shared" si="43"/>
        <v>7.0491271681578231E-25</v>
      </c>
      <c r="P92" s="311">
        <f t="shared" si="50"/>
        <v>2.6440993650115696</v>
      </c>
      <c r="Q92" s="311">
        <f t="shared" si="44"/>
        <v>2.1574454196690942</v>
      </c>
      <c r="R92" s="311">
        <f t="shared" si="53"/>
        <v>2.0761002909657615</v>
      </c>
      <c r="S92" s="311">
        <f t="shared" si="54"/>
        <v>2.0433677847970562</v>
      </c>
      <c r="T92" s="311">
        <f t="shared" si="59"/>
        <v>2.1568970629050632</v>
      </c>
      <c r="U92" s="311">
        <f t="shared" si="55"/>
        <v>2.1574454196690942</v>
      </c>
      <c r="V92" s="311">
        <f t="shared" si="56"/>
        <v>0.87409050642802033</v>
      </c>
      <c r="W92" s="311">
        <f t="shared" si="57"/>
        <v>0.87783560250360904</v>
      </c>
      <c r="X92" s="311">
        <f t="shared" si="58"/>
        <v>0.87925153607164419</v>
      </c>
    </row>
    <row r="93" spans="1:24">
      <c r="A93" s="312">
        <f t="shared" si="23"/>
        <v>102</v>
      </c>
      <c r="B93" s="311">
        <f t="shared" si="39"/>
        <v>0.6912123280621435</v>
      </c>
      <c r="C93" s="311">
        <f t="shared" si="45"/>
        <v>0.66342300660156128</v>
      </c>
      <c r="D93" s="311">
        <f t="shared" si="51"/>
        <v>0.64927690140891381</v>
      </c>
      <c r="E93" s="313">
        <f t="shared" si="46"/>
        <v>2771.2511611494356</v>
      </c>
      <c r="F93" s="313">
        <f t="shared" si="46"/>
        <v>2958.1317941560301</v>
      </c>
      <c r="G93" s="313">
        <f t="shared" si="60"/>
        <v>3022.5820209283693</v>
      </c>
      <c r="H93" s="349">
        <f t="shared" si="40"/>
        <v>2.4759655930902529</v>
      </c>
      <c r="I93" s="349">
        <f t="shared" si="47"/>
        <v>2.3978432064673947</v>
      </c>
      <c r="J93" s="311">
        <f t="shared" si="52"/>
        <v>2.3680371297339251</v>
      </c>
      <c r="K93" s="311">
        <f t="shared" si="41"/>
        <v>2.9553961492580108E-4</v>
      </c>
      <c r="L93" s="311">
        <f t="shared" si="48"/>
        <v>2.4755832642199027</v>
      </c>
      <c r="M93" s="311">
        <f t="shared" si="42"/>
        <v>2.8967661903730305E-15</v>
      </c>
      <c r="N93" s="311">
        <f t="shared" si="49"/>
        <v>2.4759655930902498</v>
      </c>
      <c r="O93" s="311">
        <f t="shared" si="43"/>
        <v>8.3039516951610332E-28</v>
      </c>
      <c r="P93" s="311">
        <f t="shared" si="50"/>
        <v>2.4759655930902529</v>
      </c>
      <c r="Q93" s="311">
        <f t="shared" si="44"/>
        <v>1.9863023843548548</v>
      </c>
      <c r="R93" s="311">
        <f t="shared" si="53"/>
        <v>1.905147524016813</v>
      </c>
      <c r="S93" s="311">
        <f t="shared" si="54"/>
        <v>1.8719720320442503</v>
      </c>
      <c r="T93" s="311">
        <f t="shared" si="59"/>
        <v>1.986088742870799</v>
      </c>
      <c r="U93" s="311">
        <f t="shared" si="55"/>
        <v>1.9863023843548548</v>
      </c>
      <c r="V93" s="311">
        <f t="shared" si="56"/>
        <v>0.88209687651951163</v>
      </c>
      <c r="W93" s="311">
        <f t="shared" si="57"/>
        <v>0.88581699016821913</v>
      </c>
      <c r="X93" s="311">
        <f t="shared" si="58"/>
        <v>0.88723632715552725</v>
      </c>
    </row>
    <row r="94" spans="1:24">
      <c r="A94" s="312">
        <f t="shared" si="23"/>
        <v>103</v>
      </c>
      <c r="B94" s="311">
        <f t="shared" si="39"/>
        <v>0.66028802140978116</v>
      </c>
      <c r="C94" s="311">
        <f t="shared" si="45"/>
        <v>0.63052715982090879</v>
      </c>
      <c r="D94" s="311">
        <f t="shared" si="51"/>
        <v>0.61543630846802344</v>
      </c>
      <c r="E94" s="313">
        <f t="shared" si="46"/>
        <v>1780.0536717331861</v>
      </c>
      <c r="F94" s="313">
        <f t="shared" si="46"/>
        <v>1915.5229667430197</v>
      </c>
      <c r="G94" s="313">
        <f t="shared" si="60"/>
        <v>1962.4926888026644</v>
      </c>
      <c r="H94" s="349">
        <f t="shared" si="40"/>
        <v>2.319266761253723</v>
      </c>
      <c r="I94" s="349">
        <f t="shared" si="47"/>
        <v>2.2420952431355277</v>
      </c>
      <c r="J94" s="311">
        <f t="shared" si="52"/>
        <v>2.2123673013834102</v>
      </c>
      <c r="K94" s="311">
        <f t="shared" si="41"/>
        <v>1.1464706117737338E-4</v>
      </c>
      <c r="L94" s="311">
        <f t="shared" si="48"/>
        <v>2.3191248888090192</v>
      </c>
      <c r="M94" s="311">
        <f t="shared" si="42"/>
        <v>5.1519874048341211E-17</v>
      </c>
      <c r="N94" s="311">
        <f t="shared" si="49"/>
        <v>2.319266761253723</v>
      </c>
      <c r="O94" s="311">
        <f t="shared" si="43"/>
        <v>4.2389355849443872E-31</v>
      </c>
      <c r="P94" s="311">
        <f t="shared" si="50"/>
        <v>2.319266761253723</v>
      </c>
      <c r="Q94" s="311">
        <f t="shared" si="44"/>
        <v>1.82622114046468</v>
      </c>
      <c r="R94" s="311">
        <f t="shared" si="53"/>
        <v>1.7456413250697846</v>
      </c>
      <c r="S94" s="311">
        <f t="shared" si="54"/>
        <v>1.7121263863435561</v>
      </c>
      <c r="T94" s="311">
        <f t="shared" si="59"/>
        <v>1.8261462468675864</v>
      </c>
      <c r="U94" s="311">
        <f t="shared" si="55"/>
        <v>1.82622114046468</v>
      </c>
      <c r="V94" s="311">
        <f t="shared" si="56"/>
        <v>0.88955872565458449</v>
      </c>
      <c r="W94" s="311">
        <f t="shared" si="57"/>
        <v>0.89323355985068909</v>
      </c>
      <c r="X94" s="311">
        <f t="shared" si="58"/>
        <v>0.89464917612459938</v>
      </c>
    </row>
    <row r="95" spans="1:24">
      <c r="A95" s="312">
        <f t="shared" ref="A95:A121" si="61">A94+1</f>
        <v>104</v>
      </c>
      <c r="B95" s="311">
        <f t="shared" si="39"/>
        <v>0.62717751902855523</v>
      </c>
      <c r="C95" s="311">
        <f t="shared" si="45"/>
        <v>0.59549526724562352</v>
      </c>
      <c r="D95" s="311">
        <f t="shared" si="51"/>
        <v>0.5795003040725234</v>
      </c>
      <c r="E95" s="313">
        <f t="shared" si="46"/>
        <v>1082.3408446957246</v>
      </c>
      <c r="F95" s="313">
        <f t="shared" si="46"/>
        <v>1175.3481169119216</v>
      </c>
      <c r="G95" s="313">
        <f t="shared" si="60"/>
        <v>1207.7892557921973</v>
      </c>
      <c r="H95" s="349">
        <f t="shared" si="40"/>
        <v>2.1737022709088274</v>
      </c>
      <c r="I95" s="349">
        <f t="shared" si="47"/>
        <v>2.0979179606481488</v>
      </c>
      <c r="J95" s="311">
        <f t="shared" si="52"/>
        <v>2.0684279574296869</v>
      </c>
      <c r="K95" s="311">
        <f t="shared" si="41"/>
        <v>3.9547114919800712E-5</v>
      </c>
      <c r="L95" s="311">
        <f t="shared" si="48"/>
        <v>2.173655256351116</v>
      </c>
      <c r="M95" s="311">
        <f t="shared" si="42"/>
        <v>5.5596026036714638E-19</v>
      </c>
      <c r="N95" s="311">
        <f t="shared" si="49"/>
        <v>2.1737022709088274</v>
      </c>
      <c r="O95" s="311">
        <f t="shared" si="43"/>
        <v>8.4531261128109007E-35</v>
      </c>
      <c r="P95" s="311">
        <f t="shared" si="50"/>
        <v>2.1737022709088274</v>
      </c>
      <c r="Q95" s="311">
        <f t="shared" si="44"/>
        <v>1.6768548189714871</v>
      </c>
      <c r="R95" s="311">
        <f t="shared" si="53"/>
        <v>1.5972397857509646</v>
      </c>
      <c r="S95" s="311">
        <f t="shared" si="54"/>
        <v>1.5634934236882314</v>
      </c>
      <c r="T95" s="311">
        <f t="shared" si="59"/>
        <v>1.6768315059683032</v>
      </c>
      <c r="U95" s="311">
        <f t="shared" si="55"/>
        <v>1.6768548189714871</v>
      </c>
      <c r="V95" s="311">
        <f t="shared" si="56"/>
        <v>0.89649036805196047</v>
      </c>
      <c r="W95" s="311">
        <f t="shared" si="57"/>
        <v>0.90009914473104047</v>
      </c>
      <c r="X95" s="311">
        <f t="shared" si="58"/>
        <v>0.90150343059858629</v>
      </c>
    </row>
    <row r="96" spans="1:24">
      <c r="A96" s="312">
        <f t="shared" si="61"/>
        <v>105</v>
      </c>
      <c r="B96" s="311">
        <f t="shared" si="39"/>
        <v>0.59193909336550965</v>
      </c>
      <c r="C96" s="311">
        <f t="shared" si="45"/>
        <v>0.5584373660036126</v>
      </c>
      <c r="D96" s="311">
        <f t="shared" si="51"/>
        <v>0.54160687757970616</v>
      </c>
      <c r="E96" s="313">
        <f t="shared" si="46"/>
        <v>618.74867788681024</v>
      </c>
      <c r="F96" s="313">
        <f t="shared" si="46"/>
        <v>678.81984571953535</v>
      </c>
      <c r="G96" s="313">
        <f t="shared" si="60"/>
        <v>699.91424098710513</v>
      </c>
      <c r="H96" s="349">
        <f t="shared" si="40"/>
        <v>2.0389304578722545</v>
      </c>
      <c r="I96" s="349">
        <f t="shared" si="47"/>
        <v>1.9649737866292347</v>
      </c>
      <c r="J96" s="311">
        <f t="shared" si="52"/>
        <v>1.9358908829162129</v>
      </c>
      <c r="K96" s="311">
        <f t="shared" si="41"/>
        <v>1.1954954242331068E-5</v>
      </c>
      <c r="L96" s="311">
        <f t="shared" si="48"/>
        <v>2.0389167423936461</v>
      </c>
      <c r="M96" s="311">
        <f t="shared" si="42"/>
        <v>3.4214741040778769E-21</v>
      </c>
      <c r="N96" s="311">
        <f t="shared" si="49"/>
        <v>2.0389304578722545</v>
      </c>
      <c r="O96" s="311">
        <f t="shared" si="43"/>
        <v>5.8606823799679948E-39</v>
      </c>
      <c r="P96" s="311">
        <f t="shared" si="50"/>
        <v>2.0389304578722545</v>
      </c>
      <c r="Q96" s="311">
        <f t="shared" si="44"/>
        <v>1.5378097477242283</v>
      </c>
      <c r="R96" s="311">
        <f t="shared" si="53"/>
        <v>1.4595475470535104</v>
      </c>
      <c r="S96" s="311">
        <f t="shared" si="54"/>
        <v>1.4256807217541574</v>
      </c>
      <c r="T96" s="311">
        <f t="shared" si="59"/>
        <v>1.5378034001373977</v>
      </c>
      <c r="U96" s="311">
        <f t="shared" si="55"/>
        <v>1.5378097477242283</v>
      </c>
      <c r="V96" s="311">
        <f t="shared" si="56"/>
        <v>0.9029080734346544</v>
      </c>
      <c r="W96" s="311">
        <f t="shared" si="57"/>
        <v>0.90642981968432201</v>
      </c>
      <c r="X96" s="311">
        <f t="shared" si="58"/>
        <v>0.9078147198611326</v>
      </c>
    </row>
    <row r="97" spans="1:24">
      <c r="A97" s="312">
        <f t="shared" si="61"/>
        <v>106</v>
      </c>
      <c r="B97" s="311">
        <f t="shared" si="39"/>
        <v>0.55468892416800297</v>
      </c>
      <c r="C97" s="311">
        <f t="shared" si="45"/>
        <v>0.51952990225951134</v>
      </c>
      <c r="D97" s="311">
        <f t="shared" si="51"/>
        <v>0.50196432812526581</v>
      </c>
      <c r="E97" s="313">
        <f t="shared" si="46"/>
        <v>330.03727820792534</v>
      </c>
      <c r="F97" s="313">
        <f t="shared" si="46"/>
        <v>366.26153140942625</v>
      </c>
      <c r="G97" s="313">
        <f t="shared" si="60"/>
        <v>379.07836663459602</v>
      </c>
      <c r="H97" s="349">
        <f t="shared" si="40"/>
        <v>1.9145784205443594</v>
      </c>
      <c r="I97" s="349">
        <f t="shared" si="47"/>
        <v>1.8428872040932671</v>
      </c>
      <c r="J97" s="311">
        <f t="shared" si="52"/>
        <v>1.8143887526934253</v>
      </c>
      <c r="K97" s="311">
        <f t="shared" si="41"/>
        <v>3.1156935582999176E-6</v>
      </c>
      <c r="L97" s="311">
        <f t="shared" si="48"/>
        <v>1.9145749549109121</v>
      </c>
      <c r="M97" s="311">
        <f t="shared" si="42"/>
        <v>1.1200561214983079E-23</v>
      </c>
      <c r="N97" s="311">
        <f t="shared" si="49"/>
        <v>1.9145784205443594</v>
      </c>
      <c r="O97" s="311">
        <f t="shared" si="43"/>
        <v>0</v>
      </c>
      <c r="P97" s="311">
        <f t="shared" si="50"/>
        <v>1.9145784205443594</v>
      </c>
      <c r="Q97" s="311">
        <f t="shared" si="44"/>
        <v>1.4086545681675222</v>
      </c>
      <c r="R97" s="311">
        <f t="shared" si="53"/>
        <v>1.3321241398188639</v>
      </c>
      <c r="S97" s="311">
        <f t="shared" si="54"/>
        <v>1.2982487863106154</v>
      </c>
      <c r="T97" s="311">
        <f t="shared" si="59"/>
        <v>1.4086530822145216</v>
      </c>
      <c r="U97" s="311">
        <f t="shared" si="55"/>
        <v>1.4086545681675222</v>
      </c>
      <c r="V97" s="311">
        <f t="shared" si="56"/>
        <v>0.90882959902169702</v>
      </c>
      <c r="W97" s="311">
        <f t="shared" si="57"/>
        <v>0.91224346647174914</v>
      </c>
      <c r="X97" s="311">
        <f t="shared" si="58"/>
        <v>0.91360053558602727</v>
      </c>
    </row>
    <row r="98" spans="1:24">
      <c r="A98" s="312">
        <f t="shared" si="61"/>
        <v>107</v>
      </c>
      <c r="B98" s="311">
        <f t="shared" si="39"/>
        <v>0.51561049864854969</v>
      </c>
      <c r="C98" s="311">
        <f t="shared" si="45"/>
        <v>0.47902425253952563</v>
      </c>
      <c r="D98" s="311">
        <f t="shared" si="51"/>
        <v>0.46085906766840012</v>
      </c>
      <c r="E98" s="313">
        <f t="shared" si="46"/>
        <v>162.84618834597276</v>
      </c>
      <c r="F98" s="313">
        <f t="shared" si="46"/>
        <v>183.06802278449001</v>
      </c>
      <c r="G98" s="313">
        <f t="shared" si="60"/>
        <v>190.28381761455816</v>
      </c>
      <c r="H98" s="349">
        <f t="shared" si="40"/>
        <v>1.8002517232575608</v>
      </c>
      <c r="I98" s="349">
        <f t="shared" si="47"/>
        <v>1.7312538609130796</v>
      </c>
      <c r="J98" s="311">
        <f t="shared" si="52"/>
        <v>1.7035238211483095</v>
      </c>
      <c r="K98" s="311">
        <f t="shared" si="41"/>
        <v>6.8730008885322113E-7</v>
      </c>
      <c r="L98" s="311">
        <f t="shared" si="48"/>
        <v>1.8002509785802052</v>
      </c>
      <c r="M98" s="311">
        <f t="shared" si="42"/>
        <v>1.8035558683317128E-26</v>
      </c>
      <c r="N98" s="311">
        <f t="shared" si="49"/>
        <v>1.8002517232575608</v>
      </c>
      <c r="O98" s="311">
        <f t="shared" si="43"/>
        <v>0</v>
      </c>
      <c r="P98" s="311">
        <f t="shared" si="50"/>
        <v>1.8002517232575608</v>
      </c>
      <c r="Q98" s="311">
        <f t="shared" si="44"/>
        <v>1.28892913901554</v>
      </c>
      <c r="R98" s="311">
        <f t="shared" si="53"/>
        <v>1.2144922056773613</v>
      </c>
      <c r="S98" s="311">
        <f t="shared" si="54"/>
        <v>1.1807187536973718</v>
      </c>
      <c r="T98" s="311">
        <f t="shared" si="59"/>
        <v>1.288928845785801</v>
      </c>
      <c r="U98" s="311">
        <f t="shared" si="55"/>
        <v>1.28892913901554</v>
      </c>
      <c r="V98" s="311">
        <f t="shared" si="56"/>
        <v>0.91427372746392555</v>
      </c>
      <c r="W98" s="311">
        <f t="shared" si="57"/>
        <v>0.91755933995651995</v>
      </c>
      <c r="X98" s="311">
        <f t="shared" si="58"/>
        <v>0.91887981804055663</v>
      </c>
    </row>
    <row r="99" spans="1:24">
      <c r="A99" s="312">
        <f t="shared" si="61"/>
        <v>108</v>
      </c>
      <c r="B99" s="311">
        <f t="shared" si="39"/>
        <v>0.47496298923003577</v>
      </c>
      <c r="C99" s="311">
        <f t="shared" si="45"/>
        <v>0.4372532809329478</v>
      </c>
      <c r="D99" s="311">
        <f t="shared" si="51"/>
        <v>0.4186609296108405</v>
      </c>
      <c r="E99" s="313">
        <f t="shared" si="46"/>
        <v>73.614379651022418</v>
      </c>
      <c r="F99" s="313">
        <f t="shared" si="46"/>
        <v>83.965204376082653</v>
      </c>
      <c r="G99" s="313">
        <f t="shared" si="60"/>
        <v>87.694022778229169</v>
      </c>
      <c r="H99" s="349">
        <f t="shared" si="40"/>
        <v>1.6955436121970553</v>
      </c>
      <c r="I99" s="349">
        <f t="shared" si="47"/>
        <v>1.6296493411651414</v>
      </c>
      <c r="J99" s="311">
        <f t="shared" si="52"/>
        <v>1.6028761589589435</v>
      </c>
      <c r="K99" s="311">
        <f t="shared" si="41"/>
        <v>1.2570235958923985E-7</v>
      </c>
      <c r="L99" s="311">
        <f t="shared" si="48"/>
        <v>1.6955434789234654</v>
      </c>
      <c r="M99" s="311">
        <f t="shared" si="42"/>
        <v>1.3081988198746697E-29</v>
      </c>
      <c r="N99" s="311">
        <f t="shared" si="49"/>
        <v>1.6955436121970553</v>
      </c>
      <c r="O99" s="311">
        <f t="shared" si="43"/>
        <v>0</v>
      </c>
      <c r="P99" s="311">
        <f t="shared" si="50"/>
        <v>1.6955436121970553</v>
      </c>
      <c r="Q99" s="311">
        <f t="shared" si="44"/>
        <v>1.1781528533385681</v>
      </c>
      <c r="R99" s="311">
        <f t="shared" si="53"/>
        <v>1.1061452696889047</v>
      </c>
      <c r="S99" s="311">
        <f t="shared" si="54"/>
        <v>1.07257951790743</v>
      </c>
      <c r="T99" s="311">
        <f t="shared" si="59"/>
        <v>1.1781528056625326</v>
      </c>
      <c r="U99" s="311">
        <f t="shared" si="55"/>
        <v>1.1781528533385681</v>
      </c>
      <c r="V99" s="311">
        <f t="shared" si="56"/>
        <v>0.91925982799061634</v>
      </c>
      <c r="W99" s="311">
        <f t="shared" si="57"/>
        <v>0.92239765042070743</v>
      </c>
      <c r="X99" s="311">
        <f t="shared" si="58"/>
        <v>0.92367256385909779</v>
      </c>
    </row>
    <row r="100" spans="1:24">
      <c r="A100" s="312">
        <f t="shared" si="61"/>
        <v>109</v>
      </c>
      <c r="B100" s="311">
        <f t="shared" si="39"/>
        <v>0.43308755166628793</v>
      </c>
      <c r="C100" s="311">
        <f t="shared" si="45"/>
        <v>0.39463465760844535</v>
      </c>
      <c r="D100" s="311">
        <f t="shared" si="51"/>
        <v>0.37582461629525421</v>
      </c>
      <c r="E100" s="313">
        <f t="shared" si="46"/>
        <v>30.157998162245452</v>
      </c>
      <c r="F100" s="313">
        <f t="shared" si="46"/>
        <v>34.964105809364327</v>
      </c>
      <c r="G100" s="313">
        <f t="shared" si="60"/>
        <v>36.714061097647644</v>
      </c>
      <c r="H100" s="349">
        <f t="shared" si="40"/>
        <v>1.6000433726745631</v>
      </c>
      <c r="I100" s="349">
        <f t="shared" si="47"/>
        <v>1.5376372672549365</v>
      </c>
      <c r="J100" s="311">
        <f t="shared" si="52"/>
        <v>1.5120110861438731</v>
      </c>
      <c r="K100" s="311">
        <f t="shared" si="41"/>
        <v>1.8623139295750602E-8</v>
      </c>
      <c r="L100" s="311">
        <f t="shared" si="48"/>
        <v>1.600043353269462</v>
      </c>
      <c r="M100" s="311">
        <f t="shared" si="42"/>
        <v>3.8719111345637195E-33</v>
      </c>
      <c r="N100" s="311">
        <f t="shared" si="49"/>
        <v>1.6000433726745631</v>
      </c>
      <c r="O100" s="311">
        <f t="shared" si="43"/>
        <v>0</v>
      </c>
      <c r="P100" s="311">
        <f t="shared" si="50"/>
        <v>1.6000433726745631</v>
      </c>
      <c r="Q100" s="311">
        <f t="shared" si="44"/>
        <v>1.0758319855471676</v>
      </c>
      <c r="R100" s="311">
        <f t="shared" si="53"/>
        <v>1.0065547199243574</v>
      </c>
      <c r="S100" s="311">
        <f t="shared" si="54"/>
        <v>0.97329391636531226</v>
      </c>
      <c r="T100" s="311">
        <f t="shared" si="59"/>
        <v>1.075831979328298</v>
      </c>
      <c r="U100" s="311">
        <f t="shared" si="55"/>
        <v>1.0758319855471676</v>
      </c>
      <c r="V100" s="311">
        <f t="shared" si="56"/>
        <v>0.92380745844406831</v>
      </c>
      <c r="W100" s="311">
        <f t="shared" si="57"/>
        <v>0.92677917774976482</v>
      </c>
      <c r="X100" s="311">
        <f t="shared" si="58"/>
        <v>0.92799947208838696</v>
      </c>
    </row>
    <row r="101" spans="1:24">
      <c r="A101" s="312">
        <f t="shared" si="61"/>
        <v>110</v>
      </c>
      <c r="B101" s="311">
        <f t="shared" si="39"/>
        <v>0.39041024711625327</v>
      </c>
      <c r="C101" s="311">
        <f t="shared" si="45"/>
        <v>0.3516694770864226</v>
      </c>
      <c r="D101" s="311">
        <f t="shared" si="51"/>
        <v>0.33288577560404881</v>
      </c>
      <c r="E101" s="313">
        <f t="shared" si="46"/>
        <v>11.061060139321249</v>
      </c>
      <c r="F101" s="313">
        <f t="shared" si="46"/>
        <v>13.061053587243293</v>
      </c>
      <c r="G101" s="313">
        <f t="shared" si="60"/>
        <v>13.798047924663946</v>
      </c>
      <c r="H101" s="349">
        <f t="shared" si="40"/>
        <v>1.5133434543117645</v>
      </c>
      <c r="I101" s="349">
        <f t="shared" si="47"/>
        <v>1.4547763815519863</v>
      </c>
      <c r="J101" s="311">
        <f t="shared" si="52"/>
        <v>1.4304854369323958</v>
      </c>
      <c r="K101" s="311">
        <f t="shared" si="41"/>
        <v>2.1773604326908132E-9</v>
      </c>
      <c r="L101" s="311">
        <f t="shared" si="48"/>
        <v>1.5133434520731437</v>
      </c>
      <c r="M101" s="311">
        <f t="shared" si="42"/>
        <v>4.184197841628248E-37</v>
      </c>
      <c r="N101" s="311">
        <f t="shared" si="49"/>
        <v>1.5133434543117645</v>
      </c>
      <c r="O101" s="311">
        <f t="shared" si="43"/>
        <v>0</v>
      </c>
      <c r="P101" s="311">
        <f t="shared" si="50"/>
        <v>1.5133434543117645</v>
      </c>
      <c r="Q101" s="311">
        <f t="shared" si="44"/>
        <v>0.98146568101011611</v>
      </c>
      <c r="R101" s="311">
        <f t="shared" si="53"/>
        <v>0.91517562736112623</v>
      </c>
      <c r="S101" s="311">
        <f t="shared" si="54"/>
        <v>0.88230359286463389</v>
      </c>
      <c r="T101" s="311">
        <f t="shared" si="59"/>
        <v>0.98146568037951742</v>
      </c>
      <c r="U101" s="311">
        <f t="shared" si="55"/>
        <v>0.98146568101011611</v>
      </c>
      <c r="V101" s="311">
        <f t="shared" si="56"/>
        <v>0.92793602598515401</v>
      </c>
      <c r="W101" s="311">
        <f t="shared" si="57"/>
        <v>0.93072493421181013</v>
      </c>
      <c r="X101" s="311">
        <f t="shared" si="58"/>
        <v>0.93188164586036204</v>
      </c>
    </row>
    <row r="102" spans="1:24">
      <c r="A102" s="312">
        <f t="shared" si="61"/>
        <v>111</v>
      </c>
      <c r="B102" s="311">
        <f t="shared" si="39"/>
        <v>0.34744011347290338</v>
      </c>
      <c r="C102" s="311">
        <f t="shared" si="45"/>
        <v>0.3089346491945279</v>
      </c>
      <c r="D102" s="311">
        <f t="shared" si="51"/>
        <v>0.29045021009772864</v>
      </c>
      <c r="E102" s="313">
        <f t="shared" si="46"/>
        <v>3.5825126328898955</v>
      </c>
      <c r="F102" s="313">
        <f t="shared" si="46"/>
        <v>4.3183512223601479</v>
      </c>
      <c r="G102" s="313">
        <f t="shared" si="60"/>
        <v>4.5931738852235933</v>
      </c>
      <c r="H102" s="349">
        <f t="shared" si="40"/>
        <v>1.4350449954235922</v>
      </c>
      <c r="I102" s="349">
        <f t="shared" si="47"/>
        <v>1.3806262284577038</v>
      </c>
      <c r="J102" s="311">
        <f t="shared" si="52"/>
        <v>1.3578522781840308</v>
      </c>
      <c r="K102" s="311">
        <f t="shared" si="41"/>
        <v>1.9508530791459981E-10</v>
      </c>
      <c r="L102" s="311">
        <f t="shared" si="48"/>
        <v>1.4350449952249926</v>
      </c>
      <c r="M102" s="311">
        <f t="shared" si="42"/>
        <v>0</v>
      </c>
      <c r="N102" s="311">
        <f t="shared" si="49"/>
        <v>1.4350449954235922</v>
      </c>
      <c r="O102" s="311">
        <f t="shared" si="43"/>
        <v>0</v>
      </c>
      <c r="P102" s="311">
        <f t="shared" si="50"/>
        <v>1.4350449954235922</v>
      </c>
      <c r="Q102" s="311">
        <f t="shared" si="44"/>
        <v>0.89455020406208363</v>
      </c>
      <c r="R102" s="311">
        <f t="shared" si="53"/>
        <v>0.83145100975588793</v>
      </c>
      <c r="S102" s="311">
        <f t="shared" si="54"/>
        <v>0.79903214021520685</v>
      </c>
      <c r="T102" s="311">
        <f t="shared" si="59"/>
        <v>0.89455020406208363</v>
      </c>
      <c r="U102" s="311">
        <f t="shared" si="55"/>
        <v>0.89455020406208363</v>
      </c>
      <c r="V102" s="311">
        <f t="shared" si="56"/>
        <v>0.93166452402744793</v>
      </c>
      <c r="W102" s="311">
        <f t="shared" si="57"/>
        <v>0.93425589388296637</v>
      </c>
      <c r="X102" s="311">
        <f t="shared" si="58"/>
        <v>0.93534036770552231</v>
      </c>
    </row>
    <row r="103" spans="1:24">
      <c r="A103" s="312">
        <f t="shared" si="61"/>
        <v>112</v>
      </c>
      <c r="B103" s="311">
        <f t="shared" si="39"/>
        <v>0.30476086201804709</v>
      </c>
      <c r="C103" s="311">
        <f t="shared" si="45"/>
        <v>0.26706767517337104</v>
      </c>
      <c r="D103" s="311">
        <f t="shared" si="51"/>
        <v>0.24917498035243041</v>
      </c>
      <c r="E103" s="313">
        <f t="shared" si="46"/>
        <v>1.0089718183553706</v>
      </c>
      <c r="F103" s="313">
        <f t="shared" si="46"/>
        <v>1.2447085956893751</v>
      </c>
      <c r="G103" s="313">
        <f t="shared" si="60"/>
        <v>1.3340883199785931</v>
      </c>
      <c r="H103" s="349">
        <f t="shared" si="40"/>
        <v>1.3647613902819422</v>
      </c>
      <c r="I103" s="349">
        <f t="shared" si="47"/>
        <v>1.3147510246550653</v>
      </c>
      <c r="J103" s="311">
        <f t="shared" si="52"/>
        <v>1.2936636952915417</v>
      </c>
      <c r="K103" s="311">
        <f t="shared" si="41"/>
        <v>1.2959948795634505E-11</v>
      </c>
      <c r="L103" s="311">
        <f t="shared" si="48"/>
        <v>1.3647613902688405</v>
      </c>
      <c r="M103" s="311">
        <f t="shared" si="42"/>
        <v>0</v>
      </c>
      <c r="N103" s="311">
        <f t="shared" si="49"/>
        <v>1.3647613902819422</v>
      </c>
      <c r="O103" s="311">
        <f t="shared" si="43"/>
        <v>0</v>
      </c>
      <c r="P103" s="311">
        <f t="shared" si="50"/>
        <v>1.3647613902819422</v>
      </c>
      <c r="Q103" s="311">
        <f t="shared" si="44"/>
        <v>0.8145810706211507</v>
      </c>
      <c r="R103" s="311">
        <f t="shared" si="53"/>
        <v>0.75481410784293512</v>
      </c>
      <c r="S103" s="311">
        <f t="shared" si="54"/>
        <v>0.7228861149779241</v>
      </c>
      <c r="T103" s="311">
        <f t="shared" si="59"/>
        <v>0.8145810706211507</v>
      </c>
      <c r="U103" s="311">
        <f t="shared" si="55"/>
        <v>0.8145810706211507</v>
      </c>
      <c r="V103" s="311">
        <f t="shared" si="56"/>
        <v>0.93501136236752647</v>
      </c>
      <c r="W103" s="311">
        <f t="shared" si="57"/>
        <v>0.93739280834975869</v>
      </c>
      <c r="X103" s="311">
        <f t="shared" si="58"/>
        <v>0.93839696689087893</v>
      </c>
    </row>
    <row r="104" spans="1:24">
      <c r="A104" s="312">
        <f t="shared" si="61"/>
        <v>113</v>
      </c>
      <c r="B104" s="311">
        <f t="shared" si="39"/>
        <v>0.26301484020555416</v>
      </c>
      <c r="C104" s="311">
        <f t="shared" si="45"/>
        <v>0.22674285729325083</v>
      </c>
      <c r="D104" s="311">
        <f t="shared" si="51"/>
        <v>0.20974075640169373</v>
      </c>
      <c r="E104" s="313">
        <f t="shared" si="46"/>
        <v>0.24285324514806983</v>
      </c>
      <c r="F104" s="313">
        <f t="shared" si="46"/>
        <v>0.30749512111389915</v>
      </c>
      <c r="G104" s="313">
        <f t="shared" si="60"/>
        <v>0.33242143091907284</v>
      </c>
      <c r="H104" s="349">
        <f t="shared" si="40"/>
        <v>1.3021195640498489</v>
      </c>
      <c r="I104" s="349">
        <f t="shared" si="47"/>
        <v>1.2567212773317302</v>
      </c>
      <c r="J104" s="311">
        <f t="shared" si="52"/>
        <v>1.2374712726775223</v>
      </c>
      <c r="K104" s="311">
        <f t="shared" si="41"/>
        <v>6.1511592304143803E-13</v>
      </c>
      <c r="L104" s="311">
        <f t="shared" si="48"/>
        <v>1.3021195640492298</v>
      </c>
      <c r="M104" s="311">
        <f t="shared" si="42"/>
        <v>0</v>
      </c>
      <c r="N104" s="311">
        <f t="shared" si="49"/>
        <v>1.3021195640498489</v>
      </c>
      <c r="O104" s="311">
        <f t="shared" si="43"/>
        <v>0</v>
      </c>
      <c r="P104" s="311">
        <f t="shared" si="50"/>
        <v>1.3021195640498489</v>
      </c>
      <c r="Q104" s="311">
        <f t="shared" si="44"/>
        <v>0.74105271058066335</v>
      </c>
      <c r="R104" s="311">
        <f t="shared" si="53"/>
        <v>0.68468821184360673</v>
      </c>
      <c r="S104" s="311">
        <f t="shared" si="54"/>
        <v>0.65325352716835661</v>
      </c>
      <c r="T104" s="311">
        <f t="shared" si="59"/>
        <v>0.74105271058066335</v>
      </c>
      <c r="U104" s="311">
        <f t="shared" si="55"/>
        <v>0.74105271058066335</v>
      </c>
      <c r="V104" s="311">
        <f t="shared" si="56"/>
        <v>0.93799430647381665</v>
      </c>
      <c r="W104" s="311">
        <f t="shared" si="57"/>
        <v>0.94015612965086992</v>
      </c>
      <c r="X104" s="311">
        <f t="shared" si="58"/>
        <v>0.94107279653916553</v>
      </c>
    </row>
    <row r="105" spans="1:24">
      <c r="A105" s="312">
        <f t="shared" si="61"/>
        <v>114</v>
      </c>
      <c r="B105" s="311">
        <f t="shared" ref="B105:B121" si="62">EXP(sel*(A/LN(sel)*(1-sel)-B*cc^x*(cc-sel)/LN(cc/sel)))</f>
        <v>0.22287837123023016</v>
      </c>
      <c r="C105" s="311">
        <f t="shared" si="45"/>
        <v>0.18863880133570843</v>
      </c>
      <c r="D105" s="311">
        <f t="shared" si="51"/>
        <v>0.17281576109589539</v>
      </c>
      <c r="E105" s="313">
        <f t="shared" si="46"/>
        <v>4.8991673898266266E-2</v>
      </c>
      <c r="F105" s="313">
        <f t="shared" si="46"/>
        <v>6.3874007466019858E-2</v>
      </c>
      <c r="G105" s="313">
        <f t="shared" si="60"/>
        <v>6.9722322365099718E-2</v>
      </c>
      <c r="H105" s="349">
        <f t="shared" ref="H105:H121" si="63">1+v*B105*I106</f>
        <v>1.2467586530890198</v>
      </c>
      <c r="I105" s="349">
        <f t="shared" si="47"/>
        <v>1.2061127121360138</v>
      </c>
      <c r="J105" s="311">
        <f t="shared" si="52"/>
        <v>1.1888239586294582</v>
      </c>
      <c r="K105" s="311">
        <f t="shared" ref="K105:K111" si="64">v^10*G115/E105</f>
        <v>2.0006840506499882E-14</v>
      </c>
      <c r="L105" s="311">
        <f t="shared" si="48"/>
        <v>1.2467586530889998</v>
      </c>
      <c r="M105" s="311">
        <f t="shared" ref="M105:M111" si="65">v^20*G125/E105</f>
        <v>0</v>
      </c>
      <c r="N105" s="311">
        <f t="shared" si="49"/>
        <v>1.2467586530890198</v>
      </c>
      <c r="O105" s="311">
        <f t="shared" ref="O105:O111" si="66">G130/E105*v^25</f>
        <v>0</v>
      </c>
      <c r="P105" s="311">
        <f t="shared" si="50"/>
        <v>1.2467586530890198</v>
      </c>
      <c r="Q105" s="311">
        <f t="shared" ref="Q105:Q111" si="67">H105-(m-1)/(2*m)-(m^2-1)/(12*m^2)*(delta+sel^2*(A+B*cc^x))</f>
        <v>0.67345533561919946</v>
      </c>
      <c r="R105" s="311">
        <f t="shared" si="53"/>
        <v>0.62048357553607381</v>
      </c>
      <c r="S105" s="311">
        <f t="shared" si="54"/>
        <v>0.58949946744049642</v>
      </c>
      <c r="T105" s="311">
        <f t="shared" si="59"/>
        <v>0.67345533561919946</v>
      </c>
      <c r="U105" s="311">
        <f t="shared" si="55"/>
        <v>0.67345533561919946</v>
      </c>
      <c r="V105" s="311">
        <f t="shared" si="56"/>
        <v>0.94063054032909421</v>
      </c>
      <c r="W105" s="311">
        <f t="shared" si="57"/>
        <v>0.94256606132685639</v>
      </c>
      <c r="X105" s="311">
        <f t="shared" si="58"/>
        <v>0.94338933530335911</v>
      </c>
    </row>
    <row r="106" spans="1:24">
      <c r="A106" s="312">
        <f t="shared" si="61"/>
        <v>115</v>
      </c>
      <c r="B106" s="311">
        <f t="shared" si="62"/>
        <v>0.18502843195162075</v>
      </c>
      <c r="C106" s="311">
        <f t="shared" ref="C106:C121" si="68">EXP(A/LN(sel)*(1-sel)-B*cc^x*(cc-sel)/LN(cc/sel))</f>
        <v>0.15339829071708122</v>
      </c>
      <c r="D106" s="311">
        <f t="shared" si="51"/>
        <v>0.13901303690029859</v>
      </c>
      <c r="E106" s="313">
        <f t="shared" si="46"/>
        <v>8.1041040882805487E-3</v>
      </c>
      <c r="F106" s="313">
        <f t="shared" si="46"/>
        <v>1.0919184482288166E-2</v>
      </c>
      <c r="G106" s="313">
        <f t="shared" si="60"/>
        <v>1.2049116204898076E-2</v>
      </c>
      <c r="H106" s="349">
        <f t="shared" si="63"/>
        <v>1.1983258429693333</v>
      </c>
      <c r="I106" s="349">
        <f t="shared" ref="I106:I121" si="69">1+v*C106*J107</f>
        <v>1.1625021499992376</v>
      </c>
      <c r="J106" s="311">
        <f t="shared" si="52"/>
        <v>1.1472631622466081</v>
      </c>
      <c r="K106" s="311">
        <f t="shared" si="64"/>
        <v>4.2551563429800284E-16</v>
      </c>
      <c r="L106" s="311">
        <f t="shared" si="48"/>
        <v>1.1983258429693329</v>
      </c>
      <c r="M106" s="311">
        <f t="shared" si="65"/>
        <v>0</v>
      </c>
      <c r="N106" s="311">
        <f t="shared" si="49"/>
        <v>1.1983258429693333</v>
      </c>
      <c r="O106" s="311">
        <f t="shared" si="66"/>
        <v>0</v>
      </c>
      <c r="P106" s="311">
        <f t="shared" si="50"/>
        <v>1.1983258429693333</v>
      </c>
      <c r="Q106" s="311">
        <f t="shared" si="67"/>
        <v>0.6112687399627994</v>
      </c>
      <c r="R106" s="311">
        <f t="shared" si="53"/>
        <v>0.56159102946961592</v>
      </c>
      <c r="S106" s="311">
        <f t="shared" si="54"/>
        <v>0.53095868891355547</v>
      </c>
      <c r="T106" s="311">
        <f t="shared" si="59"/>
        <v>0.6112687399627994</v>
      </c>
      <c r="U106" s="311">
        <f t="shared" si="55"/>
        <v>0.6112687399627994</v>
      </c>
      <c r="V106" s="311">
        <f t="shared" si="56"/>
        <v>0.94293686462050785</v>
      </c>
      <c r="W106" s="311">
        <f t="shared" si="57"/>
        <v>0.94464275476194104</v>
      </c>
      <c r="X106" s="311">
        <f t="shared" si="58"/>
        <v>0.94536842084539952</v>
      </c>
    </row>
    <row r="107" spans="1:24">
      <c r="A107" s="312">
        <f t="shared" si="61"/>
        <v>116</v>
      </c>
      <c r="B107" s="311">
        <f t="shared" si="62"/>
        <v>0.15010188932751936</v>
      </c>
      <c r="C107" s="311">
        <f t="shared" si="68"/>
        <v>0.12158318323556651</v>
      </c>
      <c r="D107" s="311">
        <f t="shared" ref="D107:D121" si="70">EXP(-(A+B/LN(cc)*cc^x*(cc-1)))</f>
        <v>0.10884444381859706</v>
      </c>
      <c r="E107" s="313">
        <f t="shared" si="46"/>
        <v>1.0725161707597082E-3</v>
      </c>
      <c r="F107" s="313">
        <f t="shared" si="46"/>
        <v>1.4994896718272691E-3</v>
      </c>
      <c r="G107" s="313">
        <f t="shared" si="60"/>
        <v>1.6749842356074821E-3</v>
      </c>
      <c r="H107" s="349">
        <f t="shared" si="63"/>
        <v>1.1564692191080967</v>
      </c>
      <c r="I107" s="349">
        <f t="shared" si="69"/>
        <v>1.1254601950701766</v>
      </c>
      <c r="J107" s="311">
        <f t="shared" ref="J107:J121" si="71">1+v*D107*J108</f>
        <v>1.1123152461580839</v>
      </c>
      <c r="K107" s="311">
        <f t="shared" si="64"/>
        <v>5.6142522612583756E-18</v>
      </c>
      <c r="L107" s="311">
        <f t="shared" si="48"/>
        <v>1.1564692191080967</v>
      </c>
      <c r="M107" s="311">
        <f t="shared" si="65"/>
        <v>0</v>
      </c>
      <c r="N107" s="311">
        <f t="shared" si="49"/>
        <v>1.1564692191080967</v>
      </c>
      <c r="O107" s="311">
        <f t="shared" si="66"/>
        <v>0</v>
      </c>
      <c r="P107" s="311">
        <f t="shared" si="50"/>
        <v>1.1564692191080967</v>
      </c>
      <c r="Q107" s="311">
        <f t="shared" si="67"/>
        <v>0.55395286115829689</v>
      </c>
      <c r="R107" s="311">
        <f t="shared" si="53"/>
        <v>0.5073721246035926</v>
      </c>
      <c r="S107" s="311">
        <f t="shared" si="54"/>
        <v>0.47692527289507319</v>
      </c>
      <c r="T107" s="311">
        <f t="shared" si="59"/>
        <v>0.55395286115829689</v>
      </c>
      <c r="U107" s="311">
        <f t="shared" si="55"/>
        <v>0.55395286115829689</v>
      </c>
      <c r="V107" s="311">
        <f t="shared" si="56"/>
        <v>0.94493003718532864</v>
      </c>
      <c r="W107" s="311">
        <f t="shared" si="57"/>
        <v>0.94640665737761054</v>
      </c>
      <c r="X107" s="311">
        <f t="shared" si="58"/>
        <v>0.94703260732580552</v>
      </c>
    </row>
    <row r="108" spans="1:24">
      <c r="A108" s="312">
        <f t="shared" si="61"/>
        <v>117</v>
      </c>
      <c r="B108" s="311">
        <f t="shared" si="62"/>
        <v>0.11865011478707933</v>
      </c>
      <c r="C108" s="311">
        <f t="shared" si="68"/>
        <v>9.362871644242067E-2</v>
      </c>
      <c r="D108" s="311">
        <f t="shared" si="70"/>
        <v>8.2676501105341887E-2</v>
      </c>
      <c r="E108" s="313">
        <f t="shared" si="46"/>
        <v>1.1046003868548241E-4</v>
      </c>
      <c r="F108" s="313">
        <f t="shared" si="46"/>
        <v>1.6098670356534857E-4</v>
      </c>
      <c r="G108" s="313">
        <f t="shared" si="60"/>
        <v>1.8231272752961434E-4</v>
      </c>
      <c r="H108" s="349">
        <f t="shared" si="63"/>
        <v>1.1208276912092692</v>
      </c>
      <c r="I108" s="349">
        <f t="shared" si="69"/>
        <v>1.0945410534108482</v>
      </c>
      <c r="J108" s="311">
        <f t="shared" si="71"/>
        <v>1.0834821174936113</v>
      </c>
      <c r="K108" s="311">
        <f t="shared" si="64"/>
        <v>4.3310679491808091E-20</v>
      </c>
      <c r="L108" s="311">
        <f t="shared" si="48"/>
        <v>1.1208276912092692</v>
      </c>
      <c r="M108" s="311">
        <f t="shared" si="65"/>
        <v>0</v>
      </c>
      <c r="N108" s="311">
        <f t="shared" si="49"/>
        <v>1.1208276912092692</v>
      </c>
      <c r="O108" s="311">
        <f t="shared" si="66"/>
        <v>0</v>
      </c>
      <c r="P108" s="311">
        <f t="shared" si="50"/>
        <v>1.1208276912092692</v>
      </c>
      <c r="Q108" s="311">
        <f t="shared" si="67"/>
        <v>0.50093513070323825</v>
      </c>
      <c r="R108" s="311">
        <f t="shared" si="53"/>
        <v>0.45714609121511862</v>
      </c>
      <c r="S108" s="311">
        <f t="shared" si="54"/>
        <v>0.42664004230932784</v>
      </c>
      <c r="T108" s="311">
        <f t="shared" si="59"/>
        <v>0.50093513070323825</v>
      </c>
      <c r="U108" s="311">
        <f t="shared" si="55"/>
        <v>0.50093513070323825</v>
      </c>
      <c r="V108" s="311">
        <f t="shared" si="56"/>
        <v>0.94662725279955851</v>
      </c>
      <c r="W108" s="311">
        <f t="shared" si="57"/>
        <v>0.94787899745662618</v>
      </c>
      <c r="X108" s="311">
        <f t="shared" si="58"/>
        <v>0.94840561345268515</v>
      </c>
    </row>
    <row r="109" spans="1:24">
      <c r="A109" s="312">
        <f t="shared" si="61"/>
        <v>118</v>
      </c>
      <c r="B109" s="311">
        <f t="shared" si="62"/>
        <v>9.1093530685937951E-2</v>
      </c>
      <c r="C109" s="311">
        <f t="shared" si="68"/>
        <v>6.9803152838548974E-2</v>
      </c>
      <c r="D109" s="311">
        <f t="shared" si="70"/>
        <v>6.0694496838821117E-2</v>
      </c>
      <c r="E109" s="313">
        <f t="shared" si="46"/>
        <v>8.5823406195633523E-6</v>
      </c>
      <c r="F109" s="313">
        <f t="shared" si="46"/>
        <v>1.3106096269417711E-5</v>
      </c>
      <c r="G109" s="313">
        <f t="shared" si="60"/>
        <v>1.5072978419120053E-5</v>
      </c>
      <c r="H109" s="349">
        <f t="shared" si="63"/>
        <v>1.0910184550474413</v>
      </c>
      <c r="I109" s="349">
        <f t="shared" si="69"/>
        <v>1.0692705691638178</v>
      </c>
      <c r="J109" s="311">
        <f t="shared" si="71"/>
        <v>1.0602314103327266</v>
      </c>
      <c r="K109" s="311">
        <f t="shared" si="64"/>
        <v>1.8277788741451726E-22</v>
      </c>
      <c r="L109" s="311">
        <f t="shared" si="48"/>
        <v>1.0910184550474413</v>
      </c>
      <c r="M109" s="311">
        <f t="shared" si="65"/>
        <v>0</v>
      </c>
      <c r="N109" s="311">
        <f t="shared" si="49"/>
        <v>1.0910184550474413</v>
      </c>
      <c r="O109" s="311">
        <f t="shared" si="66"/>
        <v>0</v>
      </c>
      <c r="P109" s="311">
        <f t="shared" si="50"/>
        <v>1.0910184550474413</v>
      </c>
      <c r="Q109" s="311">
        <f t="shared" si="67"/>
        <v>0.45159504286820673</v>
      </c>
      <c r="R109" s="311">
        <f t="shared" si="53"/>
        <v>0.41017466066452868</v>
      </c>
      <c r="S109" s="311">
        <f t="shared" si="54"/>
        <v>0.3792771725889324</v>
      </c>
      <c r="T109" s="311">
        <f t="shared" si="59"/>
        <v>0.45159504286820673</v>
      </c>
      <c r="U109" s="311">
        <f t="shared" si="55"/>
        <v>0.45159504286820673</v>
      </c>
      <c r="V109" s="311">
        <f t="shared" si="56"/>
        <v>0.94804674023583613</v>
      </c>
      <c r="W109" s="311">
        <f t="shared" si="57"/>
        <v>0.94908235384934192</v>
      </c>
      <c r="X109" s="311">
        <f t="shared" si="58"/>
        <v>0.94951278998415578</v>
      </c>
    </row>
    <row r="110" spans="1:24">
      <c r="A110" s="312">
        <f t="shared" si="61"/>
        <v>119</v>
      </c>
      <c r="B110" s="311">
        <f t="shared" si="62"/>
        <v>6.7682144348675838E-2</v>
      </c>
      <c r="C110" s="311">
        <f t="shared" si="68"/>
        <v>5.017955304829657E-2</v>
      </c>
      <c r="D110" s="311">
        <f t="shared" si="70"/>
        <v>4.2881668792276589E-2</v>
      </c>
      <c r="E110" s="313">
        <f t="shared" si="46"/>
        <v>4.8576678895847229E-7</v>
      </c>
      <c r="F110" s="313">
        <f t="shared" si="46"/>
        <v>7.8179570858536591E-7</v>
      </c>
      <c r="G110" s="313">
        <f t="shared" si="60"/>
        <v>9.1484684101090099E-7</v>
      </c>
      <c r="H110" s="349">
        <f t="shared" si="63"/>
        <v>1.0666231619341797</v>
      </c>
      <c r="I110" s="349">
        <f t="shared" si="69"/>
        <v>1.0491346320663195</v>
      </c>
      <c r="J110" s="311">
        <f t="shared" si="71"/>
        <v>1.0419887163297445</v>
      </c>
      <c r="K110" s="311">
        <f t="shared" si="64"/>
        <v>3.915552602083845E-25</v>
      </c>
      <c r="L110" s="311">
        <f t="shared" si="48"/>
        <v>1.0666231619341797</v>
      </c>
      <c r="M110" s="311">
        <f t="shared" si="65"/>
        <v>0</v>
      </c>
      <c r="N110" s="311">
        <f t="shared" si="49"/>
        <v>1.0666231619341797</v>
      </c>
      <c r="O110" s="311">
        <f t="shared" si="66"/>
        <v>0</v>
      </c>
      <c r="P110" s="311">
        <f t="shared" si="50"/>
        <v>1.0666231619341797</v>
      </c>
      <c r="Q110" s="311">
        <f t="shared" si="67"/>
        <v>0.40524707247426417</v>
      </c>
      <c r="R110" s="311">
        <f t="shared" si="53"/>
        <v>0.36564685992182933</v>
      </c>
      <c r="S110" s="311">
        <f t="shared" si="54"/>
        <v>0.33393240786906031</v>
      </c>
      <c r="T110" s="311">
        <f t="shared" si="59"/>
        <v>0.40524707247426417</v>
      </c>
      <c r="U110" s="311">
        <f t="shared" si="55"/>
        <v>0.40524707247426417</v>
      </c>
      <c r="V110" s="311">
        <f t="shared" si="56"/>
        <v>0.94920842086027712</v>
      </c>
      <c r="W110" s="311">
        <f t="shared" si="57"/>
        <v>0.95004120799684189</v>
      </c>
      <c r="X110" s="311">
        <f t="shared" si="58"/>
        <v>0.95038148969858349</v>
      </c>
    </row>
    <row r="111" spans="1:24">
      <c r="A111" s="312">
        <f t="shared" si="61"/>
        <v>120</v>
      </c>
      <c r="B111" s="311">
        <f t="shared" si="62"/>
        <v>4.8468883954114403E-2</v>
      </c>
      <c r="C111" s="311">
        <f t="shared" si="68"/>
        <v>3.4626082168935715E-2</v>
      </c>
      <c r="D111" s="311">
        <f t="shared" si="70"/>
        <v>2.9019185172469705E-2</v>
      </c>
      <c r="E111" s="313">
        <f t="shared" si="46"/>
        <v>1.9258021914650115E-8</v>
      </c>
      <c r="F111" s="313">
        <f t="shared" si="46"/>
        <v>3.2877737930080071E-8</v>
      </c>
      <c r="G111" s="313">
        <f t="shared" si="60"/>
        <v>3.9230159231889976E-8</v>
      </c>
      <c r="H111" s="349">
        <f t="shared" si="63"/>
        <v>1.0471750193170919</v>
      </c>
      <c r="I111" s="349">
        <f t="shared" si="69"/>
        <v>1.0335712720700354</v>
      </c>
      <c r="J111" s="311">
        <f t="shared" si="71"/>
        <v>1.0281351772898442</v>
      </c>
      <c r="K111" s="311">
        <f t="shared" si="64"/>
        <v>3.9146260233068629E-28</v>
      </c>
      <c r="L111" s="311">
        <f t="shared" si="48"/>
        <v>1.0471750193170919</v>
      </c>
      <c r="M111" s="311">
        <f t="shared" si="65"/>
        <v>0</v>
      </c>
      <c r="N111" s="311">
        <f t="shared" si="49"/>
        <v>1.0471750193170919</v>
      </c>
      <c r="O111" s="311">
        <f t="shared" si="66"/>
        <v>0</v>
      </c>
      <c r="P111" s="311">
        <f t="shared" si="50"/>
        <v>1.0471750193170919</v>
      </c>
      <c r="Q111" s="311">
        <f t="shared" si="67"/>
        <v>0.36112412059369098</v>
      </c>
      <c r="R111" s="311">
        <f t="shared" si="53"/>
        <v>0.32266704518833927</v>
      </c>
      <c r="S111" s="311">
        <f t="shared" si="54"/>
        <v>0.28961614134337549</v>
      </c>
      <c r="T111" s="311">
        <f t="shared" si="59"/>
        <v>0.36112412059369098</v>
      </c>
      <c r="U111" s="311">
        <f t="shared" si="55"/>
        <v>0.36112412059369098</v>
      </c>
      <c r="V111" s="311">
        <f t="shared" si="56"/>
        <v>0.95013452288966227</v>
      </c>
      <c r="W111" s="311">
        <f t="shared" si="57"/>
        <v>0.95078232037761734</v>
      </c>
      <c r="X111" s="311">
        <f t="shared" si="58"/>
        <v>0.95104118203381693</v>
      </c>
    </row>
    <row r="112" spans="1:24">
      <c r="A112" s="312">
        <f t="shared" si="61"/>
        <v>121</v>
      </c>
      <c r="B112" s="311">
        <f t="shared" si="62"/>
        <v>3.3302018252579654E-2</v>
      </c>
      <c r="C112" s="311">
        <f t="shared" si="68"/>
        <v>2.2819210579756763E-2</v>
      </c>
      <c r="D112" s="311">
        <f t="shared" si="70"/>
        <v>1.8709838028080496E-2</v>
      </c>
      <c r="E112" s="313">
        <f t="shared" si="46"/>
        <v>5.116608399755934E-10</v>
      </c>
      <c r="F112" s="313">
        <f t="shared" si="46"/>
        <v>9.3341482936696839E-10</v>
      </c>
      <c r="G112" s="313">
        <f t="shared" si="60"/>
        <v>1.1384272550956871E-9</v>
      </c>
      <c r="H112" s="349">
        <f t="shared" si="63"/>
        <v>1.0321502657025152</v>
      </c>
      <c r="I112" s="349">
        <f t="shared" si="69"/>
        <v>1.0219705147294125</v>
      </c>
      <c r="J112" s="311">
        <f t="shared" si="71"/>
        <v>1.0180139786406777</v>
      </c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1"/>
      <c r="W112" s="311"/>
      <c r="X112" s="311"/>
    </row>
    <row r="113" spans="1:24">
      <c r="A113" s="312">
        <f t="shared" si="61"/>
        <v>122</v>
      </c>
      <c r="B113" s="311">
        <f t="shared" si="62"/>
        <v>2.1840723639453295E-2</v>
      </c>
      <c r="C113" s="311">
        <f t="shared" si="68"/>
        <v>1.4280425151819849E-2</v>
      </c>
      <c r="D113" s="311">
        <f t="shared" si="70"/>
        <v>1.1424009584893121E-2</v>
      </c>
      <c r="E113" s="313">
        <f t="shared" si="46"/>
        <v>8.6693487138638521E-12</v>
      </c>
      <c r="F113" s="313">
        <f t="shared" si="46"/>
        <v>1.7039338631997449E-11</v>
      </c>
      <c r="G113" s="313">
        <f t="shared" si="60"/>
        <v>2.1299789549592581E-11</v>
      </c>
      <c r="H113" s="349">
        <f t="shared" si="63"/>
        <v>1.0209682929812762</v>
      </c>
      <c r="I113" s="349">
        <f t="shared" si="69"/>
        <v>1.0136856790962199</v>
      </c>
      <c r="J113" s="311">
        <f t="shared" si="71"/>
        <v>1.0109482265064822</v>
      </c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1"/>
      <c r="W113" s="311"/>
      <c r="X113" s="311"/>
    </row>
    <row r="114" spans="1:24">
      <c r="A114" s="312">
        <f t="shared" si="61"/>
        <v>123</v>
      </c>
      <c r="B114" s="311">
        <f t="shared" si="62"/>
        <v>1.3593968360650107E-2</v>
      </c>
      <c r="C114" s="311">
        <f t="shared" si="68"/>
        <v>8.4321880446423612E-3</v>
      </c>
      <c r="D114" s="311">
        <f t="shared" si="70"/>
        <v>6.5614512678834518E-3</v>
      </c>
      <c r="E114" s="313">
        <f t="shared" si="46"/>
        <v>8.8592946267631012E-14</v>
      </c>
      <c r="F114" s="313">
        <f t="shared" si="46"/>
        <v>1.8934484939355027E-13</v>
      </c>
      <c r="G114" s="313">
        <f t="shared" si="60"/>
        <v>2.4332899997075198E-13</v>
      </c>
      <c r="H114" s="349">
        <f t="shared" si="63"/>
        <v>1.0130042412376077</v>
      </c>
      <c r="I114" s="349">
        <f t="shared" si="69"/>
        <v>1.0080576080624384</v>
      </c>
      <c r="J114" s="311">
        <f t="shared" si="71"/>
        <v>1.0062699743361376</v>
      </c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1"/>
      <c r="W114" s="311"/>
      <c r="X114" s="311"/>
    </row>
    <row r="115" spans="1:24">
      <c r="A115" s="312">
        <f t="shared" si="61"/>
        <v>124</v>
      </c>
      <c r="B115" s="311">
        <f t="shared" si="62"/>
        <v>7.9779500098882006E-3</v>
      </c>
      <c r="C115" s="311">
        <f t="shared" si="68"/>
        <v>4.6641028963676475E-3</v>
      </c>
      <c r="D115" s="311">
        <f t="shared" si="70"/>
        <v>3.5181936771224369E-3</v>
      </c>
      <c r="E115" s="313">
        <f t="shared" si="46"/>
        <v>5.1285056291982274E-16</v>
      </c>
      <c r="F115" s="313">
        <f t="shared" si="46"/>
        <v>1.204329708538951E-15</v>
      </c>
      <c r="G115" s="313">
        <f t="shared" si="60"/>
        <v>1.596591375370903E-15</v>
      </c>
      <c r="H115" s="349">
        <f t="shared" si="63"/>
        <v>1.0076154075568777</v>
      </c>
      <c r="I115" s="349">
        <f t="shared" si="69"/>
        <v>1.0044493952930607</v>
      </c>
      <c r="J115" s="311">
        <f t="shared" si="71"/>
        <v>1.0033562369302049</v>
      </c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1"/>
      <c r="W115" s="311"/>
      <c r="X115" s="311"/>
    </row>
    <row r="116" spans="1:24">
      <c r="A116" s="312">
        <f t="shared" si="61"/>
        <v>125</v>
      </c>
      <c r="B116" s="311">
        <f t="shared" si="62"/>
        <v>4.3826415673544296E-3</v>
      </c>
      <c r="C116" s="311">
        <f t="shared" si="68"/>
        <v>2.3972129492504197E-3</v>
      </c>
      <c r="D116" s="311">
        <f t="shared" si="70"/>
        <v>1.746124634852815E-3</v>
      </c>
      <c r="E116" s="313">
        <f t="shared" si="46"/>
        <v>1.5673130348006853E-18</v>
      </c>
      <c r="F116" s="313">
        <f t="shared" si="46"/>
        <v>4.0914961535173694E-18</v>
      </c>
      <c r="G116" s="313">
        <f t="shared" si="60"/>
        <v>5.6171176817781258E-18</v>
      </c>
      <c r="H116" s="349">
        <f t="shared" si="63"/>
        <v>1.0041784555744635</v>
      </c>
      <c r="I116" s="349">
        <f t="shared" si="69"/>
        <v>1.0022847880483967</v>
      </c>
      <c r="J116" s="311">
        <f t="shared" si="71"/>
        <v>1.0016642345845705</v>
      </c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1"/>
      <c r="W116" s="311"/>
      <c r="X116" s="311"/>
    </row>
    <row r="117" spans="1:24">
      <c r="A117" s="312">
        <f t="shared" si="61"/>
        <v>126</v>
      </c>
      <c r="B117" s="311">
        <f t="shared" si="62"/>
        <v>2.2352254418198897E-3</v>
      </c>
      <c r="C117" s="311">
        <f t="shared" si="68"/>
        <v>1.134492110449255E-3</v>
      </c>
      <c r="D117" s="311">
        <f t="shared" si="70"/>
        <v>7.9451923687661418E-4</v>
      </c>
      <c r="E117" s="313">
        <f t="shared" si="46"/>
        <v>2.3361081830300099E-21</v>
      </c>
      <c r="F117" s="313">
        <f t="shared" si="46"/>
        <v>6.8689712553739025E-21</v>
      </c>
      <c r="G117" s="313">
        <f t="shared" si="60"/>
        <v>9.8081875610201212E-21</v>
      </c>
      <c r="H117" s="349">
        <f t="shared" si="63"/>
        <v>1.002129778339111</v>
      </c>
      <c r="I117" s="349">
        <f t="shared" si="69"/>
        <v>1.0010808061210335</v>
      </c>
      <c r="J117" s="311">
        <f t="shared" si="71"/>
        <v>1.0007569213100609</v>
      </c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1"/>
      <c r="W117" s="311"/>
      <c r="X117" s="311"/>
    </row>
    <row r="118" spans="1:24">
      <c r="A118" s="312">
        <f t="shared" si="61"/>
        <v>127</v>
      </c>
      <c r="B118" s="311">
        <f t="shared" si="62"/>
        <v>1.0486904123884738E-3</v>
      </c>
      <c r="C118" s="311">
        <f t="shared" si="68"/>
        <v>4.8933705998442829E-4</v>
      </c>
      <c r="D118" s="311">
        <f t="shared" si="70"/>
        <v>3.2789078541298986E-4</v>
      </c>
      <c r="E118" s="313">
        <f t="shared" si="46"/>
        <v>1.5535878526956509E-24</v>
      </c>
      <c r="F118" s="313">
        <f t="shared" si="46"/>
        <v>5.2217284455523135E-24</v>
      </c>
      <c r="G118" s="313">
        <f t="shared" si="60"/>
        <v>7.7927936961244064E-24</v>
      </c>
      <c r="H118" s="349">
        <f t="shared" si="63"/>
        <v>1.0009989336642418</v>
      </c>
      <c r="I118" s="349">
        <f t="shared" si="69"/>
        <v>1.0004660891144415</v>
      </c>
      <c r="J118" s="311">
        <f t="shared" si="71"/>
        <v>1.0003123130012093</v>
      </c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1"/>
      <c r="W118" s="311"/>
      <c r="X118" s="311"/>
    </row>
    <row r="119" spans="1:24">
      <c r="A119" s="312">
        <f t="shared" si="61"/>
        <v>128</v>
      </c>
      <c r="B119" s="311">
        <f t="shared" si="62"/>
        <v>4.4793776907189756E-4</v>
      </c>
      <c r="C119" s="311">
        <f t="shared" si="68"/>
        <v>1.9016507478343569E-4</v>
      </c>
      <c r="D119" s="311">
        <f t="shared" si="70"/>
        <v>1.2125271781921346E-4</v>
      </c>
      <c r="E119" s="313">
        <f t="shared" si="46"/>
        <v>4.1708353527736073E-28</v>
      </c>
      <c r="F119" s="313">
        <f t="shared" si="46"/>
        <v>1.6292326859251256E-27</v>
      </c>
      <c r="G119" s="313">
        <f t="shared" si="60"/>
        <v>2.555185245583628E-27</v>
      </c>
      <c r="H119" s="349">
        <f t="shared" si="63"/>
        <v>1.0004266341041603</v>
      </c>
      <c r="I119" s="349">
        <f t="shared" si="69"/>
        <v>1.0001811164315226</v>
      </c>
      <c r="J119" s="311">
        <f t="shared" si="71"/>
        <v>1.0001154831379466</v>
      </c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1"/>
      <c r="W119" s="311"/>
      <c r="X119" s="311"/>
    </row>
    <row r="120" spans="1:24">
      <c r="A120" s="312">
        <f t="shared" si="61"/>
        <v>129</v>
      </c>
      <c r="B120" s="311">
        <f t="shared" si="62"/>
        <v>1.7217845070820003E-4</v>
      </c>
      <c r="C120" s="311">
        <f t="shared" si="68"/>
        <v>6.5728575080417699E-5</v>
      </c>
      <c r="D120" s="311">
        <f t="shared" si="70"/>
        <v>3.9635201751391861E-5</v>
      </c>
      <c r="E120" s="313">
        <f t="shared" si="46"/>
        <v>0</v>
      </c>
      <c r="F120" s="313">
        <f t="shared" si="46"/>
        <v>1.8682746830876106E-31</v>
      </c>
      <c r="G120" s="313">
        <f t="shared" si="60"/>
        <v>3.0982315555856932E-31</v>
      </c>
      <c r="H120" s="349">
        <f t="shared" si="63"/>
        <v>1.0001639794768649</v>
      </c>
      <c r="I120" s="349">
        <f t="shared" si="69"/>
        <v>1.0000625986429337</v>
      </c>
      <c r="J120" s="311">
        <f t="shared" si="71"/>
        <v>1.0000377478111917</v>
      </c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1"/>
      <c r="W120" s="311"/>
      <c r="X120" s="311"/>
    </row>
    <row r="121" spans="1:24">
      <c r="A121" s="312">
        <f t="shared" si="61"/>
        <v>130</v>
      </c>
      <c r="B121" s="311">
        <f t="shared" si="62"/>
        <v>5.8782802386148261E-5</v>
      </c>
      <c r="C121" s="311">
        <f t="shared" si="68"/>
        <v>1.9914388949292928E-5</v>
      </c>
      <c r="D121" s="311">
        <f t="shared" si="70"/>
        <v>1.1278594268633149E-5</v>
      </c>
      <c r="E121" s="313">
        <f t="shared" si="46"/>
        <v>0</v>
      </c>
      <c r="F121" s="313">
        <f t="shared" si="46"/>
        <v>0</v>
      </c>
      <c r="G121" s="313">
        <f t="shared" si="60"/>
        <v>1.227990327781676E-35</v>
      </c>
      <c r="H121" s="349">
        <f t="shared" si="63"/>
        <v>1</v>
      </c>
      <c r="I121" s="349">
        <f t="shared" si="69"/>
        <v>1</v>
      </c>
      <c r="J121" s="311">
        <f t="shared" si="71"/>
        <v>1</v>
      </c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1"/>
      <c r="W121" s="311"/>
      <c r="X121" s="311"/>
    </row>
    <row r="122" spans="1:24">
      <c r="A122" s="312"/>
      <c r="B122" s="311"/>
      <c r="C122" s="311"/>
      <c r="D122" s="311"/>
      <c r="E122" s="313"/>
      <c r="F122" s="313"/>
      <c r="G122" s="313"/>
      <c r="H122" s="311"/>
      <c r="I122" s="311"/>
      <c r="J122" s="311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1"/>
      <c r="W122" s="311"/>
      <c r="X122" s="311"/>
    </row>
    <row r="123" spans="1:24">
      <c r="A123" s="312"/>
      <c r="B123" s="311"/>
      <c r="C123" s="311"/>
      <c r="D123" s="311"/>
      <c r="E123" s="313"/>
      <c r="F123" s="313"/>
      <c r="G123" s="313"/>
      <c r="H123" s="311"/>
      <c r="I123" s="311"/>
      <c r="J123" s="311"/>
      <c r="K123" s="315"/>
      <c r="L123" s="315"/>
      <c r="M123" s="315"/>
      <c r="N123" s="315"/>
      <c r="O123" s="315"/>
      <c r="P123" s="315"/>
      <c r="Q123" s="315"/>
      <c r="R123" s="315"/>
      <c r="S123" s="315"/>
      <c r="T123" s="315"/>
      <c r="U123" s="315"/>
      <c r="V123" s="311"/>
      <c r="W123" s="311"/>
      <c r="X123" s="311"/>
    </row>
    <row r="124" spans="1:24">
      <c r="A124" s="312"/>
      <c r="B124" s="311"/>
      <c r="C124" s="311"/>
      <c r="D124" s="311"/>
      <c r="E124" s="313"/>
      <c r="F124" s="313"/>
      <c r="G124" s="313"/>
      <c r="H124" s="311"/>
      <c r="I124" s="311"/>
      <c r="J124" s="311"/>
      <c r="K124" s="315"/>
      <c r="L124" s="315"/>
      <c r="M124" s="315"/>
      <c r="N124" s="315"/>
      <c r="O124" s="315"/>
      <c r="P124" s="315"/>
      <c r="Q124" s="315"/>
      <c r="R124" s="315"/>
      <c r="S124" s="315"/>
      <c r="T124" s="315"/>
      <c r="U124" s="315"/>
      <c r="V124" s="311"/>
      <c r="W124" s="311"/>
      <c r="X124" s="311"/>
    </row>
    <row r="125" spans="1:24">
      <c r="A125" s="312"/>
      <c r="B125" s="311"/>
      <c r="C125" s="311"/>
      <c r="D125" s="311"/>
      <c r="E125" s="313"/>
      <c r="F125" s="313"/>
      <c r="G125" s="313"/>
      <c r="H125" s="311"/>
      <c r="I125" s="311"/>
      <c r="J125" s="31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1"/>
      <c r="W125" s="311"/>
      <c r="X125" s="311"/>
    </row>
    <row r="126" spans="1:24">
      <c r="A126" s="312"/>
      <c r="B126" s="311"/>
      <c r="C126" s="311"/>
      <c r="D126" s="311"/>
      <c r="E126" s="313"/>
      <c r="F126" s="313"/>
      <c r="G126" s="313"/>
      <c r="H126" s="311"/>
      <c r="I126" s="311"/>
      <c r="J126" s="31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1"/>
      <c r="W126" s="311"/>
      <c r="X126" s="311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7"/>
  <sheetViews>
    <sheetView zoomScale="125" zoomScaleNormal="125" zoomScalePageLayoutView="125" workbookViewId="0"/>
  </sheetViews>
  <sheetFormatPr baseColWidth="10" defaultRowHeight="12" x14ac:dyDescent="0"/>
  <cols>
    <col min="9" max="9" width="10.83203125" style="82"/>
  </cols>
  <sheetData>
    <row r="1" spans="1:12" ht="15">
      <c r="A1" s="70" t="s">
        <v>746</v>
      </c>
      <c r="E1" s="42"/>
      <c r="I1" s="12"/>
    </row>
    <row r="2" spans="1:12">
      <c r="E2" s="42"/>
      <c r="I2" s="12"/>
    </row>
    <row r="3" spans="1:12">
      <c r="A3" s="52" t="s">
        <v>9</v>
      </c>
      <c r="B3" s="51">
        <v>2.2000000000000001E-4</v>
      </c>
      <c r="E3" s="42"/>
      <c r="I3" s="12"/>
    </row>
    <row r="4" spans="1:12">
      <c r="A4" s="52" t="s">
        <v>10</v>
      </c>
      <c r="B4" s="51">
        <f>2.7/1000000</f>
        <v>2.7E-6</v>
      </c>
      <c r="E4" s="42"/>
      <c r="I4" s="12"/>
    </row>
    <row r="5" spans="1:12">
      <c r="A5" s="52" t="s">
        <v>24</v>
      </c>
      <c r="B5" s="51">
        <v>1.1240000000000001</v>
      </c>
      <c r="E5" s="42"/>
      <c r="I5" s="12"/>
    </row>
    <row r="6" spans="1:12">
      <c r="A6" s="52" t="s">
        <v>74</v>
      </c>
      <c r="B6" s="51">
        <v>0.05</v>
      </c>
      <c r="E6" s="42"/>
      <c r="I6" s="12"/>
    </row>
    <row r="7" spans="1:12">
      <c r="A7" s="52" t="s">
        <v>82</v>
      </c>
      <c r="B7" s="51">
        <v>40</v>
      </c>
      <c r="E7" s="42"/>
      <c r="I7" s="12"/>
    </row>
    <row r="8" spans="1:12">
      <c r="A8" s="9" t="s">
        <v>25</v>
      </c>
      <c r="B8" s="18">
        <f>EXP(-B4/LN(B5))</f>
        <v>0.99997690236831238</v>
      </c>
      <c r="E8" s="42"/>
      <c r="I8" s="12"/>
    </row>
    <row r="9" spans="1:12">
      <c r="A9" s="9" t="s">
        <v>27</v>
      </c>
      <c r="B9" s="18">
        <f>EXP(-B3)</f>
        <v>0.99978002419822543</v>
      </c>
      <c r="E9" s="42"/>
      <c r="I9" s="12"/>
    </row>
    <row r="10" spans="1:12">
      <c r="E10" s="42"/>
      <c r="I10" s="12"/>
    </row>
    <row r="11" spans="1:12">
      <c r="A11" s="1" t="s">
        <v>1</v>
      </c>
      <c r="D11" s="42" t="s">
        <v>120</v>
      </c>
      <c r="E11" s="42"/>
      <c r="G11" s="1" t="s">
        <v>172</v>
      </c>
      <c r="I11" s="12"/>
      <c r="K11" s="1" t="s">
        <v>3</v>
      </c>
    </row>
    <row r="12" spans="1:12">
      <c r="D12" s="42" t="s">
        <v>121</v>
      </c>
      <c r="E12" s="42" t="s">
        <v>75</v>
      </c>
      <c r="G12" s="42" t="s">
        <v>75</v>
      </c>
      <c r="H12" s="42" t="s">
        <v>92</v>
      </c>
      <c r="I12" s="12"/>
      <c r="K12" s="306" t="s">
        <v>173</v>
      </c>
    </row>
    <row r="13" spans="1:12">
      <c r="A13" s="42" t="s">
        <v>0</v>
      </c>
      <c r="B13" s="7" t="s">
        <v>84</v>
      </c>
      <c r="C13" s="42" t="s">
        <v>85</v>
      </c>
      <c r="D13" s="42" t="s">
        <v>22</v>
      </c>
      <c r="E13" s="42" t="s">
        <v>86</v>
      </c>
      <c r="G13" s="42" t="s">
        <v>174</v>
      </c>
      <c r="H13" s="42" t="s">
        <v>86</v>
      </c>
      <c r="I13" s="80" t="s">
        <v>169</v>
      </c>
      <c r="K13" s="57">
        <v>26348.410478568701</v>
      </c>
    </row>
    <row r="14" spans="1:12">
      <c r="A14" s="42">
        <v>0</v>
      </c>
      <c r="B14" s="10">
        <f>EXP(-(0.9^(2-A14))*(B$3*((0.9^A14 - 1)/LN(0.9)) +B$4*(B$5^40)*((0.9^A14 -B$5^A14)/LN(0.9/B$5))))</f>
        <v>1</v>
      </c>
      <c r="C14" s="10">
        <f>(1+B$6)^-A14</f>
        <v>1</v>
      </c>
      <c r="D14" s="42">
        <v>1</v>
      </c>
      <c r="E14" s="10">
        <f>B14*C14*D14*0.05/3</f>
        <v>1.6666666666666666E-2</v>
      </c>
      <c r="I14" s="12"/>
      <c r="K14" s="306" t="s">
        <v>183</v>
      </c>
      <c r="L14" s="306"/>
    </row>
    <row r="15" spans="1:12">
      <c r="A15" s="42">
        <v>0.05</v>
      </c>
      <c r="B15" s="10">
        <f>EXP(-(0.9^(2-A15))*(B$3*((0.9^A15 - 1)/LN(0.9)) +$B$4*($B$5^40)*((0.9^A15 -$B$5^A15)/LN(0.9/$B$5))))</f>
        <v>0.99997926658074554</v>
      </c>
      <c r="C15" s="10">
        <f t="shared" ref="C15:C78" si="0">(1+B$6)^-A15</f>
        <v>0.99756346497348591</v>
      </c>
      <c r="D15" s="42">
        <v>4</v>
      </c>
      <c r="E15" s="10">
        <f t="shared" ref="E15:E78" si="1">B15*C15*D15*0.05/3</f>
        <v>6.6502852138128912E-2</v>
      </c>
      <c r="I15" s="12"/>
    </row>
    <row r="16" spans="1:12">
      <c r="A16" s="42">
        <v>0.1</v>
      </c>
      <c r="B16" s="10">
        <f t="shared" ref="B16:B54" si="2">EXP(-(0.9^(2-A16))*(B$3*((0.9^A16 - 1)/LN(0.9)) +$B$4*($B$5^40)*((0.9^A16 -$B$5^A16)/LN(0.9/$B$5))))</f>
        <v>0.9999583545499503</v>
      </c>
      <c r="C16" s="10">
        <f t="shared" si="0"/>
        <v>0.99513286664990741</v>
      </c>
      <c r="D16" s="42">
        <f>IF(D15=4,2,4)</f>
        <v>2</v>
      </c>
      <c r="E16" s="10">
        <f t="shared" si="1"/>
        <v>3.3169714129793887E-2</v>
      </c>
      <c r="I16" s="12"/>
      <c r="K16" s="1" t="s">
        <v>176</v>
      </c>
    </row>
    <row r="17" spans="1:13">
      <c r="A17" s="42">
        <v>0.15</v>
      </c>
      <c r="B17" s="10">
        <f t="shared" si="2"/>
        <v>0.99993726219618762</v>
      </c>
      <c r="C17" s="10">
        <f t="shared" si="0"/>
        <v>0.99270819056427972</v>
      </c>
      <c r="D17" s="42">
        <f t="shared" ref="D17:D80" si="3">IF(D16=4,2,4)</f>
        <v>4</v>
      </c>
      <c r="E17" s="10">
        <f t="shared" si="1"/>
        <v>6.6176394015505152E-2</v>
      </c>
      <c r="I17" s="12"/>
      <c r="K17" t="s">
        <v>184</v>
      </c>
    </row>
    <row r="18" spans="1:13">
      <c r="A18" s="42">
        <v>0.2</v>
      </c>
      <c r="B18" s="10">
        <f t="shared" si="2"/>
        <v>0.99991598779049184</v>
      </c>
      <c r="C18" s="10">
        <f t="shared" si="0"/>
        <v>0.99028942228686234</v>
      </c>
      <c r="D18" s="42">
        <f t="shared" si="3"/>
        <v>2</v>
      </c>
      <c r="E18" s="10">
        <f t="shared" si="1"/>
        <v>3.3006874196148117E-2</v>
      </c>
      <c r="I18" s="12"/>
      <c r="K18" s="57">
        <v>36575.945133065645</v>
      </c>
    </row>
    <row r="19" spans="1:13">
      <c r="A19" s="42">
        <v>0.25</v>
      </c>
      <c r="B19" s="10">
        <f t="shared" si="2"/>
        <v>0.99989452958617264</v>
      </c>
      <c r="C19" s="10">
        <f t="shared" si="0"/>
        <v>0.98787654742307407</v>
      </c>
      <c r="D19" s="42">
        <f t="shared" si="3"/>
        <v>4</v>
      </c>
      <c r="E19" s="10">
        <f t="shared" si="1"/>
        <v>6.5851490378320471E-2</v>
      </c>
      <c r="I19" s="12"/>
      <c r="K19" s="306" t="s">
        <v>175</v>
      </c>
      <c r="L19" s="306"/>
    </row>
    <row r="20" spans="1:13">
      <c r="A20" s="42">
        <v>0.3</v>
      </c>
      <c r="B20" s="10">
        <f t="shared" si="2"/>
        <v>0.99987288581862699</v>
      </c>
      <c r="C20" s="10">
        <f t="shared" si="0"/>
        <v>0.98546955161340599</v>
      </c>
      <c r="D20" s="42">
        <f t="shared" si="3"/>
        <v>2</v>
      </c>
      <c r="E20" s="10">
        <f t="shared" si="1"/>
        <v>3.2844809481936153E-2</v>
      </c>
      <c r="I20" s="12"/>
    </row>
    <row r="21" spans="1:13">
      <c r="A21" s="42">
        <v>0.35</v>
      </c>
      <c r="B21" s="10">
        <f t="shared" si="2"/>
        <v>0.99985105470514912</v>
      </c>
      <c r="C21" s="10">
        <f t="shared" si="0"/>
        <v>0.98306842053333698</v>
      </c>
      <c r="D21" s="42">
        <f t="shared" si="3"/>
        <v>4</v>
      </c>
      <c r="E21" s="10">
        <f t="shared" si="1"/>
        <v>6.5528133141172146E-2</v>
      </c>
      <c r="I21" s="12"/>
      <c r="K21" s="1" t="s">
        <v>177</v>
      </c>
    </row>
    <row r="22" spans="1:13">
      <c r="A22" s="42">
        <v>0.4</v>
      </c>
      <c r="B22" s="10">
        <f t="shared" si="2"/>
        <v>0.99982903444473914</v>
      </c>
      <c r="C22" s="10">
        <f t="shared" si="0"/>
        <v>0.98067313989324767</v>
      </c>
      <c r="D22" s="42">
        <f t="shared" si="3"/>
        <v>2</v>
      </c>
      <c r="E22" s="10">
        <f t="shared" si="1"/>
        <v>3.2683515952178548E-2</v>
      </c>
      <c r="I22" s="12"/>
      <c r="L22" s="42" t="s">
        <v>86</v>
      </c>
    </row>
    <row r="23" spans="1:13">
      <c r="A23" s="42">
        <v>0.45</v>
      </c>
      <c r="B23" s="10">
        <f t="shared" si="2"/>
        <v>0.99980682321790815</v>
      </c>
      <c r="C23" s="10">
        <f t="shared" si="0"/>
        <v>0.97828369543833626</v>
      </c>
      <c r="D23" s="42">
        <f t="shared" si="3"/>
        <v>4</v>
      </c>
      <c r="E23" s="10">
        <f t="shared" si="1"/>
        <v>6.5206314249471917E-2</v>
      </c>
      <c r="I23" s="12"/>
      <c r="K23" s="42" t="s">
        <v>178</v>
      </c>
      <c r="L23" s="42" t="s">
        <v>179</v>
      </c>
      <c r="M23" s="7" t="s">
        <v>169</v>
      </c>
    </row>
    <row r="24" spans="1:13">
      <c r="A24" s="42">
        <v>0.5</v>
      </c>
      <c r="B24" s="10">
        <f t="shared" si="2"/>
        <v>0.99978441918648298</v>
      </c>
      <c r="C24" s="10">
        <f t="shared" si="0"/>
        <v>0.97590007294853309</v>
      </c>
      <c r="D24" s="42">
        <f t="shared" si="3"/>
        <v>2</v>
      </c>
      <c r="E24" s="10">
        <f t="shared" si="1"/>
        <v>3.2522989587229857E-2</v>
      </c>
      <c r="I24" s="12"/>
      <c r="K24" s="56">
        <v>1</v>
      </c>
      <c r="L24" s="57">
        <f>(200000*K24/20)*H34</f>
        <v>4003.5560528185333</v>
      </c>
      <c r="M24" s="57">
        <f>I34</f>
        <v>6078.786411178764</v>
      </c>
    </row>
    <row r="25" spans="1:13">
      <c r="A25" s="42">
        <v>0.55000000000000004</v>
      </c>
      <c r="B25" s="10">
        <f t="shared" si="2"/>
        <v>0.99976182049340756</v>
      </c>
      <c r="C25" s="10">
        <f t="shared" si="0"/>
        <v>0.97352225823841654</v>
      </c>
      <c r="D25" s="42">
        <f t="shared" si="3"/>
        <v>4</v>
      </c>
      <c r="E25" s="10">
        <f t="shared" si="1"/>
        <v>6.4886025679152845E-2</v>
      </c>
      <c r="I25" s="12"/>
      <c r="K25" s="42">
        <v>2</v>
      </c>
      <c r="L25" s="12">
        <f>200000*K25*H54/20</f>
        <v>8400.9818790904137</v>
      </c>
      <c r="M25" s="12">
        <f>I54</f>
        <v>12447.536385063533</v>
      </c>
    </row>
    <row r="26" spans="1:13">
      <c r="A26" s="42">
        <v>0.6</v>
      </c>
      <c r="B26" s="10">
        <f t="shared" si="2"/>
        <v>0.99973902526254266</v>
      </c>
      <c r="C26" s="10">
        <f t="shared" si="0"/>
        <v>0.97115023715712745</v>
      </c>
      <c r="D26" s="42">
        <f t="shared" si="3"/>
        <v>2</v>
      </c>
      <c r="E26" s="10">
        <f t="shared" si="1"/>
        <v>3.2363226382631789E-2</v>
      </c>
      <c r="I26" s="12"/>
      <c r="K26" s="42">
        <v>3</v>
      </c>
      <c r="L26" s="12">
        <f>200000*K26*H74/20</f>
        <v>13220.895895213334</v>
      </c>
      <c r="M26" s="12">
        <f>I74</f>
        <v>19124.786868456678</v>
      </c>
    </row>
    <row r="27" spans="1:13">
      <c r="A27" s="42">
        <v>0.65</v>
      </c>
      <c r="B27" s="10">
        <f t="shared" si="2"/>
        <v>0.99971603159846356</v>
      </c>
      <c r="C27" s="10">
        <f t="shared" si="0"/>
        <v>0.96878399558828687</v>
      </c>
      <c r="D27" s="42">
        <f t="shared" si="3"/>
        <v>4</v>
      </c>
      <c r="E27" s="10">
        <f t="shared" si="1"/>
        <v>6.4567259436375049E-2</v>
      </c>
      <c r="I27" s="12"/>
      <c r="K27" s="42">
        <v>4</v>
      </c>
      <c r="L27" s="12">
        <f>200000*K27*H94/20</f>
        <v>18494.498877447844</v>
      </c>
      <c r="M27" s="12">
        <f>I94</f>
        <v>26131.41583349205</v>
      </c>
    </row>
    <row r="28" spans="1:13">
      <c r="A28" s="42">
        <v>0.7</v>
      </c>
      <c r="B28" s="10">
        <f t="shared" si="2"/>
        <v>0.99969283758625549</v>
      </c>
      <c r="C28" s="10">
        <f t="shared" si="0"/>
        <v>0.96642351944990967</v>
      </c>
      <c r="D28" s="42">
        <f t="shared" si="3"/>
        <v>2</v>
      </c>
      <c r="E28" s="10">
        <f t="shared" si="1"/>
        <v>3.2204222348965868E-2</v>
      </c>
      <c r="I28" s="12"/>
      <c r="K28" s="42">
        <v>5</v>
      </c>
      <c r="L28" s="12">
        <f>200000*K28*H114/20</f>
        <v>24254.873385365277</v>
      </c>
      <c r="M28" s="12">
        <f>I114</f>
        <v>33483.770011575485</v>
      </c>
    </row>
    <row r="29" spans="1:13">
      <c r="A29" s="42">
        <v>0.75</v>
      </c>
      <c r="B29" s="10">
        <f t="shared" si="2"/>
        <v>0.99966944129130686</v>
      </c>
      <c r="C29" s="10">
        <f t="shared" si="0"/>
        <v>0.96406879469432316</v>
      </c>
      <c r="D29" s="42">
        <f t="shared" si="3"/>
        <v>4</v>
      </c>
      <c r="E29" s="10">
        <f t="shared" si="1"/>
        <v>6.425000755723051E-2</v>
      </c>
      <c r="I29" s="12"/>
      <c r="K29" s="42">
        <v>6</v>
      </c>
      <c r="L29" s="12">
        <f>200000*K29*H134/20</f>
        <v>30537.28995217989</v>
      </c>
      <c r="M29" s="12">
        <f>I134</f>
        <v>41199.091261014575</v>
      </c>
    </row>
    <row r="30" spans="1:13">
      <c r="A30" s="42">
        <v>0.8</v>
      </c>
      <c r="B30" s="10">
        <f t="shared" si="2"/>
        <v>0.99964584075910012</v>
      </c>
      <c r="C30" s="10">
        <f t="shared" si="0"/>
        <v>0.96171980730808126</v>
      </c>
      <c r="D30" s="42">
        <f t="shared" si="3"/>
        <v>2</v>
      </c>
      <c r="E30" s="10">
        <f t="shared" si="1"/>
        <v>3.2045973511705551E-2</v>
      </c>
      <c r="I30" s="12"/>
      <c r="K30" s="42">
        <v>7</v>
      </c>
      <c r="L30" s="12">
        <f>200000*K30*H154/20</f>
        <v>37379.361047911698</v>
      </c>
      <c r="M30" s="12">
        <f>I154</f>
        <v>49295.588486594483</v>
      </c>
    </row>
    <row r="31" spans="1:13">
      <c r="A31" s="42">
        <v>0.85</v>
      </c>
      <c r="B31" s="10">
        <f t="shared" si="2"/>
        <v>0.9996220340150006</v>
      </c>
      <c r="C31" s="10">
        <f t="shared" si="0"/>
        <v>0.95937654331188271</v>
      </c>
      <c r="D31" s="42">
        <f t="shared" si="3"/>
        <v>4</v>
      </c>
      <c r="E31" s="10">
        <f t="shared" si="1"/>
        <v>6.3934262107446974E-2</v>
      </c>
      <c r="G31" s="8"/>
      <c r="I31" s="12"/>
      <c r="K31" s="42">
        <v>8</v>
      </c>
      <c r="L31" s="12">
        <f>200000*K31*H174/20</f>
        <v>44821.210908094843</v>
      </c>
      <c r="M31" s="12">
        <f>I174</f>
        <v>57792.519754687979</v>
      </c>
    </row>
    <row r="32" spans="1:13">
      <c r="A32" s="42">
        <v>0.9</v>
      </c>
      <c r="B32" s="10">
        <f t="shared" si="2"/>
        <v>0.99959801906404289</v>
      </c>
      <c r="C32" s="10">
        <f t="shared" si="0"/>
        <v>0.95703898876048754</v>
      </c>
      <c r="D32" s="42">
        <f t="shared" si="3"/>
        <v>2</v>
      </c>
      <c r="E32" s="10">
        <f t="shared" si="1"/>
        <v>3.1888475911067936E-2</v>
      </c>
      <c r="I32" s="12"/>
      <c r="K32" s="42">
        <v>9</v>
      </c>
      <c r="L32" s="12">
        <f>200000*K32*H194/20</f>
        <v>52905.66397295252</v>
      </c>
      <c r="M32" s="12">
        <f>I194</f>
        <v>66710.28653726395</v>
      </c>
    </row>
    <row r="33" spans="1:13">
      <c r="A33" s="42">
        <v>0.95</v>
      </c>
      <c r="B33" s="10">
        <f t="shared" si="2"/>
        <v>0.99957379389071555</v>
      </c>
      <c r="C33" s="10">
        <f t="shared" si="0"/>
        <v>0.95470712974263294</v>
      </c>
      <c r="D33" s="42">
        <f t="shared" si="3"/>
        <v>4</v>
      </c>
      <c r="E33" s="10">
        <f t="shared" si="1"/>
        <v>6.3620015182090622E-2</v>
      </c>
      <c r="I33" s="12"/>
      <c r="K33" s="56">
        <v>10</v>
      </c>
      <c r="L33" s="57">
        <f>200000*K33*H214/20</f>
        <v>61678.455281354327</v>
      </c>
      <c r="M33" s="57">
        <f>I214</f>
        <v>76070.542409872025</v>
      </c>
    </row>
    <row r="34" spans="1:13">
      <c r="A34" s="42">
        <v>1</v>
      </c>
      <c r="B34" s="10">
        <f t="shared" si="2"/>
        <v>0.99954935645874254</v>
      </c>
      <c r="C34" s="10">
        <f t="shared" si="0"/>
        <v>0.95238095238095233</v>
      </c>
      <c r="D34" s="42">
        <f t="shared" si="3"/>
        <v>2</v>
      </c>
      <c r="E34" s="10">
        <f t="shared" si="1"/>
        <v>3.1731725601864845E-2</v>
      </c>
      <c r="G34" s="5">
        <f>(E$415-SUM(E$14:E34)+E34/2)/(B34*C34)</f>
        <v>12.290272126074031</v>
      </c>
      <c r="H34" s="5">
        <f>1-LN(1+B$6)*G34</f>
        <v>0.40035560528185332</v>
      </c>
      <c r="I34" s="12">
        <f>200000*H34-G34*E$417</f>
        <v>6078.786411178764</v>
      </c>
      <c r="K34" s="42">
        <v>11</v>
      </c>
      <c r="L34" s="12">
        <f>200000*K34*H234/20</f>
        <v>71188.466899929292</v>
      </c>
      <c r="M34" s="12">
        <f>I234</f>
        <v>85896.319001681404</v>
      </c>
    </row>
    <row r="35" spans="1:13">
      <c r="A35" s="42">
        <v>1.05</v>
      </c>
      <c r="B35" s="10">
        <f t="shared" si="2"/>
        <v>0.99952470471086308</v>
      </c>
      <c r="C35" s="10">
        <f t="shared" si="0"/>
        <v>0.95006044283189128</v>
      </c>
      <c r="D35" s="42">
        <f t="shared" si="3"/>
        <v>4</v>
      </c>
      <c r="E35" s="10">
        <f t="shared" si="1"/>
        <v>6.3307258905267866E-2</v>
      </c>
      <c r="G35" s="5"/>
      <c r="H35" s="5"/>
      <c r="I35" s="12"/>
      <c r="K35" s="42">
        <v>12</v>
      </c>
      <c r="L35" s="12">
        <f>200000*K35*H254/20</f>
        <v>81487.995372115314</v>
      </c>
      <c r="M35" s="12">
        <f>I254</f>
        <v>96212.172567597998</v>
      </c>
    </row>
    <row r="36" spans="1:13">
      <c r="A36" s="42">
        <v>1.1000000000000001</v>
      </c>
      <c r="B36" s="10">
        <f t="shared" si="2"/>
        <v>0.99949983656860875</v>
      </c>
      <c r="C36" s="10">
        <f t="shared" si="0"/>
        <v>0.94774558728562597</v>
      </c>
      <c r="D36" s="42">
        <f t="shared" si="3"/>
        <v>2</v>
      </c>
      <c r="E36" s="10">
        <f t="shared" si="1"/>
        <v>3.1575718653353443E-2</v>
      </c>
      <c r="G36" s="5"/>
      <c r="H36" s="5"/>
      <c r="I36" s="12"/>
      <c r="K36" s="42">
        <v>13</v>
      </c>
      <c r="L36" s="12">
        <f>200000*K36*H274/20</f>
        <v>92633.056284058475</v>
      </c>
      <c r="M36" s="12">
        <f>I274</f>
        <v>107044.35524521238</v>
      </c>
    </row>
    <row r="37" spans="1:13">
      <c r="A37" s="42">
        <v>1.1499999999999999</v>
      </c>
      <c r="B37" s="10">
        <f t="shared" si="2"/>
        <v>0.99947474993207852</v>
      </c>
      <c r="C37" s="10">
        <f t="shared" si="0"/>
        <v>0.9454363719659804</v>
      </c>
      <c r="D37" s="42">
        <f t="shared" si="3"/>
        <v>4</v>
      </c>
      <c r="E37" s="10">
        <f t="shared" si="1"/>
        <v>6.2995985429825999E-2</v>
      </c>
      <c r="G37" s="5"/>
      <c r="H37" s="5"/>
      <c r="I37" s="12"/>
      <c r="K37" s="42">
        <v>14</v>
      </c>
      <c r="L37" s="12">
        <f>200000*K37*H294/20</f>
        <v>104683.73341321686</v>
      </c>
      <c r="M37" s="12">
        <f>I294</f>
        <v>118421.01589995107</v>
      </c>
    </row>
    <row r="38" spans="1:13">
      <c r="A38" s="42">
        <v>1.2</v>
      </c>
      <c r="B38" s="10">
        <f t="shared" si="2"/>
        <v>0.99944944267971125</v>
      </c>
      <c r="C38" s="10">
        <f t="shared" si="0"/>
        <v>0.9431327831303451</v>
      </c>
      <c r="D38" s="42">
        <f t="shared" si="3"/>
        <v>2</v>
      </c>
      <c r="E38" s="10">
        <f t="shared" si="1"/>
        <v>3.142045114908628E-2</v>
      </c>
      <c r="G38" s="5"/>
      <c r="H38" s="5"/>
      <c r="I38" s="12"/>
      <c r="K38" s="42">
        <v>15</v>
      </c>
      <c r="L38" s="12">
        <f>200000*K38*H314/20</f>
        <v>117704.58161267464</v>
      </c>
      <c r="M38" s="12">
        <f>I314</f>
        <v>130372.43648409788</v>
      </c>
    </row>
    <row r="39" spans="1:13">
      <c r="A39" s="42">
        <v>1.25</v>
      </c>
      <c r="B39" s="10">
        <f t="shared" si="2"/>
        <v>0.99942391266805564</v>
      </c>
      <c r="C39" s="10">
        <f t="shared" si="0"/>
        <v>0.94083480706959433</v>
      </c>
      <c r="D39" s="42">
        <f t="shared" si="3"/>
        <v>4</v>
      </c>
      <c r="E39" s="10">
        <f t="shared" si="1"/>
        <v>6.2686186937052621E-2</v>
      </c>
      <c r="G39" s="5"/>
      <c r="H39" s="5"/>
      <c r="I39" s="12"/>
      <c r="K39" s="42">
        <v>16</v>
      </c>
      <c r="L39" s="12">
        <f>200000*K39*H334/20</f>
        <v>131765.09466666562</v>
      </c>
      <c r="M39" s="12">
        <f>I334</f>
        <v>142931.31108167779</v>
      </c>
    </row>
    <row r="40" spans="1:13">
      <c r="A40" s="42">
        <v>1.3</v>
      </c>
      <c r="B40" s="10">
        <f t="shared" si="2"/>
        <v>0.99939815773153762</v>
      </c>
      <c r="C40" s="10">
        <f t="shared" si="0"/>
        <v>0.93854243010800564</v>
      </c>
      <c r="D40" s="42">
        <f t="shared" si="3"/>
        <v>2</v>
      </c>
      <c r="E40" s="10">
        <f t="shared" si="1"/>
        <v>3.1265919186760714E-2</v>
      </c>
      <c r="G40" s="5"/>
      <c r="H40" s="5"/>
      <c r="I40" s="12"/>
      <c r="K40" s="42">
        <v>17</v>
      </c>
      <c r="L40" s="12">
        <f>200000*K40*H354/20</f>
        <v>146940.25192793741</v>
      </c>
      <c r="M40" s="12">
        <f>I354</f>
        <v>156133.07633485258</v>
      </c>
    </row>
    <row r="41" spans="1:13">
      <c r="A41" s="42">
        <v>1.35</v>
      </c>
      <c r="B41" s="10">
        <f t="shared" si="2"/>
        <v>0.99937217568222614</v>
      </c>
      <c r="C41" s="10">
        <f t="shared" si="0"/>
        <v>0.93625563860317795</v>
      </c>
      <c r="D41" s="42">
        <f t="shared" si="3"/>
        <v>4</v>
      </c>
      <c r="E41" s="10">
        <f t="shared" si="1"/>
        <v>6.2377855636373998E-2</v>
      </c>
      <c r="G41" s="5"/>
      <c r="H41" s="5"/>
      <c r="I41" s="12"/>
      <c r="K41" s="42">
        <v>18</v>
      </c>
      <c r="L41" s="12">
        <f>200000*K41*H374/20</f>
        <v>163311.16073867405</v>
      </c>
      <c r="M41" s="12">
        <f>I374</f>
        <v>170016.30381595413</v>
      </c>
    </row>
    <row r="42" spans="1:13">
      <c r="A42" s="42">
        <v>1.4</v>
      </c>
      <c r="B42" s="10">
        <f t="shared" si="2"/>
        <v>0.99934596430959499</v>
      </c>
      <c r="C42" s="10">
        <f t="shared" si="0"/>
        <v>0.93397441894595001</v>
      </c>
      <c r="D42" s="42">
        <f t="shared" si="3"/>
        <v>2</v>
      </c>
      <c r="E42" s="10">
        <f t="shared" si="1"/>
        <v>3.1112118878067807E-2</v>
      </c>
      <c r="G42" s="5"/>
      <c r="H42" s="5"/>
      <c r="I42" s="12"/>
      <c r="K42" s="42">
        <v>19</v>
      </c>
      <c r="L42" s="12">
        <f>200000*K42*H394/20</f>
        <v>180965.81560082422</v>
      </c>
      <c r="M42" s="12">
        <f>I394</f>
        <v>184623.16720846013</v>
      </c>
    </row>
    <row r="43" spans="1:13">
      <c r="A43" s="42">
        <v>1.45</v>
      </c>
      <c r="B43" s="10">
        <f t="shared" si="2"/>
        <v>0.99931952138028346</v>
      </c>
      <c r="C43" s="10">
        <f t="shared" si="0"/>
        <v>0.93169875756032017</v>
      </c>
      <c r="D43" s="42">
        <f t="shared" si="3"/>
        <v>4</v>
      </c>
      <c r="E43" s="10">
        <f t="shared" si="1"/>
        <v>6.2070983765052268E-2</v>
      </c>
      <c r="G43" s="5"/>
      <c r="H43" s="5"/>
      <c r="I43" s="12"/>
      <c r="K43" s="42"/>
    </row>
    <row r="44" spans="1:13">
      <c r="A44" s="42">
        <v>1.5</v>
      </c>
      <c r="B44" s="10">
        <f t="shared" si="2"/>
        <v>0.99929284463785351</v>
      </c>
      <c r="C44" s="10">
        <f t="shared" si="0"/>
        <v>0.92942864090336497</v>
      </c>
      <c r="D44" s="42">
        <f t="shared" si="3"/>
        <v>2</v>
      </c>
      <c r="E44" s="10">
        <f t="shared" si="1"/>
        <v>3.0959046348540589E-2</v>
      </c>
      <c r="G44" s="5"/>
      <c r="H44" s="5"/>
      <c r="I44" s="12"/>
    </row>
    <row r="45" spans="1:13">
      <c r="A45" s="42">
        <v>1.55</v>
      </c>
      <c r="B45" s="10">
        <f t="shared" si="2"/>
        <v>0.99926593180254486</v>
      </c>
      <c r="C45" s="10">
        <f t="shared" si="0"/>
        <v>0.92716405546515857</v>
      </c>
      <c r="D45" s="42">
        <f t="shared" si="3"/>
        <v>4</v>
      </c>
      <c r="E45" s="10">
        <f t="shared" si="1"/>
        <v>6.1765563587881211E-2</v>
      </c>
      <c r="G45" s="5"/>
      <c r="H45" s="5"/>
      <c r="I45" s="12"/>
    </row>
    <row r="46" spans="1:13">
      <c r="A46" s="42">
        <v>1.6</v>
      </c>
      <c r="B46" s="10">
        <f t="shared" si="2"/>
        <v>0.99923878057102766</v>
      </c>
      <c r="C46" s="10">
        <f t="shared" si="0"/>
        <v>0.92490498776869279</v>
      </c>
      <c r="D46" s="42">
        <f t="shared" si="3"/>
        <v>2</v>
      </c>
      <c r="E46" s="10">
        <f t="shared" si="1"/>
        <v>3.0806697737401662E-2</v>
      </c>
      <c r="G46" s="5"/>
      <c r="H46" s="5"/>
      <c r="I46" s="12"/>
    </row>
    <row r="47" spans="1:13">
      <c r="A47" s="42">
        <v>1.65</v>
      </c>
      <c r="B47" s="10">
        <f t="shared" si="2"/>
        <v>0.99921138861615144</v>
      </c>
      <c r="C47" s="10">
        <f t="shared" si="0"/>
        <v>0.92265142436979697</v>
      </c>
      <c r="D47" s="42">
        <f t="shared" si="3"/>
        <v>4</v>
      </c>
      <c r="E47" s="10">
        <f t="shared" si="1"/>
        <v>6.1461587396880991E-2</v>
      </c>
      <c r="G47" s="5"/>
      <c r="H47" s="5"/>
      <c r="I47" s="12"/>
    </row>
    <row r="48" spans="1:13">
      <c r="A48" s="42">
        <v>1.7</v>
      </c>
      <c r="B48" s="10">
        <f t="shared" si="2"/>
        <v>0.99918375358669287</v>
      </c>
      <c r="C48" s="10">
        <f t="shared" si="0"/>
        <v>0.9204033518570568</v>
      </c>
      <c r="D48" s="42">
        <f t="shared" si="3"/>
        <v>2</v>
      </c>
      <c r="E48" s="10">
        <f t="shared" si="1"/>
        <v>3.0655069197410251E-2</v>
      </c>
      <c r="G48" s="5"/>
      <c r="H48" s="5"/>
      <c r="I48" s="12"/>
    </row>
    <row r="49" spans="1:9">
      <c r="A49" s="42">
        <v>1.75</v>
      </c>
      <c r="B49" s="10">
        <f t="shared" si="2"/>
        <v>0.99915587310709952</v>
      </c>
      <c r="C49" s="10">
        <f t="shared" si="0"/>
        <v>0.91816075685173626</v>
      </c>
      <c r="D49" s="42">
        <f t="shared" si="3"/>
        <v>4</v>
      </c>
      <c r="E49" s="10">
        <f t="shared" si="1"/>
        <v>6.1159047510991466E-2</v>
      </c>
      <c r="G49" s="5"/>
      <c r="H49" s="5"/>
      <c r="I49" s="12"/>
    </row>
    <row r="50" spans="1:9">
      <c r="A50" s="42">
        <v>1.8</v>
      </c>
      <c r="B50" s="10">
        <f t="shared" si="2"/>
        <v>0.99912774477723221</v>
      </c>
      <c r="C50" s="10">
        <f t="shared" si="0"/>
        <v>0.91592362600769639</v>
      </c>
      <c r="D50" s="42">
        <f t="shared" si="3"/>
        <v>2</v>
      </c>
      <c r="E50" s="10">
        <f t="shared" si="1"/>
        <v>3.0504156894708496E-2</v>
      </c>
      <c r="G50" s="5"/>
      <c r="H50" s="5"/>
      <c r="I50" s="12"/>
    </row>
    <row r="51" spans="1:9">
      <c r="A51" s="42">
        <v>1.85</v>
      </c>
      <c r="B51" s="10">
        <f t="shared" si="2"/>
        <v>0.99909936617210304</v>
      </c>
      <c r="C51" s="10">
        <f t="shared" si="0"/>
        <v>0.91369194601131676</v>
      </c>
      <c r="D51" s="42">
        <f t="shared" si="3"/>
        <v>4</v>
      </c>
      <c r="E51" s="10">
        <f t="shared" si="1"/>
        <v>6.0857936275764135E-2</v>
      </c>
      <c r="G51" s="5"/>
      <c r="H51" s="5"/>
      <c r="I51" s="12"/>
    </row>
    <row r="52" spans="1:9">
      <c r="A52" s="42">
        <v>1.9</v>
      </c>
      <c r="B52" s="10">
        <f t="shared" si="2"/>
        <v>0.99907073484161213</v>
      </c>
      <c r="C52" s="10">
        <f t="shared" si="0"/>
        <v>0.91146570358141654</v>
      </c>
      <c r="D52" s="42">
        <f t="shared" si="3"/>
        <v>2</v>
      </c>
      <c r="E52" s="10">
        <f t="shared" si="1"/>
        <v>3.0353957008667096E-2</v>
      </c>
      <c r="G52" s="5"/>
      <c r="H52" s="5"/>
      <c r="I52" s="12"/>
    </row>
    <row r="53" spans="1:9">
      <c r="A53" s="42">
        <v>1.95</v>
      </c>
      <c r="B53" s="10">
        <f t="shared" si="2"/>
        <v>0.99904184831028064</v>
      </c>
      <c r="C53" s="10">
        <f t="shared" si="0"/>
        <v>0.90924488546917426</v>
      </c>
      <c r="D53" s="42">
        <f t="shared" si="3"/>
        <v>4</v>
      </c>
      <c r="E53" s="10">
        <f t="shared" si="1"/>
        <v>6.0558246063052885E-2</v>
      </c>
      <c r="G53" s="5"/>
      <c r="H53" s="5"/>
      <c r="I53" s="12"/>
    </row>
    <row r="54" spans="1:9">
      <c r="A54" s="42">
        <v>2</v>
      </c>
      <c r="B54" s="10">
        <f t="shared" si="2"/>
        <v>0.99901270407698106</v>
      </c>
      <c r="C54" s="10">
        <f t="shared" si="0"/>
        <v>0.90702947845804982</v>
      </c>
      <c r="D54" s="42">
        <f t="shared" si="3"/>
        <v>2</v>
      </c>
      <c r="E54" s="10">
        <f t="shared" si="1"/>
        <v>3.0204465731730339E-2</v>
      </c>
      <c r="G54" s="5">
        <f>(E$415-SUM(E$14:E54)+E54/2)/(B54*C54)</f>
        <v>11.886635675819871</v>
      </c>
      <c r="H54" s="5">
        <f>1-LN(1+B$6)*G54</f>
        <v>0.42004909395452061</v>
      </c>
      <c r="I54" s="12">
        <f>200000*H54-G54*E$417</f>
        <v>12447.536385063533</v>
      </c>
    </row>
    <row r="55" spans="1:9">
      <c r="A55" s="42">
        <v>2.0499999999999998</v>
      </c>
      <c r="B55" s="10">
        <f t="shared" ref="B55:B118" si="4">$B$54*($B$9^(A55-2))*$B$8^(($B$5^(42))*(($B$5^(A55-2)-1)))</f>
        <v>0.99898337704431095</v>
      </c>
      <c r="C55" s="10">
        <f t="shared" si="0"/>
        <v>0.90481946936370605</v>
      </c>
      <c r="D55" s="42">
        <f t="shared" si="3"/>
        <v>4</v>
      </c>
      <c r="E55" s="10">
        <f t="shared" si="1"/>
        <v>6.0259973941359769E-2</v>
      </c>
      <c r="G55" s="5"/>
      <c r="H55" s="5"/>
      <c r="I55" s="12"/>
    </row>
    <row r="56" spans="1:9">
      <c r="A56" s="42">
        <v>2.1</v>
      </c>
      <c r="B56" s="10">
        <f t="shared" si="4"/>
        <v>0.99895394338327859</v>
      </c>
      <c r="C56" s="10">
        <f t="shared" si="0"/>
        <v>0.90261484503392952</v>
      </c>
      <c r="D56" s="42">
        <f t="shared" si="3"/>
        <v>2</v>
      </c>
      <c r="E56" s="10">
        <f t="shared" si="1"/>
        <v>3.0055688626764363E-2</v>
      </c>
      <c r="G56" s="5"/>
      <c r="H56" s="5"/>
      <c r="I56" s="12"/>
    </row>
    <row r="57" spans="1:9">
      <c r="A57" s="42">
        <v>2.15</v>
      </c>
      <c r="B57" s="10">
        <f t="shared" si="4"/>
        <v>0.99892440247329772</v>
      </c>
      <c r="C57" s="10">
        <f t="shared" si="0"/>
        <v>0.90041559234855284</v>
      </c>
      <c r="D57" s="42">
        <f t="shared" si="3"/>
        <v>4</v>
      </c>
      <c r="E57" s="10">
        <f t="shared" si="1"/>
        <v>5.9963140504294576E-2</v>
      </c>
      <c r="G57" s="5"/>
      <c r="H57" s="5"/>
      <c r="I57" s="12"/>
    </row>
    <row r="58" spans="1:9">
      <c r="A58" s="42">
        <v>2.2000000000000002</v>
      </c>
      <c r="B58" s="10">
        <f t="shared" si="4"/>
        <v>0.99889475369019776</v>
      </c>
      <c r="C58" s="10">
        <f t="shared" si="0"/>
        <v>0.89822169821937625</v>
      </c>
      <c r="D58" s="42">
        <f t="shared" si="3"/>
        <v>2</v>
      </c>
      <c r="E58" s="10">
        <f t="shared" si="1"/>
        <v>2.9907631400067834E-2</v>
      </c>
      <c r="G58" s="5"/>
      <c r="H58" s="5"/>
      <c r="I58" s="12"/>
    </row>
    <row r="59" spans="1:9">
      <c r="A59" s="42">
        <v>2.25</v>
      </c>
      <c r="B59" s="10">
        <f t="shared" si="4"/>
        <v>0.99886499640620341</v>
      </c>
      <c r="C59" s="10">
        <f t="shared" si="0"/>
        <v>0.89603314959008973</v>
      </c>
      <c r="D59" s="42">
        <f t="shared" si="3"/>
        <v>4</v>
      </c>
      <c r="E59" s="10">
        <f t="shared" si="1"/>
        <v>5.9667743249676275E-2</v>
      </c>
      <c r="G59" s="5"/>
      <c r="H59" s="5"/>
      <c r="I59" s="12"/>
    </row>
    <row r="60" spans="1:9">
      <c r="A60" s="42">
        <v>2.2999999999999998</v>
      </c>
      <c r="B60" s="10">
        <f t="shared" si="4"/>
        <v>0.99883512998991408</v>
      </c>
      <c r="C60" s="10">
        <f t="shared" si="0"/>
        <v>0.89384993343619579</v>
      </c>
      <c r="D60" s="42">
        <f t="shared" si="3"/>
        <v>2</v>
      </c>
      <c r="E60" s="10">
        <f t="shared" si="1"/>
        <v>2.9760290481840628E-2</v>
      </c>
      <c r="G60" s="5"/>
      <c r="H60" s="5"/>
      <c r="I60" s="12"/>
    </row>
    <row r="61" spans="1:9">
      <c r="A61" s="42">
        <v>2.35</v>
      </c>
      <c r="B61" s="10">
        <f t="shared" si="4"/>
        <v>0.99880515380628354</v>
      </c>
      <c r="C61" s="10">
        <f t="shared" si="0"/>
        <v>0.89167203676493134</v>
      </c>
      <c r="D61" s="42">
        <f t="shared" si="3"/>
        <v>4</v>
      </c>
      <c r="E61" s="10">
        <f t="shared" si="1"/>
        <v>5.9373775055050627E-2</v>
      </c>
      <c r="G61" s="5"/>
      <c r="H61" s="5"/>
      <c r="I61" s="12"/>
    </row>
    <row r="62" spans="1:9">
      <c r="A62" s="42">
        <v>2.4</v>
      </c>
      <c r="B62" s="10">
        <f t="shared" si="4"/>
        <v>0.99877506721659859</v>
      </c>
      <c r="C62" s="10">
        <f t="shared" si="0"/>
        <v>0.88949944661519054</v>
      </c>
      <c r="D62" s="42">
        <f t="shared" si="3"/>
        <v>2</v>
      </c>
      <c r="E62" s="10">
        <f t="shared" si="1"/>
        <v>2.9613662319407139E-2</v>
      </c>
      <c r="G62" s="5"/>
      <c r="H62" s="5"/>
      <c r="I62" s="12"/>
    </row>
    <row r="63" spans="1:9">
      <c r="A63" s="42">
        <v>2.4500000000000002</v>
      </c>
      <c r="B63" s="10">
        <f t="shared" si="4"/>
        <v>0.99874486957845898</v>
      </c>
      <c r="C63" s="10">
        <f t="shared" si="0"/>
        <v>0.8873321500574477</v>
      </c>
      <c r="D63" s="42">
        <f t="shared" si="3"/>
        <v>4</v>
      </c>
      <c r="E63" s="10">
        <f t="shared" si="1"/>
        <v>5.9081228832126624E-2</v>
      </c>
      <c r="G63" s="5"/>
      <c r="H63" s="5"/>
      <c r="I63" s="12"/>
    </row>
    <row r="64" spans="1:9">
      <c r="A64" s="42">
        <v>2.5</v>
      </c>
      <c r="B64" s="10">
        <f t="shared" si="4"/>
        <v>0.99871456024575544</v>
      </c>
      <c r="C64" s="10">
        <f t="shared" si="0"/>
        <v>0.88517013419368074</v>
      </c>
      <c r="D64" s="42">
        <f t="shared" si="3"/>
        <v>2</v>
      </c>
      <c r="E64" s="10">
        <f t="shared" si="1"/>
        <v>2.9467743377130609E-2</v>
      </c>
      <c r="G64" s="5"/>
      <c r="H64" s="5"/>
      <c r="I64" s="12"/>
    </row>
    <row r="65" spans="1:9">
      <c r="A65" s="42">
        <v>2.5499999999999998</v>
      </c>
      <c r="B65" s="10">
        <f t="shared" si="4"/>
        <v>0.99868413856864935</v>
      </c>
      <c r="C65" s="10">
        <f t="shared" si="0"/>
        <v>0.88301338615729386</v>
      </c>
      <c r="D65" s="42">
        <f t="shared" si="3"/>
        <v>4</v>
      </c>
      <c r="E65" s="10">
        <f t="shared" si="1"/>
        <v>5.8790097526605543E-2</v>
      </c>
      <c r="G65" s="5"/>
      <c r="H65" s="5"/>
      <c r="I65" s="12"/>
    </row>
    <row r="66" spans="1:9">
      <c r="A66" s="42">
        <v>2.6</v>
      </c>
      <c r="B66" s="10">
        <f t="shared" si="4"/>
        <v>0.9986536038935514</v>
      </c>
      <c r="C66" s="10">
        <f t="shared" si="0"/>
        <v>0.88086189311304075</v>
      </c>
      <c r="D66" s="42">
        <f t="shared" si="3"/>
        <v>2</v>
      </c>
      <c r="E66" s="10">
        <f t="shared" si="1"/>
        <v>2.9322530136327813E-2</v>
      </c>
      <c r="G66" s="5"/>
      <c r="H66" s="5"/>
      <c r="I66" s="12"/>
    </row>
    <row r="67" spans="1:9">
      <c r="A67" s="42">
        <v>2.65</v>
      </c>
      <c r="B67" s="10">
        <f t="shared" si="4"/>
        <v>0.99862295556309999</v>
      </c>
      <c r="C67" s="10">
        <f t="shared" si="0"/>
        <v>0.87871564225694943</v>
      </c>
      <c r="D67" s="42">
        <f t="shared" si="3"/>
        <v>4</v>
      </c>
      <c r="E67" s="10">
        <f t="shared" si="1"/>
        <v>5.8500374118010838E-2</v>
      </c>
      <c r="G67" s="5"/>
      <c r="H67" s="5"/>
      <c r="I67" s="12"/>
    </row>
    <row r="68" spans="1:9">
      <c r="A68" s="42">
        <v>2.7</v>
      </c>
      <c r="B68" s="10">
        <f t="shared" si="4"/>
        <v>0.99859219291613932</v>
      </c>
      <c r="C68" s="10">
        <f t="shared" si="0"/>
        <v>0.8765746208162446</v>
      </c>
      <c r="D68" s="42">
        <f t="shared" si="3"/>
        <v>2</v>
      </c>
      <c r="E68" s="10">
        <f t="shared" si="1"/>
        <v>2.9178019095184235E-2</v>
      </c>
      <c r="G68" s="5"/>
      <c r="H68" s="5"/>
      <c r="I68" s="12"/>
    </row>
    <row r="69" spans="1:9">
      <c r="A69" s="42">
        <v>2.75</v>
      </c>
      <c r="B69" s="10">
        <f t="shared" si="4"/>
        <v>0.99856131528769909</v>
      </c>
      <c r="C69" s="10">
        <f t="shared" si="0"/>
        <v>0.87443881604927254</v>
      </c>
      <c r="D69" s="42">
        <f t="shared" si="3"/>
        <v>4</v>
      </c>
      <c r="E69" s="10">
        <f t="shared" si="1"/>
        <v>5.8212051619518666E-2</v>
      </c>
      <c r="G69" s="5"/>
      <c r="H69" s="5"/>
      <c r="I69" s="12"/>
    </row>
    <row r="70" spans="1:9">
      <c r="A70" s="42">
        <v>2.8</v>
      </c>
      <c r="B70" s="10">
        <f t="shared" si="4"/>
        <v>0.99853032200897185</v>
      </c>
      <c r="C70" s="10">
        <f t="shared" si="0"/>
        <v>0.87230821524542501</v>
      </c>
      <c r="D70" s="42">
        <f t="shared" si="3"/>
        <v>2</v>
      </c>
      <c r="E70" s="10">
        <f t="shared" si="1"/>
        <v>2.9034206768669524E-2</v>
      </c>
      <c r="G70" s="5"/>
      <c r="H70" s="5"/>
      <c r="I70" s="12"/>
    </row>
    <row r="71" spans="1:9">
      <c r="A71" s="42">
        <v>2.85</v>
      </c>
      <c r="B71" s="10">
        <f t="shared" si="4"/>
        <v>0.998499212407291</v>
      </c>
      <c r="C71" s="10">
        <f t="shared" si="0"/>
        <v>0.87018280572506368</v>
      </c>
      <c r="D71" s="42">
        <f t="shared" si="3"/>
        <v>4</v>
      </c>
      <c r="E71" s="10">
        <f t="shared" si="1"/>
        <v>5.792512307778952E-2</v>
      </c>
      <c r="G71" s="5"/>
      <c r="H71" s="5"/>
      <c r="I71" s="12"/>
    </row>
    <row r="72" spans="1:9">
      <c r="A72" s="42">
        <v>2.9</v>
      </c>
      <c r="B72" s="10">
        <f t="shared" si="4"/>
        <v>0.99846798580610963</v>
      </c>
      <c r="C72" s="10">
        <f t="shared" si="0"/>
        <v>0.86806257483944427</v>
      </c>
      <c r="D72" s="42">
        <f t="shared" si="3"/>
        <v>2</v>
      </c>
      <c r="E72" s="10">
        <f t="shared" si="1"/>
        <v>2.8891089688453511E-2</v>
      </c>
      <c r="G72" s="5"/>
      <c r="H72" s="5"/>
      <c r="I72" s="12"/>
    </row>
    <row r="73" spans="1:9">
      <c r="A73" s="42">
        <v>2.95</v>
      </c>
      <c r="B73" s="10">
        <f t="shared" si="4"/>
        <v>0.99843664152497813</v>
      </c>
      <c r="C73" s="10">
        <f t="shared" si="0"/>
        <v>0.86594750997064207</v>
      </c>
      <c r="D73" s="42">
        <f t="shared" si="3"/>
        <v>4</v>
      </c>
      <c r="E73" s="10">
        <f t="shared" si="1"/>
        <v>5.7639581572800358E-2</v>
      </c>
      <c r="G73" s="5"/>
      <c r="H73" s="5"/>
      <c r="I73" s="12"/>
    </row>
    <row r="74" spans="1:9">
      <c r="A74" s="42">
        <v>3</v>
      </c>
      <c r="B74" s="10">
        <f t="shared" si="4"/>
        <v>0.99840517887952152</v>
      </c>
      <c r="C74" s="10">
        <f t="shared" si="0"/>
        <v>0.86383759853147601</v>
      </c>
      <c r="D74" s="42">
        <f t="shared" si="3"/>
        <v>2</v>
      </c>
      <c r="E74" s="10">
        <f t="shared" si="1"/>
        <v>2.8748664402822491E-2</v>
      </c>
      <c r="G74" s="5">
        <f>(E$415-SUM(E$14:E74)+E74/2)/(B74*C74)</f>
        <v>11.463447186143506</v>
      </c>
      <c r="H74" s="5">
        <f>1-LN(1+B$6)*G74</f>
        <v>0.4406965298404445</v>
      </c>
      <c r="I74" s="12">
        <f>200000*H74-G74*E$417</f>
        <v>19124.786868456678</v>
      </c>
    </row>
    <row r="75" spans="1:9">
      <c r="A75" s="42">
        <v>3.05</v>
      </c>
      <c r="B75" s="10">
        <f t="shared" si="4"/>
        <v>0.99837359718141783</v>
      </c>
      <c r="C75" s="10">
        <f t="shared" si="0"/>
        <v>0.86173282796543438</v>
      </c>
      <c r="D75" s="42">
        <f t="shared" si="3"/>
        <v>4</v>
      </c>
      <c r="E75" s="10">
        <f t="shared" si="1"/>
        <v>5.7355420217677776E-2</v>
      </c>
      <c r="G75" s="5"/>
      <c r="H75" s="5"/>
      <c r="I75" s="12"/>
    </row>
    <row r="76" spans="1:9">
      <c r="A76" s="42">
        <v>3.1</v>
      </c>
      <c r="B76" s="10">
        <f t="shared" si="4"/>
        <v>0.99834189573837573</v>
      </c>
      <c r="C76" s="10">
        <f t="shared" si="0"/>
        <v>0.85963318574659953</v>
      </c>
      <c r="D76" s="42">
        <f t="shared" si="3"/>
        <v>2</v>
      </c>
      <c r="E76" s="10">
        <f t="shared" si="1"/>
        <v>2.8606927476595986E-2</v>
      </c>
      <c r="G76" s="5"/>
      <c r="H76" s="5"/>
      <c r="I76" s="12"/>
    </row>
    <row r="77" spans="1:9">
      <c r="A77" s="42">
        <v>3.15</v>
      </c>
      <c r="B77" s="10">
        <f t="shared" si="4"/>
        <v>0.99831007385411052</v>
      </c>
      <c r="C77" s="10">
        <f t="shared" si="0"/>
        <v>0.85753865937957408</v>
      </c>
      <c r="D77" s="42">
        <f t="shared" si="3"/>
        <v>4</v>
      </c>
      <c r="E77" s="10">
        <f t="shared" si="1"/>
        <v>5.7072632158531839E-2</v>
      </c>
      <c r="G77" s="5"/>
      <c r="H77" s="5"/>
      <c r="I77" s="12"/>
    </row>
    <row r="78" spans="1:9">
      <c r="A78" s="42">
        <v>3.2</v>
      </c>
      <c r="B78" s="10">
        <f t="shared" si="4"/>
        <v>0.99827813082832395</v>
      </c>
      <c r="C78" s="10">
        <f t="shared" si="0"/>
        <v>0.85544923639940595</v>
      </c>
      <c r="D78" s="42">
        <f t="shared" si="3"/>
        <v>2</v>
      </c>
      <c r="E78" s="10">
        <f t="shared" si="1"/>
        <v>2.846587549104387E-2</v>
      </c>
      <c r="G78" s="5"/>
      <c r="H78" s="5"/>
      <c r="I78" s="12"/>
    </row>
    <row r="79" spans="1:9">
      <c r="A79" s="42">
        <v>3.25</v>
      </c>
      <c r="B79" s="10">
        <f t="shared" si="4"/>
        <v>0.9982460659566792</v>
      </c>
      <c r="C79" s="10">
        <f t="shared" ref="C79:C142" si="5">(1+B$6)^-A79</f>
        <v>0.85336490437151402</v>
      </c>
      <c r="D79" s="42">
        <f t="shared" si="3"/>
        <v>4</v>
      </c>
      <c r="E79" s="10">
        <f t="shared" ref="E79:E142" si="6">B79*C79*D79*0.05/3</f>
        <v>5.6791210574290783E-2</v>
      </c>
      <c r="G79" s="5"/>
      <c r="H79" s="5"/>
      <c r="I79" s="12"/>
    </row>
    <row r="80" spans="1:9">
      <c r="A80" s="42">
        <v>3.3</v>
      </c>
      <c r="B80" s="10">
        <f t="shared" si="4"/>
        <v>0.99821387853077892</v>
      </c>
      <c r="C80" s="10">
        <f t="shared" si="5"/>
        <v>0.85128565089161501</v>
      </c>
      <c r="D80" s="42">
        <f t="shared" si="3"/>
        <v>2</v>
      </c>
      <c r="E80" s="10">
        <f t="shared" si="6"/>
        <v>2.8325505043803923E-2</v>
      </c>
      <c r="G80" s="5"/>
      <c r="H80" s="5"/>
      <c r="I80" s="12"/>
    </row>
    <row r="81" spans="1:9">
      <c r="A81" s="42">
        <v>3.35</v>
      </c>
      <c r="B81" s="10">
        <f t="shared" si="4"/>
        <v>0.99818156783814249</v>
      </c>
      <c r="C81" s="10">
        <f t="shared" si="5"/>
        <v>0.84921146358564881</v>
      </c>
      <c r="D81" s="42">
        <f t="shared" ref="D81:D144" si="7">IF(D80=4,2,4)</f>
        <v>4</v>
      </c>
      <c r="E81" s="10">
        <f t="shared" si="6"/>
        <v>5.6511148676536442E-2</v>
      </c>
      <c r="G81" s="5"/>
      <c r="H81" s="5"/>
      <c r="I81" s="12"/>
    </row>
    <row r="82" spans="1:9">
      <c r="A82" s="42">
        <v>3.4</v>
      </c>
      <c r="B82" s="10">
        <f t="shared" si="4"/>
        <v>0.99814913316218157</v>
      </c>
      <c r="C82" s="10">
        <f t="shared" si="5"/>
        <v>0.84714233010970519</v>
      </c>
      <c r="D82" s="42">
        <f t="shared" si="7"/>
        <v>2</v>
      </c>
      <c r="E82" s="10">
        <f t="shared" si="6"/>
        <v>2.8185812748799763E-2</v>
      </c>
      <c r="G82" s="5"/>
      <c r="H82" s="5"/>
      <c r="I82" s="12"/>
    </row>
    <row r="83" spans="1:9">
      <c r="A83" s="42">
        <v>3.45</v>
      </c>
      <c r="B83" s="10">
        <f t="shared" si="4"/>
        <v>0.99811657378217866</v>
      </c>
      <c r="C83" s="10">
        <f t="shared" si="5"/>
        <v>0.8450782381499502</v>
      </c>
      <c r="D83" s="42">
        <f t="shared" si="7"/>
        <v>4</v>
      </c>
      <c r="E83" s="10">
        <f t="shared" si="6"/>
        <v>5.6232439709340554E-2</v>
      </c>
      <c r="G83" s="5"/>
      <c r="H83" s="5"/>
      <c r="I83" s="12"/>
    </row>
    <row r="84" spans="1:9">
      <c r="A84" s="42">
        <v>3.5</v>
      </c>
      <c r="B84" s="10">
        <f t="shared" si="4"/>
        <v>0.99808388897326172</v>
      </c>
      <c r="C84" s="10">
        <f t="shared" si="5"/>
        <v>0.843019175422553</v>
      </c>
      <c r="D84" s="42">
        <f t="shared" si="7"/>
        <v>2</v>
      </c>
      <c r="E84" s="10">
        <f t="shared" si="6"/>
        <v>2.8046795236159137E-2</v>
      </c>
      <c r="G84" s="5"/>
      <c r="H84" s="5"/>
      <c r="I84" s="12"/>
    </row>
    <row r="85" spans="1:9">
      <c r="A85" s="42">
        <v>3.55</v>
      </c>
      <c r="B85" s="10">
        <f t="shared" si="4"/>
        <v>0.99805107800638171</v>
      </c>
      <c r="C85" s="10">
        <f t="shared" si="5"/>
        <v>0.84096512967361303</v>
      </c>
      <c r="D85" s="42">
        <f t="shared" si="7"/>
        <v>4</v>
      </c>
      <c r="E85" s="10">
        <f t="shared" si="6"/>
        <v>5.5955076949101741E-2</v>
      </c>
      <c r="G85" s="5"/>
      <c r="H85" s="5"/>
      <c r="I85" s="12"/>
    </row>
    <row r="86" spans="1:9">
      <c r="A86" s="42">
        <v>3.6</v>
      </c>
      <c r="B86" s="10">
        <f t="shared" si="4"/>
        <v>0.99801814014828949</v>
      </c>
      <c r="C86" s="10">
        <f t="shared" si="5"/>
        <v>0.83891608867908651</v>
      </c>
      <c r="D86" s="42">
        <f t="shared" si="7"/>
        <v>2</v>
      </c>
      <c r="E86" s="10">
        <f t="shared" si="6"/>
        <v>2.7908449152132652E-2</v>
      </c>
      <c r="G86" s="5"/>
      <c r="H86" s="5"/>
      <c r="I86" s="12"/>
    </row>
    <row r="87" spans="1:9">
      <c r="A87" s="42">
        <v>3.65</v>
      </c>
      <c r="B87" s="10">
        <f t="shared" si="4"/>
        <v>0.99798507466151021</v>
      </c>
      <c r="C87" s="10">
        <f t="shared" si="5"/>
        <v>0.83687204024471362</v>
      </c>
      <c r="D87" s="42">
        <f t="shared" si="7"/>
        <v>4</v>
      </c>
      <c r="E87" s="10">
        <f t="shared" si="6"/>
        <v>5.5679053704383398E-2</v>
      </c>
      <c r="G87" s="5"/>
      <c r="H87" s="5"/>
      <c r="I87" s="12"/>
    </row>
    <row r="88" spans="1:9">
      <c r="A88" s="42">
        <v>3.7</v>
      </c>
      <c r="B88" s="10">
        <f t="shared" si="4"/>
        <v>0.99795188080432085</v>
      </c>
      <c r="C88" s="10">
        <f t="shared" si="5"/>
        <v>0.83483297220594721</v>
      </c>
      <c r="D88" s="42">
        <f t="shared" si="7"/>
        <v>2</v>
      </c>
      <c r="E88" s="10">
        <f t="shared" si="6"/>
        <v>2.7770771159012882E-2</v>
      </c>
      <c r="G88" s="5"/>
      <c r="H88" s="5"/>
      <c r="I88" s="12"/>
    </row>
    <row r="89" spans="1:9">
      <c r="A89" s="42">
        <v>3.75</v>
      </c>
      <c r="B89" s="10">
        <f t="shared" si="4"/>
        <v>0.99791855783072547</v>
      </c>
      <c r="C89" s="10">
        <f t="shared" si="5"/>
        <v>0.83279887242787853</v>
      </c>
      <c r="D89" s="42">
        <f t="shared" si="7"/>
        <v>4</v>
      </c>
      <c r="E89" s="10">
        <f t="shared" si="6"/>
        <v>5.5404363315752193E-2</v>
      </c>
      <c r="G89" s="5"/>
      <c r="H89" s="5"/>
      <c r="I89" s="12"/>
    </row>
    <row r="90" spans="1:9">
      <c r="A90" s="42">
        <v>3.8</v>
      </c>
      <c r="B90" s="10">
        <f t="shared" si="4"/>
        <v>0.99788510499043159</v>
      </c>
      <c r="C90" s="10">
        <f t="shared" si="5"/>
        <v>0.83076972880516664</v>
      </c>
      <c r="D90" s="42">
        <f t="shared" si="7"/>
        <v>2</v>
      </c>
      <c r="E90" s="10">
        <f t="shared" si="6"/>
        <v>2.7633757935053873E-2</v>
      </c>
      <c r="G90" s="5"/>
      <c r="H90" s="5"/>
      <c r="I90" s="12"/>
    </row>
    <row r="91" spans="1:9">
      <c r="A91" s="42">
        <v>3.85</v>
      </c>
      <c r="B91" s="10">
        <f t="shared" si="4"/>
        <v>0.99785152152882461</v>
      </c>
      <c r="C91" s="10">
        <f t="shared" si="5"/>
        <v>0.82874552926196532</v>
      </c>
      <c r="D91" s="42">
        <f t="shared" si="7"/>
        <v>4</v>
      </c>
      <c r="E91" s="10">
        <f t="shared" si="6"/>
        <v>5.5130999155617554E-2</v>
      </c>
      <c r="G91" s="5"/>
      <c r="H91" s="5"/>
      <c r="I91" s="12"/>
    </row>
    <row r="92" spans="1:9">
      <c r="A92" s="42">
        <v>3.9</v>
      </c>
      <c r="B92" s="10">
        <f t="shared" si="4"/>
        <v>0.99781780668694497</v>
      </c>
      <c r="C92" s="10">
        <f t="shared" si="5"/>
        <v>0.82672626175185171</v>
      </c>
      <c r="D92" s="42">
        <f t="shared" si="7"/>
        <v>2</v>
      </c>
      <c r="E92" s="10">
        <f t="shared" si="6"/>
        <v>2.7497406174391E-2</v>
      </c>
      <c r="G92" s="5"/>
      <c r="H92" s="5"/>
      <c r="I92" s="12"/>
    </row>
    <row r="93" spans="1:9">
      <c r="A93" s="42">
        <v>3.95</v>
      </c>
      <c r="B93" s="10">
        <f t="shared" si="4"/>
        <v>0.99778395970146216</v>
      </c>
      <c r="C93" s="10">
        <f t="shared" si="5"/>
        <v>0.82471191425775425</v>
      </c>
      <c r="D93" s="42">
        <f t="shared" si="7"/>
        <v>4</v>
      </c>
      <c r="E93" s="10">
        <f t="shared" si="6"/>
        <v>5.4858954628071659E-2</v>
      </c>
      <c r="G93" s="5"/>
      <c r="H93" s="5"/>
      <c r="I93" s="12"/>
    </row>
    <row r="94" spans="1:9">
      <c r="A94" s="42">
        <v>4</v>
      </c>
      <c r="B94" s="10">
        <f t="shared" si="4"/>
        <v>0.99774997980465063</v>
      </c>
      <c r="C94" s="10">
        <f t="shared" si="5"/>
        <v>0.82270247479188197</v>
      </c>
      <c r="D94" s="42">
        <f t="shared" si="7"/>
        <v>2</v>
      </c>
      <c r="E94" s="10">
        <f t="shared" si="6"/>
        <v>2.7361712586961212E-2</v>
      </c>
      <c r="G94" s="5">
        <f>(E$415-SUM(E$14:E94)+E94/2)/(B94*C94)</f>
        <v>11.019383460091818</v>
      </c>
      <c r="H94" s="5">
        <f>1-LN(1+B$6)*G94</f>
        <v>0.46236247193619606</v>
      </c>
      <c r="I94" s="12">
        <f>200000*H94-G94*E$417</f>
        <v>26131.41583349205</v>
      </c>
    </row>
    <row r="95" spans="1:9">
      <c r="A95" s="42">
        <v>4.05</v>
      </c>
      <c r="B95" s="10">
        <f t="shared" si="4"/>
        <v>0.99771586622436492</v>
      </c>
      <c r="C95" s="10">
        <f t="shared" si="5"/>
        <v>0.82069793139565173</v>
      </c>
      <c r="D95" s="42">
        <f t="shared" si="7"/>
        <v>4</v>
      </c>
      <c r="E95" s="10">
        <f t="shared" si="6"/>
        <v>5.4588223168730472E-2</v>
      </c>
      <c r="G95" s="5"/>
      <c r="H95" s="5"/>
      <c r="I95" s="12"/>
    </row>
    <row r="96" spans="1:9">
      <c r="A96" s="42">
        <v>4.0999999999999996</v>
      </c>
      <c r="B96" s="10">
        <f t="shared" si="4"/>
        <v>0.99768161818401446</v>
      </c>
      <c r="C96" s="10">
        <f t="shared" si="5"/>
        <v>0.81869827213961854</v>
      </c>
      <c r="D96" s="42">
        <f t="shared" si="7"/>
        <v>2</v>
      </c>
      <c r="E96" s="10">
        <f t="shared" si="6"/>
        <v>2.7226673898423714E-2</v>
      </c>
      <c r="G96" s="5"/>
      <c r="H96" s="5"/>
      <c r="I96" s="12"/>
    </row>
    <row r="97" spans="1:9">
      <c r="A97" s="42">
        <v>4.1500000000000004</v>
      </c>
      <c r="B97" s="10">
        <f t="shared" si="4"/>
        <v>0.99764723490253859</v>
      </c>
      <c r="C97" s="10">
        <f t="shared" si="5"/>
        <v>0.81670348512340385</v>
      </c>
      <c r="D97" s="42">
        <f t="shared" si="7"/>
        <v>4</v>
      </c>
      <c r="E97" s="10">
        <f t="shared" si="6"/>
        <v>5.4318798244575361E-2</v>
      </c>
      <c r="G97" s="5"/>
      <c r="H97" s="5"/>
      <c r="I97" s="12"/>
    </row>
    <row r="98" spans="1:9">
      <c r="A98" s="42">
        <v>4.2</v>
      </c>
      <c r="B98" s="10">
        <f t="shared" si="4"/>
        <v>0.99761271559438047</v>
      </c>
      <c r="C98" s="10">
        <f t="shared" si="5"/>
        <v>0.81471355847562454</v>
      </c>
      <c r="D98" s="42">
        <f t="shared" si="7"/>
        <v>2</v>
      </c>
      <c r="E98" s="10">
        <f t="shared" si="6"/>
        <v>2.7092286850080968E-2</v>
      </c>
      <c r="G98" s="5"/>
      <c r="H98" s="5"/>
      <c r="I98" s="12"/>
    </row>
    <row r="99" spans="1:9">
      <c r="A99" s="42">
        <v>4.25</v>
      </c>
      <c r="B99" s="10">
        <f t="shared" si="4"/>
        <v>0.99757805946946321</v>
      </c>
      <c r="C99" s="10">
        <f t="shared" si="5"/>
        <v>0.81272848035382284</v>
      </c>
      <c r="D99" s="42">
        <f t="shared" si="7"/>
        <v>4</v>
      </c>
      <c r="E99" s="10">
        <f t="shared" si="6"/>
        <v>5.4050673353795493E-2</v>
      </c>
      <c r="G99" s="5"/>
      <c r="H99" s="5"/>
      <c r="I99" s="12"/>
    </row>
    <row r="100" spans="1:9">
      <c r="A100" s="42">
        <v>4.3</v>
      </c>
      <c r="B100" s="10">
        <f t="shared" si="4"/>
        <v>0.99754326573316277</v>
      </c>
      <c r="C100" s="10">
        <f t="shared" si="5"/>
        <v>0.81074823894439541</v>
      </c>
      <c r="D100" s="42">
        <f t="shared" si="7"/>
        <v>2</v>
      </c>
      <c r="E100" s="10">
        <f t="shared" si="6"/>
        <v>2.6958548198800097E-2</v>
      </c>
      <c r="G100" s="5"/>
      <c r="H100" s="5"/>
      <c r="I100" s="12"/>
    </row>
    <row r="101" spans="1:9">
      <c r="A101" s="42">
        <v>4.3499999999999996</v>
      </c>
      <c r="B101" s="10">
        <f t="shared" si="4"/>
        <v>0.99750833358628321</v>
      </c>
      <c r="C101" s="10">
        <f t="shared" si="5"/>
        <v>0.80877282246252269</v>
      </c>
      <c r="D101" s="42">
        <f t="shared" si="7"/>
        <v>4</v>
      </c>
      <c r="E101" s="10">
        <f t="shared" si="6"/>
        <v>5.3783842025631058E-2</v>
      </c>
      <c r="G101" s="5"/>
      <c r="H101" s="5"/>
      <c r="I101" s="12"/>
    </row>
    <row r="102" spans="1:9">
      <c r="A102" s="42">
        <v>4.4000000000000004</v>
      </c>
      <c r="B102" s="10">
        <f t="shared" si="4"/>
        <v>0.99747326222503019</v>
      </c>
      <c r="C102" s="10">
        <f t="shared" si="5"/>
        <v>0.80680221915210015</v>
      </c>
      <c r="D102" s="42">
        <f t="shared" si="7"/>
        <v>2</v>
      </c>
      <c r="E102" s="10">
        <f t="shared" si="6"/>
        <v>2.6825454716934635E-2</v>
      </c>
      <c r="G102" s="5"/>
      <c r="H102" s="5"/>
      <c r="I102" s="12"/>
    </row>
    <row r="103" spans="1:9">
      <c r="A103" s="42">
        <v>4.45</v>
      </c>
      <c r="B103" s="10">
        <f t="shared" si="4"/>
        <v>0.99743805084098547</v>
      </c>
      <c r="C103" s="10">
        <f t="shared" si="5"/>
        <v>0.80483641728566679</v>
      </c>
      <c r="D103" s="42">
        <f t="shared" si="7"/>
        <v>4</v>
      </c>
      <c r="E103" s="10">
        <f t="shared" si="6"/>
        <v>5.3518297820217171E-2</v>
      </c>
      <c r="G103" s="5"/>
      <c r="H103" s="5"/>
      <c r="I103" s="12"/>
    </row>
    <row r="104" spans="1:9">
      <c r="A104" s="42">
        <v>4.5</v>
      </c>
      <c r="B104" s="10">
        <f t="shared" si="4"/>
        <v>0.99740269862108077</v>
      </c>
      <c r="C104" s="10">
        <f t="shared" si="5"/>
        <v>0.80287540516433631</v>
      </c>
      <c r="D104" s="42">
        <f t="shared" si="7"/>
        <v>2</v>
      </c>
      <c r="E104" s="10">
        <f t="shared" si="6"/>
        <v>2.6693003192246757E-2</v>
      </c>
      <c r="G104" s="5"/>
      <c r="H104" s="5"/>
      <c r="I104" s="12"/>
    </row>
    <row r="105" spans="1:9">
      <c r="A105" s="42">
        <v>4.55</v>
      </c>
      <c r="B105" s="10">
        <f t="shared" si="4"/>
        <v>0.99736720474757079</v>
      </c>
      <c r="C105" s="10">
        <f t="shared" si="5"/>
        <v>0.8009191711177267</v>
      </c>
      <c r="D105" s="42">
        <f t="shared" si="7"/>
        <v>4</v>
      </c>
      <c r="E105" s="10">
        <f t="shared" si="6"/>
        <v>5.3254034328428568E-2</v>
      </c>
      <c r="G105" s="5"/>
      <c r="H105" s="5"/>
      <c r="I105" s="12"/>
    </row>
    <row r="106" spans="1:9">
      <c r="A106" s="42">
        <v>4.5999999999999996</v>
      </c>
      <c r="B106" s="10">
        <f t="shared" si="4"/>
        <v>0.99733156839800774</v>
      </c>
      <c r="C106" s="10">
        <f t="shared" si="5"/>
        <v>0.79896770350389179</v>
      </c>
      <c r="D106" s="42">
        <f t="shared" si="7"/>
        <v>2</v>
      </c>
      <c r="E106" s="10">
        <f t="shared" si="6"/>
        <v>2.6561190427829697E-2</v>
      </c>
      <c r="G106" s="5"/>
      <c r="H106" s="5"/>
      <c r="I106" s="12"/>
    </row>
    <row r="107" spans="1:9">
      <c r="A107" s="42">
        <v>4.6500000000000004</v>
      </c>
      <c r="B107" s="10">
        <f t="shared" si="4"/>
        <v>0.99729578874521452</v>
      </c>
      <c r="C107" s="10">
        <f t="shared" si="5"/>
        <v>0.79702099070925114</v>
      </c>
      <c r="D107" s="42">
        <f t="shared" si="7"/>
        <v>4</v>
      </c>
      <c r="E107" s="10">
        <f t="shared" si="6"/>
        <v>5.2991045171725003E-2</v>
      </c>
      <c r="G107" s="5"/>
      <c r="H107" s="5"/>
      <c r="I107" s="12"/>
    </row>
    <row r="108" spans="1:9">
      <c r="A108" s="42">
        <v>4.7</v>
      </c>
      <c r="B108" s="10">
        <f t="shared" si="4"/>
        <v>0.99725986495725716</v>
      </c>
      <c r="C108" s="10">
        <f t="shared" si="5"/>
        <v>0.79507902114852103</v>
      </c>
      <c r="D108" s="42">
        <f t="shared" si="7"/>
        <v>2</v>
      </c>
      <c r="E108" s="10">
        <f t="shared" si="6"/>
        <v>2.6430013242030745E-2</v>
      </c>
      <c r="G108" s="5"/>
      <c r="H108" s="5"/>
      <c r="I108" s="12"/>
    </row>
    <row r="109" spans="1:9">
      <c r="A109" s="42">
        <v>4.75</v>
      </c>
      <c r="B109" s="10">
        <f t="shared" si="4"/>
        <v>0.99722379619741941</v>
      </c>
      <c r="C109" s="10">
        <f t="shared" si="5"/>
        <v>0.79314178326464624</v>
      </c>
      <c r="D109" s="42">
        <f t="shared" si="7"/>
        <v>4</v>
      </c>
      <c r="E109" s="10">
        <f t="shared" si="6"/>
        <v>5.2729324001997431E-2</v>
      </c>
      <c r="G109" s="5"/>
      <c r="H109" s="5"/>
      <c r="I109" s="12"/>
    </row>
    <row r="110" spans="1:9">
      <c r="A110" s="42">
        <v>4.8</v>
      </c>
      <c r="B110" s="10">
        <f t="shared" si="4"/>
        <v>0.99718758162417442</v>
      </c>
      <c r="C110" s="10">
        <f t="shared" si="5"/>
        <v>0.79120926552873017</v>
      </c>
      <c r="D110" s="42">
        <f t="shared" si="7"/>
        <v>2</v>
      </c>
      <c r="E110" s="10">
        <f t="shared" si="6"/>
        <v>2.629946846837446E-2</v>
      </c>
      <c r="G110" s="5"/>
      <c r="H110" s="5"/>
      <c r="I110" s="12"/>
    </row>
    <row r="111" spans="1:9">
      <c r="A111" s="42">
        <v>4.8499999999999996</v>
      </c>
      <c r="B111" s="10">
        <f t="shared" si="4"/>
        <v>0.99715122039115833</v>
      </c>
      <c r="C111" s="10">
        <f t="shared" si="5"/>
        <v>0.78928145643996694</v>
      </c>
      <c r="D111" s="42">
        <f t="shared" si="7"/>
        <v>4</v>
      </c>
      <c r="E111" s="10">
        <f t="shared" si="6"/>
        <v>5.2468864501414934E-2</v>
      </c>
      <c r="G111" s="5"/>
      <c r="H111" s="5"/>
      <c r="I111" s="12"/>
    </row>
    <row r="112" spans="1:9">
      <c r="A112" s="42">
        <v>4.9000000000000004</v>
      </c>
      <c r="B112" s="10">
        <f t="shared" si="4"/>
        <v>0.99711471164714272</v>
      </c>
      <c r="C112" s="10">
        <f t="shared" si="5"/>
        <v>0.78735834452557296</v>
      </c>
      <c r="D112" s="42">
        <f t="shared" si="7"/>
        <v>2</v>
      </c>
      <c r="E112" s="10">
        <f t="shared" si="6"/>
        <v>2.6169552955486283E-2</v>
      </c>
      <c r="G112" s="5"/>
      <c r="H112" s="5"/>
      <c r="I112" s="12"/>
    </row>
    <row r="113" spans="1:9">
      <c r="A113" s="42">
        <v>4.95</v>
      </c>
      <c r="B113" s="10">
        <f t="shared" si="4"/>
        <v>0.99707805453600784</v>
      </c>
      <c r="C113" s="10">
        <f t="shared" si="5"/>
        <v>0.78543991834071836</v>
      </c>
      <c r="D113" s="42">
        <f t="shared" si="7"/>
        <v>4</v>
      </c>
      <c r="E113" s="10">
        <f t="shared" si="6"/>
        <v>5.2209660382272295E-2</v>
      </c>
      <c r="G113" s="5"/>
      <c r="H113" s="5"/>
      <c r="I113" s="12"/>
    </row>
    <row r="114" spans="1:9">
      <c r="A114" s="42">
        <v>5</v>
      </c>
      <c r="B114" s="10">
        <f t="shared" si="4"/>
        <v>0.9970412481967138</v>
      </c>
      <c r="C114" s="10">
        <f t="shared" si="5"/>
        <v>0.78352616646845896</v>
      </c>
      <c r="D114" s="42">
        <f t="shared" si="7"/>
        <v>2</v>
      </c>
      <c r="E114" s="10">
        <f t="shared" si="6"/>
        <v>2.6040263567016619E-2</v>
      </c>
      <c r="G114" s="5">
        <f>(E$415-SUM(E$14:E114)+E114/2)/(B114*C114)</f>
        <v>10.553408480131544</v>
      </c>
      <c r="H114" s="5">
        <f>1-LN(1+B$6)*G114</f>
        <v>0.48509746770730555</v>
      </c>
      <c r="I114" s="12">
        <f>200000*H114-G114*E$417</f>
        <v>33483.770011575485</v>
      </c>
    </row>
    <row r="115" spans="1:9">
      <c r="A115" s="42">
        <v>5.05</v>
      </c>
      <c r="B115" s="10">
        <f t="shared" si="4"/>
        <v>0.99700429176327332</v>
      </c>
      <c r="C115" s="10">
        <f t="shared" si="5"/>
        <v>0.78161707751966825</v>
      </c>
      <c r="D115" s="42">
        <f t="shared" si="7"/>
        <v>4</v>
      </c>
      <c r="E115" s="10">
        <f t="shared" si="6"/>
        <v>5.195170538683843E-2</v>
      </c>
      <c r="G115" s="5"/>
      <c r="H115" s="5"/>
      <c r="I115" s="12"/>
    </row>
    <row r="116" spans="1:9">
      <c r="A116" s="42">
        <v>5.0999999999999996</v>
      </c>
      <c r="B116" s="10">
        <f t="shared" si="4"/>
        <v>0.99696718436472476</v>
      </c>
      <c r="C116" s="10">
        <f t="shared" si="5"/>
        <v>0.77971264013296993</v>
      </c>
      <c r="D116" s="42">
        <f t="shared" si="7"/>
        <v>2</v>
      </c>
      <c r="E116" s="10">
        <f t="shared" si="6"/>
        <v>2.5911597181565101E-2</v>
      </c>
      <c r="G116" s="5"/>
      <c r="H116" s="5"/>
      <c r="I116" s="12"/>
    </row>
    <row r="117" spans="1:9">
      <c r="A117" s="42">
        <v>5.15</v>
      </c>
      <c r="B117" s="10">
        <f t="shared" si="4"/>
        <v>0.9969299251251027</v>
      </c>
      <c r="C117" s="10">
        <f t="shared" si="5"/>
        <v>0.77781284297467035</v>
      </c>
      <c r="D117" s="42">
        <f t="shared" si="7"/>
        <v>4</v>
      </c>
      <c r="E117" s="10">
        <f t="shared" si="6"/>
        <v>5.1694993287205428E-2</v>
      </c>
      <c r="G117" s="5"/>
      <c r="H117" s="5"/>
      <c r="I117" s="12"/>
    </row>
    <row r="118" spans="1:9">
      <c r="A118" s="42">
        <v>5.2</v>
      </c>
      <c r="B118" s="10">
        <f t="shared" si="4"/>
        <v>0.99689251316341065</v>
      </c>
      <c r="C118" s="10">
        <f t="shared" si="5"/>
        <v>0.77591767473869</v>
      </c>
      <c r="D118" s="42">
        <f t="shared" si="7"/>
        <v>2</v>
      </c>
      <c r="E118" s="10">
        <f t="shared" si="6"/>
        <v>2.578355069260542E-2</v>
      </c>
      <c r="G118" s="5"/>
      <c r="H118" s="5"/>
      <c r="I118" s="12"/>
    </row>
    <row r="119" spans="1:9">
      <c r="A119" s="42">
        <v>5.25</v>
      </c>
      <c r="B119" s="10">
        <f t="shared" ref="B119:B182" si="8">$B$54*($B$9^(A119-2))*$B$8^(($B$5^(42))*(($B$5^(A119-2)-1)))</f>
        <v>0.99685494759359217</v>
      </c>
      <c r="C119" s="10">
        <f t="shared" si="5"/>
        <v>0.77402712414649788</v>
      </c>
      <c r="D119" s="42">
        <f t="shared" si="7"/>
        <v>4</v>
      </c>
      <c r="E119" s="10">
        <f t="shared" si="6"/>
        <v>5.1439517885138404E-2</v>
      </c>
      <c r="G119" s="5"/>
      <c r="H119" s="5"/>
      <c r="I119" s="12"/>
    </row>
    <row r="120" spans="1:9">
      <c r="A120" s="42">
        <v>5.3</v>
      </c>
      <c r="B120" s="10">
        <f t="shared" si="8"/>
        <v>0.99681722752450297</v>
      </c>
      <c r="C120" s="10">
        <f t="shared" si="5"/>
        <v>0.77214117994704312</v>
      </c>
      <c r="D120" s="42">
        <f t="shared" si="7"/>
        <v>2</v>
      </c>
      <c r="E120" s="10">
        <f t="shared" si="6"/>
        <v>2.5656121008410332E-2</v>
      </c>
      <c r="G120" s="5"/>
      <c r="H120" s="5"/>
      <c r="I120" s="12"/>
    </row>
    <row r="121" spans="1:9">
      <c r="A121" s="42">
        <v>5.35</v>
      </c>
      <c r="B121" s="10">
        <f t="shared" si="8"/>
        <v>0.99677935205988166</v>
      </c>
      <c r="C121" s="10">
        <f t="shared" si="5"/>
        <v>0.77025983091668826</v>
      </c>
      <c r="D121" s="42">
        <f t="shared" si="7"/>
        <v>4</v>
      </c>
      <c r="E121" s="10">
        <f t="shared" si="6"/>
        <v>5.118527301192604E-2</v>
      </c>
      <c r="G121" s="5"/>
      <c r="H121" s="5"/>
      <c r="I121" s="12"/>
    </row>
    <row r="122" spans="1:9">
      <c r="A122" s="42">
        <v>5.4</v>
      </c>
      <c r="B122" s="10">
        <f t="shared" si="8"/>
        <v>0.99674132029832108</v>
      </c>
      <c r="C122" s="10">
        <f t="shared" si="5"/>
        <v>0.76838306585914296</v>
      </c>
      <c r="D122" s="42">
        <f t="shared" si="7"/>
        <v>2</v>
      </c>
      <c r="E122" s="10">
        <f t="shared" si="6"/>
        <v>2.5529305051977133E-2</v>
      </c>
      <c r="G122" s="5"/>
      <c r="H122" s="5"/>
      <c r="I122" s="12"/>
    </row>
    <row r="123" spans="1:9">
      <c r="A123" s="42">
        <v>5.45</v>
      </c>
      <c r="B123" s="10">
        <f t="shared" si="8"/>
        <v>0.99670313133323996</v>
      </c>
      <c r="C123" s="10">
        <f t="shared" si="5"/>
        <v>0.76651087360539705</v>
      </c>
      <c r="D123" s="42">
        <f t="shared" si="7"/>
        <v>4</v>
      </c>
      <c r="E123" s="10">
        <f t="shared" si="6"/>
        <v>5.0932252528231775E-2</v>
      </c>
      <c r="G123" s="5"/>
      <c r="H123" s="5"/>
      <c r="I123" s="12"/>
    </row>
    <row r="124" spans="1:9">
      <c r="A124" s="42">
        <v>5.5</v>
      </c>
      <c r="B124" s="10">
        <f t="shared" si="8"/>
        <v>0.99666478425285299</v>
      </c>
      <c r="C124" s="10">
        <f t="shared" si="5"/>
        <v>0.7646432430136535</v>
      </c>
      <c r="D124" s="42">
        <f t="shared" si="7"/>
        <v>2</v>
      </c>
      <c r="E124" s="10">
        <f t="shared" si="6"/>
        <v>2.5403099760953493E-2</v>
      </c>
      <c r="G124" s="5"/>
      <c r="H124" s="5"/>
      <c r="I124" s="12"/>
    </row>
    <row r="125" spans="1:9">
      <c r="A125" s="42">
        <v>5.55</v>
      </c>
      <c r="B125" s="10">
        <f t="shared" si="8"/>
        <v>0.99662627814014171</v>
      </c>
      <c r="C125" s="10">
        <f t="shared" si="5"/>
        <v>0.76278016296926343</v>
      </c>
      <c r="D125" s="42">
        <f t="shared" si="7"/>
        <v>4</v>
      </c>
      <c r="E125" s="10">
        <f t="shared" si="6"/>
        <v>5.0680450323945858E-2</v>
      </c>
      <c r="G125" s="5"/>
      <c r="H125" s="5"/>
      <c r="I125" s="12"/>
    </row>
    <row r="126" spans="1:9">
      <c r="A126" s="42">
        <v>5.6</v>
      </c>
      <c r="B126" s="10">
        <f t="shared" si="8"/>
        <v>0.99658761207282565</v>
      </c>
      <c r="C126" s="10">
        <f t="shared" si="5"/>
        <v>0.76092162238465888</v>
      </c>
      <c r="D126" s="42">
        <f t="shared" si="7"/>
        <v>2</v>
      </c>
      <c r="E126" s="10">
        <f t="shared" si="6"/>
        <v>2.5277502087563589E-2</v>
      </c>
      <c r="G126" s="5"/>
      <c r="H126" s="5"/>
      <c r="I126" s="12"/>
    </row>
    <row r="127" spans="1:9">
      <c r="A127" s="42">
        <v>5.65</v>
      </c>
      <c r="B127" s="10">
        <f t="shared" si="8"/>
        <v>0.996548785123332</v>
      </c>
      <c r="C127" s="10">
        <f t="shared" si="5"/>
        <v>0.7590676101992867</v>
      </c>
      <c r="D127" s="42">
        <f t="shared" si="7"/>
        <v>4</v>
      </c>
      <c r="E127" s="10">
        <f t="shared" si="6"/>
        <v>5.0429860318038013E-2</v>
      </c>
      <c r="G127" s="5"/>
      <c r="H127" s="5"/>
      <c r="I127" s="12"/>
    </row>
    <row r="128" spans="1:9">
      <c r="A128" s="42">
        <v>5.7</v>
      </c>
      <c r="B128" s="10">
        <f t="shared" si="8"/>
        <v>0.99650979635876624</v>
      </c>
      <c r="C128" s="10">
        <f t="shared" si="5"/>
        <v>0.75721811537954387</v>
      </c>
      <c r="D128" s="42">
        <f t="shared" si="7"/>
        <v>2</v>
      </c>
      <c r="E128" s="10">
        <f t="shared" si="6"/>
        <v>2.5152508998534603E-2</v>
      </c>
      <c r="G128" s="5"/>
      <c r="H128" s="5"/>
      <c r="I128" s="12"/>
    </row>
    <row r="129" spans="1:9">
      <c r="A129" s="42">
        <v>5.75</v>
      </c>
      <c r="B129" s="10">
        <f t="shared" si="8"/>
        <v>0.99647064484088255</v>
      </c>
      <c r="C129" s="10">
        <f t="shared" si="5"/>
        <v>0.75537312691871061</v>
      </c>
      <c r="D129" s="42">
        <f t="shared" si="7"/>
        <v>4</v>
      </c>
      <c r="E129" s="10">
        <f t="shared" si="6"/>
        <v>5.0180476458410762E-2</v>
      </c>
      <c r="G129" s="5"/>
      <c r="H129" s="5"/>
      <c r="I129" s="12"/>
    </row>
    <row r="130" spans="1:9">
      <c r="A130" s="42">
        <v>5.8</v>
      </c>
      <c r="B130" s="10">
        <f t="shared" si="8"/>
        <v>0.99643132962605252</v>
      </c>
      <c r="C130" s="10">
        <f t="shared" si="5"/>
        <v>0.75353263383688585</v>
      </c>
      <c r="D130" s="42">
        <f t="shared" si="7"/>
        <v>2</v>
      </c>
      <c r="E130" s="10">
        <f t="shared" si="6"/>
        <v>2.5028117475023651E-2</v>
      </c>
      <c r="G130" s="5"/>
      <c r="H130" s="5"/>
      <c r="I130" s="12"/>
    </row>
    <row r="131" spans="1:9">
      <c r="A131" s="42">
        <v>5.85</v>
      </c>
      <c r="B131" s="10">
        <f t="shared" si="8"/>
        <v>0.99639184976523698</v>
      </c>
      <c r="C131" s="10">
        <f t="shared" si="5"/>
        <v>0.75169662518092084</v>
      </c>
      <c r="D131" s="42">
        <f t="shared" si="7"/>
        <v>4</v>
      </c>
      <c r="E131" s="10">
        <f t="shared" si="6"/>
        <v>4.9932292721753584E-2</v>
      </c>
      <c r="G131" s="5"/>
      <c r="H131" s="5"/>
      <c r="I131" s="12"/>
    </row>
    <row r="132" spans="1:9">
      <c r="A132" s="42">
        <v>5.9</v>
      </c>
      <c r="B132" s="10">
        <f t="shared" si="8"/>
        <v>0.99635220430395344</v>
      </c>
      <c r="C132" s="10">
        <f t="shared" si="5"/>
        <v>0.7498650900243552</v>
      </c>
      <c r="D132" s="42">
        <f t="shared" si="7"/>
        <v>2</v>
      </c>
      <c r="E132" s="10">
        <f t="shared" si="6"/>
        <v>2.490432451254496E-2</v>
      </c>
      <c r="G132" s="5"/>
      <c r="H132" s="5"/>
      <c r="I132" s="12"/>
    </row>
    <row r="133" spans="1:9">
      <c r="A133" s="42">
        <v>5.95</v>
      </c>
      <c r="B133" s="10">
        <f t="shared" si="8"/>
        <v>0.99631239228224677</v>
      </c>
      <c r="C133" s="10">
        <f t="shared" si="5"/>
        <v>0.74803801746735077</v>
      </c>
      <c r="D133" s="42">
        <f t="shared" si="7"/>
        <v>4</v>
      </c>
      <c r="E133" s="10">
        <f t="shared" si="6"/>
        <v>4.9685303113397687E-2</v>
      </c>
      <c r="G133" s="5"/>
      <c r="H133" s="5"/>
      <c r="I133" s="12"/>
    </row>
    <row r="134" spans="1:9">
      <c r="A134" s="42">
        <v>6</v>
      </c>
      <c r="B134" s="10">
        <f t="shared" si="8"/>
        <v>0.99627241273465872</v>
      </c>
      <c r="C134" s="10">
        <f t="shared" si="5"/>
        <v>0.74621539663662761</v>
      </c>
      <c r="D134" s="42">
        <f t="shared" si="7"/>
        <v>2</v>
      </c>
      <c r="E134" s="10">
        <f t="shared" si="6"/>
        <v>2.4781127120897445E-2</v>
      </c>
      <c r="G134" s="5">
        <f>(E$415-SUM(E$14:E134)+E134/2)/(B134*C134)</f>
        <v>10.064429497683829</v>
      </c>
      <c r="H134" s="5">
        <f>1-LN(1+B$6)*G134</f>
        <v>0.50895483253633145</v>
      </c>
      <c r="I134" s="12">
        <f>200000*H134-G134*E$417</f>
        <v>41199.091261014575</v>
      </c>
    </row>
    <row r="135" spans="1:9">
      <c r="A135" s="42">
        <v>6.05</v>
      </c>
      <c r="B135" s="10">
        <f t="shared" si="8"/>
        <v>0.99623226469019555</v>
      </c>
      <c r="C135" s="10">
        <f t="shared" si="5"/>
        <v>0.74439721668539827</v>
      </c>
      <c r="D135" s="42">
        <f t="shared" si="7"/>
        <v>4</v>
      </c>
      <c r="E135" s="10">
        <f t="shared" si="6"/>
        <v>4.9439501667171509E-2</v>
      </c>
      <c r="G135" s="5"/>
      <c r="H135" s="5"/>
      <c r="I135" s="12"/>
    </row>
    <row r="136" spans="1:9">
      <c r="A136" s="42">
        <v>6.1</v>
      </c>
      <c r="B136" s="10">
        <f t="shared" si="8"/>
        <v>0.99619194717229875</v>
      </c>
      <c r="C136" s="10">
        <f t="shared" si="5"/>
        <v>0.74258346679330478</v>
      </c>
      <c r="D136" s="42">
        <f t="shared" si="7"/>
        <v>2</v>
      </c>
      <c r="E136" s="10">
        <f t="shared" si="6"/>
        <v>2.4658522324092613E-2</v>
      </c>
      <c r="G136" s="5"/>
      <c r="H136" s="5"/>
      <c r="I136" s="12"/>
    </row>
    <row r="137" spans="1:9">
      <c r="A137" s="42">
        <v>6.15</v>
      </c>
      <c r="B137" s="10">
        <f t="shared" si="8"/>
        <v>0.99615145919881309</v>
      </c>
      <c r="C137" s="10">
        <f t="shared" si="5"/>
        <v>0.74077413616635257</v>
      </c>
      <c r="D137" s="42">
        <f t="shared" si="7"/>
        <v>4</v>
      </c>
      <c r="E137" s="10">
        <f t="shared" si="6"/>
        <v>4.9194882445256827E-2</v>
      </c>
      <c r="G137" s="5"/>
      <c r="H137" s="5"/>
      <c r="I137" s="12"/>
    </row>
    <row r="138" spans="1:9">
      <c r="A138" s="42">
        <v>6.2</v>
      </c>
      <c r="B138" s="10">
        <f t="shared" si="8"/>
        <v>0.9961107997819546</v>
      </c>
      <c r="C138" s="10">
        <f t="shared" si="5"/>
        <v>0.73896921403684768</v>
      </c>
      <c r="D138" s="42">
        <f t="shared" si="7"/>
        <v>2</v>
      </c>
      <c r="E138" s="10">
        <f t="shared" si="6"/>
        <v>2.4536507160282894E-2</v>
      </c>
      <c r="G138" s="5"/>
      <c r="H138" s="5"/>
      <c r="I138" s="12"/>
    </row>
    <row r="139" spans="1:9">
      <c r="A139" s="42">
        <v>6.25</v>
      </c>
      <c r="B139" s="10">
        <f t="shared" si="8"/>
        <v>0.99606996792828018</v>
      </c>
      <c r="C139" s="10">
        <f t="shared" si="5"/>
        <v>0.73716868966333127</v>
      </c>
      <c r="D139" s="42">
        <f t="shared" si="7"/>
        <v>4</v>
      </c>
      <c r="E139" s="10">
        <f t="shared" si="6"/>
        <v>4.8951439538045781E-2</v>
      </c>
      <c r="G139" s="5"/>
      <c r="H139" s="5"/>
      <c r="I139" s="12"/>
    </row>
    <row r="140" spans="1:9">
      <c r="A140" s="42">
        <v>6.3</v>
      </c>
      <c r="B140" s="10">
        <f t="shared" si="8"/>
        <v>0.9960289626386547</v>
      </c>
      <c r="C140" s="10">
        <f t="shared" si="5"/>
        <v>0.73537255233051724</v>
      </c>
      <c r="D140" s="42">
        <f t="shared" si="7"/>
        <v>2</v>
      </c>
      <c r="E140" s="10">
        <f t="shared" si="6"/>
        <v>2.4415078681690166E-2</v>
      </c>
      <c r="G140" s="5"/>
      <c r="H140" s="5"/>
      <c r="I140" s="12"/>
    </row>
    <row r="141" spans="1:9">
      <c r="A141" s="42">
        <v>6.35</v>
      </c>
      <c r="B141" s="10">
        <f t="shared" si="8"/>
        <v>0.99598778290822054</v>
      </c>
      <c r="C141" s="10">
        <f t="shared" si="5"/>
        <v>0.73358079134922693</v>
      </c>
      <c r="D141" s="42">
        <f t="shared" si="7"/>
        <v>4</v>
      </c>
      <c r="E141" s="10">
        <f t="shared" si="6"/>
        <v>4.8709167063998297E-2</v>
      </c>
      <c r="G141" s="5"/>
      <c r="H141" s="5"/>
      <c r="I141" s="12"/>
    </row>
    <row r="142" spans="1:9">
      <c r="A142" s="42">
        <v>6.4</v>
      </c>
      <c r="B142" s="10">
        <f t="shared" si="8"/>
        <v>0.99594642772636399</v>
      </c>
      <c r="C142" s="10">
        <f t="shared" si="5"/>
        <v>0.73179339605632654</v>
      </c>
      <c r="D142" s="42">
        <f t="shared" si="7"/>
        <v>2</v>
      </c>
      <c r="E142" s="10">
        <f t="shared" si="6"/>
        <v>2.4294233954534759E-2</v>
      </c>
      <c r="G142" s="5"/>
      <c r="H142" s="5"/>
      <c r="I142" s="12"/>
    </row>
    <row r="143" spans="1:9">
      <c r="A143" s="42">
        <v>6.45</v>
      </c>
      <c r="B143" s="10">
        <f t="shared" si="8"/>
        <v>0.99590489607668431</v>
      </c>
      <c r="C143" s="10">
        <f t="shared" ref="C143:C206" si="9">(1+B$6)^-A143</f>
        <v>0.73001035581466378</v>
      </c>
      <c r="D143" s="42">
        <f t="shared" si="7"/>
        <v>4</v>
      </c>
      <c r="E143" s="10">
        <f t="shared" ref="E143:E206" si="10">B143*C143*D143*0.05/3</f>
        <v>4.8468059169500401E-2</v>
      </c>
      <c r="G143" s="5"/>
      <c r="H143" s="5"/>
      <c r="I143" s="12"/>
    </row>
    <row r="144" spans="1:9">
      <c r="A144" s="42">
        <v>6.5</v>
      </c>
      <c r="B144" s="10">
        <f t="shared" si="8"/>
        <v>0.9958631869369603</v>
      </c>
      <c r="C144" s="10">
        <f t="shared" si="9"/>
        <v>0.72823166001300332</v>
      </c>
      <c r="D144" s="42">
        <f t="shared" si="7"/>
        <v>2</v>
      </c>
      <c r="E144" s="10">
        <f t="shared" si="10"/>
        <v>2.4173970058964749E-2</v>
      </c>
      <c r="G144" s="5"/>
      <c r="H144" s="5"/>
      <c r="I144" s="12"/>
    </row>
    <row r="145" spans="1:9">
      <c r="A145" s="42">
        <v>6.55</v>
      </c>
      <c r="B145" s="10">
        <f t="shared" si="8"/>
        <v>0.99582129927911855</v>
      </c>
      <c r="C145" s="10">
        <f t="shared" si="9"/>
        <v>0.72645729806596526</v>
      </c>
      <c r="D145" s="42">
        <f t="shared" ref="D145:D208" si="11">IF(D144=4,2,4)</f>
        <v>4</v>
      </c>
      <c r="E145" s="10">
        <f t="shared" si="10"/>
        <v>4.822811002872316E-2</v>
      </c>
      <c r="G145" s="5"/>
      <c r="H145" s="5"/>
      <c r="I145" s="12"/>
    </row>
    <row r="146" spans="1:9">
      <c r="A146" s="42">
        <v>6.6</v>
      </c>
      <c r="B146" s="10">
        <f t="shared" si="8"/>
        <v>0.99577923206920016</v>
      </c>
      <c r="C146" s="10">
        <f t="shared" si="9"/>
        <v>0.72468725941396073</v>
      </c>
      <c r="D146" s="42">
        <f t="shared" si="11"/>
        <v>2</v>
      </c>
      <c r="E146" s="10">
        <f t="shared" si="10"/>
        <v>2.4054284088985568E-2</v>
      </c>
      <c r="G146" s="5"/>
      <c r="H146" s="5"/>
      <c r="I146" s="12"/>
    </row>
    <row r="147" spans="1:9">
      <c r="A147" s="42">
        <v>6.65</v>
      </c>
      <c r="B147" s="10">
        <f t="shared" si="8"/>
        <v>0.99573698426732815</v>
      </c>
      <c r="C147" s="10">
        <f t="shared" si="9"/>
        <v>0.72292153352313016</v>
      </c>
      <c r="D147" s="42">
        <f t="shared" si="11"/>
        <v>4</v>
      </c>
      <c r="E147" s="10">
        <f t="shared" si="10"/>
        <v>4.7989313843482255E-2</v>
      </c>
      <c r="G147" s="5"/>
      <c r="H147" s="5"/>
      <c r="I147" s="12"/>
    </row>
    <row r="148" spans="1:9">
      <c r="A148" s="42">
        <v>6.7</v>
      </c>
      <c r="B148" s="10">
        <f t="shared" si="8"/>
        <v>0.99569455482767422</v>
      </c>
      <c r="C148" s="10">
        <f t="shared" si="9"/>
        <v>0.72116010988527979</v>
      </c>
      <c r="D148" s="42">
        <f t="shared" si="11"/>
        <v>2</v>
      </c>
      <c r="E148" s="10">
        <f t="shared" si="10"/>
        <v>2.3935173152390011E-2</v>
      </c>
      <c r="G148" s="5"/>
      <c r="H148" s="5"/>
      <c r="I148" s="12"/>
    </row>
    <row r="149" spans="1:9">
      <c r="A149" s="42">
        <v>6.75</v>
      </c>
      <c r="B149" s="10">
        <f t="shared" si="8"/>
        <v>0.99565194269842539</v>
      </c>
      <c r="C149" s="10">
        <f t="shared" si="9"/>
        <v>0.71940297801781972</v>
      </c>
      <c r="D149" s="42">
        <f t="shared" si="11"/>
        <v>4</v>
      </c>
      <c r="E149" s="10">
        <f t="shared" si="10"/>
        <v>4.775166484309832E-2</v>
      </c>
      <c r="G149" s="5"/>
      <c r="H149" s="5"/>
      <c r="I149" s="12"/>
    </row>
    <row r="150" spans="1:9">
      <c r="A150" s="42">
        <v>6.8</v>
      </c>
      <c r="B150" s="10">
        <f t="shared" si="8"/>
        <v>0.99560914682175083</v>
      </c>
      <c r="C150" s="10">
        <f t="shared" si="9"/>
        <v>0.71765012746370072</v>
      </c>
      <c r="D150" s="42">
        <f t="shared" si="11"/>
        <v>2</v>
      </c>
      <c r="E150" s="10">
        <f t="shared" si="10"/>
        <v>2.3816634370688528E-2</v>
      </c>
      <c r="G150" s="5"/>
      <c r="H150" s="5"/>
      <c r="I150" s="12"/>
    </row>
    <row r="151" spans="1:9">
      <c r="A151" s="42">
        <v>6.85</v>
      </c>
      <c r="B151" s="10">
        <f t="shared" si="8"/>
        <v>0.99556616613376747</v>
      </c>
      <c r="C151" s="10">
        <f t="shared" si="9"/>
        <v>0.71590154779135318</v>
      </c>
      <c r="D151" s="42">
        <f t="shared" si="11"/>
        <v>4</v>
      </c>
      <c r="E151" s="10">
        <f t="shared" si="10"/>
        <v>4.7515157284257842E-2</v>
      </c>
      <c r="G151" s="5"/>
      <c r="H151" s="5"/>
      <c r="I151" s="12"/>
    </row>
    <row r="152" spans="1:9">
      <c r="A152" s="42">
        <v>6.9</v>
      </c>
      <c r="B152" s="10">
        <f t="shared" si="8"/>
        <v>0.99552299956450785</v>
      </c>
      <c r="C152" s="10">
        <f t="shared" si="9"/>
        <v>0.71415722859462394</v>
      </c>
      <c r="D152" s="42">
        <f t="shared" si="11"/>
        <v>2</v>
      </c>
      <c r="E152" s="10">
        <f t="shared" si="10"/>
        <v>2.3698664879039866E-2</v>
      </c>
      <c r="G152" s="5"/>
      <c r="H152" s="5"/>
      <c r="I152" s="12"/>
    </row>
    <row r="153" spans="1:9">
      <c r="A153" s="42">
        <v>6.95</v>
      </c>
      <c r="B153" s="10">
        <f t="shared" si="8"/>
        <v>0.99547964603788397</v>
      </c>
      <c r="C153" s="10">
        <f t="shared" si="9"/>
        <v>0.712417159492715</v>
      </c>
      <c r="D153" s="42">
        <f t="shared" si="11"/>
        <v>4</v>
      </c>
      <c r="E153" s="10">
        <f t="shared" si="10"/>
        <v>4.7279785450874849E-2</v>
      </c>
      <c r="G153" s="5"/>
      <c r="H153" s="5"/>
      <c r="I153" s="12"/>
    </row>
    <row r="154" spans="1:9">
      <c r="A154" s="42">
        <v>7</v>
      </c>
      <c r="B154" s="10">
        <f t="shared" si="8"/>
        <v>0.99543610447165509</v>
      </c>
      <c r="C154" s="10">
        <f t="shared" si="9"/>
        <v>0.71068133013012147</v>
      </c>
      <c r="D154" s="42">
        <f t="shared" si="11"/>
        <v>2</v>
      </c>
      <c r="E154" s="10">
        <f t="shared" si="10"/>
        <v>2.3581261826182084E-2</v>
      </c>
      <c r="G154" s="5">
        <f>(E$415-SUM(E$14:E154)+E154/2)/(B154*C154)</f>
        <v>9.5512924750300243</v>
      </c>
      <c r="H154" s="5">
        <f>1-LN(1+B$6)*G154</f>
        <v>0.53399087211302421</v>
      </c>
      <c r="I154" s="12">
        <f>200000*H154-G154*E$417</f>
        <v>49295.588486594483</v>
      </c>
    </row>
    <row r="155" spans="1:9">
      <c r="A155" s="42">
        <v>7.05</v>
      </c>
      <c r="B155" s="10">
        <f t="shared" si="8"/>
        <v>0.99539237377739165</v>
      </c>
      <c r="C155" s="10">
        <f t="shared" si="9"/>
        <v>0.7089497301765697</v>
      </c>
      <c r="D155" s="42">
        <f t="shared" si="11"/>
        <v>4</v>
      </c>
      <c r="E155" s="10">
        <f t="shared" si="10"/>
        <v>4.7045543653953137E-2</v>
      </c>
      <c r="G155" s="5"/>
      <c r="H155" s="5"/>
      <c r="I155" s="12"/>
    </row>
    <row r="156" spans="1:9">
      <c r="A156" s="42">
        <v>7.1</v>
      </c>
      <c r="B156" s="10">
        <f t="shared" si="8"/>
        <v>0.99534845286044293</v>
      </c>
      <c r="C156" s="10">
        <f t="shared" si="9"/>
        <v>0.70722234932695693</v>
      </c>
      <c r="D156" s="42">
        <f t="shared" si="11"/>
        <v>2</v>
      </c>
      <c r="E156" s="10">
        <f t="shared" si="10"/>
        <v>2.3464422374363813E-2</v>
      </c>
      <c r="G156" s="5"/>
      <c r="H156" s="5"/>
      <c r="I156" s="12"/>
    </row>
    <row r="157" spans="1:9">
      <c r="A157" s="42">
        <v>7.15</v>
      </c>
      <c r="B157" s="10">
        <f t="shared" si="8"/>
        <v>0.99530434061989936</v>
      </c>
      <c r="C157" s="10">
        <f t="shared" si="9"/>
        <v>0.70549917730128819</v>
      </c>
      <c r="D157" s="42">
        <f t="shared" si="11"/>
        <v>4</v>
      </c>
      <c r="E157" s="10">
        <f t="shared" si="10"/>
        <v>4.681242623144935E-2</v>
      </c>
      <c r="G157" s="5"/>
      <c r="H157" s="5"/>
      <c r="I157" s="12"/>
    </row>
    <row r="158" spans="1:9">
      <c r="A158" s="42">
        <v>7.2</v>
      </c>
      <c r="B158" s="10">
        <f t="shared" si="8"/>
        <v>0.99526003594856094</v>
      </c>
      <c r="C158" s="10">
        <f t="shared" si="9"/>
        <v>0.70378020384461681</v>
      </c>
      <c r="D158" s="42">
        <f t="shared" si="11"/>
        <v>2</v>
      </c>
      <c r="E158" s="10">
        <f t="shared" si="10"/>
        <v>2.3348143699275962E-2</v>
      </c>
      <c r="G158" s="5"/>
      <c r="H158" s="5"/>
      <c r="I158" s="12"/>
    </row>
    <row r="159" spans="1:9">
      <c r="A159" s="42">
        <v>7.25</v>
      </c>
      <c r="B159" s="10">
        <f t="shared" si="8"/>
        <v>0.9952155377328995</v>
      </c>
      <c r="C159" s="10">
        <f t="shared" si="9"/>
        <v>0.70206541872698214</v>
      </c>
      <c r="D159" s="42">
        <f t="shared" si="11"/>
        <v>4</v>
      </c>
      <c r="E159" s="10">
        <f t="shared" si="10"/>
        <v>4.6580427548136454E-2</v>
      </c>
      <c r="G159" s="5"/>
      <c r="H159" s="5"/>
      <c r="I159" s="12"/>
    </row>
    <row r="160" spans="1:9">
      <c r="A160" s="42">
        <v>7.3</v>
      </c>
      <c r="B160" s="10">
        <f t="shared" si="8"/>
        <v>0.99517084485302498</v>
      </c>
      <c r="C160" s="10">
        <f t="shared" si="9"/>
        <v>0.70035481174334968</v>
      </c>
      <c r="D160" s="42">
        <f t="shared" si="11"/>
        <v>2</v>
      </c>
      <c r="E160" s="10">
        <f t="shared" si="10"/>
        <v>2.3232422989983684E-2</v>
      </c>
      <c r="G160" s="5"/>
      <c r="H160" s="5"/>
      <c r="I160" s="12"/>
    </row>
    <row r="161" spans="1:9">
      <c r="A161" s="42">
        <v>7.35</v>
      </c>
      <c r="B161" s="10">
        <f t="shared" si="8"/>
        <v>0.99512595618264876</v>
      </c>
      <c r="C161" s="10">
        <f t="shared" si="9"/>
        <v>0.6986483727135494</v>
      </c>
      <c r="D161" s="42">
        <f t="shared" si="11"/>
        <v>4</v>
      </c>
      <c r="E161" s="10">
        <f t="shared" si="10"/>
        <v>4.6349541995468167E-2</v>
      </c>
      <c r="G161" s="5"/>
      <c r="H161" s="5"/>
      <c r="I161" s="12"/>
    </row>
    <row r="162" spans="1:9">
      <c r="A162" s="42">
        <v>7.4</v>
      </c>
      <c r="B162" s="10">
        <f t="shared" si="8"/>
        <v>0.99508087058904982</v>
      </c>
      <c r="C162" s="10">
        <f t="shared" si="9"/>
        <v>0.69694609148221576</v>
      </c>
      <c r="D162" s="42">
        <f t="shared" si="11"/>
        <v>2</v>
      </c>
      <c r="E162" s="10">
        <f t="shared" si="10"/>
        <v>2.311725744885863E-2</v>
      </c>
      <c r="G162" s="5"/>
      <c r="H162" s="5"/>
      <c r="I162" s="12"/>
    </row>
    <row r="163" spans="1:9">
      <c r="A163" s="42">
        <v>7.45</v>
      </c>
      <c r="B163" s="10">
        <f t="shared" si="8"/>
        <v>0.99503558693303706</v>
      </c>
      <c r="C163" s="10">
        <f t="shared" si="9"/>
        <v>0.69524795791872729</v>
      </c>
      <c r="D163" s="42">
        <f t="shared" si="11"/>
        <v>4</v>
      </c>
      <c r="E163" s="10">
        <f t="shared" si="10"/>
        <v>4.6119763991443748E-2</v>
      </c>
      <c r="G163" s="5"/>
      <c r="H163" s="5"/>
      <c r="I163" s="12"/>
    </row>
    <row r="164" spans="1:9">
      <c r="A164" s="42">
        <v>7.5</v>
      </c>
      <c r="B164" s="10">
        <f t="shared" si="8"/>
        <v>0.99499010406891453</v>
      </c>
      <c r="C164" s="10">
        <f t="shared" si="9"/>
        <v>0.69355396191714602</v>
      </c>
      <c r="D164" s="42">
        <f t="shared" si="11"/>
        <v>2</v>
      </c>
      <c r="E164" s="10">
        <f t="shared" si="10"/>
        <v>2.3002644291511637E-2</v>
      </c>
      <c r="G164" s="5"/>
      <c r="H164" s="5"/>
      <c r="I164" s="12"/>
    </row>
    <row r="165" spans="1:9">
      <c r="A165" s="42">
        <v>7.55</v>
      </c>
      <c r="B165" s="10">
        <f t="shared" si="8"/>
        <v>0.99494442084444445</v>
      </c>
      <c r="C165" s="10">
        <f t="shared" si="9"/>
        <v>0.69186409339615729</v>
      </c>
      <c r="D165" s="42">
        <f t="shared" si="11"/>
        <v>4</v>
      </c>
      <c r="E165" s="10">
        <f t="shared" si="10"/>
        <v>4.5891087980473762E-2</v>
      </c>
      <c r="G165" s="5"/>
      <c r="H165" s="5"/>
      <c r="I165" s="12"/>
    </row>
    <row r="166" spans="1:9">
      <c r="A166" s="42">
        <v>7.6</v>
      </c>
      <c r="B166" s="10">
        <f t="shared" si="8"/>
        <v>0.99489853610081147</v>
      </c>
      <c r="C166" s="10">
        <f t="shared" si="9"/>
        <v>0.69017834229901021</v>
      </c>
      <c r="D166" s="42">
        <f t="shared" si="11"/>
        <v>2</v>
      </c>
      <c r="E166" s="10">
        <f t="shared" si="10"/>
        <v>2.288858074672567E-2</v>
      </c>
      <c r="G166" s="5"/>
      <c r="H166" s="5"/>
      <c r="I166" s="12"/>
    </row>
    <row r="167" spans="1:9">
      <c r="A167" s="42">
        <v>7.65</v>
      </c>
      <c r="B167" s="10">
        <f t="shared" si="8"/>
        <v>0.99485244867258527</v>
      </c>
      <c r="C167" s="10">
        <f t="shared" si="9"/>
        <v>0.6884966985934573</v>
      </c>
      <c r="D167" s="42">
        <f t="shared" si="11"/>
        <v>4</v>
      </c>
      <c r="E167" s="10">
        <f t="shared" si="10"/>
        <v>4.5663508433246132E-2</v>
      </c>
      <c r="G167" s="5"/>
      <c r="H167" s="5"/>
      <c r="I167" s="12"/>
    </row>
    <row r="168" spans="1:9">
      <c r="A168" s="42">
        <v>7.7</v>
      </c>
      <c r="B168" s="10">
        <f t="shared" si="8"/>
        <v>0.99480615738768485</v>
      </c>
      <c r="C168" s="10">
        <f t="shared" si="9"/>
        <v>0.6868191522716951</v>
      </c>
      <c r="D168" s="42">
        <f t="shared" si="11"/>
        <v>2</v>
      </c>
      <c r="E168" s="10">
        <f t="shared" si="10"/>
        <v>2.2775064056389072E-2</v>
      </c>
      <c r="G168" s="5"/>
      <c r="H168" s="5"/>
      <c r="I168" s="12"/>
    </row>
    <row r="169" spans="1:9">
      <c r="A169" s="42">
        <v>7.75</v>
      </c>
      <c r="B169" s="10">
        <f t="shared" si="8"/>
        <v>0.99475966106734126</v>
      </c>
      <c r="C169" s="10">
        <f t="shared" si="9"/>
        <v>0.6851456933503044</v>
      </c>
      <c r="D169" s="42">
        <f t="shared" si="11"/>
        <v>4</v>
      </c>
      <c r="E169" s="10">
        <f t="shared" si="10"/>
        <v>4.5437019846593159E-2</v>
      </c>
      <c r="G169" s="5"/>
      <c r="H169" s="5"/>
      <c r="I169" s="12"/>
    </row>
    <row r="170" spans="1:9">
      <c r="A170" s="42">
        <v>7.8</v>
      </c>
      <c r="B170" s="10">
        <f t="shared" si="8"/>
        <v>0.99471295852605923</v>
      </c>
      <c r="C170" s="10">
        <f t="shared" si="9"/>
        <v>0.6834763118701912</v>
      </c>
      <c r="D170" s="42">
        <f t="shared" si="11"/>
        <v>2</v>
      </c>
      <c r="E170" s="10">
        <f t="shared" si="10"/>
        <v>2.2662091475429247E-2</v>
      </c>
      <c r="G170" s="5"/>
      <c r="H170" s="5"/>
      <c r="I170" s="12"/>
    </row>
    <row r="171" spans="1:9">
      <c r="A171" s="42">
        <v>7.85</v>
      </c>
      <c r="B171" s="10">
        <f t="shared" si="8"/>
        <v>0.99466604857158181</v>
      </c>
      <c r="C171" s="10">
        <f t="shared" si="9"/>
        <v>0.68181099789652677</v>
      </c>
      <c r="D171" s="42">
        <f t="shared" si="11"/>
        <v>4</v>
      </c>
      <c r="E171" s="10">
        <f t="shared" si="10"/>
        <v>4.5211616743359023E-2</v>
      </c>
      <c r="G171" s="5"/>
      <c r="H171" s="5"/>
      <c r="I171" s="12"/>
    </row>
    <row r="172" spans="1:9">
      <c r="A172" s="42">
        <v>7.9</v>
      </c>
      <c r="B172" s="10">
        <f t="shared" si="8"/>
        <v>0.99461893000485124</v>
      </c>
      <c r="C172" s="10">
        <f t="shared" si="9"/>
        <v>0.68014974151868945</v>
      </c>
      <c r="D172" s="42">
        <f t="shared" si="11"/>
        <v>2</v>
      </c>
      <c r="E172" s="10">
        <f t="shared" si="10"/>
        <v>2.2549660271746499E-2</v>
      </c>
      <c r="G172" s="5"/>
      <c r="H172" s="5"/>
      <c r="I172" s="12"/>
    </row>
    <row r="173" spans="1:9">
      <c r="A173" s="42">
        <v>7.95</v>
      </c>
      <c r="B173" s="10">
        <f t="shared" si="8"/>
        <v>0.99457160161997193</v>
      </c>
      <c r="C173" s="10">
        <f t="shared" si="9"/>
        <v>0.67849253285020472</v>
      </c>
      <c r="D173" s="42">
        <f t="shared" si="11"/>
        <v>4</v>
      </c>
      <c r="E173" s="10">
        <f t="shared" si="10"/>
        <v>4.4987293672267975E-2</v>
      </c>
      <c r="G173" s="5"/>
      <c r="H173" s="5"/>
      <c r="I173" s="12"/>
    </row>
    <row r="174" spans="1:9">
      <c r="A174" s="42">
        <v>8</v>
      </c>
      <c r="B174" s="10">
        <f t="shared" si="8"/>
        <v>0.99452406220417244</v>
      </c>
      <c r="C174" s="10">
        <f t="shared" si="9"/>
        <v>0.67683936202868722</v>
      </c>
      <c r="D174" s="42">
        <f t="shared" si="11"/>
        <v>2</v>
      </c>
      <c r="E174" s="10">
        <f t="shared" si="10"/>
        <v>2.2437767726148351E-2</v>
      </c>
      <c r="G174" s="5">
        <f>(E$415-SUM(E$14:E174)+E174/2)/(B174*C174)</f>
        <v>9.0127768810484259</v>
      </c>
      <c r="H174" s="5">
        <f>1-LN(1+B$6)*G174</f>
        <v>0.56026513635118558</v>
      </c>
      <c r="I174" s="12">
        <f>200000*H174-G174*E$417</f>
        <v>57792.519754687979</v>
      </c>
    </row>
    <row r="175" spans="1:9">
      <c r="A175" s="42">
        <v>8.0500000000000007</v>
      </c>
      <c r="B175" s="10">
        <f t="shared" si="8"/>
        <v>0.99447631053776708</v>
      </c>
      <c r="C175" s="10">
        <f t="shared" si="9"/>
        <v>0.6751902192157806</v>
      </c>
      <c r="D175" s="42">
        <f t="shared" si="11"/>
        <v>4</v>
      </c>
      <c r="E175" s="10">
        <f t="shared" si="10"/>
        <v>4.4764045207793042E-2</v>
      </c>
      <c r="G175" s="5"/>
      <c r="H175" s="5"/>
      <c r="I175" s="12"/>
    </row>
    <row r="176" spans="1:9">
      <c r="A176" s="42">
        <v>8.1</v>
      </c>
      <c r="B176" s="10">
        <f t="shared" si="8"/>
        <v>0.99442834539411806</v>
      </c>
      <c r="C176" s="10">
        <f t="shared" si="9"/>
        <v>0.67354509459710177</v>
      </c>
      <c r="D176" s="42">
        <f t="shared" si="11"/>
        <v>2</v>
      </c>
      <c r="E176" s="10">
        <f t="shared" si="10"/>
        <v>2.2326411132284021E-2</v>
      </c>
      <c r="G176" s="5"/>
      <c r="H176" s="5"/>
      <c r="I176" s="12"/>
    </row>
    <row r="177" spans="1:9">
      <c r="A177" s="42">
        <v>8.15</v>
      </c>
      <c r="B177" s="10">
        <f t="shared" si="8"/>
        <v>0.99438016553959641</v>
      </c>
      <c r="C177" s="10">
        <f t="shared" si="9"/>
        <v>0.67190397838217919</v>
      </c>
      <c r="D177" s="42">
        <f t="shared" si="11"/>
        <v>4</v>
      </c>
      <c r="E177" s="10">
        <f t="shared" si="10"/>
        <v>4.4541865950025655E-2</v>
      </c>
      <c r="G177" s="5"/>
      <c r="H177" s="5"/>
      <c r="I177" s="12"/>
    </row>
    <row r="178" spans="1:9">
      <c r="A178" s="42">
        <v>8.1999999999999993</v>
      </c>
      <c r="B178" s="10">
        <f t="shared" si="8"/>
        <v>0.99433176973354387</v>
      </c>
      <c r="C178" s="10">
        <f t="shared" si="9"/>
        <v>0.6702668608043969</v>
      </c>
      <c r="D178" s="42">
        <f t="shared" si="11"/>
        <v>2</v>
      </c>
      <c r="E178" s="10">
        <f t="shared" si="10"/>
        <v>2.2215587796579426E-2</v>
      </c>
      <c r="G178" s="5"/>
      <c r="H178" s="5"/>
      <c r="I178" s="12"/>
    </row>
    <row r="179" spans="1:9">
      <c r="A179" s="42">
        <v>8.25</v>
      </c>
      <c r="B179" s="10">
        <f t="shared" si="8"/>
        <v>0.9942831567282332</v>
      </c>
      <c r="C179" s="10">
        <f t="shared" si="9"/>
        <v>0.66863373212093535</v>
      </c>
      <c r="D179" s="42">
        <f t="shared" si="11"/>
        <v>4</v>
      </c>
      <c r="E179" s="10">
        <f t="shared" si="10"/>
        <v>4.4320750524545566E-2</v>
      </c>
      <c r="G179" s="5"/>
      <c r="H179" s="5"/>
      <c r="I179" s="12"/>
    </row>
    <row r="180" spans="1:9">
      <c r="A180" s="42">
        <v>8.3000000000000007</v>
      </c>
      <c r="B180" s="10">
        <f t="shared" si="8"/>
        <v>0.99423432526882971</v>
      </c>
      <c r="C180" s="10">
        <f t="shared" si="9"/>
        <v>0.66700458261271389</v>
      </c>
      <c r="D180" s="42">
        <f t="shared" si="11"/>
        <v>2</v>
      </c>
      <c r="E180" s="10">
        <f t="shared" si="10"/>
        <v>2.2105295038172299E-2</v>
      </c>
      <c r="G180" s="5"/>
      <c r="H180" s="5"/>
      <c r="I180" s="12"/>
    </row>
    <row r="181" spans="1:9">
      <c r="A181" s="42">
        <v>8.35</v>
      </c>
      <c r="B181" s="10">
        <f t="shared" si="8"/>
        <v>0.99418527409335145</v>
      </c>
      <c r="C181" s="10">
        <f t="shared" si="9"/>
        <v>0.6653794025843327</v>
      </c>
      <c r="D181" s="42">
        <f t="shared" si="11"/>
        <v>4</v>
      </c>
      <c r="E181" s="10">
        <f t="shared" si="10"/>
        <v>4.4100693582291683E-2</v>
      </c>
      <c r="G181" s="5"/>
      <c r="H181" s="5"/>
      <c r="I181" s="12"/>
    </row>
    <row r="182" spans="1:9">
      <c r="A182" s="42">
        <v>8.4</v>
      </c>
      <c r="B182" s="10">
        <f t="shared" si="8"/>
        <v>0.99413600193262985</v>
      </c>
      <c r="C182" s="10">
        <f t="shared" si="9"/>
        <v>0.66375818236401507</v>
      </c>
      <c r="D182" s="42">
        <f t="shared" si="11"/>
        <v>2</v>
      </c>
      <c r="E182" s="10">
        <f t="shared" si="10"/>
        <v>2.1995530188847714E-2</v>
      </c>
      <c r="G182" s="5"/>
      <c r="H182" s="5"/>
      <c r="I182" s="12"/>
    </row>
    <row r="183" spans="1:9">
      <c r="A183" s="42">
        <v>8.4499999999999993</v>
      </c>
      <c r="B183" s="10">
        <f t="shared" ref="B183:B246" si="12">$B$54*($B$9^(A183-2))*$B$8^(($B$5^(42))*(($B$5^(A183-2)-1)))</f>
        <v>0.99408650751027017</v>
      </c>
      <c r="C183" s="10">
        <f t="shared" si="9"/>
        <v>0.66214091230354988</v>
      </c>
      <c r="D183" s="42">
        <f t="shared" si="11"/>
        <v>4</v>
      </c>
      <c r="E183" s="10">
        <f t="shared" si="10"/>
        <v>4.3881689799433327E-2</v>
      </c>
      <c r="G183" s="5"/>
      <c r="H183" s="5"/>
      <c r="I183" s="12"/>
    </row>
    <row r="184" spans="1:9">
      <c r="A184" s="42">
        <v>8.5</v>
      </c>
      <c r="B184" s="10">
        <f t="shared" si="12"/>
        <v>0.99403678954261121</v>
      </c>
      <c r="C184" s="10">
        <f t="shared" si="9"/>
        <v>0.66052758277823431</v>
      </c>
      <c r="D184" s="42">
        <f t="shared" si="11"/>
        <v>2</v>
      </c>
      <c r="E184" s="10">
        <f t="shared" si="10"/>
        <v>2.1886290592973919E-2</v>
      </c>
      <c r="G184" s="5"/>
      <c r="H184" s="5"/>
      <c r="I184" s="12"/>
    </row>
    <row r="185" spans="1:9">
      <c r="A185" s="42">
        <v>8.5500000000000007</v>
      </c>
      <c r="B185" s="10">
        <f t="shared" si="12"/>
        <v>0.9939868467386852</v>
      </c>
      <c r="C185" s="10">
        <f t="shared" si="9"/>
        <v>0.65891818418681636</v>
      </c>
      <c r="D185" s="42">
        <f t="shared" si="11"/>
        <v>4</v>
      </c>
      <c r="E185" s="10">
        <f t="shared" si="10"/>
        <v>4.3663733877242254E-2</v>
      </c>
      <c r="G185" s="5"/>
      <c r="H185" s="5"/>
      <c r="I185" s="12"/>
    </row>
    <row r="186" spans="1:9">
      <c r="A186" s="42">
        <v>8.6</v>
      </c>
      <c r="B186" s="10">
        <f t="shared" si="12"/>
        <v>0.9939366778001778</v>
      </c>
      <c r="C186" s="10">
        <f t="shared" si="9"/>
        <v>0.65731270695143829</v>
      </c>
      <c r="D186" s="42">
        <f t="shared" si="11"/>
        <v>2</v>
      </c>
      <c r="E186" s="10">
        <f t="shared" si="10"/>
        <v>2.1777573607438479E-2</v>
      </c>
      <c r="G186" s="5"/>
      <c r="H186" s="5"/>
      <c r="I186" s="12"/>
    </row>
    <row r="187" spans="1:9">
      <c r="A187" s="42">
        <v>8.65</v>
      </c>
      <c r="B187" s="10">
        <f t="shared" si="12"/>
        <v>0.99388628142138691</v>
      </c>
      <c r="C187" s="10">
        <f t="shared" si="9"/>
        <v>0.65571114151757826</v>
      </c>
      <c r="D187" s="42">
        <f t="shared" si="11"/>
        <v>4</v>
      </c>
      <c r="E187" s="10">
        <f t="shared" si="10"/>
        <v>4.3446820541965241E-2</v>
      </c>
      <c r="G187" s="5"/>
      <c r="H187" s="5"/>
      <c r="I187" s="12"/>
    </row>
    <row r="188" spans="1:9">
      <c r="A188" s="42">
        <v>8.6999999999999993</v>
      </c>
      <c r="B188" s="10">
        <f t="shared" si="12"/>
        <v>0.99383565628918236</v>
      </c>
      <c r="C188" s="10">
        <f t="shared" si="9"/>
        <v>0.65411347835399525</v>
      </c>
      <c r="D188" s="42">
        <f t="shared" si="11"/>
        <v>2</v>
      </c>
      <c r="E188" s="10">
        <f t="shared" si="10"/>
        <v>2.1669376601584758E-2</v>
      </c>
      <c r="G188" s="5"/>
      <c r="H188" s="5"/>
      <c r="I188" s="12"/>
    </row>
    <row r="189" spans="1:9">
      <c r="A189" s="42">
        <v>8.75</v>
      </c>
      <c r="B189" s="10">
        <f t="shared" si="12"/>
        <v>0.99378480108296485</v>
      </c>
      <c r="C189" s="10">
        <f t="shared" si="9"/>
        <v>0.65251970795267089</v>
      </c>
      <c r="D189" s="42">
        <f t="shared" si="11"/>
        <v>4</v>
      </c>
      <c r="E189" s="10">
        <f t="shared" si="10"/>
        <v>4.3230944544697288E-2</v>
      </c>
      <c r="G189" s="5"/>
      <c r="H189" s="5"/>
      <c r="I189" s="12"/>
    </row>
    <row r="190" spans="1:9">
      <c r="A190" s="42">
        <v>8.8000000000000007</v>
      </c>
      <c r="B190" s="10">
        <f t="shared" si="12"/>
        <v>0.99373371447462422</v>
      </c>
      <c r="C190" s="10">
        <f t="shared" si="9"/>
        <v>0.65092982082875339</v>
      </c>
      <c r="D190" s="42">
        <f t="shared" si="11"/>
        <v>2</v>
      </c>
      <c r="E190" s="10">
        <f t="shared" si="10"/>
        <v>2.1561696957148626E-2</v>
      </c>
      <c r="G190" s="5"/>
      <c r="H190" s="5"/>
      <c r="I190" s="12"/>
    </row>
    <row r="191" spans="1:9">
      <c r="A191" s="42">
        <v>8.85</v>
      </c>
      <c r="B191" s="10">
        <f t="shared" si="12"/>
        <v>0.99368239512849887</v>
      </c>
      <c r="C191" s="10">
        <f t="shared" si="9"/>
        <v>0.64934380752050169</v>
      </c>
      <c r="D191" s="42">
        <f t="shared" si="11"/>
        <v>4</v>
      </c>
      <c r="E191" s="10">
        <f t="shared" si="10"/>
        <v>4.3016100661255413E-2</v>
      </c>
      <c r="G191" s="5"/>
      <c r="H191" s="5"/>
      <c r="I191" s="12"/>
    </row>
    <row r="192" spans="1:9">
      <c r="A192" s="42">
        <v>8.9</v>
      </c>
      <c r="B192" s="10">
        <f t="shared" si="12"/>
        <v>0.99363084170133364</v>
      </c>
      <c r="C192" s="10">
        <f t="shared" si="9"/>
        <v>0.64776165858922807</v>
      </c>
      <c r="D192" s="42">
        <f t="shared" si="11"/>
        <v>2</v>
      </c>
      <c r="E192" s="10">
        <f t="shared" si="10"/>
        <v>2.1454532068195555E-2</v>
      </c>
      <c r="G192" s="5"/>
      <c r="H192" s="5"/>
      <c r="I192" s="12"/>
    </row>
    <row r="193" spans="1:9">
      <c r="A193" s="42">
        <v>8.9499999999999993</v>
      </c>
      <c r="B193" s="10">
        <f t="shared" si="12"/>
        <v>0.99357905284223791</v>
      </c>
      <c r="C193" s="10">
        <f t="shared" si="9"/>
        <v>0.64618336461924253</v>
      </c>
      <c r="D193" s="42">
        <f t="shared" si="11"/>
        <v>4</v>
      </c>
      <c r="E193" s="10">
        <f t="shared" si="10"/>
        <v>4.2802283692053168E-2</v>
      </c>
      <c r="G193" s="5"/>
      <c r="H193" s="5"/>
      <c r="I193" s="12"/>
    </row>
    <row r="194" spans="1:9">
      <c r="A194" s="42">
        <v>9</v>
      </c>
      <c r="B194" s="10">
        <f t="shared" si="12"/>
        <v>0.99352702719264396</v>
      </c>
      <c r="C194" s="10">
        <f t="shared" si="9"/>
        <v>0.64460891621779726</v>
      </c>
      <c r="D194" s="42">
        <f t="shared" si="11"/>
        <v>2</v>
      </c>
      <c r="E194" s="10">
        <f t="shared" si="10"/>
        <v>2.1347879341058005E-2</v>
      </c>
      <c r="G194" s="5">
        <f>(E$415-SUM(E$14:E194)+E194/2)/(B194*C194)</f>
        <v>8.4475897182498514</v>
      </c>
      <c r="H194" s="5">
        <f>1-LN(1+B$6)*G194</f>
        <v>0.58784071081058353</v>
      </c>
      <c r="I194" s="12">
        <f>200000*H194-G194*E$417</f>
        <v>66710.28653726395</v>
      </c>
    </row>
    <row r="195" spans="1:9">
      <c r="A195" s="42">
        <v>9.0500000000000007</v>
      </c>
      <c r="B195" s="10">
        <f t="shared" si="12"/>
        <v>0.99347476338626328</v>
      </c>
      <c r="C195" s="10">
        <f t="shared" si="9"/>
        <v>0.64303830401502915</v>
      </c>
      <c r="D195" s="42">
        <f t="shared" si="11"/>
        <v>4</v>
      </c>
      <c r="E195" s="10">
        <f t="shared" si="10"/>
        <v>4.2589488461975682E-2</v>
      </c>
      <c r="G195" s="5"/>
      <c r="H195" s="5"/>
      <c r="I195" s="12"/>
    </row>
    <row r="196" spans="1:9">
      <c r="A196" s="42">
        <v>9.1</v>
      </c>
      <c r="B196" s="10">
        <f t="shared" si="12"/>
        <v>0.99342226004904666</v>
      </c>
      <c r="C196" s="10">
        <f t="shared" si="9"/>
        <v>0.64147151866390639</v>
      </c>
      <c r="D196" s="42">
        <f t="shared" si="11"/>
        <v>2</v>
      </c>
      <c r="E196" s="10">
        <f t="shared" si="10"/>
        <v>2.124173619427307E-2</v>
      </c>
      <c r="G196" s="5"/>
      <c r="H196" s="5"/>
      <c r="I196" s="12"/>
    </row>
    <row r="197" spans="1:9">
      <c r="A197" s="42">
        <v>9.15</v>
      </c>
      <c r="B197" s="10">
        <f t="shared" si="12"/>
        <v>0.99336951579913901</v>
      </c>
      <c r="C197" s="10">
        <f t="shared" si="9"/>
        <v>0.63990855084017062</v>
      </c>
      <c r="D197" s="42">
        <f t="shared" si="11"/>
        <v>4</v>
      </c>
      <c r="E197" s="10">
        <f t="shared" si="10"/>
        <v>4.2377709820255266E-2</v>
      </c>
      <c r="G197" s="5"/>
      <c r="H197" s="5"/>
      <c r="I197" s="12"/>
    </row>
    <row r="198" spans="1:9">
      <c r="A198" s="42">
        <v>9.1999999999999993</v>
      </c>
      <c r="B198" s="10">
        <f t="shared" si="12"/>
        <v>0.99331652924683778</v>
      </c>
      <c r="C198" s="10">
        <f t="shared" si="9"/>
        <v>0.63834939124228274</v>
      </c>
      <c r="D198" s="42">
        <f t="shared" si="11"/>
        <v>2</v>
      </c>
      <c r="E198" s="10">
        <f t="shared" si="10"/>
        <v>2.1136100058520537E-2</v>
      </c>
      <c r="G198" s="5"/>
      <c r="H198" s="5"/>
      <c r="I198" s="12"/>
    </row>
    <row r="199" spans="1:9">
      <c r="A199" s="42">
        <v>9.25</v>
      </c>
      <c r="B199" s="10">
        <f t="shared" si="12"/>
        <v>0.99326329899454913</v>
      </c>
      <c r="C199" s="10">
        <f t="shared" si="9"/>
        <v>0.63679403059136708</v>
      </c>
      <c r="D199" s="42">
        <f t="shared" si="11"/>
        <v>4</v>
      </c>
      <c r="E199" s="10">
        <f t="shared" si="10"/>
        <v>4.2166942640347808E-2</v>
      </c>
      <c r="G199" s="5"/>
      <c r="H199" s="5"/>
      <c r="I199" s="12"/>
    </row>
    <row r="200" spans="1:9">
      <c r="A200" s="42">
        <v>9.3000000000000007</v>
      </c>
      <c r="B200" s="10">
        <f t="shared" si="12"/>
        <v>0.99320982363674515</v>
      </c>
      <c r="C200" s="10">
        <f t="shared" si="9"/>
        <v>0.63524245963115611</v>
      </c>
      <c r="D200" s="42">
        <f t="shared" si="11"/>
        <v>2</v>
      </c>
      <c r="E200" s="10">
        <f t="shared" si="10"/>
        <v>2.1030968376561095E-2</v>
      </c>
      <c r="G200" s="5"/>
      <c r="H200" s="5"/>
      <c r="I200" s="12"/>
    </row>
    <row r="201" spans="1:9">
      <c r="A201" s="42">
        <v>9.35</v>
      </c>
      <c r="B201" s="10">
        <f t="shared" si="12"/>
        <v>0.99315610175991953</v>
      </c>
      <c r="C201" s="10">
        <f t="shared" si="9"/>
        <v>0.63369466912793582</v>
      </c>
      <c r="D201" s="42">
        <f t="shared" si="11"/>
        <v>4</v>
      </c>
      <c r="E201" s="10">
        <f t="shared" si="10"/>
        <v>4.1957181819809515E-2</v>
      </c>
      <c r="G201" s="5"/>
      <c r="H201" s="5"/>
      <c r="I201" s="12"/>
    </row>
    <row r="202" spans="1:9">
      <c r="A202" s="42">
        <v>9.4</v>
      </c>
      <c r="B202" s="10">
        <f t="shared" si="12"/>
        <v>0.99310213194254493</v>
      </c>
      <c r="C202" s="10">
        <f t="shared" si="9"/>
        <v>0.63215064987049041</v>
      </c>
      <c r="D202" s="42">
        <f t="shared" si="11"/>
        <v>2</v>
      </c>
      <c r="E202" s="10">
        <f t="shared" si="10"/>
        <v>2.0926338603174974E-2</v>
      </c>
      <c r="G202" s="5"/>
      <c r="H202" s="5"/>
      <c r="I202" s="12"/>
    </row>
    <row r="203" spans="1:9">
      <c r="A203" s="42">
        <v>9.4499999999999993</v>
      </c>
      <c r="B203" s="10">
        <f t="shared" si="12"/>
        <v>0.99304791275502713</v>
      </c>
      <c r="C203" s="10">
        <f t="shared" si="9"/>
        <v>0.63061039267004748</v>
      </c>
      <c r="D203" s="42">
        <f t="shared" si="11"/>
        <v>4</v>
      </c>
      <c r="E203" s="10">
        <f t="shared" si="10"/>
        <v>4.1748422280174585E-2</v>
      </c>
      <c r="G203" s="5"/>
      <c r="H203" s="5"/>
      <c r="I203" s="12"/>
    </row>
    <row r="204" spans="1:9">
      <c r="A204" s="42">
        <v>9.5</v>
      </c>
      <c r="B204" s="10">
        <f t="shared" si="12"/>
        <v>0.99299344275966273</v>
      </c>
      <c r="C204" s="10">
        <f t="shared" si="9"/>
        <v>0.62907388836022304</v>
      </c>
      <c r="D204" s="42">
        <f t="shared" si="11"/>
        <v>2</v>
      </c>
      <c r="E204" s="10">
        <f t="shared" si="10"/>
        <v>2.0822208205100851E-2</v>
      </c>
      <c r="G204" s="5"/>
      <c r="H204" s="5"/>
      <c r="I204" s="12"/>
    </row>
    <row r="205" spans="1:9">
      <c r="A205" s="42">
        <v>9.5500000000000007</v>
      </c>
      <c r="B205" s="10">
        <f t="shared" si="12"/>
        <v>0.99293872051059318</v>
      </c>
      <c r="C205" s="10">
        <f t="shared" si="9"/>
        <v>0.62754112779696791</v>
      </c>
      <c r="D205" s="42">
        <f t="shared" si="11"/>
        <v>4</v>
      </c>
      <c r="E205" s="10">
        <f t="shared" si="10"/>
        <v>4.1540658966833066E-2</v>
      </c>
      <c r="G205" s="5"/>
      <c r="H205" s="5"/>
      <c r="I205" s="12"/>
    </row>
    <row r="206" spans="1:9">
      <c r="A206" s="42">
        <v>9.6</v>
      </c>
      <c r="B206" s="10">
        <f t="shared" si="12"/>
        <v>0.99288374455376083</v>
      </c>
      <c r="C206" s="10">
        <f t="shared" si="9"/>
        <v>0.62601210185851264</v>
      </c>
      <c r="D206" s="42">
        <f t="shared" si="11"/>
        <v>2</v>
      </c>
      <c r="E206" s="10">
        <f t="shared" si="10"/>
        <v>2.0718574660975014E-2</v>
      </c>
      <c r="G206" s="5"/>
      <c r="H206" s="5"/>
      <c r="I206" s="12"/>
    </row>
    <row r="207" spans="1:9">
      <c r="A207" s="42">
        <v>9.65</v>
      </c>
      <c r="B207" s="10">
        <f t="shared" si="12"/>
        <v>0.99282851342686373</v>
      </c>
      <c r="C207" s="10">
        <f t="shared" ref="C207:C270" si="13">(1+B$6)^-A207</f>
        <v>0.62448680144531266</v>
      </c>
      <c r="D207" s="42">
        <f t="shared" si="11"/>
        <v>4</v>
      </c>
      <c r="E207" s="10">
        <f t="shared" ref="E207:E270" si="14">B207*C207*D207*0.05/3</f>
        <v>4.133388684890979E-2</v>
      </c>
      <c r="G207" s="5"/>
      <c r="H207" s="5"/>
      <c r="I207" s="12"/>
    </row>
    <row r="208" spans="1:9">
      <c r="A208" s="42">
        <v>9.6999999999999993</v>
      </c>
      <c r="B208" s="10">
        <f t="shared" si="12"/>
        <v>0.99277302565931069</v>
      </c>
      <c r="C208" s="10">
        <f t="shared" si="13"/>
        <v>0.62296521747999545</v>
      </c>
      <c r="D208" s="42">
        <f t="shared" si="11"/>
        <v>2</v>
      </c>
      <c r="E208" s="10">
        <f t="shared" si="14"/>
        <v>2.0615435461270853E-2</v>
      </c>
      <c r="G208" s="5"/>
      <c r="H208" s="5"/>
      <c r="I208" s="12"/>
    </row>
    <row r="209" spans="1:9">
      <c r="A209" s="42">
        <v>9.75</v>
      </c>
      <c r="B209" s="10">
        <f t="shared" si="12"/>
        <v>0.99271727977217528</v>
      </c>
      <c r="C209" s="10">
        <f t="shared" si="13"/>
        <v>0.62144734090730558</v>
      </c>
      <c r="D209" s="42">
        <f t="shared" ref="D209:D272" si="15">IF(D208=4,2,4)</f>
        <v>4</v>
      </c>
      <c r="E209" s="10">
        <f t="shared" si="14"/>
        <v>4.1128100919143477E-2</v>
      </c>
      <c r="G209" s="5"/>
      <c r="H209" s="5"/>
      <c r="I209" s="12"/>
    </row>
    <row r="210" spans="1:9">
      <c r="A210" s="42">
        <v>9.8000000000000007</v>
      </c>
      <c r="B210" s="10">
        <f t="shared" si="12"/>
        <v>0.99266127427815098</v>
      </c>
      <c r="C210" s="10">
        <f t="shared" si="13"/>
        <v>0.61993316269405085</v>
      </c>
      <c r="D210" s="42">
        <f t="shared" si="15"/>
        <v>2</v>
      </c>
      <c r="E210" s="10">
        <f t="shared" si="14"/>
        <v>2.0512788108238693E-2</v>
      </c>
      <c r="G210" s="5"/>
      <c r="H210" s="5"/>
      <c r="I210" s="12"/>
    </row>
    <row r="211" spans="1:9">
      <c r="A211" s="42">
        <v>9.85</v>
      </c>
      <c r="B211" s="10">
        <f t="shared" si="12"/>
        <v>0.99260500768150484</v>
      </c>
      <c r="C211" s="10">
        <f t="shared" si="13"/>
        <v>0.61842267382904925</v>
      </c>
      <c r="D211" s="42">
        <f t="shared" si="15"/>
        <v>4</v>
      </c>
      <c r="E211" s="10">
        <f t="shared" si="14"/>
        <v>4.0923296193766688E-2</v>
      </c>
      <c r="G211" s="5"/>
      <c r="H211" s="5"/>
      <c r="I211" s="12"/>
    </row>
    <row r="212" spans="1:9">
      <c r="A212" s="42">
        <v>9.9</v>
      </c>
      <c r="B212" s="10">
        <f t="shared" si="12"/>
        <v>0.99254847847803152</v>
      </c>
      <c r="C212" s="10">
        <f t="shared" si="13"/>
        <v>0.61691586532307419</v>
      </c>
      <c r="D212" s="42">
        <f t="shared" si="15"/>
        <v>2</v>
      </c>
      <c r="E212" s="10">
        <f t="shared" si="14"/>
        <v>2.0410630115845853E-2</v>
      </c>
      <c r="G212" s="5"/>
      <c r="H212" s="5"/>
      <c r="I212" s="12"/>
    </row>
    <row r="213" spans="1:9">
      <c r="A213" s="42">
        <v>9.9499999999999993</v>
      </c>
      <c r="B213" s="10">
        <f t="shared" si="12"/>
        <v>0.99249168515500685</v>
      </c>
      <c r="C213" s="10">
        <f t="shared" si="13"/>
        <v>0.61541272820880244</v>
      </c>
      <c r="D213" s="42">
        <f t="shared" si="15"/>
        <v>4</v>
      </c>
      <c r="E213" s="10">
        <f t="shared" si="14"/>
        <v>4.0719467712386305E-2</v>
      </c>
      <c r="G213" s="5"/>
      <c r="H213" s="5"/>
      <c r="I213" s="12"/>
    </row>
    <row r="214" spans="1:9">
      <c r="A214" s="42">
        <v>10</v>
      </c>
      <c r="B214" s="10">
        <f t="shared" si="12"/>
        <v>0.99243462619114153</v>
      </c>
      <c r="C214" s="10">
        <f t="shared" si="13"/>
        <v>0.61391325354075932</v>
      </c>
      <c r="D214" s="42">
        <f t="shared" si="15"/>
        <v>2</v>
      </c>
      <c r="E214" s="10">
        <f t="shared" si="14"/>
        <v>2.0308959009717031E-2</v>
      </c>
      <c r="G214" s="5">
        <f>(E$415-SUM(E$14:E214)+E214/2)/(B214*C214)</f>
        <v>7.854358633754063</v>
      </c>
      <c r="H214" s="5">
        <f>1-LN(1+B$6)*G214</f>
        <v>0.61678455281354327</v>
      </c>
      <c r="I214" s="12">
        <f>200000*H214-G214*E$417</f>
        <v>76070.542409872025</v>
      </c>
    </row>
    <row r="215" spans="1:9">
      <c r="A215" s="42">
        <v>10.050000000000001</v>
      </c>
      <c r="B215" s="10">
        <f t="shared" si="12"/>
        <v>0.9923773000565338</v>
      </c>
      <c r="C215" s="10">
        <f t="shared" si="13"/>
        <v>0.6124174323952658</v>
      </c>
      <c r="D215" s="42">
        <f t="shared" si="15"/>
        <v>4</v>
      </c>
      <c r="E215" s="10">
        <f t="shared" si="14"/>
        <v>4.0516610537864581E-2</v>
      </c>
      <c r="G215" s="5"/>
      <c r="H215" s="5"/>
      <c r="I215" s="12"/>
    </row>
    <row r="216" spans="1:9">
      <c r="A216" s="42">
        <v>10.1</v>
      </c>
      <c r="B216" s="10">
        <f t="shared" si="12"/>
        <v>0.99231970521262336</v>
      </c>
      <c r="C216" s="10">
        <f t="shared" si="13"/>
        <v>0.61092525587038704</v>
      </c>
      <c r="D216" s="42">
        <f t="shared" si="15"/>
        <v>2</v>
      </c>
      <c r="E216" s="10">
        <f t="shared" si="14"/>
        <v>2.0207772327074967E-2</v>
      </c>
      <c r="G216" s="5"/>
      <c r="H216" s="5"/>
      <c r="I216" s="12"/>
    </row>
    <row r="217" spans="1:9">
      <c r="A217" s="42">
        <v>10.15</v>
      </c>
      <c r="B217" s="10">
        <f t="shared" si="12"/>
        <v>0.99226184011214313</v>
      </c>
      <c r="C217" s="10">
        <f t="shared" si="13"/>
        <v>0.60943671508587671</v>
      </c>
      <c r="D217" s="42">
        <f t="shared" si="15"/>
        <v>4</v>
      </c>
      <c r="E217" s="10">
        <f t="shared" si="14"/>
        <v>4.0314719756200795E-2</v>
      </c>
      <c r="G217" s="5"/>
      <c r="H217" s="5"/>
      <c r="I217" s="12"/>
    </row>
    <row r="218" spans="1:9">
      <c r="A218" s="42">
        <v>10.199999999999999</v>
      </c>
      <c r="B218" s="10">
        <f t="shared" si="12"/>
        <v>0.99220370319907236</v>
      </c>
      <c r="C218" s="10">
        <f t="shared" si="13"/>
        <v>0.60795180118312642</v>
      </c>
      <c r="D218" s="42">
        <f t="shared" si="15"/>
        <v>2</v>
      </c>
      <c r="E218" s="10">
        <f t="shared" si="14"/>
        <v>2.0107067616681473E-2</v>
      </c>
      <c r="G218" s="5"/>
      <c r="H218" s="5"/>
      <c r="I218" s="12"/>
    </row>
    <row r="219" spans="1:9">
      <c r="A219" s="42">
        <v>10.25</v>
      </c>
      <c r="B219" s="10">
        <f t="shared" si="12"/>
        <v>0.99214529290858855</v>
      </c>
      <c r="C219" s="10">
        <f t="shared" si="13"/>
        <v>0.60647050532511138</v>
      </c>
      <c r="D219" s="42">
        <f t="shared" si="15"/>
        <v>4</v>
      </c>
      <c r="E219" s="10">
        <f t="shared" si="14"/>
        <v>4.0113790476413488E-2</v>
      </c>
      <c r="G219" s="5"/>
      <c r="H219" s="5"/>
      <c r="I219" s="12"/>
    </row>
    <row r="220" spans="1:9">
      <c r="A220" s="42">
        <v>10.3</v>
      </c>
      <c r="B220" s="10">
        <f t="shared" si="12"/>
        <v>0.9920866076670195</v>
      </c>
      <c r="C220" s="10">
        <f t="shared" si="13"/>
        <v>0.60499281869633914</v>
      </c>
      <c r="D220" s="42">
        <f t="shared" si="15"/>
        <v>2</v>
      </c>
      <c r="E220" s="10">
        <f t="shared" si="14"/>
        <v>2.0006842438778642E-2</v>
      </c>
      <c r="G220" s="5"/>
      <c r="H220" s="5"/>
      <c r="I220" s="12"/>
    </row>
    <row r="221" spans="1:9">
      <c r="A221" s="42">
        <v>10.35</v>
      </c>
      <c r="B221" s="10">
        <f t="shared" si="12"/>
        <v>0.99202764589179548</v>
      </c>
      <c r="C221" s="10">
        <f t="shared" si="13"/>
        <v>0.60351873250279608</v>
      </c>
      <c r="D221" s="42">
        <f t="shared" si="15"/>
        <v>4</v>
      </c>
      <c r="E221" s="10">
        <f t="shared" si="14"/>
        <v>3.9913817830423269E-2</v>
      </c>
      <c r="G221" s="5"/>
      <c r="H221" s="5"/>
      <c r="I221" s="12"/>
    </row>
    <row r="222" spans="1:9">
      <c r="A222" s="42">
        <v>10.4</v>
      </c>
      <c r="B222" s="10">
        <f t="shared" si="12"/>
        <v>0.99196840599140013</v>
      </c>
      <c r="C222" s="10">
        <f t="shared" si="13"/>
        <v>0.60204823797189555</v>
      </c>
      <c r="D222" s="42">
        <f t="shared" si="15"/>
        <v>2</v>
      </c>
      <c r="E222" s="10">
        <f t="shared" si="14"/>
        <v>1.9907094365030412E-2</v>
      </c>
      <c r="G222" s="5"/>
      <c r="H222" s="5"/>
      <c r="I222" s="12"/>
    </row>
    <row r="223" spans="1:9">
      <c r="A223" s="42">
        <v>10.45</v>
      </c>
      <c r="B223" s="10">
        <f t="shared" si="12"/>
        <v>0.9919088863653226</v>
      </c>
      <c r="C223" s="10">
        <f t="shared" si="13"/>
        <v>0.60058132635242611</v>
      </c>
      <c r="D223" s="42">
        <f t="shared" si="15"/>
        <v>4</v>
      </c>
      <c r="E223" s="10">
        <f t="shared" si="14"/>
        <v>3.9714796972936221E-2</v>
      </c>
      <c r="G223" s="5"/>
      <c r="H223" s="5"/>
      <c r="I223" s="12"/>
    </row>
    <row r="224" spans="1:9">
      <c r="A224" s="42">
        <v>10.5</v>
      </c>
      <c r="B224" s="10">
        <f t="shared" si="12"/>
        <v>0.99184908540400774</v>
      </c>
      <c r="C224" s="10">
        <f t="shared" si="13"/>
        <v>0.59911798891449808</v>
      </c>
      <c r="D224" s="42">
        <f t="shared" si="15"/>
        <v>2</v>
      </c>
      <c r="E224" s="10">
        <f t="shared" si="14"/>
        <v>1.9807820978464445E-2</v>
      </c>
      <c r="G224" s="5"/>
      <c r="H224" s="5"/>
      <c r="I224" s="12"/>
    </row>
    <row r="225" spans="1:9">
      <c r="A225" s="42">
        <v>10.55</v>
      </c>
      <c r="B225" s="10">
        <f t="shared" si="12"/>
        <v>0.99178900148880711</v>
      </c>
      <c r="C225" s="10">
        <f t="shared" si="13"/>
        <v>0.59765821694949328</v>
      </c>
      <c r="D225" s="42">
        <f t="shared" si="15"/>
        <v>4</v>
      </c>
      <c r="E225" s="10">
        <f t="shared" si="14"/>
        <v>3.951672308132792E-2</v>
      </c>
      <c r="G225" s="5"/>
      <c r="H225" s="5"/>
      <c r="I225" s="12"/>
    </row>
    <row r="226" spans="1:9">
      <c r="A226" s="42">
        <v>10.6</v>
      </c>
      <c r="B226" s="10">
        <f t="shared" si="12"/>
        <v>0.99172863299193048</v>
      </c>
      <c r="C226" s="10">
        <f t="shared" si="13"/>
        <v>0.59620200177001204</v>
      </c>
      <c r="D226" s="42">
        <f t="shared" si="15"/>
        <v>2</v>
      </c>
      <c r="E226" s="10">
        <f t="shared" si="14"/>
        <v>1.9709019873414217E-2</v>
      </c>
      <c r="G226" s="5"/>
      <c r="H226" s="5"/>
      <c r="I226" s="12"/>
    </row>
    <row r="227" spans="1:9">
      <c r="A227" s="42">
        <v>10.65</v>
      </c>
      <c r="B227" s="10">
        <f t="shared" si="12"/>
        <v>0.99166797827639452</v>
      </c>
      <c r="C227" s="10">
        <f t="shared" si="13"/>
        <v>0.5947493347098215</v>
      </c>
      <c r="D227" s="42">
        <f t="shared" si="15"/>
        <v>4</v>
      </c>
      <c r="E227" s="10">
        <f t="shared" si="14"/>
        <v>3.9319591355527962E-2</v>
      </c>
      <c r="G227" s="5"/>
      <c r="H227" s="5"/>
      <c r="I227" s="12"/>
    </row>
    <row r="228" spans="1:9">
      <c r="A228" s="42">
        <v>10.7</v>
      </c>
      <c r="B228" s="10">
        <f t="shared" si="12"/>
        <v>0.99160703569597441</v>
      </c>
      <c r="C228" s="10">
        <f t="shared" si="13"/>
        <v>0.59330020712380516</v>
      </c>
      <c r="D228" s="42">
        <f t="shared" si="15"/>
        <v>2</v>
      </c>
      <c r="E228" s="10">
        <f t="shared" si="14"/>
        <v>1.9610688655461467E-2</v>
      </c>
      <c r="G228" s="5"/>
      <c r="H228" s="5"/>
      <c r="I228" s="12"/>
    </row>
    <row r="229" spans="1:9">
      <c r="A229" s="42">
        <v>10.75</v>
      </c>
      <c r="B229" s="10">
        <f t="shared" si="12"/>
        <v>0.99154580359515287</v>
      </c>
      <c r="C229" s="10">
        <f t="shared" si="13"/>
        <v>0.59185461038790999</v>
      </c>
      <c r="D229" s="42">
        <f t="shared" si="15"/>
        <v>4</v>
      </c>
      <c r="E229" s="10">
        <f t="shared" si="14"/>
        <v>3.9123397017905091E-2</v>
      </c>
      <c r="G229" s="5"/>
      <c r="H229" s="5"/>
      <c r="I229" s="12"/>
    </row>
    <row r="230" spans="1:9">
      <c r="A230" s="42">
        <v>10.8</v>
      </c>
      <c r="B230" s="10">
        <f t="shared" si="12"/>
        <v>0.99148428030906954</v>
      </c>
      <c r="C230" s="10">
        <f t="shared" si="13"/>
        <v>0.59041253589909592</v>
      </c>
      <c r="D230" s="42">
        <f t="shared" si="15"/>
        <v>2</v>
      </c>
      <c r="E230" s="10">
        <f t="shared" si="14"/>
        <v>1.9512824941378928E-2</v>
      </c>
      <c r="G230" s="5"/>
      <c r="H230" s="5"/>
      <c r="I230" s="12"/>
    </row>
    <row r="231" spans="1:9">
      <c r="A231" s="42">
        <v>10.85</v>
      </c>
      <c r="B231" s="10">
        <f t="shared" si="12"/>
        <v>0.99142246416347102</v>
      </c>
      <c r="C231" s="10">
        <f t="shared" si="13"/>
        <v>0.58897397507528493</v>
      </c>
      <c r="D231" s="42">
        <f t="shared" si="15"/>
        <v>4</v>
      </c>
      <c r="E231" s="10">
        <f t="shared" si="14"/>
        <v>3.8928135313152923E-2</v>
      </c>
      <c r="G231" s="5"/>
      <c r="H231" s="5"/>
      <c r="I231" s="12"/>
    </row>
    <row r="232" spans="1:9">
      <c r="A232" s="42">
        <v>10.9</v>
      </c>
      <c r="B232" s="10">
        <f t="shared" si="12"/>
        <v>0.99136035347465956</v>
      </c>
      <c r="C232" s="10">
        <f t="shared" si="13"/>
        <v>0.58753891935530878</v>
      </c>
      <c r="D232" s="42">
        <f t="shared" si="15"/>
        <v>2</v>
      </c>
      <c r="E232" s="10">
        <f t="shared" si="14"/>
        <v>1.9415426359073281E-2</v>
      </c>
      <c r="G232" s="5"/>
      <c r="H232" s="5"/>
      <c r="I232" s="12"/>
    </row>
    <row r="233" spans="1:9">
      <c r="A233" s="42">
        <v>10.95</v>
      </c>
      <c r="B233" s="10">
        <f t="shared" si="12"/>
        <v>0.99129794654944159</v>
      </c>
      <c r="C233" s="10">
        <f t="shared" si="13"/>
        <v>0.58610736019885934</v>
      </c>
      <c r="D233" s="42">
        <f t="shared" si="15"/>
        <v>4</v>
      </c>
      <c r="E233" s="10">
        <f t="shared" si="14"/>
        <v>3.8733801508176215E-2</v>
      </c>
      <c r="G233" s="5"/>
      <c r="H233" s="5"/>
      <c r="I233" s="12"/>
    </row>
    <row r="234" spans="1:9">
      <c r="A234" s="42">
        <v>11</v>
      </c>
      <c r="B234" s="10">
        <f t="shared" si="12"/>
        <v>0.99123524168507737</v>
      </c>
      <c r="C234" s="10">
        <f t="shared" si="13"/>
        <v>0.5846792890864374</v>
      </c>
      <c r="D234" s="42">
        <f t="shared" si="15"/>
        <v>2</v>
      </c>
      <c r="E234" s="10">
        <f t="shared" si="14"/>
        <v>1.9318490547528468E-2</v>
      </c>
      <c r="G234" s="5">
        <f>(E$415-SUM(E$14:E234)+E234/2)/(B234*C234)</f>
        <v>7.2316239368714363</v>
      </c>
      <c r="H234" s="5">
        <f>1-LN(1+B$6)*G234</f>
        <v>0.64716788090844812</v>
      </c>
      <c r="I234" s="12">
        <f>200000*H234-G234*E$417</f>
        <v>85896.319001681404</v>
      </c>
    </row>
    <row r="235" spans="1:9">
      <c r="A235" s="42">
        <v>11.05</v>
      </c>
      <c r="B235" s="10">
        <f t="shared" si="12"/>
        <v>0.99117223716922742</v>
      </c>
      <c r="C235" s="10">
        <f t="shared" si="13"/>
        <v>0.58325469751930081</v>
      </c>
      <c r="D235" s="42">
        <f t="shared" si="15"/>
        <v>4</v>
      </c>
      <c r="E235" s="10">
        <f t="shared" si="14"/>
        <v>3.8540390891977763E-2</v>
      </c>
      <c r="G235" s="5"/>
      <c r="H235" s="5"/>
      <c r="I235" s="12"/>
    </row>
    <row r="236" spans="1:9">
      <c r="A236" s="42">
        <v>11.1</v>
      </c>
      <c r="B236" s="10">
        <f t="shared" si="12"/>
        <v>0.99110893127990285</v>
      </c>
      <c r="C236" s="10">
        <f t="shared" si="13"/>
        <v>0.58183357701941618</v>
      </c>
      <c r="D236" s="42">
        <f t="shared" si="15"/>
        <v>2</v>
      </c>
      <c r="E236" s="10">
        <f t="shared" si="14"/>
        <v>1.9222015156749223E-2</v>
      </c>
      <c r="G236" s="5"/>
      <c r="H236" s="5"/>
      <c r="I236" s="12"/>
    </row>
    <row r="237" spans="1:9">
      <c r="A237" s="42">
        <v>11.15</v>
      </c>
      <c r="B237" s="10">
        <f t="shared" si="12"/>
        <v>0.99104532228541109</v>
      </c>
      <c r="C237" s="10">
        <f t="shared" si="13"/>
        <v>0.58041591912940638</v>
      </c>
      <c r="D237" s="42">
        <f t="shared" si="15"/>
        <v>4</v>
      </c>
      <c r="E237" s="10">
        <f t="shared" si="14"/>
        <v>3.8347898775545709E-2</v>
      </c>
      <c r="G237" s="5"/>
      <c r="H237" s="5"/>
      <c r="I237" s="12"/>
    </row>
    <row r="238" spans="1:9">
      <c r="A238" s="42">
        <v>11.2</v>
      </c>
      <c r="B238" s="10">
        <f t="shared" si="12"/>
        <v>0.99098140844430549</v>
      </c>
      <c r="C238" s="10">
        <f t="shared" si="13"/>
        <v>0.57900171541250134</v>
      </c>
      <c r="D238" s="42">
        <f t="shared" si="15"/>
        <v>2</v>
      </c>
      <c r="E238" s="10">
        <f t="shared" si="14"/>
        <v>1.9125997847704985E-2</v>
      </c>
      <c r="G238" s="5"/>
      <c r="H238" s="5"/>
      <c r="I238" s="12"/>
    </row>
    <row r="239" spans="1:9">
      <c r="A239" s="42">
        <v>11.25</v>
      </c>
      <c r="B239" s="10">
        <f t="shared" si="12"/>
        <v>0.99091718800533091</v>
      </c>
      <c r="C239" s="10">
        <f t="shared" si="13"/>
        <v>0.57759095745248701</v>
      </c>
      <c r="D239" s="42">
        <f t="shared" si="15"/>
        <v>4</v>
      </c>
      <c r="E239" s="10">
        <f t="shared" si="14"/>
        <v>3.8156320491741676E-2</v>
      </c>
      <c r="G239" s="5"/>
      <c r="H239" s="5"/>
      <c r="I239" s="12"/>
    </row>
    <row r="240" spans="1:9">
      <c r="A240" s="42">
        <v>11.3</v>
      </c>
      <c r="B240" s="10">
        <f t="shared" si="12"/>
        <v>0.99085265920737098</v>
      </c>
      <c r="C240" s="10">
        <f t="shared" si="13"/>
        <v>0.57618363685365626</v>
      </c>
      <c r="D240" s="42">
        <f t="shared" si="15"/>
        <v>2</v>
      </c>
      <c r="E240" s="10">
        <f t="shared" si="14"/>
        <v>1.9030436292273984E-2</v>
      </c>
      <c r="G240" s="5"/>
      <c r="H240" s="5"/>
      <c r="I240" s="12"/>
    </row>
    <row r="241" spans="1:9">
      <c r="A241" s="42">
        <v>11.35</v>
      </c>
      <c r="B241" s="10">
        <f t="shared" si="12"/>
        <v>0.99078782027939627</v>
      </c>
      <c r="C241" s="10">
        <f t="shared" si="13"/>
        <v>0.57477974524075814</v>
      </c>
      <c r="D241" s="42">
        <f t="shared" si="15"/>
        <v>4</v>
      </c>
      <c r="E241" s="10">
        <f t="shared" si="14"/>
        <v>3.7965651395189169E-2</v>
      </c>
      <c r="G241" s="5"/>
      <c r="H241" s="5"/>
      <c r="I241" s="12"/>
    </row>
    <row r="242" spans="1:9">
      <c r="A242" s="42">
        <v>11.4</v>
      </c>
      <c r="B242" s="10">
        <f t="shared" si="12"/>
        <v>0.99072266944040932</v>
      </c>
      <c r="C242" s="10">
        <f t="shared" si="13"/>
        <v>0.57337927425894819</v>
      </c>
      <c r="D242" s="42">
        <f t="shared" si="15"/>
        <v>2</v>
      </c>
      <c r="E242" s="10">
        <f t="shared" si="14"/>
        <v>1.8935328173187656E-2</v>
      </c>
      <c r="G242" s="5"/>
      <c r="H242" s="5"/>
      <c r="I242" s="12"/>
    </row>
    <row r="243" spans="1:9">
      <c r="A243" s="42">
        <v>11.45</v>
      </c>
      <c r="B243" s="10">
        <f t="shared" si="12"/>
        <v>0.99065720489939146</v>
      </c>
      <c r="C243" s="10">
        <f t="shared" si="13"/>
        <v>0.57198221557373918</v>
      </c>
      <c r="D243" s="42">
        <f t="shared" si="15"/>
        <v>4</v>
      </c>
      <c r="E243" s="10">
        <f t="shared" si="14"/>
        <v>3.777588686216278E-2</v>
      </c>
      <c r="G243" s="5"/>
      <c r="H243" s="5"/>
      <c r="I243" s="12"/>
    </row>
    <row r="244" spans="1:9">
      <c r="A244" s="42">
        <v>11.5</v>
      </c>
      <c r="B244" s="10">
        <f t="shared" si="12"/>
        <v>0.99059142485524865</v>
      </c>
      <c r="C244" s="10">
        <f t="shared" si="13"/>
        <v>0.57058856087095067</v>
      </c>
      <c r="D244" s="42">
        <f t="shared" si="15"/>
        <v>2</v>
      </c>
      <c r="E244" s="10">
        <f t="shared" si="14"/>
        <v>1.8840671183975359E-2</v>
      </c>
      <c r="G244" s="5"/>
      <c r="H244" s="5"/>
      <c r="I244" s="12"/>
    </row>
    <row r="245" spans="1:9">
      <c r="A245" s="42">
        <v>11.55</v>
      </c>
      <c r="B245" s="10">
        <f t="shared" si="12"/>
        <v>0.99052532749675803</v>
      </c>
      <c r="C245" s="10">
        <f t="shared" si="13"/>
        <v>0.56919830185666032</v>
      </c>
      <c r="D245" s="42">
        <f t="shared" si="15"/>
        <v>4</v>
      </c>
      <c r="E245" s="10">
        <f t="shared" si="14"/>
        <v>3.7587022290477799E-2</v>
      </c>
      <c r="G245" s="5"/>
      <c r="H245" s="5"/>
      <c r="I245" s="12"/>
    </row>
    <row r="246" spans="1:9">
      <c r="A246" s="42">
        <v>11.6</v>
      </c>
      <c r="B246" s="10">
        <f t="shared" si="12"/>
        <v>0.99045891100251193</v>
      </c>
      <c r="C246" s="10">
        <f t="shared" si="13"/>
        <v>0.56781143025715419</v>
      </c>
      <c r="D246" s="42">
        <f t="shared" si="15"/>
        <v>2</v>
      </c>
      <c r="E246" s="10">
        <f t="shared" si="14"/>
        <v>1.8746463028909321E-2</v>
      </c>
      <c r="G246" s="5"/>
      <c r="H246" s="5"/>
      <c r="I246" s="12"/>
    </row>
    <row r="247" spans="1:9">
      <c r="A247" s="42">
        <v>11.65</v>
      </c>
      <c r="B247" s="10">
        <f t="shared" ref="B247:B310" si="16">$B$54*($B$9^(A247-2))*$B$8^(($B$5^(42))*(($B$5^(A247-2)-1)))</f>
        <v>0.99039217354086462</v>
      </c>
      <c r="C247" s="10">
        <f t="shared" si="13"/>
        <v>0.56642793781887768</v>
      </c>
      <c r="D247" s="42">
        <f t="shared" si="15"/>
        <v>4</v>
      </c>
      <c r="E247" s="10">
        <f t="shared" si="14"/>
        <v>3.739905309938054E-2</v>
      </c>
      <c r="G247" s="5"/>
      <c r="H247" s="5"/>
      <c r="I247" s="12"/>
    </row>
    <row r="248" spans="1:9">
      <c r="A248" s="42">
        <v>11.7</v>
      </c>
      <c r="B248" s="10">
        <f t="shared" si="16"/>
        <v>0.9903251132698756</v>
      </c>
      <c r="C248" s="10">
        <f t="shared" si="13"/>
        <v>0.56504781630838585</v>
      </c>
      <c r="D248" s="42">
        <f t="shared" si="15"/>
        <v>2</v>
      </c>
      <c r="E248" s="10">
        <f t="shared" si="14"/>
        <v>1.8652701422949936E-2</v>
      </c>
      <c r="G248" s="5"/>
      <c r="H248" s="5"/>
      <c r="I248" s="12"/>
    </row>
    <row r="249" spans="1:9">
      <c r="A249" s="42">
        <v>11.75</v>
      </c>
      <c r="B249" s="10">
        <f t="shared" si="16"/>
        <v>0.99025772833725623</v>
      </c>
      <c r="C249" s="10">
        <f t="shared" si="13"/>
        <v>0.56367105751229518</v>
      </c>
      <c r="D249" s="42">
        <f t="shared" si="15"/>
        <v>4</v>
      </c>
      <c r="E249" s="10">
        <f t="shared" si="14"/>
        <v>3.7211974729438956E-2</v>
      </c>
      <c r="G249" s="5"/>
      <c r="H249" s="5"/>
      <c r="I249" s="12"/>
    </row>
    <row r="250" spans="1:9">
      <c r="A250" s="42">
        <v>11.8</v>
      </c>
      <c r="B250" s="10">
        <f t="shared" si="16"/>
        <v>0.99019001688031272</v>
      </c>
      <c r="C250" s="10">
        <f t="shared" si="13"/>
        <v>0.56229765323723424</v>
      </c>
      <c r="D250" s="42">
        <f t="shared" si="15"/>
        <v>2</v>
      </c>
      <c r="E250" s="10">
        <f t="shared" si="14"/>
        <v>1.855938409169124E-2</v>
      </c>
      <c r="G250" s="5"/>
      <c r="H250" s="5"/>
      <c r="I250" s="12"/>
    </row>
    <row r="251" spans="1:9">
      <c r="A251" s="42">
        <v>11.85</v>
      </c>
      <c r="B251" s="10">
        <f t="shared" si="16"/>
        <v>0.99012197702589055</v>
      </c>
      <c r="C251" s="10">
        <f t="shared" si="13"/>
        <v>0.56092759530979508</v>
      </c>
      <c r="D251" s="42">
        <f t="shared" si="15"/>
        <v>4</v>
      </c>
      <c r="E251" s="10">
        <f t="shared" si="14"/>
        <v>3.7025782642434203E-2</v>
      </c>
      <c r="G251" s="5"/>
      <c r="H251" s="5"/>
      <c r="I251" s="12"/>
    </row>
    <row r="252" spans="1:9">
      <c r="A252" s="42">
        <v>11.9</v>
      </c>
      <c r="B252" s="10">
        <f t="shared" si="16"/>
        <v>0.99005360689031841</v>
      </c>
      <c r="C252" s="10">
        <f t="shared" si="13"/>
        <v>0.55956087557648448</v>
      </c>
      <c r="D252" s="42">
        <f t="shared" si="15"/>
        <v>2</v>
      </c>
      <c r="E252" s="10">
        <f t="shared" si="14"/>
        <v>1.8466508771306771E-2</v>
      </c>
      <c r="G252" s="5"/>
      <c r="H252" s="5"/>
      <c r="I252" s="12"/>
    </row>
    <row r="253" spans="1:9">
      <c r="A253" s="42">
        <v>11.95</v>
      </c>
      <c r="B253" s="10">
        <f t="shared" si="16"/>
        <v>0.9899849045793524</v>
      </c>
      <c r="C253" s="10">
        <f t="shared" si="13"/>
        <v>0.55819748590367557</v>
      </c>
      <c r="D253" s="42">
        <f t="shared" si="15"/>
        <v>4</v>
      </c>
      <c r="E253" s="10">
        <f t="shared" si="14"/>
        <v>3.6840472321252309E-2</v>
      </c>
      <c r="G253" s="5"/>
      <c r="H253" s="5"/>
      <c r="I253" s="12"/>
    </row>
    <row r="254" spans="1:9">
      <c r="A254" s="42">
        <v>12</v>
      </c>
      <c r="B254" s="10">
        <f t="shared" si="16"/>
        <v>0.9899158681881185</v>
      </c>
      <c r="C254" s="10">
        <f t="shared" si="13"/>
        <v>0.5568374181775595</v>
      </c>
      <c r="D254" s="42">
        <f t="shared" si="15"/>
        <v>2</v>
      </c>
      <c r="E254" s="10">
        <f t="shared" si="14"/>
        <v>1.8374073208495642E-2</v>
      </c>
      <c r="G254" s="5">
        <f>(E$415-SUM(E$14:E254)+E254/2)/(B254*C254)</f>
        <v>6.5778293097056197</v>
      </c>
      <c r="H254" s="5">
        <f>1-LN(1+B$6)*G254</f>
        <v>0.67906662810096097</v>
      </c>
      <c r="I254" s="12">
        <f>200000*H254-G254*E$417</f>
        <v>96212.172567597998</v>
      </c>
    </row>
    <row r="255" spans="1:9">
      <c r="A255" s="42">
        <v>12.05</v>
      </c>
      <c r="B255" s="10">
        <f t="shared" si="16"/>
        <v>0.98984649580105566</v>
      </c>
      <c r="C255" s="10">
        <f t="shared" si="13"/>
        <v>0.55548066430409593</v>
      </c>
      <c r="D255" s="42">
        <f t="shared" si="15"/>
        <v>4</v>
      </c>
      <c r="E255" s="10">
        <f t="shared" si="14"/>
        <v>3.6656039269776793E-2</v>
      </c>
      <c r="G255" s="5"/>
      <c r="H255" s="5"/>
      <c r="I255" s="12"/>
    </row>
    <row r="256" spans="1:9">
      <c r="A256" s="42">
        <v>12.1</v>
      </c>
      <c r="B256" s="10">
        <f t="shared" si="16"/>
        <v>0.98977678549185988</v>
      </c>
      <c r="C256" s="10">
        <f t="shared" si="13"/>
        <v>0.55412721620896777</v>
      </c>
      <c r="D256" s="42">
        <f t="shared" si="15"/>
        <v>2</v>
      </c>
      <c r="E256" s="10">
        <f t="shared" si="14"/>
        <v>1.8282075160428832E-2</v>
      </c>
      <c r="G256" s="5"/>
      <c r="H256" s="5"/>
      <c r="I256" s="12"/>
    </row>
    <row r="257" spans="1:9">
      <c r="A257" s="42">
        <v>12.15</v>
      </c>
      <c r="B257" s="10">
        <f t="shared" si="16"/>
        <v>0.98970673532342512</v>
      </c>
      <c r="C257" s="10">
        <f t="shared" si="13"/>
        <v>0.55277706583752995</v>
      </c>
      <c r="D257" s="42">
        <f t="shared" si="15"/>
        <v>4</v>
      </c>
      <c r="E257" s="10">
        <f t="shared" si="14"/>
        <v>3.647247901278159E-2</v>
      </c>
      <c r="G257" s="5"/>
      <c r="H257" s="5"/>
      <c r="I257" s="12"/>
    </row>
    <row r="258" spans="1:9">
      <c r="A258" s="42">
        <v>12.2</v>
      </c>
      <c r="B258" s="10">
        <f t="shared" si="16"/>
        <v>0.98963634334778627</v>
      </c>
      <c r="C258" s="10">
        <f t="shared" si="13"/>
        <v>0.55143020515476315</v>
      </c>
      <c r="D258" s="42">
        <f t="shared" si="15"/>
        <v>2</v>
      </c>
      <c r="E258" s="10">
        <f t="shared" si="14"/>
        <v>1.819051239469598E-2</v>
      </c>
      <c r="G258" s="5"/>
      <c r="H258" s="5"/>
      <c r="I258" s="12"/>
    </row>
    <row r="259" spans="1:9">
      <c r="A259" s="42">
        <v>12.25</v>
      </c>
      <c r="B259" s="10">
        <f t="shared" si="16"/>
        <v>0.98956560760606094</v>
      </c>
      <c r="C259" s="10">
        <f t="shared" si="13"/>
        <v>0.55008662614522574</v>
      </c>
      <c r="D259" s="42">
        <f t="shared" si="15"/>
        <v>4</v>
      </c>
      <c r="E259" s="10">
        <f t="shared" si="14"/>
        <v>3.6289787095824567E-2</v>
      </c>
      <c r="G259" s="5"/>
      <c r="H259" s="5"/>
      <c r="I259" s="12"/>
    </row>
    <row r="260" spans="1:9">
      <c r="A260" s="42">
        <v>12.3</v>
      </c>
      <c r="B260" s="10">
        <f t="shared" si="16"/>
        <v>0.98949452612839184</v>
      </c>
      <c r="C260" s="10">
        <f t="shared" si="13"/>
        <v>0.54874632081300589</v>
      </c>
      <c r="D260" s="42">
        <f t="shared" si="15"/>
        <v>2</v>
      </c>
      <c r="E260" s="10">
        <f t="shared" si="14"/>
        <v>1.8099382689252128E-2</v>
      </c>
      <c r="G260" s="5"/>
      <c r="H260" s="5"/>
      <c r="I260" s="12"/>
    </row>
    <row r="261" spans="1:9">
      <c r="A261" s="42">
        <v>12.35</v>
      </c>
      <c r="B261" s="10">
        <f t="shared" si="16"/>
        <v>0.98942309693388708</v>
      </c>
      <c r="C261" s="10">
        <f t="shared" si="13"/>
        <v>0.54740928118167442</v>
      </c>
      <c r="D261" s="42">
        <f t="shared" si="15"/>
        <v>4</v>
      </c>
      <c r="E261" s="10">
        <f t="shared" si="14"/>
        <v>3.6107959085141687E-2</v>
      </c>
      <c r="G261" s="5"/>
      <c r="H261" s="5"/>
      <c r="I261" s="12"/>
    </row>
    <row r="262" spans="1:9">
      <c r="A262" s="42">
        <v>12.4</v>
      </c>
      <c r="B262" s="10">
        <f t="shared" si="16"/>
        <v>0.9893513180305622</v>
      </c>
      <c r="C262" s="10">
        <f t="shared" si="13"/>
        <v>0.54607549929423627</v>
      </c>
      <c r="D262" s="42">
        <f t="shared" si="15"/>
        <v>2</v>
      </c>
      <c r="E262" s="10">
        <f t="shared" si="14"/>
        <v>1.8008683832364997E-2</v>
      </c>
      <c r="G262" s="5"/>
      <c r="H262" s="5"/>
      <c r="I262" s="12"/>
    </row>
    <row r="263" spans="1:9">
      <c r="A263" s="42">
        <v>12.45</v>
      </c>
      <c r="B263" s="10">
        <f t="shared" si="16"/>
        <v>0.98927918741528076</v>
      </c>
      <c r="C263" s="10">
        <f t="shared" si="13"/>
        <v>0.54474496721308485</v>
      </c>
      <c r="D263" s="42">
        <f t="shared" si="15"/>
        <v>4</v>
      </c>
      <c r="E263" s="10">
        <f t="shared" si="14"/>
        <v>3.5926990567541624E-2</v>
      </c>
      <c r="G263" s="5"/>
      <c r="H263" s="5"/>
      <c r="I263" s="12"/>
    </row>
    <row r="264" spans="1:9">
      <c r="A264" s="42">
        <v>12.5</v>
      </c>
      <c r="B264" s="10">
        <f t="shared" si="16"/>
        <v>0.9892067030736944</v>
      </c>
      <c r="C264" s="10">
        <f t="shared" si="13"/>
        <v>0.54341767701995292</v>
      </c>
      <c r="D264" s="42">
        <f t="shared" si="15"/>
        <v>2</v>
      </c>
      <c r="E264" s="10">
        <f t="shared" si="14"/>
        <v>1.7918413622562447E-2</v>
      </c>
      <c r="G264" s="5"/>
      <c r="H264" s="5"/>
      <c r="I264" s="12"/>
    </row>
    <row r="265" spans="1:9">
      <c r="A265" s="42">
        <v>12.55</v>
      </c>
      <c r="B265" s="10">
        <f t="shared" si="16"/>
        <v>0.98913386298018435</v>
      </c>
      <c r="C265" s="10">
        <f t="shared" si="13"/>
        <v>0.54209362081586687</v>
      </c>
      <c r="D265" s="42">
        <f t="shared" si="15"/>
        <v>4</v>
      </c>
      <c r="E265" s="10">
        <f t="shared" si="14"/>
        <v>3.5746877150300914E-2</v>
      </c>
      <c r="G265" s="5"/>
      <c r="H265" s="5"/>
      <c r="I265" s="12"/>
    </row>
    <row r="266" spans="1:9">
      <c r="A266" s="42">
        <v>12.6</v>
      </c>
      <c r="B266" s="10">
        <f t="shared" si="16"/>
        <v>0.98906066509780044</v>
      </c>
      <c r="C266" s="10">
        <f t="shared" si="13"/>
        <v>0.54077279072109929</v>
      </c>
      <c r="D266" s="42">
        <f t="shared" si="15"/>
        <v>2</v>
      </c>
      <c r="E266" s="10">
        <f t="shared" si="14"/>
        <v>1.7828569868580141E-2</v>
      </c>
      <c r="G266" s="5"/>
      <c r="H266" s="5"/>
      <c r="I266" s="12"/>
    </row>
    <row r="267" spans="1:9">
      <c r="A267" s="42">
        <v>12.65</v>
      </c>
      <c r="B267" s="10">
        <f t="shared" si="16"/>
        <v>0.98898710737820039</v>
      </c>
      <c r="C267" s="10">
        <f t="shared" si="13"/>
        <v>0.53945517887512151</v>
      </c>
      <c r="D267" s="42">
        <f t="shared" si="15"/>
        <v>4</v>
      </c>
      <c r="E267" s="10">
        <f t="shared" si="14"/>
        <v>3.5567614461059736E-2</v>
      </c>
      <c r="G267" s="5"/>
      <c r="H267" s="5"/>
      <c r="I267" s="12"/>
    </row>
    <row r="268" spans="1:9">
      <c r="A268" s="42">
        <v>12.7</v>
      </c>
      <c r="B268" s="10">
        <f t="shared" si="16"/>
        <v>0.98891318776159154</v>
      </c>
      <c r="C268" s="10">
        <f t="shared" si="13"/>
        <v>0.53814077743655786</v>
      </c>
      <c r="D268" s="42">
        <f t="shared" si="15"/>
        <v>2</v>
      </c>
      <c r="E268" s="10">
        <f t="shared" si="14"/>
        <v>1.7739150389309583E-2</v>
      </c>
      <c r="G268" s="5"/>
      <c r="H268" s="5"/>
      <c r="I268" s="12"/>
    </row>
    <row r="269" spans="1:9">
      <c r="A269" s="42">
        <v>12.75</v>
      </c>
      <c r="B269" s="10">
        <f t="shared" si="16"/>
        <v>0.98883890417666709</v>
      </c>
      <c r="C269" s="10">
        <f t="shared" si="13"/>
        <v>0.53682957858313829</v>
      </c>
      <c r="D269" s="42">
        <f t="shared" si="15"/>
        <v>4</v>
      </c>
      <c r="E269" s="10">
        <f t="shared" si="14"/>
        <v>3.5389198147718161E-2</v>
      </c>
      <c r="G269" s="5"/>
      <c r="H269" s="5"/>
      <c r="I269" s="12"/>
    </row>
    <row r="270" spans="1:9">
      <c r="A270" s="42">
        <v>12.8</v>
      </c>
      <c r="B270" s="10">
        <f t="shared" si="16"/>
        <v>0.98876425454054717</v>
      </c>
      <c r="C270" s="10">
        <f t="shared" si="13"/>
        <v>0.53552157451165172</v>
      </c>
      <c r="D270" s="42">
        <f t="shared" si="15"/>
        <v>2</v>
      </c>
      <c r="E270" s="10">
        <f t="shared" si="14"/>
        <v>1.7650153013746447E-2</v>
      </c>
      <c r="G270" s="5"/>
      <c r="H270" s="5"/>
      <c r="I270" s="12"/>
    </row>
    <row r="271" spans="1:9">
      <c r="A271" s="42">
        <v>12.85</v>
      </c>
      <c r="B271" s="10">
        <f t="shared" si="16"/>
        <v>0.98868923675871623</v>
      </c>
      <c r="C271" s="10">
        <f t="shared" ref="C271:C334" si="17">(1+B$6)^-A271</f>
        <v>0.53421675743790009</v>
      </c>
      <c r="D271" s="42">
        <f t="shared" si="15"/>
        <v>4</v>
      </c>
      <c r="E271" s="10">
        <f t="shared" ref="E271:E334" si="18">B271*C271*D271*0.05/3</f>
        <v>3.5211623878332911E-2</v>
      </c>
      <c r="G271" s="5"/>
      <c r="H271" s="5"/>
      <c r="I271" s="12"/>
    </row>
    <row r="272" spans="1:9">
      <c r="A272" s="42">
        <v>12.9</v>
      </c>
      <c r="B272" s="10">
        <f t="shared" si="16"/>
        <v>0.98861384872496216</v>
      </c>
      <c r="C272" s="10">
        <f t="shared" si="17"/>
        <v>0.53291511959665194</v>
      </c>
      <c r="D272" s="42">
        <f t="shared" si="15"/>
        <v>2</v>
      </c>
      <c r="E272" s="10">
        <f t="shared" si="18"/>
        <v>1.7561575580938987E-2</v>
      </c>
      <c r="G272" s="5"/>
      <c r="H272" s="5"/>
      <c r="I272" s="12"/>
    </row>
    <row r="273" spans="1:9">
      <c r="A273" s="42">
        <v>12.95</v>
      </c>
      <c r="B273" s="10">
        <f t="shared" si="16"/>
        <v>0.98853808832131385</v>
      </c>
      <c r="C273" s="10">
        <f t="shared" si="17"/>
        <v>0.53161665324159579</v>
      </c>
      <c r="D273" s="42">
        <f t="shared" ref="D273:D336" si="19">IF(D272=4,2,4)</f>
        <v>4</v>
      </c>
      <c r="E273" s="10">
        <f t="shared" si="18"/>
        <v>3.5034887341014793E-2</v>
      </c>
      <c r="G273" s="5"/>
      <c r="H273" s="5"/>
      <c r="I273" s="12"/>
    </row>
    <row r="274" spans="1:9">
      <c r="A274" s="42">
        <v>13</v>
      </c>
      <c r="B274" s="10">
        <f t="shared" si="16"/>
        <v>0.98846195341797904</v>
      </c>
      <c r="C274" s="10">
        <f t="shared" si="17"/>
        <v>0.53032135064529462</v>
      </c>
      <c r="D274" s="42">
        <f t="shared" si="19"/>
        <v>2</v>
      </c>
      <c r="E274" s="10">
        <f t="shared" si="18"/>
        <v>1.7473415939936964E-2</v>
      </c>
      <c r="G274" s="5">
        <f>(E$415-SUM(E$14:E274)+E274/2)/(B274*C274)</f>
        <v>5.8913109532894525</v>
      </c>
      <c r="H274" s="5">
        <f>1-LN(1+B$6)*G274</f>
        <v>0.71256197141583444</v>
      </c>
      <c r="I274" s="12">
        <f>200000*H274-G274*E$417</f>
        <v>107044.35524521238</v>
      </c>
    </row>
    <row r="275" spans="1:9">
      <c r="A275" s="42">
        <v>13.05</v>
      </c>
      <c r="B275" s="10">
        <f t="shared" si="16"/>
        <v>0.98838544187328115</v>
      </c>
      <c r="C275" s="10">
        <f t="shared" si="17"/>
        <v>0.52902920409913901</v>
      </c>
      <c r="D275" s="42">
        <f t="shared" si="19"/>
        <v>4</v>
      </c>
      <c r="E275" s="10">
        <f t="shared" si="18"/>
        <v>3.4858984243826517E-2</v>
      </c>
      <c r="G275" s="5"/>
      <c r="H275" s="5"/>
      <c r="I275" s="12"/>
    </row>
    <row r="276" spans="1:9">
      <c r="A276" s="42">
        <v>13.1</v>
      </c>
      <c r="B276" s="10">
        <f t="shared" si="16"/>
        <v>0.98830855153359853</v>
      </c>
      <c r="C276" s="10">
        <f t="shared" si="17"/>
        <v>0.52774020591330262</v>
      </c>
      <c r="D276" s="42">
        <f t="shared" si="19"/>
        <v>2</v>
      </c>
      <c r="E276" s="10">
        <f t="shared" si="18"/>
        <v>1.7385671949740639E-2</v>
      </c>
      <c r="G276" s="5"/>
      <c r="H276" s="5"/>
      <c r="I276" s="12"/>
    </row>
    <row r="277" spans="1:9">
      <c r="A277" s="42">
        <v>13.15</v>
      </c>
      <c r="B277" s="10">
        <f t="shared" si="16"/>
        <v>0.98823128023329843</v>
      </c>
      <c r="C277" s="10">
        <f t="shared" si="17"/>
        <v>0.52645434841669514</v>
      </c>
      <c r="D277" s="42">
        <f t="shared" si="19"/>
        <v>4</v>
      </c>
      <c r="E277" s="10">
        <f t="shared" si="18"/>
        <v>3.4683910314681175E-2</v>
      </c>
      <c r="G277" s="5"/>
      <c r="H277" s="5"/>
      <c r="I277" s="12"/>
    </row>
    <row r="278" spans="1:9">
      <c r="A278" s="42">
        <v>13.2</v>
      </c>
      <c r="B278" s="10">
        <f t="shared" si="16"/>
        <v>0.98815362579467592</v>
      </c>
      <c r="C278" s="10">
        <f t="shared" si="17"/>
        <v>0.5251716239569173</v>
      </c>
      <c r="D278" s="42">
        <f t="shared" si="19"/>
        <v>2</v>
      </c>
      <c r="E278" s="10">
        <f t="shared" si="18"/>
        <v>1.72983414792502E-2</v>
      </c>
      <c r="G278" s="5"/>
      <c r="H278" s="5"/>
      <c r="I278" s="12"/>
    </row>
    <row r="279" spans="1:9">
      <c r="A279" s="42">
        <v>13.25</v>
      </c>
      <c r="B279" s="10">
        <f t="shared" si="16"/>
        <v>0.98807558602788881</v>
      </c>
      <c r="C279" s="10">
        <f t="shared" si="17"/>
        <v>0.52389202490021491</v>
      </c>
      <c r="D279" s="42">
        <f t="shared" si="19"/>
        <v>4</v>
      </c>
      <c r="E279" s="10">
        <f t="shared" si="18"/>
        <v>3.4509661301241147E-2</v>
      </c>
      <c r="G279" s="5"/>
      <c r="H279" s="5"/>
      <c r="I279" s="12"/>
    </row>
    <row r="280" spans="1:9">
      <c r="A280" s="42">
        <v>13.3</v>
      </c>
      <c r="B280" s="10">
        <f t="shared" si="16"/>
        <v>0.98799715873089411</v>
      </c>
      <c r="C280" s="10">
        <f t="shared" si="17"/>
        <v>0.52261554363143425</v>
      </c>
      <c r="D280" s="42">
        <f t="shared" si="19"/>
        <v>2</v>
      </c>
      <c r="E280" s="10">
        <f t="shared" si="18"/>
        <v>1.721142240721529E-2</v>
      </c>
      <c r="G280" s="5"/>
      <c r="H280" s="5"/>
      <c r="I280" s="12"/>
    </row>
    <row r="281" spans="1:9">
      <c r="A281" s="42">
        <v>13.35</v>
      </c>
      <c r="B281" s="10">
        <f t="shared" si="16"/>
        <v>0.98791834168938408</v>
      </c>
      <c r="C281" s="10">
        <f t="shared" si="17"/>
        <v>0.52134217255397564</v>
      </c>
      <c r="D281" s="42">
        <f t="shared" si="19"/>
        <v>4</v>
      </c>
      <c r="E281" s="10">
        <f t="shared" si="18"/>
        <v>3.4336232970817629E-2</v>
      </c>
      <c r="G281" s="5"/>
      <c r="H281" s="5"/>
      <c r="I281" s="12"/>
    </row>
    <row r="282" spans="1:9">
      <c r="A282" s="42">
        <v>13.4</v>
      </c>
      <c r="B282" s="10">
        <f t="shared" si="16"/>
        <v>0.98783913267672119</v>
      </c>
      <c r="C282" s="10">
        <f t="shared" si="17"/>
        <v>0.5200719040897489</v>
      </c>
      <c r="D282" s="42">
        <f t="shared" si="19"/>
        <v>2</v>
      </c>
      <c r="E282" s="10">
        <f t="shared" si="18"/>
        <v>1.7124912622184952E-2</v>
      </c>
      <c r="G282" s="5"/>
      <c r="H282" s="5"/>
      <c r="I282" s="12"/>
    </row>
    <row r="283" spans="1:9">
      <c r="A283" s="42">
        <v>13.45</v>
      </c>
      <c r="B283" s="10">
        <f t="shared" si="16"/>
        <v>0.98775952945387302</v>
      </c>
      <c r="C283" s="10">
        <f t="shared" si="17"/>
        <v>0.51880473067912836</v>
      </c>
      <c r="D283" s="42">
        <f t="shared" si="19"/>
        <v>4</v>
      </c>
      <c r="E283" s="10">
        <f t="shared" si="18"/>
        <v>3.416362111027061E-2</v>
      </c>
      <c r="G283" s="5"/>
      <c r="H283" s="5"/>
      <c r="I283" s="12"/>
    </row>
    <row r="284" spans="1:9">
      <c r="A284" s="42">
        <v>13.5</v>
      </c>
      <c r="B284" s="10">
        <f t="shared" si="16"/>
        <v>0.98767952976934792</v>
      </c>
      <c r="C284" s="10">
        <f t="shared" si="17"/>
        <v>0.51754064478090755</v>
      </c>
      <c r="D284" s="42">
        <f t="shared" si="19"/>
        <v>2</v>
      </c>
      <c r="E284" s="10">
        <f t="shared" si="18"/>
        <v>1.7038810022457728E-2</v>
      </c>
      <c r="G284" s="5"/>
      <c r="H284" s="5"/>
      <c r="I284" s="12"/>
    </row>
    <row r="285" spans="1:9">
      <c r="A285" s="42">
        <v>13.55</v>
      </c>
      <c r="B285" s="10">
        <f t="shared" si="16"/>
        <v>0.98759913135912869</v>
      </c>
      <c r="C285" s="10">
        <f t="shared" si="17"/>
        <v>0.51627963887225414</v>
      </c>
      <c r="D285" s="42">
        <f t="shared" si="19"/>
        <v>4</v>
      </c>
      <c r="E285" s="10">
        <f t="shared" si="18"/>
        <v>3.3991821525909523E-2</v>
      </c>
      <c r="G285" s="5"/>
      <c r="H285" s="5"/>
      <c r="I285" s="12"/>
    </row>
    <row r="286" spans="1:9">
      <c r="A286" s="42">
        <v>13.6</v>
      </c>
      <c r="B286" s="10">
        <f t="shared" si="16"/>
        <v>0.98751833194660699</v>
      </c>
      <c r="C286" s="10">
        <f t="shared" si="17"/>
        <v>0.51502170544866588</v>
      </c>
      <c r="D286" s="42">
        <f t="shared" si="19"/>
        <v>2</v>
      </c>
      <c r="E286" s="10">
        <f t="shared" si="18"/>
        <v>1.6953112516032109E-2</v>
      </c>
      <c r="G286" s="5"/>
      <c r="H286" s="5"/>
      <c r="I286" s="12"/>
    </row>
    <row r="287" spans="1:9">
      <c r="A287" s="42">
        <v>13.65</v>
      </c>
      <c r="B287" s="10">
        <f t="shared" si="16"/>
        <v>0.98743712924251792</v>
      </c>
      <c r="C287" s="10">
        <f t="shared" si="17"/>
        <v>0.51376683702392523</v>
      </c>
      <c r="D287" s="42">
        <f t="shared" si="19"/>
        <v>4</v>
      </c>
      <c r="E287" s="10">
        <f t="shared" si="18"/>
        <v>3.3820830043394222E-2</v>
      </c>
      <c r="G287" s="5"/>
      <c r="H287" s="5"/>
      <c r="I287" s="12"/>
    </row>
    <row r="288" spans="1:9">
      <c r="A288" s="42">
        <v>13.7</v>
      </c>
      <c r="B288" s="10">
        <f t="shared" si="16"/>
        <v>0.98735552094487256</v>
      </c>
      <c r="C288" s="10">
        <f t="shared" si="17"/>
        <v>0.51251502613005517</v>
      </c>
      <c r="D288" s="42">
        <f t="shared" si="19"/>
        <v>2</v>
      </c>
      <c r="E288" s="10">
        <f t="shared" si="18"/>
        <v>1.6867818020557188E-2</v>
      </c>
      <c r="G288" s="5"/>
      <c r="H288" s="5"/>
      <c r="I288" s="12"/>
    </row>
    <row r="289" spans="1:9">
      <c r="A289" s="42">
        <v>13.75</v>
      </c>
      <c r="B289" s="10">
        <f t="shared" si="16"/>
        <v>0.9872735047388923</v>
      </c>
      <c r="C289" s="10">
        <f t="shared" si="17"/>
        <v>0.51126626531727459</v>
      </c>
      <c r="D289" s="42">
        <f t="shared" si="19"/>
        <v>4</v>
      </c>
      <c r="E289" s="10">
        <f t="shared" si="18"/>
        <v>3.3650642507636677E-2</v>
      </c>
      <c r="G289" s="5"/>
      <c r="H289" s="5"/>
      <c r="I289" s="12"/>
    </row>
    <row r="290" spans="1:9">
      <c r="A290" s="42">
        <v>13.8</v>
      </c>
      <c r="B290" s="10">
        <f t="shared" si="16"/>
        <v>0.98719107829694097</v>
      </c>
      <c r="C290" s="10">
        <f t="shared" si="17"/>
        <v>0.51002054715395395</v>
      </c>
      <c r="D290" s="42">
        <f t="shared" si="19"/>
        <v>2</v>
      </c>
      <c r="E290" s="10">
        <f t="shared" si="18"/>
        <v>1.678292446328359E-2</v>
      </c>
      <c r="G290" s="5"/>
      <c r="H290" s="5"/>
      <c r="I290" s="12"/>
    </row>
    <row r="291" spans="1:9">
      <c r="A291" s="42">
        <v>13.85</v>
      </c>
      <c r="B291" s="10">
        <f t="shared" si="16"/>
        <v>0.9871082392784587</v>
      </c>
      <c r="C291" s="10">
        <f t="shared" si="17"/>
        <v>0.50877786422657156</v>
      </c>
      <c r="D291" s="42">
        <f t="shared" si="19"/>
        <v>4</v>
      </c>
      <c r="E291" s="10">
        <f t="shared" si="18"/>
        <v>3.348125478270305E-2</v>
      </c>
      <c r="G291" s="5"/>
      <c r="H291" s="5"/>
      <c r="I291" s="12"/>
    </row>
    <row r="292" spans="1:9">
      <c r="A292" s="42">
        <v>13.9</v>
      </c>
      <c r="B292" s="10">
        <f t="shared" si="16"/>
        <v>0.9870249853298928</v>
      </c>
      <c r="C292" s="10">
        <f t="shared" si="17"/>
        <v>0.50753820913966852</v>
      </c>
      <c r="D292" s="42">
        <f t="shared" si="19"/>
        <v>2</v>
      </c>
      <c r="E292" s="10">
        <f t="shared" si="18"/>
        <v>1.6698429781014712E-2</v>
      </c>
      <c r="G292" s="5"/>
      <c r="H292" s="5"/>
      <c r="I292" s="12"/>
    </row>
    <row r="293" spans="1:9">
      <c r="A293" s="42">
        <v>13.95</v>
      </c>
      <c r="B293" s="10">
        <f t="shared" si="16"/>
        <v>0.98694131408463115</v>
      </c>
      <c r="C293" s="10">
        <f t="shared" si="17"/>
        <v>0.50630157451580549</v>
      </c>
      <c r="D293" s="42">
        <f t="shared" si="19"/>
        <v>4</v>
      </c>
      <c r="E293" s="10">
        <f t="shared" si="18"/>
        <v>3.331266275171646E-2</v>
      </c>
      <c r="G293" s="5"/>
      <c r="H293" s="5"/>
      <c r="I293" s="12"/>
    </row>
    <row r="294" spans="1:9">
      <c r="A294" s="42">
        <v>14</v>
      </c>
      <c r="B294" s="10">
        <f t="shared" si="16"/>
        <v>0.98685722316293401</v>
      </c>
      <c r="C294" s="10">
        <f t="shared" si="17"/>
        <v>0.50506795299551888</v>
      </c>
      <c r="D294" s="42">
        <f t="shared" si="19"/>
        <v>2</v>
      </c>
      <c r="E294" s="10">
        <f t="shared" si="18"/>
        <v>1.6614331920058168E-2</v>
      </c>
      <c r="G294" s="5">
        <f>(E$415-SUM(E$14:E294)+E294/2)/(B294*C294)</f>
        <v>5.1702848584898975</v>
      </c>
      <c r="H294" s="5">
        <f>1-LN(1+B$6)*G294</f>
        <v>0.74774095295154908</v>
      </c>
      <c r="I294" s="12">
        <f>200000*H294-G294*E$417</f>
        <v>118421.01589995107</v>
      </c>
    </row>
    <row r="295" spans="1:9">
      <c r="A295" s="42">
        <v>14.05</v>
      </c>
      <c r="B295" s="10">
        <f t="shared" si="16"/>
        <v>0.98677271017186408</v>
      </c>
      <c r="C295" s="10">
        <f t="shared" si="17"/>
        <v>0.5038373372372752</v>
      </c>
      <c r="D295" s="42">
        <f t="shared" si="19"/>
        <v>4</v>
      </c>
      <c r="E295" s="10">
        <f t="shared" si="18"/>
        <v>3.3144862316760101E-2</v>
      </c>
      <c r="G295" s="5"/>
      <c r="H295" s="5"/>
      <c r="I295" s="12"/>
    </row>
    <row r="296" spans="1:9">
      <c r="A296" s="42">
        <v>14.1</v>
      </c>
      <c r="B296" s="10">
        <f t="shared" si="16"/>
        <v>0.98668777270521979</v>
      </c>
      <c r="C296" s="10">
        <f t="shared" si="17"/>
        <v>0.50260971991743097</v>
      </c>
      <c r="D296" s="42">
        <f t="shared" si="19"/>
        <v>2</v>
      </c>
      <c r="E296" s="10">
        <f t="shared" si="18"/>
        <v>1.6530628836177477E-2</v>
      </c>
      <c r="G296" s="5"/>
      <c r="H296" s="5"/>
      <c r="I296" s="12"/>
    </row>
    <row r="297" spans="1:9">
      <c r="A297" s="42">
        <v>14.15</v>
      </c>
      <c r="B297" s="10">
        <f t="shared" si="16"/>
        <v>0.98660240834346458</v>
      </c>
      <c r="C297" s="10">
        <f t="shared" si="17"/>
        <v>0.5013850937301858</v>
      </c>
      <c r="D297" s="42">
        <f t="shared" si="19"/>
        <v>4</v>
      </c>
      <c r="E297" s="10">
        <f t="shared" si="18"/>
        <v>3.2977849398781005E-2</v>
      </c>
      <c r="G297" s="5"/>
      <c r="H297" s="5"/>
      <c r="I297" s="12"/>
    </row>
    <row r="298" spans="1:9">
      <c r="A298" s="42">
        <v>14.2</v>
      </c>
      <c r="B298" s="10">
        <f t="shared" si="16"/>
        <v>0.98651661465365836</v>
      </c>
      <c r="C298" s="10">
        <f t="shared" si="17"/>
        <v>0.50016345138754026</v>
      </c>
      <c r="D298" s="42">
        <f t="shared" si="19"/>
        <v>2</v>
      </c>
      <c r="E298" s="10">
        <f t="shared" si="18"/>
        <v>1.6447318494544196E-2</v>
      </c>
      <c r="G298" s="5"/>
      <c r="H298" s="5"/>
      <c r="I298" s="12"/>
    </row>
    <row r="299" spans="1:9">
      <c r="A299" s="42">
        <v>14.25</v>
      </c>
      <c r="B299" s="10">
        <f t="shared" si="16"/>
        <v>0.98643038918938675</v>
      </c>
      <c r="C299" s="10">
        <f t="shared" si="17"/>
        <v>0.49894478561925226</v>
      </c>
      <c r="D299" s="42">
        <f t="shared" si="19"/>
        <v>4</v>
      </c>
      <c r="E299" s="10">
        <f t="shared" si="18"/>
        <v>3.2811619937494284E-2</v>
      </c>
      <c r="G299" s="5"/>
      <c r="H299" s="5"/>
      <c r="I299" s="12"/>
    </row>
    <row r="300" spans="1:9">
      <c r="A300" s="42">
        <v>14.3</v>
      </c>
      <c r="B300" s="10">
        <f t="shared" si="16"/>
        <v>0.98634372949069304</v>
      </c>
      <c r="C300" s="10">
        <f t="shared" si="17"/>
        <v>0.49772908917279446</v>
      </c>
      <c r="D300" s="42">
        <f t="shared" si="19"/>
        <v>2</v>
      </c>
      <c r="E300" s="10">
        <f t="shared" si="18"/>
        <v>1.6364398869689996E-2</v>
      </c>
      <c r="G300" s="5"/>
      <c r="H300" s="5"/>
      <c r="I300" s="12"/>
    </row>
    <row r="301" spans="1:9">
      <c r="A301" s="42">
        <v>14.35</v>
      </c>
      <c r="B301" s="10">
        <f t="shared" si="16"/>
        <v>0.98625663308400535</v>
      </c>
      <c r="C301" s="10">
        <f t="shared" si="17"/>
        <v>0.49651635481331002</v>
      </c>
      <c r="D301" s="42">
        <f t="shared" si="19"/>
        <v>4</v>
      </c>
      <c r="E301" s="10">
        <f t="shared" si="18"/>
        <v>3.26461698912879E-2</v>
      </c>
      <c r="G301" s="5"/>
      <c r="H301" s="5"/>
      <c r="I301" s="12"/>
    </row>
    <row r="302" spans="1:9">
      <c r="A302" s="42">
        <v>14.4</v>
      </c>
      <c r="B302" s="10">
        <f t="shared" si="16"/>
        <v>0.98616909748206805</v>
      </c>
      <c r="C302" s="10">
        <f t="shared" si="17"/>
        <v>0.49530657532357031</v>
      </c>
      <c r="D302" s="42">
        <f t="shared" si="19"/>
        <v>2</v>
      </c>
      <c r="E302" s="10">
        <f t="shared" si="18"/>
        <v>1.628186794545931E-2</v>
      </c>
      <c r="G302" s="5"/>
      <c r="H302" s="5"/>
      <c r="I302" s="12"/>
    </row>
    <row r="303" spans="1:9">
      <c r="A303" s="42">
        <v>14.45</v>
      </c>
      <c r="B303" s="10">
        <f t="shared" si="16"/>
        <v>0.98608112018386973</v>
      </c>
      <c r="C303" s="10">
        <f t="shared" si="17"/>
        <v>0.49409974350393177</v>
      </c>
      <c r="D303" s="42">
        <f t="shared" si="19"/>
        <v>4</v>
      </c>
      <c r="E303" s="10">
        <f t="shared" si="18"/>
        <v>3.248149523712799E-2</v>
      </c>
      <c r="G303" s="5"/>
      <c r="H303" s="5"/>
      <c r="I303" s="12"/>
    </row>
    <row r="304" spans="1:9">
      <c r="A304" s="42">
        <v>14.5</v>
      </c>
      <c r="B304" s="10">
        <f t="shared" si="16"/>
        <v>0.9859926986745724</v>
      </c>
      <c r="C304" s="10">
        <f t="shared" si="17"/>
        <v>0.49289585217229281</v>
      </c>
      <c r="D304" s="42">
        <f t="shared" si="19"/>
        <v>2</v>
      </c>
      <c r="E304" s="10">
        <f t="shared" si="18"/>
        <v>1.6199723714962071E-2</v>
      </c>
      <c r="G304" s="5"/>
      <c r="H304" s="5"/>
      <c r="I304" s="12"/>
    </row>
    <row r="305" spans="1:9">
      <c r="A305" s="42">
        <v>14.55</v>
      </c>
      <c r="B305" s="10">
        <f t="shared" si="16"/>
        <v>0.98590383042543928</v>
      </c>
      <c r="C305" s="10">
        <f t="shared" si="17"/>
        <v>0.49169489416405149</v>
      </c>
      <c r="D305" s="42">
        <f t="shared" si="19"/>
        <v>4</v>
      </c>
      <c r="E305" s="10">
        <f t="shared" si="18"/>
        <v>3.2317591970464625E-2</v>
      </c>
      <c r="G305" s="5"/>
      <c r="H305" s="5"/>
      <c r="I305" s="12"/>
    </row>
    <row r="306" spans="1:9">
      <c r="A306" s="42">
        <v>14.6</v>
      </c>
      <c r="B306" s="10">
        <f t="shared" si="16"/>
        <v>0.98581451289376387</v>
      </c>
      <c r="C306" s="10">
        <f t="shared" si="17"/>
        <v>0.49049686233206274</v>
      </c>
      <c r="D306" s="42">
        <f t="shared" si="19"/>
        <v>2</v>
      </c>
      <c r="E306" s="10">
        <f t="shared" si="18"/>
        <v>1.6117964180526734E-2</v>
      </c>
      <c r="G306" s="5"/>
      <c r="H306" s="5"/>
      <c r="I306" s="12"/>
    </row>
    <row r="307" spans="1:9">
      <c r="A307" s="42">
        <v>14.65</v>
      </c>
      <c r="B307" s="10">
        <f t="shared" si="16"/>
        <v>0.98572474352279682</v>
      </c>
      <c r="C307" s="10">
        <f t="shared" si="17"/>
        <v>0.48930174954659544</v>
      </c>
      <c r="D307" s="42">
        <f t="shared" si="19"/>
        <v>4</v>
      </c>
      <c r="E307" s="10">
        <f t="shared" si="18"/>
        <v>3.2154456105138236E-2</v>
      </c>
      <c r="G307" s="5"/>
      <c r="H307" s="5"/>
      <c r="I307" s="12"/>
    </row>
    <row r="308" spans="1:9">
      <c r="A308" s="42">
        <v>14.7</v>
      </c>
      <c r="B308" s="10">
        <f t="shared" si="16"/>
        <v>0.98563451974167426</v>
      </c>
      <c r="C308" s="10">
        <f t="shared" si="17"/>
        <v>0.48810954869529055</v>
      </c>
      <c r="D308" s="42">
        <f t="shared" si="19"/>
        <v>2</v>
      </c>
      <c r="E308" s="10">
        <f t="shared" si="18"/>
        <v>1.6036587353653604E-2</v>
      </c>
      <c r="G308" s="5"/>
      <c r="H308" s="5"/>
      <c r="I308" s="12"/>
    </row>
    <row r="309" spans="1:9">
      <c r="A309" s="42">
        <v>14.75</v>
      </c>
      <c r="B309" s="10">
        <f t="shared" si="16"/>
        <v>0.98554383896534437</v>
      </c>
      <c r="C309" s="10">
        <f t="shared" si="17"/>
        <v>0.4869202526831185</v>
      </c>
      <c r="D309" s="42">
        <f t="shared" si="19"/>
        <v>4</v>
      </c>
      <c r="E309" s="10">
        <f t="shared" si="18"/>
        <v>3.199208367328641E-2</v>
      </c>
      <c r="G309" s="5"/>
      <c r="H309" s="5"/>
      <c r="I309" s="12"/>
    </row>
    <row r="310" spans="1:9">
      <c r="A310" s="42">
        <v>14.8</v>
      </c>
      <c r="B310" s="10">
        <f t="shared" si="16"/>
        <v>0.98545269859449425</v>
      </c>
      <c r="C310" s="10">
        <f t="shared" si="17"/>
        <v>0.48573385443233708</v>
      </c>
      <c r="D310" s="42">
        <f t="shared" si="19"/>
        <v>2</v>
      </c>
      <c r="E310" s="10">
        <f t="shared" si="18"/>
        <v>1.5955591254968395E-2</v>
      </c>
      <c r="G310" s="5"/>
      <c r="H310" s="5"/>
      <c r="I310" s="12"/>
    </row>
    <row r="311" spans="1:9">
      <c r="A311" s="42">
        <v>14.85</v>
      </c>
      <c r="B311" s="10">
        <f t="shared" ref="B311:B374" si="20">$B$54*($B$9^(A311-2))*$B$8^(($B$5^(42))*(($B$5^(A311-2)-1)))</f>
        <v>0.98536109601547694</v>
      </c>
      <c r="C311" s="10">
        <f t="shared" si="17"/>
        <v>0.48455034688244902</v>
      </c>
      <c r="D311" s="42">
        <f t="shared" si="19"/>
        <v>4</v>
      </c>
      <c r="E311" s="10">
        <f t="shared" si="18"/>
        <v>3.1830470725251303E-2</v>
      </c>
      <c r="G311" s="5"/>
      <c r="H311" s="5"/>
      <c r="I311" s="12"/>
    </row>
    <row r="312" spans="1:9">
      <c r="A312" s="42">
        <v>14.9</v>
      </c>
      <c r="B312" s="10">
        <f t="shared" si="20"/>
        <v>0.98526902860023724</v>
      </c>
      <c r="C312" s="10">
        <f t="shared" si="17"/>
        <v>0.48336972299016046</v>
      </c>
      <c r="D312" s="42">
        <f t="shared" si="19"/>
        <v>2</v>
      </c>
      <c r="E312" s="10">
        <f t="shared" si="18"/>
        <v>1.5874973914176038E-2</v>
      </c>
      <c r="G312" s="5"/>
      <c r="H312" s="5"/>
      <c r="I312" s="12"/>
    </row>
    <row r="313" spans="1:9">
      <c r="A313" s="42">
        <v>14.95</v>
      </c>
      <c r="B313" s="10">
        <f t="shared" si="20"/>
        <v>0.98517649370623772</v>
      </c>
      <c r="C313" s="10">
        <f t="shared" si="17"/>
        <v>0.48219197572933847</v>
      </c>
      <c r="D313" s="42">
        <f t="shared" si="19"/>
        <v>4</v>
      </c>
      <c r="E313" s="10">
        <f t="shared" si="18"/>
        <v>3.1669613329487534E-2</v>
      </c>
      <c r="G313" s="5"/>
      <c r="H313" s="5"/>
      <c r="I313" s="12"/>
    </row>
    <row r="314" spans="1:9">
      <c r="A314" s="42">
        <v>15</v>
      </c>
      <c r="B314" s="10">
        <f t="shared" si="20"/>
        <v>0.98508348867638473</v>
      </c>
      <c r="C314" s="10">
        <f t="shared" si="17"/>
        <v>0.48101709809097021</v>
      </c>
      <c r="D314" s="42">
        <f t="shared" si="19"/>
        <v>2</v>
      </c>
      <c r="E314" s="10">
        <f t="shared" si="18"/>
        <v>1.5794733370014791E-2</v>
      </c>
      <c r="G314" s="5">
        <f>(E$415-SUM(E$14:E314)+E314/2)/(B314*C314)</f>
        <v>4.412831826127098</v>
      </c>
      <c r="H314" s="5">
        <f>1-LN(1+B$6)*G314</f>
        <v>0.78469721075116428</v>
      </c>
      <c r="I314" s="12">
        <f>200000*H314-G314*E$417</f>
        <v>130372.43648409788</v>
      </c>
    </row>
    <row r="315" spans="1:9">
      <c r="A315" s="42">
        <v>15.05</v>
      </c>
      <c r="B315" s="10">
        <f t="shared" si="20"/>
        <v>0.9849900108389521</v>
      </c>
      <c r="C315" s="10">
        <f t="shared" si="17"/>
        <v>0.47984508308311924</v>
      </c>
      <c r="D315" s="42">
        <f t="shared" si="19"/>
        <v>4</v>
      </c>
      <c r="E315" s="10">
        <f t="shared" si="18"/>
        <v>3.1509507572470639E-2</v>
      </c>
      <c r="G315" s="5"/>
      <c r="H315" s="5"/>
      <c r="I315" s="12"/>
    </row>
    <row r="316" spans="1:9">
      <c r="A316" s="42">
        <v>15.1</v>
      </c>
      <c r="B316" s="10">
        <f t="shared" si="20"/>
        <v>0.98489605750750897</v>
      </c>
      <c r="C316" s="10">
        <f t="shared" si="17"/>
        <v>0.47867592373088663</v>
      </c>
      <c r="D316" s="42">
        <f t="shared" si="19"/>
        <v>2</v>
      </c>
      <c r="E316" s="10">
        <f t="shared" si="18"/>
        <v>1.5714867670210509E-2</v>
      </c>
      <c r="G316" s="5"/>
      <c r="H316" s="5"/>
      <c r="I316" s="12"/>
    </row>
    <row r="317" spans="1:9">
      <c r="A317" s="42">
        <v>15.15</v>
      </c>
      <c r="B317" s="10">
        <f t="shared" si="20"/>
        <v>0.98480162598084153</v>
      </c>
      <c r="C317" s="10">
        <f t="shared" si="17"/>
        <v>0.47750961307636741</v>
      </c>
      <c r="D317" s="42">
        <f t="shared" si="19"/>
        <v>4</v>
      </c>
      <c r="E317" s="10">
        <f t="shared" si="18"/>
        <v>3.1350149558605947E-2</v>
      </c>
      <c r="G317" s="5"/>
      <c r="H317" s="5"/>
      <c r="I317" s="12"/>
    </row>
    <row r="318" spans="1:9">
      <c r="A318" s="42">
        <v>15.2</v>
      </c>
      <c r="B318" s="10">
        <f t="shared" si="20"/>
        <v>0.9847067135428792</v>
      </c>
      <c r="C318" s="10">
        <f t="shared" si="17"/>
        <v>0.47634614417860971</v>
      </c>
      <c r="D318" s="42">
        <f t="shared" si="19"/>
        <v>2</v>
      </c>
      <c r="E318" s="10">
        <f t="shared" si="18"/>
        <v>1.5635374871431375E-2</v>
      </c>
      <c r="G318" s="5"/>
      <c r="H318" s="5"/>
      <c r="I318" s="12"/>
    </row>
    <row r="319" spans="1:9">
      <c r="A319" s="42">
        <v>15.25</v>
      </c>
      <c r="B319" s="10">
        <f t="shared" si="20"/>
        <v>0.98461131746261765</v>
      </c>
      <c r="C319" s="10">
        <f t="shared" si="17"/>
        <v>0.47518551011357363</v>
      </c>
      <c r="D319" s="42">
        <f t="shared" si="19"/>
        <v>4</v>
      </c>
      <c r="E319" s="10">
        <f t="shared" si="18"/>
        <v>3.1191535410138121E-2</v>
      </c>
      <c r="G319" s="5"/>
      <c r="H319" s="5"/>
      <c r="I319" s="12"/>
    </row>
    <row r="320" spans="1:9">
      <c r="A320" s="42">
        <v>15.3</v>
      </c>
      <c r="B320" s="10">
        <f t="shared" si="20"/>
        <v>0.98451543499404337</v>
      </c>
      <c r="C320" s="10">
        <f t="shared" si="17"/>
        <v>0.47402770397408989</v>
      </c>
      <c r="D320" s="42">
        <f t="shared" si="19"/>
        <v>2</v>
      </c>
      <c r="E320" s="10">
        <f t="shared" si="18"/>
        <v>1.5556253039242624E-2</v>
      </c>
      <c r="G320" s="5"/>
      <c r="H320" s="5"/>
      <c r="I320" s="12"/>
    </row>
    <row r="321" spans="1:9">
      <c r="A321" s="42">
        <v>15.35</v>
      </c>
      <c r="B321" s="10">
        <f t="shared" si="20"/>
        <v>0.98441906337605578</v>
      </c>
      <c r="C321" s="10">
        <f t="shared" si="17"/>
        <v>0.47287271886981913</v>
      </c>
      <c r="D321" s="42">
        <f t="shared" si="19"/>
        <v>4</v>
      </c>
      <c r="E321" s="10">
        <f t="shared" si="18"/>
        <v>3.1033661267061086E-2</v>
      </c>
      <c r="G321" s="5"/>
      <c r="H321" s="5"/>
      <c r="I321" s="12"/>
    </row>
    <row r="322" spans="1:9">
      <c r="A322" s="42">
        <v>15.4</v>
      </c>
      <c r="B322" s="10">
        <f t="shared" si="20"/>
        <v>0.984322199832392</v>
      </c>
      <c r="C322" s="10">
        <f t="shared" si="17"/>
        <v>0.4717205479272098</v>
      </c>
      <c r="D322" s="42">
        <f t="shared" si="19"/>
        <v>2</v>
      </c>
      <c r="E322" s="10">
        <f t="shared" si="18"/>
        <v>1.547750024806175E-2</v>
      </c>
      <c r="G322" s="5"/>
      <c r="H322" s="5"/>
      <c r="I322" s="12"/>
    </row>
    <row r="323" spans="1:9">
      <c r="A323" s="42">
        <v>15.45</v>
      </c>
      <c r="B323" s="10">
        <f t="shared" si="20"/>
        <v>0.98422484157154766</v>
      </c>
      <c r="C323" s="10">
        <f t="shared" si="17"/>
        <v>0.47057118428945882</v>
      </c>
      <c r="D323" s="42">
        <f t="shared" si="19"/>
        <v>4</v>
      </c>
      <c r="E323" s="10">
        <f t="shared" si="18"/>
        <v>3.0876523287028546E-2</v>
      </c>
      <c r="G323" s="5"/>
      <c r="H323" s="5"/>
      <c r="I323" s="12"/>
    </row>
    <row r="324" spans="1:9">
      <c r="A324" s="42">
        <v>15.5</v>
      </c>
      <c r="B324" s="10">
        <f t="shared" si="20"/>
        <v>0.9841269857867011</v>
      </c>
      <c r="C324" s="10">
        <f t="shared" si="17"/>
        <v>0.46942462111646938</v>
      </c>
      <c r="D324" s="42">
        <f t="shared" si="19"/>
        <v>2</v>
      </c>
      <c r="E324" s="10">
        <f t="shared" si="18"/>
        <v>1.5399114581113843E-2</v>
      </c>
      <c r="G324" s="5"/>
      <c r="H324" s="5"/>
      <c r="I324" s="12"/>
    </row>
    <row r="325" spans="1:9">
      <c r="A325" s="42">
        <v>15.55</v>
      </c>
      <c r="B325" s="10">
        <f t="shared" si="20"/>
        <v>0.98402862965563398</v>
      </c>
      <c r="C325" s="10">
        <f t="shared" si="17"/>
        <v>0.46828085158481092</v>
      </c>
      <c r="D325" s="42">
        <f t="shared" si="19"/>
        <v>4</v>
      </c>
      <c r="E325" s="10">
        <f t="shared" si="18"/>
        <v>3.0720117645264989E-2</v>
      </c>
      <c r="G325" s="5"/>
      <c r="H325" s="5"/>
      <c r="I325" s="12"/>
    </row>
    <row r="326" spans="1:9">
      <c r="A326" s="42">
        <v>15.6</v>
      </c>
      <c r="B326" s="10">
        <f t="shared" si="20"/>
        <v>0.9839297703406541</v>
      </c>
      <c r="C326" s="10">
        <f t="shared" si="17"/>
        <v>0.46713986888767883</v>
      </c>
      <c r="D326" s="42">
        <f t="shared" si="19"/>
        <v>2</v>
      </c>
      <c r="E326" s="10">
        <f t="shared" si="18"/>
        <v>1.5321094130387236E-2</v>
      </c>
      <c r="G326" s="5"/>
      <c r="H326" s="5"/>
      <c r="I326" s="12"/>
    </row>
    <row r="327" spans="1:9">
      <c r="A327" s="42">
        <v>15.65</v>
      </c>
      <c r="B327" s="10">
        <f t="shared" si="20"/>
        <v>0.98383040498851604</v>
      </c>
      <c r="C327" s="10">
        <f t="shared" si="17"/>
        <v>0.46600166623485278</v>
      </c>
      <c r="D327" s="42">
        <f t="shared" si="19"/>
        <v>4</v>
      </c>
      <c r="E327" s="10">
        <f t="shared" si="18"/>
        <v>3.0564440534477235E-2</v>
      </c>
      <c r="G327" s="5"/>
      <c r="H327" s="5"/>
      <c r="I327" s="12"/>
    </row>
    <row r="328" spans="1:9">
      <c r="A328" s="42">
        <v>15.7</v>
      </c>
      <c r="B328" s="10">
        <f t="shared" si="20"/>
        <v>0.98373053073034322</v>
      </c>
      <c r="C328" s="10">
        <f t="shared" si="17"/>
        <v>0.46486623685265771</v>
      </c>
      <c r="D328" s="42">
        <f t="shared" si="19"/>
        <v>2</v>
      </c>
      <c r="E328" s="10">
        <f t="shared" si="18"/>
        <v>1.5243436996589414E-2</v>
      </c>
      <c r="G328" s="5"/>
      <c r="H328" s="5"/>
      <c r="I328" s="12"/>
    </row>
    <row r="329" spans="1:9">
      <c r="A329" s="42">
        <v>15.75</v>
      </c>
      <c r="B329" s="10">
        <f t="shared" si="20"/>
        <v>0.98363014468154775</v>
      </c>
      <c r="C329" s="10">
        <f t="shared" si="17"/>
        <v>0.4637335739839224</v>
      </c>
      <c r="D329" s="42">
        <f t="shared" si="19"/>
        <v>4</v>
      </c>
      <c r="E329" s="10">
        <f t="shared" si="18"/>
        <v>3.0409488164766459E-2</v>
      </c>
      <c r="G329" s="5"/>
      <c r="H329" s="5"/>
      <c r="I329" s="12"/>
    </row>
    <row r="330" spans="1:9">
      <c r="A330" s="42">
        <v>15.8</v>
      </c>
      <c r="B330" s="10">
        <f t="shared" si="20"/>
        <v>0.98352924394175134</v>
      </c>
      <c r="C330" s="10">
        <f t="shared" si="17"/>
        <v>0.46260367088794008</v>
      </c>
      <c r="D330" s="42">
        <f t="shared" si="19"/>
        <v>2</v>
      </c>
      <c r="E330" s="10">
        <f t="shared" si="18"/>
        <v>1.516614128910315E-2</v>
      </c>
      <c r="G330" s="5"/>
      <c r="H330" s="5"/>
      <c r="I330" s="12"/>
    </row>
    <row r="331" spans="1:9">
      <c r="A331" s="42">
        <v>15.85</v>
      </c>
      <c r="B331" s="10">
        <f t="shared" si="20"/>
        <v>0.98342782559470554</v>
      </c>
      <c r="C331" s="10">
        <f t="shared" si="17"/>
        <v>0.46147652084042767</v>
      </c>
      <c r="D331" s="42">
        <f t="shared" si="19"/>
        <v>4</v>
      </c>
      <c r="E331" s="10">
        <f t="shared" si="18"/>
        <v>3.0255256763540777E-2</v>
      </c>
      <c r="G331" s="5"/>
      <c r="H331" s="5"/>
      <c r="I331" s="12"/>
    </row>
    <row r="332" spans="1:9">
      <c r="A332" s="42">
        <v>15.9</v>
      </c>
      <c r="B332" s="10">
        <f t="shared" si="20"/>
        <v>0.98332588670821131</v>
      </c>
      <c r="C332" s="10">
        <f t="shared" si="17"/>
        <v>0.46035211713348612</v>
      </c>
      <c r="D332" s="42">
        <f t="shared" si="19"/>
        <v>2</v>
      </c>
      <c r="E332" s="10">
        <f t="shared" si="18"/>
        <v>1.5089205125942919E-2</v>
      </c>
      <c r="G332" s="5"/>
      <c r="H332" s="5"/>
      <c r="I332" s="12"/>
    </row>
    <row r="333" spans="1:9">
      <c r="A333" s="42">
        <v>15.95</v>
      </c>
      <c r="B333" s="10">
        <f t="shared" si="20"/>
        <v>0.98322342433403898</v>
      </c>
      <c r="C333" s="10">
        <f t="shared" si="17"/>
        <v>0.45923045307556049</v>
      </c>
      <c r="D333" s="42">
        <f t="shared" si="19"/>
        <v>4</v>
      </c>
      <c r="E333" s="10">
        <f t="shared" si="18"/>
        <v>3.010174257542832E-2</v>
      </c>
      <c r="G333" s="5"/>
      <c r="H333" s="5"/>
      <c r="I333" s="12"/>
    </row>
    <row r="334" spans="1:9">
      <c r="A334" s="42">
        <v>16</v>
      </c>
      <c r="B334" s="10">
        <f t="shared" si="20"/>
        <v>0.98312043550784678</v>
      </c>
      <c r="C334" s="10">
        <f t="shared" si="17"/>
        <v>0.45811152199140021</v>
      </c>
      <c r="D334" s="42">
        <f t="shared" si="19"/>
        <v>2</v>
      </c>
      <c r="E334" s="10">
        <f t="shared" si="18"/>
        <v>1.5012626633711598E-2</v>
      </c>
      <c r="G334" s="5">
        <f>(E$415-SUM(E$14:E334)+E334/2)/(B334*C334)</f>
        <v>3.6168797817634815</v>
      </c>
      <c r="H334" s="5">
        <f>1-LN(1+B$6)*G334</f>
        <v>0.82353184166666016</v>
      </c>
      <c r="I334" s="12">
        <f>200000*H334-G334*E$417</f>
        <v>142931.31108167779</v>
      </c>
    </row>
    <row r="335" spans="1:9">
      <c r="A335" s="42">
        <v>16.05</v>
      </c>
      <c r="B335" s="10">
        <f t="shared" si="20"/>
        <v>0.98301691724909934</v>
      </c>
      <c r="C335" s="10">
        <f t="shared" ref="C335:C398" si="21">(1+B$6)^-A335</f>
        <v>0.45699531722201825</v>
      </c>
      <c r="D335" s="42">
        <f t="shared" si="19"/>
        <v>4</v>
      </c>
      <c r="E335" s="10">
        <f t="shared" ref="E335:E398" si="22">B335*C335*D335*0.05/3</f>
        <v>2.9948941862190843E-2</v>
      </c>
      <c r="G335" s="5"/>
      <c r="H335" s="5"/>
      <c r="I335" s="12"/>
    </row>
    <row r="336" spans="1:9">
      <c r="A336" s="42">
        <v>16.100000000000001</v>
      </c>
      <c r="B336" s="10">
        <f t="shared" si="20"/>
        <v>0.98291286656098875</v>
      </c>
      <c r="C336" s="10">
        <f t="shared" si="21"/>
        <v>0.45588183212465389</v>
      </c>
      <c r="D336" s="42">
        <f t="shared" si="19"/>
        <v>2</v>
      </c>
      <c r="E336" s="10">
        <f t="shared" si="22"/>
        <v>1.4936403947557299E-2</v>
      </c>
      <c r="G336" s="5"/>
      <c r="H336" s="5"/>
      <c r="I336" s="12"/>
    </row>
    <row r="337" spans="1:9">
      <c r="A337" s="42">
        <v>16.149999999999999</v>
      </c>
      <c r="B337" s="10">
        <f t="shared" si="20"/>
        <v>0.98280828043034918</v>
      </c>
      <c r="C337" s="10">
        <f t="shared" si="21"/>
        <v>0.45477106007273094</v>
      </c>
      <c r="D337" s="42">
        <f t="shared" ref="D337:D400" si="23">IF(D336=4,2,4)</f>
        <v>4</v>
      </c>
      <c r="E337" s="10">
        <f t="shared" si="22"/>
        <v>2.979685090263785E-2</v>
      </c>
      <c r="G337" s="5"/>
      <c r="H337" s="5"/>
      <c r="I337" s="12"/>
    </row>
    <row r="338" spans="1:9">
      <c r="A338" s="42">
        <v>16.2</v>
      </c>
      <c r="B338" s="10">
        <f t="shared" si="20"/>
        <v>0.98270315582757728</v>
      </c>
      <c r="C338" s="10">
        <f t="shared" si="21"/>
        <v>0.45366299445581876</v>
      </c>
      <c r="D338" s="42">
        <f t="shared" si="23"/>
        <v>2</v>
      </c>
      <c r="E338" s="10">
        <f t="shared" si="22"/>
        <v>1.4860535211130727E-2</v>
      </c>
      <c r="G338" s="5"/>
      <c r="H338" s="5"/>
      <c r="I338" s="12"/>
    </row>
    <row r="339" spans="1:9">
      <c r="A339" s="42">
        <v>16.25</v>
      </c>
      <c r="B339" s="10">
        <f t="shared" si="20"/>
        <v>0.98259748970654859</v>
      </c>
      <c r="C339" s="10">
        <f t="shared" si="21"/>
        <v>0.45255762867959387</v>
      </c>
      <c r="D339" s="42">
        <f t="shared" si="23"/>
        <v>4</v>
      </c>
      <c r="E339" s="10">
        <f t="shared" si="22"/>
        <v>2.9645465992541156E-2</v>
      </c>
      <c r="G339" s="5"/>
      <c r="H339" s="5"/>
      <c r="I339" s="12"/>
    </row>
    <row r="340" spans="1:9">
      <c r="A340" s="42">
        <v>16.3</v>
      </c>
      <c r="B340" s="10">
        <f t="shared" si="20"/>
        <v>0.98249127900453548</v>
      </c>
      <c r="C340" s="10">
        <f t="shared" si="21"/>
        <v>0.45145495616579995</v>
      </c>
      <c r="D340" s="42">
        <f t="shared" si="23"/>
        <v>2</v>
      </c>
      <c r="E340" s="10">
        <f t="shared" si="22"/>
        <v>1.4785018576542444E-2</v>
      </c>
      <c r="G340" s="5"/>
      <c r="H340" s="5"/>
      <c r="I340" s="12"/>
    </row>
    <row r="341" spans="1:9">
      <c r="A341" s="42">
        <v>16.350000000000001</v>
      </c>
      <c r="B341" s="10">
        <f t="shared" si="20"/>
        <v>0.98238452064212356</v>
      </c>
      <c r="C341" s="10">
        <f t="shared" si="21"/>
        <v>0.45035497035220862</v>
      </c>
      <c r="D341" s="42">
        <f t="shared" si="23"/>
        <v>4</v>
      </c>
      <c r="E341" s="10">
        <f t="shared" si="22"/>
        <v>2.9494783444550147E-2</v>
      </c>
      <c r="G341" s="5"/>
      <c r="H341" s="5"/>
      <c r="I341" s="12"/>
    </row>
    <row r="342" spans="1:9">
      <c r="A342" s="42">
        <v>16.399999999999999</v>
      </c>
      <c r="B342" s="10">
        <f t="shared" si="20"/>
        <v>0.98227721152312786</v>
      </c>
      <c r="C342" s="10">
        <f t="shared" si="21"/>
        <v>0.44925766469258083</v>
      </c>
      <c r="D342" s="42">
        <f t="shared" si="23"/>
        <v>2</v>
      </c>
      <c r="E342" s="10">
        <f t="shared" si="22"/>
        <v>1.470985220432069E-2</v>
      </c>
      <c r="G342" s="5"/>
      <c r="H342" s="5"/>
      <c r="I342" s="12"/>
    </row>
    <row r="343" spans="1:9">
      <c r="A343" s="42">
        <v>16.45</v>
      </c>
      <c r="B343" s="10">
        <f t="shared" si="20"/>
        <v>0.98216934853451054</v>
      </c>
      <c r="C343" s="10">
        <f t="shared" si="21"/>
        <v>0.44816303265662749</v>
      </c>
      <c r="D343" s="42">
        <f t="shared" si="23"/>
        <v>4</v>
      </c>
      <c r="E343" s="10">
        <f t="shared" si="22"/>
        <v>2.9344799588107359E-2</v>
      </c>
      <c r="G343" s="5"/>
      <c r="H343" s="5"/>
      <c r="I343" s="12"/>
    </row>
    <row r="344" spans="1:9">
      <c r="A344" s="42">
        <v>16.5</v>
      </c>
      <c r="B344" s="10">
        <f t="shared" si="20"/>
        <v>0.98206092854629534</v>
      </c>
      <c r="C344" s="10">
        <f t="shared" si="21"/>
        <v>0.44707106772997074</v>
      </c>
      <c r="D344" s="42">
        <f t="shared" si="23"/>
        <v>2</v>
      </c>
      <c r="E344" s="10">
        <f t="shared" si="22"/>
        <v>1.4635034263369292E-2</v>
      </c>
      <c r="G344" s="5"/>
      <c r="H344" s="5"/>
      <c r="I344" s="12"/>
    </row>
    <row r="345" spans="1:9">
      <c r="A345" s="42">
        <v>16.55</v>
      </c>
      <c r="B345" s="10">
        <f t="shared" si="20"/>
        <v>0.98195194841148314</v>
      </c>
      <c r="C345" s="10">
        <f t="shared" si="21"/>
        <v>0.44598176341410567</v>
      </c>
      <c r="D345" s="42">
        <f t="shared" si="23"/>
        <v>4</v>
      </c>
      <c r="E345" s="10">
        <f t="shared" si="22"/>
        <v>2.9195510769364681E-2</v>
      </c>
      <c r="G345" s="5"/>
      <c r="H345" s="5"/>
      <c r="I345" s="12"/>
    </row>
    <row r="346" spans="1:9">
      <c r="A346" s="42">
        <v>16.600000000000001</v>
      </c>
      <c r="B346" s="10">
        <f t="shared" si="20"/>
        <v>0.98184240496596897</v>
      </c>
      <c r="C346" s="10">
        <f t="shared" si="21"/>
        <v>0.44489511322636077</v>
      </c>
      <c r="D346" s="42">
        <f t="shared" si="23"/>
        <v>2</v>
      </c>
      <c r="E346" s="10">
        <f t="shared" si="22"/>
        <v>1.4560562930925905E-2</v>
      </c>
      <c r="G346" s="5"/>
      <c r="H346" s="5"/>
      <c r="I346" s="12"/>
    </row>
    <row r="347" spans="1:9">
      <c r="A347" s="42">
        <v>16.649999999999999</v>
      </c>
      <c r="B347" s="10">
        <f t="shared" si="20"/>
        <v>0.98173229502845527</v>
      </c>
      <c r="C347" s="10">
        <f t="shared" si="21"/>
        <v>0.44381111069985985</v>
      </c>
      <c r="D347" s="42">
        <f t="shared" si="23"/>
        <v>4</v>
      </c>
      <c r="E347" s="10">
        <f t="shared" si="22"/>
        <v>2.9046913351100084E-2</v>
      </c>
      <c r="G347" s="5"/>
      <c r="H347" s="5"/>
      <c r="I347" s="12"/>
    </row>
    <row r="348" spans="1:9">
      <c r="A348" s="42">
        <v>16.7</v>
      </c>
      <c r="B348" s="10">
        <f t="shared" si="20"/>
        <v>0.98162161540036652</v>
      </c>
      <c r="C348" s="10">
        <f t="shared" si="21"/>
        <v>0.44272974938348347</v>
      </c>
      <c r="D348" s="42">
        <f t="shared" si="23"/>
        <v>2</v>
      </c>
      <c r="E348" s="10">
        <f t="shared" si="22"/>
        <v>1.4486436392520482E-2</v>
      </c>
      <c r="G348" s="5"/>
      <c r="H348" s="5"/>
      <c r="I348" s="12"/>
    </row>
    <row r="349" spans="1:9">
      <c r="A349" s="42">
        <v>16.75</v>
      </c>
      <c r="B349" s="10">
        <f t="shared" si="20"/>
        <v>0.98151036286576465</v>
      </c>
      <c r="C349" s="10">
        <f t="shared" si="21"/>
        <v>0.44165102284183089</v>
      </c>
      <c r="D349" s="42">
        <f t="shared" si="23"/>
        <v>4</v>
      </c>
      <c r="E349" s="10">
        <f t="shared" si="22"/>
        <v>2.8899003712634774E-2</v>
      </c>
      <c r="G349" s="5"/>
      <c r="H349" s="5"/>
      <c r="I349" s="12"/>
    </row>
    <row r="350" spans="1:9">
      <c r="A350" s="42">
        <v>16.8</v>
      </c>
      <c r="B350" s="10">
        <f t="shared" si="20"/>
        <v>0.98139853419126233</v>
      </c>
      <c r="C350" s="10">
        <f t="shared" si="21"/>
        <v>0.44057492465518094</v>
      </c>
      <c r="D350" s="42">
        <f t="shared" si="23"/>
        <v>2</v>
      </c>
      <c r="E350" s="10">
        <f t="shared" si="22"/>
        <v>1.4412652841934014E-2</v>
      </c>
      <c r="G350" s="5"/>
      <c r="H350" s="5"/>
      <c r="I350" s="12"/>
    </row>
    <row r="351" spans="1:9">
      <c r="A351" s="42">
        <v>16.850000000000001</v>
      </c>
      <c r="B351" s="10">
        <f t="shared" si="20"/>
        <v>0.98128612612593669</v>
      </c>
      <c r="C351" s="10">
        <f t="shared" si="21"/>
        <v>0.43950144841945488</v>
      </c>
      <c r="D351" s="42">
        <f t="shared" si="23"/>
        <v>4</v>
      </c>
      <c r="E351" s="10">
        <f t="shared" si="22"/>
        <v>2.8751778249751003E-2</v>
      </c>
      <c r="G351" s="5"/>
      <c r="H351" s="5"/>
      <c r="I351" s="12"/>
    </row>
    <row r="352" spans="1:9">
      <c r="A352" s="42">
        <v>16.899999999999999</v>
      </c>
      <c r="B352" s="10">
        <f t="shared" si="20"/>
        <v>0.98117313540124185</v>
      </c>
      <c r="C352" s="10">
        <f t="shared" si="21"/>
        <v>0.43843058774617727</v>
      </c>
      <c r="D352" s="42">
        <f t="shared" si="23"/>
        <v>2</v>
      </c>
      <c r="E352" s="10">
        <f t="shared" si="22"/>
        <v>1.4339210481157535E-2</v>
      </c>
      <c r="G352" s="5"/>
      <c r="H352" s="5"/>
      <c r="I352" s="12"/>
    </row>
    <row r="353" spans="1:9">
      <c r="A353" s="42">
        <v>16.95</v>
      </c>
      <c r="B353" s="10">
        <f t="shared" si="20"/>
        <v>0.98105955873092388</v>
      </c>
      <c r="C353" s="10">
        <f t="shared" si="21"/>
        <v>0.43736233626243853</v>
      </c>
      <c r="D353" s="42">
        <f t="shared" si="23"/>
        <v>4</v>
      </c>
      <c r="E353" s="10">
        <f t="shared" si="22"/>
        <v>2.8605233374610257E-2</v>
      </c>
      <c r="G353" s="5"/>
      <c r="H353" s="5"/>
      <c r="I353" s="12"/>
    </row>
    <row r="354" spans="1:9">
      <c r="A354" s="42">
        <v>17</v>
      </c>
      <c r="B354" s="10">
        <f t="shared" si="20"/>
        <v>0.9809453928109314</v>
      </c>
      <c r="C354" s="10">
        <f t="shared" si="21"/>
        <v>0.43629668761085727</v>
      </c>
      <c r="D354" s="42">
        <f t="shared" si="23"/>
        <v>2</v>
      </c>
      <c r="E354" s="10">
        <f t="shared" si="22"/>
        <v>1.4266107520351354E-2</v>
      </c>
      <c r="G354" s="5">
        <f>(E$415-SUM(E$14:E354)+E354/2)/(B354*C354)</f>
        <v>2.7801828340530639</v>
      </c>
      <c r="H354" s="5">
        <f>1-LN(1+B$6)*G354</f>
        <v>0.86435442310551414</v>
      </c>
      <c r="I354" s="12">
        <f>200000*H354-G354*E$417</f>
        <v>156133.07633485258</v>
      </c>
    </row>
    <row r="355" spans="1:9">
      <c r="A355" s="42">
        <v>17.05</v>
      </c>
      <c r="B355" s="10">
        <f t="shared" si="20"/>
        <v>0.9808306343193286</v>
      </c>
      <c r="C355" s="10">
        <f t="shared" si="21"/>
        <v>0.43523363544954119</v>
      </c>
      <c r="D355" s="42">
        <f t="shared" si="23"/>
        <v>4</v>
      </c>
      <c r="E355" s="10">
        <f t="shared" si="22"/>
        <v>2.8459365515672061E-2</v>
      </c>
      <c r="G355" s="5"/>
      <c r="H355" s="5"/>
      <c r="I355" s="12"/>
    </row>
    <row r="356" spans="1:9">
      <c r="A356" s="42">
        <v>17.100000000000001</v>
      </c>
      <c r="B356" s="10">
        <f t="shared" si="20"/>
        <v>0.98071527991620833</v>
      </c>
      <c r="C356" s="10">
        <f t="shared" si="21"/>
        <v>0.43417317345205136</v>
      </c>
      <c r="D356" s="42">
        <f t="shared" si="23"/>
        <v>2</v>
      </c>
      <c r="E356" s="10">
        <f t="shared" si="22"/>
        <v>1.4193342177804567E-2</v>
      </c>
      <c r="G356" s="5"/>
      <c r="H356" s="5"/>
      <c r="I356" s="12"/>
    </row>
    <row r="357" spans="1:9">
      <c r="A357" s="42">
        <v>17.149999999999999</v>
      </c>
      <c r="B357" s="10">
        <f t="shared" si="20"/>
        <v>0.98059932624360202</v>
      </c>
      <c r="C357" s="10">
        <f t="shared" si="21"/>
        <v>0.43311529530736276</v>
      </c>
      <c r="D357" s="42">
        <f t="shared" si="23"/>
        <v>4</v>
      </c>
      <c r="E357" s="10">
        <f t="shared" si="22"/>
        <v>2.8314171117613248E-2</v>
      </c>
      <c r="G357" s="5"/>
      <c r="H357" s="5"/>
      <c r="I357" s="12"/>
    </row>
    <row r="358" spans="1:9">
      <c r="A358" s="42">
        <v>17.2</v>
      </c>
      <c r="B358" s="10">
        <f t="shared" si="20"/>
        <v>0.98048276992539263</v>
      </c>
      <c r="C358" s="10">
        <f t="shared" si="21"/>
        <v>0.43205999471982737</v>
      </c>
      <c r="D358" s="42">
        <f t="shared" si="23"/>
        <v>2</v>
      </c>
      <c r="E358" s="10">
        <f t="shared" si="22"/>
        <v>1.4120912679894895E-2</v>
      </c>
      <c r="G358" s="5"/>
      <c r="H358" s="5"/>
      <c r="I358" s="12"/>
    </row>
    <row r="359" spans="1:9">
      <c r="A359" s="42">
        <v>17.25</v>
      </c>
      <c r="B359" s="10">
        <f t="shared" si="20"/>
        <v>0.98036560756722391</v>
      </c>
      <c r="C359" s="10">
        <f t="shared" si="21"/>
        <v>0.43100726540913703</v>
      </c>
      <c r="D359" s="42">
        <f t="shared" si="23"/>
        <v>4</v>
      </c>
      <c r="E359" s="10">
        <f t="shared" si="22"/>
        <v>2.8169646641247759E-2</v>
      </c>
      <c r="G359" s="5"/>
      <c r="H359" s="5"/>
      <c r="I359" s="12"/>
    </row>
    <row r="360" spans="1:9">
      <c r="A360" s="42">
        <v>17.3</v>
      </c>
      <c r="B360" s="10">
        <f t="shared" si="20"/>
        <v>0.98024783575641306</v>
      </c>
      <c r="C360" s="10">
        <f t="shared" si="21"/>
        <v>0.42995710111028562</v>
      </c>
      <c r="D360" s="42">
        <f t="shared" si="23"/>
        <v>2</v>
      </c>
      <c r="E360" s="10">
        <f t="shared" si="22"/>
        <v>1.4048817261048625E-2</v>
      </c>
      <c r="G360" s="5"/>
      <c r="H360" s="5"/>
      <c r="I360" s="12"/>
    </row>
    <row r="361" spans="1:9">
      <c r="A361" s="42">
        <v>17.350000000000001</v>
      </c>
      <c r="B361" s="10">
        <f t="shared" si="20"/>
        <v>0.98012945106185967</v>
      </c>
      <c r="C361" s="10">
        <f t="shared" si="21"/>
        <v>0.42890949557353197</v>
      </c>
      <c r="D361" s="42">
        <f t="shared" si="23"/>
        <v>4</v>
      </c>
      <c r="E361" s="10">
        <f t="shared" si="22"/>
        <v>2.8025788563447004E-2</v>
      </c>
      <c r="G361" s="5"/>
      <c r="H361" s="5"/>
      <c r="I361" s="12"/>
    </row>
    <row r="362" spans="1:9">
      <c r="A362" s="42">
        <v>17.399999999999999</v>
      </c>
      <c r="B362" s="10">
        <f t="shared" si="20"/>
        <v>0.98001045003395681</v>
      </c>
      <c r="C362" s="10">
        <f t="shared" si="21"/>
        <v>0.42786444256436262</v>
      </c>
      <c r="D362" s="42">
        <f t="shared" si="23"/>
        <v>2</v>
      </c>
      <c r="E362" s="10">
        <f t="shared" si="22"/>
        <v>1.397705416370097E-2</v>
      </c>
      <c r="G362" s="5"/>
      <c r="H362" s="5"/>
      <c r="I362" s="12"/>
    </row>
    <row r="363" spans="1:9">
      <c r="A363" s="42">
        <v>17.45</v>
      </c>
      <c r="B363" s="10">
        <f t="shared" si="20"/>
        <v>0.97989082920449944</v>
      </c>
      <c r="C363" s="10">
        <f t="shared" si="21"/>
        <v>0.42682193586345468</v>
      </c>
      <c r="D363" s="42">
        <f t="shared" si="23"/>
        <v>4</v>
      </c>
      <c r="E363" s="10">
        <f t="shared" si="22"/>
        <v>2.7882593377060689E-2</v>
      </c>
      <c r="G363" s="5"/>
      <c r="H363" s="5"/>
      <c r="I363" s="12"/>
    </row>
    <row r="364" spans="1:9">
      <c r="A364" s="42">
        <v>17.5</v>
      </c>
      <c r="B364" s="10">
        <f t="shared" si="20"/>
        <v>0.97977058508659531</v>
      </c>
      <c r="C364" s="10">
        <f t="shared" si="21"/>
        <v>0.42578196926663886</v>
      </c>
      <c r="D364" s="42">
        <f t="shared" si="23"/>
        <v>2</v>
      </c>
      <c r="E364" s="10">
        <f t="shared" si="22"/>
        <v>1.3905621638256585E-2</v>
      </c>
      <c r="G364" s="5"/>
      <c r="H364" s="5"/>
      <c r="I364" s="12"/>
    </row>
    <row r="365" spans="1:9">
      <c r="A365" s="42">
        <v>17.55</v>
      </c>
      <c r="B365" s="10">
        <f t="shared" si="20"/>
        <v>0.97964971417457347</v>
      </c>
      <c r="C365" s="10">
        <f t="shared" si="21"/>
        <v>0.4247445365848625</v>
      </c>
      <c r="D365" s="42">
        <f t="shared" si="23"/>
        <v>4</v>
      </c>
      <c r="E365" s="10">
        <f t="shared" si="22"/>
        <v>2.7740057590838151E-2</v>
      </c>
      <c r="G365" s="5"/>
      <c r="H365" s="5"/>
      <c r="I365" s="12"/>
    </row>
    <row r="366" spans="1:9">
      <c r="A366" s="42">
        <v>17.600000000000001</v>
      </c>
      <c r="B366" s="10">
        <f t="shared" si="20"/>
        <v>0.97952821294389236</v>
      </c>
      <c r="C366" s="10">
        <f t="shared" si="21"/>
        <v>0.42370963164415304</v>
      </c>
      <c r="D366" s="42">
        <f t="shared" si="23"/>
        <v>2</v>
      </c>
      <c r="E366" s="10">
        <f t="shared" si="22"/>
        <v>1.3834517943050406E-2</v>
      </c>
      <c r="G366" s="5"/>
      <c r="H366" s="5"/>
      <c r="I366" s="12"/>
    </row>
    <row r="367" spans="1:9">
      <c r="A367" s="42">
        <v>17.649999999999999</v>
      </c>
      <c r="B367" s="10">
        <f t="shared" si="20"/>
        <v>0.97940607785104916</v>
      </c>
      <c r="C367" s="10">
        <f t="shared" si="21"/>
        <v>0.42267724828558073</v>
      </c>
      <c r="D367" s="42">
        <f t="shared" si="23"/>
        <v>4</v>
      </c>
      <c r="E367" s="10">
        <f t="shared" si="22"/>
        <v>2.7598177729350318E-2</v>
      </c>
      <c r="G367" s="5"/>
      <c r="H367" s="5"/>
      <c r="I367" s="12"/>
    </row>
    <row r="368" spans="1:9">
      <c r="A368" s="42">
        <v>17.7</v>
      </c>
      <c r="B368" s="10">
        <f t="shared" si="20"/>
        <v>0.97928330533348762</v>
      </c>
      <c r="C368" s="10">
        <f t="shared" si="21"/>
        <v>0.42164738036522237</v>
      </c>
      <c r="D368" s="42">
        <f t="shared" si="23"/>
        <v>2</v>
      </c>
      <c r="E368" s="10">
        <f t="shared" si="22"/>
        <v>1.3763741344308709E-2</v>
      </c>
      <c r="G368" s="5"/>
      <c r="H368" s="5"/>
      <c r="I368" s="12"/>
    </row>
    <row r="369" spans="1:9">
      <c r="A369" s="42">
        <v>17.75</v>
      </c>
      <c r="B369" s="10">
        <f t="shared" si="20"/>
        <v>0.97915989180950602</v>
      </c>
      <c r="C369" s="10">
        <f t="shared" si="21"/>
        <v>0.42062002175412466</v>
      </c>
      <c r="D369" s="42">
        <f t="shared" si="23"/>
        <v>4</v>
      </c>
      <c r="E369" s="10">
        <f t="shared" si="22"/>
        <v>2.7456950332912053E-2</v>
      </c>
      <c r="G369" s="5"/>
      <c r="H369" s="5"/>
      <c r="I369" s="12"/>
    </row>
    <row r="370" spans="1:9">
      <c r="A370" s="42">
        <v>17.8</v>
      </c>
      <c r="B370" s="10">
        <f t="shared" si="20"/>
        <v>0.97903583367816382</v>
      </c>
      <c r="C370" s="10">
        <f t="shared" si="21"/>
        <v>0.4195951663382676</v>
      </c>
      <c r="D370" s="42">
        <f t="shared" si="23"/>
        <v>2</v>
      </c>
      <c r="E370" s="10">
        <f t="shared" si="22"/>
        <v>1.3693290116110457E-2</v>
      </c>
      <c r="G370" s="5"/>
      <c r="H370" s="5"/>
      <c r="I370" s="12"/>
    </row>
    <row r="371" spans="1:9">
      <c r="A371" s="42">
        <v>17.850000000000001</v>
      </c>
      <c r="B371" s="10">
        <f t="shared" si="20"/>
        <v>0.9789111273191905</v>
      </c>
      <c r="C371" s="10">
        <f t="shared" si="21"/>
        <v>0.41857280801852836</v>
      </c>
      <c r="D371" s="42">
        <f t="shared" si="23"/>
        <v>4</v>
      </c>
      <c r="E371" s="10">
        <f t="shared" si="22"/>
        <v>2.7316371957505119E-2</v>
      </c>
      <c r="G371" s="5"/>
      <c r="H371" s="5"/>
      <c r="I371" s="12"/>
    </row>
    <row r="372" spans="1:9">
      <c r="A372" s="42">
        <v>17.899999999999999</v>
      </c>
      <c r="B372" s="10">
        <f t="shared" si="20"/>
        <v>0.97878576909289028</v>
      </c>
      <c r="C372" s="10">
        <f t="shared" si="21"/>
        <v>0.41755294071064503</v>
      </c>
      <c r="D372" s="42">
        <f t="shared" si="23"/>
        <v>2</v>
      </c>
      <c r="E372" s="10">
        <f t="shared" si="22"/>
        <v>1.362316254034889E-2</v>
      </c>
      <c r="G372" s="5"/>
      <c r="H372" s="5"/>
      <c r="I372" s="12"/>
    </row>
    <row r="373" spans="1:9">
      <c r="A373" s="42">
        <v>17.95</v>
      </c>
      <c r="B373" s="10">
        <f t="shared" si="20"/>
        <v>0.97865975534005079</v>
      </c>
      <c r="C373" s="10">
        <f t="shared" si="21"/>
        <v>0.41653555834517958</v>
      </c>
      <c r="D373" s="42">
        <f t="shared" si="23"/>
        <v>4</v>
      </c>
      <c r="E373" s="10">
        <f t="shared" si="22"/>
        <v>2.7176439174701663E-2</v>
      </c>
      <c r="G373" s="5"/>
      <c r="H373" s="5"/>
      <c r="I373" s="12"/>
    </row>
    <row r="374" spans="1:9">
      <c r="A374" s="42">
        <v>18</v>
      </c>
      <c r="B374" s="10">
        <f t="shared" si="20"/>
        <v>0.97853308238184755</v>
      </c>
      <c r="C374" s="10">
        <f t="shared" si="21"/>
        <v>0.41552065486748313</v>
      </c>
      <c r="D374" s="42">
        <f t="shared" si="23"/>
        <v>2</v>
      </c>
      <c r="E374" s="10">
        <f t="shared" si="22"/>
        <v>1.3553356906693403E-2</v>
      </c>
      <c r="G374" s="5">
        <f>(E$415-SUM(E$14:E374)+E374/2)/(B374*C374)</f>
        <v>1.9002964071213617</v>
      </c>
      <c r="H374" s="5">
        <f>1-LN(1+B$6)*G374</f>
        <v>0.90728422632596684</v>
      </c>
      <c r="I374" s="12">
        <f>200000*H374-G374*E$417</f>
        <v>170016.30381595413</v>
      </c>
    </row>
    <row r="375" spans="1:9">
      <c r="A375" s="42">
        <v>18.05</v>
      </c>
      <c r="B375" s="10">
        <f t="shared" ref="B375:B414" si="24">$B$54*($B$9^(A375-2))*$B$8^(($B$5^(42))*(($B$5^(A375-2)-1)))</f>
        <v>0.97840574651974987</v>
      </c>
      <c r="C375" s="10">
        <f t="shared" si="21"/>
        <v>0.41450822423765826</v>
      </c>
      <c r="D375" s="42">
        <f t="shared" si="23"/>
        <v>4</v>
      </c>
      <c r="E375" s="10">
        <f t="shared" si="22"/>
        <v>2.7037148571588131E-2</v>
      </c>
      <c r="G375" s="5"/>
      <c r="H375" s="5"/>
      <c r="I375" s="12"/>
    </row>
    <row r="376" spans="1:9">
      <c r="A376" s="42">
        <v>18.100000000000001</v>
      </c>
      <c r="B376" s="10">
        <f t="shared" si="24"/>
        <v>0.978277744035429</v>
      </c>
      <c r="C376" s="10">
        <f t="shared" si="21"/>
        <v>0.41349826043052507</v>
      </c>
      <c r="D376" s="42">
        <f t="shared" si="23"/>
        <v>2</v>
      </c>
      <c r="E376" s="10">
        <f t="shared" si="22"/>
        <v>1.3483871512551612E-2</v>
      </c>
      <c r="G376" s="5"/>
      <c r="H376" s="5"/>
      <c r="I376" s="12"/>
    </row>
    <row r="377" spans="1:9">
      <c r="A377" s="42">
        <v>18.149999999999999</v>
      </c>
      <c r="B377" s="10">
        <f t="shared" si="24"/>
        <v>0.97814907119065997</v>
      </c>
      <c r="C377" s="10">
        <f t="shared" si="21"/>
        <v>0.4124907574355835</v>
      </c>
      <c r="D377" s="42">
        <f t="shared" si="23"/>
        <v>4</v>
      </c>
      <c r="E377" s="10">
        <f t="shared" si="22"/>
        <v>2.6898496750689855E-2</v>
      </c>
      <c r="G377" s="5"/>
      <c r="H377" s="5"/>
      <c r="I377" s="12"/>
    </row>
    <row r="378" spans="1:9">
      <c r="A378" s="42">
        <v>18.2</v>
      </c>
      <c r="B378" s="10">
        <f t="shared" si="24"/>
        <v>0.9780197242272286</v>
      </c>
      <c r="C378" s="10">
        <f t="shared" si="21"/>
        <v>0.41148570925697842</v>
      </c>
      <c r="D378" s="42">
        <f t="shared" si="23"/>
        <v>2</v>
      </c>
      <c r="E378" s="10">
        <f t="shared" si="22"/>
        <v>1.3414704663031853E-2</v>
      </c>
      <c r="G378" s="5"/>
      <c r="H378" s="5"/>
      <c r="I378" s="12"/>
    </row>
    <row r="379" spans="1:9">
      <c r="A379" s="42">
        <v>18.25</v>
      </c>
      <c r="B379" s="10">
        <f t="shared" si="24"/>
        <v>0.97788969936683512</v>
      </c>
      <c r="C379" s="10">
        <f t="shared" si="21"/>
        <v>0.41048310991346382</v>
      </c>
      <c r="D379" s="42">
        <f t="shared" si="23"/>
        <v>4</v>
      </c>
      <c r="E379" s="10">
        <f t="shared" si="22"/>
        <v>2.6760480329896048E-2</v>
      </c>
      <c r="G379" s="5"/>
      <c r="H379" s="5"/>
      <c r="I379" s="12"/>
    </row>
    <row r="380" spans="1:9">
      <c r="A380" s="42">
        <v>18.3</v>
      </c>
      <c r="B380" s="10">
        <f t="shared" si="24"/>
        <v>0.97775899281099965</v>
      </c>
      <c r="C380" s="10">
        <f t="shared" si="21"/>
        <v>0.40948295343836727</v>
      </c>
      <c r="D380" s="42">
        <f t="shared" si="23"/>
        <v>2</v>
      </c>
      <c r="E380" s="10">
        <f t="shared" si="22"/>
        <v>1.3345854670905717E-2</v>
      </c>
      <c r="G380" s="5"/>
      <c r="H380" s="5"/>
      <c r="I380" s="12"/>
    </row>
    <row r="381" spans="1:9">
      <c r="A381" s="42">
        <v>18.350000000000001</v>
      </c>
      <c r="B381" s="10">
        <f t="shared" si="24"/>
        <v>0.97762760074096466</v>
      </c>
      <c r="C381" s="10">
        <f t="shared" si="21"/>
        <v>0.40848523387955427</v>
      </c>
      <c r="D381" s="42">
        <f t="shared" si="23"/>
        <v>4</v>
      </c>
      <c r="E381" s="10">
        <f t="shared" si="22"/>
        <v>2.6623095942385364E-2</v>
      </c>
      <c r="G381" s="5"/>
      <c r="H381" s="5"/>
      <c r="I381" s="12"/>
    </row>
    <row r="382" spans="1:9">
      <c r="A382" s="42">
        <v>18.399999999999999</v>
      </c>
      <c r="B382" s="10">
        <f t="shared" si="24"/>
        <v>0.97749551931759993</v>
      </c>
      <c r="C382" s="10">
        <f t="shared" si="21"/>
        <v>0.40748994529939297</v>
      </c>
      <c r="D382" s="42">
        <f t="shared" si="23"/>
        <v>2</v>
      </c>
      <c r="E382" s="10">
        <f t="shared" si="22"/>
        <v>1.3277319856571018E-2</v>
      </c>
      <c r="G382" s="5"/>
      <c r="H382" s="5"/>
      <c r="I382" s="12"/>
    </row>
    <row r="383" spans="1:9">
      <c r="A383" s="42">
        <v>18.45</v>
      </c>
      <c r="B383" s="10">
        <f t="shared" si="24"/>
        <v>0.97736274468130568</v>
      </c>
      <c r="C383" s="10">
        <f t="shared" si="21"/>
        <v>0.40649708177471872</v>
      </c>
      <c r="D383" s="42">
        <f t="shared" si="23"/>
        <v>4</v>
      </c>
      <c r="E383" s="10">
        <f t="shared" si="22"/>
        <v>2.6486340236552015E-2</v>
      </c>
      <c r="G383" s="5"/>
      <c r="H383" s="5"/>
      <c r="I383" s="12"/>
    </row>
    <row r="384" spans="1:9">
      <c r="A384" s="42">
        <v>18.5</v>
      </c>
      <c r="B384" s="10">
        <f t="shared" si="24"/>
        <v>0.97722927295191464</v>
      </c>
      <c r="C384" s="10">
        <f t="shared" si="21"/>
        <v>0.40550663739679882</v>
      </c>
      <c r="D384" s="42">
        <f t="shared" si="23"/>
        <v>2</v>
      </c>
      <c r="E384" s="10">
        <f t="shared" si="22"/>
        <v>1.3209098548014981E-2</v>
      </c>
      <c r="G384" s="5"/>
      <c r="H384" s="5"/>
      <c r="I384" s="12"/>
    </row>
    <row r="385" spans="1:9">
      <c r="A385" s="42">
        <v>18.55</v>
      </c>
      <c r="B385" s="10">
        <f t="shared" si="24"/>
        <v>0.97709510022859658</v>
      </c>
      <c r="C385" s="10">
        <f t="shared" si="21"/>
        <v>0.4045186062712976</v>
      </c>
      <c r="D385" s="42">
        <f t="shared" si="23"/>
        <v>4</v>
      </c>
      <c r="E385" s="10">
        <f t="shared" si="22"/>
        <v>2.6350209875932382E-2</v>
      </c>
      <c r="G385" s="5"/>
      <c r="H385" s="5"/>
      <c r="I385" s="12"/>
    </row>
    <row r="386" spans="1:9">
      <c r="A386" s="42">
        <v>18.600000000000001</v>
      </c>
      <c r="B386" s="10">
        <f t="shared" si="24"/>
        <v>0.97696022258975901</v>
      </c>
      <c r="C386" s="10">
        <f t="shared" si="21"/>
        <v>0.40353298251824093</v>
      </c>
      <c r="D386" s="42">
        <f t="shared" si="23"/>
        <v>2</v>
      </c>
      <c r="E386" s="10">
        <f t="shared" si="22"/>
        <v>1.3141189080777669E-2</v>
      </c>
      <c r="G386" s="5"/>
      <c r="H386" s="5"/>
      <c r="I386" s="12"/>
    </row>
    <row r="387" spans="1:9">
      <c r="A387" s="42">
        <v>18.649999999999999</v>
      </c>
      <c r="B387" s="10">
        <f t="shared" si="24"/>
        <v>0.97682463609295067</v>
      </c>
      <c r="C387" s="10">
        <f t="shared" si="21"/>
        <v>0.40254976027198164</v>
      </c>
      <c r="D387" s="42">
        <f t="shared" si="23"/>
        <v>4</v>
      </c>
      <c r="E387" s="10">
        <f t="shared" si="22"/>
        <v>2.6214701539132204E-2</v>
      </c>
      <c r="G387" s="5"/>
      <c r="H387" s="5"/>
      <c r="I387" s="12"/>
    </row>
    <row r="388" spans="1:9">
      <c r="A388" s="42">
        <v>18.7</v>
      </c>
      <c r="B388" s="10">
        <f t="shared" si="24"/>
        <v>0.97668833677476197</v>
      </c>
      <c r="C388" s="10">
        <f t="shared" si="21"/>
        <v>0.40156893368116414</v>
      </c>
      <c r="D388" s="42">
        <f t="shared" si="23"/>
        <v>2</v>
      </c>
      <c r="E388" s="10">
        <f t="shared" si="22"/>
        <v>1.3073589797915697E-2</v>
      </c>
      <c r="G388" s="5"/>
      <c r="H388" s="5"/>
      <c r="I388" s="12"/>
    </row>
    <row r="389" spans="1:9">
      <c r="A389" s="42">
        <v>18.75</v>
      </c>
      <c r="B389" s="10">
        <f t="shared" si="24"/>
        <v>0.97655132065072836</v>
      </c>
      <c r="C389" s="10">
        <f t="shared" si="21"/>
        <v>0.40059049690869014</v>
      </c>
      <c r="D389" s="42">
        <f t="shared" si="23"/>
        <v>4</v>
      </c>
      <c r="E389" s="10">
        <f t="shared" si="22"/>
        <v>2.6079811919754194E-2</v>
      </c>
      <c r="G389" s="5"/>
      <c r="H389" s="5"/>
      <c r="I389" s="12"/>
    </row>
    <row r="390" spans="1:9">
      <c r="A390" s="42">
        <v>18.8</v>
      </c>
      <c r="B390" s="10">
        <f t="shared" si="24"/>
        <v>0.97641358371522957</v>
      </c>
      <c r="C390" s="10">
        <f t="shared" si="21"/>
        <v>0.3996144441316834</v>
      </c>
      <c r="D390" s="42">
        <f t="shared" si="23"/>
        <v>2</v>
      </c>
      <c r="E390" s="10">
        <f t="shared" si="22"/>
        <v>1.3006299049966216E-2</v>
      </c>
      <c r="G390" s="5"/>
      <c r="H390" s="5"/>
      <c r="I390" s="12"/>
    </row>
    <row r="391" spans="1:9">
      <c r="A391" s="42">
        <v>18.850000000000001</v>
      </c>
      <c r="B391" s="10">
        <f t="shared" si="24"/>
        <v>0.97627512194139232</v>
      </c>
      <c r="C391" s="10">
        <f t="shared" si="21"/>
        <v>0.39864076954145555</v>
      </c>
      <c r="D391" s="42">
        <f t="shared" si="23"/>
        <v>4</v>
      </c>
      <c r="E391" s="10">
        <f t="shared" si="22"/>
        <v>2.5945537726326334E-2</v>
      </c>
      <c r="G391" s="5"/>
      <c r="H391" s="5"/>
      <c r="I391" s="12"/>
    </row>
    <row r="392" spans="1:9">
      <c r="A392" s="42">
        <v>18.899999999999999</v>
      </c>
      <c r="B392" s="10">
        <f t="shared" si="24"/>
        <v>0.97613593128098952</v>
      </c>
      <c r="C392" s="10">
        <f t="shared" si="21"/>
        <v>0.39766946734347142</v>
      </c>
      <c r="D392" s="42">
        <f t="shared" si="23"/>
        <v>2</v>
      </c>
      <c r="E392" s="10">
        <f t="shared" si="22"/>
        <v>1.2939315194911151E-2</v>
      </c>
      <c r="G392" s="5"/>
      <c r="H392" s="5"/>
      <c r="I392" s="12"/>
    </row>
    <row r="393" spans="1:9">
      <c r="A393" s="42">
        <v>18.95</v>
      </c>
      <c r="B393" s="10">
        <f t="shared" si="24"/>
        <v>0.9759960076643418</v>
      </c>
      <c r="C393" s="10">
        <f t="shared" si="21"/>
        <v>0.39670053175731379</v>
      </c>
      <c r="D393" s="42">
        <f t="shared" si="23"/>
        <v>4</v>
      </c>
      <c r="E393" s="10">
        <f t="shared" si="22"/>
        <v>2.5811875682230645E-2</v>
      </c>
      <c r="G393" s="5"/>
      <c r="H393" s="5"/>
      <c r="I393" s="12"/>
    </row>
    <row r="394" spans="1:9">
      <c r="A394" s="42">
        <v>19</v>
      </c>
      <c r="B394" s="10">
        <f t="shared" si="24"/>
        <v>0.97585534700021648</v>
      </c>
      <c r="C394" s="10">
        <f t="shared" si="21"/>
        <v>0.39573395701665059</v>
      </c>
      <c r="D394" s="42">
        <f t="shared" si="23"/>
        <v>2</v>
      </c>
      <c r="E394" s="10">
        <f t="shared" si="22"/>
        <v>1.2872636598141744E-2</v>
      </c>
      <c r="G394" s="5">
        <f>(E$415-SUM(E$14:E394)+E394/2)/(B394*C394)</f>
        <v>0.97454763172984715</v>
      </c>
      <c r="H394" s="5">
        <f>1-LN(1+B$6)*G394</f>
        <v>0.95245166105696955</v>
      </c>
      <c r="I394" s="12">
        <f>200000*H394-G394*E$417</f>
        <v>184623.16720846013</v>
      </c>
    </row>
    <row r="395" spans="1:9">
      <c r="A395" s="42">
        <v>19.05</v>
      </c>
      <c r="B395" s="10">
        <f t="shared" si="24"/>
        <v>0.9757139451757274</v>
      </c>
      <c r="C395" s="10">
        <f t="shared" si="21"/>
        <v>0.39476973736919835</v>
      </c>
      <c r="D395" s="42">
        <f t="shared" si="23"/>
        <v>4</v>
      </c>
      <c r="E395" s="10">
        <f t="shared" si="22"/>
        <v>2.567882252563242E-2</v>
      </c>
      <c r="G395" s="5"/>
      <c r="H395" s="5"/>
      <c r="I395" s="12"/>
    </row>
    <row r="396" spans="1:9">
      <c r="A396" s="42">
        <v>19.100000000000001</v>
      </c>
      <c r="B396" s="10">
        <f t="shared" si="24"/>
        <v>0.97557179805623606</v>
      </c>
      <c r="C396" s="10">
        <f t="shared" si="21"/>
        <v>0.39380786707669052</v>
      </c>
      <c r="D396" s="42">
        <f t="shared" si="23"/>
        <v>2</v>
      </c>
      <c r="E396" s="10">
        <f t="shared" si="22"/>
        <v>1.2806261632423275E-2</v>
      </c>
      <c r="G396" s="5"/>
      <c r="H396" s="5"/>
      <c r="I396" s="12"/>
    </row>
    <row r="397" spans="1:9">
      <c r="A397" s="42">
        <v>19.149999999999999</v>
      </c>
      <c r="B397" s="10">
        <f t="shared" si="24"/>
        <v>0.97542890148524808</v>
      </c>
      <c r="C397" s="10">
        <f t="shared" si="21"/>
        <v>0.3928483404148414</v>
      </c>
      <c r="D397" s="42">
        <f t="shared" si="23"/>
        <v>4</v>
      </c>
      <c r="E397" s="10">
        <f t="shared" si="22"/>
        <v>2.5546375009410104E-2</v>
      </c>
      <c r="G397" s="5"/>
      <c r="H397" s="5"/>
      <c r="I397" s="12"/>
    </row>
    <row r="398" spans="1:9">
      <c r="A398" s="42">
        <v>19.2</v>
      </c>
      <c r="B398" s="10">
        <f t="shared" si="24"/>
        <v>0.9752852512843142</v>
      </c>
      <c r="C398" s="10">
        <f t="shared" si="21"/>
        <v>0.39189115167331279</v>
      </c>
      <c r="D398" s="42">
        <f t="shared" si="23"/>
        <v>2</v>
      </c>
      <c r="E398" s="10">
        <f t="shared" si="22"/>
        <v>1.2740188677860207E-2</v>
      </c>
      <c r="G398" s="5"/>
      <c r="H398" s="5"/>
      <c r="I398" s="12"/>
    </row>
    <row r="399" spans="1:9">
      <c r="A399" s="42">
        <v>19.25</v>
      </c>
      <c r="B399" s="10">
        <f t="shared" si="24"/>
        <v>0.97514084325292771</v>
      </c>
      <c r="C399" s="10">
        <f t="shared" ref="C399:C414" si="25">(1+B$6)^-A399</f>
        <v>0.39093629515567979</v>
      </c>
      <c r="D399" s="42">
        <f t="shared" si="23"/>
        <v>4</v>
      </c>
      <c r="E399" s="10">
        <f t="shared" ref="E399:E414" si="26">B399*C399*D399*0.05/3</f>
        <v>2.541452990108567E-2</v>
      </c>
      <c r="G399" s="5"/>
      <c r="H399" s="5"/>
      <c r="I399" s="12"/>
    </row>
    <row r="400" spans="1:9">
      <c r="A400" s="42">
        <v>19.3</v>
      </c>
      <c r="B400" s="10">
        <f t="shared" si="24"/>
        <v>0.97499567316842339</v>
      </c>
      <c r="C400" s="10">
        <f t="shared" si="25"/>
        <v>0.38998376517939737</v>
      </c>
      <c r="D400" s="42">
        <f t="shared" si="23"/>
        <v>2</v>
      </c>
      <c r="E400" s="10">
        <f t="shared" si="26"/>
        <v>1.2674416121861432E-2</v>
      </c>
      <c r="G400" s="5"/>
      <c r="H400" s="5"/>
      <c r="I400" s="12"/>
    </row>
    <row r="401" spans="1:9">
      <c r="A401" s="42">
        <v>19.350000000000001</v>
      </c>
      <c r="B401" s="10">
        <f t="shared" si="24"/>
        <v>0.97484973678587472</v>
      </c>
      <c r="C401" s="10">
        <f t="shared" si="25"/>
        <v>0.38903355607576595</v>
      </c>
      <c r="D401" s="42">
        <f t="shared" ref="D401:D413" si="27">IF(D400=4,2,4)</f>
        <v>4</v>
      </c>
      <c r="E401" s="10">
        <f t="shared" si="26"/>
        <v>2.5283283982755551E-2</v>
      </c>
      <c r="G401" s="5"/>
      <c r="H401" s="5"/>
      <c r="I401" s="12"/>
    </row>
    <row r="402" spans="1:9">
      <c r="A402" s="42">
        <v>19.399999999999999</v>
      </c>
      <c r="B402" s="10">
        <f t="shared" si="24"/>
        <v>0.97470302983799217</v>
      </c>
      <c r="C402" s="10">
        <f t="shared" si="25"/>
        <v>0.3880856621898981</v>
      </c>
      <c r="D402" s="42">
        <f t="shared" si="27"/>
        <v>2</v>
      </c>
      <c r="E402" s="10">
        <f t="shared" si="26"/>
        <v>1.2608942359105908E-2</v>
      </c>
      <c r="G402" s="5"/>
      <c r="H402" s="5"/>
      <c r="I402" s="12"/>
    </row>
    <row r="403" spans="1:9">
      <c r="A403" s="42">
        <v>19.45</v>
      </c>
      <c r="B403" s="10">
        <f t="shared" si="24"/>
        <v>0.97455554803502098</v>
      </c>
      <c r="C403" s="10">
        <f t="shared" si="25"/>
        <v>0.3871400778806845</v>
      </c>
      <c r="D403" s="42">
        <f t="shared" si="27"/>
        <v>4</v>
      </c>
      <c r="E403" s="10">
        <f t="shared" si="26"/>
        <v>2.5152634051022082E-2</v>
      </c>
      <c r="G403" s="5"/>
      <c r="H403" s="5"/>
      <c r="I403" s="12"/>
    </row>
    <row r="404" spans="1:9">
      <c r="A404" s="42">
        <v>19.5</v>
      </c>
      <c r="B404" s="10">
        <f t="shared" si="24"/>
        <v>0.97440728706463697</v>
      </c>
      <c r="C404" s="10">
        <f t="shared" si="25"/>
        <v>0.3861967975207608</v>
      </c>
      <c r="D404" s="42">
        <f t="shared" si="27"/>
        <v>2</v>
      </c>
      <c r="E404" s="10">
        <f t="shared" si="26"/>
        <v>1.2543765791508517E-2</v>
      </c>
      <c r="G404" s="5"/>
      <c r="H404" s="5"/>
      <c r="I404" s="12"/>
    </row>
    <row r="405" spans="1:9">
      <c r="A405" s="42">
        <v>19.55</v>
      </c>
      <c r="B405" s="10">
        <f t="shared" si="24"/>
        <v>0.97425824259184479</v>
      </c>
      <c r="C405" s="10">
        <f t="shared" si="25"/>
        <v>0.38525581549647392</v>
      </c>
      <c r="D405" s="42">
        <f t="shared" si="27"/>
        <v>4</v>
      </c>
      <c r="E405" s="10">
        <f t="shared" si="26"/>
        <v>2.5022576916925516E-2</v>
      </c>
      <c r="G405" s="5"/>
      <c r="H405" s="5"/>
      <c r="I405" s="12"/>
    </row>
    <row r="406" spans="1:9">
      <c r="A406" s="42">
        <v>19.600000000000001</v>
      </c>
      <c r="B406" s="10">
        <f t="shared" si="24"/>
        <v>0.97410841025887396</v>
      </c>
      <c r="C406" s="10">
        <f t="shared" si="25"/>
        <v>0.38431712620784853</v>
      </c>
      <c r="D406" s="42">
        <f t="shared" si="27"/>
        <v>2</v>
      </c>
      <c r="E406" s="10">
        <f t="shared" si="26"/>
        <v>1.2478884828186211E-2</v>
      </c>
      <c r="G406" s="5"/>
      <c r="H406" s="5"/>
      <c r="I406" s="12"/>
    </row>
    <row r="407" spans="1:9">
      <c r="A407" s="42">
        <v>19.649999999999999</v>
      </c>
      <c r="B407" s="10">
        <f t="shared" si="24"/>
        <v>0.97395778568507452</v>
      </c>
      <c r="C407" s="10">
        <f t="shared" si="25"/>
        <v>0.38338072406855395</v>
      </c>
      <c r="D407" s="42">
        <f t="shared" si="27"/>
        <v>4</v>
      </c>
      <c r="E407" s="10">
        <f t="shared" si="26"/>
        <v>2.4893109405876624E-2</v>
      </c>
      <c r="G407" s="5"/>
      <c r="H407" s="5"/>
      <c r="I407" s="12"/>
    </row>
    <row r="408" spans="1:9">
      <c r="A408" s="42">
        <v>19.7</v>
      </c>
      <c r="B408" s="10">
        <f t="shared" si="24"/>
        <v>0.97380636446681434</v>
      </c>
      <c r="C408" s="10">
        <f t="shared" si="25"/>
        <v>0.38244660350587062</v>
      </c>
      <c r="D408" s="42">
        <f t="shared" si="27"/>
        <v>2</v>
      </c>
      <c r="E408" s="10">
        <f t="shared" si="26"/>
        <v>1.2414297885424435E-2</v>
      </c>
      <c r="G408" s="5"/>
      <c r="H408" s="5"/>
      <c r="I408" s="12"/>
    </row>
    <row r="409" spans="1:9">
      <c r="A409" s="42">
        <v>19.75</v>
      </c>
      <c r="B409" s="10">
        <f t="shared" si="24"/>
        <v>0.97365414217737389</v>
      </c>
      <c r="C409" s="10">
        <f t="shared" si="25"/>
        <v>0.38151475896065723</v>
      </c>
      <c r="D409" s="42">
        <f t="shared" si="27"/>
        <v>4</v>
      </c>
      <c r="E409" s="10">
        <f t="shared" si="26"/>
        <v>2.4764228357589752E-2</v>
      </c>
      <c r="G409" s="5"/>
      <c r="H409" s="5"/>
      <c r="I409" s="12"/>
    </row>
    <row r="410" spans="1:9">
      <c r="A410" s="42">
        <v>19.8</v>
      </c>
      <c r="B410" s="10">
        <f t="shared" si="24"/>
        <v>0.97350111436684228</v>
      </c>
      <c r="C410" s="10">
        <f t="shared" si="25"/>
        <v>0.38058518488731752</v>
      </c>
      <c r="D410" s="42">
        <f t="shared" si="27"/>
        <v>2</v>
      </c>
      <c r="E410" s="10">
        <f t="shared" si="26"/>
        <v>1.2350003386643811E-2</v>
      </c>
      <c r="G410" s="5"/>
      <c r="H410" s="5"/>
      <c r="I410" s="12"/>
    </row>
    <row r="411" spans="1:9">
      <c r="A411" s="42">
        <v>19.850000000000001</v>
      </c>
      <c r="B411" s="10">
        <f t="shared" si="24"/>
        <v>0.9733472765620117</v>
      </c>
      <c r="C411" s="10">
        <f t="shared" si="25"/>
        <v>0.37965787575376719</v>
      </c>
      <c r="D411" s="42">
        <f t="shared" si="27"/>
        <v>4</v>
      </c>
      <c r="E411" s="10">
        <f t="shared" si="26"/>
        <v>2.4635930626016527E-2</v>
      </c>
      <c r="G411" s="5"/>
      <c r="H411" s="5"/>
      <c r="I411" s="12"/>
    </row>
    <row r="412" spans="1:9">
      <c r="A412" s="42">
        <v>19.899999999999999</v>
      </c>
      <c r="B412" s="10">
        <f t="shared" si="24"/>
        <v>0.9731926242662734</v>
      </c>
      <c r="C412" s="10">
        <f t="shared" si="25"/>
        <v>0.37873282604140129</v>
      </c>
      <c r="D412" s="42">
        <f t="shared" si="27"/>
        <v>2</v>
      </c>
      <c r="E412" s="10">
        <f t="shared" si="26"/>
        <v>1.2285999762367113E-2</v>
      </c>
      <c r="G412" s="5"/>
      <c r="H412" s="5"/>
      <c r="I412" s="12"/>
    </row>
    <row r="413" spans="1:9">
      <c r="A413" s="42">
        <v>19.95</v>
      </c>
      <c r="B413" s="10">
        <f t="shared" si="24"/>
        <v>0.97303715295951154</v>
      </c>
      <c r="C413" s="10">
        <f t="shared" si="25"/>
        <v>0.37781003024506077</v>
      </c>
      <c r="D413" s="42">
        <f t="shared" si="27"/>
        <v>4</v>
      </c>
      <c r="E413" s="10">
        <f t="shared" si="26"/>
        <v>2.4508213079280059E-2</v>
      </c>
      <c r="G413" s="5"/>
      <c r="H413" s="5"/>
      <c r="I413" s="12"/>
    </row>
    <row r="414" spans="1:9">
      <c r="A414" s="42">
        <v>20</v>
      </c>
      <c r="B414" s="10">
        <f t="shared" si="24"/>
        <v>0.97288085809799874</v>
      </c>
      <c r="C414" s="10">
        <f t="shared" si="25"/>
        <v>0.37688948287300061</v>
      </c>
      <c r="D414" s="42">
        <v>1</v>
      </c>
      <c r="E414" s="10">
        <f t="shared" si="26"/>
        <v>6.111142725093264E-3</v>
      </c>
      <c r="G414" s="5"/>
      <c r="H414" s="5"/>
      <c r="I414" s="12"/>
    </row>
    <row r="415" spans="1:9">
      <c r="C415" t="s">
        <v>180</v>
      </c>
      <c r="E415" s="10">
        <f>SUM(E14:E414)</f>
        <v>12.675531365159026</v>
      </c>
      <c r="G415" s="5"/>
      <c r="H415" s="5"/>
      <c r="I415" s="12"/>
    </row>
    <row r="416" spans="1:9">
      <c r="C416" t="s">
        <v>181</v>
      </c>
      <c r="E416" s="42">
        <f>1-LN(1+B$6)*E415</f>
        <v>0.38155874375910603</v>
      </c>
      <c r="G416" s="5"/>
      <c r="H416" s="5"/>
      <c r="I416" s="12"/>
    </row>
    <row r="417" spans="3:9">
      <c r="C417" s="60" t="s">
        <v>182</v>
      </c>
      <c r="D417" s="60"/>
      <c r="E417" s="81">
        <v>6020.3984001473691</v>
      </c>
      <c r="G417" s="5"/>
      <c r="H417" s="5"/>
      <c r="I417" s="12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"/>
  <sheetViews>
    <sheetView zoomScale="125" zoomScaleNormal="125" zoomScalePageLayoutView="125" workbookViewId="0"/>
  </sheetViews>
  <sheetFormatPr baseColWidth="10" defaultRowHeight="12" x14ac:dyDescent="0"/>
  <sheetData>
    <row r="1" spans="1:10" ht="15">
      <c r="A1" s="70" t="s">
        <v>745</v>
      </c>
      <c r="E1" s="10"/>
      <c r="I1" s="10"/>
      <c r="J1" s="42"/>
    </row>
    <row r="2" spans="1:10">
      <c r="E2" s="10"/>
      <c r="I2" s="10"/>
      <c r="J2" s="42"/>
    </row>
    <row r="3" spans="1:10">
      <c r="A3" s="52" t="s">
        <v>9</v>
      </c>
      <c r="B3" s="51">
        <v>2.2000000000000001E-4</v>
      </c>
      <c r="E3" s="10"/>
      <c r="I3" s="10"/>
      <c r="J3" s="42"/>
    </row>
    <row r="4" spans="1:10">
      <c r="A4" s="52" t="s">
        <v>10</v>
      </c>
      <c r="B4" s="51">
        <f>2.7/1000000</f>
        <v>2.7E-6</v>
      </c>
      <c r="E4" s="10"/>
      <c r="I4" s="10"/>
      <c r="J4" s="42"/>
    </row>
    <row r="5" spans="1:10">
      <c r="A5" s="52" t="s">
        <v>24</v>
      </c>
      <c r="B5" s="51">
        <v>1.1240000000000001</v>
      </c>
      <c r="E5" s="10"/>
      <c r="I5" s="10"/>
      <c r="J5" s="42"/>
    </row>
    <row r="6" spans="1:10">
      <c r="A6" s="52" t="s">
        <v>74</v>
      </c>
      <c r="B6" s="51">
        <v>4.4999999999999998E-2</v>
      </c>
      <c r="E6" s="10"/>
      <c r="I6" s="10"/>
      <c r="J6" s="42"/>
    </row>
    <row r="7" spans="1:10">
      <c r="A7" s="52" t="s">
        <v>82</v>
      </c>
      <c r="B7" s="51">
        <v>50</v>
      </c>
      <c r="E7" s="10"/>
      <c r="I7" s="10"/>
      <c r="J7" s="42"/>
    </row>
    <row r="8" spans="1:10">
      <c r="A8" s="9" t="s">
        <v>25</v>
      </c>
      <c r="B8" s="6">
        <f>EXP(-B4/LN(B5))</f>
        <v>0.99997690236831238</v>
      </c>
      <c r="E8" s="10"/>
      <c r="I8" s="10"/>
      <c r="J8" s="42"/>
    </row>
    <row r="9" spans="1:10">
      <c r="A9" s="9" t="s">
        <v>27</v>
      </c>
      <c r="B9" s="18">
        <f>EXP(-B3)</f>
        <v>0.99978002419822543</v>
      </c>
      <c r="E9" s="10"/>
      <c r="I9" s="10"/>
      <c r="J9" s="42"/>
    </row>
    <row r="10" spans="1:10">
      <c r="A10" s="9" t="s">
        <v>74</v>
      </c>
      <c r="B10" s="6">
        <v>4.4999999999999998E-2</v>
      </c>
      <c r="E10" s="10"/>
      <c r="I10" s="10"/>
      <c r="J10" s="42"/>
    </row>
    <row r="11" spans="1:10">
      <c r="E11" s="10"/>
      <c r="I11" s="10"/>
      <c r="J11" s="42"/>
    </row>
    <row r="12" spans="1:10">
      <c r="A12" s="1" t="s">
        <v>1</v>
      </c>
      <c r="E12" s="85" t="s">
        <v>2</v>
      </c>
      <c r="H12" s="1" t="s">
        <v>3</v>
      </c>
      <c r="I12" s="10"/>
      <c r="J12" s="23" t="s">
        <v>199</v>
      </c>
    </row>
    <row r="13" spans="1:10">
      <c r="C13" s="10" t="s">
        <v>75</v>
      </c>
      <c r="E13" s="10"/>
      <c r="J13" s="42"/>
    </row>
    <row r="14" spans="1:10">
      <c r="A14" s="42" t="s">
        <v>0</v>
      </c>
      <c r="B14" s="7" t="s">
        <v>84</v>
      </c>
      <c r="C14" s="10" t="s">
        <v>86</v>
      </c>
      <c r="E14" s="10" t="s">
        <v>103</v>
      </c>
      <c r="F14" s="7" t="s">
        <v>169</v>
      </c>
      <c r="H14" s="42" t="s">
        <v>200</v>
      </c>
      <c r="J14" s="42"/>
    </row>
    <row r="15" spans="1:10">
      <c r="A15" s="42">
        <v>0</v>
      </c>
      <c r="B15" s="10">
        <f>EXP(-(0.9^(2-A15))*(B$3*((0.9^A15 - 1)/LN(0.9)) +B$4*(B$5^B$7)*((0.9^A15 -B$5^A15)/LN(0.9/B$5))))</f>
        <v>1</v>
      </c>
      <c r="C15" s="10">
        <f>B15*(1.045^-A15)</f>
        <v>1</v>
      </c>
      <c r="E15" s="10">
        <f>B16/B15</f>
        <v>0.99896670662448772</v>
      </c>
      <c r="J15" s="42"/>
    </row>
    <row r="16" spans="1:10">
      <c r="A16" s="42">
        <v>1</v>
      </c>
      <c r="B16" s="10">
        <f t="shared" ref="B16:B17" si="0">EXP(-(0.9^(2-A16))*(B$3*((0.9^A16 - 1)/LN(0.9)) +B$4*(B$5^B$7)*((0.9^A16 -B$5^A16)/LN(0.9/B$5))))</f>
        <v>0.99896670662448772</v>
      </c>
      <c r="C16" s="10">
        <f t="shared" ref="C16:C79" si="1">B16*(1.045^-A16)</f>
        <v>0.95594900155453377</v>
      </c>
      <c r="E16" s="10">
        <f t="shared" ref="E16:E79" si="2">B17/B16</f>
        <v>0.99873555634425593</v>
      </c>
      <c r="F16" s="12">
        <f>(E16*F17+(1-E16)*10000)/(1+B$6) +10-0.95*C$98</f>
        <v>3.0568346736542935</v>
      </c>
      <c r="H16" s="12">
        <f>0.9*((0.78*C$98-100)*1.055-E15*F16-(1-E15)*10000)/E15</f>
        <v>0.11541062947438988</v>
      </c>
      <c r="J16" s="12">
        <f>B16*H16*(1.055^-A16)</f>
        <v>0.10928092553127042</v>
      </c>
    </row>
    <row r="17" spans="1:10">
      <c r="A17" s="42">
        <v>2</v>
      </c>
      <c r="B17" s="10">
        <f t="shared" si="0"/>
        <v>0.99770356950999683</v>
      </c>
      <c r="C17" s="10">
        <f t="shared" si="1"/>
        <v>0.91362704105674963</v>
      </c>
      <c r="E17" s="10">
        <f t="shared" si="2"/>
        <v>0.99853127440738909</v>
      </c>
      <c r="F17" s="12">
        <f t="shared" ref="F17:F80" si="3">(E17*F18+(1-E17)*10000)/(1+B$6) +10-0.95*C$98</f>
        <v>123.83638510372791</v>
      </c>
      <c r="H17" s="12">
        <f>0.9*((0.95*C$98+F16-10)*1.055-E16*F17-(1-E16)*10000)/E16</f>
        <v>1.175570785382273</v>
      </c>
      <c r="J17" s="12">
        <f t="shared" ref="J17:J80" si="4">B17*H17*(1.055^-A17)</f>
        <v>1.0537689349184109</v>
      </c>
    </row>
    <row r="18" spans="1:10">
      <c r="A18" s="42">
        <v>3</v>
      </c>
      <c r="B18" s="10">
        <f>B17*B$9*B$8^((B$5^(B$7+A17))*(B$5-1))</f>
        <v>0.99623821674361823</v>
      </c>
      <c r="C18" s="10">
        <f t="shared" si="1"/>
        <v>0.87300016616215137</v>
      </c>
      <c r="E18" s="10">
        <f t="shared" si="2"/>
        <v>0.99837653816669825</v>
      </c>
      <c r="F18" s="12">
        <f t="shared" si="3"/>
        <v>248.21617324914277</v>
      </c>
      <c r="H18" s="12">
        <f t="shared" ref="H18:H81" si="5">0.9*((0.95*C$98+F17-10)*1.055-E17*F18-(1-E17)*10000)/E17</f>
        <v>2.2644261168218316</v>
      </c>
      <c r="J18" s="12">
        <f t="shared" si="4"/>
        <v>1.9211619387625973</v>
      </c>
    </row>
    <row r="19" spans="1:10">
      <c r="A19" s="42">
        <v>4</v>
      </c>
      <c r="B19" s="10">
        <f t="shared" ref="B19:B82" si="6">B18*B$9*B$8^((B$5^(B$7+A18))*(B$5-1))</f>
        <v>0.9946208620218584</v>
      </c>
      <c r="C19" s="10">
        <f t="shared" si="1"/>
        <v>0.83405060642289119</v>
      </c>
      <c r="E19" s="10">
        <f t="shared" si="2"/>
        <v>0.99820264325485253</v>
      </c>
      <c r="F19" s="12">
        <f t="shared" si="3"/>
        <v>376.89299940781905</v>
      </c>
      <c r="H19" s="12">
        <f t="shared" si="5"/>
        <v>3.3860154564006941</v>
      </c>
      <c r="J19" s="12">
        <f t="shared" si="4"/>
        <v>2.7185458493786867</v>
      </c>
    </row>
    <row r="20" spans="1:10">
      <c r="A20" s="42">
        <v>5</v>
      </c>
      <c r="B20" s="10">
        <f t="shared" si="6"/>
        <v>0.99283317350663902</v>
      </c>
      <c r="C20" s="10">
        <f t="shared" si="1"/>
        <v>0.79670001908099775</v>
      </c>
      <c r="E20" s="10">
        <f t="shared" si="2"/>
        <v>0.99800722152883115</v>
      </c>
      <c r="F20" s="57">
        <f t="shared" si="3"/>
        <v>509.92598112710607</v>
      </c>
      <c r="H20" s="57">
        <f t="shared" si="5"/>
        <v>4.5467820142903959</v>
      </c>
      <c r="J20" s="12">
        <f t="shared" si="4"/>
        <v>3.4539664521891087</v>
      </c>
    </row>
    <row r="21" spans="1:10">
      <c r="A21" s="42">
        <v>6</v>
      </c>
      <c r="B21" s="10">
        <f t="shared" si="6"/>
        <v>0.99085467693301277</v>
      </c>
      <c r="C21" s="10">
        <f t="shared" si="1"/>
        <v>0.76087308366985029</v>
      </c>
      <c r="E21" s="10">
        <f t="shared" si="2"/>
        <v>0.99778761317702469</v>
      </c>
      <c r="F21" s="12">
        <f t="shared" si="3"/>
        <v>647.3647654293834</v>
      </c>
      <c r="H21" s="12">
        <f t="shared" si="5"/>
        <v>5.7473598754677946</v>
      </c>
      <c r="J21" s="12">
        <f t="shared" si="4"/>
        <v>4.1301288186709346</v>
      </c>
    </row>
    <row r="22" spans="1:10">
      <c r="A22" s="42">
        <v>7</v>
      </c>
      <c r="B22" s="10">
        <f t="shared" si="6"/>
        <v>0.98866252310228275</v>
      </c>
      <c r="C22" s="10">
        <f t="shared" si="1"/>
        <v>0.7264973570196962</v>
      </c>
      <c r="E22" s="10">
        <f t="shared" si="2"/>
        <v>0.99754083107300051</v>
      </c>
      <c r="F22" s="12">
        <f t="shared" si="3"/>
        <v>789.24827943313153</v>
      </c>
      <c r="H22" s="12">
        <f t="shared" si="5"/>
        <v>6.9883165786757679</v>
      </c>
      <c r="J22" s="12">
        <f t="shared" si="4"/>
        <v>4.7495605116980384</v>
      </c>
    </row>
    <row r="23" spans="1:10">
      <c r="A23" s="42">
        <v>8</v>
      </c>
      <c r="B23" s="10">
        <f t="shared" si="6"/>
        <v>0.9862312349461807</v>
      </c>
      <c r="C23" s="10">
        <f t="shared" si="1"/>
        <v>0.69350313616628356</v>
      </c>
      <c r="E23" s="10">
        <f t="shared" si="2"/>
        <v>0.99726352084580216</v>
      </c>
      <c r="F23" s="12">
        <f t="shared" si="3"/>
        <v>935.60341487919823</v>
      </c>
      <c r="H23" s="12">
        <f t="shared" si="5"/>
        <v>8.2701450288728324</v>
      </c>
      <c r="J23" s="12">
        <f t="shared" si="4"/>
        <v>5.3146198036604995</v>
      </c>
    </row>
    <row r="24" spans="1:10">
      <c r="A24" s="42">
        <v>9</v>
      </c>
      <c r="B24" s="10">
        <f t="shared" si="6"/>
        <v>0.98353243373053167</v>
      </c>
      <c r="C24" s="10">
        <f t="shared" si="1"/>
        <v>0.66182332946487443</v>
      </c>
      <c r="E24" s="10">
        <f t="shared" si="2"/>
        <v>0.99695191617142698</v>
      </c>
      <c r="F24" s="12">
        <f t="shared" si="3"/>
        <v>1086.4436527103412</v>
      </c>
      <c r="H24" s="12">
        <f t="shared" si="5"/>
        <v>9.593255307380355</v>
      </c>
      <c r="J24" s="12">
        <f t="shared" si="4"/>
        <v>5.8275036205973008</v>
      </c>
    </row>
    <row r="25" spans="1:10">
      <c r="A25" s="42">
        <v>10</v>
      </c>
      <c r="B25" s="10">
        <f t="shared" si="6"/>
        <v>0.98053454442440058</v>
      </c>
      <c r="C25" s="10">
        <f t="shared" si="1"/>
        <v>0.63139333634158878</v>
      </c>
      <c r="E25" s="10">
        <f t="shared" si="2"/>
        <v>0.99660178873805627</v>
      </c>
      <c r="F25" s="57">
        <f t="shared" si="3"/>
        <v>1241.7676359422424</v>
      </c>
      <c r="H25" s="57">
        <f t="shared" si="5"/>
        <v>10.957966505189509</v>
      </c>
      <c r="J25" s="12">
        <f t="shared" si="4"/>
        <v>6.2902552781397407</v>
      </c>
    </row>
    <row r="26" spans="1:10">
      <c r="A26" s="42">
        <v>11</v>
      </c>
      <c r="B26" s="10">
        <f t="shared" si="6"/>
        <v>0.9772024808928127</v>
      </c>
      <c r="C26" s="10">
        <f t="shared" si="1"/>
        <v>0.60215093626346083</v>
      </c>
      <c r="E26" s="10">
        <f t="shared" si="2"/>
        <v>0.99620839228149705</v>
      </c>
      <c r="F26" s="12">
        <f t="shared" si="3"/>
        <v>1401.5577014010762</v>
      </c>
      <c r="H26" s="12">
        <f t="shared" si="5"/>
        <v>12.364498732619438</v>
      </c>
      <c r="J26" s="12">
        <f t="shared" si="4"/>
        <v>6.7047720819544994</v>
      </c>
    </row>
    <row r="27" spans="1:10">
      <c r="A27" s="42">
        <v>12</v>
      </c>
      <c r="B27" s="10">
        <f t="shared" si="6"/>
        <v>0.97349731242371929</v>
      </c>
      <c r="C27" s="10">
        <f t="shared" si="1"/>
        <v>0.57403618768021114</v>
      </c>
      <c r="E27" s="10">
        <f t="shared" si="2"/>
        <v>0.99576640002728878</v>
      </c>
      <c r="F27" s="12">
        <f t="shared" si="3"/>
        <v>1565.7783834790644</v>
      </c>
      <c r="H27" s="12">
        <f t="shared" si="5"/>
        <v>13.812965489473015</v>
      </c>
      <c r="J27" s="12">
        <f t="shared" si="4"/>
        <v>7.0728128735697924</v>
      </c>
    </row>
    <row r="28" spans="1:10">
      <c r="A28" s="42">
        <v>13</v>
      </c>
      <c r="B28" s="10">
        <f t="shared" si="6"/>
        <v>0.96937591422840774</v>
      </c>
      <c r="C28" s="10">
        <f t="shared" si="1"/>
        <v>0.54699133788680654</v>
      </c>
      <c r="E28" s="10">
        <f t="shared" si="2"/>
        <v>0.99526983481230569</v>
      </c>
      <c r="F28" s="12">
        <f t="shared" si="3"/>
        <v>1734.3749058583278</v>
      </c>
      <c r="H28" s="12">
        <f t="shared" si="5"/>
        <v>15.303366614089446</v>
      </c>
      <c r="J28" s="12">
        <f t="shared" si="4"/>
        <v>7.3960056120855873</v>
      </c>
    </row>
    <row r="29" spans="1:10">
      <c r="A29" s="42">
        <v>14</v>
      </c>
      <c r="B29" s="10">
        <f t="shared" si="6"/>
        <v>0.96479060602513522</v>
      </c>
      <c r="C29" s="10">
        <f t="shared" si="1"/>
        <v>0.520960744978339</v>
      </c>
      <c r="E29" s="10">
        <f t="shared" si="2"/>
        <v>0.99471199109199138</v>
      </c>
      <c r="F29" s="12">
        <f t="shared" si="3"/>
        <v>1907.2716801456145</v>
      </c>
      <c r="H29" s="12">
        <f t="shared" si="5"/>
        <v>16.835582067231851</v>
      </c>
      <c r="J29" s="12">
        <f t="shared" si="4"/>
        <v>7.6758550933949667</v>
      </c>
    </row>
    <row r="30" spans="1:10">
      <c r="A30" s="42">
        <v>15</v>
      </c>
      <c r="B30" s="10">
        <f t="shared" si="6"/>
        <v>0.9596887847061113</v>
      </c>
      <c r="C30" s="10">
        <f t="shared" si="1"/>
        <v>0.49589081331882368</v>
      </c>
      <c r="E30" s="10">
        <f t="shared" si="2"/>
        <v>0.99408534797045489</v>
      </c>
      <c r="F30" s="12">
        <f t="shared" si="3"/>
        <v>2084.3708335029428</v>
      </c>
      <c r="H30" s="12">
        <f t="shared" si="5"/>
        <v>18.409366847488826</v>
      </c>
      <c r="J30" s="12">
        <f t="shared" si="4"/>
        <v>7.9137509212314043</v>
      </c>
    </row>
    <row r="31" spans="1:10">
      <c r="A31" s="42">
        <v>16</v>
      </c>
      <c r="B31" s="10">
        <f t="shared" si="6"/>
        <v>0.95401255948791763</v>
      </c>
      <c r="C31" s="10">
        <f t="shared" si="1"/>
        <v>0.47172994422334441</v>
      </c>
      <c r="E31" s="10">
        <f t="shared" si="2"/>
        <v>0.99338147232076623</v>
      </c>
      <c r="F31" s="12">
        <f t="shared" si="3"/>
        <v>2265.5507905924446</v>
      </c>
      <c r="H31" s="12">
        <f t="shared" si="5"/>
        <v>20.02434737868828</v>
      </c>
      <c r="J31" s="12">
        <f t="shared" si="4"/>
        <v>8.1109758586189749</v>
      </c>
    </row>
    <row r="32" spans="1:10">
      <c r="A32" s="42">
        <v>17</v>
      </c>
      <c r="B32" s="10">
        <f t="shared" si="6"/>
        <v>0.94769840095661018</v>
      </c>
      <c r="C32" s="10">
        <f t="shared" si="1"/>
        <v>0.44842850385682176</v>
      </c>
      <c r="E32" s="10">
        <f t="shared" si="2"/>
        <v>0.99259091099374386</v>
      </c>
      <c r="F32" s="12">
        <f t="shared" si="3"/>
        <v>2450.6649383997988</v>
      </c>
      <c r="H32" s="12">
        <f t="shared" si="5"/>
        <v>21.680019756474859</v>
      </c>
      <c r="J32" s="12">
        <f t="shared" si="4"/>
        <v>8.2687147040387821</v>
      </c>
    </row>
    <row r="33" spans="1:10">
      <c r="A33" s="42">
        <v>18</v>
      </c>
      <c r="B33" s="10">
        <f t="shared" si="6"/>
        <v>0.94067681915283607</v>
      </c>
      <c r="C33" s="10">
        <f t="shared" si="1"/>
        <v>0.42593881067828177</v>
      </c>
      <c r="E33" s="10">
        <f t="shared" si="2"/>
        <v>0.9917030710477801</v>
      </c>
      <c r="F33" s="12">
        <f t="shared" si="3"/>
        <v>2639.5404056620937</v>
      </c>
      <c r="H33" s="12">
        <f t="shared" si="5"/>
        <v>23.375750290385493</v>
      </c>
      <c r="J33" s="12">
        <f t="shared" si="4"/>
        <v>8.3880638536143675</v>
      </c>
    </row>
    <row r="34" spans="1:10">
      <c r="A34" s="42">
        <v>19</v>
      </c>
      <c r="B34" s="10">
        <f t="shared" si="6"/>
        <v>0.93287209041732477</v>
      </c>
      <c r="C34" s="10">
        <f t="shared" si="1"/>
        <v>0.4042151450986517</v>
      </c>
      <c r="E34" s="10">
        <f t="shared" si="2"/>
        <v>0.99070608687320849</v>
      </c>
      <c r="F34" s="12">
        <f t="shared" si="3"/>
        <v>2831.976991583887</v>
      </c>
      <c r="H34" s="12">
        <f t="shared" si="5"/>
        <v>25.110778829137079</v>
      </c>
      <c r="J34" s="12">
        <f t="shared" si="4"/>
        <v>8.4700417284633485</v>
      </c>
    </row>
    <row r="35" spans="1:10">
      <c r="A35" s="42">
        <v>20</v>
      </c>
      <c r="B35" s="10">
        <f t="shared" si="6"/>
        <v>0.92420205825057777</v>
      </c>
      <c r="C35" s="10">
        <f t="shared" si="1"/>
        <v>0.38321378435939851</v>
      </c>
      <c r="E35" s="10">
        <f t="shared" si="2"/>
        <v>0.98958667303686942</v>
      </c>
      <c r="F35" s="12">
        <f t="shared" si="3"/>
        <v>3027.7462811398318</v>
      </c>
      <c r="H35" s="12">
        <f t="shared" si="5"/>
        <v>26.884225409994333</v>
      </c>
      <c r="J35" s="12">
        <f t="shared" si="4"/>
        <v>8.5156002643814865</v>
      </c>
    </row>
    <row r="36" spans="1:10">
      <c r="A36" s="42">
        <v>21</v>
      </c>
      <c r="B36" s="10">
        <f t="shared" si="6"/>
        <v>0.91457804003801624</v>
      </c>
      <c r="C36" s="10">
        <f t="shared" si="1"/>
        <v>0.36289306595797655</v>
      </c>
      <c r="E36" s="10">
        <f t="shared" si="2"/>
        <v>0.98832996164181608</v>
      </c>
      <c r="F36" s="12">
        <f t="shared" si="3"/>
        <v>3226.5909863729153</v>
      </c>
      <c r="H36" s="12">
        <f t="shared" si="5"/>
        <v>28.695100827715251</v>
      </c>
      <c r="J36" s="12">
        <f t="shared" si="4"/>
        <v>8.5256376782274899</v>
      </c>
    </row>
    <row r="37" spans="1:10">
      <c r="A37" s="42">
        <v>22</v>
      </c>
      <c r="B37" s="10">
        <f t="shared" si="6"/>
        <v>0.90390487922921992</v>
      </c>
      <c r="C37" s="10">
        <f t="shared" si="1"/>
        <v>0.34321348321371109</v>
      </c>
      <c r="E37" s="10">
        <f t="shared" si="2"/>
        <v>0.98691932299128404</v>
      </c>
      <c r="F37" s="12">
        <f t="shared" si="3"/>
        <v>3428.2245545253413</v>
      </c>
      <c r="H37" s="12">
        <f t="shared" si="5"/>
        <v>30.542321774308025</v>
      </c>
      <c r="J37" s="12">
        <f t="shared" si="4"/>
        <v>8.5010127402483047</v>
      </c>
    </row>
    <row r="38" spans="1:10">
      <c r="A38" s="42">
        <v>23</v>
      </c>
      <c r="B38" s="10">
        <f t="shared" si="6"/>
        <v>0.89208119145742004</v>
      </c>
      <c r="C38" s="10">
        <f t="shared" si="1"/>
        <v>0.32413781674139341</v>
      </c>
      <c r="E38" s="10">
        <f t="shared" si="2"/>
        <v>0.98533616837508675</v>
      </c>
      <c r="F38" s="12">
        <f t="shared" si="3"/>
        <v>3632.3310843911672</v>
      </c>
      <c r="H38" s="12">
        <f t="shared" si="5"/>
        <v>32.424731257702298</v>
      </c>
      <c r="J38" s="12">
        <f t="shared" si="4"/>
        <v>8.4425607920828067</v>
      </c>
    </row>
    <row r="39" spans="1:10">
      <c r="A39" s="42">
        <v>24</v>
      </c>
      <c r="B39" s="10">
        <f t="shared" si="6"/>
        <v>0.87899986307013644</v>
      </c>
      <c r="C39" s="10">
        <f t="shared" si="1"/>
        <v>0.30563130562050789</v>
      </c>
      <c r="E39" s="10">
        <f t="shared" si="2"/>
        <v>0.98355973387330864</v>
      </c>
      <c r="F39" s="12">
        <f t="shared" si="3"/>
        <v>3838.5655917540084</v>
      </c>
      <c r="H39" s="12">
        <f t="shared" si="5"/>
        <v>34.341125065590575</v>
      </c>
      <c r="J39" s="12">
        <f t="shared" si="4"/>
        <v>8.3511117534269594</v>
      </c>
    </row>
    <row r="40" spans="1:10">
      <c r="A40" s="42">
        <v>25</v>
      </c>
      <c r="B40" s="10">
        <f t="shared" si="6"/>
        <v>0.86454887139593817</v>
      </c>
      <c r="C40" s="10">
        <f t="shared" si="1"/>
        <v>0.28766186183680253</v>
      </c>
      <c r="E40" s="10">
        <f t="shared" si="2"/>
        <v>0.98156684421275087</v>
      </c>
      <c r="F40" s="12">
        <f t="shared" si="3"/>
        <v>4046.5546629671135</v>
      </c>
      <c r="H40" s="12">
        <f t="shared" si="5"/>
        <v>36.290285100957071</v>
      </c>
      <c r="J40" s="12">
        <f t="shared" si="4"/>
        <v>8.2275103525646003</v>
      </c>
    </row>
    <row r="41" spans="1:10">
      <c r="A41" s="42">
        <v>26</v>
      </c>
      <c r="B41" s="10">
        <f t="shared" si="6"/>
        <v>0.84861250736380645</v>
      </c>
      <c r="C41" s="10">
        <f t="shared" si="1"/>
        <v>0.27020033102728674</v>
      </c>
      <c r="E41" s="10">
        <f t="shared" si="2"/>
        <v>0.97933165593649085</v>
      </c>
      <c r="F41" s="12">
        <f t="shared" si="3"/>
        <v>4255.8975324541434</v>
      </c>
      <c r="H41" s="12">
        <f t="shared" si="5"/>
        <v>38.271020479639759</v>
      </c>
      <c r="J41" s="12">
        <f t="shared" si="4"/>
        <v>8.0726387922144625</v>
      </c>
    </row>
    <row r="42" spans="1:10">
      <c r="A42" s="42">
        <v>27</v>
      </c>
      <c r="B42" s="10">
        <f t="shared" si="6"/>
        <v>0.83107309208501412</v>
      </c>
      <c r="C42" s="10">
        <f t="shared" si="1"/>
        <v>0.25322080154979976</v>
      </c>
      <c r="E42" s="10">
        <f t="shared" si="2"/>
        <v>0.97682537948166659</v>
      </c>
      <c r="F42" s="12">
        <f t="shared" si="3"/>
        <v>4466.1676149870473</v>
      </c>
      <c r="H42" s="12">
        <f t="shared" si="5"/>
        <v>40.282217350221401</v>
      </c>
      <c r="J42" s="12">
        <f t="shared" si="4"/>
        <v>7.8874420161566894</v>
      </c>
    </row>
    <row r="43" spans="1:10">
      <c r="A43" s="42">
        <v>28</v>
      </c>
      <c r="B43" s="10">
        <f t="shared" si="6"/>
        <v>0.81181328855294599</v>
      </c>
      <c r="C43" s="10">
        <f t="shared" si="1"/>
        <v>0.23670096226462681</v>
      </c>
      <c r="E43" s="10">
        <f t="shared" si="2"/>
        <v>0.97401598023683944</v>
      </c>
      <c r="F43" s="12">
        <f t="shared" si="3"/>
        <v>4676.9145168996702</v>
      </c>
      <c r="H43" s="12">
        <f t="shared" si="5"/>
        <v>42.322898476613283</v>
      </c>
      <c r="J43" s="12">
        <f t="shared" si="4"/>
        <v>7.6729556661547225</v>
      </c>
    </row>
    <row r="44" spans="1:10">
      <c r="A44" s="42">
        <v>29</v>
      </c>
      <c r="B44" s="10">
        <f t="shared" si="6"/>
        <v>0.79071911601918987</v>
      </c>
      <c r="C44" s="10">
        <f t="shared" si="1"/>
        <v>0.22062250696955368</v>
      </c>
      <c r="E44" s="10">
        <f t="shared" si="2"/>
        <v>0.97086785930691966</v>
      </c>
      <c r="F44" s="12">
        <f t="shared" si="3"/>
        <v>4887.6665418432485</v>
      </c>
      <c r="H44" s="12">
        <f t="shared" si="5"/>
        <v>44.392293719740707</v>
      </c>
      <c r="J44" s="12">
        <f t="shared" si="4"/>
        <v>7.4303367035335564</v>
      </c>
    </row>
    <row r="45" spans="1:10">
      <c r="A45" s="42">
        <v>30</v>
      </c>
      <c r="B45" s="10">
        <f t="shared" si="6"/>
        <v>0.76768377548261069</v>
      </c>
      <c r="C45" s="10">
        <f t="shared" si="1"/>
        <v>0.20497157995833168</v>
      </c>
      <c r="E45" s="10">
        <f t="shared" si="2"/>
        <v>0.9673415155980295</v>
      </c>
      <c r="F45" s="12">
        <f t="shared" si="3"/>
        <v>5097.933696274974</v>
      </c>
      <c r="H45" s="12">
        <f t="shared" si="5"/>
        <v>46.489922675067625</v>
      </c>
      <c r="J45" s="12">
        <f t="shared" si="4"/>
        <v>7.1608965047857351</v>
      </c>
    </row>
    <row r="46" spans="1:10">
      <c r="A46" s="42">
        <v>31</v>
      </c>
      <c r="B46" s="10">
        <f t="shared" si="6"/>
        <v>0.74261238687536602</v>
      </c>
      <c r="C46" s="10">
        <f t="shared" si="1"/>
        <v>0.18973925245111503</v>
      </c>
      <c r="E46" s="10">
        <f t="shared" si="2"/>
        <v>0.96339319200389884</v>
      </c>
      <c r="F46" s="12">
        <f t="shared" si="3"/>
        <v>5307.2111876739609</v>
      </c>
      <c r="H46" s="12">
        <f t="shared" si="5"/>
        <v>48.615690879037345</v>
      </c>
      <c r="J46" s="12">
        <f t="shared" si="4"/>
        <v>6.8661360142236481</v>
      </c>
    </row>
    <row r="47" spans="1:10">
      <c r="A47" s="42">
        <v>32</v>
      </c>
      <c r="B47" s="10">
        <f t="shared" si="6"/>
        <v>0.71542771781349312</v>
      </c>
      <c r="C47" s="10">
        <f t="shared" si="1"/>
        <v>0.17492201346154393</v>
      </c>
      <c r="E47" s="10">
        <f t="shared" si="2"/>
        <v>0.95897450999743117</v>
      </c>
      <c r="F47" s="12">
        <f t="shared" si="3"/>
        <v>5514.9833946848985</v>
      </c>
      <c r="H47" s="12">
        <f t="shared" si="5"/>
        <v>50.770001205454236</v>
      </c>
      <c r="J47" s="12">
        <f t="shared" si="4"/>
        <v>6.5477822373521537</v>
      </c>
    </row>
    <row r="48" spans="1:10">
      <c r="A48" s="42">
        <v>33</v>
      </c>
      <c r="B48" s="10">
        <f t="shared" si="6"/>
        <v>0.68607694512877504</v>
      </c>
      <c r="C48" s="10">
        <f t="shared" si="1"/>
        <v>0.16052225085841931</v>
      </c>
      <c r="E48" s="10">
        <f t="shared" si="2"/>
        <v>0.95403209888572427</v>
      </c>
      <c r="F48" s="12">
        <f t="shared" si="3"/>
        <v>5720.7282732993926</v>
      </c>
      <c r="H48" s="12">
        <f t="shared" si="5"/>
        <v>52.953882353555038</v>
      </c>
      <c r="J48" s="12">
        <f t="shared" si="4"/>
        <v>6.207824976243888</v>
      </c>
    </row>
    <row r="49" spans="1:10">
      <c r="A49" s="42">
        <v>34</v>
      </c>
      <c r="B49" s="10">
        <f t="shared" si="6"/>
        <v>0.6545394279583111</v>
      </c>
      <c r="C49" s="10">
        <f t="shared" si="1"/>
        <v>0.14654868890365408</v>
      </c>
      <c r="E49" s="10">
        <f t="shared" si="2"/>
        <v>0.94850722846612923</v>
      </c>
      <c r="F49" s="12">
        <f t="shared" si="3"/>
        <v>5923.9221472230292</v>
      </c>
      <c r="H49" s="12">
        <f t="shared" si="5"/>
        <v>55.169136710877744</v>
      </c>
      <c r="J49" s="12">
        <f t="shared" si="4"/>
        <v>5.8485522366706144</v>
      </c>
    </row>
    <row r="50" spans="1:10">
      <c r="A50" s="42">
        <v>35</v>
      </c>
      <c r="B50" s="10">
        <f t="shared" si="6"/>
        <v>0.62083537873454331</v>
      </c>
      <c r="C50" s="10">
        <f t="shared" si="1"/>
        <v>0.13301673755727267</v>
      </c>
      <c r="E50" s="10">
        <f t="shared" si="2"/>
        <v>0.94233545692875798</v>
      </c>
      <c r="F50" s="12">
        <f t="shared" si="3"/>
        <v>6124.0448142905107</v>
      </c>
      <c r="H50" s="12">
        <f t="shared" si="5"/>
        <v>57.418510392775239</v>
      </c>
      <c r="J50" s="12">
        <f t="shared" si="4"/>
        <v>5.4725821776375581</v>
      </c>
    </row>
    <row r="51" spans="1:10">
      <c r="A51" s="42">
        <v>36</v>
      </c>
      <c r="B51" s="10">
        <f t="shared" si="6"/>
        <v>0.5850351902973544</v>
      </c>
      <c r="C51" s="10">
        <f t="shared" si="1"/>
        <v>0.11994869680880885</v>
      </c>
      <c r="E51" s="10">
        <f t="shared" si="2"/>
        <v>0.93544630970094123</v>
      </c>
      <c r="F51" s="12">
        <f t="shared" si="3"/>
        <v>6320.5848848444211</v>
      </c>
      <c r="H51" s="12">
        <f t="shared" si="5"/>
        <v>59.705888964725496</v>
      </c>
      <c r="J51" s="12">
        <f t="shared" si="4"/>
        <v>5.0828888414953246</v>
      </c>
    </row>
    <row r="52" spans="1:10">
      <c r="A52" s="42">
        <v>37</v>
      </c>
      <c r="B52" s="10">
        <f t="shared" si="6"/>
        <v>0.54726900980884807</v>
      </c>
      <c r="C52" s="10">
        <f t="shared" si="1"/>
        <v>0.10737374716099264</v>
      </c>
      <c r="E52" s="10">
        <f t="shared" si="2"/>
        <v>0.92776300964111624</v>
      </c>
      <c r="F52" s="12">
        <f t="shared" si="3"/>
        <v>6513.0452531426636</v>
      </c>
      <c r="H52" s="12">
        <f t="shared" si="5"/>
        <v>62.036523306666773</v>
      </c>
      <c r="J52" s="12">
        <f t="shared" si="4"/>
        <v>4.68281823029018</v>
      </c>
    </row>
    <row r="53" spans="1:10">
      <c r="A53" s="42">
        <v>38</v>
      </c>
      <c r="B53" s="10">
        <f t="shared" si="6"/>
        <v>0.50773594362357044</v>
      </c>
      <c r="C53" s="10">
        <f t="shared" si="1"/>
        <v>9.532764672012134E-2</v>
      </c>
      <c r="E53" s="10">
        <f t="shared" si="2"/>
        <v>0.91920228468149834</v>
      </c>
      <c r="F53" s="12">
        <f t="shared" si="3"/>
        <v>6700.9485899268739</v>
      </c>
      <c r="H53" s="12">
        <f t="shared" si="5"/>
        <v>64.417291363772435</v>
      </c>
      <c r="J53" s="12">
        <f t="shared" si="4"/>
        <v>4.2760906415531439</v>
      </c>
    </row>
    <row r="54" spans="1:10">
      <c r="A54" s="42">
        <v>39</v>
      </c>
      <c r="B54" s="10">
        <f t="shared" si="6"/>
        <v>0.46671203939370237</v>
      </c>
      <c r="C54" s="10">
        <f t="shared" si="1"/>
        <v>8.3852048476982091E-2</v>
      </c>
      <c r="E54" s="10">
        <f t="shared" si="2"/>
        <v>0.90967428579499143</v>
      </c>
      <c r="F54" s="12">
        <f t="shared" si="3"/>
        <v>6883.8427341124234</v>
      </c>
      <c r="H54" s="12">
        <f t="shared" si="5"/>
        <v>66.857003255745454</v>
      </c>
      <c r="J54" s="12">
        <f t="shared" si="4"/>
        <v>3.8667846391777463</v>
      </c>
    </row>
    <row r="55" spans="1:10">
      <c r="A55" s="42">
        <v>40</v>
      </c>
      <c r="B55" s="10">
        <f t="shared" si="6"/>
        <v>0.42455594110739009</v>
      </c>
      <c r="C55" s="10">
        <f t="shared" si="1"/>
        <v>7.2993351493536543E-2</v>
      </c>
      <c r="E55" s="10">
        <f t="shared" si="2"/>
        <v>0.89908265609414018</v>
      </c>
      <c r="F55" s="12">
        <f t="shared" si="3"/>
        <v>7061.3058549626085</v>
      </c>
      <c r="H55" s="12">
        <f t="shared" si="5"/>
        <v>69.366759534335685</v>
      </c>
      <c r="J55" s="12">
        <f t="shared" si="4"/>
        <v>3.4592977486842407</v>
      </c>
    </row>
    <row r="56" spans="1:10">
      <c r="A56" s="42">
        <v>41</v>
      </c>
      <c r="B56" s="10">
        <f t="shared" si="6"/>
        <v>0.38171088319137964</v>
      </c>
      <c r="C56" s="10">
        <f t="shared" si="1"/>
        <v>6.2801010849781833E-2</v>
      </c>
      <c r="E56" s="10">
        <f t="shared" si="2"/>
        <v>0.88732480097055166</v>
      </c>
      <c r="F56" s="12">
        <f t="shared" si="3"/>
        <v>7232.9512538078834</v>
      </c>
      <c r="H56" s="12">
        <f t="shared" si="5"/>
        <v>71.960375485417373</v>
      </c>
      <c r="J56" s="12">
        <f t="shared" si="4"/>
        <v>3.0582791111097096</v>
      </c>
    </row>
    <row r="57" spans="1:10">
      <c r="A57" s="42">
        <v>42</v>
      </c>
      <c r="B57" s="10">
        <f t="shared" si="6"/>
        <v>0.33870153345608445</v>
      </c>
      <c r="C57" s="10">
        <f t="shared" si="1"/>
        <v>5.3325257849791523E-2</v>
      </c>
      <c r="E57" s="10">
        <f t="shared" si="2"/>
        <v>0.87429241936491831</v>
      </c>
      <c r="F57" s="12">
        <f t="shared" si="3"/>
        <v>7398.4316769348716</v>
      </c>
      <c r="H57" s="12">
        <f t="shared" si="5"/>
        <v>74.654888539250038</v>
      </c>
      <c r="J57" s="12">
        <f t="shared" si="4"/>
        <v>2.6685301235441403</v>
      </c>
    </row>
    <row r="58" spans="1:10">
      <c r="A58" s="42">
        <v>43</v>
      </c>
      <c r="B58" s="10">
        <f t="shared" si="6"/>
        <v>0.29612418312792788</v>
      </c>
      <c r="C58" s="10">
        <f t="shared" si="1"/>
        <v>4.4614228419858681E-2</v>
      </c>
      <c r="E58" s="10">
        <f t="shared" si="2"/>
        <v>0.85987236728005789</v>
      </c>
      <c r="F58" s="12">
        <f t="shared" si="3"/>
        <v>7557.4430190546809</v>
      </c>
      <c r="H58" s="12">
        <f t="shared" si="5"/>
        <v>77.471171455325944</v>
      </c>
      <c r="J58" s="12">
        <f t="shared" si="4"/>
        <v>2.2948707709784029</v>
      </c>
    </row>
    <row r="59" spans="1:10">
      <c r="A59" s="42">
        <v>44</v>
      </c>
      <c r="B59" s="10">
        <f t="shared" si="6"/>
        <v>0.25462900235508473</v>
      </c>
      <c r="C59" s="10">
        <f t="shared" si="1"/>
        <v>3.6710566704073813E-2</v>
      </c>
      <c r="E59" s="10">
        <f t="shared" si="2"/>
        <v>0.84394793604614426</v>
      </c>
      <c r="F59" s="12">
        <f t="shared" si="3"/>
        <v>7709.7273098546448</v>
      </c>
      <c r="H59" s="12">
        <f t="shared" si="5"/>
        <v>80.434681510428703</v>
      </c>
      <c r="J59" s="12">
        <f t="shared" si="4"/>
        <v>1.9419721220320858</v>
      </c>
    </row>
    <row r="60" spans="1:10">
      <c r="A60" s="42">
        <v>45</v>
      </c>
      <c r="B60" s="10">
        <f t="shared" si="6"/>
        <v>0.21489362099506257</v>
      </c>
      <c r="C60" s="10">
        <f t="shared" si="1"/>
        <v>2.9647662201901816E-2</v>
      </c>
      <c r="E60" s="10">
        <f t="shared" si="2"/>
        <v>0.82640063883419279</v>
      </c>
      <c r="F60" s="12">
        <f t="shared" si="3"/>
        <v>7855.0748943271128</v>
      </c>
      <c r="H60" s="12">
        <f t="shared" si="5"/>
        <v>83.576386180216531</v>
      </c>
      <c r="J60" s="12">
        <f t="shared" si="4"/>
        <v>1.6141594343581387</v>
      </c>
    </row>
    <row r="61" spans="1:10">
      <c r="A61" s="42">
        <v>46</v>
      </c>
      <c r="B61" s="10">
        <f t="shared" si="6"/>
        <v>0.17758822567171262</v>
      </c>
      <c r="C61" s="10">
        <f t="shared" si="1"/>
        <v>2.3445786587169393E-2</v>
      </c>
      <c r="E61" s="10">
        <f t="shared" si="2"/>
        <v>0.80711260827373532</v>
      </c>
      <c r="F61" s="12">
        <f t="shared" si="3"/>
        <v>7993.3257403190564</v>
      </c>
      <c r="H61" s="12">
        <f t="shared" si="5"/>
        <v>86.93391982439654</v>
      </c>
      <c r="J61" s="12">
        <f t="shared" si="4"/>
        <v>1.315195418223972</v>
      </c>
    </row>
    <row r="62" spans="1:10">
      <c r="A62" s="42">
        <v>47</v>
      </c>
      <c r="B62" s="10">
        <f t="shared" si="6"/>
        <v>0.1433336960206007</v>
      </c>
      <c r="C62" s="10">
        <f t="shared" si="1"/>
        <v>1.8108507143923109E-2</v>
      </c>
      <c r="E62" s="10">
        <f t="shared" si="2"/>
        <v>0.78596971397993143</v>
      </c>
      <c r="F62" s="12">
        <f t="shared" si="3"/>
        <v>8124.3698332148278</v>
      </c>
      <c r="H62" s="12">
        <f t="shared" si="5"/>
        <v>90.553045193394183</v>
      </c>
      <c r="J62" s="12">
        <f t="shared" si="4"/>
        <v>1.0480590602619009</v>
      </c>
    </row>
    <row r="63" spans="1:10">
      <c r="A63" s="42">
        <v>48</v>
      </c>
      <c r="B63" s="10">
        <f t="shared" si="6"/>
        <v>0.11265594406499797</v>
      </c>
      <c r="C63" s="10">
        <f t="shared" si="1"/>
        <v>1.3619845148816074E-2</v>
      </c>
      <c r="E63" s="10">
        <f t="shared" si="2"/>
        <v>0.76286550883992055</v>
      </c>
      <c r="F63" s="12">
        <f t="shared" si="3"/>
        <v>8248.1466467422215</v>
      </c>
      <c r="H63" s="12">
        <f t="shared" si="5"/>
        <v>94.489520408070263</v>
      </c>
      <c r="J63" s="12">
        <f t="shared" si="4"/>
        <v>0.81474122861143028</v>
      </c>
    </row>
    <row r="64" spans="1:10">
      <c r="A64" s="42">
        <v>49</v>
      </c>
      <c r="B64" s="10">
        <f t="shared" si="6"/>
        <v>8.5941334092986307E-2</v>
      </c>
      <c r="C64" s="10">
        <f t="shared" si="1"/>
        <v>9.9426890906913843E-3</v>
      </c>
      <c r="E64" s="10">
        <f t="shared" si="2"/>
        <v>0.73770610370689427</v>
      </c>
      <c r="F64" s="12">
        <f t="shared" si="3"/>
        <v>8364.6437092747619</v>
      </c>
      <c r="H64" s="12">
        <f t="shared" si="5"/>
        <v>98.81150973204619</v>
      </c>
      <c r="J64" s="12">
        <f t="shared" si="4"/>
        <v>0.6160828279947117</v>
      </c>
    </row>
    <row r="65" spans="1:10">
      <c r="A65" s="42">
        <v>50</v>
      </c>
      <c r="B65" s="10">
        <f t="shared" si="6"/>
        <v>6.3399446721109406E-2</v>
      </c>
      <c r="C65" s="10">
        <f t="shared" si="1"/>
        <v>7.0189305545100356E-3</v>
      </c>
      <c r="E65" s="10">
        <f t="shared" si="2"/>
        <v>0.71041604742072051</v>
      </c>
      <c r="F65" s="12">
        <f t="shared" si="3"/>
        <v>8473.8943152902521</v>
      </c>
      <c r="H65" s="12">
        <f t="shared" si="5"/>
        <v>103.60272990792195</v>
      </c>
      <c r="J65" s="12">
        <f t="shared" si="4"/>
        <v>0.45168293757494782</v>
      </c>
    </row>
    <row r="66" spans="1:10">
      <c r="A66" s="42">
        <v>51</v>
      </c>
      <c r="B66" s="10">
        <f t="shared" si="6"/>
        <v>4.5039984348271105E-2</v>
      </c>
      <c r="C66" s="10">
        <f t="shared" si="1"/>
        <v>4.7716372264646366E-3</v>
      </c>
      <c r="E66" s="10">
        <f t="shared" si="2"/>
        <v>0.68094524759518837</v>
      </c>
      <c r="F66" s="12">
        <f t="shared" si="3"/>
        <v>8575.9744604602565</v>
      </c>
      <c r="H66" s="12">
        <f t="shared" si="5"/>
        <v>108.96660055606219</v>
      </c>
      <c r="J66" s="12">
        <f t="shared" si="4"/>
        <v>0.31990143776054608</v>
      </c>
    </row>
    <row r="67" spans="1:10">
      <c r="A67" s="42">
        <v>52</v>
      </c>
      <c r="B67" s="10">
        <f t="shared" si="6"/>
        <v>3.0669763293716876E-2</v>
      </c>
      <c r="C67" s="10">
        <f t="shared" si="1"/>
        <v>3.1093049690041922E-3</v>
      </c>
      <c r="E67" s="10">
        <f t="shared" si="2"/>
        <v>0.64927690140937733</v>
      </c>
      <c r="F67" s="12">
        <f t="shared" si="3"/>
        <v>8670.9991049657438</v>
      </c>
      <c r="H67" s="12">
        <f t="shared" si="5"/>
        <v>115.03177862107141</v>
      </c>
      <c r="J67" s="12">
        <f t="shared" si="4"/>
        <v>0.21797182384525227</v>
      </c>
    </row>
    <row r="68" spans="1:10">
      <c r="A68" s="42">
        <v>53</v>
      </c>
      <c r="B68" s="10">
        <f t="shared" si="6"/>
        <v>1.9913168878303553E-2</v>
      </c>
      <c r="C68" s="10">
        <f t="shared" si="1"/>
        <v>1.931865929006528E-3</v>
      </c>
      <c r="E68" s="10">
        <f t="shared" si="2"/>
        <v>0.61543630846851738</v>
      </c>
      <c r="F68" s="12">
        <f t="shared" si="3"/>
        <v>8759.1178921254996</v>
      </c>
      <c r="H68" s="12">
        <f t="shared" si="5"/>
        <v>121.95962093076295</v>
      </c>
      <c r="J68" s="12">
        <f t="shared" si="4"/>
        <v>0.14222504575325509</v>
      </c>
    </row>
    <row r="69" spans="1:10">
      <c r="A69" s="42">
        <v>54</v>
      </c>
      <c r="B69" s="10">
        <f t="shared" si="6"/>
        <v>1.2255287144373307E-2</v>
      </c>
      <c r="C69" s="10">
        <f t="shared" si="1"/>
        <v>1.1377420438314651E-3</v>
      </c>
      <c r="E69" s="10">
        <f t="shared" si="2"/>
        <v>0.5795003040730462</v>
      </c>
      <c r="F69" s="12">
        <f t="shared" si="3"/>
        <v>8840.5104677543513</v>
      </c>
      <c r="H69" s="12">
        <f t="shared" si="5"/>
        <v>129.95436369110388</v>
      </c>
      <c r="J69" s="12">
        <f t="shared" si="4"/>
        <v>8.8405958717551594E-2</v>
      </c>
    </row>
    <row r="70" spans="1:10">
      <c r="A70" s="42">
        <v>55</v>
      </c>
      <c r="B70" s="10">
        <f t="shared" si="6"/>
        <v>7.101942626666826E-3</v>
      </c>
      <c r="C70" s="10">
        <f t="shared" si="1"/>
        <v>6.3093000991102689E-4</v>
      </c>
      <c r="E70" s="10">
        <f t="shared" si="2"/>
        <v>0.54160687758025527</v>
      </c>
      <c r="F70" s="12">
        <f t="shared" si="3"/>
        <v>8915.3815597967805</v>
      </c>
      <c r="H70" s="12">
        <f t="shared" si="5"/>
        <v>139.27717806669941</v>
      </c>
      <c r="J70" s="12">
        <f t="shared" si="4"/>
        <v>5.2044140244164636E-2</v>
      </c>
    </row>
    <row r="71" spans="1:10">
      <c r="A71" s="42">
        <v>56</v>
      </c>
      <c r="B71" s="10">
        <f t="shared" si="6"/>
        <v>3.8464609707831365E-3</v>
      </c>
      <c r="C71" s="10">
        <f t="shared" si="1"/>
        <v>3.2700098817185731E-4</v>
      </c>
      <c r="E71" s="10">
        <f t="shared" si="2"/>
        <v>0.5019643281258378</v>
      </c>
      <c r="F71" s="12">
        <f t="shared" si="3"/>
        <v>8983.9559881971472</v>
      </c>
      <c r="H71" s="12">
        <f t="shared" si="5"/>
        <v>150.26582976950391</v>
      </c>
      <c r="J71" s="12">
        <f t="shared" si="4"/>
        <v>2.8825962976496727E-2</v>
      </c>
    </row>
    <row r="72" spans="1:10">
      <c r="A72" s="42">
        <v>57</v>
      </c>
      <c r="B72" s="10">
        <f t="shared" si="6"/>
        <v>1.9307861968614151E-3</v>
      </c>
      <c r="C72" s="10">
        <f t="shared" si="1"/>
        <v>1.5707447973604922E-4</v>
      </c>
      <c r="E72" s="10">
        <f t="shared" si="2"/>
        <v>0.46085906766899043</v>
      </c>
      <c r="F72" s="12">
        <f t="shared" si="3"/>
        <v>9046.4737826583405</v>
      </c>
      <c r="H72" s="12">
        <f t="shared" si="5"/>
        <v>163.36255811292753</v>
      </c>
      <c r="J72" s="12">
        <f t="shared" si="4"/>
        <v>1.4910647791476304E-2</v>
      </c>
    </row>
    <row r="73" spans="1:10">
      <c r="A73" s="42">
        <v>58</v>
      </c>
      <c r="B73" s="10">
        <f t="shared" si="6"/>
        <v>8.8982032655370751E-4</v>
      </c>
      <c r="C73" s="10">
        <f t="shared" si="1"/>
        <v>6.9271960082054908E-5</v>
      </c>
      <c r="E73" s="10">
        <f t="shared" si="2"/>
        <v>0.41866092961144336</v>
      </c>
      <c r="F73" s="12">
        <f t="shared" si="3"/>
        <v>9103.1855922531504</v>
      </c>
      <c r="H73" s="12">
        <f t="shared" si="5"/>
        <v>179.15419846642908</v>
      </c>
      <c r="J73" s="12">
        <f t="shared" si="4"/>
        <v>7.1430987458401601E-3</v>
      </c>
    </row>
    <row r="74" spans="1:10">
      <c r="A74" s="42">
        <v>59</v>
      </c>
      <c r="B74" s="10">
        <f t="shared" si="6"/>
        <v>3.7253300510213327E-4</v>
      </c>
      <c r="C74" s="10">
        <f t="shared" si="1"/>
        <v>2.7752596367425747E-5</v>
      </c>
      <c r="E74" s="10">
        <f t="shared" si="2"/>
        <v>0.37582461629586245</v>
      </c>
      <c r="F74" s="12">
        <f t="shared" si="3"/>
        <v>9154.3485771926735</v>
      </c>
      <c r="H74" s="12">
        <f t="shared" si="5"/>
        <v>198.43084769739423</v>
      </c>
      <c r="J74" s="12">
        <f t="shared" si="4"/>
        <v>3.139632565040336E-3</v>
      </c>
    </row>
    <row r="75" spans="1:10">
      <c r="A75" s="42">
        <v>60</v>
      </c>
      <c r="B75" s="10">
        <f t="shared" si="6"/>
        <v>1.4000707370005381E-4</v>
      </c>
      <c r="C75" s="10">
        <f t="shared" si="1"/>
        <v>9.98096543636529E-6</v>
      </c>
      <c r="E75" s="10">
        <f t="shared" si="2"/>
        <v>0.33288577560465443</v>
      </c>
      <c r="F75" s="12">
        <f t="shared" si="3"/>
        <v>9200.2229803347254</v>
      </c>
      <c r="H75" s="12">
        <f t="shared" si="5"/>
        <v>222.27311996846024</v>
      </c>
      <c r="J75" s="12">
        <f t="shared" si="4"/>
        <v>1.2528219275516888E-3</v>
      </c>
    </row>
    <row r="76" spans="1:10">
      <c r="A76" s="42">
        <v>61</v>
      </c>
      <c r="B76" s="10">
        <f t="shared" si="6"/>
        <v>4.660636331878043E-5</v>
      </c>
      <c r="C76" s="10">
        <f t="shared" si="1"/>
        <v>3.1794463354714904E-6</v>
      </c>
      <c r="E76" s="10">
        <f t="shared" si="2"/>
        <v>0.29045021009832261</v>
      </c>
      <c r="F76" s="12">
        <f t="shared" si="3"/>
        <v>9241.0695837164603</v>
      </c>
      <c r="H76" s="12">
        <f t="shared" si="5"/>
        <v>252.18434011133675</v>
      </c>
      <c r="J76" s="12">
        <f t="shared" si="4"/>
        <v>4.4850087371187223E-4</v>
      </c>
    </row>
    <row r="77" spans="1:10">
      <c r="A77" s="42">
        <v>62</v>
      </c>
      <c r="B77" s="10">
        <f t="shared" si="6"/>
        <v>1.3536828017858531E-5</v>
      </c>
      <c r="C77" s="10">
        <f t="shared" si="1"/>
        <v>8.8370416854931737E-7</v>
      </c>
      <c r="E77" s="10">
        <f t="shared" si="2"/>
        <v>0.24917498035300314</v>
      </c>
      <c r="F77" s="12">
        <f t="shared" si="3"/>
        <v>9277.148260111353</v>
      </c>
      <c r="H77" s="12">
        <f t="shared" si="5"/>
        <v>290.29484624991119</v>
      </c>
      <c r="J77" s="12">
        <f t="shared" si="4"/>
        <v>1.421358855720302E-4</v>
      </c>
    </row>
    <row r="78" spans="1:10">
      <c r="A78" s="42">
        <v>63</v>
      </c>
      <c r="B78" s="10">
        <f t="shared" si="6"/>
        <v>3.3730388553918821E-6</v>
      </c>
      <c r="C78" s="10">
        <f t="shared" si="1"/>
        <v>2.1071480271401253E-7</v>
      </c>
      <c r="E78" s="10">
        <f t="shared" si="2"/>
        <v>0.20974075640223552</v>
      </c>
      <c r="F78" s="12">
        <f t="shared" si="3"/>
        <v>9308.7178229374877</v>
      </c>
      <c r="H78" s="12">
        <f t="shared" si="5"/>
        <v>339.6846146085374</v>
      </c>
      <c r="J78" s="12">
        <f t="shared" si="4"/>
        <v>3.9281879931691685E-5</v>
      </c>
    </row>
    <row r="79" spans="1:10">
      <c r="A79" s="42">
        <v>64</v>
      </c>
      <c r="B79" s="10">
        <f t="shared" si="6"/>
        <v>7.0746372090402408E-7</v>
      </c>
      <c r="C79" s="10">
        <f t="shared" si="1"/>
        <v>4.2292327374530951E-8</v>
      </c>
      <c r="E79" s="10">
        <f t="shared" si="2"/>
        <v>0.17281576109639721</v>
      </c>
      <c r="F79" s="12">
        <f t="shared" si="3"/>
        <v>9336.0373437981089</v>
      </c>
      <c r="H79" s="12">
        <f t="shared" si="5"/>
        <v>404.90477241279888</v>
      </c>
      <c r="J79" s="12">
        <f t="shared" si="4"/>
        <v>9.3089276082128824E-6</v>
      </c>
    </row>
    <row r="80" spans="1:10">
      <c r="A80" s="42">
        <v>65</v>
      </c>
      <c r="B80" s="10">
        <f t="shared" si="6"/>
        <v>1.2226088137611805E-7</v>
      </c>
      <c r="C80" s="10">
        <f t="shared" ref="C80:C95" si="7">B80*(1.045^-A80)</f>
        <v>6.9940485586292443E-9</v>
      </c>
      <c r="E80" s="10">
        <f>B81/B80</f>
        <v>0.13901303690075226</v>
      </c>
      <c r="F80" s="12">
        <f t="shared" si="3"/>
        <v>9359.3690197416799</v>
      </c>
      <c r="H80" s="12">
        <f t="shared" si="5"/>
        <v>492.84225225830096</v>
      </c>
      <c r="J80" s="12">
        <f t="shared" si="4"/>
        <v>1.8560325130280414E-6</v>
      </c>
    </row>
    <row r="81" spans="1:10">
      <c r="A81" s="42">
        <v>66</v>
      </c>
      <c r="B81" s="10">
        <f t="shared" si="6"/>
        <v>1.6995856414256791E-8</v>
      </c>
      <c r="C81" s="10">
        <f t="shared" si="7"/>
        <v>9.3039610561376122E-10</v>
      </c>
      <c r="E81" s="10">
        <f>B82/B81</f>
        <v>0.10884444381899633</v>
      </c>
      <c r="F81" s="12">
        <f t="shared" ref="F81:F94" si="8">(E81*F82+(1-E81)*10000)/(1+B$6) +10-0.95*C$98</f>
        <v>9378.9824969015208</v>
      </c>
      <c r="H81" s="12">
        <f t="shared" si="5"/>
        <v>614.19343042573655</v>
      </c>
      <c r="J81" s="12">
        <f t="shared" ref="J81:J95" si="9">B81*H81*(1.055^-A81)</f>
        <v>3.0477959272228586E-7</v>
      </c>
    </row>
    <row r="82" spans="1:10">
      <c r="A82" s="42">
        <v>67</v>
      </c>
      <c r="B82" s="10">
        <f t="shared" si="6"/>
        <v>1.8499045386373018E-9</v>
      </c>
      <c r="C82" s="10">
        <f t="shared" si="7"/>
        <v>9.6907604446784694E-11</v>
      </c>
      <c r="E82" s="10">
        <f>B83/B82</f>
        <v>8.2676501105682809E-2</v>
      </c>
      <c r="F82" s="12">
        <f t="shared" si="8"/>
        <v>9395.1602568553189</v>
      </c>
      <c r="H82" s="12">
        <f t="shared" ref="H82:H95" si="10">0.9*((0.95*C$98+F81-10)*1.055-E81*F82-(1-E81)*10000)/E81</f>
        <v>786.0522071727404</v>
      </c>
      <c r="J82" s="12">
        <f t="shared" si="9"/>
        <v>4.024258906917815E-8</v>
      </c>
    </row>
    <row r="83" spans="1:10">
      <c r="A83" s="42">
        <v>68</v>
      </c>
      <c r="B83" s="10">
        <f t="shared" ref="B83:B95" si="11">B82*B$9*B$8^((B$5^(B$7+A82))*(B$5-1))</f>
        <v>1.5294363463405452E-10</v>
      </c>
      <c r="C83" s="10">
        <f t="shared" si="7"/>
        <v>7.6669681016207349E-12</v>
      </c>
      <c r="E83" s="10">
        <f>B84/B83</f>
        <v>6.0694496839102385E-2</v>
      </c>
      <c r="F83" s="12">
        <f t="shared" si="8"/>
        <v>9408.203230226869</v>
      </c>
      <c r="H83" s="12">
        <f t="shared" si="10"/>
        <v>1036.6067019750185</v>
      </c>
      <c r="J83" s="12">
        <f t="shared" si="9"/>
        <v>4.1588969939114151E-9</v>
      </c>
    </row>
    <row r="84" spans="1:10">
      <c r="A84" s="42">
        <v>69</v>
      </c>
      <c r="B84" s="10">
        <f t="shared" si="11"/>
        <v>9.2828369488574522E-12</v>
      </c>
      <c r="C84" s="10">
        <f t="shared" si="7"/>
        <v>4.4530408728164453E-13</v>
      </c>
      <c r="E84" s="10">
        <f>B85/B84</f>
        <v>4.2881668792499966E-2</v>
      </c>
      <c r="F84" s="12">
        <f t="shared" si="8"/>
        <v>9418.4352625775718</v>
      </c>
      <c r="H84" s="12">
        <f t="shared" si="10"/>
        <v>1413.973364501971</v>
      </c>
      <c r="J84" s="12">
        <f t="shared" si="9"/>
        <v>3.2636399156192342E-10</v>
      </c>
    </row>
    <row r="85" spans="1:10">
      <c r="A85" s="42">
        <v>70</v>
      </c>
      <c r="B85" s="10">
        <f t="shared" si="11"/>
        <v>3.9806353949568621E-13</v>
      </c>
      <c r="C85" s="10">
        <f t="shared" si="7"/>
        <v>1.8273093189242088E-14</v>
      </c>
      <c r="E85" s="10">
        <f t="shared" ref="E85:E94" si="12">B86/B85</f>
        <v>2.9019185172639624E-2</v>
      </c>
      <c r="F85" s="12">
        <f t="shared" si="8"/>
        <v>9426.2045763704991</v>
      </c>
      <c r="H85" s="12">
        <f t="shared" si="10"/>
        <v>2003.4782370345272</v>
      </c>
      <c r="J85" s="12">
        <f t="shared" si="9"/>
        <v>1.8795974848625061E-11</v>
      </c>
    </row>
    <row r="86" spans="1:10">
      <c r="A86" s="42">
        <v>71</v>
      </c>
      <c r="B86" s="10">
        <f t="shared" si="11"/>
        <v>1.1551479563101664E-14</v>
      </c>
      <c r="C86" s="10">
        <f t="shared" si="7"/>
        <v>5.0743566979475221E-16</v>
      </c>
      <c r="E86" s="10">
        <f t="shared" si="12"/>
        <v>1.8709838028203633E-2</v>
      </c>
      <c r="F86" s="12">
        <f t="shared" si="8"/>
        <v>9431.8802440852178</v>
      </c>
      <c r="H86" s="12">
        <f t="shared" si="10"/>
        <v>2962.950665434274</v>
      </c>
      <c r="J86" s="12">
        <f t="shared" si="9"/>
        <v>7.6460546961607054E-13</v>
      </c>
    </row>
    <row r="87" spans="1:10">
      <c r="A87" s="42">
        <v>72</v>
      </c>
      <c r="B87" s="10">
        <f t="shared" si="11"/>
        <v>2.161263116117366E-16</v>
      </c>
      <c r="C87" s="10">
        <f t="shared" si="7"/>
        <v>9.0852049680314248E-18</v>
      </c>
      <c r="E87" s="10">
        <f t="shared" si="12"/>
        <v>1.1424009584977617E-2</v>
      </c>
      <c r="F87" s="12">
        <f t="shared" si="8"/>
        <v>9435.8422761686525</v>
      </c>
      <c r="H87" s="12">
        <f t="shared" si="10"/>
        <v>4598.3025025323886</v>
      </c>
      <c r="J87" s="12">
        <f t="shared" si="9"/>
        <v>2.1043989988619059E-14</v>
      </c>
    </row>
    <row r="88" spans="1:10">
      <c r="A88" s="42">
        <v>73</v>
      </c>
      <c r="B88" s="10">
        <f t="shared" si="11"/>
        <v>2.4690290554183381E-18</v>
      </c>
      <c r="C88" s="10">
        <f t="shared" si="7"/>
        <v>9.9320065680648112E-20</v>
      </c>
      <c r="E88" s="10">
        <f t="shared" si="12"/>
        <v>6.561451267938008E-3</v>
      </c>
      <c r="F88" s="12">
        <f t="shared" si="8"/>
        <v>9438.4654476752494</v>
      </c>
      <c r="H88" s="12">
        <f t="shared" si="10"/>
        <v>7534.0582197162039</v>
      </c>
      <c r="J88" s="12">
        <f t="shared" si="9"/>
        <v>3.733581357498193E-16</v>
      </c>
    </row>
    <row r="89" spans="1:10">
      <c r="A89" s="42">
        <v>74</v>
      </c>
      <c r="B89" s="10">
        <f t="shared" si="11"/>
        <v>1.6200413826250436E-20</v>
      </c>
      <c r="C89" s="10">
        <f t="shared" si="7"/>
        <v>6.2362083338944957E-22</v>
      </c>
      <c r="E89" s="10">
        <f t="shared" si="12"/>
        <v>3.5181936771553112E-3</v>
      </c>
      <c r="F89" s="12">
        <f t="shared" si="8"/>
        <v>9440.0991893951959</v>
      </c>
      <c r="H89" s="12">
        <f t="shared" si="10"/>
        <v>13120.993869155232</v>
      </c>
      <c r="J89" s="12">
        <f t="shared" si="9"/>
        <v>4.0439970308113895E-18</v>
      </c>
    </row>
    <row r="90" spans="1:10">
      <c r="A90" s="42">
        <v>75</v>
      </c>
      <c r="B90" s="10">
        <f t="shared" si="11"/>
        <v>5.6996193490813771E-23</v>
      </c>
      <c r="C90" s="10">
        <f t="shared" si="7"/>
        <v>2.0995395913618063E-24</v>
      </c>
      <c r="E90" s="10">
        <f t="shared" si="12"/>
        <v>1.7461246348711549E-3</v>
      </c>
      <c r="F90" s="12">
        <f t="shared" si="8"/>
        <v>9441.047887986615</v>
      </c>
      <c r="H90" s="12">
        <f t="shared" si="10"/>
        <v>24474.907704478497</v>
      </c>
      <c r="J90" s="12">
        <f t="shared" si="9"/>
        <v>2.5155470367517759E-20</v>
      </c>
    </row>
    <row r="91" spans="1:10">
      <c r="A91" s="42">
        <v>76</v>
      </c>
      <c r="B91" s="10">
        <f t="shared" si="11"/>
        <v>9.9522457548192892E-26</v>
      </c>
      <c r="C91" s="10">
        <f t="shared" si="7"/>
        <v>3.5081892845590127E-27</v>
      </c>
      <c r="E91" s="10">
        <f t="shared" si="12"/>
        <v>7.9451923688599437E-4</v>
      </c>
      <c r="F91" s="12">
        <f t="shared" si="8"/>
        <v>9441.5566112468259</v>
      </c>
      <c r="H91" s="12">
        <f t="shared" si="10"/>
        <v>49318.36027187846</v>
      </c>
      <c r="J91" s="12">
        <f t="shared" si="9"/>
        <v>8.3896296208981378E-23</v>
      </c>
    </row>
    <row r="92" spans="1:10">
      <c r="A92" s="42">
        <v>77</v>
      </c>
      <c r="B92" s="10">
        <f t="shared" si="11"/>
        <v>7.9072507024208985E-29</v>
      </c>
      <c r="C92" s="10">
        <f t="shared" si="7"/>
        <v>2.667295572458803E-30</v>
      </c>
      <c r="E92" s="10">
        <f t="shared" si="12"/>
        <v>3.2789078541734152E-4</v>
      </c>
      <c r="F92" s="12">
        <f t="shared" si="8"/>
        <v>9441.8058987448476</v>
      </c>
      <c r="H92" s="12">
        <f t="shared" si="10"/>
        <v>108393.32559027495</v>
      </c>
      <c r="J92" s="12">
        <f t="shared" si="9"/>
        <v>1.3886367598537987E-25</v>
      </c>
    </row>
    <row r="93" spans="1:10">
      <c r="A93" s="42">
        <v>78</v>
      </c>
      <c r="B93" s="10">
        <f t="shared" si="11"/>
        <v>2.5927146433086139E-32</v>
      </c>
      <c r="C93" s="10">
        <f t="shared" si="7"/>
        <v>8.3692022985044467E-34</v>
      </c>
      <c r="E93" s="10">
        <f t="shared" si="12"/>
        <v>1.2125271782102214E-4</v>
      </c>
      <c r="F93" s="12">
        <f t="shared" si="8"/>
        <v>9441.9162597173963</v>
      </c>
      <c r="H93" s="12">
        <f t="shared" si="10"/>
        <v>262657.04847235582</v>
      </c>
      <c r="J93" s="12">
        <f t="shared" si="9"/>
        <v>1.0458079256438929E-28</v>
      </c>
    </row>
    <row r="94" spans="1:10">
      <c r="A94" s="42">
        <v>79</v>
      </c>
      <c r="B94" s="10">
        <f t="shared" si="11"/>
        <v>3.1437369703553145E-36</v>
      </c>
      <c r="C94" s="10">
        <f t="shared" si="7"/>
        <v>9.7108949730871753E-38</v>
      </c>
      <c r="E94" s="10">
        <f t="shared" si="12"/>
        <v>3.9635201752056368E-5</v>
      </c>
      <c r="F94" s="12">
        <f t="shared" si="8"/>
        <v>9441.9646764727931</v>
      </c>
      <c r="H94" s="12">
        <f t="shared" si="10"/>
        <v>710283.6185072544</v>
      </c>
      <c r="J94" s="12">
        <f t="shared" si="9"/>
        <v>3.2503766530997237E-32</v>
      </c>
    </row>
    <row r="95" spans="1:10">
      <c r="A95" s="42">
        <v>80</v>
      </c>
      <c r="B95" s="10">
        <f t="shared" si="11"/>
        <v>1.2460264907543133E-40</v>
      </c>
      <c r="C95" s="10">
        <f t="shared" si="7"/>
        <v>3.6831892961850741E-42</v>
      </c>
      <c r="E95" s="10"/>
      <c r="F95" s="12">
        <f>10000/(1+B$6)</f>
        <v>9569.377990430623</v>
      </c>
      <c r="H95" s="12">
        <f t="shared" si="10"/>
        <v>2172923.3386350912</v>
      </c>
      <c r="J95" s="12">
        <f t="shared" si="9"/>
        <v>3.7357250919325813E-36</v>
      </c>
    </row>
    <row r="96" spans="1:10">
      <c r="A96" s="42"/>
      <c r="B96" s="10"/>
      <c r="C96" s="10">
        <f>SUM(C15:C95)</f>
        <v>18.125882804221845</v>
      </c>
      <c r="E96" s="10"/>
      <c r="J96" s="57">
        <f>SUM(J16:J95)</f>
        <v>263.36828090576648</v>
      </c>
    </row>
    <row r="97" spans="1:10">
      <c r="C97" s="10"/>
      <c r="E97" s="10"/>
      <c r="J97" s="42"/>
    </row>
    <row r="98" spans="1:10">
      <c r="A98" s="60" t="s">
        <v>95</v>
      </c>
      <c r="B98" s="60"/>
      <c r="C98" s="57">
        <f>(10000*C99+90+10*C96)/(0.95*C96-0.17)</f>
        <v>144.62840120443738</v>
      </c>
      <c r="E98" s="10"/>
      <c r="J98" s="42"/>
    </row>
    <row r="99" spans="1:10">
      <c r="A99" t="s">
        <v>201</v>
      </c>
      <c r="C99" s="10">
        <f>1-(0.045/1.045)*C96</f>
        <v>0.21945959216269562</v>
      </c>
      <c r="E99" s="10"/>
      <c r="J99" s="42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2"/>
  <sheetViews>
    <sheetView zoomScale="125" zoomScaleNormal="125" zoomScalePageLayoutView="125" workbookViewId="0"/>
  </sheetViews>
  <sheetFormatPr baseColWidth="10" defaultRowHeight="12" x14ac:dyDescent="0"/>
  <sheetData>
    <row r="1" spans="1:6" ht="15">
      <c r="A1" s="70" t="s">
        <v>744</v>
      </c>
      <c r="C1" s="42"/>
      <c r="D1" s="10"/>
      <c r="E1" s="10"/>
    </row>
    <row r="2" spans="1:6">
      <c r="C2" s="42"/>
      <c r="D2" s="10"/>
      <c r="E2" s="10"/>
    </row>
    <row r="3" spans="1:6">
      <c r="A3" s="52" t="s">
        <v>9</v>
      </c>
      <c r="B3" s="51">
        <v>2.2000000000000001E-4</v>
      </c>
      <c r="C3" s="42"/>
      <c r="D3" s="10"/>
      <c r="E3" s="10"/>
    </row>
    <row r="4" spans="1:6">
      <c r="A4" s="52" t="s">
        <v>10</v>
      </c>
      <c r="B4" s="51">
        <f>2.7/1000000</f>
        <v>2.7E-6</v>
      </c>
      <c r="C4" s="42"/>
      <c r="D4" s="10"/>
      <c r="E4" s="10"/>
    </row>
    <row r="5" spans="1:6">
      <c r="A5" s="52" t="s">
        <v>24</v>
      </c>
      <c r="B5" s="51">
        <v>1.1240000000000001</v>
      </c>
      <c r="C5" s="42"/>
      <c r="D5" s="10"/>
      <c r="E5" s="10"/>
    </row>
    <row r="6" spans="1:6">
      <c r="A6" s="52" t="s">
        <v>74</v>
      </c>
      <c r="B6" s="51">
        <v>0.05</v>
      </c>
      <c r="C6" s="42"/>
      <c r="D6" s="10"/>
      <c r="E6" s="10"/>
    </row>
    <row r="7" spans="1:6">
      <c r="A7" s="52" t="s">
        <v>82</v>
      </c>
      <c r="B7" s="51">
        <v>40</v>
      </c>
      <c r="C7" s="42"/>
      <c r="D7" s="10"/>
      <c r="E7" s="10"/>
    </row>
    <row r="8" spans="1:6">
      <c r="C8" s="42"/>
      <c r="D8" s="10"/>
      <c r="E8" s="10"/>
    </row>
    <row r="9" spans="1:6">
      <c r="A9" s="1" t="s">
        <v>2</v>
      </c>
      <c r="C9" s="42"/>
      <c r="D9" s="42"/>
      <c r="E9" s="57">
        <v>1810.7257393600214</v>
      </c>
      <c r="F9" t="s">
        <v>196</v>
      </c>
    </row>
    <row r="10" spans="1:6">
      <c r="C10" s="42"/>
      <c r="D10" s="42"/>
    </row>
    <row r="11" spans="1:6">
      <c r="A11" s="42" t="s">
        <v>0</v>
      </c>
      <c r="B11" s="22" t="s">
        <v>197</v>
      </c>
      <c r="C11" s="22" t="s">
        <v>198</v>
      </c>
      <c r="D11" s="7" t="s">
        <v>169</v>
      </c>
    </row>
    <row r="12" spans="1:6">
      <c r="A12" s="42">
        <v>0</v>
      </c>
      <c r="B12" s="42">
        <f>0.06-0.001*A12</f>
        <v>0.06</v>
      </c>
      <c r="C12" s="4">
        <f>(0.9^(2-A12))*(B$3+B$4*B$5^(B$7+A12))</f>
        <v>4.1289359223710767E-4</v>
      </c>
      <c r="D12" s="12">
        <f>(D13-B$6*E$9+B$6*C12*20000)/(1+B$6*B12+B$6*C12)</f>
        <v>5.7336354370689827E-10</v>
      </c>
    </row>
    <row r="13" spans="1:6">
      <c r="A13" s="42">
        <v>0.05</v>
      </c>
      <c r="B13" s="42">
        <f t="shared" ref="B13:B76" si="0">0.06-0.001*A13</f>
        <v>5.9949999999999996E-2</v>
      </c>
      <c r="C13" s="4">
        <f t="shared" ref="C13:C52" si="1">(0.9^(2-A13))*(B$3+B$4*B$5^(B$7+A13))</f>
        <v>4.1645745937475955E-4</v>
      </c>
      <c r="D13" s="12">
        <f t="shared" ref="D13:D76" si="2">(D14-B$6*E$9+B$6*C13*20000)/(1+B$6*B13+B$6*C13)</f>
        <v>90.123393376339067</v>
      </c>
    </row>
    <row r="14" spans="1:6">
      <c r="A14" s="42">
        <v>0.1</v>
      </c>
      <c r="B14" s="42">
        <f t="shared" si="0"/>
        <v>5.9899999999999995E-2</v>
      </c>
      <c r="C14" s="4">
        <f t="shared" si="1"/>
        <v>4.2005560511945478E-4</v>
      </c>
      <c r="D14" s="12">
        <f t="shared" si="2"/>
        <v>180.51524438458276</v>
      </c>
    </row>
    <row r="15" spans="1:6">
      <c r="A15" s="42">
        <v>0.15</v>
      </c>
      <c r="B15" s="42">
        <f t="shared" si="0"/>
        <v>5.985E-2</v>
      </c>
      <c r="C15" s="4">
        <f t="shared" si="1"/>
        <v>4.236883832277614E-4</v>
      </c>
      <c r="D15" s="12">
        <f t="shared" si="2"/>
        <v>271.17591022640693</v>
      </c>
    </row>
    <row r="16" spans="1:6">
      <c r="A16" s="42">
        <v>0.2</v>
      </c>
      <c r="B16" s="42">
        <f t="shared" si="0"/>
        <v>5.9799999999999999E-2</v>
      </c>
      <c r="C16" s="4">
        <f t="shared" si="1"/>
        <v>4.2735615125462758E-4</v>
      </c>
      <c r="D16" s="12">
        <f t="shared" si="2"/>
        <v>362.10574742668143</v>
      </c>
    </row>
    <row r="17" spans="1:4">
      <c r="A17" s="42">
        <v>0.25</v>
      </c>
      <c r="B17" s="42">
        <f t="shared" si="0"/>
        <v>5.9749999999999998E-2</v>
      </c>
      <c r="C17" s="4">
        <f t="shared" si="1"/>
        <v>4.3105927059500872E-4</v>
      </c>
      <c r="D17" s="12">
        <f t="shared" si="2"/>
        <v>453.30511183416206</v>
      </c>
    </row>
    <row r="18" spans="1:4">
      <c r="A18" s="42">
        <v>0.3</v>
      </c>
      <c r="B18" s="42">
        <f t="shared" si="0"/>
        <v>5.9699999999999996E-2</v>
      </c>
      <c r="C18" s="4">
        <f t="shared" si="1"/>
        <v>4.3479810652595735E-4</v>
      </c>
      <c r="D18" s="12">
        <f t="shared" si="2"/>
        <v>544.77435862171581</v>
      </c>
    </row>
    <row r="19" spans="1:4">
      <c r="A19" s="42">
        <v>0.35</v>
      </c>
      <c r="B19" s="42">
        <f t="shared" si="0"/>
        <v>5.9649999999999995E-2</v>
      </c>
      <c r="C19" s="4">
        <f t="shared" si="1"/>
        <v>4.3857302824917805E-4</v>
      </c>
      <c r="D19" s="12">
        <f t="shared" si="2"/>
        <v>636.51384228665745</v>
      </c>
    </row>
    <row r="20" spans="1:4">
      <c r="A20" s="42">
        <v>0.4</v>
      </c>
      <c r="B20" s="42">
        <f t="shared" si="0"/>
        <v>5.96E-2</v>
      </c>
      <c r="C20" s="4">
        <f t="shared" si="1"/>
        <v>4.4238440893405343E-4</v>
      </c>
      <c r="D20" s="12">
        <f t="shared" si="2"/>
        <v>728.52391665119603</v>
      </c>
    </row>
    <row r="21" spans="1:4">
      <c r="A21" s="42">
        <v>0.45</v>
      </c>
      <c r="B21" s="42">
        <f t="shared" si="0"/>
        <v>5.9549999999999999E-2</v>
      </c>
      <c r="C21" s="4">
        <f t="shared" si="1"/>
        <v>4.4623262576114816E-4</v>
      </c>
      <c r="D21" s="12">
        <f t="shared" si="2"/>
        <v>820.80493486299667</v>
      </c>
    </row>
    <row r="22" spans="1:4">
      <c r="A22" s="42">
        <v>0.5</v>
      </c>
      <c r="B22" s="42">
        <f t="shared" si="0"/>
        <v>5.9499999999999997E-2</v>
      </c>
      <c r="C22" s="4">
        <f t="shared" si="1"/>
        <v>4.5011805996619212E-4</v>
      </c>
      <c r="D22" s="12">
        <f t="shared" si="2"/>
        <v>913.35724939585737</v>
      </c>
    </row>
    <row r="23" spans="1:4">
      <c r="A23" s="42">
        <v>0.55000000000000004</v>
      </c>
      <c r="B23" s="42">
        <f t="shared" si="0"/>
        <v>5.9449999999999996E-2</v>
      </c>
      <c r="C23" s="4">
        <f t="shared" si="1"/>
        <v>4.5404109688455341E-4</v>
      </c>
      <c r="D23" s="12">
        <f t="shared" si="2"/>
        <v>1006.1812120505026</v>
      </c>
    </row>
    <row r="24" spans="1:4">
      <c r="A24" s="42">
        <v>0.6</v>
      </c>
      <c r="B24" s="42">
        <f t="shared" si="0"/>
        <v>5.9399999999999994E-2</v>
      </c>
      <c r="C24" s="4">
        <f t="shared" si="1"/>
        <v>4.5800212599620164E-4</v>
      </c>
      <c r="D24" s="12">
        <f t="shared" si="2"/>
        <v>1099.2771739554985</v>
      </c>
    </row>
    <row r="25" spans="1:4">
      <c r="A25" s="42">
        <v>0.65</v>
      </c>
      <c r="B25" s="42">
        <f t="shared" si="0"/>
        <v>5.935E-2</v>
      </c>
      <c r="C25" s="4">
        <f t="shared" si="1"/>
        <v>4.6200154097116969E-4</v>
      </c>
      <c r="D25" s="12">
        <f t="shared" si="2"/>
        <v>1192.6454855682878</v>
      </c>
    </row>
    <row r="26" spans="1:4">
      <c r="A26" s="42">
        <v>0.7</v>
      </c>
      <c r="B26" s="42">
        <f t="shared" si="0"/>
        <v>5.9299999999999999E-2</v>
      </c>
      <c r="C26" s="4">
        <f t="shared" si="1"/>
        <v>4.6603973971552084E-4</v>
      </c>
      <c r="D26" s="12">
        <f t="shared" si="2"/>
        <v>1286.2864966763498</v>
      </c>
    </row>
    <row r="27" spans="1:4">
      <c r="A27" s="42">
        <v>0.75</v>
      </c>
      <c r="B27" s="42">
        <f t="shared" si="0"/>
        <v>5.9249999999999997E-2</v>
      </c>
      <c r="C27" s="4">
        <f t="shared" si="1"/>
        <v>4.7011712441782206E-4</v>
      </c>
      <c r="D27" s="12">
        <f t="shared" si="2"/>
        <v>1380.2005563984862</v>
      </c>
    </row>
    <row r="28" spans="1:4">
      <c r="A28" s="42">
        <v>0.8</v>
      </c>
      <c r="B28" s="42">
        <f t="shared" si="0"/>
        <v>5.9199999999999996E-2</v>
      </c>
      <c r="C28" s="4">
        <f t="shared" si="1"/>
        <v>4.742341015961342E-4</v>
      </c>
      <c r="D28" s="12">
        <f t="shared" si="2"/>
        <v>1474.3880131862347</v>
      </c>
    </row>
    <row r="29" spans="1:4">
      <c r="A29" s="42">
        <v>0.85</v>
      </c>
      <c r="B29" s="42">
        <f t="shared" si="0"/>
        <v>5.9150000000000001E-2</v>
      </c>
      <c r="C29" s="4">
        <f t="shared" si="1"/>
        <v>4.7839108214552242E-4</v>
      </c>
      <c r="D29" s="12">
        <f t="shared" si="2"/>
        <v>1568.8492148254131</v>
      </c>
    </row>
    <row r="30" spans="1:4">
      <c r="A30" s="42">
        <v>0.9</v>
      </c>
      <c r="B30" s="42">
        <f t="shared" si="0"/>
        <v>5.91E-2</v>
      </c>
      <c r="C30" s="4">
        <f t="shared" si="1"/>
        <v>4.8258848138609125E-4</v>
      </c>
      <c r="D30" s="12">
        <f t="shared" si="2"/>
        <v>1663.584508437795</v>
      </c>
    </row>
    <row r="31" spans="1:4">
      <c r="A31" s="42">
        <v>0.95</v>
      </c>
      <c r="B31" s="42">
        <f t="shared" si="0"/>
        <v>5.9049999999999998E-2</v>
      </c>
      <c r="C31" s="4">
        <f t="shared" si="1"/>
        <v>4.8682671911155518E-4</v>
      </c>
      <c r="D31" s="12">
        <f t="shared" si="2"/>
        <v>1758.5942404829229</v>
      </c>
    </row>
    <row r="32" spans="1:4">
      <c r="A32" s="42">
        <v>1</v>
      </c>
      <c r="B32" s="42">
        <f t="shared" si="0"/>
        <v>5.8999999999999997E-2</v>
      </c>
      <c r="C32" s="4">
        <f t="shared" si="1"/>
        <v>4.9110621963834337E-4</v>
      </c>
      <c r="D32" s="12">
        <f t="shared" si="2"/>
        <v>1853.8787567600552</v>
      </c>
    </row>
    <row r="33" spans="1:4">
      <c r="A33" s="42">
        <v>1.05</v>
      </c>
      <c r="B33" s="42">
        <f t="shared" si="0"/>
        <v>5.8949999999999995E-2</v>
      </c>
      <c r="C33" s="4">
        <f t="shared" si="1"/>
        <v>4.9542741185525129E-4</v>
      </c>
      <c r="D33" s="12">
        <f t="shared" si="2"/>
        <v>1949.4384024102551</v>
      </c>
    </row>
    <row r="34" spans="1:4">
      <c r="A34" s="42">
        <v>1.1000000000000001</v>
      </c>
      <c r="B34" s="42">
        <f t="shared" si="0"/>
        <v>5.8900000000000001E-2</v>
      </c>
      <c r="C34" s="4">
        <f t="shared" si="1"/>
        <v>4.9979072927364262E-4</v>
      </c>
      <c r="D34" s="12">
        <f t="shared" si="2"/>
        <v>2045.2735219186193</v>
      </c>
    </row>
    <row r="35" spans="1:4">
      <c r="A35" s="42">
        <v>1.1499999999999999</v>
      </c>
      <c r="B35" s="42">
        <f t="shared" si="0"/>
        <v>5.885E-2</v>
      </c>
      <c r="C35" s="4">
        <f t="shared" si="1"/>
        <v>5.0419661007820339E-4</v>
      </c>
      <c r="D35" s="12">
        <f t="shared" si="2"/>
        <v>2141.3844591166512</v>
      </c>
    </row>
    <row r="36" spans="1:4">
      <c r="A36" s="42">
        <v>1.2</v>
      </c>
      <c r="B36" s="42">
        <f t="shared" si="0"/>
        <v>5.8799999999999998E-2</v>
      </c>
      <c r="C36" s="4">
        <f t="shared" si="1"/>
        <v>5.0864549717826552E-4</v>
      </c>
      <c r="D36" s="12">
        <f t="shared" si="2"/>
        <v>2237.771557184783</v>
      </c>
    </row>
    <row r="37" spans="1:4">
      <c r="A37" s="42">
        <v>1.25</v>
      </c>
      <c r="B37" s="42">
        <f t="shared" si="0"/>
        <v>5.8749999999999997E-2</v>
      </c>
      <c r="C37" s="4">
        <f t="shared" si="1"/>
        <v>5.1313783825969082E-4</v>
      </c>
      <c r="D37" s="12">
        <f t="shared" si="2"/>
        <v>2334.4351586550429</v>
      </c>
    </row>
    <row r="38" spans="1:4">
      <c r="A38" s="42">
        <v>1.3</v>
      </c>
      <c r="B38" s="42">
        <f t="shared" si="0"/>
        <v>5.8699999999999995E-2</v>
      </c>
      <c r="C38" s="4">
        <f t="shared" si="1"/>
        <v>5.1767408583733862E-4</v>
      </c>
      <c r="D38" s="12">
        <f t="shared" si="2"/>
        <v>2431.3756054138771</v>
      </c>
    </row>
    <row r="39" spans="1:4">
      <c r="A39" s="42">
        <v>1.35</v>
      </c>
      <c r="B39" s="42">
        <f t="shared" si="0"/>
        <v>5.8650000000000001E-2</v>
      </c>
      <c r="C39" s="4">
        <f t="shared" si="1"/>
        <v>5.2225469730810773E-4</v>
      </c>
      <c r="D39" s="12">
        <f t="shared" si="2"/>
        <v>2528.5932387051234</v>
      </c>
    </row>
    <row r="40" spans="1:4">
      <c r="A40" s="42">
        <v>1.4</v>
      </c>
      <c r="B40" s="42">
        <f t="shared" si="0"/>
        <v>5.8599999999999999E-2</v>
      </c>
      <c r="C40" s="4">
        <f t="shared" si="1"/>
        <v>5.2688013500456869E-4</v>
      </c>
      <c r="D40" s="12">
        <f t="shared" si="2"/>
        <v>2626.0883991331439</v>
      </c>
    </row>
    <row r="41" spans="1:4">
      <c r="A41" s="42">
        <v>1.45</v>
      </c>
      <c r="B41" s="42">
        <f t="shared" si="0"/>
        <v>5.8549999999999998E-2</v>
      </c>
      <c r="C41" s="4">
        <f t="shared" si="1"/>
        <v>5.315508662491939E-4</v>
      </c>
      <c r="D41" s="12">
        <f t="shared" si="2"/>
        <v>2723.8614266661148</v>
      </c>
    </row>
    <row r="42" spans="1:4">
      <c r="A42" s="42">
        <v>1.5</v>
      </c>
      <c r="B42" s="42">
        <f t="shared" si="0"/>
        <v>5.8499999999999996E-2</v>
      </c>
      <c r="C42" s="4">
        <f t="shared" si="1"/>
        <v>5.3626736340918186E-4</v>
      </c>
      <c r="D42" s="12">
        <f t="shared" si="2"/>
        <v>2821.9126606394757</v>
      </c>
    </row>
    <row r="43" spans="1:4">
      <c r="A43" s="42">
        <v>1.55</v>
      </c>
      <c r="B43" s="42">
        <f t="shared" si="0"/>
        <v>5.8449999999999995E-2</v>
      </c>
      <c r="C43" s="4">
        <f t="shared" si="1"/>
        <v>5.4103010395189718E-4</v>
      </c>
      <c r="D43" s="12">
        <f t="shared" si="2"/>
        <v>2920.2424397595532</v>
      </c>
    </row>
    <row r="44" spans="1:4">
      <c r="A44" s="42">
        <v>1.6</v>
      </c>
      <c r="B44" s="42">
        <f t="shared" si="0"/>
        <v>5.8400000000000001E-2</v>
      </c>
      <c r="C44" s="4">
        <f t="shared" si="1"/>
        <v>5.4583957050091821E-4</v>
      </c>
      <c r="D44" s="12">
        <f t="shared" si="2"/>
        <v>3018.8511021073373</v>
      </c>
    </row>
    <row r="45" spans="1:4">
      <c r="A45" s="42">
        <v>1.65</v>
      </c>
      <c r="B45" s="42">
        <f t="shared" si="0"/>
        <v>5.8349999999999999E-2</v>
      </c>
      <c r="C45" s="4">
        <f t="shared" si="1"/>
        <v>5.5069625089270932E-4</v>
      </c>
      <c r="D45" s="12">
        <f t="shared" si="2"/>
        <v>3117.7389851424405</v>
      </c>
    </row>
    <row r="46" spans="1:4">
      <c r="A46" s="42">
        <v>1.7</v>
      </c>
      <c r="B46" s="42">
        <f t="shared" si="0"/>
        <v>5.8299999999999998E-2</v>
      </c>
      <c r="C46" s="4">
        <f t="shared" si="1"/>
        <v>5.556006382339228E-4</v>
      </c>
      <c r="D46" s="12">
        <f t="shared" si="2"/>
        <v>3216.9064257072209</v>
      </c>
    </row>
    <row r="47" spans="1:4">
      <c r="A47" s="42">
        <v>1.75</v>
      </c>
      <c r="B47" s="42">
        <f t="shared" si="0"/>
        <v>5.8249999999999996E-2</v>
      </c>
      <c r="C47" s="4">
        <f t="shared" si="1"/>
        <v>5.6055323095933129E-4</v>
      </c>
      <c r="D47" s="12">
        <f t="shared" si="2"/>
        <v>3316.3537600310879</v>
      </c>
    </row>
    <row r="48" spans="1:4">
      <c r="A48" s="42">
        <v>1.8</v>
      </c>
      <c r="B48" s="42">
        <f t="shared" si="0"/>
        <v>5.8199999999999995E-2</v>
      </c>
      <c r="C48" s="4">
        <f t="shared" si="1"/>
        <v>5.65554532890409E-4</v>
      </c>
      <c r="D48" s="12">
        <f t="shared" si="2"/>
        <v>3416.0813237349798</v>
      </c>
    </row>
    <row r="49" spans="1:4">
      <c r="A49" s="42">
        <v>1.85</v>
      </c>
      <c r="B49" s="42">
        <f t="shared" si="0"/>
        <v>5.815E-2</v>
      </c>
      <c r="C49" s="4">
        <f t="shared" si="1"/>
        <v>5.7060505329455699E-4</v>
      </c>
      <c r="D49" s="12">
        <f t="shared" si="2"/>
        <v>3516.0894518360269</v>
      </c>
    </row>
    <row r="50" spans="1:4">
      <c r="A50" s="42">
        <v>1.9</v>
      </c>
      <c r="B50" s="42">
        <f t="shared" si="0"/>
        <v>5.8099999999999999E-2</v>
      </c>
      <c r="C50" s="4">
        <f t="shared" si="1"/>
        <v>5.7570530694498617E-4</v>
      </c>
      <c r="D50" s="12">
        <f t="shared" si="2"/>
        <v>3616.3784787524</v>
      </c>
    </row>
    <row r="51" spans="1:4">
      <c r="A51" s="42">
        <v>1.95</v>
      </c>
      <c r="B51" s="42">
        <f t="shared" si="0"/>
        <v>5.8049999999999997E-2</v>
      </c>
      <c r="C51" s="4">
        <f t="shared" si="1"/>
        <v>5.8085581418126843E-4</v>
      </c>
      <c r="D51" s="12">
        <f t="shared" si="2"/>
        <v>3716.9487383083388</v>
      </c>
    </row>
    <row r="52" spans="1:4">
      <c r="A52" s="42">
        <v>2</v>
      </c>
      <c r="B52" s="42">
        <f t="shared" si="0"/>
        <v>5.7999999999999996E-2</v>
      </c>
      <c r="C52" s="4">
        <f t="shared" si="1"/>
        <v>5.8605710097055328E-4</v>
      </c>
      <c r="D52" s="12">
        <f t="shared" si="2"/>
        <v>3817.8005637393817</v>
      </c>
    </row>
    <row r="53" spans="1:4">
      <c r="A53" s="42">
        <v>2.0499999999999998</v>
      </c>
      <c r="B53" s="42">
        <f t="shared" si="0"/>
        <v>5.7950000000000002E-2</v>
      </c>
      <c r="C53" s="4">
        <f>(B$3+B$4*B$5^(B$7+A53))</f>
        <v>5.8820285488211661E-4</v>
      </c>
      <c r="D53" s="12">
        <f t="shared" si="2"/>
        <v>3918.9342876977789</v>
      </c>
    </row>
    <row r="54" spans="1:4">
      <c r="A54" s="42">
        <v>2.1</v>
      </c>
      <c r="B54" s="42">
        <f t="shared" si="0"/>
        <v>5.79E-2</v>
      </c>
      <c r="C54" s="4">
        <f t="shared" ref="C54:C117" si="3">(B$3+B$4*B$5^(B$7+A54))</f>
        <v>5.903611867762869E-4</v>
      </c>
      <c r="D54" s="12">
        <f t="shared" si="2"/>
        <v>4020.3527403263079</v>
      </c>
    </row>
    <row r="55" spans="1:4">
      <c r="A55" s="42">
        <v>2.15</v>
      </c>
      <c r="B55" s="42">
        <f t="shared" si="0"/>
        <v>5.7849999999999999E-2</v>
      </c>
      <c r="C55" s="4">
        <f t="shared" si="3"/>
        <v>5.9253217038269536E-4</v>
      </c>
      <c r="D55" s="12">
        <f t="shared" si="2"/>
        <v>4122.0562603015296</v>
      </c>
    </row>
    <row r="56" spans="1:4">
      <c r="A56" s="42">
        <v>2.2000000000000002</v>
      </c>
      <c r="B56" s="42">
        <f t="shared" si="0"/>
        <v>5.7799999999999997E-2</v>
      </c>
      <c r="C56" s="4">
        <f t="shared" si="3"/>
        <v>5.9471587986316334E-4</v>
      </c>
      <c r="D56" s="12">
        <f t="shared" si="2"/>
        <v>4224.0451853791883</v>
      </c>
    </row>
    <row r="57" spans="1:4">
      <c r="A57" s="42">
        <v>2.25</v>
      </c>
      <c r="B57" s="42">
        <f t="shared" si="0"/>
        <v>5.7749999999999996E-2</v>
      </c>
      <c r="C57" s="4">
        <f t="shared" si="3"/>
        <v>5.9691238981423222E-4</v>
      </c>
      <c r="D57" s="12">
        <f t="shared" si="2"/>
        <v>4326.3198523905221</v>
      </c>
    </row>
    <row r="58" spans="1:4">
      <c r="A58" s="42">
        <v>2.2999999999999998</v>
      </c>
      <c r="B58" s="42">
        <f t="shared" si="0"/>
        <v>5.7700000000000001E-2</v>
      </c>
      <c r="C58" s="4">
        <f t="shared" si="3"/>
        <v>5.9912177526971527E-4</v>
      </c>
      <c r="D58" s="12">
        <f t="shared" si="2"/>
        <v>4428.8805972385962</v>
      </c>
    </row>
    <row r="59" spans="1:4">
      <c r="A59" s="42">
        <v>2.35</v>
      </c>
      <c r="B59" s="42">
        <f t="shared" si="0"/>
        <v>5.765E-2</v>
      </c>
      <c r="C59" s="4">
        <f t="shared" si="3"/>
        <v>6.0134411170325826E-4</v>
      </c>
      <c r="D59" s="12">
        <f t="shared" si="2"/>
        <v>4531.7277548946549</v>
      </c>
    </row>
    <row r="60" spans="1:4">
      <c r="A60" s="42">
        <v>2.4</v>
      </c>
      <c r="B60" s="42">
        <f t="shared" si="0"/>
        <v>5.7599999999999998E-2</v>
      </c>
      <c r="C60" s="4">
        <f t="shared" si="3"/>
        <v>6.0357947503091795E-4</v>
      </c>
      <c r="D60" s="12">
        <f t="shared" si="2"/>
        <v>4634.8616593944989</v>
      </c>
    </row>
    <row r="61" spans="1:4">
      <c r="A61" s="42">
        <v>2.4500000000000002</v>
      </c>
      <c r="B61" s="42">
        <f t="shared" si="0"/>
        <v>5.7549999999999997E-2</v>
      </c>
      <c r="C61" s="4">
        <f t="shared" si="3"/>
        <v>6.0582794161375688E-4</v>
      </c>
      <c r="D61" s="12">
        <f t="shared" si="2"/>
        <v>4738.2826438348866</v>
      </c>
    </row>
    <row r="62" spans="1:4">
      <c r="A62" s="42">
        <v>2.5</v>
      </c>
      <c r="B62" s="42">
        <f t="shared" si="0"/>
        <v>5.7499999999999996E-2</v>
      </c>
      <c r="C62" s="4">
        <f t="shared" si="3"/>
        <v>6.0808958826044982E-4</v>
      </c>
      <c r="D62" s="12">
        <f t="shared" si="2"/>
        <v>4841.9910403699541</v>
      </c>
    </row>
    <row r="63" spans="1:4">
      <c r="A63" s="42">
        <v>2.5499999999999998</v>
      </c>
      <c r="B63" s="42">
        <f t="shared" si="0"/>
        <v>5.7450000000000001E-2</v>
      </c>
      <c r="C63" s="4">
        <f t="shared" si="3"/>
        <v>6.1036449222990979E-4</v>
      </c>
      <c r="D63" s="12">
        <f t="shared" si="2"/>
        <v>4945.9871802076632</v>
      </c>
    </row>
    <row r="64" spans="1:4">
      <c r="A64" s="42">
        <v>2.6</v>
      </c>
      <c r="B64" s="42">
        <f t="shared" si="0"/>
        <v>5.74E-2</v>
      </c>
      <c r="C64" s="4">
        <f t="shared" si="3"/>
        <v>6.1265273123392605E-4</v>
      </c>
      <c r="D64" s="12">
        <f t="shared" si="2"/>
        <v>5050.2713936062719</v>
      </c>
    </row>
    <row r="65" spans="1:4">
      <c r="A65" s="42">
        <v>2.65</v>
      </c>
      <c r="B65" s="42">
        <f t="shared" si="0"/>
        <v>5.7349999999999998E-2</v>
      </c>
      <c r="C65" s="4">
        <f t="shared" si="3"/>
        <v>6.14954383439818E-4</v>
      </c>
      <c r="D65" s="12">
        <f t="shared" si="2"/>
        <v>5154.8440098708279</v>
      </c>
    </row>
    <row r="66" spans="1:4">
      <c r="A66" s="42">
        <v>2.7</v>
      </c>
      <c r="B66" s="42">
        <f t="shared" si="0"/>
        <v>5.7299999999999997E-2</v>
      </c>
      <c r="C66" s="4">
        <f t="shared" si="3"/>
        <v>6.1726952747310755E-4</v>
      </c>
      <c r="D66" s="12">
        <f t="shared" si="2"/>
        <v>5259.7053573496842</v>
      </c>
    </row>
    <row r="67" spans="1:4">
      <c r="A67" s="42">
        <v>2.75</v>
      </c>
      <c r="B67" s="42">
        <f t="shared" si="0"/>
        <v>5.7249999999999995E-2</v>
      </c>
      <c r="C67" s="4">
        <f t="shared" si="3"/>
        <v>6.1959824242020258E-4</v>
      </c>
      <c r="D67" s="12">
        <f t="shared" si="2"/>
        <v>5364.8557634310482</v>
      </c>
    </row>
    <row r="68" spans="1:4">
      <c r="A68" s="42">
        <v>2.8</v>
      </c>
      <c r="B68" s="42">
        <f t="shared" si="0"/>
        <v>5.7200000000000001E-2</v>
      </c>
      <c r="C68" s="4">
        <f t="shared" si="3"/>
        <v>6.2194060783110031E-4</v>
      </c>
      <c r="D68" s="12">
        <f t="shared" si="2"/>
        <v>5470.2955545395425</v>
      </c>
    </row>
    <row r="69" spans="1:4">
      <c r="A69" s="42">
        <v>2.85</v>
      </c>
      <c r="B69" s="42">
        <f t="shared" si="0"/>
        <v>5.7149999999999999E-2</v>
      </c>
      <c r="C69" s="4">
        <f t="shared" si="3"/>
        <v>6.2429670372210532E-4</v>
      </c>
      <c r="D69" s="12">
        <f t="shared" si="2"/>
        <v>5576.0250561328075</v>
      </c>
    </row>
    <row r="70" spans="1:4">
      <c r="A70" s="42">
        <v>2.9</v>
      </c>
      <c r="B70" s="42">
        <f t="shared" si="0"/>
        <v>5.7099999999999998E-2</v>
      </c>
      <c r="C70" s="4">
        <f t="shared" si="3"/>
        <v>6.2666661057855972E-4</v>
      </c>
      <c r="D70" s="12">
        <f t="shared" si="2"/>
        <v>5682.0445926981065</v>
      </c>
    </row>
    <row r="71" spans="1:4">
      <c r="A71" s="42">
        <v>2.95</v>
      </c>
      <c r="B71" s="42">
        <f t="shared" si="0"/>
        <v>5.7049999999999997E-2</v>
      </c>
      <c r="C71" s="4">
        <f t="shared" si="3"/>
        <v>6.2905040935759646E-4</v>
      </c>
      <c r="D71" s="12">
        <f t="shared" si="2"/>
        <v>5788.3544877489849</v>
      </c>
    </row>
    <row r="72" spans="1:4">
      <c r="A72" s="42">
        <v>3</v>
      </c>
      <c r="B72" s="42">
        <f t="shared" si="0"/>
        <v>5.6999999999999995E-2</v>
      </c>
      <c r="C72" s="4">
        <f t="shared" si="3"/>
        <v>6.314481814909019E-4</v>
      </c>
      <c r="D72" s="12">
        <f t="shared" si="2"/>
        <v>5894.9550638219334</v>
      </c>
    </row>
    <row r="73" spans="1:4">
      <c r="A73" s="42">
        <v>3.05</v>
      </c>
      <c r="B73" s="42">
        <f t="shared" si="0"/>
        <v>5.6950000000000001E-2</v>
      </c>
      <c r="C73" s="4">
        <f t="shared" si="3"/>
        <v>6.3386000888749901E-4</v>
      </c>
      <c r="D73" s="12">
        <f t="shared" si="2"/>
        <v>6001.8466424730868</v>
      </c>
    </row>
    <row r="74" spans="1:4">
      <c r="A74" s="42">
        <v>3.1</v>
      </c>
      <c r="B74" s="42">
        <f t="shared" si="0"/>
        <v>5.6899999999999999E-2</v>
      </c>
      <c r="C74" s="4">
        <f t="shared" si="3"/>
        <v>6.3628597393654643E-4</v>
      </c>
      <c r="D74" s="12">
        <f t="shared" si="2"/>
        <v>6109.0295442749493</v>
      </c>
    </row>
    <row r="75" spans="1:4">
      <c r="A75" s="42">
        <v>3.15</v>
      </c>
      <c r="B75" s="42">
        <f t="shared" si="0"/>
        <v>5.6849999999999998E-2</v>
      </c>
      <c r="C75" s="4">
        <f t="shared" si="3"/>
        <v>6.3872615951014961E-4</v>
      </c>
      <c r="D75" s="12">
        <f t="shared" si="2"/>
        <v>6216.5040888131452</v>
      </c>
    </row>
    <row r="76" spans="1:4">
      <c r="A76" s="42">
        <v>3.2</v>
      </c>
      <c r="B76" s="42">
        <f t="shared" si="0"/>
        <v>5.6799999999999996E-2</v>
      </c>
      <c r="C76" s="4">
        <f t="shared" si="3"/>
        <v>6.4118064896619565E-4</v>
      </c>
      <c r="D76" s="12">
        <f t="shared" si="2"/>
        <v>6324.2705946831993</v>
      </c>
    </row>
    <row r="77" spans="1:4">
      <c r="A77" s="42">
        <v>3.25</v>
      </c>
      <c r="B77" s="42">
        <f t="shared" ref="B77:B140" si="4">0.06-0.001*A77</f>
        <v>5.6749999999999995E-2</v>
      </c>
      <c r="C77" s="4">
        <f t="shared" si="3"/>
        <v>6.4364952615119731E-4</v>
      </c>
      <c r="D77" s="12">
        <f t="shared" ref="D77:D140" si="5">(D78-B$6*E$9+B$6*C77*20000)/(1+B$6*B77+B$6*C77)</f>
        <v>6432.3293794873416</v>
      </c>
    </row>
    <row r="78" spans="1:4">
      <c r="A78" s="42">
        <v>3.3</v>
      </c>
      <c r="B78" s="42">
        <f t="shared" si="4"/>
        <v>5.67E-2</v>
      </c>
      <c r="C78" s="4">
        <f t="shared" si="3"/>
        <v>6.4613287540316001E-4</v>
      </c>
      <c r="D78" s="12">
        <f t="shared" si="5"/>
        <v>6540.6807598313453</v>
      </c>
    </row>
    <row r="79" spans="1:4">
      <c r="A79" s="42">
        <v>3.35</v>
      </c>
      <c r="B79" s="42">
        <f t="shared" si="4"/>
        <v>5.6649999999999999E-2</v>
      </c>
      <c r="C79" s="4">
        <f t="shared" si="3"/>
        <v>6.4863078155446229E-4</v>
      </c>
      <c r="D79" s="12">
        <f t="shared" si="5"/>
        <v>6649.325051321387</v>
      </c>
    </row>
    <row r="80" spans="1:4">
      <c r="A80" s="42">
        <v>3.4</v>
      </c>
      <c r="B80" s="42">
        <f t="shared" si="4"/>
        <v>5.6599999999999998E-2</v>
      </c>
      <c r="C80" s="4">
        <f t="shared" si="3"/>
        <v>6.5114332993475169E-4</v>
      </c>
      <c r="D80" s="12">
        <f t="shared" si="5"/>
        <v>6758.2625685609428</v>
      </c>
    </row>
    <row r="81" spans="1:4">
      <c r="A81" s="42">
        <v>3.45</v>
      </c>
      <c r="B81" s="42">
        <f t="shared" si="4"/>
        <v>5.6549999999999996E-2</v>
      </c>
      <c r="C81" s="4">
        <f t="shared" si="3"/>
        <v>6.5367060637386266E-4</v>
      </c>
      <c r="D81" s="12">
        <f t="shared" si="5"/>
        <v>6867.4936251477111</v>
      </c>
    </row>
    <row r="82" spans="1:4">
      <c r="A82" s="42">
        <v>3.5</v>
      </c>
      <c r="B82" s="42">
        <f t="shared" si="4"/>
        <v>5.6499999999999995E-2</v>
      </c>
      <c r="C82" s="4">
        <f t="shared" si="3"/>
        <v>6.5621269720474564E-4</v>
      </c>
      <c r="D82" s="12">
        <f t="shared" si="5"/>
        <v>6977.0185336705545</v>
      </c>
    </row>
    <row r="83" spans="1:4">
      <c r="A83" s="42">
        <v>3.55</v>
      </c>
      <c r="B83" s="42">
        <f t="shared" si="4"/>
        <v>5.645E-2</v>
      </c>
      <c r="C83" s="4">
        <f t="shared" si="3"/>
        <v>6.5876968926641859E-4</v>
      </c>
      <c r="D83" s="12">
        <f t="shared" si="5"/>
        <v>7086.8376057064916</v>
      </c>
    </row>
    <row r="84" spans="1:4">
      <c r="A84" s="42">
        <v>3.6</v>
      </c>
      <c r="B84" s="42">
        <f t="shared" si="4"/>
        <v>5.6399999999999999E-2</v>
      </c>
      <c r="C84" s="4">
        <f t="shared" si="3"/>
        <v>6.6134166990693296E-4</v>
      </c>
      <c r="D84" s="12">
        <f t="shared" si="5"/>
        <v>7196.9511518177014</v>
      </c>
    </row>
    <row r="85" spans="1:4">
      <c r="A85" s="42">
        <v>3.65</v>
      </c>
      <c r="B85" s="42">
        <f t="shared" si="4"/>
        <v>5.6349999999999997E-2</v>
      </c>
      <c r="C85" s="4">
        <f t="shared" si="3"/>
        <v>6.6392872698635538E-4</v>
      </c>
      <c r="D85" s="12">
        <f t="shared" si="5"/>
        <v>7307.3594815485712</v>
      </c>
    </row>
    <row r="86" spans="1:4">
      <c r="A86" s="42">
        <v>3.7</v>
      </c>
      <c r="B86" s="42">
        <f t="shared" si="4"/>
        <v>5.6299999999999996E-2</v>
      </c>
      <c r="C86" s="4">
        <f t="shared" si="3"/>
        <v>6.6653094887977296E-4</v>
      </c>
      <c r="D86" s="12">
        <f t="shared" si="5"/>
        <v>7418.0629034227595</v>
      </c>
    </row>
    <row r="87" spans="1:4">
      <c r="A87" s="42">
        <v>3.75</v>
      </c>
      <c r="B87" s="42">
        <f t="shared" si="4"/>
        <v>5.6249999999999994E-2</v>
      </c>
      <c r="C87" s="4">
        <f t="shared" si="3"/>
        <v>6.6914842448030773E-4</v>
      </c>
      <c r="D87" s="12">
        <f t="shared" si="5"/>
        <v>7529.0617249403085</v>
      </c>
    </row>
    <row r="88" spans="1:4">
      <c r="A88" s="42">
        <v>3.8</v>
      </c>
      <c r="B88" s="42">
        <f t="shared" si="4"/>
        <v>5.62E-2</v>
      </c>
      <c r="C88" s="4">
        <f t="shared" si="3"/>
        <v>6.7178124320215675E-4</v>
      </c>
      <c r="D88" s="12">
        <f t="shared" si="5"/>
        <v>7640.3562525747775</v>
      </c>
    </row>
    <row r="89" spans="1:4">
      <c r="A89" s="42">
        <v>3.85</v>
      </c>
      <c r="B89" s="42">
        <f t="shared" si="4"/>
        <v>5.6149999999999999E-2</v>
      </c>
      <c r="C89" s="4">
        <f t="shared" si="3"/>
        <v>6.7442949498364635E-4</v>
      </c>
      <c r="D89" s="12">
        <f t="shared" si="5"/>
        <v>7751.9467917704042</v>
      </c>
    </row>
    <row r="90" spans="1:4">
      <c r="A90" s="42">
        <v>3.9</v>
      </c>
      <c r="B90" s="42">
        <f t="shared" si="4"/>
        <v>5.6099999999999997E-2</v>
      </c>
      <c r="C90" s="4">
        <f t="shared" si="3"/>
        <v>6.7709327029030113E-4</v>
      </c>
      <c r="D90" s="12">
        <f t="shared" si="5"/>
        <v>7863.8336469393134</v>
      </c>
    </row>
    <row r="91" spans="1:4">
      <c r="A91" s="42">
        <v>3.95</v>
      </c>
      <c r="B91" s="42">
        <f t="shared" si="4"/>
        <v>5.6049999999999996E-2</v>
      </c>
      <c r="C91" s="4">
        <f t="shared" si="3"/>
        <v>6.7977266011793843E-4</v>
      </c>
      <c r="D91" s="12">
        <f t="shared" si="5"/>
        <v>7976.0171214587408</v>
      </c>
    </row>
    <row r="92" spans="1:4">
      <c r="A92" s="42">
        <v>4</v>
      </c>
      <c r="B92" s="42">
        <f t="shared" si="4"/>
        <v>5.5999999999999994E-2</v>
      </c>
      <c r="C92" s="4">
        <f t="shared" si="3"/>
        <v>6.8246775599577376E-4</v>
      </c>
      <c r="D92" s="12">
        <f t="shared" si="5"/>
        <v>8088.497517668302</v>
      </c>
    </row>
    <row r="93" spans="1:4">
      <c r="A93" s="42">
        <v>4.05</v>
      </c>
      <c r="B93" s="42">
        <f t="shared" si="4"/>
        <v>5.595E-2</v>
      </c>
      <c r="C93" s="4">
        <f t="shared" si="3"/>
        <v>6.8517864998954888E-4</v>
      </c>
      <c r="D93" s="12">
        <f t="shared" si="5"/>
        <v>8201.2751368672907</v>
      </c>
    </row>
    <row r="94" spans="1:4">
      <c r="A94" s="42">
        <v>4.0999999999999996</v>
      </c>
      <c r="B94" s="42">
        <f t="shared" si="4"/>
        <v>5.5899999999999998E-2</v>
      </c>
      <c r="C94" s="4">
        <f t="shared" si="3"/>
        <v>6.8790543470467823E-4</v>
      </c>
      <c r="D94" s="12">
        <f t="shared" si="5"/>
        <v>8314.3502793120115</v>
      </c>
    </row>
    <row r="95" spans="1:4">
      <c r="A95" s="42">
        <v>4.1500000000000004</v>
      </c>
      <c r="B95" s="42">
        <f t="shared" si="4"/>
        <v>5.5849999999999997E-2</v>
      </c>
      <c r="C95" s="4">
        <f t="shared" si="3"/>
        <v>6.9064820328940829E-4</v>
      </c>
      <c r="D95" s="12">
        <f t="shared" si="5"/>
        <v>8427.7232442131444</v>
      </c>
    </row>
    <row r="96" spans="1:4">
      <c r="A96" s="42">
        <v>4.2</v>
      </c>
      <c r="B96" s="42">
        <f t="shared" si="4"/>
        <v>5.5799999999999995E-2</v>
      </c>
      <c r="C96" s="4">
        <f t="shared" si="3"/>
        <v>6.9340704943800398E-4</v>
      </c>
      <c r="D96" s="12">
        <f t="shared" si="5"/>
        <v>8541.3943297331425</v>
      </c>
    </row>
    <row r="97" spans="1:5">
      <c r="A97" s="42">
        <v>4.25</v>
      </c>
      <c r="B97" s="42">
        <f t="shared" si="4"/>
        <v>5.5749999999999994E-2</v>
      </c>
      <c r="C97" s="4">
        <f t="shared" si="3"/>
        <v>6.9618206739394584E-4</v>
      </c>
      <c r="D97" s="12">
        <f t="shared" si="5"/>
        <v>8655.3638329836758</v>
      </c>
    </row>
    <row r="98" spans="1:5">
      <c r="A98" s="42">
        <v>4.3</v>
      </c>
      <c r="B98" s="42">
        <f t="shared" si="4"/>
        <v>5.57E-2</v>
      </c>
      <c r="C98" s="4">
        <f t="shared" si="3"/>
        <v>6.9897335195315225E-4</v>
      </c>
      <c r="D98" s="12">
        <f t="shared" si="5"/>
        <v>8769.6320500230904</v>
      </c>
    </row>
    <row r="99" spans="1:5">
      <c r="A99" s="42">
        <v>4.3499999999999996</v>
      </c>
      <c r="B99" s="42">
        <f t="shared" si="4"/>
        <v>5.5649999999999998E-2</v>
      </c>
      <c r="C99" s="4">
        <f t="shared" si="3"/>
        <v>7.0178099846721564E-4</v>
      </c>
      <c r="D99" s="12">
        <f t="shared" si="5"/>
        <v>8884.1992758539236</v>
      </c>
    </row>
    <row r="100" spans="1:5">
      <c r="A100" s="42">
        <v>4.4000000000000004</v>
      </c>
      <c r="B100" s="42">
        <f t="shared" si="4"/>
        <v>5.5599999999999997E-2</v>
      </c>
      <c r="C100" s="4">
        <f t="shared" si="3"/>
        <v>7.0460510284666095E-4</v>
      </c>
      <c r="D100" s="12">
        <f t="shared" si="5"/>
        <v>8999.0658044204411</v>
      </c>
    </row>
    <row r="101" spans="1:5">
      <c r="A101" s="42">
        <v>4.45</v>
      </c>
      <c r="B101" s="42">
        <f t="shared" si="4"/>
        <v>5.5549999999999995E-2</v>
      </c>
      <c r="C101" s="4">
        <f t="shared" si="3"/>
        <v>7.0744576156422175E-4</v>
      </c>
      <c r="D101" s="12">
        <f t="shared" si="5"/>
        <v>9114.2319286062175</v>
      </c>
    </row>
    <row r="102" spans="1:5">
      <c r="A102" s="42">
        <v>4.5</v>
      </c>
      <c r="B102" s="42">
        <f t="shared" si="4"/>
        <v>5.5499999999999994E-2</v>
      </c>
      <c r="C102" s="4">
        <f t="shared" si="3"/>
        <v>7.1030307165813409E-4</v>
      </c>
      <c r="D102" s="12">
        <f t="shared" si="5"/>
        <v>9229.6979402317502</v>
      </c>
    </row>
    <row r="103" spans="1:5">
      <c r="A103" s="42">
        <v>4.55</v>
      </c>
      <c r="B103" s="42">
        <f t="shared" si="4"/>
        <v>5.5449999999999999E-2</v>
      </c>
      <c r="C103" s="4">
        <f t="shared" si="3"/>
        <v>7.1317713073545453E-4</v>
      </c>
      <c r="D103" s="12">
        <f t="shared" si="5"/>
        <v>9345.4641300521071</v>
      </c>
    </row>
    <row r="104" spans="1:5">
      <c r="A104" s="42">
        <v>4.5999999999999996</v>
      </c>
      <c r="B104" s="42">
        <f t="shared" si="4"/>
        <v>5.5399999999999998E-2</v>
      </c>
      <c r="C104" s="4">
        <f t="shared" si="3"/>
        <v>7.1606803697539263E-4</v>
      </c>
      <c r="D104" s="12">
        <f t="shared" si="5"/>
        <v>9461.5307877546238</v>
      </c>
    </row>
    <row r="105" spans="1:5">
      <c r="A105" s="42">
        <v>4.6500000000000004</v>
      </c>
      <c r="B105" s="42">
        <f t="shared" si="4"/>
        <v>5.5349999999999996E-2</v>
      </c>
      <c r="C105" s="4">
        <f t="shared" si="3"/>
        <v>7.1897588913266361E-4</v>
      </c>
      <c r="D105" s="12">
        <f t="shared" si="5"/>
        <v>9577.8982019566283</v>
      </c>
    </row>
    <row r="106" spans="1:5">
      <c r="A106" s="42">
        <v>4.7</v>
      </c>
      <c r="B106" s="42">
        <f t="shared" si="4"/>
        <v>5.5299999999999995E-2</v>
      </c>
      <c r="C106" s="4">
        <f t="shared" si="3"/>
        <v>7.2190078654086492E-4</v>
      </c>
      <c r="D106" s="12">
        <f t="shared" si="5"/>
        <v>9694.5666602031997</v>
      </c>
    </row>
    <row r="107" spans="1:5">
      <c r="A107" s="42">
        <v>4.75</v>
      </c>
      <c r="B107" s="42">
        <f t="shared" si="4"/>
        <v>5.525E-2</v>
      </c>
      <c r="C107" s="4">
        <f t="shared" si="3"/>
        <v>7.2484282911586598E-4</v>
      </c>
      <c r="D107" s="12">
        <f t="shared" si="5"/>
        <v>9811.5364489649801</v>
      </c>
    </row>
    <row r="108" spans="1:5">
      <c r="A108" s="42">
        <v>4.8</v>
      </c>
      <c r="B108" s="42">
        <f t="shared" si="4"/>
        <v>5.5199999999999999E-2</v>
      </c>
      <c r="C108" s="4">
        <f t="shared" si="3"/>
        <v>7.2780211735922471E-4</v>
      </c>
      <c r="D108" s="12">
        <f t="shared" si="5"/>
        <v>9928.8078536360135</v>
      </c>
      <c r="E108" s="10"/>
    </row>
    <row r="109" spans="1:5">
      <c r="A109" s="42">
        <v>4.8499999999999996</v>
      </c>
      <c r="B109" s="42">
        <f t="shared" si="4"/>
        <v>5.5149999999999998E-2</v>
      </c>
      <c r="C109" s="4">
        <f t="shared" si="3"/>
        <v>7.3077875236161861E-4</v>
      </c>
      <c r="D109" s="12">
        <f t="shared" si="5"/>
        <v>10046.381158531629</v>
      </c>
      <c r="E109" s="10"/>
    </row>
    <row r="110" spans="1:5">
      <c r="A110" s="42">
        <v>4.9000000000000004</v>
      </c>
      <c r="B110" s="42">
        <f t="shared" si="4"/>
        <v>5.5099999999999996E-2</v>
      </c>
      <c r="C110" s="4">
        <f t="shared" si="3"/>
        <v>7.3377283580629846E-4</v>
      </c>
      <c r="D110" s="12">
        <f t="shared" si="5"/>
        <v>10164.256646886357</v>
      </c>
      <c r="E110" s="10"/>
    </row>
    <row r="111" spans="1:5">
      <c r="A111" s="42">
        <v>4.95</v>
      </c>
      <c r="B111" s="42">
        <f t="shared" si="4"/>
        <v>5.5049999999999995E-2</v>
      </c>
      <c r="C111" s="4">
        <f t="shared" si="3"/>
        <v>7.367844699725628E-4</v>
      </c>
      <c r="D111" s="12">
        <f t="shared" si="5"/>
        <v>10282.434600851908</v>
      </c>
      <c r="E111" s="10"/>
    </row>
    <row r="112" spans="1:5">
      <c r="A112" s="42">
        <v>5</v>
      </c>
      <c r="B112" s="42">
        <f t="shared" si="4"/>
        <v>5.5E-2</v>
      </c>
      <c r="C112" s="4">
        <f t="shared" si="3"/>
        <v>7.398137577392499E-4</v>
      </c>
      <c r="D112" s="81">
        <f t="shared" si="5"/>
        <v>10400.915301495152</v>
      </c>
      <c r="E112" s="10"/>
    </row>
    <row r="113" spans="1:5">
      <c r="A113" s="42">
        <v>5.05</v>
      </c>
      <c r="B113" s="42">
        <f t="shared" si="4"/>
        <v>5.4949999999999999E-2</v>
      </c>
      <c r="C113" s="4">
        <f t="shared" si="3"/>
        <v>7.4286080258825304E-4</v>
      </c>
      <c r="D113" s="12">
        <f t="shared" si="5"/>
        <v>10519.699028796183</v>
      </c>
      <c r="E113" s="10"/>
    </row>
    <row r="114" spans="1:5">
      <c r="A114" s="42">
        <v>5.0999999999999996</v>
      </c>
      <c r="B114" s="42">
        <f t="shared" si="4"/>
        <v>5.4899999999999997E-2</v>
      </c>
      <c r="C114" s="4">
        <f t="shared" si="3"/>
        <v>7.4592570860805845E-4</v>
      </c>
      <c r="D114" s="12">
        <f t="shared" si="5"/>
        <v>10638.786061646389</v>
      </c>
      <c r="E114" s="10"/>
    </row>
    <row r="115" spans="1:5">
      <c r="A115" s="42">
        <v>5.15</v>
      </c>
      <c r="B115" s="42">
        <f t="shared" si="4"/>
        <v>5.4849999999999996E-2</v>
      </c>
      <c r="C115" s="4">
        <f t="shared" si="3"/>
        <v>7.4900858049729499E-4</v>
      </c>
      <c r="D115" s="12">
        <f t="shared" si="5"/>
        <v>10758.17667784659</v>
      </c>
      <c r="E115" s="10"/>
    </row>
    <row r="116" spans="1:5">
      <c r="A116" s="42">
        <v>5.2</v>
      </c>
      <c r="B116" s="42">
        <f t="shared" si="4"/>
        <v>5.4799999999999995E-2</v>
      </c>
      <c r="C116" s="4">
        <f t="shared" si="3"/>
        <v>7.5210952356831657E-4</v>
      </c>
      <c r="D116" s="12">
        <f t="shared" si="5"/>
        <v>10877.8711541052</v>
      </c>
      <c r="E116" s="10"/>
    </row>
    <row r="117" spans="1:5">
      <c r="A117" s="42">
        <v>5.25</v>
      </c>
      <c r="B117" s="42">
        <f t="shared" si="4"/>
        <v>5.475E-2</v>
      </c>
      <c r="C117" s="4">
        <f t="shared" si="3"/>
        <v>7.5522864375079522E-4</v>
      </c>
      <c r="D117" s="12">
        <f t="shared" si="5"/>
        <v>10997.869766036438</v>
      </c>
      <c r="E117" s="10"/>
    </row>
    <row r="118" spans="1:5">
      <c r="A118" s="42">
        <v>5.3</v>
      </c>
      <c r="B118" s="42">
        <f t="shared" si="4"/>
        <v>5.4699999999999999E-2</v>
      </c>
      <c r="C118" s="4">
        <f t="shared" ref="C118:C181" si="6">(B$3+B$4*B$5^(B$7+A118))</f>
        <v>7.5836604759534315E-4</v>
      </c>
      <c r="D118" s="12">
        <f t="shared" si="5"/>
        <v>11118.172788158592</v>
      </c>
      <c r="E118" s="10"/>
    </row>
    <row r="119" spans="1:5">
      <c r="A119" s="42">
        <v>5.35</v>
      </c>
      <c r="B119" s="42">
        <f t="shared" si="4"/>
        <v>5.4649999999999997E-2</v>
      </c>
      <c r="C119" s="4">
        <f t="shared" si="6"/>
        <v>7.6152184227715051E-4</v>
      </c>
      <c r="D119" s="12">
        <f t="shared" si="5"/>
        <v>11238.780493892302</v>
      </c>
      <c r="E119" s="10"/>
    </row>
    <row r="120" spans="1:5">
      <c r="A120" s="42">
        <v>5.4</v>
      </c>
      <c r="B120" s="42">
        <f t="shared" si="4"/>
        <v>5.4599999999999996E-2</v>
      </c>
      <c r="C120" s="4">
        <f t="shared" si="6"/>
        <v>7.64696135599647E-4</v>
      </c>
      <c r="D120" s="12">
        <f t="shared" si="5"/>
        <v>11359.69315555892</v>
      </c>
      <c r="E120" s="10"/>
    </row>
    <row r="121" spans="1:5">
      <c r="A121" s="42">
        <v>5.45</v>
      </c>
      <c r="B121" s="42">
        <f t="shared" si="4"/>
        <v>5.4550000000000001E-2</v>
      </c>
      <c r="C121" s="4">
        <f t="shared" si="6"/>
        <v>7.6788903599818523E-4</v>
      </c>
      <c r="D121" s="12">
        <f t="shared" si="5"/>
        <v>11480.911044378878</v>
      </c>
      <c r="E121" s="10"/>
    </row>
    <row r="122" spans="1:5">
      <c r="A122" s="42">
        <v>5.5</v>
      </c>
      <c r="B122" s="42">
        <f t="shared" si="4"/>
        <v>5.45E-2</v>
      </c>
      <c r="C122" s="4">
        <f t="shared" si="6"/>
        <v>7.7110065254374282E-4</v>
      </c>
      <c r="D122" s="12">
        <f t="shared" si="5"/>
        <v>11602.434430470135</v>
      </c>
      <c r="E122" s="10"/>
    </row>
    <row r="123" spans="1:5">
      <c r="A123" s="42">
        <v>5.55</v>
      </c>
      <c r="B123" s="42">
        <f t="shared" si="4"/>
        <v>5.4449999999999998E-2</v>
      </c>
      <c r="C123" s="4">
        <f t="shared" si="6"/>
        <v>7.7433109494665097E-4</v>
      </c>
      <c r="D123" s="12">
        <f t="shared" si="5"/>
        <v>11724.263582846646</v>
      </c>
      <c r="E123" s="10"/>
    </row>
    <row r="124" spans="1:5">
      <c r="A124" s="42">
        <v>5.6</v>
      </c>
      <c r="B124" s="42">
        <f t="shared" si="4"/>
        <v>5.4399999999999997E-2</v>
      </c>
      <c r="C124" s="4">
        <f t="shared" si="6"/>
        <v>7.7758047356034138E-4</v>
      </c>
      <c r="D124" s="12">
        <f t="shared" si="5"/>
        <v>11846.398769416877</v>
      </c>
      <c r="E124" s="10"/>
    </row>
    <row r="125" spans="1:5">
      <c r="A125" s="42">
        <v>5.65</v>
      </c>
      <c r="B125" s="42">
        <f t="shared" si="4"/>
        <v>5.4349999999999996E-2</v>
      </c>
      <c r="C125" s="4">
        <f t="shared" si="6"/>
        <v>7.808488993851138E-4</v>
      </c>
      <c r="D125" s="12">
        <f t="shared" si="5"/>
        <v>11968.840256982388</v>
      </c>
      <c r="E125" s="10"/>
    </row>
    <row r="126" spans="1:5">
      <c r="A126" s="42">
        <v>5.7</v>
      </c>
      <c r="B126" s="42">
        <f t="shared" si="4"/>
        <v>5.4300000000000001E-2</v>
      </c>
      <c r="C126" s="4">
        <f t="shared" si="6"/>
        <v>7.8413648407193212E-4</v>
      </c>
      <c r="D126" s="12">
        <f t="shared" si="5"/>
        <v>12091.588311236432</v>
      </c>
      <c r="E126" s="10"/>
    </row>
    <row r="127" spans="1:5">
      <c r="A127" s="42">
        <v>5.75</v>
      </c>
      <c r="B127" s="42">
        <f t="shared" si="4"/>
        <v>5.425E-2</v>
      </c>
      <c r="C127" s="4">
        <f t="shared" si="6"/>
        <v>7.874433399262333E-4</v>
      </c>
      <c r="D127" s="12">
        <f t="shared" si="5"/>
        <v>12214.64319676263</v>
      </c>
      <c r="E127" s="10"/>
    </row>
    <row r="128" spans="1:5">
      <c r="A128" s="42">
        <v>5.8</v>
      </c>
      <c r="B128" s="42">
        <f t="shared" si="4"/>
        <v>5.4199999999999998E-2</v>
      </c>
      <c r="C128" s="4">
        <f t="shared" si="6"/>
        <v>7.9076957991176865E-4</v>
      </c>
      <c r="D128" s="12">
        <f t="shared" si="5"/>
        <v>12338.005177033665</v>
      </c>
      <c r="E128" s="10"/>
    </row>
    <row r="129" spans="1:5">
      <c r="A129" s="42">
        <v>5.85</v>
      </c>
      <c r="B129" s="42">
        <f t="shared" si="4"/>
        <v>5.4149999999999997E-2</v>
      </c>
      <c r="C129" s="4">
        <f t="shared" si="6"/>
        <v>7.9411531765445935E-4</v>
      </c>
      <c r="D129" s="12">
        <f t="shared" si="5"/>
        <v>12461.674514410055</v>
      </c>
      <c r="E129" s="10"/>
    </row>
    <row r="130" spans="1:5">
      <c r="A130" s="42">
        <v>5.9</v>
      </c>
      <c r="B130" s="42">
        <f t="shared" si="4"/>
        <v>5.4099999999999995E-2</v>
      </c>
      <c r="C130" s="4">
        <f t="shared" si="6"/>
        <v>7.9748066744627949E-4</v>
      </c>
      <c r="D130" s="12">
        <f t="shared" si="5"/>
        <v>12585.651470138944</v>
      </c>
      <c r="E130" s="10"/>
    </row>
    <row r="131" spans="1:5">
      <c r="A131" s="42">
        <v>5.95</v>
      </c>
      <c r="B131" s="42">
        <f t="shared" si="4"/>
        <v>5.4050000000000001E-2</v>
      </c>
      <c r="C131" s="4">
        <f t="shared" si="6"/>
        <v>8.0086574424916067E-4</v>
      </c>
      <c r="D131" s="12">
        <f t="shared" si="5"/>
        <v>12709.936304352956</v>
      </c>
      <c r="E131" s="10"/>
    </row>
    <row r="132" spans="1:5">
      <c r="A132" s="42">
        <v>6</v>
      </c>
      <c r="B132" s="42">
        <f t="shared" si="4"/>
        <v>5.3999999999999999E-2</v>
      </c>
      <c r="C132" s="4">
        <f t="shared" si="6"/>
        <v>8.0427066369891684E-4</v>
      </c>
      <c r="D132" s="12">
        <f t="shared" si="5"/>
        <v>12834.52927606911</v>
      </c>
      <c r="E132" s="10"/>
    </row>
    <row r="133" spans="1:5">
      <c r="A133" s="42">
        <v>6.05</v>
      </c>
      <c r="B133" s="42">
        <f t="shared" si="4"/>
        <v>5.3949999999999998E-2</v>
      </c>
      <c r="C133" s="4">
        <f t="shared" si="6"/>
        <v>8.0769554210919649E-4</v>
      </c>
      <c r="D133" s="12">
        <f t="shared" si="5"/>
        <v>12959.430643187754</v>
      </c>
      <c r="E133" s="10"/>
    </row>
    <row r="134" spans="1:5">
      <c r="A134" s="42">
        <v>6.1</v>
      </c>
      <c r="B134" s="42">
        <f t="shared" si="4"/>
        <v>5.3899999999999997E-2</v>
      </c>
      <c r="C134" s="4">
        <f t="shared" si="6"/>
        <v>8.1114049647545766E-4</v>
      </c>
      <c r="D134" s="12">
        <f t="shared" si="5"/>
        <v>13084.640662491585</v>
      </c>
      <c r="E134" s="10"/>
    </row>
    <row r="135" spans="1:5">
      <c r="A135" s="42">
        <v>6.15</v>
      </c>
      <c r="B135" s="42">
        <f t="shared" si="4"/>
        <v>5.3849999999999995E-2</v>
      </c>
      <c r="C135" s="4">
        <f t="shared" si="6"/>
        <v>8.146056444789595E-4</v>
      </c>
      <c r="D135" s="12">
        <f t="shared" si="5"/>
        <v>13210.159589644685</v>
      </c>
      <c r="E135" s="10"/>
    </row>
    <row r="136" spans="1:5">
      <c r="A136" s="42">
        <v>6.2</v>
      </c>
      <c r="B136" s="42">
        <f t="shared" si="4"/>
        <v>5.3800000000000001E-2</v>
      </c>
      <c r="C136" s="4">
        <f t="shared" si="6"/>
        <v>8.1809110449078783E-4</v>
      </c>
      <c r="D136" s="12">
        <f t="shared" si="5"/>
        <v>13335.987679191634</v>
      </c>
      <c r="E136" s="10"/>
    </row>
    <row r="137" spans="1:5">
      <c r="A137" s="42">
        <v>6.25</v>
      </c>
      <c r="B137" s="42">
        <f t="shared" si="4"/>
        <v>5.3749999999999999E-2</v>
      </c>
      <c r="C137" s="4">
        <f t="shared" si="6"/>
        <v>8.2159699557589382E-4</v>
      </c>
      <c r="D137" s="12">
        <f t="shared" si="5"/>
        <v>13462.125184556668</v>
      </c>
      <c r="E137" s="10"/>
    </row>
    <row r="138" spans="1:5">
      <c r="A138" s="42">
        <v>6.3</v>
      </c>
      <c r="B138" s="42">
        <f t="shared" si="4"/>
        <v>5.3699999999999998E-2</v>
      </c>
      <c r="C138" s="4">
        <f t="shared" si="6"/>
        <v>8.2512343749716575E-4</v>
      </c>
      <c r="D138" s="12">
        <f t="shared" si="5"/>
        <v>13588.572358042871</v>
      </c>
      <c r="E138" s="10"/>
    </row>
    <row r="139" spans="1:5">
      <c r="A139" s="42">
        <v>6.35</v>
      </c>
      <c r="B139" s="42">
        <f t="shared" si="4"/>
        <v>5.3649999999999996E-2</v>
      </c>
      <c r="C139" s="4">
        <f t="shared" si="6"/>
        <v>8.2867055071951718E-4</v>
      </c>
      <c r="D139" s="12">
        <f t="shared" si="5"/>
        <v>13715.329450831458</v>
      </c>
      <c r="E139" s="10"/>
    </row>
    <row r="140" spans="1:5">
      <c r="A140" s="42">
        <v>6.4</v>
      </c>
      <c r="B140" s="42">
        <f t="shared" si="4"/>
        <v>5.3599999999999995E-2</v>
      </c>
      <c r="C140" s="4">
        <f t="shared" si="6"/>
        <v>8.3223845641400328E-4</v>
      </c>
      <c r="D140" s="12">
        <f t="shared" si="5"/>
        <v>13842.396712981061</v>
      </c>
      <c r="E140" s="10"/>
    </row>
    <row r="141" spans="1:5">
      <c r="A141" s="42">
        <v>6.45</v>
      </c>
      <c r="B141" s="42">
        <f t="shared" ref="B141:B204" si="7">0.06-0.001*A141</f>
        <v>5.355E-2</v>
      </c>
      <c r="C141" s="4">
        <f t="shared" si="6"/>
        <v>8.3582727646196024E-4</v>
      </c>
      <c r="D141" s="12">
        <f t="shared" ref="D141:D204" si="8">(D142-B$6*E$9+B$6*C141*20000)/(1+B$6*B141+B$6*C141)</f>
        <v>13969.774393427109</v>
      </c>
      <c r="E141" s="10"/>
    </row>
    <row r="142" spans="1:5">
      <c r="A142" s="42">
        <v>6.5</v>
      </c>
      <c r="B142" s="42">
        <f t="shared" si="7"/>
        <v>5.3499999999999999E-2</v>
      </c>
      <c r="C142" s="4">
        <f t="shared" si="6"/>
        <v>8.3943713345916685E-4</v>
      </c>
      <c r="D142" s="12">
        <f t="shared" si="8"/>
        <v>14097.462739981254</v>
      </c>
      <c r="E142" s="10"/>
    </row>
    <row r="143" spans="1:5">
      <c r="A143" s="42">
        <v>6.55</v>
      </c>
      <c r="B143" s="42">
        <f t="shared" si="7"/>
        <v>5.3449999999999998E-2</v>
      </c>
      <c r="C143" s="4">
        <f t="shared" si="6"/>
        <v>8.4306815072003572E-4</v>
      </c>
      <c r="D143" s="12">
        <f t="shared" si="8"/>
        <v>14225.461999330819</v>
      </c>
      <c r="E143" s="10"/>
    </row>
    <row r="144" spans="1:5">
      <c r="A144" s="42">
        <v>6.6</v>
      </c>
      <c r="B144" s="42">
        <f t="shared" si="7"/>
        <v>5.3399999999999996E-2</v>
      </c>
      <c r="C144" s="4">
        <f t="shared" si="6"/>
        <v>8.4672045228182367E-4</v>
      </c>
      <c r="D144" s="12">
        <f t="shared" si="8"/>
        <v>14353.772417038361</v>
      </c>
      <c r="E144" s="10"/>
    </row>
    <row r="145" spans="1:5">
      <c r="A145" s="42">
        <v>6.65</v>
      </c>
      <c r="B145" s="42">
        <f t="shared" si="7"/>
        <v>5.3349999999999995E-2</v>
      </c>
      <c r="C145" s="4">
        <f t="shared" si="6"/>
        <v>8.5039416290886801E-4</v>
      </c>
      <c r="D145" s="12">
        <f t="shared" si="8"/>
        <v>14482.394237541217</v>
      </c>
      <c r="E145" s="10"/>
    </row>
    <row r="146" spans="1:5">
      <c r="A146" s="42">
        <v>6.7</v>
      </c>
      <c r="B146" s="42">
        <f t="shared" si="7"/>
        <v>5.33E-2</v>
      </c>
      <c r="C146" s="4">
        <f t="shared" si="6"/>
        <v>8.5408940809685171E-4</v>
      </c>
      <c r="D146" s="12">
        <f t="shared" si="8"/>
        <v>14611.327704151179</v>
      </c>
      <c r="E146" s="10"/>
    </row>
    <row r="147" spans="1:5">
      <c r="A147" s="42">
        <v>6.75</v>
      </c>
      <c r="B147" s="42">
        <f t="shared" si="7"/>
        <v>5.3249999999999999E-2</v>
      </c>
      <c r="C147" s="4">
        <f t="shared" si="6"/>
        <v>8.578063140770863E-4</v>
      </c>
      <c r="D147" s="12">
        <f t="shared" si="8"/>
        <v>14740.573059054163</v>
      </c>
      <c r="E147" s="10"/>
    </row>
    <row r="148" spans="1:5">
      <c r="A148" s="42">
        <v>6.8</v>
      </c>
      <c r="B148" s="42">
        <f t="shared" si="7"/>
        <v>5.3199999999999997E-2</v>
      </c>
      <c r="C148" s="4">
        <f t="shared" si="6"/>
        <v>8.6154500782082788E-4</v>
      </c>
      <c r="D148" s="12">
        <f t="shared" si="8"/>
        <v>14870.130543309977</v>
      </c>
      <c r="E148" s="10"/>
    </row>
    <row r="149" spans="1:5">
      <c r="A149" s="42">
        <v>6.85</v>
      </c>
      <c r="B149" s="42">
        <f t="shared" si="7"/>
        <v>5.3149999999999996E-2</v>
      </c>
      <c r="C149" s="4">
        <f t="shared" si="6"/>
        <v>8.653056170436123E-4</v>
      </c>
      <c r="D149" s="12">
        <f t="shared" si="8"/>
        <v>15000.000396852123</v>
      </c>
      <c r="E149" s="10"/>
    </row>
    <row r="150" spans="1:5">
      <c r="A150" s="42">
        <v>6.9</v>
      </c>
      <c r="B150" s="42">
        <f t="shared" si="7"/>
        <v>5.3099999999999994E-2</v>
      </c>
      <c r="C150" s="4">
        <f t="shared" si="6"/>
        <v>8.690882702096182E-4</v>
      </c>
      <c r="D150" s="12">
        <f t="shared" si="8"/>
        <v>15130.182858487668</v>
      </c>
      <c r="E150" s="10"/>
    </row>
    <row r="151" spans="1:5">
      <c r="A151" s="42">
        <v>6.95</v>
      </c>
      <c r="B151" s="42">
        <f t="shared" si="7"/>
        <v>5.305E-2</v>
      </c>
      <c r="C151" s="4">
        <f t="shared" si="6"/>
        <v>8.7289309653605662E-4</v>
      </c>
      <c r="D151" s="12">
        <f t="shared" si="8"/>
        <v>15260.678165897165</v>
      </c>
      <c r="E151" s="10"/>
    </row>
    <row r="152" spans="1:5">
      <c r="A152" s="42">
        <v>7</v>
      </c>
      <c r="B152" s="42">
        <f t="shared" si="7"/>
        <v>5.2999999999999999E-2</v>
      </c>
      <c r="C152" s="4">
        <f t="shared" si="6"/>
        <v>8.7672022599758251E-4</v>
      </c>
      <c r="D152" s="12">
        <f t="shared" si="8"/>
        <v>15391.486555634647</v>
      </c>
      <c r="E152" s="10"/>
    </row>
    <row r="153" spans="1:5">
      <c r="A153" s="42">
        <v>7.05</v>
      </c>
      <c r="B153" s="42">
        <f t="shared" si="7"/>
        <v>5.2949999999999997E-2</v>
      </c>
      <c r="C153" s="4">
        <f t="shared" si="6"/>
        <v>8.8056978933073683E-4</v>
      </c>
      <c r="D153" s="12">
        <f t="shared" si="8"/>
        <v>15522.60826312766</v>
      </c>
      <c r="E153" s="10"/>
    </row>
    <row r="154" spans="1:5">
      <c r="A154" s="42">
        <v>7.1</v>
      </c>
      <c r="B154" s="42">
        <f t="shared" si="7"/>
        <v>5.2899999999999996E-2</v>
      </c>
      <c r="C154" s="4">
        <f t="shared" si="6"/>
        <v>8.8444191803841441E-4</v>
      </c>
      <c r="D154" s="12">
        <f t="shared" si="8"/>
        <v>15654.043522677364</v>
      </c>
      <c r="E154" s="10"/>
    </row>
    <row r="155" spans="1:5">
      <c r="A155" s="42">
        <v>7.15</v>
      </c>
      <c r="B155" s="42">
        <f t="shared" si="7"/>
        <v>5.2849999999999994E-2</v>
      </c>
      <c r="C155" s="4">
        <f t="shared" si="6"/>
        <v>8.8833674439435051E-4</v>
      </c>
      <c r="D155" s="12">
        <f t="shared" si="8"/>
        <v>15785.79256745872</v>
      </c>
      <c r="E155" s="10"/>
    </row>
    <row r="156" spans="1:5">
      <c r="A156" s="42">
        <v>7.2</v>
      </c>
      <c r="B156" s="42">
        <f t="shared" si="7"/>
        <v>5.28E-2</v>
      </c>
      <c r="C156" s="4">
        <f t="shared" si="6"/>
        <v>8.9225440144764551E-4</v>
      </c>
      <c r="D156" s="12">
        <f t="shared" si="8"/>
        <v>15917.855629520693</v>
      </c>
      <c r="E156" s="10"/>
    </row>
    <row r="157" spans="1:5">
      <c r="A157" s="42">
        <v>7.25</v>
      </c>
      <c r="B157" s="42">
        <f t="shared" si="7"/>
        <v>5.2749999999999998E-2</v>
      </c>
      <c r="C157" s="4">
        <f t="shared" si="6"/>
        <v>8.9619502302730469E-4</v>
      </c>
      <c r="D157" s="12">
        <f t="shared" si="8"/>
        <v>16050.232939786532</v>
      </c>
      <c r="E157" s="10"/>
    </row>
    <row r="158" spans="1:5">
      <c r="A158" s="42">
        <v>7.3</v>
      </c>
      <c r="B158" s="42">
        <f t="shared" si="7"/>
        <v>5.2699999999999997E-2</v>
      </c>
      <c r="C158" s="4">
        <f t="shared" si="6"/>
        <v>9.0015874374681432E-4</v>
      </c>
      <c r="D158" s="12">
        <f t="shared" si="8"/>
        <v>16182.924728054148</v>
      </c>
      <c r="E158" s="10"/>
    </row>
    <row r="159" spans="1:5">
      <c r="A159" s="42">
        <v>7.35</v>
      </c>
      <c r="B159" s="42">
        <f t="shared" si="7"/>
        <v>5.2649999999999995E-2</v>
      </c>
      <c r="C159" s="4">
        <f t="shared" si="6"/>
        <v>9.0414569900873791E-4</v>
      </c>
      <c r="D159" s="12">
        <f t="shared" si="8"/>
        <v>16315.931222996493</v>
      </c>
      <c r="E159" s="10"/>
    </row>
    <row r="160" spans="1:5">
      <c r="A160" s="42">
        <v>7.4</v>
      </c>
      <c r="B160" s="42">
        <f t="shared" si="7"/>
        <v>5.2599999999999994E-2</v>
      </c>
      <c r="C160" s="4">
        <f t="shared" si="6"/>
        <v>9.0815602500933968E-4</v>
      </c>
      <c r="D160" s="12">
        <f t="shared" si="8"/>
        <v>16449.252652162053</v>
      </c>
      <c r="E160" s="10"/>
    </row>
    <row r="161" spans="1:5">
      <c r="A161" s="42">
        <v>7.45</v>
      </c>
      <c r="B161" s="42">
        <f t="shared" si="7"/>
        <v>5.2549999999999999E-2</v>
      </c>
      <c r="C161" s="4">
        <f t="shared" si="6"/>
        <v>9.1218985874324339E-4</v>
      </c>
      <c r="D161" s="12">
        <f t="shared" si="8"/>
        <v>16582.889241975376</v>
      </c>
      <c r="E161" s="10"/>
    </row>
    <row r="162" spans="1:5">
      <c r="A162" s="42">
        <v>7.5</v>
      </c>
      <c r="B162" s="42">
        <f t="shared" si="7"/>
        <v>5.2499999999999998E-2</v>
      </c>
      <c r="C162" s="4">
        <f t="shared" si="6"/>
        <v>9.1624733800810363E-4</v>
      </c>
      <c r="D162" s="12">
        <f t="shared" si="8"/>
        <v>16716.841217737681</v>
      </c>
      <c r="E162" s="10"/>
    </row>
    <row r="163" spans="1:5">
      <c r="A163" s="42">
        <v>7.55</v>
      </c>
      <c r="B163" s="42">
        <f t="shared" si="7"/>
        <v>5.2449999999999997E-2</v>
      </c>
      <c r="C163" s="4">
        <f t="shared" si="6"/>
        <v>9.2032860140932012E-4</v>
      </c>
      <c r="D163" s="12">
        <f t="shared" si="8"/>
        <v>16851.108803627518</v>
      </c>
      <c r="E163" s="10"/>
    </row>
    <row r="164" spans="1:5">
      <c r="A164" s="42">
        <v>7.6</v>
      </c>
      <c r="B164" s="42">
        <f t="shared" si="7"/>
        <v>5.2399999999999995E-2</v>
      </c>
      <c r="C164" s="4">
        <f t="shared" si="6"/>
        <v>9.2443378836476995E-4</v>
      </c>
      <c r="D164" s="12">
        <f t="shared" si="8"/>
        <v>16985.692222701491</v>
      </c>
      <c r="E164" s="10"/>
    </row>
    <row r="165" spans="1:5">
      <c r="A165" s="42">
        <v>7.65</v>
      </c>
      <c r="B165" s="42">
        <f t="shared" si="7"/>
        <v>5.2349999999999994E-2</v>
      </c>
      <c r="C165" s="4">
        <f t="shared" si="6"/>
        <v>9.2856303910956767E-4</v>
      </c>
      <c r="D165" s="12">
        <f t="shared" si="8"/>
        <v>17120.591696895073</v>
      </c>
      <c r="E165" s="10"/>
    </row>
    <row r="166" spans="1:5">
      <c r="A166" s="42">
        <v>7.7</v>
      </c>
      <c r="B166" s="42">
        <f t="shared" si="7"/>
        <v>5.2299999999999999E-2</v>
      </c>
      <c r="C166" s="4">
        <f t="shared" si="6"/>
        <v>9.3271649470086143E-4</v>
      </c>
      <c r="D166" s="12">
        <f t="shared" si="8"/>
        <v>17255.807447023457</v>
      </c>
      <c r="E166" s="10"/>
    </row>
    <row r="167" spans="1:5">
      <c r="A167" s="42">
        <v>7.75</v>
      </c>
      <c r="B167" s="42">
        <f t="shared" si="7"/>
        <v>5.2249999999999998E-2</v>
      </c>
      <c r="C167" s="4">
        <f t="shared" si="6"/>
        <v>9.3689429702264505E-4</v>
      </c>
      <c r="D167" s="12">
        <f t="shared" si="8"/>
        <v>17391.339692782483</v>
      </c>
      <c r="E167" s="10"/>
    </row>
    <row r="168" spans="1:5">
      <c r="A168" s="42">
        <v>7.8</v>
      </c>
      <c r="B168" s="42">
        <f t="shared" si="7"/>
        <v>5.2199999999999996E-2</v>
      </c>
      <c r="C168" s="4">
        <f t="shared" si="6"/>
        <v>9.4109658879061066E-4</v>
      </c>
      <c r="D168" s="12">
        <f t="shared" si="8"/>
        <v>17527.188652749643</v>
      </c>
      <c r="E168" s="10"/>
    </row>
    <row r="169" spans="1:5">
      <c r="A169" s="42">
        <v>7.85</v>
      </c>
      <c r="B169" s="42">
        <f t="shared" si="7"/>
        <v>5.2150000000000002E-2</v>
      </c>
      <c r="C169" s="4">
        <f t="shared" si="6"/>
        <v>9.4532351355702089E-4</v>
      </c>
      <c r="D169" s="12">
        <f t="shared" si="8"/>
        <v>17663.354544385136</v>
      </c>
      <c r="E169" s="10"/>
    </row>
    <row r="170" spans="1:5">
      <c r="A170" s="42">
        <v>7.9</v>
      </c>
      <c r="B170" s="42">
        <f t="shared" si="7"/>
        <v>5.2099999999999994E-2</v>
      </c>
      <c r="C170" s="4">
        <f t="shared" si="6"/>
        <v>9.4957521571561088E-4</v>
      </c>
      <c r="D170" s="12">
        <f t="shared" si="8"/>
        <v>17799.837584033019</v>
      </c>
      <c r="E170" s="10"/>
    </row>
    <row r="171" spans="1:5">
      <c r="A171" s="42">
        <v>7.95</v>
      </c>
      <c r="B171" s="42">
        <f t="shared" si="7"/>
        <v>5.2049999999999999E-2</v>
      </c>
      <c r="C171" s="4">
        <f t="shared" si="6"/>
        <v>9.5385184050652768E-4</v>
      </c>
      <c r="D171" s="12">
        <f t="shared" si="8"/>
        <v>17936.637986922386</v>
      </c>
      <c r="E171" s="10"/>
    </row>
    <row r="172" spans="1:5">
      <c r="A172" s="42">
        <v>8</v>
      </c>
      <c r="B172" s="42">
        <f t="shared" si="7"/>
        <v>5.1999999999999998E-2</v>
      </c>
      <c r="C172" s="4">
        <f t="shared" si="6"/>
        <v>9.5815353402128292E-4</v>
      </c>
      <c r="D172" s="12">
        <f t="shared" si="8"/>
        <v>18073.755967168665</v>
      </c>
      <c r="E172" s="10"/>
    </row>
    <row r="173" spans="1:5">
      <c r="A173" s="42">
        <v>8.0500000000000007</v>
      </c>
      <c r="B173" s="42">
        <f t="shared" si="7"/>
        <v>5.1949999999999996E-2</v>
      </c>
      <c r="C173" s="4">
        <f t="shared" si="6"/>
        <v>9.6248044320774832E-4</v>
      </c>
      <c r="D173" s="12">
        <f t="shared" si="8"/>
        <v>18211.191737774927</v>
      </c>
      <c r="E173" s="10"/>
    </row>
    <row r="174" spans="1:5">
      <c r="A174" s="42">
        <v>8.1</v>
      </c>
      <c r="B174" s="42">
        <f t="shared" si="7"/>
        <v>5.1900000000000002E-2</v>
      </c>
      <c r="C174" s="4">
        <f t="shared" si="6"/>
        <v>9.6683271587517786E-4</v>
      </c>
      <c r="D174" s="12">
        <f t="shared" si="8"/>
        <v>18348.945510633348</v>
      </c>
      <c r="E174" s="10"/>
    </row>
    <row r="175" spans="1:5">
      <c r="A175" s="42">
        <v>8.15</v>
      </c>
      <c r="B175" s="42">
        <f t="shared" si="7"/>
        <v>5.1849999999999993E-2</v>
      </c>
      <c r="C175" s="4">
        <f t="shared" si="6"/>
        <v>9.7121050069925009E-4</v>
      </c>
      <c r="D175" s="12">
        <f t="shared" si="8"/>
        <v>18487.017496526638</v>
      </c>
      <c r="E175" s="10"/>
    </row>
    <row r="176" spans="1:5">
      <c r="A176" s="42">
        <v>8.1999999999999993</v>
      </c>
      <c r="B176" s="42">
        <f t="shared" si="7"/>
        <v>5.1799999999999999E-2</v>
      </c>
      <c r="C176" s="4">
        <f t="shared" si="6"/>
        <v>9.7561394722715366E-4</v>
      </c>
      <c r="D176" s="12">
        <f t="shared" si="8"/>
        <v>18625.407905129643</v>
      </c>
      <c r="E176" s="10"/>
    </row>
    <row r="177" spans="1:5">
      <c r="A177" s="42">
        <v>8.25</v>
      </c>
      <c r="B177" s="42">
        <f t="shared" si="7"/>
        <v>5.1749999999999997E-2</v>
      </c>
      <c r="C177" s="4">
        <f t="shared" si="6"/>
        <v>9.8004320588269056E-4</v>
      </c>
      <c r="D177" s="12">
        <f t="shared" si="8"/>
        <v>18764.116945010952</v>
      </c>
      <c r="E177" s="10"/>
    </row>
    <row r="178" spans="1:5">
      <c r="A178" s="42">
        <v>8.3000000000000007</v>
      </c>
      <c r="B178" s="42">
        <f t="shared" si="7"/>
        <v>5.1699999999999996E-2</v>
      </c>
      <c r="C178" s="4">
        <f t="shared" si="6"/>
        <v>9.8449842797141925E-4</v>
      </c>
      <c r="D178" s="12">
        <f t="shared" si="8"/>
        <v>18903.1448236346</v>
      </c>
      <c r="E178" s="10"/>
    </row>
    <row r="179" spans="1:5">
      <c r="A179" s="42">
        <v>8.35</v>
      </c>
      <c r="B179" s="42">
        <f t="shared" si="7"/>
        <v>5.1650000000000001E-2</v>
      </c>
      <c r="C179" s="4">
        <f t="shared" si="6"/>
        <v>9.8897976568582146E-4</v>
      </c>
      <c r="D179" s="12">
        <f t="shared" si="8"/>
        <v>19042.491747361855</v>
      </c>
      <c r="E179" s="10"/>
    </row>
    <row r="180" spans="1:5">
      <c r="A180" s="42">
        <v>8.4</v>
      </c>
      <c r="B180" s="42">
        <f t="shared" si="7"/>
        <v>5.1599999999999993E-2</v>
      </c>
      <c r="C180" s="4">
        <f t="shared" si="6"/>
        <v>9.9348737211049773E-4</v>
      </c>
      <c r="D180" s="12">
        <f t="shared" si="8"/>
        <v>19182.157921453047</v>
      </c>
      <c r="E180" s="10"/>
    </row>
    <row r="181" spans="1:5">
      <c r="A181" s="42">
        <v>8.4499999999999993</v>
      </c>
      <c r="B181" s="42">
        <f t="shared" si="7"/>
        <v>5.1549999999999999E-2</v>
      </c>
      <c r="C181" s="4">
        <f t="shared" si="6"/>
        <v>9.9802140122740544E-4</v>
      </c>
      <c r="D181" s="12">
        <f t="shared" si="8"/>
        <v>19322.143550069526</v>
      </c>
      <c r="E181" s="10"/>
    </row>
    <row r="182" spans="1:5">
      <c r="A182" s="42">
        <v>8.5</v>
      </c>
      <c r="B182" s="42">
        <f t="shared" si="7"/>
        <v>5.1499999999999997E-2</v>
      </c>
      <c r="C182" s="4">
        <f t="shared" ref="C182:C245" si="9">(B$3+B$4*B$5^(B$7+A182))</f>
        <v>1.0025820079211083E-3</v>
      </c>
      <c r="D182" s="12">
        <f t="shared" si="8"/>
        <v>19462.448836275627</v>
      </c>
      <c r="E182" s="10"/>
    </row>
    <row r="183" spans="1:5">
      <c r="A183" s="42">
        <v>8.5500000000000007</v>
      </c>
      <c r="B183" s="42">
        <f t="shared" si="7"/>
        <v>5.1449999999999996E-2</v>
      </c>
      <c r="C183" s="4">
        <f t="shared" si="9"/>
        <v>1.0071693479840758E-3</v>
      </c>
      <c r="D183" s="12">
        <f t="shared" si="8"/>
        <v>19603.073982040783</v>
      </c>
      <c r="E183" s="10"/>
    </row>
    <row r="184" spans="1:5">
      <c r="A184" s="42">
        <v>8.6</v>
      </c>
      <c r="B184" s="42">
        <f t="shared" si="7"/>
        <v>5.1400000000000001E-2</v>
      </c>
      <c r="C184" s="4">
        <f t="shared" si="9"/>
        <v>1.0117835781220015E-3</v>
      </c>
      <c r="D184" s="12">
        <f t="shared" si="8"/>
        <v>19744.019188241647</v>
      </c>
      <c r="E184" s="10"/>
    </row>
    <row r="185" spans="1:5">
      <c r="A185" s="42">
        <v>8.65</v>
      </c>
      <c r="B185" s="42">
        <f t="shared" si="7"/>
        <v>5.135E-2</v>
      </c>
      <c r="C185" s="4">
        <f t="shared" si="9"/>
        <v>1.0164248559591542E-3</v>
      </c>
      <c r="D185" s="12">
        <f t="shared" si="8"/>
        <v>19885.284654664345</v>
      </c>
      <c r="E185" s="10"/>
    </row>
    <row r="186" spans="1:5">
      <c r="A186" s="42">
        <v>8.6999999999999993</v>
      </c>
      <c r="B186" s="42">
        <f t="shared" si="7"/>
        <v>5.1299999999999998E-2</v>
      </c>
      <c r="C186" s="4">
        <f t="shared" si="9"/>
        <v>1.0210933400437681E-3</v>
      </c>
      <c r="D186" s="12">
        <f t="shared" si="8"/>
        <v>20026.870580006776</v>
      </c>
      <c r="E186" s="10"/>
    </row>
    <row r="187" spans="1:5">
      <c r="A187" s="42">
        <v>8.75</v>
      </c>
      <c r="B187" s="42">
        <f t="shared" si="7"/>
        <v>5.1249999999999997E-2</v>
      </c>
      <c r="C187" s="4">
        <f t="shared" si="9"/>
        <v>1.0257891898534531E-3</v>
      </c>
      <c r="D187" s="12">
        <f t="shared" si="8"/>
        <v>20168.777161881007</v>
      </c>
      <c r="E187" s="10"/>
    </row>
    <row r="188" spans="1:5">
      <c r="A188" s="42">
        <v>8.8000000000000007</v>
      </c>
      <c r="B188" s="42">
        <f t="shared" si="7"/>
        <v>5.1199999999999996E-2</v>
      </c>
      <c r="C188" s="4">
        <f t="shared" si="9"/>
        <v>1.0305125658006463E-3</v>
      </c>
      <c r="D188" s="12">
        <f t="shared" si="8"/>
        <v>20311.004596815732</v>
      </c>
      <c r="E188" s="10"/>
    </row>
    <row r="189" spans="1:5">
      <c r="A189" s="42">
        <v>8.85</v>
      </c>
      <c r="B189" s="42">
        <f t="shared" si="7"/>
        <v>5.1150000000000001E-2</v>
      </c>
      <c r="C189" s="4">
        <f t="shared" si="9"/>
        <v>1.0352636292380916E-3</v>
      </c>
      <c r="D189" s="12">
        <f t="shared" si="8"/>
        <v>20453.553080258829</v>
      </c>
      <c r="E189" s="10"/>
    </row>
    <row r="190" spans="1:5">
      <c r="A190" s="42">
        <v>8.9</v>
      </c>
      <c r="B190" s="42">
        <f t="shared" si="7"/>
        <v>5.11E-2</v>
      </c>
      <c r="C190" s="4">
        <f t="shared" si="9"/>
        <v>1.0400425424643474E-3</v>
      </c>
      <c r="D190" s="12">
        <f t="shared" si="8"/>
        <v>20596.422806579987</v>
      </c>
      <c r="E190" s="10"/>
    </row>
    <row r="191" spans="1:5">
      <c r="A191" s="42">
        <v>8.9499999999999993</v>
      </c>
      <c r="B191" s="42">
        <f t="shared" si="7"/>
        <v>5.1049999999999998E-2</v>
      </c>
      <c r="C191" s="4">
        <f t="shared" si="9"/>
        <v>1.0448494687293371E-3</v>
      </c>
      <c r="D191" s="12">
        <f t="shared" si="8"/>
        <v>20739.613969073409</v>
      </c>
      <c r="E191" s="10"/>
    </row>
    <row r="192" spans="1:5">
      <c r="A192" s="42">
        <v>9</v>
      </c>
      <c r="B192" s="42">
        <f t="shared" si="7"/>
        <v>5.0999999999999997E-2</v>
      </c>
      <c r="C192" s="4">
        <f t="shared" si="9"/>
        <v>1.0496845722399221E-3</v>
      </c>
      <c r="D192" s="12">
        <f t="shared" si="8"/>
        <v>20883.126759960596</v>
      </c>
      <c r="E192" s="10"/>
    </row>
    <row r="193" spans="1:5">
      <c r="A193" s="42">
        <v>9.0500000000000007</v>
      </c>
      <c r="B193" s="42">
        <f t="shared" si="7"/>
        <v>5.0949999999999995E-2</v>
      </c>
      <c r="C193" s="4">
        <f t="shared" si="9"/>
        <v>1.054548018165509E-3</v>
      </c>
      <c r="D193" s="12">
        <f t="shared" si="8"/>
        <v>21026.961370393259</v>
      </c>
      <c r="E193" s="10"/>
    </row>
    <row r="194" spans="1:5">
      <c r="A194" s="42">
        <v>9.1</v>
      </c>
      <c r="B194" s="42">
        <f t="shared" si="7"/>
        <v>5.0900000000000001E-2</v>
      </c>
      <c r="C194" s="4">
        <f t="shared" si="9"/>
        <v>1.0594399726437001E-3</v>
      </c>
      <c r="D194" s="12">
        <f t="shared" si="8"/>
        <v>21171.11799045623</v>
      </c>
      <c r="E194" s="10"/>
    </row>
    <row r="195" spans="1:5">
      <c r="A195" s="42">
        <v>9.15</v>
      </c>
      <c r="B195" s="42">
        <f t="shared" si="7"/>
        <v>5.0849999999999999E-2</v>
      </c>
      <c r="C195" s="4">
        <f t="shared" si="9"/>
        <v>1.0643606027859571E-3</v>
      </c>
      <c r="D195" s="12">
        <f t="shared" si="8"/>
        <v>21315.596809170529</v>
      </c>
      <c r="E195" s="10"/>
    </row>
    <row r="196" spans="1:5">
      <c r="A196" s="42">
        <v>9.1999999999999993</v>
      </c>
      <c r="B196" s="42">
        <f t="shared" si="7"/>
        <v>5.0799999999999998E-2</v>
      </c>
      <c r="C196" s="4">
        <f t="shared" si="9"/>
        <v>1.0693100766833207E-3</v>
      </c>
      <c r="D196" s="12">
        <f t="shared" si="8"/>
        <v>21460.398014496488</v>
      </c>
      <c r="E196" s="10"/>
    </row>
    <row r="197" spans="1:5">
      <c r="A197" s="42">
        <v>9.25</v>
      </c>
      <c r="B197" s="42">
        <f t="shared" si="7"/>
        <v>5.0749999999999997E-2</v>
      </c>
      <c r="C197" s="4">
        <f t="shared" si="9"/>
        <v>1.0742885634121443E-3</v>
      </c>
      <c r="D197" s="12">
        <f t="shared" si="8"/>
        <v>21605.521793336953</v>
      </c>
      <c r="E197" s="10"/>
    </row>
    <row r="198" spans="1:5">
      <c r="A198" s="42">
        <v>9.3000000000000007</v>
      </c>
      <c r="B198" s="42">
        <f t="shared" si="7"/>
        <v>5.0699999999999995E-2</v>
      </c>
      <c r="C198" s="4">
        <f t="shared" si="9"/>
        <v>1.0792962330398754E-3</v>
      </c>
      <c r="D198" s="12">
        <f t="shared" si="8"/>
        <v>21750.968331540593</v>
      </c>
      <c r="E198" s="10"/>
    </row>
    <row r="199" spans="1:5">
      <c r="A199" s="42">
        <v>9.35</v>
      </c>
      <c r="B199" s="42">
        <f t="shared" si="7"/>
        <v>5.0650000000000001E-2</v>
      </c>
      <c r="C199" s="4">
        <f t="shared" si="9"/>
        <v>1.0843332566308633E-3</v>
      </c>
      <c r="D199" s="12">
        <f t="shared" si="8"/>
        <v>21896.737813905263</v>
      </c>
      <c r="E199" s="10"/>
    </row>
    <row r="200" spans="1:5">
      <c r="A200" s="42">
        <v>9.4</v>
      </c>
      <c r="B200" s="42">
        <f t="shared" si="7"/>
        <v>5.0599999999999999E-2</v>
      </c>
      <c r="C200" s="4">
        <f t="shared" si="9"/>
        <v>1.0893998062522002E-3</v>
      </c>
      <c r="D200" s="12">
        <f t="shared" si="8"/>
        <v>22042.830424181517</v>
      </c>
      <c r="E200" s="10"/>
    </row>
    <row r="201" spans="1:5">
      <c r="A201" s="42">
        <v>9.4499999999999993</v>
      </c>
      <c r="B201" s="42">
        <f t="shared" si="7"/>
        <v>5.0549999999999998E-2</v>
      </c>
      <c r="C201" s="4">
        <f t="shared" si="9"/>
        <v>1.0944960549796039E-3</v>
      </c>
      <c r="D201" s="12">
        <f t="shared" si="8"/>
        <v>22189.24634507611</v>
      </c>
      <c r="E201" s="10"/>
    </row>
    <row r="202" spans="1:5">
      <c r="A202" s="42">
        <v>9.5</v>
      </c>
      <c r="B202" s="42">
        <f t="shared" si="7"/>
        <v>5.0499999999999996E-2</v>
      </c>
      <c r="C202" s="4">
        <f t="shared" si="9"/>
        <v>1.0996221769033259E-3</v>
      </c>
      <c r="D202" s="12">
        <f t="shared" si="8"/>
        <v>22335.985758255691</v>
      </c>
      <c r="E202" s="10"/>
    </row>
    <row r="203" spans="1:5">
      <c r="A203" s="42">
        <v>9.5500000000000007</v>
      </c>
      <c r="B203" s="42">
        <f t="shared" si="7"/>
        <v>5.0449999999999995E-2</v>
      </c>
      <c r="C203" s="4">
        <f t="shared" si="9"/>
        <v>1.1047783471341012E-3</v>
      </c>
      <c r="D203" s="12">
        <f t="shared" si="8"/>
        <v>22483.048844350527</v>
      </c>
      <c r="E203" s="10"/>
    </row>
    <row r="204" spans="1:5">
      <c r="A204" s="42">
        <v>9.6</v>
      </c>
      <c r="B204" s="42">
        <f t="shared" si="7"/>
        <v>5.04E-2</v>
      </c>
      <c r="C204" s="4">
        <f t="shared" si="9"/>
        <v>1.1099647418091295E-3</v>
      </c>
      <c r="D204" s="12">
        <f t="shared" si="8"/>
        <v>22630.435782958306</v>
      </c>
      <c r="E204" s="10"/>
    </row>
    <row r="205" spans="1:5">
      <c r="A205" s="42">
        <v>9.65</v>
      </c>
      <c r="B205" s="42">
        <f t="shared" ref="B205:B268" si="10">0.06-0.001*A205</f>
        <v>5.0349999999999999E-2</v>
      </c>
      <c r="C205" s="4">
        <f t="shared" si="9"/>
        <v>1.1151815380980893E-3</v>
      </c>
      <c r="D205" s="12">
        <f t="shared" ref="D205:D211" si="11">(D206-B$6*E$9+B$6*C205*20000)/(1+B$6*B205+B$6*C205)</f>
        <v>22778.146752648096</v>
      </c>
      <c r="E205" s="10"/>
    </row>
    <row r="206" spans="1:5">
      <c r="A206" s="42">
        <v>9.6999999999999993</v>
      </c>
      <c r="B206" s="42">
        <f t="shared" si="10"/>
        <v>5.0299999999999997E-2</v>
      </c>
      <c r="C206" s="4">
        <f t="shared" si="9"/>
        <v>1.1204289142091955E-3</v>
      </c>
      <c r="D206" s="12">
        <f t="shared" si="11"/>
        <v>22926.181930964318</v>
      </c>
      <c r="E206" s="10"/>
    </row>
    <row r="207" spans="1:5">
      <c r="A207" s="42">
        <v>9.75</v>
      </c>
      <c r="B207" s="42">
        <f t="shared" si="10"/>
        <v>5.0249999999999996E-2</v>
      </c>
      <c r="C207" s="4">
        <f t="shared" si="9"/>
        <v>1.1257070493952811E-3</v>
      </c>
      <c r="D207" s="12">
        <f t="shared" si="11"/>
        <v>23074.541494430876</v>
      </c>
      <c r="E207" s="10"/>
    </row>
    <row r="208" spans="1:5">
      <c r="A208" s="42">
        <v>9.8000000000000007</v>
      </c>
      <c r="B208" s="42">
        <f t="shared" si="10"/>
        <v>5.0199999999999995E-2</v>
      </c>
      <c r="C208" s="4">
        <f t="shared" si="9"/>
        <v>1.1310161239599264E-3</v>
      </c>
      <c r="D208" s="12">
        <f t="shared" si="11"/>
        <v>23223.225618555327</v>
      </c>
      <c r="E208" s="10"/>
    </row>
    <row r="209" spans="1:5">
      <c r="A209" s="42">
        <v>9.85</v>
      </c>
      <c r="B209" s="42">
        <f t="shared" si="10"/>
        <v>5.015E-2</v>
      </c>
      <c r="C209" s="4">
        <f t="shared" si="9"/>
        <v>1.1363563192636147E-3</v>
      </c>
      <c r="D209" s="12">
        <f t="shared" si="11"/>
        <v>23372.23447783319</v>
      </c>
      <c r="E209" s="10"/>
    </row>
    <row r="210" spans="1:5">
      <c r="A210" s="42">
        <v>9.9</v>
      </c>
      <c r="B210" s="42">
        <f t="shared" si="10"/>
        <v>5.0099999999999999E-2</v>
      </c>
      <c r="C210" s="4">
        <f t="shared" si="9"/>
        <v>1.1417278177299265E-3</v>
      </c>
      <c r="D210" s="12">
        <f t="shared" si="11"/>
        <v>23521.568245752303</v>
      </c>
      <c r="E210" s="10"/>
    </row>
    <row r="211" spans="1:5">
      <c r="A211" s="42">
        <v>9.9499999999999993</v>
      </c>
      <c r="B211" s="42">
        <f t="shared" si="10"/>
        <v>5.0049999999999997E-2</v>
      </c>
      <c r="C211" s="4">
        <f t="shared" si="9"/>
        <v>1.147130802851775E-3</v>
      </c>
      <c r="D211" s="12">
        <f t="shared" si="11"/>
        <v>23671.227094797323</v>
      </c>
      <c r="E211" s="10"/>
    </row>
    <row r="212" spans="1:5">
      <c r="A212" s="42">
        <v>10</v>
      </c>
      <c r="B212" s="42">
        <f t="shared" si="10"/>
        <v>4.9999999999999996E-2</v>
      </c>
      <c r="C212" s="4">
        <f t="shared" si="9"/>
        <v>1.1525654591976727E-3</v>
      </c>
      <c r="D212" s="84">
        <f>(D213-B$6*E$9)/(1+B$6*B212)</f>
        <v>23821.211196454286</v>
      </c>
      <c r="E212" s="10"/>
    </row>
    <row r="213" spans="1:5">
      <c r="A213" s="42">
        <v>10.050000000000001</v>
      </c>
      <c r="B213" s="42">
        <f t="shared" si="10"/>
        <v>4.9949999999999994E-2</v>
      </c>
      <c r="C213" s="4">
        <f t="shared" si="9"/>
        <v>1.1580319724180323E-3</v>
      </c>
      <c r="D213" s="84">
        <f t="shared" ref="D213:D276" si="12">(D214-B$6*E$9)/(1+B$6*B213)</f>
        <v>23971.300511413418</v>
      </c>
      <c r="E213" s="10"/>
    </row>
    <row r="214" spans="1:5">
      <c r="A214" s="42">
        <v>10.1</v>
      </c>
      <c r="B214" s="42">
        <f t="shared" si="10"/>
        <v>4.99E-2</v>
      </c>
      <c r="C214" s="4">
        <f t="shared" si="9"/>
        <v>1.1635305292515188E-3</v>
      </c>
      <c r="D214" s="84">
        <f t="shared" si="12"/>
        <v>24121.705121408671</v>
      </c>
      <c r="E214" s="10"/>
    </row>
    <row r="215" spans="1:5">
      <c r="A215" s="42">
        <v>10.15</v>
      </c>
      <c r="B215" s="42">
        <f t="shared" si="10"/>
        <v>4.9849999999999998E-2</v>
      </c>
      <c r="C215" s="4">
        <f t="shared" si="9"/>
        <v>1.1690613175314158E-3</v>
      </c>
      <c r="D215" s="84">
        <f t="shared" si="12"/>
        <v>24272.425062654584</v>
      </c>
      <c r="E215" s="10"/>
    </row>
    <row r="216" spans="1:5">
      <c r="A216" s="42">
        <v>10.199999999999999</v>
      </c>
      <c r="B216" s="42">
        <f t="shared" si="10"/>
        <v>4.9799999999999997E-2</v>
      </c>
      <c r="C216" s="4">
        <f t="shared" si="9"/>
        <v>1.1746245261920524E-3</v>
      </c>
      <c r="D216" s="84">
        <f t="shared" si="12"/>
        <v>24423.460369091248</v>
      </c>
      <c r="E216" s="10"/>
    </row>
    <row r="217" spans="1:5">
      <c r="A217" s="42">
        <v>10.25</v>
      </c>
      <c r="B217" s="42">
        <f t="shared" si="10"/>
        <v>4.9749999999999996E-2</v>
      </c>
      <c r="C217" s="4">
        <f t="shared" si="9"/>
        <v>1.1802203452752501E-3</v>
      </c>
      <c r="D217" s="84">
        <f t="shared" si="12"/>
        <v>24574.811072378288</v>
      </c>
      <c r="E217" s="10"/>
    </row>
    <row r="218" spans="1:5">
      <c r="A218" s="42">
        <v>10.3</v>
      </c>
      <c r="B218" s="42">
        <f t="shared" si="10"/>
        <v>4.9699999999999994E-2</v>
      </c>
      <c r="C218" s="4">
        <f t="shared" si="9"/>
        <v>1.1858489659368199E-3</v>
      </c>
      <c r="D218" s="84">
        <f t="shared" si="12"/>
        <v>24726.477201888829</v>
      </c>
      <c r="E218" s="10"/>
    </row>
    <row r="219" spans="1:5">
      <c r="A219" s="42">
        <v>10.35</v>
      </c>
      <c r="B219" s="42">
        <f t="shared" si="10"/>
        <v>4.965E-2</v>
      </c>
      <c r="C219" s="4">
        <f t="shared" si="9"/>
        <v>1.1915105804530903E-3</v>
      </c>
      <c r="D219" s="84">
        <f t="shared" si="12"/>
        <v>24878.458784703525</v>
      </c>
      <c r="E219" s="10"/>
    </row>
    <row r="220" spans="1:5">
      <c r="A220" s="42">
        <v>10.4</v>
      </c>
      <c r="B220" s="42">
        <f t="shared" si="10"/>
        <v>4.9599999999999998E-2</v>
      </c>
      <c r="C220" s="4">
        <f t="shared" si="9"/>
        <v>1.1972053822274732E-3</v>
      </c>
      <c r="D220" s="84">
        <f t="shared" si="12"/>
        <v>25030.755845604548</v>
      </c>
      <c r="E220" s="10"/>
    </row>
    <row r="221" spans="1:5">
      <c r="A221" s="42">
        <v>10.45</v>
      </c>
      <c r="B221" s="42">
        <f t="shared" si="10"/>
        <v>4.9549999999999997E-2</v>
      </c>
      <c r="C221" s="4">
        <f t="shared" si="9"/>
        <v>1.2029335657970746E-3</v>
      </c>
      <c r="D221" s="84">
        <f t="shared" si="12"/>
        <v>25183.368407069647</v>
      </c>
      <c r="E221" s="10"/>
    </row>
    <row r="222" spans="1:5">
      <c r="A222" s="42">
        <v>10.5</v>
      </c>
      <c r="B222" s="42">
        <f t="shared" si="10"/>
        <v>4.9499999999999995E-2</v>
      </c>
      <c r="C222" s="4">
        <f t="shared" si="9"/>
        <v>1.2086953268393382E-3</v>
      </c>
      <c r="D222" s="84">
        <f t="shared" si="12"/>
        <v>25336.296489266158</v>
      </c>
      <c r="E222" s="10"/>
    </row>
    <row r="223" spans="1:5">
      <c r="A223" s="42">
        <v>10.55</v>
      </c>
      <c r="B223" s="42">
        <f t="shared" si="10"/>
        <v>4.9449999999999994E-2</v>
      </c>
      <c r="C223" s="4">
        <f t="shared" si="9"/>
        <v>1.2144908621787298E-3</v>
      </c>
      <c r="D223" s="84">
        <f t="shared" si="12"/>
        <v>25489.540110045091</v>
      </c>
      <c r="E223" s="10"/>
    </row>
    <row r="224" spans="1:5">
      <c r="A224" s="42">
        <v>10.6</v>
      </c>
      <c r="B224" s="42">
        <f t="shared" si="10"/>
        <v>4.9399999999999999E-2</v>
      </c>
      <c r="C224" s="4">
        <f t="shared" si="9"/>
        <v>1.2203203697934617E-3</v>
      </c>
      <c r="D224" s="84">
        <f t="shared" si="12"/>
        <v>25643.099284935179</v>
      </c>
      <c r="E224" s="10"/>
    </row>
    <row r="225" spans="1:5">
      <c r="A225" s="42">
        <v>10.65</v>
      </c>
      <c r="B225" s="42">
        <f t="shared" si="10"/>
        <v>4.9349999999999998E-2</v>
      </c>
      <c r="C225" s="4">
        <f t="shared" si="9"/>
        <v>1.2261840488222522E-3</v>
      </c>
      <c r="D225" s="84">
        <f t="shared" si="12"/>
        <v>25796.974027136966</v>
      </c>
      <c r="E225" s="10"/>
    </row>
    <row r="226" spans="1:5">
      <c r="A226" s="42">
        <v>10.7</v>
      </c>
      <c r="B226" s="42">
        <f t="shared" si="10"/>
        <v>4.9299999999999997E-2</v>
      </c>
      <c r="C226" s="4">
        <f t="shared" si="9"/>
        <v>1.2320820995711356E-3</v>
      </c>
      <c r="D226" s="84">
        <f t="shared" si="12"/>
        <v>25951.164347516929</v>
      </c>
      <c r="E226" s="10"/>
    </row>
    <row r="227" spans="1:5">
      <c r="A227" s="42">
        <v>10.75</v>
      </c>
      <c r="B227" s="42">
        <f t="shared" si="10"/>
        <v>4.9249999999999995E-2</v>
      </c>
      <c r="C227" s="4">
        <f t="shared" si="9"/>
        <v>1.2380147235202961E-3</v>
      </c>
      <c r="D227" s="84">
        <f t="shared" si="12"/>
        <v>26105.670254601555</v>
      </c>
      <c r="E227" s="10"/>
    </row>
    <row r="228" spans="1:5">
      <c r="A228" s="42">
        <v>10.8</v>
      </c>
      <c r="B228" s="42">
        <f t="shared" si="10"/>
        <v>4.9199999999999994E-2</v>
      </c>
      <c r="C228" s="4">
        <f t="shared" si="9"/>
        <v>1.2439821233309575E-3</v>
      </c>
      <c r="D228" s="84">
        <f t="shared" si="12"/>
        <v>26260.491754571511</v>
      </c>
      <c r="E228" s="10"/>
    </row>
    <row r="229" spans="1:5">
      <c r="A229" s="42">
        <v>10.85</v>
      </c>
      <c r="B229" s="42">
        <f t="shared" si="10"/>
        <v>4.9149999999999999E-2</v>
      </c>
      <c r="C229" s="4">
        <f t="shared" si="9"/>
        <v>1.2499845028523032E-3</v>
      </c>
      <c r="D229" s="84">
        <f t="shared" si="12"/>
        <v>26415.628851255755</v>
      </c>
      <c r="E229" s="10"/>
    </row>
    <row r="230" spans="1:5">
      <c r="A230" s="42">
        <v>10.9</v>
      </c>
      <c r="B230" s="42">
        <f t="shared" si="10"/>
        <v>4.9099999999999998E-2</v>
      </c>
      <c r="C230" s="4">
        <f t="shared" si="9"/>
        <v>1.2560220671284374E-3</v>
      </c>
      <c r="D230" s="84">
        <f t="shared" si="12"/>
        <v>26571.081546125715</v>
      </c>
      <c r="E230" s="10"/>
    </row>
    <row r="231" spans="1:5">
      <c r="A231" s="42">
        <v>10.95</v>
      </c>
      <c r="B231" s="42">
        <f t="shared" si="10"/>
        <v>4.9049999999999996E-2</v>
      </c>
      <c r="C231" s="4">
        <f t="shared" si="9"/>
        <v>1.262095022405395E-3</v>
      </c>
      <c r="D231" s="84">
        <f t="shared" si="12"/>
        <v>26726.849838289454</v>
      </c>
      <c r="E231" s="10"/>
    </row>
    <row r="232" spans="1:5">
      <c r="A232" s="42">
        <v>11</v>
      </c>
      <c r="B232" s="42">
        <f t="shared" si="10"/>
        <v>4.9000000000000002E-2</v>
      </c>
      <c r="C232" s="4">
        <f t="shared" si="9"/>
        <v>1.2682035761381841E-3</v>
      </c>
      <c r="D232" s="84">
        <f t="shared" si="12"/>
        <v>26882.933724485858</v>
      </c>
      <c r="E232" s="10"/>
    </row>
    <row r="233" spans="1:5">
      <c r="A233" s="42">
        <v>11.05</v>
      </c>
      <c r="B233" s="42">
        <f t="shared" si="10"/>
        <v>4.8949999999999994E-2</v>
      </c>
      <c r="C233" s="4">
        <f t="shared" si="9"/>
        <v>1.2743479369978683E-3</v>
      </c>
      <c r="D233" s="84">
        <f t="shared" si="12"/>
        <v>27039.33319907885</v>
      </c>
      <c r="E233" s="10"/>
    </row>
    <row r="234" spans="1:5">
      <c r="A234" s="42">
        <v>11.1</v>
      </c>
      <c r="B234" s="42">
        <f t="shared" si="10"/>
        <v>4.8899999999999999E-2</v>
      </c>
      <c r="C234" s="4">
        <f t="shared" si="9"/>
        <v>1.2805283148787071E-3</v>
      </c>
      <c r="D234" s="84">
        <f t="shared" si="12"/>
        <v>27196.048254051595</v>
      </c>
      <c r="E234" s="10"/>
    </row>
    <row r="235" spans="1:5">
      <c r="A235" s="42">
        <v>11.15</v>
      </c>
      <c r="B235" s="42">
        <f t="shared" si="10"/>
        <v>4.8849999999999998E-2</v>
      </c>
      <c r="C235" s="4">
        <f t="shared" si="9"/>
        <v>1.2867449209053115E-3</v>
      </c>
      <c r="D235" s="84">
        <f t="shared" si="12"/>
        <v>27353.07887900075</v>
      </c>
      <c r="E235" s="10"/>
    </row>
    <row r="236" spans="1:5">
      <c r="A236" s="42">
        <v>11.2</v>
      </c>
      <c r="B236" s="42">
        <f t="shared" si="10"/>
        <v>4.8799999999999996E-2</v>
      </c>
      <c r="C236" s="4">
        <f t="shared" si="9"/>
        <v>1.2929979674398671E-3</v>
      </c>
      <c r="D236" s="84">
        <f t="shared" si="12"/>
        <v>27510.425061130707</v>
      </c>
      <c r="E236" s="10"/>
    </row>
    <row r="237" spans="1:5">
      <c r="A237" s="42">
        <v>11.25</v>
      </c>
      <c r="B237" s="42">
        <f t="shared" si="10"/>
        <v>4.8750000000000002E-2</v>
      </c>
      <c r="C237" s="4">
        <f t="shared" si="9"/>
        <v>1.299287668089381E-3</v>
      </c>
      <c r="D237" s="84">
        <f t="shared" si="12"/>
        <v>27668.086785247866</v>
      </c>
      <c r="E237" s="10"/>
    </row>
    <row r="238" spans="1:5">
      <c r="A238" s="42">
        <v>11.3</v>
      </c>
      <c r="B238" s="42">
        <f t="shared" si="10"/>
        <v>4.8699999999999993E-2</v>
      </c>
      <c r="C238" s="4">
        <f t="shared" si="9"/>
        <v>1.3056142377129857E-3</v>
      </c>
      <c r="D238" s="84">
        <f t="shared" si="12"/>
        <v>27826.064033754908</v>
      </c>
      <c r="E238" s="10"/>
    </row>
    <row r="239" spans="1:5">
      <c r="A239" s="42">
        <v>11.35</v>
      </c>
      <c r="B239" s="42">
        <f t="shared" si="10"/>
        <v>4.8649999999999999E-2</v>
      </c>
      <c r="C239" s="4">
        <f t="shared" si="9"/>
        <v>1.3119778924292737E-3</v>
      </c>
      <c r="D239" s="84">
        <f t="shared" si="12"/>
        <v>27984.356786645101</v>
      </c>
      <c r="E239" s="10"/>
    </row>
    <row r="240" spans="1:5">
      <c r="A240" s="42">
        <v>11.4</v>
      </c>
      <c r="B240" s="42">
        <f t="shared" si="10"/>
        <v>4.8599999999999997E-2</v>
      </c>
      <c r="C240" s="4">
        <f t="shared" si="9"/>
        <v>1.31837884962368E-3</v>
      </c>
      <c r="D240" s="84">
        <f t="shared" si="12"/>
        <v>28142.965021496617</v>
      </c>
      <c r="E240" s="10"/>
    </row>
    <row r="241" spans="1:5">
      <c r="A241" s="42">
        <v>11.45</v>
      </c>
      <c r="B241" s="42">
        <f t="shared" si="10"/>
        <v>4.8549999999999996E-2</v>
      </c>
      <c r="C241" s="4">
        <f t="shared" si="9"/>
        <v>1.324817327955912E-3</v>
      </c>
      <c r="D241" s="84">
        <f t="shared" si="12"/>
        <v>28301.888713466851</v>
      </c>
      <c r="E241" s="10"/>
    </row>
    <row r="242" spans="1:5">
      <c r="A242" s="42">
        <v>11.5</v>
      </c>
      <c r="B242" s="42">
        <f t="shared" si="10"/>
        <v>4.8500000000000001E-2</v>
      </c>
      <c r="C242" s="4">
        <f t="shared" si="9"/>
        <v>1.3312935473674163E-3</v>
      </c>
      <c r="D242" s="84">
        <f t="shared" si="12"/>
        <v>28461.127835286792</v>
      </c>
      <c r="E242" s="10"/>
    </row>
    <row r="243" spans="1:5">
      <c r="A243" s="42">
        <v>11.55</v>
      </c>
      <c r="B243" s="42">
        <f t="shared" si="10"/>
        <v>4.8449999999999993E-2</v>
      </c>
      <c r="C243" s="4">
        <f t="shared" si="9"/>
        <v>1.3378077290888924E-3</v>
      </c>
      <c r="D243" s="84">
        <f t="shared" si="12"/>
        <v>28620.682357255359</v>
      </c>
      <c r="E243" s="10"/>
    </row>
    <row r="244" spans="1:5">
      <c r="A244" s="42">
        <v>11.6</v>
      </c>
      <c r="B244" s="42">
        <f t="shared" si="10"/>
        <v>4.8399999999999999E-2</v>
      </c>
      <c r="C244" s="4">
        <f t="shared" si="9"/>
        <v>1.3443600956478509E-3</v>
      </c>
      <c r="D244" s="84">
        <f t="shared" si="12"/>
        <v>28780.552247233809</v>
      </c>
      <c r="E244" s="10"/>
    </row>
    <row r="245" spans="1:5">
      <c r="A245" s="42">
        <v>11.65</v>
      </c>
      <c r="B245" s="42">
        <f t="shared" si="10"/>
        <v>4.8349999999999997E-2</v>
      </c>
      <c r="C245" s="4">
        <f t="shared" si="9"/>
        <v>1.3509508708762115E-3</v>
      </c>
      <c r="D245" s="84">
        <f t="shared" si="12"/>
        <v>28940.737470640117</v>
      </c>
      <c r="E245" s="10"/>
    </row>
    <row r="246" spans="1:5">
      <c r="A246" s="42">
        <v>11.7</v>
      </c>
      <c r="B246" s="42">
        <f t="shared" si="10"/>
        <v>4.8299999999999996E-2</v>
      </c>
      <c r="C246" s="4">
        <f t="shared" ref="C246:C309" si="13">(B$3+B$4*B$5^(B$7+A246))</f>
        <v>1.3575802799179566E-3</v>
      </c>
      <c r="D246" s="84">
        <f t="shared" si="12"/>
        <v>29101.237990443387</v>
      </c>
      <c r="E246" s="10"/>
    </row>
    <row r="247" spans="1:5">
      <c r="A247" s="42">
        <v>11.75</v>
      </c>
      <c r="B247" s="42">
        <f t="shared" si="10"/>
        <v>4.8250000000000001E-2</v>
      </c>
      <c r="C247" s="4">
        <f t="shared" si="13"/>
        <v>1.3642485492368129E-3</v>
      </c>
      <c r="D247" s="84">
        <f t="shared" si="12"/>
        <v>29262.053767158308</v>
      </c>
      <c r="E247" s="10"/>
    </row>
    <row r="248" spans="1:5">
      <c r="A248" s="42">
        <v>11.8</v>
      </c>
      <c r="B248" s="42">
        <f t="shared" si="10"/>
        <v>4.8199999999999993E-2</v>
      </c>
      <c r="C248" s="4">
        <f t="shared" si="13"/>
        <v>1.3709559066239962E-3</v>
      </c>
      <c r="D248" s="84">
        <f t="shared" si="12"/>
        <v>29423.184758839576</v>
      </c>
      <c r="E248" s="10"/>
    </row>
    <row r="249" spans="1:5">
      <c r="A249" s="42">
        <v>11.85</v>
      </c>
      <c r="B249" s="42">
        <f t="shared" si="10"/>
        <v>4.8149999999999998E-2</v>
      </c>
      <c r="C249" s="4">
        <f t="shared" si="13"/>
        <v>1.3777025812059887E-3</v>
      </c>
      <c r="D249" s="84">
        <f t="shared" si="12"/>
        <v>29584.630921076379</v>
      </c>
      <c r="E249" s="10"/>
    </row>
    <row r="250" spans="1:5">
      <c r="A250" s="42">
        <v>11.9</v>
      </c>
      <c r="B250" s="42">
        <f t="shared" si="10"/>
        <v>4.8099999999999997E-2</v>
      </c>
      <c r="C250" s="4">
        <f t="shared" si="13"/>
        <v>1.3844888034523638E-3</v>
      </c>
      <c r="D250" s="84">
        <f t="shared" si="12"/>
        <v>29746.392206986868</v>
      </c>
      <c r="E250" s="10"/>
    </row>
    <row r="251" spans="1:5">
      <c r="A251" s="42">
        <v>11.95</v>
      </c>
      <c r="B251" s="42">
        <f t="shared" si="10"/>
        <v>4.8049999999999995E-2</v>
      </c>
      <c r="C251" s="4">
        <f t="shared" si="13"/>
        <v>1.391314805183665E-3</v>
      </c>
      <c r="D251" s="84">
        <f t="shared" si="12"/>
        <v>29908.468567212669</v>
      </c>
      <c r="E251" s="10"/>
    </row>
    <row r="252" spans="1:5">
      <c r="A252" s="42">
        <v>12</v>
      </c>
      <c r="B252" s="42">
        <f t="shared" si="10"/>
        <v>4.8000000000000001E-2</v>
      </c>
      <c r="C252" s="4">
        <f t="shared" si="13"/>
        <v>1.3981808195793189E-3</v>
      </c>
      <c r="D252" s="84">
        <f t="shared" si="12"/>
        <v>30070.8599499134</v>
      </c>
      <c r="E252" s="10"/>
    </row>
    <row r="253" spans="1:5">
      <c r="A253" s="42">
        <v>12.05</v>
      </c>
      <c r="B253" s="42">
        <f t="shared" si="10"/>
        <v>4.7949999999999993E-2</v>
      </c>
      <c r="C253" s="4">
        <f t="shared" si="13"/>
        <v>1.405087081185604E-3</v>
      </c>
      <c r="D253" s="84">
        <f t="shared" si="12"/>
        <v>30233.566300761191</v>
      </c>
      <c r="E253" s="10"/>
    </row>
    <row r="254" spans="1:5">
      <c r="A254" s="42">
        <v>12.1</v>
      </c>
      <c r="B254" s="42">
        <f t="shared" si="10"/>
        <v>4.7899999999999998E-2</v>
      </c>
      <c r="C254" s="4">
        <f t="shared" si="13"/>
        <v>1.412033825923667E-3</v>
      </c>
      <c r="D254" s="84">
        <f t="shared" si="12"/>
        <v>30396.587562935267</v>
      </c>
      <c r="E254" s="10"/>
    </row>
    <row r="255" spans="1:5">
      <c r="A255" s="42">
        <v>12.15</v>
      </c>
      <c r="B255" s="42">
        <f t="shared" si="10"/>
        <v>4.7849999999999997E-2</v>
      </c>
      <c r="C255" s="4">
        <f t="shared" si="13"/>
        <v>1.41902129109757E-3</v>
      </c>
      <c r="D255" s="84">
        <f t="shared" si="12"/>
        <v>30559.923677116494</v>
      </c>
      <c r="E255" s="10"/>
    </row>
    <row r="256" spans="1:5">
      <c r="A256" s="42">
        <v>12.2</v>
      </c>
      <c r="B256" s="42">
        <f t="shared" si="10"/>
        <v>4.7799999999999995E-2</v>
      </c>
      <c r="C256" s="4">
        <f t="shared" si="13"/>
        <v>1.4260497154024105E-3</v>
      </c>
      <c r="D256" s="84">
        <f t="shared" si="12"/>
        <v>30723.574581481997</v>
      </c>
      <c r="E256" s="10"/>
    </row>
    <row r="257" spans="1:5">
      <c r="A257" s="42">
        <v>12.25</v>
      </c>
      <c r="B257" s="42">
        <f t="shared" si="10"/>
        <v>4.7750000000000001E-2</v>
      </c>
      <c r="C257" s="4">
        <f t="shared" si="13"/>
        <v>1.4331193389324644E-3</v>
      </c>
      <c r="D257" s="84">
        <f t="shared" si="12"/>
        <v>30887.540211699736</v>
      </c>
      <c r="E257" s="10"/>
    </row>
    <row r="258" spans="1:5">
      <c r="A258" s="42">
        <v>12.3</v>
      </c>
      <c r="B258" s="42">
        <f t="shared" si="10"/>
        <v>4.7699999999999999E-2</v>
      </c>
      <c r="C258" s="4">
        <f t="shared" si="13"/>
        <v>1.440230403189396E-3</v>
      </c>
      <c r="D258" s="84">
        <f t="shared" si="12"/>
        <v>31051.820500923168</v>
      </c>
      <c r="E258" s="10"/>
    </row>
    <row r="259" spans="1:5">
      <c r="A259" s="42">
        <v>12.35</v>
      </c>
      <c r="B259" s="42">
        <f t="shared" si="10"/>
        <v>4.7649999999999998E-2</v>
      </c>
      <c r="C259" s="4">
        <f t="shared" si="13"/>
        <v>1.4473831510905038E-3</v>
      </c>
      <c r="D259" s="84">
        <f t="shared" si="12"/>
        <v>31216.415379785871</v>
      </c>
      <c r="E259" s="10"/>
    </row>
    <row r="260" spans="1:5">
      <c r="A260" s="42">
        <v>12.4</v>
      </c>
      <c r="B260" s="42">
        <f t="shared" si="10"/>
        <v>4.7599999999999996E-2</v>
      </c>
      <c r="C260" s="4">
        <f t="shared" si="13"/>
        <v>1.4545778269770162E-3</v>
      </c>
      <c r="D260" s="84">
        <f t="shared" si="12"/>
        <v>31381.32477639621</v>
      </c>
      <c r="E260" s="10"/>
    </row>
    <row r="261" spans="1:5">
      <c r="A261" s="42">
        <v>12.45</v>
      </c>
      <c r="B261" s="42">
        <f t="shared" si="10"/>
        <v>4.7549999999999995E-2</v>
      </c>
      <c r="C261" s="4">
        <f t="shared" si="13"/>
        <v>1.4618146766224463E-3</v>
      </c>
      <c r="D261" s="84">
        <f t="shared" si="12"/>
        <v>31546.548616332035</v>
      </c>
      <c r="E261" s="10"/>
    </row>
    <row r="262" spans="1:5">
      <c r="A262" s="42">
        <v>12.5</v>
      </c>
      <c r="B262" s="42">
        <f t="shared" si="10"/>
        <v>4.7500000000000001E-2</v>
      </c>
      <c r="C262" s="4">
        <f t="shared" si="13"/>
        <v>1.4690939472409761E-3</v>
      </c>
      <c r="D262" s="84">
        <f t="shared" si="12"/>
        <v>31712.08682263536</v>
      </c>
      <c r="E262" s="10"/>
    </row>
    <row r="263" spans="1:5">
      <c r="A263" s="42">
        <v>12.55</v>
      </c>
      <c r="B263" s="42">
        <f t="shared" si="10"/>
        <v>4.7449999999999999E-2</v>
      </c>
      <c r="C263" s="4">
        <f t="shared" si="13"/>
        <v>1.4764158874959151E-3</v>
      </c>
      <c r="D263" s="84">
        <f t="shared" si="12"/>
        <v>31877.939315807118</v>
      </c>
      <c r="E263" s="10"/>
    </row>
    <row r="264" spans="1:5">
      <c r="A264" s="42">
        <v>12.6</v>
      </c>
      <c r="B264" s="42">
        <f t="shared" si="10"/>
        <v>4.7399999999999998E-2</v>
      </c>
      <c r="C264" s="4">
        <f t="shared" si="13"/>
        <v>1.4837807475081846E-3</v>
      </c>
      <c r="D264" s="84">
        <f t="shared" si="12"/>
        <v>32044.106013801873</v>
      </c>
      <c r="E264" s="10"/>
    </row>
    <row r="265" spans="1:5">
      <c r="A265" s="42">
        <v>12.65</v>
      </c>
      <c r="B265" s="42">
        <f t="shared" si="10"/>
        <v>4.7349999999999996E-2</v>
      </c>
      <c r="C265" s="4">
        <f t="shared" si="13"/>
        <v>1.491188778864862E-3</v>
      </c>
      <c r="D265" s="84">
        <f t="shared" si="12"/>
        <v>32210.586832022582</v>
      </c>
      <c r="E265" s="10"/>
    </row>
    <row r="266" spans="1:5">
      <c r="A266" s="42">
        <v>12.7</v>
      </c>
      <c r="B266" s="42">
        <f t="shared" si="10"/>
        <v>4.7299999999999995E-2</v>
      </c>
      <c r="C266" s="4">
        <f t="shared" si="13"/>
        <v>1.4986402346277834E-3</v>
      </c>
      <c r="D266" s="84">
        <f t="shared" si="12"/>
        <v>32377.381683315398</v>
      </c>
      <c r="E266" s="10"/>
    </row>
    <row r="267" spans="1:5">
      <c r="A267" s="42">
        <v>12.75</v>
      </c>
      <c r="B267" s="42">
        <f t="shared" si="10"/>
        <v>4.725E-2</v>
      </c>
      <c r="C267" s="4">
        <f t="shared" si="13"/>
        <v>1.5061353693421777E-3</v>
      </c>
      <c r="D267" s="84">
        <f t="shared" si="12"/>
        <v>32544.490477964435</v>
      </c>
      <c r="E267" s="10"/>
    </row>
    <row r="268" spans="1:5">
      <c r="A268" s="42">
        <v>12.8</v>
      </c>
      <c r="B268" s="42">
        <f t="shared" si="10"/>
        <v>4.7199999999999999E-2</v>
      </c>
      <c r="C268" s="4">
        <f t="shared" si="13"/>
        <v>1.5136744390453717E-3</v>
      </c>
      <c r="D268" s="84">
        <f t="shared" si="12"/>
        <v>32711.913123686627</v>
      </c>
      <c r="E268" s="10"/>
    </row>
    <row r="269" spans="1:5">
      <c r="A269" s="42">
        <v>12.85</v>
      </c>
      <c r="B269" s="42">
        <f t="shared" ref="B269:B332" si="14">0.06-0.001*A269</f>
        <v>4.7149999999999997E-2</v>
      </c>
      <c r="C269" s="4">
        <f t="shared" si="13"/>
        <v>1.5212577012755314E-3</v>
      </c>
      <c r="D269" s="84">
        <f t="shared" si="12"/>
        <v>32879.649525626526</v>
      </c>
      <c r="E269" s="10"/>
    </row>
    <row r="270" spans="1:5">
      <c r="A270" s="42">
        <v>12.9</v>
      </c>
      <c r="B270" s="42">
        <f t="shared" si="14"/>
        <v>4.7099999999999996E-2</v>
      </c>
      <c r="C270" s="4">
        <f t="shared" si="13"/>
        <v>1.5288854150804568E-3</v>
      </c>
      <c r="D270" s="84">
        <f t="shared" si="12"/>
        <v>33047.699586351191</v>
      </c>
      <c r="E270" s="10"/>
    </row>
    <row r="271" spans="1:5">
      <c r="A271" s="42">
        <v>12.95</v>
      </c>
      <c r="B271" s="42">
        <f t="shared" si="14"/>
        <v>4.7049999999999995E-2</v>
      </c>
      <c r="C271" s="4">
        <f t="shared" si="13"/>
        <v>1.5365578410264397E-3</v>
      </c>
      <c r="D271" s="84">
        <f t="shared" si="12"/>
        <v>33216.063205845057</v>
      </c>
      <c r="E271" s="10"/>
    </row>
    <row r="272" spans="1:5">
      <c r="A272" s="42">
        <v>13</v>
      </c>
      <c r="B272" s="42">
        <f t="shared" si="14"/>
        <v>4.7E-2</v>
      </c>
      <c r="C272" s="4">
        <f t="shared" si="13"/>
        <v>1.5442752412071548E-3</v>
      </c>
      <c r="D272" s="84">
        <f t="shared" si="12"/>
        <v>33384.740281504812</v>
      </c>
      <c r="E272" s="10"/>
    </row>
    <row r="273" spans="1:5">
      <c r="A273" s="42">
        <v>13.05</v>
      </c>
      <c r="B273" s="42">
        <f t="shared" si="14"/>
        <v>4.6949999999999999E-2</v>
      </c>
      <c r="C273" s="4">
        <f t="shared" si="13"/>
        <v>1.5520378792526189E-3</v>
      </c>
      <c r="D273" s="84">
        <f t="shared" si="12"/>
        <v>33553.730708134353</v>
      </c>
      <c r="E273" s="10"/>
    </row>
    <row r="274" spans="1:5">
      <c r="A274" s="42">
        <v>13.1</v>
      </c>
      <c r="B274" s="42">
        <f t="shared" si="14"/>
        <v>4.6899999999999997E-2</v>
      </c>
      <c r="C274" s="4">
        <f t="shared" si="13"/>
        <v>1.5598460203382018E-3</v>
      </c>
      <c r="D274" s="84">
        <f t="shared" si="12"/>
        <v>33723.034377939701</v>
      </c>
      <c r="E274" s="10"/>
    </row>
    <row r="275" spans="1:5">
      <c r="A275" s="42">
        <v>13.15</v>
      </c>
      <c r="B275" s="42">
        <f t="shared" si="14"/>
        <v>4.6849999999999996E-2</v>
      </c>
      <c r="C275" s="4">
        <f t="shared" si="13"/>
        <v>1.5676999311936689E-3</v>
      </c>
      <c r="D275" s="84">
        <f t="shared" si="12"/>
        <v>33892.651180523972</v>
      </c>
      <c r="E275" s="10"/>
    </row>
    <row r="276" spans="1:5">
      <c r="A276" s="42">
        <v>13.2</v>
      </c>
      <c r="B276" s="42">
        <f t="shared" si="14"/>
        <v>4.6799999999999994E-2</v>
      </c>
      <c r="C276" s="4">
        <f t="shared" si="13"/>
        <v>1.5755998801123096E-3</v>
      </c>
      <c r="D276" s="84">
        <f t="shared" si="12"/>
        <v>34062.581002882347</v>
      </c>
      <c r="E276" s="10"/>
    </row>
    <row r="277" spans="1:5">
      <c r="A277" s="42">
        <v>13.25</v>
      </c>
      <c r="B277" s="42">
        <f t="shared" si="14"/>
        <v>4.675E-2</v>
      </c>
      <c r="C277" s="4">
        <f t="shared" si="13"/>
        <v>1.5835461369600901E-3</v>
      </c>
      <c r="D277" s="84">
        <f t="shared" ref="D277:D340" si="15">(D278-B$6*E$9)/(1+B$6*B277)</f>
        <v>34232.823729397096</v>
      </c>
      <c r="E277" s="10"/>
    </row>
    <row r="278" spans="1:5">
      <c r="A278" s="42">
        <v>13.3</v>
      </c>
      <c r="B278" s="42">
        <f t="shared" si="14"/>
        <v>4.6699999999999998E-2</v>
      </c>
      <c r="C278" s="4">
        <f t="shared" si="13"/>
        <v>1.591538973184881E-3</v>
      </c>
      <c r="D278" s="84">
        <f t="shared" si="15"/>
        <v>34403.379241832568</v>
      </c>
      <c r="E278" s="10"/>
    </row>
    <row r="279" spans="1:5">
      <c r="A279" s="42">
        <v>13.35</v>
      </c>
      <c r="B279" s="42">
        <f t="shared" si="14"/>
        <v>4.6649999999999997E-2</v>
      </c>
      <c r="C279" s="4">
        <f t="shared" si="13"/>
        <v>1.5995786618257263E-3</v>
      </c>
      <c r="D279" s="84">
        <f t="shared" si="15"/>
        <v>34574.247419330248</v>
      </c>
      <c r="E279" s="10"/>
    </row>
    <row r="280" spans="1:5">
      <c r="A280" s="42">
        <v>13.4</v>
      </c>
      <c r="B280" s="42">
        <f t="shared" si="14"/>
        <v>4.6599999999999996E-2</v>
      </c>
      <c r="C280" s="4">
        <f t="shared" si="13"/>
        <v>1.6076654775221664E-3</v>
      </c>
      <c r="D280" s="84">
        <f t="shared" si="15"/>
        <v>34745.42813840384</v>
      </c>
      <c r="E280" s="10"/>
    </row>
    <row r="281" spans="1:5">
      <c r="A281" s="42">
        <v>13.45</v>
      </c>
      <c r="B281" s="42">
        <f t="shared" si="14"/>
        <v>4.6549999999999994E-2</v>
      </c>
      <c r="C281" s="4">
        <f t="shared" si="13"/>
        <v>1.6157996965236298E-3</v>
      </c>
      <c r="D281" s="84">
        <f t="shared" si="15"/>
        <v>34916.92127293432</v>
      </c>
      <c r="E281" s="10"/>
    </row>
    <row r="282" spans="1:5">
      <c r="A282" s="42">
        <v>13.5</v>
      </c>
      <c r="B282" s="42">
        <f t="shared" si="14"/>
        <v>4.65E-2</v>
      </c>
      <c r="C282" s="4">
        <f t="shared" si="13"/>
        <v>1.6239815966988585E-3</v>
      </c>
      <c r="D282" s="84">
        <f t="shared" si="15"/>
        <v>35088.726694165081</v>
      </c>
      <c r="E282" s="10"/>
    </row>
    <row r="283" spans="1:5">
      <c r="A283" s="42">
        <v>13.55</v>
      </c>
      <c r="B283" s="42">
        <f t="shared" si="14"/>
        <v>4.6449999999999998E-2</v>
      </c>
      <c r="C283" s="4">
        <f t="shared" si="13"/>
        <v>1.6322114575454086E-3</v>
      </c>
      <c r="D283" s="84">
        <f t="shared" si="15"/>
        <v>35260.844270697016</v>
      </c>
      <c r="E283" s="10"/>
    </row>
    <row r="284" spans="1:5">
      <c r="A284" s="42">
        <v>13.6</v>
      </c>
      <c r="B284" s="42">
        <f t="shared" si="14"/>
        <v>4.6399999999999997E-2</v>
      </c>
      <c r="C284" s="4">
        <f t="shared" si="13"/>
        <v>1.6404895601991995E-3</v>
      </c>
      <c r="D284" s="84">
        <f t="shared" si="15"/>
        <v>35433.273868483717</v>
      </c>
      <c r="E284" s="10"/>
    </row>
    <row r="285" spans="1:5">
      <c r="A285" s="42">
        <v>13.65</v>
      </c>
      <c r="B285" s="42">
        <f t="shared" si="14"/>
        <v>4.6349999999999995E-2</v>
      </c>
      <c r="C285" s="4">
        <f t="shared" si="13"/>
        <v>1.6488161874441049E-3</v>
      </c>
      <c r="D285" s="84">
        <f t="shared" si="15"/>
        <v>35606.015350826608</v>
      </c>
      <c r="E285" s="10"/>
    </row>
    <row r="286" spans="1:5">
      <c r="A286" s="42">
        <v>13.7</v>
      </c>
      <c r="B286" s="42">
        <f t="shared" si="14"/>
        <v>4.6299999999999994E-2</v>
      </c>
      <c r="C286" s="4">
        <f t="shared" si="13"/>
        <v>1.6571916237216285E-3</v>
      </c>
      <c r="D286" s="84">
        <f t="shared" si="15"/>
        <v>35779.068578370148</v>
      </c>
      <c r="E286" s="10"/>
    </row>
    <row r="287" spans="1:5">
      <c r="A287" s="42">
        <v>13.75</v>
      </c>
      <c r="B287" s="42">
        <f t="shared" si="14"/>
        <v>4.6249999999999999E-2</v>
      </c>
      <c r="C287" s="4">
        <f t="shared" si="13"/>
        <v>1.665616155140608E-3</v>
      </c>
      <c r="D287" s="84">
        <f t="shared" si="15"/>
        <v>35952.433409097081</v>
      </c>
      <c r="E287" s="10"/>
    </row>
    <row r="288" spans="1:5">
      <c r="A288" s="42">
        <v>13.8</v>
      </c>
      <c r="B288" s="42">
        <f t="shared" si="14"/>
        <v>4.6199999999999998E-2</v>
      </c>
      <c r="C288" s="4">
        <f t="shared" si="13"/>
        <v>1.674090069486998E-3</v>
      </c>
      <c r="D288" s="84">
        <f t="shared" si="15"/>
        <v>36126.10969832362</v>
      </c>
      <c r="E288" s="10"/>
    </row>
    <row r="289" spans="1:5">
      <c r="A289" s="42">
        <v>13.85</v>
      </c>
      <c r="B289" s="42">
        <f t="shared" si="14"/>
        <v>4.6149999999999997E-2</v>
      </c>
      <c r="C289" s="4">
        <f t="shared" si="13"/>
        <v>1.6826136562336975E-3</v>
      </c>
      <c r="D289" s="84">
        <f t="shared" si="15"/>
        <v>36300.097298694753</v>
      </c>
      <c r="E289" s="10"/>
    </row>
    <row r="290" spans="1:5">
      <c r="A290" s="42">
        <v>13.9</v>
      </c>
      <c r="B290" s="42">
        <f t="shared" si="14"/>
        <v>4.6099999999999995E-2</v>
      </c>
      <c r="C290" s="4">
        <f t="shared" si="13"/>
        <v>1.6911872065504337E-3</v>
      </c>
      <c r="D290" s="84">
        <f t="shared" si="15"/>
        <v>36474.39606017949</v>
      </c>
      <c r="E290" s="10"/>
    </row>
    <row r="291" spans="1:5">
      <c r="A291" s="42">
        <v>13.95</v>
      </c>
      <c r="B291" s="42">
        <f t="shared" si="14"/>
        <v>4.6050000000000001E-2</v>
      </c>
      <c r="C291" s="4">
        <f t="shared" si="13"/>
        <v>1.6998110133137183E-3</v>
      </c>
      <c r="D291" s="84">
        <f t="shared" si="15"/>
        <v>36649.005830066206</v>
      </c>
      <c r="E291" s="10"/>
    </row>
    <row r="292" spans="1:5">
      <c r="A292" s="42">
        <v>14</v>
      </c>
      <c r="B292" s="42">
        <f t="shared" si="14"/>
        <v>4.5999999999999999E-2</v>
      </c>
      <c r="C292" s="4">
        <f t="shared" si="13"/>
        <v>1.7084853711168419E-3</v>
      </c>
      <c r="D292" s="84">
        <f t="shared" si="15"/>
        <v>36823.926452957938</v>
      </c>
      <c r="E292" s="10"/>
    </row>
    <row r="293" spans="1:5">
      <c r="A293" s="42">
        <v>14.05</v>
      </c>
      <c r="B293" s="42">
        <f t="shared" si="14"/>
        <v>4.5949999999999998E-2</v>
      </c>
      <c r="C293" s="4">
        <f t="shared" si="13"/>
        <v>1.7172105762799437E-3</v>
      </c>
      <c r="D293" s="84">
        <f t="shared" si="15"/>
        <v>36999.157770767742</v>
      </c>
      <c r="E293" s="10"/>
    </row>
    <row r="294" spans="1:5">
      <c r="A294" s="42">
        <v>14.1</v>
      </c>
      <c r="B294" s="42">
        <f t="shared" si="14"/>
        <v>4.5899999999999996E-2</v>
      </c>
      <c r="C294" s="4">
        <f t="shared" si="13"/>
        <v>1.7259869268601387E-3</v>
      </c>
      <c r="D294" s="84">
        <f t="shared" si="15"/>
        <v>37174.699622714084</v>
      </c>
      <c r="E294" s="10"/>
    </row>
    <row r="295" spans="1:5">
      <c r="A295" s="42">
        <v>14.15</v>
      </c>
      <c r="B295" s="42">
        <f t="shared" si="14"/>
        <v>4.5849999999999995E-2</v>
      </c>
      <c r="C295" s="4">
        <f t="shared" si="13"/>
        <v>1.7348147226616836E-3</v>
      </c>
      <c r="D295" s="84">
        <f t="shared" si="15"/>
        <v>37350.551845316215</v>
      </c>
      <c r="E295" s="10"/>
    </row>
    <row r="296" spans="1:5">
      <c r="A296" s="42">
        <v>14.2</v>
      </c>
      <c r="B296" s="42">
        <f t="shared" si="14"/>
        <v>4.58E-2</v>
      </c>
      <c r="C296" s="4">
        <f t="shared" si="13"/>
        <v>1.7436942652462361E-3</v>
      </c>
      <c r="D296" s="84">
        <f t="shared" si="15"/>
        <v>37526.714272389603</v>
      </c>
      <c r="E296" s="10"/>
    </row>
    <row r="297" spans="1:5">
      <c r="A297" s="42">
        <v>14.25</v>
      </c>
      <c r="B297" s="42">
        <f t="shared" si="14"/>
        <v>4.5749999999999999E-2</v>
      </c>
      <c r="C297" s="4">
        <f t="shared" si="13"/>
        <v>1.7526258579431413E-3</v>
      </c>
      <c r="D297" s="84">
        <f t="shared" si="15"/>
        <v>37703.186735041374</v>
      </c>
      <c r="E297" s="10"/>
    </row>
    <row r="298" spans="1:5">
      <c r="A298" s="42">
        <v>14.3</v>
      </c>
      <c r="B298" s="42">
        <f t="shared" si="14"/>
        <v>4.5699999999999998E-2</v>
      </c>
      <c r="C298" s="4">
        <f t="shared" si="13"/>
        <v>1.7616098058598065E-3</v>
      </c>
      <c r="D298" s="84">
        <f t="shared" si="15"/>
        <v>37879.969061665783</v>
      </c>
      <c r="E298" s="10"/>
    </row>
    <row r="299" spans="1:5">
      <c r="A299" s="42">
        <v>14.35</v>
      </c>
      <c r="B299" s="42">
        <f t="shared" si="14"/>
        <v>4.5649999999999996E-2</v>
      </c>
      <c r="C299" s="4">
        <f t="shared" si="13"/>
        <v>1.7706464158921164E-3</v>
      </c>
      <c r="D299" s="84">
        <f t="shared" si="15"/>
        <v>38057.061077939696</v>
      </c>
      <c r="E299" s="10"/>
    </row>
    <row r="300" spans="1:5">
      <c r="A300" s="42">
        <v>14.4</v>
      </c>
      <c r="B300" s="42">
        <f t="shared" si="14"/>
        <v>4.5599999999999995E-2</v>
      </c>
      <c r="C300" s="4">
        <f t="shared" si="13"/>
        <v>1.779735996734915E-3</v>
      </c>
      <c r="D300" s="84">
        <f t="shared" si="15"/>
        <v>38234.462606818095</v>
      </c>
      <c r="E300" s="10"/>
    </row>
    <row r="301" spans="1:5">
      <c r="A301" s="42">
        <v>14.45</v>
      </c>
      <c r="B301" s="42">
        <f t="shared" si="14"/>
        <v>4.555E-2</v>
      </c>
      <c r="C301" s="4">
        <f t="shared" si="13"/>
        <v>1.7888788588925598E-3</v>
      </c>
      <c r="D301" s="84">
        <f t="shared" si="15"/>
        <v>38412.173468529647</v>
      </c>
      <c r="E301" s="10"/>
    </row>
    <row r="302" spans="1:5">
      <c r="A302" s="42">
        <v>14.5</v>
      </c>
      <c r="B302" s="42">
        <f t="shared" si="14"/>
        <v>4.5499999999999999E-2</v>
      </c>
      <c r="C302" s="4">
        <f t="shared" si="13"/>
        <v>1.798075314689517E-3</v>
      </c>
      <c r="D302" s="84">
        <f t="shared" si="15"/>
        <v>38590.193480572227</v>
      </c>
      <c r="E302" s="10"/>
    </row>
    <row r="303" spans="1:5">
      <c r="A303" s="42">
        <v>14.55</v>
      </c>
      <c r="B303" s="42">
        <f t="shared" si="14"/>
        <v>4.5449999999999997E-2</v>
      </c>
      <c r="C303" s="4">
        <f t="shared" si="13"/>
        <v>1.8073256782810394E-3</v>
      </c>
      <c r="D303" s="84">
        <f t="shared" si="15"/>
        <v>38768.522457708532</v>
      </c>
      <c r="E303" s="10"/>
    </row>
    <row r="304" spans="1:5">
      <c r="A304" s="42">
        <v>14.6</v>
      </c>
      <c r="B304" s="42">
        <f t="shared" si="14"/>
        <v>4.5399999999999996E-2</v>
      </c>
      <c r="C304" s="4">
        <f t="shared" si="13"/>
        <v>1.8166302656639002E-3</v>
      </c>
      <c r="D304" s="84">
        <f t="shared" si="15"/>
        <v>38947.160211961673</v>
      </c>
      <c r="E304" s="10"/>
    </row>
    <row r="305" spans="1:5">
      <c r="A305" s="42">
        <v>14.65</v>
      </c>
      <c r="B305" s="42">
        <f t="shared" si="14"/>
        <v>4.5350000000000001E-2</v>
      </c>
      <c r="C305" s="4">
        <f t="shared" si="13"/>
        <v>1.8259893946871743E-3</v>
      </c>
      <c r="D305" s="84">
        <f t="shared" si="15"/>
        <v>39126.106552610829</v>
      </c>
      <c r="E305" s="10"/>
    </row>
    <row r="306" spans="1:5">
      <c r="A306" s="42">
        <v>14.7</v>
      </c>
      <c r="B306" s="42">
        <f t="shared" si="14"/>
        <v>4.53E-2</v>
      </c>
      <c r="C306" s="4">
        <f t="shared" si="13"/>
        <v>1.8354033850631107E-3</v>
      </c>
      <c r="D306" s="84">
        <f t="shared" si="15"/>
        <v>39305.361286186882</v>
      </c>
      <c r="E306" s="10"/>
    </row>
    <row r="307" spans="1:5">
      <c r="A307" s="42">
        <v>14.75</v>
      </c>
      <c r="B307" s="42">
        <f t="shared" si="14"/>
        <v>4.5249999999999999E-2</v>
      </c>
      <c r="C307" s="4">
        <f t="shared" si="13"/>
        <v>1.8448725583780435E-3</v>
      </c>
      <c r="D307" s="84">
        <f t="shared" si="15"/>
        <v>39484.924216468098</v>
      </c>
      <c r="E307" s="10"/>
    </row>
    <row r="308" spans="1:5">
      <c r="A308" s="42">
        <v>14.8</v>
      </c>
      <c r="B308" s="42">
        <f t="shared" si="14"/>
        <v>4.5199999999999997E-2</v>
      </c>
      <c r="C308" s="4">
        <f t="shared" si="13"/>
        <v>1.8543972381033858E-3</v>
      </c>
      <c r="D308" s="84">
        <f t="shared" si="15"/>
        <v>39664.795144475866</v>
      </c>
      <c r="E308" s="10"/>
    </row>
    <row r="309" spans="1:5">
      <c r="A309" s="42">
        <v>14.85</v>
      </c>
      <c r="B309" s="42">
        <f t="shared" si="14"/>
        <v>4.5149999999999996E-2</v>
      </c>
      <c r="C309" s="4">
        <f t="shared" si="13"/>
        <v>1.8639777496066759E-3</v>
      </c>
      <c r="D309" s="84">
        <f t="shared" si="15"/>
        <v>39844.973868470384</v>
      </c>
      <c r="E309" s="10"/>
    </row>
    <row r="310" spans="1:5">
      <c r="A310" s="42">
        <v>14.9</v>
      </c>
      <c r="B310" s="42">
        <f t="shared" si="14"/>
        <v>4.5100000000000001E-2</v>
      </c>
      <c r="C310" s="4">
        <f t="shared" ref="C310:C373" si="16">(B$3+B$4*B$5^(B$7+A310))</f>
        <v>1.8736144201626874E-3</v>
      </c>
      <c r="D310" s="84">
        <f t="shared" si="15"/>
        <v>40025.460183946459</v>
      </c>
      <c r="E310" s="10"/>
    </row>
    <row r="311" spans="1:5">
      <c r="A311" s="42">
        <v>14.95</v>
      </c>
      <c r="B311" s="42">
        <f t="shared" si="14"/>
        <v>4.505E-2</v>
      </c>
      <c r="C311" s="4">
        <f t="shared" si="16"/>
        <v>1.8833075789646194E-3</v>
      </c>
      <c r="D311" s="84">
        <f t="shared" si="15"/>
        <v>40206.253883629259</v>
      </c>
      <c r="E311" s="10"/>
    </row>
    <row r="312" spans="1:5">
      <c r="A312" s="42">
        <v>15</v>
      </c>
      <c r="B312" s="42">
        <f t="shared" si="14"/>
        <v>4.4999999999999998E-2</v>
      </c>
      <c r="C312" s="4">
        <f t="shared" si="16"/>
        <v>1.8930575571353306E-3</v>
      </c>
      <c r="D312" s="57">
        <f t="shared" si="15"/>
        <v>40387.354757470137</v>
      </c>
      <c r="E312" s="10"/>
    </row>
    <row r="313" spans="1:5">
      <c r="A313" s="42">
        <v>15.05</v>
      </c>
      <c r="B313" s="42">
        <f t="shared" si="14"/>
        <v>4.4949999999999997E-2</v>
      </c>
      <c r="C313" s="4">
        <f t="shared" si="16"/>
        <v>1.9028646877386585E-3</v>
      </c>
      <c r="D313" s="84">
        <f t="shared" si="15"/>
        <v>40568.762592642452</v>
      </c>
      <c r="E313" s="10"/>
    </row>
    <row r="314" spans="1:5">
      <c r="A314" s="42">
        <v>15.1</v>
      </c>
      <c r="B314" s="42">
        <f t="shared" si="14"/>
        <v>4.4899999999999995E-2</v>
      </c>
      <c r="C314" s="4">
        <f t="shared" si="16"/>
        <v>1.9127293057907961E-3</v>
      </c>
      <c r="D314" s="84">
        <f t="shared" si="15"/>
        <v>40750.477173537416</v>
      </c>
      <c r="E314" s="10"/>
    </row>
    <row r="315" spans="1:5">
      <c r="A315" s="42">
        <v>15.15</v>
      </c>
      <c r="B315" s="42">
        <f t="shared" si="14"/>
        <v>4.4850000000000001E-2</v>
      </c>
      <c r="C315" s="4">
        <f t="shared" si="16"/>
        <v>1.9226517482717326E-3</v>
      </c>
      <c r="D315" s="84">
        <f t="shared" si="15"/>
        <v>40932.49828176001</v>
      </c>
      <c r="E315" s="10"/>
    </row>
    <row r="316" spans="1:5">
      <c r="A316" s="42">
        <v>15.2</v>
      </c>
      <c r="B316" s="42">
        <f t="shared" si="14"/>
        <v>4.48E-2</v>
      </c>
      <c r="C316" s="4">
        <f t="shared" si="16"/>
        <v>1.9326323541367693E-3</v>
      </c>
      <c r="D316" s="84">
        <f t="shared" si="15"/>
        <v>41114.825696124855</v>
      </c>
      <c r="E316" s="10"/>
    </row>
    <row r="317" spans="1:5">
      <c r="A317" s="42">
        <v>15.25</v>
      </c>
      <c r="B317" s="42">
        <f t="shared" si="14"/>
        <v>4.4749999999999998E-2</v>
      </c>
      <c r="C317" s="4">
        <f t="shared" si="16"/>
        <v>1.9426714643280911E-3</v>
      </c>
      <c r="D317" s="84">
        <f t="shared" si="15"/>
        <v>41297.459192652175</v>
      </c>
      <c r="E317" s="10"/>
    </row>
    <row r="318" spans="1:5">
      <c r="A318" s="42">
        <v>15.3</v>
      </c>
      <c r="B318" s="42">
        <f t="shared" si="14"/>
        <v>4.4699999999999997E-2</v>
      </c>
      <c r="C318" s="4">
        <f t="shared" si="16"/>
        <v>1.9527694217864227E-3</v>
      </c>
      <c r="D318" s="84">
        <f t="shared" si="15"/>
        <v>41480.39854456373</v>
      </c>
      <c r="E318" s="10"/>
    </row>
    <row r="319" spans="1:5">
      <c r="A319" s="42">
        <v>15.35</v>
      </c>
      <c r="B319" s="42">
        <f t="shared" si="14"/>
        <v>4.4649999999999995E-2</v>
      </c>
      <c r="C319" s="4">
        <f t="shared" si="16"/>
        <v>1.9629265714627389E-3</v>
      </c>
      <c r="D319" s="84">
        <f t="shared" si="15"/>
        <v>41663.643522278835</v>
      </c>
      <c r="E319" s="10"/>
    </row>
    <row r="320" spans="1:5">
      <c r="A320" s="42">
        <v>15.4</v>
      </c>
      <c r="B320" s="42">
        <f t="shared" si="14"/>
        <v>4.4600000000000001E-2</v>
      </c>
      <c r="C320" s="4">
        <f t="shared" si="16"/>
        <v>1.973143260330045E-3</v>
      </c>
      <c r="D320" s="84">
        <f t="shared" si="15"/>
        <v>41847.193893410331</v>
      </c>
      <c r="E320" s="10"/>
    </row>
    <row r="321" spans="1:5">
      <c r="A321" s="42">
        <v>15.45</v>
      </c>
      <c r="B321" s="42">
        <f t="shared" si="14"/>
        <v>4.4549999999999999E-2</v>
      </c>
      <c r="C321" s="4">
        <f t="shared" si="16"/>
        <v>1.9834198373952375E-3</v>
      </c>
      <c r="D321" s="84">
        <f t="shared" si="15"/>
        <v>42031.04942276064</v>
      </c>
      <c r="E321" s="10"/>
    </row>
    <row r="322" spans="1:5">
      <c r="A322" s="42">
        <v>15.5</v>
      </c>
      <c r="B322" s="42">
        <f t="shared" si="14"/>
        <v>4.4499999999999998E-2</v>
      </c>
      <c r="C322" s="4">
        <f t="shared" si="16"/>
        <v>1.9937566537110173E-3</v>
      </c>
      <c r="D322" s="84">
        <f t="shared" si="15"/>
        <v>42215.209872317842</v>
      </c>
      <c r="E322" s="10"/>
    </row>
    <row r="323" spans="1:5">
      <c r="A323" s="42">
        <v>15.55</v>
      </c>
      <c r="B323" s="42">
        <f t="shared" si="14"/>
        <v>4.4449999999999996E-2</v>
      </c>
      <c r="C323" s="4">
        <f t="shared" si="16"/>
        <v>2.0041540623878902E-3</v>
      </c>
      <c r="D323" s="84">
        <f t="shared" si="15"/>
        <v>42399.675001251751</v>
      </c>
      <c r="E323" s="10"/>
    </row>
    <row r="324" spans="1:5">
      <c r="A324" s="42">
        <v>15.6</v>
      </c>
      <c r="B324" s="42">
        <f t="shared" si="14"/>
        <v>4.4399999999999995E-2</v>
      </c>
      <c r="C324" s="4">
        <f t="shared" si="16"/>
        <v>2.0146124186062242E-3</v>
      </c>
      <c r="D324" s="84">
        <f t="shared" si="15"/>
        <v>42584.444565910038</v>
      </c>
      <c r="E324" s="10"/>
    </row>
    <row r="325" spans="1:5">
      <c r="A325" s="42">
        <v>15.65</v>
      </c>
      <c r="B325" s="42">
        <f t="shared" si="14"/>
        <v>4.4350000000000001E-2</v>
      </c>
      <c r="C325" s="4">
        <f t="shared" si="16"/>
        <v>2.025132079628384E-3</v>
      </c>
      <c r="D325" s="84">
        <f t="shared" si="15"/>
        <v>42769.518319814357</v>
      </c>
      <c r="E325" s="10"/>
    </row>
    <row r="326" spans="1:5">
      <c r="A326" s="42">
        <v>15.7</v>
      </c>
      <c r="B326" s="42">
        <f t="shared" si="14"/>
        <v>4.4299999999999999E-2</v>
      </c>
      <c r="C326" s="4">
        <f t="shared" si="16"/>
        <v>2.0357134048109363E-3</v>
      </c>
      <c r="D326" s="84">
        <f t="shared" si="15"/>
        <v>42954.896013656544</v>
      </c>
      <c r="E326" s="10"/>
    </row>
    <row r="327" spans="1:5">
      <c r="A327" s="42">
        <v>15.75</v>
      </c>
      <c r="B327" s="42">
        <f t="shared" si="14"/>
        <v>4.4249999999999998E-2</v>
      </c>
      <c r="C327" s="4">
        <f t="shared" si="16"/>
        <v>2.0463567556169211E-3</v>
      </c>
      <c r="D327" s="84">
        <f t="shared" si="15"/>
        <v>43140.5773952948</v>
      </c>
      <c r="E327" s="10"/>
    </row>
    <row r="328" spans="1:5">
      <c r="A328" s="42">
        <v>15.8</v>
      </c>
      <c r="B328" s="42">
        <f t="shared" si="14"/>
        <v>4.4199999999999996E-2</v>
      </c>
      <c r="C328" s="4">
        <f t="shared" si="16"/>
        <v>2.0570624956282057E-3</v>
      </c>
      <c r="D328" s="84">
        <f t="shared" si="15"/>
        <v>43326.562209749893</v>
      </c>
      <c r="E328" s="10"/>
    </row>
    <row r="329" spans="1:5">
      <c r="A329" s="42">
        <v>15.85</v>
      </c>
      <c r="B329" s="42">
        <f t="shared" si="14"/>
        <v>4.4149999999999995E-2</v>
      </c>
      <c r="C329" s="4">
        <f t="shared" si="16"/>
        <v>2.067830990557904E-3</v>
      </c>
      <c r="D329" s="84">
        <f t="shared" si="15"/>
        <v>43512.850199201443</v>
      </c>
      <c r="E329" s="10"/>
    </row>
    <row r="330" spans="1:5">
      <c r="A330" s="42">
        <v>15.9</v>
      </c>
      <c r="B330" s="42">
        <f t="shared" si="14"/>
        <v>4.41E-2</v>
      </c>
      <c r="C330" s="4">
        <f t="shared" si="16"/>
        <v>2.0786626082628609E-3</v>
      </c>
      <c r="D330" s="84">
        <f t="shared" si="15"/>
        <v>43699.441102984179</v>
      </c>
      <c r="E330" s="10"/>
    </row>
    <row r="331" spans="1:5">
      <c r="A331" s="42">
        <v>15.95</v>
      </c>
      <c r="B331" s="42">
        <f t="shared" si="14"/>
        <v>4.4049999999999999E-2</v>
      </c>
      <c r="C331" s="4">
        <f t="shared" si="16"/>
        <v>2.0895577187562322E-3</v>
      </c>
      <c r="D331" s="84">
        <f t="shared" si="15"/>
        <v>43886.334657584266</v>
      </c>
      <c r="E331" s="10"/>
    </row>
    <row r="332" spans="1:5">
      <c r="A332" s="42">
        <v>16</v>
      </c>
      <c r="B332" s="42">
        <f t="shared" si="14"/>
        <v>4.3999999999999997E-2</v>
      </c>
      <c r="C332" s="4">
        <f t="shared" si="16"/>
        <v>2.1005166942201121E-3</v>
      </c>
      <c r="D332" s="84">
        <f t="shared" si="15"/>
        <v>44073.530596635603</v>
      </c>
      <c r="E332" s="10"/>
    </row>
    <row r="333" spans="1:5">
      <c r="A333" s="42">
        <v>16.05</v>
      </c>
      <c r="B333" s="42">
        <f t="shared" ref="B333:B396" si="17">0.06-0.001*A333</f>
        <v>4.3949999999999996E-2</v>
      </c>
      <c r="C333" s="4">
        <f t="shared" si="16"/>
        <v>2.1115399090182521E-3</v>
      </c>
      <c r="D333" s="84">
        <f t="shared" si="15"/>
        <v>44261.028650916203</v>
      </c>
      <c r="E333" s="10"/>
    </row>
    <row r="334" spans="1:5">
      <c r="A334" s="42">
        <v>16.100000000000001</v>
      </c>
      <c r="B334" s="42">
        <f t="shared" si="17"/>
        <v>4.3899999999999995E-2</v>
      </c>
      <c r="C334" s="4">
        <f t="shared" si="16"/>
        <v>2.1226277397088551E-3</v>
      </c>
      <c r="D334" s="84">
        <f t="shared" si="15"/>
        <v>44448.828548344602</v>
      </c>
      <c r="E334" s="10"/>
    </row>
    <row r="335" spans="1:5">
      <c r="A335" s="42">
        <v>16.149999999999999</v>
      </c>
      <c r="B335" s="42">
        <f t="shared" si="17"/>
        <v>4.385E-2</v>
      </c>
      <c r="C335" s="4">
        <f t="shared" si="16"/>
        <v>2.1337805650574275E-3</v>
      </c>
      <c r="D335" s="84">
        <f t="shared" si="15"/>
        <v>44636.93001397622</v>
      </c>
      <c r="E335" s="10"/>
    </row>
    <row r="336" spans="1:5">
      <c r="A336" s="42">
        <v>16.2</v>
      </c>
      <c r="B336" s="42">
        <f t="shared" si="17"/>
        <v>4.3799999999999999E-2</v>
      </c>
      <c r="C336" s="4">
        <f t="shared" si="16"/>
        <v>2.1449987660497288E-3</v>
      </c>
      <c r="D336" s="84">
        <f t="shared" si="15"/>
        <v>44825.33276999987</v>
      </c>
      <c r="E336" s="10"/>
    </row>
    <row r="337" spans="1:5">
      <c r="A337" s="42">
        <v>16.25</v>
      </c>
      <c r="B337" s="42">
        <f t="shared" si="17"/>
        <v>4.3749999999999997E-2</v>
      </c>
      <c r="C337" s="4">
        <f t="shared" si="16"/>
        <v>2.1562827259047745E-3</v>
      </c>
      <c r="D337" s="84">
        <f t="shared" si="15"/>
        <v>45014.036535734165</v>
      </c>
      <c r="E337" s="10"/>
    </row>
    <row r="338" spans="1:5">
      <c r="A338" s="42">
        <v>16.3</v>
      </c>
      <c r="B338" s="42">
        <f t="shared" si="17"/>
        <v>4.3699999999999996E-2</v>
      </c>
      <c r="C338" s="4">
        <f t="shared" si="16"/>
        <v>2.167632830087939E-3</v>
      </c>
      <c r="D338" s="84">
        <f t="shared" si="15"/>
        <v>45203.041027624087</v>
      </c>
      <c r="E338" s="10"/>
    </row>
    <row r="339" spans="1:5">
      <c r="A339" s="42">
        <v>16.350000000000001</v>
      </c>
      <c r="B339" s="42">
        <f t="shared" si="17"/>
        <v>4.3649999999999994E-2</v>
      </c>
      <c r="C339" s="4">
        <f t="shared" si="16"/>
        <v>2.1790494663241188E-3</v>
      </c>
      <c r="D339" s="84">
        <f t="shared" si="15"/>
        <v>45392.345959237457</v>
      </c>
      <c r="E339" s="10"/>
    </row>
    <row r="340" spans="1:5">
      <c r="A340" s="42">
        <v>16.399999999999999</v>
      </c>
      <c r="B340" s="42">
        <f t="shared" si="17"/>
        <v>4.36E-2</v>
      </c>
      <c r="C340" s="4">
        <f t="shared" si="16"/>
        <v>2.1905330246109705E-3</v>
      </c>
      <c r="D340" s="84">
        <f t="shared" si="15"/>
        <v>45581.951041261491</v>
      </c>
      <c r="E340" s="10"/>
    </row>
    <row r="341" spans="1:5">
      <c r="A341" s="42">
        <v>16.45</v>
      </c>
      <c r="B341" s="42">
        <f t="shared" si="17"/>
        <v>4.3549999999999998E-2</v>
      </c>
      <c r="C341" s="4">
        <f t="shared" si="16"/>
        <v>2.2020838972322473E-3</v>
      </c>
      <c r="D341" s="84">
        <f t="shared" ref="D341:D404" si="18">(D342-B$6*E$9)/(1+B$6*B341)</f>
        <v>45771.855981499444</v>
      </c>
      <c r="E341" s="10"/>
    </row>
    <row r="342" spans="1:5">
      <c r="A342" s="42">
        <v>16.5</v>
      </c>
      <c r="B342" s="42">
        <f t="shared" si="17"/>
        <v>4.3499999999999997E-2</v>
      </c>
      <c r="C342" s="4">
        <f t="shared" si="16"/>
        <v>2.2137024787711834E-3</v>
      </c>
      <c r="D342" s="84">
        <f t="shared" si="18"/>
        <v>45962.060484867157</v>
      </c>
      <c r="E342" s="10"/>
    </row>
    <row r="343" spans="1:5">
      <c r="A343" s="42">
        <v>16.55</v>
      </c>
      <c r="B343" s="42">
        <f t="shared" si="17"/>
        <v>4.3449999999999996E-2</v>
      </c>
      <c r="C343" s="4">
        <f t="shared" si="16"/>
        <v>2.2253891661239886E-3</v>
      </c>
      <c r="D343" s="84">
        <f t="shared" si="18"/>
        <v>46152.564253389748</v>
      </c>
      <c r="E343" s="10"/>
    </row>
    <row r="344" spans="1:5">
      <c r="A344" s="42">
        <v>16.600000000000001</v>
      </c>
      <c r="B344" s="42">
        <f t="shared" si="17"/>
        <v>4.3399999999999994E-2</v>
      </c>
      <c r="C344" s="4">
        <f t="shared" si="16"/>
        <v>2.2371443585133964E-3</v>
      </c>
      <c r="D344" s="84">
        <f t="shared" si="18"/>
        <v>46343.366986198234</v>
      </c>
      <c r="E344" s="10"/>
    </row>
    <row r="345" spans="1:5">
      <c r="A345" s="42">
        <v>16.649999999999999</v>
      </c>
      <c r="B345" s="42">
        <f t="shared" si="17"/>
        <v>4.335E-2</v>
      </c>
      <c r="C345" s="4">
        <f t="shared" si="16"/>
        <v>2.2489684575023035E-3</v>
      </c>
      <c r="D345" s="84">
        <f t="shared" si="18"/>
        <v>46534.46837952629</v>
      </c>
      <c r="E345" s="10"/>
    </row>
    <row r="346" spans="1:5">
      <c r="A346" s="42">
        <v>16.7</v>
      </c>
      <c r="B346" s="42">
        <f t="shared" si="17"/>
        <v>4.3299999999999998E-2</v>
      </c>
      <c r="C346" s="4">
        <f t="shared" si="16"/>
        <v>2.260861867007493E-3</v>
      </c>
      <c r="D346" s="84">
        <f t="shared" si="18"/>
        <v>46725.868126706919</v>
      </c>
      <c r="E346" s="10"/>
    </row>
    <row r="347" spans="1:5">
      <c r="A347" s="42">
        <v>16.75</v>
      </c>
      <c r="B347" s="42">
        <f t="shared" si="17"/>
        <v>4.3249999999999997E-2</v>
      </c>
      <c r="C347" s="4">
        <f t="shared" si="16"/>
        <v>2.2728249933134195E-3</v>
      </c>
      <c r="D347" s="84">
        <f t="shared" si="18"/>
        <v>46917.565918169239</v>
      </c>
      <c r="E347" s="10"/>
    </row>
    <row r="348" spans="1:5">
      <c r="A348" s="42">
        <v>16.8</v>
      </c>
      <c r="B348" s="42">
        <f t="shared" si="17"/>
        <v>4.3199999999999995E-2</v>
      </c>
      <c r="C348" s="4">
        <f t="shared" si="16"/>
        <v>2.2848582450861036E-3</v>
      </c>
      <c r="D348" s="84">
        <f t="shared" si="18"/>
        <v>47109.561441435289</v>
      </c>
      <c r="E348" s="10"/>
    </row>
    <row r="349" spans="1:5">
      <c r="A349" s="42">
        <v>16.850000000000001</v>
      </c>
      <c r="B349" s="42">
        <f t="shared" si="17"/>
        <v>4.3149999999999994E-2</v>
      </c>
      <c r="C349" s="4">
        <f t="shared" si="16"/>
        <v>2.2969620333870844E-3</v>
      </c>
      <c r="D349" s="84">
        <f t="shared" si="18"/>
        <v>47301.854381116791</v>
      </c>
      <c r="E349" s="10"/>
    </row>
    <row r="350" spans="1:5">
      <c r="A350" s="42">
        <v>16.899999999999999</v>
      </c>
      <c r="B350" s="42">
        <f t="shared" si="17"/>
        <v>4.3099999999999999E-2</v>
      </c>
      <c r="C350" s="4">
        <f t="shared" si="16"/>
        <v>2.309136771687456E-3</v>
      </c>
      <c r="D350" s="84">
        <f t="shared" si="18"/>
        <v>47494.444418912055</v>
      </c>
      <c r="E350" s="10"/>
    </row>
    <row r="351" spans="1:5">
      <c r="A351" s="42">
        <v>16.95</v>
      </c>
      <c r="B351" s="42">
        <f t="shared" si="17"/>
        <v>4.3049999999999998E-2</v>
      </c>
      <c r="C351" s="4">
        <f t="shared" si="16"/>
        <v>2.3213828758820053E-3</v>
      </c>
      <c r="D351" s="84">
        <f t="shared" si="18"/>
        <v>47687.33123360281</v>
      </c>
      <c r="E351" s="10"/>
    </row>
    <row r="352" spans="1:5">
      <c r="A352" s="42">
        <v>17</v>
      </c>
      <c r="B352" s="42">
        <f t="shared" si="17"/>
        <v>4.2999999999999997E-2</v>
      </c>
      <c r="C352" s="4">
        <f t="shared" si="16"/>
        <v>2.3337007643034063E-3</v>
      </c>
      <c r="D352" s="84">
        <f t="shared" si="18"/>
        <v>47880.514501051141</v>
      </c>
      <c r="E352" s="10"/>
    </row>
    <row r="353" spans="1:5">
      <c r="A353" s="42">
        <v>17.05</v>
      </c>
      <c r="B353" s="42">
        <f t="shared" si="17"/>
        <v>4.2949999999999995E-2</v>
      </c>
      <c r="C353" s="4">
        <f t="shared" si="16"/>
        <v>2.3460908577365158E-3</v>
      </c>
      <c r="D353" s="84">
        <f t="shared" si="18"/>
        <v>48073.993894196406</v>
      </c>
      <c r="E353" s="10"/>
    </row>
    <row r="354" spans="1:5">
      <c r="A354" s="42">
        <v>17.100000000000001</v>
      </c>
      <c r="B354" s="42">
        <f t="shared" si="17"/>
        <v>4.2899999999999994E-2</v>
      </c>
      <c r="C354" s="4">
        <f t="shared" si="16"/>
        <v>2.3585535794327533E-3</v>
      </c>
      <c r="D354" s="84">
        <f t="shared" si="18"/>
        <v>48267.769083052197</v>
      </c>
      <c r="E354" s="10"/>
    </row>
    <row r="355" spans="1:5">
      <c r="A355" s="42">
        <v>17.149999999999999</v>
      </c>
      <c r="B355" s="42">
        <f t="shared" si="17"/>
        <v>4.2849999999999999E-2</v>
      </c>
      <c r="C355" s="4">
        <f t="shared" si="16"/>
        <v>2.371089355124549E-3</v>
      </c>
      <c r="D355" s="84">
        <f t="shared" si="18"/>
        <v>48461.839734703353</v>
      </c>
      <c r="E355" s="10"/>
    </row>
    <row r="356" spans="1:5">
      <c r="A356" s="42">
        <v>17.2</v>
      </c>
      <c r="B356" s="42">
        <f t="shared" si="17"/>
        <v>4.2799999999999998E-2</v>
      </c>
      <c r="C356" s="4">
        <f t="shared" si="16"/>
        <v>2.3836986130398958E-3</v>
      </c>
      <c r="D356" s="84">
        <f t="shared" si="18"/>
        <v>48656.205513302957</v>
      </c>
      <c r="E356" s="10"/>
    </row>
    <row r="357" spans="1:5">
      <c r="A357" s="42">
        <v>17.25</v>
      </c>
      <c r="B357" s="42">
        <f t="shared" si="17"/>
        <v>4.2749999999999996E-2</v>
      </c>
      <c r="C357" s="4">
        <f t="shared" si="16"/>
        <v>2.3963817839169669E-3</v>
      </c>
      <c r="D357" s="84">
        <f t="shared" si="18"/>
        <v>48850.866080069427</v>
      </c>
      <c r="E357" s="10"/>
    </row>
    <row r="358" spans="1:5">
      <c r="A358" s="42">
        <v>17.3</v>
      </c>
      <c r="B358" s="42">
        <f t="shared" si="17"/>
        <v>4.2700000000000002E-2</v>
      </c>
      <c r="C358" s="4">
        <f t="shared" si="16"/>
        <v>2.4091393010188438E-3</v>
      </c>
      <c r="D358" s="84">
        <f t="shared" si="18"/>
        <v>49045.821093283572</v>
      </c>
      <c r="E358" s="10"/>
    </row>
    <row r="359" spans="1:5">
      <c r="A359" s="42">
        <v>17.350000000000001</v>
      </c>
      <c r="B359" s="42">
        <f t="shared" si="17"/>
        <v>4.2649999999999993E-2</v>
      </c>
      <c r="C359" s="4">
        <f t="shared" si="16"/>
        <v>2.4219716001483097E-3</v>
      </c>
      <c r="D359" s="84">
        <f t="shared" si="18"/>
        <v>49241.070208285731</v>
      </c>
      <c r="E359" s="10"/>
    </row>
    <row r="360" spans="1:5">
      <c r="A360" s="42">
        <v>17.399999999999999</v>
      </c>
      <c r="B360" s="42">
        <f t="shared" si="17"/>
        <v>4.2599999999999999E-2</v>
      </c>
      <c r="C360" s="4">
        <f t="shared" si="16"/>
        <v>2.4348791196627311E-3</v>
      </c>
      <c r="D360" s="84">
        <f t="shared" si="18"/>
        <v>49436.61307747291</v>
      </c>
      <c r="E360" s="10"/>
    </row>
    <row r="361" spans="1:5">
      <c r="A361" s="42">
        <v>17.45</v>
      </c>
      <c r="B361" s="42">
        <f t="shared" si="17"/>
        <v>4.2549999999999998E-2</v>
      </c>
      <c r="C361" s="4">
        <f t="shared" si="16"/>
        <v>2.4478623004890463E-3</v>
      </c>
      <c r="D361" s="84">
        <f t="shared" si="18"/>
        <v>49632.44935029593</v>
      </c>
      <c r="E361" s="10"/>
    </row>
    <row r="362" spans="1:5">
      <c r="A362" s="42">
        <v>17.5</v>
      </c>
      <c r="B362" s="42">
        <f t="shared" si="17"/>
        <v>4.2499999999999996E-2</v>
      </c>
      <c r="C362" s="4">
        <f t="shared" si="16"/>
        <v>2.4609215861388107E-3</v>
      </c>
      <c r="D362" s="84">
        <f t="shared" si="18"/>
        <v>49828.578673256692</v>
      </c>
      <c r="E362" s="10"/>
    </row>
    <row r="363" spans="1:5">
      <c r="A363" s="42">
        <v>17.55</v>
      </c>
      <c r="B363" s="42">
        <f t="shared" si="17"/>
        <v>4.2450000000000002E-2</v>
      </c>
      <c r="C363" s="4">
        <f t="shared" si="16"/>
        <v>2.4740574227233637E-3</v>
      </c>
      <c r="D363" s="84">
        <f t="shared" si="18"/>
        <v>50025.000689905362</v>
      </c>
      <c r="E363" s="10"/>
    </row>
    <row r="364" spans="1:5">
      <c r="A364" s="42">
        <v>17.600000000000001</v>
      </c>
      <c r="B364" s="42">
        <f t="shared" si="17"/>
        <v>4.2399999999999993E-2</v>
      </c>
      <c r="C364" s="4">
        <f t="shared" si="16"/>
        <v>2.4872702589690578E-3</v>
      </c>
      <c r="D364" s="84">
        <f t="shared" si="18"/>
        <v>50221.715040837691</v>
      </c>
      <c r="E364" s="10"/>
    </row>
    <row r="365" spans="1:5">
      <c r="A365" s="42">
        <v>17.649999999999999</v>
      </c>
      <c r="B365" s="42">
        <f t="shared" si="17"/>
        <v>4.2349999999999999E-2</v>
      </c>
      <c r="C365" s="4">
        <f t="shared" si="16"/>
        <v>2.5005605462325897E-3</v>
      </c>
      <c r="D365" s="84">
        <f t="shared" si="18"/>
        <v>50418.721363692268</v>
      </c>
      <c r="E365" s="10"/>
    </row>
    <row r="366" spans="1:5">
      <c r="A366" s="42">
        <v>17.7</v>
      </c>
      <c r="B366" s="42">
        <f t="shared" si="17"/>
        <v>4.2299999999999997E-2</v>
      </c>
      <c r="C366" s="4">
        <f t="shared" si="16"/>
        <v>2.513928738516422E-3</v>
      </c>
      <c r="D366" s="84">
        <f t="shared" si="18"/>
        <v>50616.019293147889</v>
      </c>
      <c r="E366" s="10"/>
    </row>
    <row r="367" spans="1:5">
      <c r="A367" s="42">
        <v>17.75</v>
      </c>
      <c r="B367" s="42">
        <f t="shared" si="17"/>
        <v>4.2249999999999996E-2</v>
      </c>
      <c r="C367" s="4">
        <f t="shared" si="16"/>
        <v>2.5273752924842834E-3</v>
      </c>
      <c r="D367" s="84">
        <f t="shared" si="18"/>
        <v>50813.608460920907</v>
      </c>
      <c r="E367" s="10"/>
    </row>
    <row r="368" spans="1:5">
      <c r="A368" s="42">
        <v>17.8</v>
      </c>
      <c r="B368" s="42">
        <f t="shared" si="17"/>
        <v>4.2200000000000001E-2</v>
      </c>
      <c r="C368" s="4">
        <f t="shared" si="16"/>
        <v>2.5409006674767805E-3</v>
      </c>
      <c r="D368" s="84">
        <f t="shared" si="18"/>
        <v>51011.488495762605</v>
      </c>
      <c r="E368" s="10"/>
    </row>
    <row r="369" spans="1:5">
      <c r="A369" s="42">
        <v>17.850000000000001</v>
      </c>
      <c r="B369" s="42">
        <f t="shared" si="17"/>
        <v>4.2149999999999993E-2</v>
      </c>
      <c r="C369" s="4">
        <f t="shared" si="16"/>
        <v>2.5545053255270826E-3</v>
      </c>
      <c r="D369" s="84">
        <f t="shared" si="18"/>
        <v>51209.659023456668</v>
      </c>
      <c r="E369" s="10"/>
    </row>
    <row r="370" spans="1:5">
      <c r="A370" s="42">
        <v>17.899999999999999</v>
      </c>
      <c r="B370" s="42">
        <f t="shared" si="17"/>
        <v>4.2099999999999999E-2</v>
      </c>
      <c r="C370" s="4">
        <f t="shared" si="16"/>
        <v>2.5681897313767008E-3</v>
      </c>
      <c r="D370" s="84">
        <f t="shared" si="18"/>
        <v>51408.119666816601</v>
      </c>
      <c r="E370" s="10"/>
    </row>
    <row r="371" spans="1:5">
      <c r="A371" s="42">
        <v>17.95</v>
      </c>
      <c r="B371" s="42">
        <f t="shared" si="17"/>
        <v>4.2049999999999997E-2</v>
      </c>
      <c r="C371" s="4">
        <f t="shared" si="16"/>
        <v>2.5819543524913742E-3</v>
      </c>
      <c r="D371" s="84">
        <f t="shared" si="18"/>
        <v>51606.870045683252</v>
      </c>
      <c r="E371" s="10"/>
    </row>
    <row r="372" spans="1:5">
      <c r="A372" s="42">
        <v>18</v>
      </c>
      <c r="B372" s="42">
        <f t="shared" si="17"/>
        <v>4.1999999999999996E-2</v>
      </c>
      <c r="C372" s="4">
        <f t="shared" si="16"/>
        <v>2.5957996590770288E-3</v>
      </c>
      <c r="D372" s="84">
        <f t="shared" si="18"/>
        <v>51805.909776922301</v>
      </c>
      <c r="E372" s="10"/>
    </row>
    <row r="373" spans="1:5">
      <c r="A373" s="42">
        <v>18.05</v>
      </c>
      <c r="B373" s="42">
        <f t="shared" si="17"/>
        <v>4.1950000000000001E-2</v>
      </c>
      <c r="C373" s="4">
        <f t="shared" si="16"/>
        <v>2.6097261240958436E-3</v>
      </c>
      <c r="D373" s="84">
        <f t="shared" si="18"/>
        <v>52005.238474421843</v>
      </c>
      <c r="E373" s="10"/>
    </row>
    <row r="374" spans="1:5">
      <c r="A374" s="42">
        <v>18.100000000000001</v>
      </c>
      <c r="B374" s="42">
        <f t="shared" si="17"/>
        <v>4.1899999999999993E-2</v>
      </c>
      <c r="C374" s="4">
        <f t="shared" ref="C374:C412" si="19">(B$3+B$4*B$5^(B$7+A374))</f>
        <v>2.6237342232824168E-3</v>
      </c>
      <c r="D374" s="84">
        <f t="shared" si="18"/>
        <v>52204.855749089947</v>
      </c>
      <c r="E374" s="10"/>
    </row>
    <row r="375" spans="1:5">
      <c r="A375" s="42">
        <v>18.149999999999999</v>
      </c>
      <c r="B375" s="42">
        <f t="shared" si="17"/>
        <v>4.1849999999999998E-2</v>
      </c>
      <c r="C375" s="4">
        <f t="shared" si="19"/>
        <v>2.6378244351599931E-3</v>
      </c>
      <c r="D375" s="84">
        <f t="shared" si="18"/>
        <v>52404.761208852295</v>
      </c>
      <c r="E375" s="10"/>
    </row>
    <row r="376" spans="1:5">
      <c r="A376" s="42">
        <v>18.2</v>
      </c>
      <c r="B376" s="42">
        <f t="shared" si="17"/>
        <v>4.1799999999999997E-2</v>
      </c>
      <c r="C376" s="4">
        <f t="shared" si="19"/>
        <v>2.651997241056843E-3</v>
      </c>
      <c r="D376" s="84">
        <f t="shared" si="18"/>
        <v>52604.954458649823</v>
      </c>
      <c r="E376" s="10"/>
    </row>
    <row r="377" spans="1:5">
      <c r="A377" s="42">
        <v>18.25</v>
      </c>
      <c r="B377" s="42">
        <f t="shared" si="17"/>
        <v>4.1749999999999995E-2</v>
      </c>
      <c r="C377" s="4">
        <f t="shared" si="19"/>
        <v>2.6662531251226708E-3</v>
      </c>
      <c r="D377" s="84">
        <f t="shared" si="18"/>
        <v>52805.4351004364</v>
      </c>
      <c r="E377" s="10"/>
    </row>
    <row r="378" spans="1:5">
      <c r="A378" s="42">
        <v>18.3</v>
      </c>
      <c r="B378" s="42">
        <f t="shared" si="17"/>
        <v>4.1700000000000001E-2</v>
      </c>
      <c r="C378" s="4">
        <f t="shared" si="19"/>
        <v>2.6805925743451802E-3</v>
      </c>
      <c r="D378" s="84">
        <f t="shared" si="18"/>
        <v>53006.202733176564</v>
      </c>
      <c r="E378" s="10"/>
    </row>
    <row r="379" spans="1:5">
      <c r="A379" s="42">
        <v>18.350000000000001</v>
      </c>
      <c r="B379" s="42">
        <f t="shared" si="17"/>
        <v>4.1649999999999993E-2</v>
      </c>
      <c r="C379" s="4">
        <f t="shared" si="19"/>
        <v>2.6950160785667002E-3</v>
      </c>
      <c r="D379" s="84">
        <f t="shared" si="18"/>
        <v>53207.256952843236</v>
      </c>
      <c r="E379" s="10"/>
    </row>
    <row r="380" spans="1:5">
      <c r="A380" s="42">
        <v>18.399999999999999</v>
      </c>
      <c r="B380" s="42">
        <f t="shared" si="17"/>
        <v>4.1599999999999998E-2</v>
      </c>
      <c r="C380" s="4">
        <f t="shared" si="19"/>
        <v>2.7095241305009096E-3</v>
      </c>
      <c r="D380" s="84">
        <f t="shared" si="18"/>
        <v>53408.597352415534</v>
      </c>
      <c r="E380" s="10"/>
    </row>
    <row r="381" spans="1:5">
      <c r="A381" s="42">
        <v>18.45</v>
      </c>
      <c r="B381" s="42">
        <f t="shared" si="17"/>
        <v>4.1549999999999997E-2</v>
      </c>
      <c r="C381" s="4">
        <f t="shared" si="19"/>
        <v>2.7241172257496879E-3</v>
      </c>
      <c r="D381" s="84">
        <f t="shared" si="18"/>
        <v>53610.223521876564</v>
      </c>
      <c r="E381" s="10"/>
    </row>
    <row r="382" spans="1:5">
      <c r="A382" s="42">
        <v>18.5</v>
      </c>
      <c r="B382" s="42">
        <f t="shared" si="17"/>
        <v>4.1499999999999995E-2</v>
      </c>
      <c r="C382" s="4">
        <f t="shared" si="19"/>
        <v>2.7387958628200229E-3</v>
      </c>
      <c r="D382" s="84">
        <f t="shared" si="18"/>
        <v>53812.135048211261</v>
      </c>
      <c r="E382" s="10"/>
    </row>
    <row r="383" spans="1:5">
      <c r="A383" s="42">
        <v>18.55</v>
      </c>
      <c r="B383" s="42">
        <f t="shared" si="17"/>
        <v>4.1450000000000001E-2</v>
      </c>
      <c r="C383" s="4">
        <f t="shared" si="19"/>
        <v>2.7535605431410607E-3</v>
      </c>
      <c r="D383" s="84">
        <f t="shared" si="18"/>
        <v>54014.331515404308</v>
      </c>
      <c r="E383" s="10"/>
    </row>
    <row r="384" spans="1:5">
      <c r="A384" s="42">
        <v>18.600000000000001</v>
      </c>
      <c r="B384" s="42">
        <f t="shared" si="17"/>
        <v>4.1399999999999992E-2</v>
      </c>
      <c r="C384" s="4">
        <f t="shared" si="19"/>
        <v>2.7684117710812229E-3</v>
      </c>
      <c r="D384" s="84">
        <f t="shared" si="18"/>
        <v>54216.812504437985</v>
      </c>
      <c r="E384" s="10"/>
    </row>
    <row r="385" spans="1:5">
      <c r="A385" s="42">
        <v>18.649999999999999</v>
      </c>
      <c r="B385" s="42">
        <f t="shared" si="17"/>
        <v>4.1349999999999998E-2</v>
      </c>
      <c r="C385" s="4">
        <f t="shared" si="19"/>
        <v>2.7833500539654306E-3</v>
      </c>
      <c r="D385" s="84">
        <f t="shared" si="18"/>
        <v>54419.577593290174</v>
      </c>
      <c r="E385" s="10"/>
    </row>
    <row r="386" spans="1:5">
      <c r="A386" s="42">
        <v>18.7</v>
      </c>
      <c r="B386" s="42">
        <f t="shared" si="17"/>
        <v>4.1299999999999996E-2</v>
      </c>
      <c r="C386" s="4">
        <f t="shared" si="19"/>
        <v>2.7983759020924585E-3</v>
      </c>
      <c r="D386" s="84">
        <f t="shared" si="18"/>
        <v>54622.626356932298</v>
      </c>
      <c r="E386" s="10"/>
    </row>
    <row r="387" spans="1:5">
      <c r="A387" s="42">
        <v>18.75</v>
      </c>
      <c r="B387" s="42">
        <f t="shared" si="17"/>
        <v>4.1249999999999995E-2</v>
      </c>
      <c r="C387" s="4">
        <f t="shared" si="19"/>
        <v>2.8134898287523347E-3</v>
      </c>
      <c r="D387" s="84">
        <f t="shared" si="18"/>
        <v>54825.958367327366</v>
      </c>
      <c r="E387" s="10"/>
    </row>
    <row r="388" spans="1:5">
      <c r="A388" s="42">
        <v>18.8</v>
      </c>
      <c r="B388" s="42">
        <f t="shared" si="17"/>
        <v>4.1200000000000001E-2</v>
      </c>
      <c r="C388" s="4">
        <f t="shared" si="19"/>
        <v>2.8286923502439014E-3</v>
      </c>
      <c r="D388" s="84">
        <f t="shared" si="18"/>
        <v>55029.573193427983</v>
      </c>
      <c r="E388" s="10"/>
    </row>
    <row r="389" spans="1:5">
      <c r="A389" s="42">
        <v>18.850000000000001</v>
      </c>
      <c r="B389" s="42">
        <f t="shared" si="17"/>
        <v>4.1149999999999992E-2</v>
      </c>
      <c r="C389" s="4">
        <f t="shared" si="19"/>
        <v>2.8439839858924411E-3</v>
      </c>
      <c r="D389" s="84">
        <f t="shared" si="18"/>
        <v>55233.470401174447</v>
      </c>
      <c r="E389" s="10"/>
    </row>
    <row r="390" spans="1:5">
      <c r="A390" s="42">
        <v>18.899999999999999</v>
      </c>
      <c r="B390" s="42">
        <f t="shared" si="17"/>
        <v>4.1099999999999998E-2</v>
      </c>
      <c r="C390" s="4">
        <f t="shared" si="19"/>
        <v>2.8593652580674116E-3</v>
      </c>
      <c r="D390" s="84">
        <f t="shared" si="18"/>
        <v>55437.649553492869</v>
      </c>
      <c r="E390" s="10"/>
    </row>
    <row r="391" spans="1:5">
      <c r="A391" s="42">
        <v>18.95</v>
      </c>
      <c r="B391" s="42">
        <f t="shared" si="17"/>
        <v>4.1050000000000003E-2</v>
      </c>
      <c r="C391" s="4">
        <f t="shared" si="19"/>
        <v>2.8748366922003049E-3</v>
      </c>
      <c r="D391" s="84">
        <f t="shared" si="18"/>
        <v>55642.110210293293</v>
      </c>
      <c r="E391" s="10"/>
    </row>
    <row r="392" spans="1:5">
      <c r="A392" s="42">
        <v>19</v>
      </c>
      <c r="B392" s="42">
        <f t="shared" si="17"/>
        <v>4.0999999999999995E-2</v>
      </c>
      <c r="C392" s="4">
        <f t="shared" si="19"/>
        <v>2.8903988168025806E-3</v>
      </c>
      <c r="D392" s="84">
        <f t="shared" si="18"/>
        <v>55846.851928467921</v>
      </c>
      <c r="E392" s="10"/>
    </row>
    <row r="393" spans="1:5">
      <c r="A393" s="42">
        <v>19.05</v>
      </c>
      <c r="B393" s="42">
        <f t="shared" si="17"/>
        <v>4.095E-2</v>
      </c>
      <c r="C393" s="4">
        <f t="shared" si="19"/>
        <v>2.9060521634837288E-3</v>
      </c>
      <c r="D393" s="84">
        <f t="shared" si="18"/>
        <v>56051.874261889287</v>
      </c>
      <c r="E393" s="10"/>
    </row>
    <row r="394" spans="1:5">
      <c r="A394" s="42">
        <v>19.100000000000001</v>
      </c>
      <c r="B394" s="42">
        <f t="shared" si="17"/>
        <v>4.0899999999999992E-2</v>
      </c>
      <c r="C394" s="4">
        <f t="shared" si="19"/>
        <v>2.9217972669694364E-3</v>
      </c>
      <c r="D394" s="84">
        <f t="shared" si="18"/>
        <v>56257.176761408504</v>
      </c>
      <c r="E394" s="10"/>
    </row>
    <row r="395" spans="1:5">
      <c r="A395" s="42">
        <v>19.149999999999999</v>
      </c>
      <c r="B395" s="42">
        <f t="shared" si="17"/>
        <v>4.0849999999999997E-2</v>
      </c>
      <c r="C395" s="4">
        <f t="shared" si="19"/>
        <v>2.9376346651198326E-3</v>
      </c>
      <c r="D395" s="84">
        <f t="shared" si="18"/>
        <v>56462.75897485359</v>
      </c>
      <c r="E395" s="10"/>
    </row>
    <row r="396" spans="1:5">
      <c r="A396" s="42">
        <v>19.2</v>
      </c>
      <c r="B396" s="42">
        <f t="shared" si="17"/>
        <v>4.0800000000000003E-2</v>
      </c>
      <c r="C396" s="4">
        <f t="shared" si="19"/>
        <v>2.9535648989478911E-3</v>
      </c>
      <c r="D396" s="84">
        <f t="shared" si="18"/>
        <v>56668.62044702773</v>
      </c>
      <c r="E396" s="10"/>
    </row>
    <row r="397" spans="1:5">
      <c r="A397" s="42">
        <v>19.25</v>
      </c>
      <c r="B397" s="42">
        <f t="shared" ref="B397:B412" si="20">0.06-0.001*A397</f>
        <v>4.0749999999999995E-2</v>
      </c>
      <c r="C397" s="4">
        <f t="shared" si="19"/>
        <v>2.9695885126378822E-3</v>
      </c>
      <c r="D397" s="84">
        <f t="shared" si="18"/>
        <v>56874.760719707672</v>
      </c>
      <c r="E397" s="10"/>
    </row>
    <row r="398" spans="1:5">
      <c r="A398" s="42">
        <v>19.3</v>
      </c>
      <c r="B398" s="42">
        <f t="shared" si="20"/>
        <v>4.07E-2</v>
      </c>
      <c r="C398" s="4">
        <f t="shared" si="19"/>
        <v>2.985706053563983E-3</v>
      </c>
      <c r="D398" s="84">
        <f t="shared" si="18"/>
        <v>57081.179331642074</v>
      </c>
      <c r="E398" s="10"/>
    </row>
    <row r="399" spans="1:5">
      <c r="A399" s="42">
        <v>19.350000000000001</v>
      </c>
      <c r="B399" s="42">
        <f t="shared" si="20"/>
        <v>4.0649999999999992E-2</v>
      </c>
      <c r="C399" s="4">
        <f t="shared" si="19"/>
        <v>3.001918072308971E-3</v>
      </c>
      <c r="D399" s="84">
        <f t="shared" si="18"/>
        <v>57287.875818549968</v>
      </c>
      <c r="E399" s="10"/>
    </row>
    <row r="400" spans="1:5">
      <c r="A400" s="42">
        <v>19.399999999999999</v>
      </c>
      <c r="B400" s="42">
        <f t="shared" si="20"/>
        <v>4.0599999999999997E-2</v>
      </c>
      <c r="C400" s="4">
        <f t="shared" si="19"/>
        <v>3.0182251226830228E-3</v>
      </c>
      <c r="D400" s="84">
        <f t="shared" si="18"/>
        <v>57494.849713119183</v>
      </c>
      <c r="E400" s="10"/>
    </row>
    <row r="401" spans="1:5">
      <c r="A401" s="42">
        <v>19.45</v>
      </c>
      <c r="B401" s="42">
        <f t="shared" si="20"/>
        <v>4.0550000000000003E-2</v>
      </c>
      <c r="C401" s="4">
        <f t="shared" si="19"/>
        <v>3.0346277617426492E-3</v>
      </c>
      <c r="D401" s="84">
        <f t="shared" si="18"/>
        <v>57702.100545004818</v>
      </c>
      <c r="E401" s="10"/>
    </row>
    <row r="402" spans="1:5">
      <c r="A402" s="42">
        <v>19.5</v>
      </c>
      <c r="B402" s="42">
        <f t="shared" si="20"/>
        <v>4.0499999999999994E-2</v>
      </c>
      <c r="C402" s="4">
        <f t="shared" si="19"/>
        <v>3.0511265498097064E-3</v>
      </c>
      <c r="D402" s="84">
        <f t="shared" si="18"/>
        <v>57909.627840827823</v>
      </c>
      <c r="E402" s="10"/>
    </row>
    <row r="403" spans="1:5">
      <c r="A403" s="42">
        <v>19.55</v>
      </c>
      <c r="B403" s="42">
        <f t="shared" si="20"/>
        <v>4.045E-2</v>
      </c>
      <c r="C403" s="4">
        <f t="shared" si="19"/>
        <v>3.067722050490552E-3</v>
      </c>
      <c r="D403" s="84">
        <f t="shared" si="18"/>
        <v>58117.431124173498</v>
      </c>
      <c r="E403" s="10"/>
    </row>
    <row r="404" spans="1:5">
      <c r="A404" s="42">
        <v>19.600000000000001</v>
      </c>
      <c r="B404" s="42">
        <f t="shared" si="20"/>
        <v>4.0399999999999991E-2</v>
      </c>
      <c r="C404" s="4">
        <f t="shared" si="19"/>
        <v>3.0844148306952944E-3</v>
      </c>
      <c r="D404" s="84">
        <f t="shared" si="18"/>
        <v>58325.509915590141</v>
      </c>
      <c r="E404" s="10"/>
    </row>
    <row r="405" spans="1:5">
      <c r="A405" s="42">
        <v>19.649999999999999</v>
      </c>
      <c r="B405" s="42">
        <f t="shared" si="20"/>
        <v>4.0349999999999997E-2</v>
      </c>
      <c r="C405" s="4">
        <f t="shared" si="19"/>
        <v>3.1012054606571467E-3</v>
      </c>
      <c r="D405" s="84">
        <f t="shared" ref="D405:D411" si="21">(D406-B$6*E$9)/(1+B$6*B405)</f>
        <v>58533.863732587633</v>
      </c>
      <c r="E405" s="10"/>
    </row>
    <row r="406" spans="1:5">
      <c r="A406" s="42">
        <v>19.7</v>
      </c>
      <c r="B406" s="42">
        <f t="shared" si="20"/>
        <v>4.0300000000000002E-2</v>
      </c>
      <c r="C406" s="4">
        <f t="shared" si="19"/>
        <v>3.1180945139519232E-3</v>
      </c>
      <c r="D406" s="84">
        <f t="shared" si="21"/>
        <v>58742.492089636129</v>
      </c>
      <c r="E406" s="10"/>
    </row>
    <row r="407" spans="1:5">
      <c r="A407" s="42">
        <v>19.75</v>
      </c>
      <c r="B407" s="42">
        <f t="shared" si="20"/>
        <v>4.0249999999999994E-2</v>
      </c>
      <c r="C407" s="4">
        <f t="shared" si="19"/>
        <v>3.1350825675176249E-3</v>
      </c>
      <c r="D407" s="84">
        <f t="shared" si="21"/>
        <v>58951.394498164758</v>
      </c>
      <c r="E407" s="10"/>
    </row>
    <row r="408" spans="1:5">
      <c r="A408" s="42">
        <v>19.8</v>
      </c>
      <c r="B408" s="42">
        <f t="shared" si="20"/>
        <v>4.02E-2</v>
      </c>
      <c r="C408" s="4">
        <f t="shared" si="19"/>
        <v>3.1521702016741454E-3</v>
      </c>
      <c r="D408" s="84">
        <f t="shared" si="21"/>
        <v>59160.570466560319</v>
      </c>
      <c r="E408" s="10"/>
    </row>
    <row r="409" spans="1:5">
      <c r="A409" s="42">
        <v>19.850000000000001</v>
      </c>
      <c r="B409" s="42">
        <f t="shared" si="20"/>
        <v>4.0149999999999991E-2</v>
      </c>
      <c r="C409" s="4">
        <f t="shared" si="19"/>
        <v>3.169358000143104E-3</v>
      </c>
      <c r="D409" s="84">
        <f t="shared" si="21"/>
        <v>59370.019500166112</v>
      </c>
      <c r="E409" s="10"/>
    </row>
    <row r="410" spans="1:5">
      <c r="A410" s="42">
        <v>19.899999999999999</v>
      </c>
      <c r="B410" s="42">
        <f t="shared" si="20"/>
        <v>4.0099999999999997E-2</v>
      </c>
      <c r="C410" s="4">
        <f t="shared" si="19"/>
        <v>3.1866465500677709E-3</v>
      </c>
      <c r="D410" s="84">
        <f t="shared" si="21"/>
        <v>59579.741101280692</v>
      </c>
      <c r="E410" s="10"/>
    </row>
    <row r="411" spans="1:5">
      <c r="A411" s="42">
        <v>19.95</v>
      </c>
      <c r="B411" s="42">
        <f t="shared" si="20"/>
        <v>4.0050000000000002E-2</v>
      </c>
      <c r="C411" s="4">
        <f t="shared" si="19"/>
        <v>3.2040364420331427E-3</v>
      </c>
      <c r="D411" s="84">
        <f t="shared" si="21"/>
        <v>59789.734769156763</v>
      </c>
      <c r="E411" s="10"/>
    </row>
    <row r="412" spans="1:5">
      <c r="A412" s="42">
        <v>20</v>
      </c>
      <c r="B412" s="42">
        <f t="shared" si="20"/>
        <v>3.9999999999999994E-2</v>
      </c>
      <c r="C412" s="4">
        <f t="shared" si="19"/>
        <v>3.221528270086101E-3</v>
      </c>
      <c r="D412" s="12">
        <f>60000</f>
        <v>60000</v>
      </c>
      <c r="E412" s="10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zoomScale="125" zoomScaleNormal="125" zoomScalePageLayoutView="125" workbookViewId="0"/>
  </sheetViews>
  <sheetFormatPr baseColWidth="10" defaultRowHeight="12" x14ac:dyDescent="0"/>
  <sheetData>
    <row r="1" spans="1:12" ht="15">
      <c r="A1" s="70" t="s">
        <v>743</v>
      </c>
      <c r="C1" s="10"/>
      <c r="D1" s="10"/>
      <c r="L1" s="82"/>
    </row>
    <row r="2" spans="1:12">
      <c r="C2" s="10"/>
      <c r="D2" s="10"/>
      <c r="L2" s="82"/>
    </row>
    <row r="3" spans="1:12">
      <c r="A3" s="52" t="s">
        <v>9</v>
      </c>
      <c r="B3" s="51">
        <v>2.2000000000000001E-4</v>
      </c>
      <c r="C3" s="10"/>
      <c r="D3" s="10"/>
      <c r="L3" s="82"/>
    </row>
    <row r="4" spans="1:12">
      <c r="A4" s="52" t="s">
        <v>10</v>
      </c>
      <c r="B4" s="51">
        <f>2.7/1000000</f>
        <v>2.7E-6</v>
      </c>
      <c r="C4" s="10"/>
      <c r="D4" s="10"/>
      <c r="L4" s="82"/>
    </row>
    <row r="5" spans="1:12">
      <c r="A5" s="52" t="s">
        <v>24</v>
      </c>
      <c r="B5" s="51">
        <v>1.1240000000000001</v>
      </c>
      <c r="C5" s="10"/>
      <c r="D5" s="10"/>
      <c r="L5" s="82"/>
    </row>
    <row r="6" spans="1:12">
      <c r="A6" s="52" t="s">
        <v>74</v>
      </c>
      <c r="B6" s="51">
        <v>0.05</v>
      </c>
      <c r="C6" s="10"/>
      <c r="D6" s="10"/>
      <c r="L6" s="82"/>
    </row>
    <row r="7" spans="1:12">
      <c r="A7" s="52" t="s">
        <v>82</v>
      </c>
      <c r="B7" s="51">
        <v>50</v>
      </c>
      <c r="C7" s="10"/>
      <c r="D7" s="10"/>
      <c r="L7" s="82"/>
    </row>
    <row r="8" spans="1:12">
      <c r="A8" s="9" t="s">
        <v>25</v>
      </c>
      <c r="B8" s="6">
        <f>EXP(-B4/LN(B5))</f>
        <v>0.99997690236831238</v>
      </c>
      <c r="C8" s="10"/>
      <c r="D8" s="10"/>
      <c r="L8" s="82"/>
    </row>
    <row r="9" spans="1:12">
      <c r="A9" s="9" t="s">
        <v>27</v>
      </c>
      <c r="B9" s="18">
        <f>EXP(-B3)</f>
        <v>0.99978002419822543</v>
      </c>
      <c r="C9" s="10"/>
      <c r="D9" s="10"/>
      <c r="L9" s="82"/>
    </row>
    <row r="10" spans="1:12">
      <c r="C10" s="10"/>
      <c r="D10" s="10"/>
      <c r="L10" s="82"/>
    </row>
    <row r="11" spans="1:12">
      <c r="A11" s="1"/>
      <c r="C11" s="10"/>
      <c r="D11" s="42" t="s">
        <v>101</v>
      </c>
      <c r="F11" t="s">
        <v>185</v>
      </c>
      <c r="G11">
        <f>SUM(D15:D33)/D15</f>
        <v>12.45074002124503</v>
      </c>
      <c r="L11" s="82"/>
    </row>
    <row r="12" spans="1:12">
      <c r="C12" s="10"/>
      <c r="D12" s="42" t="s">
        <v>186</v>
      </c>
      <c r="F12" t="s">
        <v>187</v>
      </c>
      <c r="G12" s="8">
        <f>1-0.05*G11/1.05</f>
        <v>0.40710761803595097</v>
      </c>
      <c r="L12" s="82"/>
    </row>
    <row r="13" spans="1:12">
      <c r="A13" s="42" t="s">
        <v>0</v>
      </c>
      <c r="B13" s="7" t="s">
        <v>84</v>
      </c>
      <c r="C13" s="10" t="s">
        <v>85</v>
      </c>
      <c r="D13" s="42" t="s">
        <v>86</v>
      </c>
      <c r="F13" s="83" t="s">
        <v>188</v>
      </c>
      <c r="G13" s="82">
        <f>500000*G12-G11*D$38</f>
        <v>15369.27571294154</v>
      </c>
      <c r="I13" s="42" t="s">
        <v>0</v>
      </c>
      <c r="J13" s="7" t="s">
        <v>84</v>
      </c>
      <c r="K13" s="7" t="s">
        <v>189</v>
      </c>
      <c r="L13" s="80" t="s">
        <v>169</v>
      </c>
    </row>
    <row r="14" spans="1:12">
      <c r="A14" s="42">
        <v>0</v>
      </c>
      <c r="B14" s="10">
        <f>EXP(-(0.9^(2-A14))*(B$3*((0.9^A14 - 1)/LN(0.9)) +B$4*(B$5^B$7)*((0.9^A14 -B$5^A14)/LN(0.9/B$5))))</f>
        <v>1</v>
      </c>
      <c r="C14" s="10">
        <f>(1+B$6)^-A14</f>
        <v>1</v>
      </c>
      <c r="D14" s="10">
        <f>B14*C14</f>
        <v>1</v>
      </c>
      <c r="F14" t="s">
        <v>190</v>
      </c>
      <c r="G14" s="8">
        <f>SUM(D16:D33)/D16</f>
        <v>12.038499026025422</v>
      </c>
      <c r="I14" s="42">
        <v>0</v>
      </c>
      <c r="J14" s="10">
        <f t="shared" ref="J14:J34" si="0">EXP(-(0.9^(2-I14))*(B$3*((0.9^I14 - 1)/LN(0.9)) +B$4*(B$5^B$7)*((0.9^I14 -B$5^I14)/LN(0.9/B$5))))</f>
        <v>1</v>
      </c>
      <c r="K14" s="10">
        <f>J24</f>
        <v>0.99896670662448772</v>
      </c>
      <c r="L14" s="82"/>
    </row>
    <row r="15" spans="1:12">
      <c r="A15" s="42">
        <v>1</v>
      </c>
      <c r="B15" s="10">
        <f t="shared" ref="B15:B16" si="1">EXP(-(0.9^(2-A15))*(B$3*((0.9^A15 - 1)/LN(0.9)) +B$4*(B$5^B$7)*((0.9^A15 -B$5^A15)/LN(0.9/B$5))))</f>
        <v>0.99896670662448772</v>
      </c>
      <c r="C15" s="10">
        <f t="shared" ref="C15:C33" si="2">(1+B$6)^-A15</f>
        <v>0.95238095238095233</v>
      </c>
      <c r="D15" s="10">
        <f t="shared" ref="D15:D33" si="3">B15*C15</f>
        <v>0.951396863451893</v>
      </c>
      <c r="F15" t="s">
        <v>191</v>
      </c>
      <c r="G15" s="8">
        <f>1-0.05*G14/1.05</f>
        <v>0.42673814161783707</v>
      </c>
      <c r="I15" s="42">
        <v>0.1</v>
      </c>
      <c r="J15" s="10">
        <f t="shared" si="0"/>
        <v>0.99990570675335988</v>
      </c>
      <c r="K15" s="10">
        <f>J$24/J15</f>
        <v>0.99906091132140751</v>
      </c>
      <c r="L15" s="12">
        <f t="shared" ref="L15:L23" si="4">(K15*L$24+(1-K15)*500000)/((1+B$6)^(1-I15))</f>
        <v>15144.555274254883</v>
      </c>
    </row>
    <row r="16" spans="1:12">
      <c r="A16" s="42">
        <v>2</v>
      </c>
      <c r="B16" s="10">
        <f t="shared" si="1"/>
        <v>0.99770356950999683</v>
      </c>
      <c r="C16" s="10">
        <f t="shared" si="2"/>
        <v>0.90702947845804982</v>
      </c>
      <c r="D16" s="10">
        <f t="shared" si="3"/>
        <v>0.90494654830838706</v>
      </c>
      <c r="F16" s="83" t="s">
        <v>192</v>
      </c>
      <c r="G16" s="82">
        <f>500000*G15-G14*D$38</f>
        <v>31415.281954594539</v>
      </c>
      <c r="I16" s="42">
        <v>0.2</v>
      </c>
      <c r="J16" s="10">
        <f t="shared" si="0"/>
        <v>0.99980951635476767</v>
      </c>
      <c r="K16" s="10">
        <f t="shared" ref="K16:K24" si="5">J$24/J16</f>
        <v>0.99915702969766407</v>
      </c>
      <c r="L16" s="12">
        <f t="shared" si="4"/>
        <v>15173.827604651275</v>
      </c>
    </row>
    <row r="17" spans="1:12">
      <c r="A17" s="42">
        <v>3</v>
      </c>
      <c r="B17" s="10">
        <f>B16*B$9*B$8^(($B$5^(B$7+A16))*(B$5-1))</f>
        <v>0.99623821674361823</v>
      </c>
      <c r="C17" s="10">
        <f t="shared" si="2"/>
        <v>0.86383759853147601</v>
      </c>
      <c r="D17" s="10">
        <f t="shared" si="3"/>
        <v>0.86058802871708728</v>
      </c>
      <c r="I17" s="42">
        <v>0.3</v>
      </c>
      <c r="J17" s="10">
        <f t="shared" si="0"/>
        <v>0.99971138877478516</v>
      </c>
      <c r="K17" s="10">
        <f t="shared" si="5"/>
        <v>0.99925510286402752</v>
      </c>
      <c r="L17" s="12">
        <f t="shared" si="4"/>
        <v>15202.10845365054</v>
      </c>
    </row>
    <row r="18" spans="1:12">
      <c r="A18" s="42">
        <v>4</v>
      </c>
      <c r="B18" s="10">
        <f t="shared" ref="B18:B34" si="6">B17*B$9*B$8^(($B$5^(B$7+A17))*(B$5-1))</f>
        <v>0.9946208620218584</v>
      </c>
      <c r="C18" s="10">
        <f t="shared" si="2"/>
        <v>0.82270247479188197</v>
      </c>
      <c r="D18" s="10">
        <f t="shared" si="3"/>
        <v>0.81827704466501783</v>
      </c>
      <c r="I18" s="42">
        <v>0.4</v>
      </c>
      <c r="J18" s="10">
        <f t="shared" si="0"/>
        <v>0.99961128312299763</v>
      </c>
      <c r="K18" s="10">
        <f t="shared" si="5"/>
        <v>0.99935517284629272</v>
      </c>
      <c r="L18" s="12">
        <f t="shared" si="4"/>
        <v>15229.363165201794</v>
      </c>
    </row>
    <row r="19" spans="1:12">
      <c r="A19" s="42">
        <v>5</v>
      </c>
      <c r="B19" s="10">
        <f t="shared" si="6"/>
        <v>0.99283317350663902</v>
      </c>
      <c r="C19" s="10">
        <f t="shared" si="2"/>
        <v>0.78352616646845896</v>
      </c>
      <c r="D19" s="10">
        <f t="shared" si="3"/>
        <v>0.77791077038037126</v>
      </c>
      <c r="I19" s="42">
        <v>0.5</v>
      </c>
      <c r="J19" s="10">
        <f t="shared" si="0"/>
        <v>0.99950915762955328</v>
      </c>
      <c r="K19" s="10">
        <f t="shared" si="5"/>
        <v>0.99945728260624245</v>
      </c>
      <c r="L19" s="81">
        <f t="shared" si="4"/>
        <v>15255.556109913179</v>
      </c>
    </row>
    <row r="20" spans="1:12">
      <c r="A20" s="42">
        <v>6</v>
      </c>
      <c r="B20" s="10">
        <f t="shared" si="6"/>
        <v>0.99085467693301277</v>
      </c>
      <c r="C20" s="10">
        <f t="shared" si="2"/>
        <v>0.74621539663662761</v>
      </c>
      <c r="D20" s="10">
        <f t="shared" si="3"/>
        <v>0.73939101575682564</v>
      </c>
      <c r="I20" s="42">
        <v>0.6</v>
      </c>
      <c r="J20" s="10">
        <f t="shared" si="0"/>
        <v>0.99940496962631931</v>
      </c>
      <c r="K20" s="10">
        <f t="shared" si="5"/>
        <v>0.99956147606310641</v>
      </c>
      <c r="L20" s="12">
        <f t="shared" si="4"/>
        <v>15280.650658139235</v>
      </c>
    </row>
    <row r="21" spans="1:12">
      <c r="A21" s="42">
        <v>7</v>
      </c>
      <c r="B21" s="10">
        <f t="shared" si="6"/>
        <v>0.98866252310228275</v>
      </c>
      <c r="C21" s="10">
        <f t="shared" si="2"/>
        <v>0.71068133013012147</v>
      </c>
      <c r="D21" s="10">
        <f t="shared" si="3"/>
        <v>0.70262399696813227</v>
      </c>
      <c r="I21" s="42">
        <v>0.7</v>
      </c>
      <c r="J21" s="10">
        <f t="shared" si="0"/>
        <v>0.99929867552764451</v>
      </c>
      <c r="K21" s="10">
        <f t="shared" si="5"/>
        <v>0.99966779811553186</v>
      </c>
      <c r="L21" s="12">
        <f t="shared" si="4"/>
        <v>15304.609152311077</v>
      </c>
    </row>
    <row r="22" spans="1:12">
      <c r="A22" s="42">
        <v>8</v>
      </c>
      <c r="B22" s="10">
        <f t="shared" si="6"/>
        <v>0.9862312349461807</v>
      </c>
      <c r="C22" s="10">
        <f t="shared" si="2"/>
        <v>0.67683936202868722</v>
      </c>
      <c r="D22" s="10">
        <f t="shared" si="3"/>
        <v>0.66752011987373727</v>
      </c>
      <c r="I22" s="42">
        <v>0.8</v>
      </c>
      <c r="J22" s="10">
        <f t="shared" si="0"/>
        <v>0.99919023081072411</v>
      </c>
      <c r="K22" s="10">
        <f t="shared" si="5"/>
        <v>0.99977629466407514</v>
      </c>
      <c r="L22" s="12">
        <f t="shared" si="4"/>
        <v>15327.3928784892</v>
      </c>
    </row>
    <row r="23" spans="1:12">
      <c r="A23" s="42">
        <v>9</v>
      </c>
      <c r="B23" s="10">
        <f t="shared" si="6"/>
        <v>0.98353243373053167</v>
      </c>
      <c r="C23" s="10">
        <f t="shared" si="2"/>
        <v>0.64460891621779726</v>
      </c>
      <c r="D23" s="10">
        <f t="shared" si="3"/>
        <v>0.63399377617209052</v>
      </c>
      <c r="I23" s="42">
        <v>0.9</v>
      </c>
      <c r="J23" s="10">
        <f t="shared" si="0"/>
        <v>0.9990795899955569</v>
      </c>
      <c r="K23" s="10">
        <f t="shared" si="5"/>
        <v>0.99988701263422897</v>
      </c>
      <c r="L23" s="12">
        <f t="shared" si="4"/>
        <v>15348.962037115605</v>
      </c>
    </row>
    <row r="24" spans="1:12">
      <c r="A24" s="42">
        <v>10</v>
      </c>
      <c r="B24" s="10">
        <f t="shared" si="6"/>
        <v>0.98053454442440058</v>
      </c>
      <c r="C24" s="10">
        <f t="shared" si="2"/>
        <v>0.61391325354075932</v>
      </c>
      <c r="D24" s="10">
        <f t="shared" si="3"/>
        <v>0.60196315237668996</v>
      </c>
      <c r="I24" s="42">
        <v>1</v>
      </c>
      <c r="J24" s="10">
        <f t="shared" si="0"/>
        <v>0.99896670662448772</v>
      </c>
      <c r="K24" s="10">
        <f t="shared" si="5"/>
        <v>1</v>
      </c>
      <c r="L24" s="81">
        <f>G13</f>
        <v>15369.27571294154</v>
      </c>
    </row>
    <row r="25" spans="1:12">
      <c r="A25" s="42">
        <v>11</v>
      </c>
      <c r="B25" s="10">
        <f t="shared" si="6"/>
        <v>0.9772024808928127</v>
      </c>
      <c r="C25" s="10">
        <f t="shared" si="2"/>
        <v>0.5846792890864374</v>
      </c>
      <c r="D25" s="10">
        <f t="shared" si="3"/>
        <v>0.57135005182191267</v>
      </c>
      <c r="I25" s="42">
        <v>1.1000000000000001</v>
      </c>
      <c r="J25" s="10">
        <f t="shared" si="0"/>
        <v>0.99885153324132725</v>
      </c>
      <c r="K25" s="10">
        <f>J$34/J25</f>
        <v>0.99885071635460654</v>
      </c>
      <c r="L25" s="12">
        <f t="shared" ref="L25:L33" si="7">(K25*L$34+(1-K25)*500000)/((1+B$6)^(2-I25))</f>
        <v>30581.050342886087</v>
      </c>
    </row>
    <row r="26" spans="1:12">
      <c r="A26" s="42">
        <v>12</v>
      </c>
      <c r="B26" s="10">
        <f t="shared" si="6"/>
        <v>0.97349731242371929</v>
      </c>
      <c r="C26" s="10">
        <f t="shared" si="2"/>
        <v>0.5568374181775595</v>
      </c>
      <c r="D26" s="10">
        <f t="shared" si="3"/>
        <v>0.54207973005281684</v>
      </c>
      <c r="I26" s="42">
        <v>1.2</v>
      </c>
      <c r="J26" s="10">
        <f t="shared" si="0"/>
        <v>0.99873402137004197</v>
      </c>
      <c r="K26" s="10">
        <f t="shared" ref="K26:K34" si="8">J$34/J26</f>
        <v>0.99896824195632028</v>
      </c>
      <c r="L26" s="12">
        <f t="shared" si="7"/>
        <v>30677.657786260312</v>
      </c>
    </row>
    <row r="27" spans="1:12">
      <c r="A27" s="42">
        <v>13</v>
      </c>
      <c r="B27" s="10">
        <f t="shared" si="6"/>
        <v>0.96937591422840774</v>
      </c>
      <c r="C27" s="10">
        <f t="shared" si="2"/>
        <v>0.53032135064529462</v>
      </c>
      <c r="D27" s="10">
        <f t="shared" si="3"/>
        <v>0.51408074411662652</v>
      </c>
      <c r="I27" s="42">
        <v>1.3</v>
      </c>
      <c r="J27" s="10">
        <f t="shared" si="0"/>
        <v>0.99861412149300521</v>
      </c>
      <c r="K27" s="10">
        <f t="shared" si="8"/>
        <v>0.99908818435128177</v>
      </c>
      <c r="L27" s="12">
        <f t="shared" si="7"/>
        <v>30773.384245999274</v>
      </c>
    </row>
    <row r="28" spans="1:12">
      <c r="A28" s="42">
        <v>14</v>
      </c>
      <c r="B28" s="10">
        <f t="shared" si="6"/>
        <v>0.96479060602513522</v>
      </c>
      <c r="C28" s="10">
        <f t="shared" si="2"/>
        <v>0.50506795299551888</v>
      </c>
      <c r="D28" s="10">
        <f t="shared" si="3"/>
        <v>0.48728481645442118</v>
      </c>
      <c r="I28" s="42">
        <v>1.4</v>
      </c>
      <c r="J28" s="10">
        <f t="shared" si="0"/>
        <v>0.99849178302880082</v>
      </c>
      <c r="K28" s="10">
        <f t="shared" si="8"/>
        <v>0.99921059588851791</v>
      </c>
      <c r="L28" s="12">
        <f t="shared" si="7"/>
        <v>30868.189618308668</v>
      </c>
    </row>
    <row r="29" spans="1:12">
      <c r="A29" s="42">
        <v>15</v>
      </c>
      <c r="B29" s="10">
        <f t="shared" si="6"/>
        <v>0.9596887847061113</v>
      </c>
      <c r="C29" s="10">
        <f t="shared" si="2"/>
        <v>0.48101709809097021</v>
      </c>
      <c r="D29" s="10">
        <f t="shared" si="3"/>
        <v>0.46162671428978352</v>
      </c>
      <c r="I29" s="42">
        <v>1.5</v>
      </c>
      <c r="J29" s="10">
        <f t="shared" si="0"/>
        <v>0.99836695430957312</v>
      </c>
      <c r="K29" s="10">
        <f t="shared" si="8"/>
        <v>0.99933553009070197</v>
      </c>
      <c r="L29" s="81">
        <f t="shared" si="7"/>
        <v>30962.032632272043</v>
      </c>
    </row>
    <row r="30" spans="1:12">
      <c r="A30" s="42">
        <v>16</v>
      </c>
      <c r="B30" s="10">
        <f t="shared" si="6"/>
        <v>0.95401255948791763</v>
      </c>
      <c r="C30" s="10">
        <f t="shared" si="2"/>
        <v>0.45811152199140021</v>
      </c>
      <c r="D30" s="10">
        <f t="shared" si="3"/>
        <v>0.4370441456259212</v>
      </c>
      <c r="I30" s="42">
        <v>1.6</v>
      </c>
      <c r="J30" s="10">
        <f t="shared" si="0"/>
        <v>0.99823958255791201</v>
      </c>
      <c r="K30" s="10">
        <f t="shared" si="8"/>
        <v>0.99946304168129485</v>
      </c>
      <c r="L30" s="12">
        <f t="shared" si="7"/>
        <v>31054.870817208826</v>
      </c>
    </row>
    <row r="31" spans="1:12">
      <c r="A31" s="42">
        <v>17</v>
      </c>
      <c r="B31" s="10">
        <f t="shared" si="6"/>
        <v>0.94769840095661018</v>
      </c>
      <c r="C31" s="10">
        <f t="shared" si="2"/>
        <v>0.43629668761085727</v>
      </c>
      <c r="D31" s="10">
        <f t="shared" si="3"/>
        <v>0.4134776731914751</v>
      </c>
      <c r="I31" s="42">
        <v>1.7</v>
      </c>
      <c r="J31" s="10">
        <f t="shared" si="0"/>
        <v>0.99810961386326758</v>
      </c>
      <c r="K31" s="10">
        <f t="shared" si="8"/>
        <v>0.99959318661234098</v>
      </c>
      <c r="L31" s="12">
        <f t="shared" si="7"/>
        <v>31146.660469105802</v>
      </c>
    </row>
    <row r="32" spans="1:12">
      <c r="A32" s="42">
        <v>18</v>
      </c>
      <c r="B32" s="10">
        <f t="shared" si="6"/>
        <v>0.94067681915283607</v>
      </c>
      <c r="C32" s="10">
        <f t="shared" si="2"/>
        <v>0.41552065486748313</v>
      </c>
      <c r="D32" s="10">
        <f t="shared" si="3"/>
        <v>0.39087064791304743</v>
      </c>
      <c r="I32" s="42">
        <v>1.8</v>
      </c>
      <c r="J32" s="10">
        <f t="shared" si="0"/>
        <v>0.99797699315788302</v>
      </c>
      <c r="K32" s="10">
        <f t="shared" si="8"/>
        <v>0.99972602209293326</v>
      </c>
      <c r="L32" s="12">
        <f t="shared" si="7"/>
        <v>31237.356616096127</v>
      </c>
    </row>
    <row r="33" spans="1:12">
      <c r="A33" s="42">
        <v>19</v>
      </c>
      <c r="B33" s="10">
        <f t="shared" si="6"/>
        <v>0.93287209041732477</v>
      </c>
      <c r="C33" s="10">
        <f t="shared" si="2"/>
        <v>0.39573395701665059</v>
      </c>
      <c r="D33" s="10">
        <f t="shared" si="3"/>
        <v>0.36916916373124259</v>
      </c>
      <c r="I33" s="42">
        <v>1.9</v>
      </c>
      <c r="J33" s="10">
        <f t="shared" si="0"/>
        <v>0.9978416641922383</v>
      </c>
      <c r="K33" s="10">
        <f t="shared" si="8"/>
        <v>0.99986160661836743</v>
      </c>
      <c r="L33" s="12">
        <f t="shared" si="7"/>
        <v>31326.91298295639</v>
      </c>
    </row>
    <row r="34" spans="1:12">
      <c r="A34" s="42">
        <v>20</v>
      </c>
      <c r="B34" s="10">
        <f t="shared" si="6"/>
        <v>0.92420205825057777</v>
      </c>
      <c r="C34" s="10"/>
      <c r="D34" s="42"/>
      <c r="I34" s="42">
        <v>2</v>
      </c>
      <c r="J34" s="10">
        <f t="shared" si="0"/>
        <v>0.99770356950999683</v>
      </c>
      <c r="K34" s="10">
        <f t="shared" si="8"/>
        <v>1</v>
      </c>
      <c r="L34" s="57">
        <f>G16</f>
        <v>31415.281954594539</v>
      </c>
    </row>
    <row r="35" spans="1:12">
      <c r="L35" s="82"/>
    </row>
    <row r="36" spans="1:12">
      <c r="B36" t="s">
        <v>193</v>
      </c>
      <c r="D36" s="10">
        <f>SUM(D14:D33)</f>
        <v>12.845595003867478</v>
      </c>
      <c r="L36" s="82"/>
    </row>
    <row r="37" spans="1:12">
      <c r="B37" t="s">
        <v>194</v>
      </c>
      <c r="D37" s="10">
        <f>1-0.05*D36/1.05</f>
        <v>0.38830499981583444</v>
      </c>
      <c r="L37" s="82"/>
    </row>
    <row r="38" spans="1:12">
      <c r="B38" t="s">
        <v>195</v>
      </c>
      <c r="D38" s="12">
        <f>500000*D37/D36</f>
        <v>15114.325171349627</v>
      </c>
      <c r="L38" s="82"/>
    </row>
    <row r="39" spans="1:12">
      <c r="L39" s="82"/>
    </row>
  </sheetData>
  <pageMargins left="0.75" right="0.75" top="1" bottom="1" header="0.5" footer="0.5"/>
  <pageSetup paperSize="9" orientation="portrait" horizontalDpi="4294967292" verticalDpi="4294967292"/>
  <ignoredErrors>
    <ignoredError sqref="L24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6"/>
  <sheetViews>
    <sheetView zoomScale="125" zoomScaleNormal="125" zoomScalePageLayoutView="125" workbookViewId="0"/>
  </sheetViews>
  <sheetFormatPr baseColWidth="10" defaultRowHeight="12" x14ac:dyDescent="0"/>
  <sheetData>
    <row r="1" spans="1:14" ht="15">
      <c r="A1" s="70" t="s">
        <v>742</v>
      </c>
      <c r="B1" s="14"/>
      <c r="C1" s="4"/>
      <c r="D1" s="66"/>
      <c r="E1" s="4"/>
      <c r="H1" s="66"/>
      <c r="I1" s="66"/>
      <c r="J1" s="66"/>
    </row>
    <row r="2" spans="1:14">
      <c r="B2" s="14"/>
      <c r="C2" s="4"/>
      <c r="D2" s="66"/>
      <c r="E2" s="4"/>
      <c r="H2" s="66"/>
      <c r="I2" s="66"/>
      <c r="J2" s="66"/>
    </row>
    <row r="3" spans="1:14">
      <c r="A3" s="52" t="s">
        <v>9</v>
      </c>
      <c r="B3" s="92">
        <f>5/10^4</f>
        <v>5.0000000000000001E-4</v>
      </c>
      <c r="C3" s="4"/>
      <c r="D3" s="66"/>
      <c r="E3" s="4"/>
      <c r="H3" s="66"/>
      <c r="I3" s="66"/>
      <c r="J3" s="66"/>
    </row>
    <row r="4" spans="1:14">
      <c r="A4" s="52" t="s">
        <v>10</v>
      </c>
      <c r="B4" s="93">
        <f>7.6/10^5</f>
        <v>7.5999999999999991E-5</v>
      </c>
      <c r="C4" s="4"/>
      <c r="D4" s="66"/>
      <c r="E4" s="4"/>
      <c r="H4" s="66"/>
      <c r="I4" s="66"/>
      <c r="J4" s="66"/>
    </row>
    <row r="5" spans="1:14">
      <c r="A5" s="52" t="s">
        <v>202</v>
      </c>
      <c r="B5" s="94">
        <v>1.0900000000000001</v>
      </c>
      <c r="C5" s="4"/>
      <c r="D5" s="66"/>
      <c r="E5" s="4"/>
      <c r="H5" s="66"/>
      <c r="I5" s="66"/>
      <c r="J5" s="66"/>
    </row>
    <row r="6" spans="1:14">
      <c r="A6" s="52" t="s">
        <v>74</v>
      </c>
      <c r="B6" s="61">
        <v>0.05</v>
      </c>
      <c r="C6" s="4"/>
      <c r="D6" s="66"/>
      <c r="E6" s="4"/>
      <c r="H6" s="66"/>
      <c r="I6" s="66"/>
      <c r="J6" s="66"/>
    </row>
    <row r="7" spans="1:14">
      <c r="A7" s="52" t="s">
        <v>82</v>
      </c>
      <c r="B7" s="69">
        <v>30</v>
      </c>
      <c r="C7" s="4"/>
      <c r="D7" s="66"/>
      <c r="E7" s="4"/>
      <c r="H7" s="66"/>
      <c r="I7" s="66"/>
      <c r="J7" s="66"/>
    </row>
    <row r="8" spans="1:14">
      <c r="A8" s="9" t="s">
        <v>27</v>
      </c>
      <c r="B8" s="18">
        <f>EXP(-B3)</f>
        <v>0.99950012497916929</v>
      </c>
      <c r="C8" s="4"/>
      <c r="D8" s="66"/>
      <c r="E8" s="4"/>
      <c r="H8" s="66"/>
      <c r="I8" s="66"/>
      <c r="J8" s="66"/>
    </row>
    <row r="9" spans="1:14">
      <c r="A9" s="9" t="s">
        <v>25</v>
      </c>
      <c r="B9" s="18">
        <f>EXP(-B4/LN(B5))</f>
        <v>0.99911849003847331</v>
      </c>
      <c r="C9" s="4"/>
      <c r="D9" s="66"/>
      <c r="E9" s="4"/>
      <c r="H9" s="66"/>
      <c r="I9" s="66"/>
      <c r="J9" s="66"/>
    </row>
    <row r="10" spans="1:14">
      <c r="A10" s="9"/>
      <c r="B10" s="18"/>
      <c r="C10" s="4"/>
      <c r="D10" s="66"/>
      <c r="E10" s="4"/>
      <c r="H10" s="66"/>
      <c r="I10" s="66"/>
      <c r="J10" s="66"/>
    </row>
    <row r="11" spans="1:14">
      <c r="A11" s="11" t="s">
        <v>1</v>
      </c>
      <c r="B11" s="14"/>
      <c r="C11" s="4"/>
      <c r="D11" s="66" t="s">
        <v>120</v>
      </c>
      <c r="E11" s="4"/>
      <c r="G11" s="1" t="s">
        <v>203</v>
      </c>
      <c r="H11" s="66"/>
      <c r="I11" s="66"/>
      <c r="J11" s="66"/>
      <c r="L11" s="1" t="s">
        <v>207</v>
      </c>
    </row>
    <row r="12" spans="1:14">
      <c r="A12" s="11"/>
      <c r="B12" s="14"/>
      <c r="C12" s="4"/>
      <c r="D12" s="66" t="s">
        <v>121</v>
      </c>
      <c r="E12" s="4"/>
      <c r="G12" s="1"/>
      <c r="H12" s="66" t="s">
        <v>75</v>
      </c>
      <c r="I12" s="66" t="s">
        <v>204</v>
      </c>
      <c r="J12" s="66" t="s">
        <v>205</v>
      </c>
    </row>
    <row r="13" spans="1:14" ht="14" customHeight="1">
      <c r="A13" s="66" t="s">
        <v>0</v>
      </c>
      <c r="B13" s="89" t="s">
        <v>213</v>
      </c>
      <c r="C13" s="90" t="s">
        <v>214</v>
      </c>
      <c r="D13" s="66" t="s">
        <v>22</v>
      </c>
      <c r="E13" s="4" t="s">
        <v>23</v>
      </c>
      <c r="G13" s="66" t="s">
        <v>85</v>
      </c>
      <c r="H13" s="66" t="s">
        <v>86</v>
      </c>
      <c r="I13" s="66" t="s">
        <v>86</v>
      </c>
      <c r="J13" s="66" t="s">
        <v>86</v>
      </c>
      <c r="L13" s="66" t="s">
        <v>208</v>
      </c>
    </row>
    <row r="14" spans="1:14">
      <c r="A14" s="66">
        <v>0</v>
      </c>
      <c r="B14" s="4">
        <f t="shared" ref="B14:B45" si="0">((B$8^A14)*B$9^((B$5^30)*((B$5^A14)-1)))*EXP(-0.00001*A14)</f>
        <v>1</v>
      </c>
      <c r="C14" s="4">
        <f>B$3+B$4*(B$5^(30+A14))</f>
        <v>1.5083435636539762E-3</v>
      </c>
      <c r="D14" s="66">
        <v>1</v>
      </c>
      <c r="E14" s="4">
        <f>B14*C14*D14</f>
        <v>1.5083435636539762E-3</v>
      </c>
      <c r="G14" s="4">
        <f>(1+B$6)^-A14</f>
        <v>1</v>
      </c>
      <c r="H14" s="4">
        <f>B14*D14*G14</f>
        <v>1</v>
      </c>
      <c r="I14" s="66">
        <f>B14*C14*D14*G14</f>
        <v>1.5083435636539762E-3</v>
      </c>
      <c r="J14" s="4">
        <f>B14*D14*G14/(10^5)</f>
        <v>1.0000000000000001E-5</v>
      </c>
      <c r="L14" t="s">
        <v>180</v>
      </c>
      <c r="N14" s="4">
        <f>(SUM(H114:H214)-H114/2)/(60*B114*G114)</f>
        <v>4.412399161870467</v>
      </c>
    </row>
    <row r="15" spans="1:14">
      <c r="A15" s="66">
        <v>0.05</v>
      </c>
      <c r="B15" s="4">
        <f t="shared" si="0"/>
        <v>0.99992397693463053</v>
      </c>
      <c r="C15" s="4">
        <f>B$3+B$4*(B$5^(30+A15))</f>
        <v>1.5126977740794578E-3</v>
      </c>
      <c r="D15" s="66">
        <v>4</v>
      </c>
      <c r="E15" s="4">
        <f t="shared" ref="E15:E78" si="1">B15*C15*D15</f>
        <v>6.0503310966307788E-3</v>
      </c>
      <c r="G15" s="4">
        <f t="shared" ref="G15:G78" si="2">(1+B$6)^-A15</f>
        <v>0.99756346497348591</v>
      </c>
      <c r="H15" s="4">
        <f t="shared" ref="H15:H78" si="3">B15*D15*G15</f>
        <v>3.9899505085639122</v>
      </c>
      <c r="I15" s="66">
        <f t="shared" ref="I15:I78" si="4">B15*C15*D15*G15</f>
        <v>6.0355892529918307E-3</v>
      </c>
      <c r="J15" s="4">
        <f t="shared" ref="J15:J78" si="5">B15*D15*G15/(10^5)</f>
        <v>3.9899505085639124E-5</v>
      </c>
      <c r="L15" t="s">
        <v>209</v>
      </c>
      <c r="N15" s="4">
        <f>(SUM(I114:I214)-I114/2)/(60*B114*G114)</f>
        <v>1.0685257378910672E-2</v>
      </c>
    </row>
    <row r="16" spans="1:14">
      <c r="A16" s="66">
        <v>0.1</v>
      </c>
      <c r="B16" s="4">
        <f t="shared" si="0"/>
        <v>0.99984774150172295</v>
      </c>
      <c r="C16" s="4">
        <f>B$3+B$4*(B$5^(30+A16))</f>
        <v>1.5170707867754271E-3</v>
      </c>
      <c r="D16" s="66">
        <f>IF(D15=4,2,4)</f>
        <v>2</v>
      </c>
      <c r="E16" s="4">
        <f t="shared" si="1"/>
        <v>3.0336795997113054E-3</v>
      </c>
      <c r="G16" s="4">
        <f t="shared" si="2"/>
        <v>0.99513286664990741</v>
      </c>
      <c r="H16" s="4">
        <f t="shared" si="3"/>
        <v>1.9899626984280903</v>
      </c>
      <c r="I16" s="66">
        <f t="shared" si="4"/>
        <v>3.0189142765580548E-3</v>
      </c>
      <c r="J16" s="4">
        <f t="shared" si="5"/>
        <v>1.9899626984280904E-5</v>
      </c>
      <c r="L16" t="s">
        <v>210</v>
      </c>
      <c r="N16" s="4">
        <f>(SUM(J114:J214)-J114/2)/(60*B114*G114)</f>
        <v>4.4123991618704647E-5</v>
      </c>
    </row>
    <row r="17" spans="1:14">
      <c r="A17" s="66">
        <v>0.15</v>
      </c>
      <c r="B17" s="4">
        <f t="shared" si="0"/>
        <v>0.99977129280880705</v>
      </c>
      <c r="C17" s="4">
        <f t="shared" ref="C17:C80" si="6">B$3+B$4*(B$5^(30+A17))</f>
        <v>1.5214626829335E-3</v>
      </c>
      <c r="D17" s="66">
        <f t="shared" ref="D17:D80" si="7">IF(D16=4,2,4)</f>
        <v>4</v>
      </c>
      <c r="E17" s="4">
        <f t="shared" si="1"/>
        <v>6.0844588539071256E-3</v>
      </c>
      <c r="G17" s="4">
        <f t="shared" si="2"/>
        <v>0.99270819056427972</v>
      </c>
      <c r="H17" s="4">
        <f t="shared" si="3"/>
        <v>3.9699246042493663</v>
      </c>
      <c r="I17" s="66">
        <f t="shared" si="4"/>
        <v>6.0400921394249537E-3</v>
      </c>
      <c r="J17" s="4">
        <f t="shared" si="5"/>
        <v>3.9699246042493664E-5</v>
      </c>
      <c r="L17" s="60" t="s">
        <v>166</v>
      </c>
      <c r="M17" s="60"/>
      <c r="N17" s="57">
        <f>100000*(N15+2*N16)-N14*J216</f>
        <v>167.14509547511659</v>
      </c>
    </row>
    <row r="18" spans="1:14">
      <c r="A18" s="66">
        <v>0.2</v>
      </c>
      <c r="B18" s="4">
        <f t="shared" si="0"/>
        <v>0.99969462995976943</v>
      </c>
      <c r="C18" s="4">
        <f t="shared" si="6"/>
        <v>1.5258735440958915E-3</v>
      </c>
      <c r="D18" s="66">
        <f t="shared" si="7"/>
        <v>2</v>
      </c>
      <c r="E18" s="4">
        <f t="shared" si="1"/>
        <v>3.0508151760606883E-3</v>
      </c>
      <c r="G18" s="4">
        <f t="shared" si="2"/>
        <v>0.99028942228686234</v>
      </c>
      <c r="H18" s="4">
        <f t="shared" si="3"/>
        <v>1.9799740351322774</v>
      </c>
      <c r="I18" s="66">
        <f t="shared" si="4"/>
        <v>3.021189998205131E-3</v>
      </c>
      <c r="J18" s="4">
        <f t="shared" si="5"/>
        <v>1.9799740351322774E-5</v>
      </c>
    </row>
    <row r="19" spans="1:14">
      <c r="A19" s="66">
        <v>0.25</v>
      </c>
      <c r="B19" s="4">
        <f t="shared" si="0"/>
        <v>0.99961775205483983</v>
      </c>
      <c r="C19" s="4">
        <f t="shared" si="6"/>
        <v>1.53030345215693E-3</v>
      </c>
      <c r="D19" s="66">
        <f t="shared" si="7"/>
        <v>4</v>
      </c>
      <c r="E19" s="4">
        <f t="shared" si="1"/>
        <v>6.1188739872274859E-3</v>
      </c>
      <c r="G19" s="4">
        <f t="shared" si="2"/>
        <v>0.98787654742307407</v>
      </c>
      <c r="H19" s="4">
        <f t="shared" si="3"/>
        <v>3.9499957345709986</v>
      </c>
      <c r="I19" s="66">
        <f t="shared" si="4"/>
        <v>6.0446921086191475E-3</v>
      </c>
      <c r="J19" s="4">
        <f t="shared" si="5"/>
        <v>3.9499957345709986E-5</v>
      </c>
    </row>
    <row r="20" spans="1:14">
      <c r="A20" s="66">
        <v>0.3</v>
      </c>
      <c r="B20" s="4">
        <f t="shared" si="0"/>
        <v>0.99954065819057614</v>
      </c>
      <c r="C20" s="4">
        <f t="shared" si="6"/>
        <v>1.5347524893645794E-3</v>
      </c>
      <c r="D20" s="66">
        <f t="shared" si="7"/>
        <v>2</v>
      </c>
      <c r="E20" s="4">
        <f t="shared" si="1"/>
        <v>3.0680950267581936E-3</v>
      </c>
      <c r="G20" s="4">
        <f t="shared" si="2"/>
        <v>0.98546955161340599</v>
      </c>
      <c r="H20" s="4">
        <f t="shared" si="3"/>
        <v>1.9700337684928715</v>
      </c>
      <c r="I20" s="66">
        <f t="shared" si="4"/>
        <v>3.0235142303267179E-3</v>
      </c>
      <c r="J20" s="4">
        <f t="shared" si="5"/>
        <v>1.9700337684928713E-5</v>
      </c>
    </row>
    <row r="21" spans="1:14">
      <c r="A21" s="66">
        <v>0.35</v>
      </c>
      <c r="B21" s="4">
        <f t="shared" si="0"/>
        <v>0.99946334745985244</v>
      </c>
      <c r="C21" s="4">
        <f t="shared" si="6"/>
        <v>1.5392207383219654E-3</v>
      </c>
      <c r="D21" s="66">
        <f t="shared" si="7"/>
        <v>4</v>
      </c>
      <c r="E21" s="4">
        <f t="shared" si="1"/>
        <v>6.1535788464115882E-3</v>
      </c>
      <c r="G21" s="4">
        <f t="shared" si="2"/>
        <v>0.98306842053333698</v>
      </c>
      <c r="H21" s="4">
        <f t="shared" si="3"/>
        <v>3.9301634174732758</v>
      </c>
      <c r="I21" s="66">
        <f t="shared" si="4"/>
        <v>6.0493890371691936E-3</v>
      </c>
      <c r="J21" s="4">
        <f t="shared" si="5"/>
        <v>3.9301634174732756E-5</v>
      </c>
    </row>
    <row r="22" spans="1:14">
      <c r="A22" s="66">
        <v>0.4</v>
      </c>
      <c r="B22" s="4">
        <f t="shared" si="0"/>
        <v>0.99938581895184186</v>
      </c>
      <c r="C22" s="4">
        <f t="shared" si="6"/>
        <v>1.5437082819889072E-3</v>
      </c>
      <c r="D22" s="66">
        <f t="shared" si="7"/>
        <v>2</v>
      </c>
      <c r="E22" s="4">
        <f t="shared" si="1"/>
        <v>3.0855203312364497E-3</v>
      </c>
      <c r="G22" s="4">
        <f t="shared" si="2"/>
        <v>0.98067313989324767</v>
      </c>
      <c r="H22" s="4">
        <f t="shared" si="3"/>
        <v>1.960141658072575</v>
      </c>
      <c r="I22" s="66">
        <f t="shared" si="4"/>
        <v>3.0258869114381027E-3</v>
      </c>
      <c r="J22" s="4">
        <f t="shared" si="5"/>
        <v>1.960141658072575E-5</v>
      </c>
    </row>
    <row r="23" spans="1:14">
      <c r="A23" s="66">
        <v>0.45</v>
      </c>
      <c r="B23" s="4">
        <f t="shared" si="0"/>
        <v>0.99930807175200465</v>
      </c>
      <c r="C23" s="4">
        <f t="shared" si="6"/>
        <v>1.5482152036834617E-3</v>
      </c>
      <c r="D23" s="66">
        <f t="shared" si="7"/>
        <v>4</v>
      </c>
      <c r="E23" s="4">
        <f t="shared" si="1"/>
        <v>6.1885757994002292E-3</v>
      </c>
      <c r="G23" s="4">
        <f t="shared" si="2"/>
        <v>0.97828369543833626</v>
      </c>
      <c r="H23" s="4">
        <f t="shared" si="3"/>
        <v>3.9104271732596367</v>
      </c>
      <c r="I23" s="66">
        <f t="shared" si="4"/>
        <v>6.0541828025375121E-3</v>
      </c>
      <c r="J23" s="4">
        <f t="shared" si="5"/>
        <v>3.9104271732596368E-5</v>
      </c>
    </row>
    <row r="24" spans="1:14">
      <c r="A24" s="66">
        <v>0.5</v>
      </c>
      <c r="B24" s="4">
        <f t="shared" si="0"/>
        <v>0.99923010494207309</v>
      </c>
      <c r="C24" s="4">
        <f t="shared" si="6"/>
        <v>1.5527415870834674E-3</v>
      </c>
      <c r="D24" s="66">
        <f t="shared" si="7"/>
        <v>2</v>
      </c>
      <c r="E24" s="4">
        <f t="shared" si="1"/>
        <v>3.1030922780186684E-3</v>
      </c>
      <c r="G24" s="4">
        <f t="shared" si="2"/>
        <v>0.97590007294853309</v>
      </c>
      <c r="H24" s="4">
        <f t="shared" si="3"/>
        <v>1.950297464610679</v>
      </c>
      <c r="I24" s="66">
        <f t="shared" si="4"/>
        <v>3.0283079804844485E-3</v>
      </c>
      <c r="J24" s="4">
        <f t="shared" si="5"/>
        <v>1.950297464610679E-5</v>
      </c>
    </row>
    <row r="25" spans="1:14">
      <c r="A25" s="66">
        <v>0.55000000000000004</v>
      </c>
      <c r="B25" s="4">
        <f t="shared" si="0"/>
        <v>0.99915191760003685</v>
      </c>
      <c r="C25" s="4">
        <f t="shared" si="6"/>
        <v>1.557287516228099E-3</v>
      </c>
      <c r="D25" s="66">
        <f t="shared" si="7"/>
        <v>4</v>
      </c>
      <c r="E25" s="4">
        <f t="shared" si="1"/>
        <v>6.2238672323756145E-3</v>
      </c>
      <c r="G25" s="4">
        <f t="shared" si="2"/>
        <v>0.97352225823841654</v>
      </c>
      <c r="H25" s="4">
        <f t="shared" si="3"/>
        <v>3.8907865245809288</v>
      </c>
      <c r="I25" s="66">
        <f t="shared" si="4"/>
        <v>6.0590732830383921E-3</v>
      </c>
      <c r="J25" s="4">
        <f t="shared" si="5"/>
        <v>3.8907865245809285E-5</v>
      </c>
    </row>
    <row r="26" spans="1:14">
      <c r="A26" s="66">
        <v>0.6</v>
      </c>
      <c r="B26" s="4">
        <f t="shared" si="0"/>
        <v>0.99907350880012957</v>
      </c>
      <c r="C26" s="4">
        <f t="shared" si="6"/>
        <v>1.5618530755194266E-3</v>
      </c>
      <c r="D26" s="66">
        <f t="shared" si="7"/>
        <v>2</v>
      </c>
      <c r="E26" s="4">
        <f t="shared" si="1"/>
        <v>3.1208120647789345E-3</v>
      </c>
      <c r="G26" s="4">
        <f t="shared" si="2"/>
        <v>0.97115023715712745</v>
      </c>
      <c r="H26" s="4">
        <f t="shared" si="3"/>
        <v>1.9405009500172985</v>
      </c>
      <c r="I26" s="66">
        <f t="shared" si="4"/>
        <v>3.0307773768328871E-3</v>
      </c>
      <c r="J26" s="4">
        <f t="shared" si="5"/>
        <v>1.9405009500172985E-5</v>
      </c>
    </row>
    <row r="27" spans="1:14">
      <c r="A27" s="66">
        <v>0.65</v>
      </c>
      <c r="B27" s="4">
        <f t="shared" si="0"/>
        <v>0.99899487761281336</v>
      </c>
      <c r="C27" s="4">
        <f t="shared" si="6"/>
        <v>1.5664383497239853E-3</v>
      </c>
      <c r="D27" s="66">
        <f t="shared" si="7"/>
        <v>4</v>
      </c>
      <c r="E27" s="4">
        <f t="shared" si="1"/>
        <v>6.2594555498821204E-3</v>
      </c>
      <c r="G27" s="4">
        <f t="shared" si="2"/>
        <v>0.96878399558828687</v>
      </c>
      <c r="H27" s="4">
        <f t="shared" si="3"/>
        <v>3.8712409964238916</v>
      </c>
      <c r="I27" s="66">
        <f t="shared" si="4"/>
        <v>6.064060357822078E-3</v>
      </c>
      <c r="J27" s="4">
        <f t="shared" si="5"/>
        <v>3.8712409964238919E-5</v>
      </c>
    </row>
    <row r="28" spans="1:14">
      <c r="A28" s="66">
        <v>0.7</v>
      </c>
      <c r="B28" s="4">
        <f t="shared" si="0"/>
        <v>0.99891602310476479</v>
      </c>
      <c r="C28" s="4">
        <f t="shared" si="6"/>
        <v>1.5710434239743466E-3</v>
      </c>
      <c r="D28" s="66">
        <f t="shared" si="7"/>
        <v>2</v>
      </c>
      <c r="E28" s="4">
        <f t="shared" si="1"/>
        <v>3.1386808984026943E-3</v>
      </c>
      <c r="G28" s="4">
        <f t="shared" si="2"/>
        <v>0.96642351944990967</v>
      </c>
      <c r="H28" s="4">
        <f t="shared" si="3"/>
        <v>1.9307518773676282</v>
      </c>
      <c r="I28" s="66">
        <f t="shared" si="4"/>
        <v>3.0332950402645362E-3</v>
      </c>
      <c r="J28" s="4">
        <f t="shared" si="5"/>
        <v>1.9307518773676283E-5</v>
      </c>
    </row>
    <row r="29" spans="1:14">
      <c r="A29" s="66">
        <v>0.75</v>
      </c>
      <c r="B29" s="4">
        <f t="shared" si="0"/>
        <v>0.99883694433886072</v>
      </c>
      <c r="C29" s="4">
        <f t="shared" si="6"/>
        <v>1.5756683837707007E-3</v>
      </c>
      <c r="D29" s="66">
        <f t="shared" si="7"/>
        <v>4</v>
      </c>
      <c r="E29" s="4">
        <f t="shared" si="1"/>
        <v>6.2953431749475123E-3</v>
      </c>
      <c r="G29" s="4">
        <f t="shared" si="2"/>
        <v>0.96406879469432316</v>
      </c>
      <c r="H29" s="4">
        <f t="shared" si="3"/>
        <v>3.8517901160997048</v>
      </c>
      <c r="I29" s="66">
        <f t="shared" si="4"/>
        <v>6.0691439068587816E-3</v>
      </c>
      <c r="J29" s="4">
        <f t="shared" si="5"/>
        <v>3.8517901160997045E-5</v>
      </c>
    </row>
    <row r="30" spans="1:14">
      <c r="A30" s="66">
        <v>0.8</v>
      </c>
      <c r="B30" s="4">
        <f t="shared" si="0"/>
        <v>0.9987576403741637</v>
      </c>
      <c r="C30" s="4">
        <f t="shared" si="6"/>
        <v>1.5803133149824415E-3</v>
      </c>
      <c r="D30" s="66">
        <f t="shared" si="7"/>
        <v>2</v>
      </c>
      <c r="E30" s="4">
        <f t="shared" si="1"/>
        <v>3.1566999950474717E-3</v>
      </c>
      <c r="G30" s="4">
        <f t="shared" si="2"/>
        <v>0.96171980730808126</v>
      </c>
      <c r="H30" s="4">
        <f t="shared" si="3"/>
        <v>1.9210500108962292</v>
      </c>
      <c r="I30" s="66">
        <f t="shared" si="4"/>
        <v>3.0358609109664755E-3</v>
      </c>
      <c r="J30" s="4">
        <f t="shared" si="5"/>
        <v>1.9210500108962293E-5</v>
      </c>
    </row>
    <row r="31" spans="1:14">
      <c r="A31" s="66">
        <v>0.85</v>
      </c>
      <c r="B31" s="4">
        <f t="shared" si="0"/>
        <v>0.99867811026590625</v>
      </c>
      <c r="C31" s="4">
        <f t="shared" si="6"/>
        <v>1.5849783038497643E-3</v>
      </c>
      <c r="D31" s="66">
        <f t="shared" si="7"/>
        <v>4</v>
      </c>
      <c r="E31" s="4">
        <f t="shared" si="1"/>
        <v>6.3315325492045759E-3</v>
      </c>
      <c r="G31" s="4">
        <f t="shared" si="2"/>
        <v>0.95937654331188271</v>
      </c>
      <c r="H31" s="4">
        <f t="shared" si="3"/>
        <v>3.8324334132325935</v>
      </c>
      <c r="I31" s="66">
        <f t="shared" si="4"/>
        <v>6.0743238109225587E-3</v>
      </c>
      <c r="J31" s="4">
        <f t="shared" si="5"/>
        <v>3.8324334132325935E-5</v>
      </c>
    </row>
    <row r="32" spans="1:14">
      <c r="A32" s="66">
        <v>0.9</v>
      </c>
      <c r="B32" s="4">
        <f t="shared" si="0"/>
        <v>0.99859835306547762</v>
      </c>
      <c r="C32" s="4">
        <f t="shared" si="6"/>
        <v>1.5896634369852634E-3</v>
      </c>
      <c r="D32" s="66">
        <f t="shared" si="7"/>
        <v>2</v>
      </c>
      <c r="E32" s="4">
        <f t="shared" si="1"/>
        <v>3.1748705802037815E-3</v>
      </c>
      <c r="G32" s="4">
        <f t="shared" si="2"/>
        <v>0.95703898876048754</v>
      </c>
      <c r="H32" s="4">
        <f t="shared" si="3"/>
        <v>1.911395115991346</v>
      </c>
      <c r="I32" s="66">
        <f t="shared" si="4"/>
        <v>3.0384749295236492E-3</v>
      </c>
      <c r="J32" s="4">
        <f t="shared" si="5"/>
        <v>1.911395115991346E-5</v>
      </c>
    </row>
    <row r="33" spans="1:10">
      <c r="A33" s="66">
        <v>0.95</v>
      </c>
      <c r="B33" s="4">
        <f t="shared" si="0"/>
        <v>0.99851836782040859</v>
      </c>
      <c r="C33" s="4">
        <f t="shared" si="6"/>
        <v>1.5943688013755446E-3</v>
      </c>
      <c r="D33" s="66">
        <f t="shared" si="7"/>
        <v>4</v>
      </c>
      <c r="E33" s="4">
        <f t="shared" si="1"/>
        <v>6.3680261330131601E-3</v>
      </c>
      <c r="G33" s="4">
        <f t="shared" si="2"/>
        <v>0.95470712974263294</v>
      </c>
      <c r="H33" s="4">
        <f t="shared" si="3"/>
        <v>3.8131704197484835</v>
      </c>
      <c r="I33" s="66">
        <f t="shared" si="4"/>
        <v>6.079599951575072E-3</v>
      </c>
      <c r="J33" s="4">
        <f t="shared" si="5"/>
        <v>3.8131704197484834E-5</v>
      </c>
    </row>
    <row r="34" spans="1:10">
      <c r="A34" s="66">
        <v>1</v>
      </c>
      <c r="B34" s="4">
        <f t="shared" si="0"/>
        <v>0.9984381535743565</v>
      </c>
      <c r="C34" s="4">
        <f t="shared" si="6"/>
        <v>1.5990944843828341E-3</v>
      </c>
      <c r="D34" s="66">
        <f t="shared" si="7"/>
        <v>2</v>
      </c>
      <c r="E34" s="4">
        <f t="shared" si="1"/>
        <v>3.1931938887562691E-3</v>
      </c>
      <c r="G34" s="4">
        <f t="shared" si="2"/>
        <v>0.95238095238095233</v>
      </c>
      <c r="H34" s="4">
        <f t="shared" si="3"/>
        <v>1.9017869591892504</v>
      </c>
      <c r="I34" s="66">
        <f t="shared" si="4"/>
        <v>3.0411370369107325E-3</v>
      </c>
      <c r="J34" s="4">
        <f t="shared" si="5"/>
        <v>1.9017869591892503E-5</v>
      </c>
    </row>
    <row r="35" spans="1:10">
      <c r="A35" s="66">
        <v>1.05</v>
      </c>
      <c r="B35" s="4">
        <f t="shared" si="0"/>
        <v>0.99835770936709078</v>
      </c>
      <c r="C35" s="4">
        <f t="shared" si="6"/>
        <v>1.6038405737466093E-3</v>
      </c>
      <c r="D35" s="66">
        <f t="shared" si="7"/>
        <v>4</v>
      </c>
      <c r="E35" s="4">
        <f t="shared" si="1"/>
        <v>6.4048264055826618E-3</v>
      </c>
      <c r="G35" s="4">
        <f t="shared" si="2"/>
        <v>0.95006044283189128</v>
      </c>
      <c r="H35" s="4">
        <f t="shared" si="3"/>
        <v>3.7940006698637236</v>
      </c>
      <c r="I35" s="66">
        <f t="shared" si="4"/>
        <v>6.0849722111492545E-3</v>
      </c>
      <c r="J35" s="4">
        <f t="shared" si="5"/>
        <v>3.7940006698637236E-5</v>
      </c>
    </row>
    <row r="36" spans="1:10">
      <c r="A36" s="66">
        <v>1.1000000000000001</v>
      </c>
      <c r="B36" s="4">
        <f t="shared" si="0"/>
        <v>0.99827703423447767</v>
      </c>
      <c r="C36" s="4">
        <f t="shared" si="6"/>
        <v>1.6086071575852157E-3</v>
      </c>
      <c r="D36" s="66">
        <f t="shared" si="7"/>
        <v>2</v>
      </c>
      <c r="E36" s="4">
        <f t="shared" si="1"/>
        <v>3.2116711650450442E-3</v>
      </c>
      <c r="G36" s="4">
        <f t="shared" si="2"/>
        <v>0.94774558728562597</v>
      </c>
      <c r="H36" s="4">
        <f t="shared" si="3"/>
        <v>1.892225308168616</v>
      </c>
      <c r="I36" s="66">
        <f t="shared" si="4"/>
        <v>3.0438471744839261E-3</v>
      </c>
      <c r="J36" s="4">
        <f t="shared" si="5"/>
        <v>1.8922253081686162E-5</v>
      </c>
    </row>
    <row r="37" spans="1:10">
      <c r="A37" s="66">
        <v>1.1499999999999999</v>
      </c>
      <c r="B37" s="4">
        <f t="shared" si="0"/>
        <v>0.99819612720846596</v>
      </c>
      <c r="C37" s="4">
        <f t="shared" si="6"/>
        <v>1.6133943243975151E-3</v>
      </c>
      <c r="D37" s="66">
        <f t="shared" si="7"/>
        <v>4</v>
      </c>
      <c r="E37" s="4">
        <f t="shared" si="1"/>
        <v>6.4419358650948761E-3</v>
      </c>
      <c r="G37" s="4">
        <f t="shared" si="2"/>
        <v>0.9454363719659804</v>
      </c>
      <c r="H37" s="4">
        <f t="shared" si="3"/>
        <v>3.7749237000738574</v>
      </c>
      <c r="I37" s="66">
        <f t="shared" si="4"/>
        <v>6.0904404727328294E-3</v>
      </c>
      <c r="J37" s="4">
        <f t="shared" si="5"/>
        <v>3.7749237000738574E-5</v>
      </c>
    </row>
    <row r="38" spans="1:10">
      <c r="A38" s="66">
        <v>1.2</v>
      </c>
      <c r="B38" s="4">
        <f t="shared" si="0"/>
        <v>0.9981149873170716</v>
      </c>
      <c r="C38" s="4">
        <f t="shared" si="6"/>
        <v>1.6182021630645215E-3</v>
      </c>
      <c r="D38" s="66">
        <f t="shared" si="7"/>
        <v>2</v>
      </c>
      <c r="E38" s="4">
        <f t="shared" si="1"/>
        <v>3.2303036629272057E-3</v>
      </c>
      <c r="G38" s="4">
        <f t="shared" si="2"/>
        <v>0.9431327831303451</v>
      </c>
      <c r="H38" s="4">
        <f t="shared" si="3"/>
        <v>1.8827099317449176</v>
      </c>
      <c r="I38" s="66">
        <f t="shared" si="4"/>
        <v>3.0466052839726834E-3</v>
      </c>
      <c r="J38" s="4">
        <f t="shared" si="5"/>
        <v>1.8827099317449177E-5</v>
      </c>
    </row>
    <row r="39" spans="1:10">
      <c r="A39" s="66">
        <v>1.25</v>
      </c>
      <c r="B39" s="4">
        <f t="shared" si="0"/>
        <v>0.99803361358436227</v>
      </c>
      <c r="C39" s="4">
        <f t="shared" si="6"/>
        <v>1.6230307628510539E-3</v>
      </c>
      <c r="D39" s="66">
        <f t="shared" si="7"/>
        <v>4</v>
      </c>
      <c r="E39" s="4">
        <f t="shared" si="1"/>
        <v>6.4793570288272859E-3</v>
      </c>
      <c r="G39" s="4">
        <f t="shared" si="2"/>
        <v>0.94083480706959433</v>
      </c>
      <c r="H39" s="4">
        <f t="shared" si="3"/>
        <v>3.7559390491424542</v>
      </c>
      <c r="I39" s="66">
        <f t="shared" si="4"/>
        <v>6.0960046201517393E-3</v>
      </c>
      <c r="J39" s="4">
        <f t="shared" si="5"/>
        <v>3.7559390491424539E-5</v>
      </c>
    </row>
    <row r="40" spans="1:10">
      <c r="A40" s="66">
        <v>1.3</v>
      </c>
      <c r="B40" s="4">
        <f t="shared" si="0"/>
        <v>0.99795200503044368</v>
      </c>
      <c r="C40" s="4">
        <f t="shared" si="6"/>
        <v>1.6278802134073918E-3</v>
      </c>
      <c r="D40" s="66">
        <f t="shared" si="7"/>
        <v>2</v>
      </c>
      <c r="E40" s="4">
        <f t="shared" si="1"/>
        <v>3.2490926458385865E-3</v>
      </c>
      <c r="G40" s="4">
        <f t="shared" si="2"/>
        <v>0.93854243010800564</v>
      </c>
      <c r="H40" s="4">
        <f t="shared" si="3"/>
        <v>1.8732405998648585</v>
      </c>
      <c r="I40" s="66">
        <f t="shared" si="4"/>
        <v>3.0494113074713966E-3</v>
      </c>
      <c r="J40" s="4">
        <f t="shared" si="5"/>
        <v>1.8732405998648586E-5</v>
      </c>
    </row>
    <row r="41" spans="1:10">
      <c r="A41" s="66">
        <v>1.35</v>
      </c>
      <c r="B41" s="4">
        <f t="shared" si="0"/>
        <v>0.9978701606714433</v>
      </c>
      <c r="C41" s="4">
        <f t="shared" si="6"/>
        <v>1.6327506047709424E-3</v>
      </c>
      <c r="D41" s="66">
        <f t="shared" si="7"/>
        <v>4</v>
      </c>
      <c r="E41" s="4">
        <f t="shared" si="1"/>
        <v>6.5170924332767057E-3</v>
      </c>
      <c r="G41" s="4">
        <f t="shared" si="2"/>
        <v>0.93625563860317795</v>
      </c>
      <c r="H41" s="4">
        <f t="shared" si="3"/>
        <v>3.7370462580899919</v>
      </c>
      <c r="I41" s="66">
        <f t="shared" si="4"/>
        <v>6.1016645379534211E-3</v>
      </c>
      <c r="J41" s="4">
        <f t="shared" si="5"/>
        <v>3.7370462580899918E-5</v>
      </c>
    </row>
    <row r="42" spans="1:10">
      <c r="A42" s="66">
        <v>1.4</v>
      </c>
      <c r="B42" s="4">
        <f t="shared" si="0"/>
        <v>0.99778807951949566</v>
      </c>
      <c r="C42" s="4">
        <f t="shared" si="6"/>
        <v>1.6376420273679086E-3</v>
      </c>
      <c r="D42" s="66">
        <f t="shared" si="7"/>
        <v>2</v>
      </c>
      <c r="E42" s="4">
        <f t="shared" si="1"/>
        <v>3.2680393868556776E-3</v>
      </c>
      <c r="G42" s="4">
        <f t="shared" si="2"/>
        <v>0.93397441894595001</v>
      </c>
      <c r="H42" s="4">
        <f t="shared" si="3"/>
        <v>1.8638170836008328</v>
      </c>
      <c r="I42" s="66">
        <f t="shared" si="4"/>
        <v>3.0522651874310101E-3</v>
      </c>
      <c r="J42" s="4">
        <f t="shared" si="5"/>
        <v>1.8638170836008327E-5</v>
      </c>
    </row>
    <row r="43" spans="1:10">
      <c r="A43" s="66">
        <v>1.45</v>
      </c>
      <c r="B43" s="4">
        <f t="shared" si="0"/>
        <v>0.99770576058272686</v>
      </c>
      <c r="C43" s="4">
        <f t="shared" si="6"/>
        <v>1.6425545720149739E-3</v>
      </c>
      <c r="D43" s="66">
        <f t="shared" si="7"/>
        <v>4</v>
      </c>
      <c r="E43" s="4">
        <f t="shared" si="1"/>
        <v>6.55514463428334E-3</v>
      </c>
      <c r="G43" s="4">
        <f t="shared" si="2"/>
        <v>0.93169875756032017</v>
      </c>
      <c r="H43" s="4">
        <f t="shared" si="3"/>
        <v>3.7182448701828035</v>
      </c>
      <c r="I43" s="66">
        <f t="shared" si="4"/>
        <v>6.1074201113899872E-3</v>
      </c>
      <c r="J43" s="4">
        <f t="shared" si="5"/>
        <v>3.7182448701828037E-5</v>
      </c>
    </row>
    <row r="44" spans="1:10">
      <c r="A44" s="66">
        <v>1.5</v>
      </c>
      <c r="B44" s="4">
        <f t="shared" si="0"/>
        <v>0.9976232028652402</v>
      </c>
      <c r="C44" s="4">
        <f t="shared" si="6"/>
        <v>1.6474883299209798E-3</v>
      </c>
      <c r="D44" s="66">
        <f t="shared" si="7"/>
        <v>2</v>
      </c>
      <c r="E44" s="4">
        <f t="shared" si="1"/>
        <v>3.2871451687577469E-3</v>
      </c>
      <c r="G44" s="4">
        <f t="shared" si="2"/>
        <v>0.92942864090336497</v>
      </c>
      <c r="H44" s="4">
        <f t="shared" si="3"/>
        <v>1.8544391551454042</v>
      </c>
      <c r="I44" s="66">
        <f t="shared" si="4"/>
        <v>3.0551668666505749E-3</v>
      </c>
      <c r="J44" s="4">
        <f t="shared" si="5"/>
        <v>1.8544391551454041E-5</v>
      </c>
    </row>
    <row r="45" spans="1:10">
      <c r="A45" s="66">
        <v>1.55</v>
      </c>
      <c r="B45" s="4">
        <f t="shared" si="0"/>
        <v>0.99754040536709965</v>
      </c>
      <c r="C45" s="4">
        <f t="shared" si="6"/>
        <v>1.6524433926886281E-3</v>
      </c>
      <c r="D45" s="66">
        <f t="shared" si="7"/>
        <v>4</v>
      </c>
      <c r="E45" s="4">
        <f t="shared" si="1"/>
        <v>6.5935162071551982E-3</v>
      </c>
      <c r="G45" s="4">
        <f t="shared" si="2"/>
        <v>0.92716405546515857</v>
      </c>
      <c r="H45" s="4">
        <f t="shared" si="3"/>
        <v>3.6995344309220735</v>
      </c>
      <c r="I45" s="66">
        <f t="shared" si="4"/>
        <v>6.113271226401264E-3</v>
      </c>
      <c r="J45" s="4">
        <f t="shared" si="5"/>
        <v>3.6995344309220736E-5</v>
      </c>
    </row>
    <row r="46" spans="1:10">
      <c r="A46" s="66">
        <v>1.6</v>
      </c>
      <c r="B46" s="4">
        <f t="shared" ref="B46:B77" si="8">((B$8^A46)*B$9^((B$5^30)*((B$5^A46)-1)))*EXP(-0.00001*A46)</f>
        <v>0.99745736708431532</v>
      </c>
      <c r="C46" s="4">
        <f t="shared" si="6"/>
        <v>1.6574198523161754E-3</v>
      </c>
      <c r="D46" s="66">
        <f t="shared" si="7"/>
        <v>2</v>
      </c>
      <c r="E46" s="4">
        <f t="shared" si="1"/>
        <v>3.3064112840891341E-3</v>
      </c>
      <c r="G46" s="4">
        <f t="shared" si="2"/>
        <v>0.92490498776869279</v>
      </c>
      <c r="H46" s="4">
        <f t="shared" si="3"/>
        <v>1.8451065878058224</v>
      </c>
      <c r="I46" s="66">
        <f t="shared" si="4"/>
        <v>3.0581162882687284E-3</v>
      </c>
      <c r="J46" s="4">
        <f t="shared" si="5"/>
        <v>1.8451065878058224E-5</v>
      </c>
    </row>
    <row r="47" spans="1:10">
      <c r="A47" s="66">
        <v>1.65</v>
      </c>
      <c r="B47" s="4">
        <f t="shared" si="8"/>
        <v>0.99737408700882868</v>
      </c>
      <c r="C47" s="4">
        <f t="shared" si="6"/>
        <v>1.6624178011991442E-3</v>
      </c>
      <c r="D47" s="66">
        <f t="shared" si="7"/>
        <v>4</v>
      </c>
      <c r="E47" s="4">
        <f t="shared" si="1"/>
        <v>6.6322097467928836E-3</v>
      </c>
      <c r="G47" s="4">
        <f t="shared" si="2"/>
        <v>0.92265142436979697</v>
      </c>
      <c r="H47" s="4">
        <f t="shared" si="3"/>
        <v>3.6809144880328866</v>
      </c>
      <c r="I47" s="66">
        <f t="shared" si="4"/>
        <v>6.1192177695977047E-3</v>
      </c>
      <c r="J47" s="4">
        <f t="shared" si="5"/>
        <v>3.6809144880328864E-5</v>
      </c>
    </row>
    <row r="48" spans="1:10">
      <c r="A48" s="66">
        <v>1.7</v>
      </c>
      <c r="B48" s="4">
        <f t="shared" si="8"/>
        <v>0.99729056412849504</v>
      </c>
      <c r="C48" s="4">
        <f t="shared" si="6"/>
        <v>1.6674373321320381E-3</v>
      </c>
      <c r="D48" s="66">
        <f t="shared" si="7"/>
        <v>2</v>
      </c>
      <c r="E48" s="4">
        <f t="shared" si="1"/>
        <v>3.3258390352217462E-3</v>
      </c>
      <c r="G48" s="4">
        <f t="shared" si="2"/>
        <v>0.9204033518570568</v>
      </c>
      <c r="H48" s="4">
        <f t="shared" si="3"/>
        <v>1.8358191559985637</v>
      </c>
      <c r="I48" s="66">
        <f t="shared" si="4"/>
        <v>3.0611133957551351E-3</v>
      </c>
      <c r="J48" s="4">
        <f t="shared" si="5"/>
        <v>1.8358191559985637E-5</v>
      </c>
    </row>
    <row r="49" spans="1:10">
      <c r="A49" s="66">
        <v>1.75</v>
      </c>
      <c r="B49" s="4">
        <f t="shared" si="8"/>
        <v>0.9972067974270703</v>
      </c>
      <c r="C49" s="4">
        <f t="shared" si="6"/>
        <v>1.6724785383100641E-3</v>
      </c>
      <c r="D49" s="66">
        <f t="shared" si="7"/>
        <v>4</v>
      </c>
      <c r="E49" s="4">
        <f t="shared" si="1"/>
        <v>6.6712278678147472E-3</v>
      </c>
      <c r="G49" s="4">
        <f t="shared" si="2"/>
        <v>0.91816075685173626</v>
      </c>
      <c r="H49" s="4">
        <f t="shared" si="3"/>
        <v>3.6623845914533395</v>
      </c>
      <c r="I49" s="66">
        <f t="shared" si="4"/>
        <v>6.1252596282431833E-3</v>
      </c>
      <c r="J49" s="4">
        <f t="shared" si="5"/>
        <v>3.6623845914533392E-5</v>
      </c>
    </row>
    <row r="50" spans="1:10">
      <c r="A50" s="66">
        <v>1.8</v>
      </c>
      <c r="B50" s="4">
        <f t="shared" si="8"/>
        <v>0.99712278588419456</v>
      </c>
      <c r="C50" s="4">
        <f t="shared" si="6"/>
        <v>1.6775415133308614E-3</v>
      </c>
      <c r="D50" s="66">
        <f t="shared" si="7"/>
        <v>2</v>
      </c>
      <c r="E50" s="4">
        <f t="shared" si="1"/>
        <v>3.3454297344177124E-3</v>
      </c>
      <c r="G50" s="4">
        <f t="shared" si="2"/>
        <v>0.91592362600769639</v>
      </c>
      <c r="H50" s="4">
        <f t="shared" si="3"/>
        <v>1.8265766352438948</v>
      </c>
      <c r="I50" s="66">
        <f t="shared" si="4"/>
        <v>3.0641581329018358E-3</v>
      </c>
      <c r="J50" s="4">
        <f t="shared" si="5"/>
        <v>1.8265766352438948E-5</v>
      </c>
    </row>
    <row r="51" spans="1:10">
      <c r="A51" s="66">
        <v>1.85</v>
      </c>
      <c r="B51" s="4">
        <f t="shared" si="8"/>
        <v>0.99703852847537633</v>
      </c>
      <c r="C51" s="4">
        <f t="shared" si="6"/>
        <v>1.6826263511962429E-3</v>
      </c>
      <c r="D51" s="66">
        <f t="shared" si="7"/>
        <v>4</v>
      </c>
      <c r="E51" s="4">
        <f t="shared" si="1"/>
        <v>6.7105732046823753E-3</v>
      </c>
      <c r="G51" s="4">
        <f t="shared" si="2"/>
        <v>0.91369194601131676</v>
      </c>
      <c r="H51" s="4">
        <f t="shared" si="3"/>
        <v>3.6439442933237052</v>
      </c>
      <c r="I51" s="66">
        <f t="shared" si="4"/>
        <v>6.1313966902376378E-3</v>
      </c>
      <c r="J51" s="4">
        <f t="shared" si="5"/>
        <v>3.6439442933237053E-5</v>
      </c>
    </row>
    <row r="52" spans="1:10">
      <c r="A52" s="66">
        <v>1.9</v>
      </c>
      <c r="B52" s="4">
        <f t="shared" si="8"/>
        <v>0.99695402417197676</v>
      </c>
      <c r="C52" s="4">
        <f t="shared" si="6"/>
        <v>1.6877331463139372E-3</v>
      </c>
      <c r="D52" s="66">
        <f t="shared" si="7"/>
        <v>2</v>
      </c>
      <c r="E52" s="4">
        <f t="shared" si="1"/>
        <v>3.3651847038922225E-3</v>
      </c>
      <c r="G52" s="4">
        <f t="shared" si="2"/>
        <v>0.91146570358141654</v>
      </c>
      <c r="H52" s="4">
        <f t="shared" si="3"/>
        <v>1.8173788021604707</v>
      </c>
      <c r="I52" s="66">
        <f t="shared" si="4"/>
        <v>3.0672504438145455E-3</v>
      </c>
      <c r="J52" s="4">
        <f t="shared" si="5"/>
        <v>1.8173788021604706E-5</v>
      </c>
    </row>
    <row r="53" spans="1:10">
      <c r="A53" s="66">
        <v>1.95</v>
      </c>
      <c r="B53" s="4">
        <f t="shared" si="8"/>
        <v>0.99686927194119512</v>
      </c>
      <c r="C53" s="4">
        <f t="shared" si="6"/>
        <v>1.6928619934993439E-3</v>
      </c>
      <c r="D53" s="66">
        <f t="shared" si="7"/>
        <v>4</v>
      </c>
      <c r="E53" s="4">
        <f t="shared" si="1"/>
        <v>6.7502484118264448E-3</v>
      </c>
      <c r="G53" s="4">
        <f t="shared" si="2"/>
        <v>0.90924488546917426</v>
      </c>
      <c r="H53" s="4">
        <f t="shared" si="3"/>
        <v>3.6255931479756445</v>
      </c>
      <c r="I53" s="66">
        <f t="shared" si="4"/>
        <v>6.1376288440996114E-3</v>
      </c>
      <c r="J53" s="4">
        <f t="shared" si="5"/>
        <v>3.6255931479756444E-5</v>
      </c>
    </row>
    <row r="54" spans="1:10">
      <c r="A54" s="66">
        <v>2</v>
      </c>
      <c r="B54" s="4">
        <f t="shared" si="8"/>
        <v>0.99678427074605136</v>
      </c>
      <c r="C54" s="4">
        <f t="shared" si="6"/>
        <v>1.6980129879772892E-3</v>
      </c>
      <c r="D54" s="66">
        <f t="shared" si="7"/>
        <v>2</v>
      </c>
      <c r="E54" s="4">
        <f t="shared" si="1"/>
        <v>3.3851052758765319E-3</v>
      </c>
      <c r="G54" s="4">
        <f t="shared" si="2"/>
        <v>0.90702947845804982</v>
      </c>
      <c r="H54" s="4">
        <f t="shared" si="3"/>
        <v>1.8082254344599571</v>
      </c>
      <c r="I54" s="66">
        <f t="shared" si="4"/>
        <v>3.0703902729038836E-3</v>
      </c>
      <c r="J54" s="4">
        <f t="shared" si="5"/>
        <v>1.8082254344599571E-5</v>
      </c>
    </row>
    <row r="55" spans="1:10">
      <c r="A55" s="66">
        <v>2.0499999999999998</v>
      </c>
      <c r="B55" s="4">
        <f t="shared" si="8"/>
        <v>0.99669901954537188</v>
      </c>
      <c r="C55" s="4">
        <f t="shared" si="6"/>
        <v>1.7031862253838038E-3</v>
      </c>
      <c r="D55" s="66">
        <f t="shared" si="7"/>
        <v>4</v>
      </c>
      <c r="E55" s="4">
        <f t="shared" si="1"/>
        <v>6.7902561637728804E-3</v>
      </c>
      <c r="G55" s="4">
        <f t="shared" si="2"/>
        <v>0.90481946936370605</v>
      </c>
      <c r="H55" s="4">
        <f t="shared" si="3"/>
        <v>3.6073307119214779</v>
      </c>
      <c r="I55" s="66">
        <f t="shared" si="4"/>
        <v>6.1439559789486118E-3</v>
      </c>
      <c r="J55" s="4">
        <f t="shared" si="5"/>
        <v>3.6073307119214776E-5</v>
      </c>
    </row>
    <row r="56" spans="1:10">
      <c r="A56" s="66">
        <v>2.1</v>
      </c>
      <c r="B56" s="4">
        <f t="shared" si="8"/>
        <v>0.99661351729377301</v>
      </c>
      <c r="C56" s="4">
        <f t="shared" si="6"/>
        <v>1.7083818017678855E-3</v>
      </c>
      <c r="D56" s="66">
        <f t="shared" si="7"/>
        <v>2</v>
      </c>
      <c r="E56" s="4">
        <f t="shared" si="1"/>
        <v>3.4051927926811313E-3</v>
      </c>
      <c r="G56" s="4">
        <f t="shared" si="2"/>
        <v>0.90261484503392952</v>
      </c>
      <c r="H56" s="4">
        <f t="shared" si="3"/>
        <v>1.7991163109416768</v>
      </c>
      <c r="I56" s="66">
        <f t="shared" si="4"/>
        <v>3.0735775648765332E-3</v>
      </c>
      <c r="J56" s="4">
        <f t="shared" si="5"/>
        <v>1.7991163109416769E-5</v>
      </c>
    </row>
    <row r="57" spans="1:10">
      <c r="A57" s="66">
        <v>2.15</v>
      </c>
      <c r="B57" s="4">
        <f t="shared" si="8"/>
        <v>0.9965277629416448</v>
      </c>
      <c r="C57" s="4">
        <f t="shared" si="6"/>
        <v>1.7135998135932916E-3</v>
      </c>
      <c r="D57" s="66">
        <f t="shared" si="7"/>
        <v>4</v>
      </c>
      <c r="E57" s="4">
        <f t="shared" si="1"/>
        <v>6.83059915526937E-3</v>
      </c>
      <c r="G57" s="4">
        <f t="shared" si="2"/>
        <v>0.90041559234855284</v>
      </c>
      <c r="H57" s="4">
        <f t="shared" si="3"/>
        <v>3.5891565438435173</v>
      </c>
      <c r="I57" s="66">
        <f t="shared" si="4"/>
        <v>6.1503779844873947E-3</v>
      </c>
      <c r="J57" s="4">
        <f t="shared" si="5"/>
        <v>3.5891565438435175E-5</v>
      </c>
    </row>
    <row r="58" spans="1:10">
      <c r="A58" s="66">
        <v>2.2000000000000002</v>
      </c>
      <c r="B58" s="4">
        <f t="shared" si="8"/>
        <v>0.99644175543513602</v>
      </c>
      <c r="C58" s="4">
        <f t="shared" si="6"/>
        <v>1.718840357740329E-3</v>
      </c>
      <c r="D58" s="66">
        <f t="shared" si="7"/>
        <v>2</v>
      </c>
      <c r="E58" s="4">
        <f t="shared" si="1"/>
        <v>3.4254486067590612E-3</v>
      </c>
      <c r="G58" s="4">
        <f t="shared" si="2"/>
        <v>0.89822169821937625</v>
      </c>
      <c r="H58" s="4">
        <f t="shared" si="3"/>
        <v>1.7900512114872886</v>
      </c>
      <c r="I58" s="66">
        <f t="shared" si="4"/>
        <v>3.0768122647263202E-3</v>
      </c>
      <c r="J58" s="4">
        <f t="shared" si="5"/>
        <v>1.7900512114872886E-5</v>
      </c>
    </row>
    <row r="59" spans="1:10">
      <c r="A59" s="66">
        <v>2.25</v>
      </c>
      <c r="B59" s="4">
        <f t="shared" si="8"/>
        <v>0.9963554937161373</v>
      </c>
      <c r="C59" s="4">
        <f t="shared" si="6"/>
        <v>1.7241035315076485E-3</v>
      </c>
      <c r="D59" s="66">
        <f t="shared" si="7"/>
        <v>4</v>
      </c>
      <c r="E59" s="4">
        <f t="shared" si="1"/>
        <v>6.871280101412156E-3</v>
      </c>
      <c r="G59" s="4">
        <f t="shared" si="2"/>
        <v>0.89603314959008973</v>
      </c>
      <c r="H59" s="4">
        <f t="shared" si="3"/>
        <v>3.5710702045834375</v>
      </c>
      <c r="I59" s="66">
        <f t="shared" si="4"/>
        <v>6.1568947509840453E-3</v>
      </c>
      <c r="J59" s="4">
        <f t="shared" si="5"/>
        <v>3.5710702045834378E-5</v>
      </c>
    </row>
    <row r="60" spans="1:10">
      <c r="A60" s="66">
        <v>2.2999999999999998</v>
      </c>
      <c r="B60" s="4">
        <f t="shared" si="8"/>
        <v>0.99626897672226533</v>
      </c>
      <c r="C60" s="4">
        <f t="shared" si="6"/>
        <v>1.7293894326140568E-3</v>
      </c>
      <c r="D60" s="66">
        <f t="shared" si="7"/>
        <v>2</v>
      </c>
      <c r="E60" s="4">
        <f t="shared" si="1"/>
        <v>3.4458740807694109E-3</v>
      </c>
      <c r="G60" s="4">
        <f t="shared" si="2"/>
        <v>0.89384993343619579</v>
      </c>
      <c r="H60" s="4">
        <f t="shared" si="3"/>
        <v>1.7810299170554875</v>
      </c>
      <c r="I60" s="66">
        <f t="shared" si="4"/>
        <v>3.0800943177252504E-3</v>
      </c>
      <c r="J60" s="4">
        <f t="shared" si="5"/>
        <v>1.7810299170554877E-5</v>
      </c>
    </row>
    <row r="61" spans="1:10">
      <c r="A61" s="66">
        <v>2.35</v>
      </c>
      <c r="B61" s="4">
        <f t="shared" si="8"/>
        <v>0.99618220338684771</v>
      </c>
      <c r="C61" s="4">
        <f t="shared" si="6"/>
        <v>1.734698159200327E-3</v>
      </c>
      <c r="D61" s="66">
        <f t="shared" si="7"/>
        <v>4</v>
      </c>
      <c r="E61" s="4">
        <f t="shared" si="1"/>
        <v>6.912301737773162E-3</v>
      </c>
      <c r="G61" s="4">
        <f t="shared" si="2"/>
        <v>0.89167203676493134</v>
      </c>
      <c r="H61" s="4">
        <f t="shared" si="3"/>
        <v>3.5530712571317102</v>
      </c>
      <c r="I61" s="66">
        <f t="shared" si="4"/>
        <v>6.1635061692539694E-3</v>
      </c>
      <c r="J61" s="4">
        <f t="shared" si="5"/>
        <v>3.5530712571317104E-5</v>
      </c>
    </row>
    <row r="62" spans="1:10">
      <c r="A62" s="66">
        <v>2.4</v>
      </c>
      <c r="B62" s="4">
        <f t="shared" si="8"/>
        <v>0.99609517263890546</v>
      </c>
      <c r="C62" s="4">
        <f t="shared" si="6"/>
        <v>1.7400298098310207E-3</v>
      </c>
      <c r="D62" s="66">
        <f t="shared" si="7"/>
        <v>2</v>
      </c>
      <c r="E62" s="4">
        <f t="shared" si="1"/>
        <v>3.4664705876409447E-3</v>
      </c>
      <c r="G62" s="4">
        <f t="shared" si="2"/>
        <v>0.88949944661519054</v>
      </c>
      <c r="H62" s="4">
        <f t="shared" si="3"/>
        <v>1.7720522096767382</v>
      </c>
      <c r="I62" s="66">
        <f t="shared" si="4"/>
        <v>3.0834236694144545E-3</v>
      </c>
      <c r="J62" s="4">
        <f t="shared" si="5"/>
        <v>1.7720522096767383E-5</v>
      </c>
    </row>
    <row r="63" spans="1:10">
      <c r="A63" s="66">
        <v>2.4500000000000002</v>
      </c>
      <c r="B63" s="4">
        <f t="shared" si="8"/>
        <v>0.9960078834031374</v>
      </c>
      <c r="C63" s="4">
        <f t="shared" si="6"/>
        <v>1.7453844834963215E-3</v>
      </c>
      <c r="D63" s="66">
        <f t="shared" si="7"/>
        <v>4</v>
      </c>
      <c r="E63" s="4">
        <f t="shared" si="1"/>
        <v>6.9536668205273976E-3</v>
      </c>
      <c r="G63" s="4">
        <f t="shared" si="2"/>
        <v>0.8873321500574477</v>
      </c>
      <c r="H63" s="4">
        <f t="shared" si="3"/>
        <v>3.5351592666170943</v>
      </c>
      <c r="I63" s="66">
        <f t="shared" si="4"/>
        <v>6.1702121306417123E-3</v>
      </c>
      <c r="J63" s="4">
        <f t="shared" si="5"/>
        <v>3.5351592666170942E-5</v>
      </c>
    </row>
    <row r="64" spans="1:10">
      <c r="A64" s="66">
        <v>2.5</v>
      </c>
      <c r="B64" s="4">
        <f t="shared" si="8"/>
        <v>0.99592033459990448</v>
      </c>
      <c r="C64" s="4">
        <f t="shared" si="6"/>
        <v>1.7507622796138682E-3</v>
      </c>
      <c r="D64" s="66">
        <f t="shared" si="7"/>
        <v>2</v>
      </c>
      <c r="E64" s="4">
        <f t="shared" si="1"/>
        <v>3.4872395106358704E-3</v>
      </c>
      <c r="G64" s="4">
        <f t="shared" si="2"/>
        <v>0.88517013419368074</v>
      </c>
      <c r="H64" s="4">
        <f t="shared" si="3"/>
        <v>1.7631178724480256</v>
      </c>
      <c r="I64" s="66">
        <f t="shared" si="4"/>
        <v>3.0868002655950592E-3</v>
      </c>
      <c r="J64" s="4">
        <f t="shared" si="5"/>
        <v>1.7631178724480258E-5</v>
      </c>
    </row>
    <row r="65" spans="1:10">
      <c r="A65" s="66">
        <v>2.5499999999999998</v>
      </c>
      <c r="B65" s="4">
        <f t="shared" si="8"/>
        <v>0.99583252514521237</v>
      </c>
      <c r="C65" s="4">
        <f t="shared" si="6"/>
        <v>1.7561632980306046E-3</v>
      </c>
      <c r="D65" s="66">
        <f t="shared" si="7"/>
        <v>4</v>
      </c>
      <c r="E65" s="4">
        <f t="shared" si="1"/>
        <v>6.9953781265806444E-3</v>
      </c>
      <c r="G65" s="4">
        <f t="shared" si="2"/>
        <v>0.88301338615729386</v>
      </c>
      <c r="H65" s="4">
        <f t="shared" si="3"/>
        <v>3.5173338002961696</v>
      </c>
      <c r="I65" s="66">
        <f t="shared" si="4"/>
        <v>6.1770125270026411E-3</v>
      </c>
      <c r="J65" s="4">
        <f t="shared" si="5"/>
        <v>3.5173338002961696E-5</v>
      </c>
    </row>
    <row r="66" spans="1:10">
      <c r="A66" s="66">
        <v>2.6</v>
      </c>
      <c r="B66" s="4">
        <f t="shared" si="8"/>
        <v>0.99574445395069633</v>
      </c>
      <c r="C66" s="4">
        <f t="shared" si="6"/>
        <v>1.7615876390246314E-3</v>
      </c>
      <c r="D66" s="66">
        <f t="shared" si="7"/>
        <v>2</v>
      </c>
      <c r="E66" s="4">
        <f t="shared" si="1"/>
        <v>3.508182243413756E-3</v>
      </c>
      <c r="G66" s="4">
        <f t="shared" si="2"/>
        <v>0.88086189311304075</v>
      </c>
      <c r="H66" s="4">
        <f t="shared" si="3"/>
        <v>1.7542266895276428</v>
      </c>
      <c r="I66" s="66">
        <f t="shared" si="4"/>
        <v>3.0902240523189954E-3</v>
      </c>
      <c r="J66" s="4">
        <f t="shared" si="5"/>
        <v>1.7542266895276427E-5</v>
      </c>
    </row>
    <row r="67" spans="1:10">
      <c r="A67" s="66">
        <v>2.65</v>
      </c>
      <c r="B67" s="4">
        <f t="shared" si="8"/>
        <v>0.99565611992360403</v>
      </c>
      <c r="C67" s="4">
        <f t="shared" si="6"/>
        <v>1.7670354033070671E-3</v>
      </c>
      <c r="D67" s="66">
        <f t="shared" si="7"/>
        <v>4</v>
      </c>
      <c r="E67" s="4">
        <f t="shared" si="1"/>
        <v>7.0374384536974208E-3</v>
      </c>
      <c r="G67" s="4">
        <f t="shared" si="2"/>
        <v>0.87871564225694943</v>
      </c>
      <c r="H67" s="4">
        <f t="shared" si="3"/>
        <v>3.4995944275429278</v>
      </c>
      <c r="I67" s="66">
        <f t="shared" si="4"/>
        <v>6.1839072506844825E-3</v>
      </c>
      <c r="J67" s="4">
        <f t="shared" si="5"/>
        <v>3.4995944275429278E-5</v>
      </c>
    </row>
    <row r="68" spans="1:10">
      <c r="A68" s="66">
        <v>2.7</v>
      </c>
      <c r="B68" s="4">
        <f t="shared" si="8"/>
        <v>0.99556752196677989</v>
      </c>
      <c r="C68" s="4">
        <f t="shared" si="6"/>
        <v>1.7725066920239224E-3</v>
      </c>
      <c r="D68" s="66">
        <f t="shared" si="7"/>
        <v>2</v>
      </c>
      <c r="E68" s="4">
        <f t="shared" si="1"/>
        <v>3.5293001900955816E-3</v>
      </c>
      <c r="G68" s="4">
        <f t="shared" si="2"/>
        <v>0.8765746208162446</v>
      </c>
      <c r="H68" s="4">
        <f t="shared" si="3"/>
        <v>1.7453784461299966</v>
      </c>
      <c r="I68" s="66">
        <f t="shared" si="4"/>
        <v>3.0936949758797344E-3</v>
      </c>
      <c r="J68" s="4">
        <f t="shared" si="5"/>
        <v>1.7453784461299966E-5</v>
      </c>
    </row>
    <row r="69" spans="1:10">
      <c r="A69" s="66">
        <v>2.75</v>
      </c>
      <c r="B69" s="4">
        <f t="shared" si="8"/>
        <v>0.99547865897864696</v>
      </c>
      <c r="C69" s="4">
        <f t="shared" si="6"/>
        <v>1.7780016067579694E-3</v>
      </c>
      <c r="D69" s="66">
        <f t="shared" si="7"/>
        <v>4</v>
      </c>
      <c r="E69" s="4">
        <f t="shared" si="1"/>
        <v>7.0798506206292116E-3</v>
      </c>
      <c r="G69" s="4">
        <f t="shared" si="2"/>
        <v>0.87443881604927254</v>
      </c>
      <c r="H69" s="4">
        <f t="shared" si="3"/>
        <v>3.4819407198384225</v>
      </c>
      <c r="I69" s="66">
        <f t="shared" si="4"/>
        <v>6.1908961945087151E-3</v>
      </c>
      <c r="J69" s="4">
        <f t="shared" si="5"/>
        <v>3.4819407198384223E-5</v>
      </c>
    </row>
    <row r="70" spans="1:10">
      <c r="A70" s="66">
        <v>2.8</v>
      </c>
      <c r="B70" s="4">
        <f t="shared" si="8"/>
        <v>0.99538952985319284</v>
      </c>
      <c r="C70" s="4">
        <f t="shared" si="6"/>
        <v>1.7835202495306386E-3</v>
      </c>
      <c r="D70" s="66">
        <f t="shared" si="7"/>
        <v>2</v>
      </c>
      <c r="E70" s="4">
        <f t="shared" si="1"/>
        <v>3.5505947653279028E-3</v>
      </c>
      <c r="G70" s="4">
        <f t="shared" si="2"/>
        <v>0.87230821524542501</v>
      </c>
      <c r="H70" s="4">
        <f t="shared" si="3"/>
        <v>1.7365729285204428</v>
      </c>
      <c r="I70" s="66">
        <f t="shared" si="4"/>
        <v>3.0972129828029317E-3</v>
      </c>
      <c r="J70" s="4">
        <f t="shared" si="5"/>
        <v>1.7365729285204428E-5</v>
      </c>
    </row>
    <row r="71" spans="1:10">
      <c r="A71" s="66">
        <v>2.85</v>
      </c>
      <c r="B71" s="4">
        <f t="shared" si="8"/>
        <v>0.99530013347995139</v>
      </c>
      <c r="C71" s="4">
        <f t="shared" si="6"/>
        <v>1.789062722803905E-3</v>
      </c>
      <c r="D71" s="66">
        <f t="shared" si="7"/>
        <v>4</v>
      </c>
      <c r="E71" s="4">
        <f t="shared" si="1"/>
        <v>7.1226174672429279E-3</v>
      </c>
      <c r="G71" s="4">
        <f t="shared" si="2"/>
        <v>0.87018280572506368</v>
      </c>
      <c r="H71" s="4">
        <f t="shared" si="3"/>
        <v>3.4643722507604577</v>
      </c>
      <c r="I71" s="66">
        <f t="shared" si="4"/>
        <v>6.1979792517517975E-3</v>
      </c>
      <c r="J71" s="4">
        <f t="shared" si="5"/>
        <v>3.464372250760458E-5</v>
      </c>
    </row>
    <row r="72" spans="1:10">
      <c r="A72" s="66">
        <v>2.9</v>
      </c>
      <c r="B72" s="4">
        <f t="shared" si="8"/>
        <v>0.99521046874398644</v>
      </c>
      <c r="C72" s="4">
        <f t="shared" si="6"/>
        <v>1.794629129482192E-3</v>
      </c>
      <c r="D72" s="66">
        <f t="shared" si="7"/>
        <v>2</v>
      </c>
      <c r="E72" s="4">
        <f t="shared" si="1"/>
        <v>3.572067394347169E-3</v>
      </c>
      <c r="G72" s="4">
        <f t="shared" si="2"/>
        <v>0.86806257483944427</v>
      </c>
      <c r="H72" s="4">
        <f t="shared" si="3"/>
        <v>1.7278099240101503</v>
      </c>
      <c r="I72" s="66">
        <f t="shared" si="4"/>
        <v>3.1007780198370281E-3</v>
      </c>
      <c r="J72" s="4">
        <f t="shared" si="5"/>
        <v>1.7278099240101505E-5</v>
      </c>
    </row>
    <row r="73" spans="1:10">
      <c r="A73" s="66">
        <v>2.95</v>
      </c>
      <c r="B73" s="4">
        <f t="shared" si="8"/>
        <v>0.99512053452587501</v>
      </c>
      <c r="C73" s="4">
        <f t="shared" si="6"/>
        <v>1.8002195729142853E-3</v>
      </c>
      <c r="D73" s="66">
        <f t="shared" si="7"/>
        <v>4</v>
      </c>
      <c r="E73" s="4">
        <f t="shared" si="1"/>
        <v>7.1657418546496243E-3</v>
      </c>
      <c r="G73" s="4">
        <f t="shared" si="2"/>
        <v>0.86594750997064207</v>
      </c>
      <c r="H73" s="4">
        <f t="shared" si="3"/>
        <v>3.4468885959733431</v>
      </c>
      <c r="I73" s="66">
        <f t="shared" si="4"/>
        <v>6.2051563161262526E-3</v>
      </c>
      <c r="J73" s="4">
        <f t="shared" si="5"/>
        <v>3.4468885959733429E-5</v>
      </c>
    </row>
    <row r="74" spans="1:10">
      <c r="A74" s="66">
        <v>3</v>
      </c>
      <c r="B74" s="4">
        <f t="shared" si="8"/>
        <v>0.99503032970169125</v>
      </c>
      <c r="C74" s="4">
        <f t="shared" si="6"/>
        <v>1.8058341568952454E-3</v>
      </c>
      <c r="D74" s="66">
        <f t="shared" si="7"/>
        <v>2</v>
      </c>
      <c r="E74" s="4">
        <f t="shared" si="1"/>
        <v>3.5937195130441033E-3</v>
      </c>
      <c r="G74" s="4">
        <f t="shared" si="2"/>
        <v>0.86383759853147601</v>
      </c>
      <c r="H74" s="4">
        <f t="shared" si="3"/>
        <v>1.7190892209509836</v>
      </c>
      <c r="I74" s="66">
        <f t="shared" si="4"/>
        <v>3.1043900339437235E-3</v>
      </c>
      <c r="J74" s="4">
        <f t="shared" si="5"/>
        <v>1.7190892209509835E-5</v>
      </c>
    </row>
    <row r="75" spans="1:10">
      <c r="A75" s="66">
        <v>3.05</v>
      </c>
      <c r="B75" s="4">
        <f t="shared" si="8"/>
        <v>0.99493985314298938</v>
      </c>
      <c r="C75" s="4">
        <f t="shared" si="6"/>
        <v>1.8114729856683459E-3</v>
      </c>
      <c r="D75" s="66">
        <f t="shared" si="7"/>
        <v>4</v>
      </c>
      <c r="E75" s="4">
        <f t="shared" si="1"/>
        <v>7.2092266653334264E-3</v>
      </c>
      <c r="G75" s="4">
        <f t="shared" si="2"/>
        <v>0.86173282796543438</v>
      </c>
      <c r="H75" s="4">
        <f t="shared" si="3"/>
        <v>3.4294893332176888</v>
      </c>
      <c r="I75" s="66">
        <f t="shared" si="4"/>
        <v>6.2124272817615919E-3</v>
      </c>
      <c r="J75" s="4">
        <f t="shared" si="5"/>
        <v>3.4294893332176889E-5</v>
      </c>
    </row>
    <row r="76" spans="1:10">
      <c r="A76" s="66">
        <v>3.1</v>
      </c>
      <c r="B76" s="4">
        <f t="shared" si="8"/>
        <v>0.99484910371678614</v>
      </c>
      <c r="C76" s="4">
        <f t="shared" si="6"/>
        <v>1.8171361639269955E-3</v>
      </c>
      <c r="D76" s="66">
        <f t="shared" si="7"/>
        <v>2</v>
      </c>
      <c r="E76" s="4">
        <f t="shared" si="1"/>
        <v>3.6155525680282609E-3</v>
      </c>
      <c r="G76" s="4">
        <f t="shared" si="2"/>
        <v>0.85963318574659953</v>
      </c>
      <c r="H76" s="4">
        <f t="shared" si="3"/>
        <v>1.7104106087304201</v>
      </c>
      <c r="I76" s="66">
        <f t="shared" si="4"/>
        <v>3.1080489722884329E-3</v>
      </c>
      <c r="J76" s="4">
        <f t="shared" si="5"/>
        <v>1.7104106087304202E-5</v>
      </c>
    </row>
    <row r="77" spans="1:10">
      <c r="A77" s="66">
        <v>3.15</v>
      </c>
      <c r="B77" s="4">
        <f t="shared" si="8"/>
        <v>0.99475808028554469</v>
      </c>
      <c r="C77" s="4">
        <f t="shared" si="6"/>
        <v>1.8228237968166876E-3</v>
      </c>
      <c r="D77" s="66">
        <f t="shared" si="7"/>
        <v>4</v>
      </c>
      <c r="E77" s="4">
        <f t="shared" si="1"/>
        <v>7.2530748032807041E-3</v>
      </c>
      <c r="G77" s="4">
        <f t="shared" si="2"/>
        <v>0.85753865937957408</v>
      </c>
      <c r="H77" s="4">
        <f t="shared" si="3"/>
        <v>3.4121740423002587</v>
      </c>
      <c r="I77" s="66">
        <f t="shared" si="4"/>
        <v>6.2197920431851031E-3</v>
      </c>
      <c r="J77" s="4">
        <f t="shared" si="5"/>
        <v>3.4121740423002587E-5</v>
      </c>
    </row>
    <row r="78" spans="1:10">
      <c r="A78" s="66">
        <v>3.2</v>
      </c>
      <c r="B78" s="4">
        <f t="shared" ref="B78:B109" si="9">((B$8^A78)*B$9^((B$5^30)*((B$5^A78)-1)))*EXP(-0.00001*A78)</f>
        <v>0.99466678170715783</v>
      </c>
      <c r="C78" s="4">
        <f t="shared" si="6"/>
        <v>1.8285359899369584E-3</v>
      </c>
      <c r="D78" s="66">
        <f t="shared" si="7"/>
        <v>2</v>
      </c>
      <c r="E78" s="4">
        <f t="shared" si="1"/>
        <v>3.6375680166926129E-3</v>
      </c>
      <c r="G78" s="4">
        <f t="shared" si="2"/>
        <v>0.85544923639940595</v>
      </c>
      <c r="H78" s="4">
        <f t="shared" si="3"/>
        <v>1.7017738777664855</v>
      </c>
      <c r="I78" s="66">
        <f t="shared" si="4"/>
        <v>3.1117547822305971E-3</v>
      </c>
      <c r="J78" s="4">
        <f t="shared" si="5"/>
        <v>1.7017738777664854E-5</v>
      </c>
    </row>
    <row r="79" spans="1:10">
      <c r="A79" s="66">
        <v>3.25</v>
      </c>
      <c r="B79" s="4">
        <f t="shared" si="9"/>
        <v>0.99457520683493017</v>
      </c>
      <c r="C79" s="4">
        <f t="shared" si="6"/>
        <v>1.8342728493433371E-3</v>
      </c>
      <c r="D79" s="66">
        <f t="shared" si="7"/>
        <v>4</v>
      </c>
      <c r="E79" s="4">
        <f t="shared" ref="E79:E142" si="10">B79*C79*D79</f>
        <v>7.297289194109385E-3</v>
      </c>
      <c r="G79" s="4">
        <f t="shared" ref="G79:G142" si="11">(1+B$6)^-A79</f>
        <v>0.85336490437151402</v>
      </c>
      <c r="H79" s="4">
        <f t="shared" ref="H79:H142" si="12">B79*D79*G79</f>
        <v>3.3949423050838758</v>
      </c>
      <c r="I79" s="66">
        <f t="shared" ref="I79:I142" si="13">B79*C79*D79*G79</f>
        <v>6.2272504953024381E-3</v>
      </c>
      <c r="J79" s="4">
        <f t="shared" ref="J79:J142" si="14">B79*D79*G79/(10^5)</f>
        <v>3.3949423050838762E-5</v>
      </c>
    </row>
    <row r="80" spans="1:10">
      <c r="A80" s="66">
        <v>3.3</v>
      </c>
      <c r="B80" s="4">
        <f t="shared" si="9"/>
        <v>0.99448335451756265</v>
      </c>
      <c r="C80" s="4">
        <f t="shared" si="6"/>
        <v>1.8400344815493221E-3</v>
      </c>
      <c r="D80" s="66">
        <f t="shared" si="7"/>
        <v>2</v>
      </c>
      <c r="E80" s="4">
        <f t="shared" si="10"/>
        <v>3.6597673272783082E-3</v>
      </c>
      <c r="G80" s="4">
        <f t="shared" si="11"/>
        <v>0.85128565089161501</v>
      </c>
      <c r="H80" s="4">
        <f t="shared" si="12"/>
        <v>1.69317881950272</v>
      </c>
      <c r="I80" s="66">
        <f t="shared" si="13"/>
        <v>3.1155074113139807E-3</v>
      </c>
      <c r="J80" s="4">
        <f t="shared" si="14"/>
        <v>1.6931788195027198E-5</v>
      </c>
    </row>
    <row r="81" spans="1:10">
      <c r="A81" s="66">
        <v>3.35</v>
      </c>
      <c r="B81" s="4">
        <f t="shared" si="9"/>
        <v>0.99439122359913279</v>
      </c>
      <c r="C81" s="4">
        <f t="shared" ref="C81:C144" si="15">B$3+B$4*(B$5^(30+A81))</f>
        <v>1.8458209935283568E-3</v>
      </c>
      <c r="D81" s="66">
        <f t="shared" ref="D81:D144" si="16">IF(D80=4,2,4)</f>
        <v>4</v>
      </c>
      <c r="E81" s="4">
        <f t="shared" si="10"/>
        <v>7.3418727851985183E-3</v>
      </c>
      <c r="G81" s="4">
        <f t="shared" si="11"/>
        <v>0.84921146358564881</v>
      </c>
      <c r="H81" s="4">
        <f t="shared" si="12"/>
        <v>3.3777937054773748</v>
      </c>
      <c r="I81" s="66">
        <f t="shared" si="13"/>
        <v>6.2348025333780772E-3</v>
      </c>
      <c r="J81" s="4">
        <f t="shared" si="14"/>
        <v>3.3777937054773747E-5</v>
      </c>
    </row>
    <row r="82" spans="1:10">
      <c r="A82" s="66">
        <v>3.4</v>
      </c>
      <c r="B82" s="4">
        <f t="shared" si="9"/>
        <v>0.99429881291908062</v>
      </c>
      <c r="C82" s="4">
        <f t="shared" si="15"/>
        <v>1.851632492715813E-3</v>
      </c>
      <c r="D82" s="66">
        <f t="shared" si="16"/>
        <v>2</v>
      </c>
      <c r="E82" s="4">
        <f t="shared" si="10"/>
        <v>3.6821519789394623E-3</v>
      </c>
      <c r="G82" s="4">
        <f t="shared" si="11"/>
        <v>0.84714233010970519</v>
      </c>
      <c r="H82" s="4">
        <f t="shared" si="12"/>
        <v>1.6846252264031676</v>
      </c>
      <c r="I82" s="66">
        <f t="shared" si="13"/>
        <v>3.1193068072568383E-3</v>
      </c>
      <c r="J82" s="4">
        <f t="shared" si="14"/>
        <v>1.6846252264031676E-5</v>
      </c>
    </row>
    <row r="83" spans="1:10">
      <c r="A83" s="66">
        <v>3.45</v>
      </c>
      <c r="B83" s="4">
        <f t="shared" si="9"/>
        <v>0.99420612131218966</v>
      </c>
      <c r="C83" s="4">
        <f t="shared" si="15"/>
        <v>1.8574690870109907E-3</v>
      </c>
      <c r="D83" s="66">
        <f t="shared" si="16"/>
        <v>4</v>
      </c>
      <c r="E83" s="4">
        <f t="shared" si="10"/>
        <v>7.3868285458179644E-3</v>
      </c>
      <c r="G83" s="4">
        <f t="shared" si="11"/>
        <v>0.8450782381499502</v>
      </c>
      <c r="H83" s="4">
        <f t="shared" si="12"/>
        <v>3.3607278294256036</v>
      </c>
      <c r="I83" s="66">
        <f t="shared" si="13"/>
        <v>6.2424480530156043E-3</v>
      </c>
      <c r="J83" s="4">
        <f t="shared" si="14"/>
        <v>3.3607278294256033E-5</v>
      </c>
    </row>
    <row r="84" spans="1:10">
      <c r="A84" s="66">
        <v>3.5</v>
      </c>
      <c r="B84" s="4">
        <f t="shared" si="9"/>
        <v>0.99411314760856995</v>
      </c>
      <c r="C84" s="4">
        <f t="shared" si="15"/>
        <v>1.8633308847791166E-3</v>
      </c>
      <c r="D84" s="66">
        <f t="shared" si="16"/>
        <v>2</v>
      </c>
      <c r="E84" s="4">
        <f t="shared" si="10"/>
        <v>3.7047234618080584E-3</v>
      </c>
      <c r="G84" s="4">
        <f t="shared" si="11"/>
        <v>0.843019175422553</v>
      </c>
      <c r="H84" s="4">
        <f t="shared" si="12"/>
        <v>1.6761128919473907</v>
      </c>
      <c r="I84" s="66">
        <f t="shared" si="13"/>
        <v>3.1231529179420155E-3</v>
      </c>
      <c r="J84" s="4">
        <f t="shared" si="14"/>
        <v>1.6761128919473906E-5</v>
      </c>
    </row>
    <row r="85" spans="1:10">
      <c r="A85" s="66">
        <v>3.55</v>
      </c>
      <c r="B85" s="4">
        <f t="shared" si="9"/>
        <v>0.99401989063364138</v>
      </c>
      <c r="C85" s="4">
        <f t="shared" si="15"/>
        <v>1.8692179948533586E-3</v>
      </c>
      <c r="D85" s="66">
        <f t="shared" si="16"/>
        <v>4</v>
      </c>
      <c r="E85" s="4">
        <f t="shared" si="10"/>
        <v>7.4321594672582796E-3</v>
      </c>
      <c r="G85" s="4">
        <f t="shared" si="11"/>
        <v>0.84096512967361303</v>
      </c>
      <c r="H85" s="4">
        <f t="shared" si="12"/>
        <v>3.3437442648994833</v>
      </c>
      <c r="I85" s="66">
        <f t="shared" si="13"/>
        <v>6.25018695013783E-3</v>
      </c>
      <c r="J85" s="4">
        <f t="shared" si="14"/>
        <v>3.3437442648994836E-5</v>
      </c>
    </row>
    <row r="86" spans="1:10">
      <c r="A86" s="66">
        <v>3.6</v>
      </c>
      <c r="B86" s="4">
        <f t="shared" si="9"/>
        <v>0.9939263492081154</v>
      </c>
      <c r="C86" s="4">
        <f t="shared" si="15"/>
        <v>1.8751305265368478E-3</v>
      </c>
      <c r="D86" s="66">
        <f t="shared" si="16"/>
        <v>2</v>
      </c>
      <c r="E86" s="4">
        <f t="shared" si="10"/>
        <v>3.7274832770589207E-3</v>
      </c>
      <c r="G86" s="4">
        <f t="shared" si="11"/>
        <v>0.83891608867908651</v>
      </c>
      <c r="H86" s="4">
        <f t="shared" si="12"/>
        <v>1.6676416106255121</v>
      </c>
      <c r="I86" s="66">
        <f t="shared" si="13"/>
        <v>3.1270456914069735E-3</v>
      </c>
      <c r="J86" s="4">
        <f t="shared" si="14"/>
        <v>1.6676416106255122E-5</v>
      </c>
    </row>
    <row r="87" spans="1:10">
      <c r="A87" s="66">
        <v>3.65</v>
      </c>
      <c r="B87" s="4">
        <f t="shared" si="9"/>
        <v>0.99383252214797879</v>
      </c>
      <c r="C87" s="4">
        <f t="shared" si="15"/>
        <v>1.8810685896047032E-3</v>
      </c>
      <c r="D87" s="66">
        <f t="shared" si="16"/>
        <v>4</v>
      </c>
      <c r="E87" s="4">
        <f t="shared" si="10"/>
        <v>7.4778685629607339E-3</v>
      </c>
      <c r="G87" s="4">
        <f t="shared" si="11"/>
        <v>0.83687204024471362</v>
      </c>
      <c r="H87" s="4">
        <f t="shared" si="12"/>
        <v>3.3268426018861144</v>
      </c>
      <c r="I87" s="66">
        <f t="shared" si="13"/>
        <v>6.2580191209667541E-3</v>
      </c>
      <c r="J87" s="4">
        <f t="shared" si="14"/>
        <v>3.3268426018861146E-5</v>
      </c>
    </row>
    <row r="88" spans="1:10">
      <c r="A88" s="66">
        <v>3.7</v>
      </c>
      <c r="B88" s="4">
        <f t="shared" si="9"/>
        <v>0.9937384082644749</v>
      </c>
      <c r="C88" s="4">
        <f t="shared" si="15"/>
        <v>1.887032294306075E-3</v>
      </c>
      <c r="D88" s="66">
        <f t="shared" si="16"/>
        <v>2</v>
      </c>
      <c r="E88" s="4">
        <f t="shared" si="10"/>
        <v>3.7504329369747584E-3</v>
      </c>
      <c r="G88" s="4">
        <f t="shared" si="11"/>
        <v>0.83483297220594721</v>
      </c>
      <c r="H88" s="4">
        <f t="shared" si="12"/>
        <v>1.6592111779332772</v>
      </c>
      <c r="I88" s="66">
        <f t="shared" si="13"/>
        <v>3.1309850758337175E-3</v>
      </c>
      <c r="J88" s="4">
        <f t="shared" si="14"/>
        <v>1.6592111779332772E-5</v>
      </c>
    </row>
    <row r="89" spans="1:10">
      <c r="A89" s="66">
        <v>3.75</v>
      </c>
      <c r="B89" s="4">
        <f t="shared" si="9"/>
        <v>0.99364400636408778</v>
      </c>
      <c r="C89" s="4">
        <f t="shared" si="15"/>
        <v>1.8930217513661871E-3</v>
      </c>
      <c r="D89" s="66">
        <f t="shared" si="16"/>
        <v>4</v>
      </c>
      <c r="E89" s="4">
        <f t="shared" si="10"/>
        <v>7.5239588686474412E-3</v>
      </c>
      <c r="G89" s="4">
        <f t="shared" si="11"/>
        <v>0.83279887242787853</v>
      </c>
      <c r="H89" s="4">
        <f t="shared" si="12"/>
        <v>3.3100224323789282</v>
      </c>
      <c r="I89" s="66">
        <f t="shared" si="13"/>
        <v>6.2659444620033261E-3</v>
      </c>
      <c r="J89" s="4">
        <f t="shared" si="14"/>
        <v>3.3100224323789285E-5</v>
      </c>
    </row>
    <row r="90" spans="1:10">
      <c r="A90" s="66">
        <v>3.8</v>
      </c>
      <c r="B90" s="4">
        <f t="shared" si="9"/>
        <v>0.99354931524852308</v>
      </c>
      <c r="C90" s="4">
        <f t="shared" si="15"/>
        <v>1.8990370719883965E-3</v>
      </c>
      <c r="D90" s="66">
        <f t="shared" si="16"/>
        <v>2</v>
      </c>
      <c r="E90" s="4">
        <f t="shared" si="10"/>
        <v>3.7735739650112633E-3</v>
      </c>
      <c r="G90" s="4">
        <f t="shared" si="11"/>
        <v>0.83076972880516664</v>
      </c>
      <c r="H90" s="4">
        <f t="shared" si="12"/>
        <v>1.6508213903671491</v>
      </c>
      <c r="I90" s="66">
        <f t="shared" si="13"/>
        <v>3.1349710195386444E-3</v>
      </c>
      <c r="J90" s="4">
        <f t="shared" si="14"/>
        <v>1.650821390367149E-5</v>
      </c>
    </row>
    <row r="91" spans="1:10">
      <c r="A91" s="66">
        <v>3.85</v>
      </c>
      <c r="B91" s="4">
        <f t="shared" si="9"/>
        <v>0.99345433371469127</v>
      </c>
      <c r="C91" s="4">
        <f t="shared" si="15"/>
        <v>1.9050783678562569E-3</v>
      </c>
      <c r="D91" s="66">
        <f t="shared" si="16"/>
        <v>4</v>
      </c>
      <c r="E91" s="4">
        <f t="shared" si="10"/>
        <v>7.5704334424516366E-3</v>
      </c>
      <c r="G91" s="4">
        <f t="shared" si="11"/>
        <v>0.82874552926196532</v>
      </c>
      <c r="H91" s="4">
        <f t="shared" si="12"/>
        <v>3.2932833503678998</v>
      </c>
      <c r="I91" s="66">
        <f t="shared" si="13"/>
        <v>6.2739628700070639E-3</v>
      </c>
      <c r="J91" s="4">
        <f t="shared" si="14"/>
        <v>3.2932833503678995E-5</v>
      </c>
    </row>
    <row r="92" spans="1:10">
      <c r="A92" s="66">
        <v>3.9</v>
      </c>
      <c r="B92" s="4">
        <f t="shared" si="9"/>
        <v>0.99335906055469003</v>
      </c>
      <c r="C92" s="4">
        <f t="shared" si="15"/>
        <v>1.9111457511355894E-3</v>
      </c>
      <c r="D92" s="66">
        <f t="shared" si="16"/>
        <v>2</v>
      </c>
      <c r="E92" s="4">
        <f t="shared" si="10"/>
        <v>3.7969078958622732E-3</v>
      </c>
      <c r="G92" s="4">
        <f t="shared" si="11"/>
        <v>0.82672626175185171</v>
      </c>
      <c r="H92" s="4">
        <f t="shared" si="12"/>
        <v>1.6424720454194204</v>
      </c>
      <c r="I92" s="66">
        <f t="shared" si="13"/>
        <v>3.1390034709623061E-3</v>
      </c>
      <c r="J92" s="4">
        <f t="shared" si="14"/>
        <v>1.6424720454194205E-5</v>
      </c>
    </row>
    <row r="93" spans="1:10">
      <c r="A93" s="66">
        <v>3.95</v>
      </c>
      <c r="B93" s="4">
        <f t="shared" si="9"/>
        <v>0.99326349455578644</v>
      </c>
      <c r="C93" s="4">
        <f t="shared" si="15"/>
        <v>1.9172393344765711E-3</v>
      </c>
      <c r="D93" s="66">
        <f t="shared" si="16"/>
        <v>4</v>
      </c>
      <c r="E93" s="4">
        <f t="shared" si="10"/>
        <v>7.6172953650480374E-3</v>
      </c>
      <c r="G93" s="4">
        <f t="shared" si="11"/>
        <v>0.82471191425775425</v>
      </c>
      <c r="H93" s="4">
        <f t="shared" si="12"/>
        <v>3.2766249518297963</v>
      </c>
      <c r="I93" s="66">
        <f t="shared" si="13"/>
        <v>6.282074241975486E-3</v>
      </c>
      <c r="J93" s="4">
        <f t="shared" si="14"/>
        <v>3.2766249518297962E-5</v>
      </c>
    </row>
    <row r="94" spans="1:10">
      <c r="A94" s="66">
        <v>4</v>
      </c>
      <c r="B94" s="4">
        <f t="shared" si="9"/>
        <v>0.99316763450039902</v>
      </c>
      <c r="C94" s="4">
        <f t="shared" si="15"/>
        <v>1.9233592310158175E-3</v>
      </c>
      <c r="D94" s="66">
        <f t="shared" si="16"/>
        <v>2</v>
      </c>
      <c r="E94" s="4">
        <f t="shared" si="10"/>
        <v>3.8204362755249717E-3</v>
      </c>
      <c r="G94" s="4">
        <f t="shared" si="11"/>
        <v>0.82270247479188197</v>
      </c>
      <c r="H94" s="4">
        <f t="shared" si="12"/>
        <v>1.6341629415733552</v>
      </c>
      <c r="I94" s="66">
        <f t="shared" si="13"/>
        <v>3.1430823786590743E-3</v>
      </c>
      <c r="J94" s="4">
        <f t="shared" si="14"/>
        <v>1.6341629415733551E-5</v>
      </c>
    </row>
    <row r="95" spans="1:10">
      <c r="A95" s="66">
        <v>4.05</v>
      </c>
      <c r="B95" s="4">
        <f t="shared" si="9"/>
        <v>0.9930714791660803</v>
      </c>
      <c r="C95" s="4">
        <f t="shared" si="15"/>
        <v>1.9295055543784973E-3</v>
      </c>
      <c r="D95" s="66">
        <f t="shared" si="16"/>
        <v>4</v>
      </c>
      <c r="E95" s="4">
        <f t="shared" si="10"/>
        <v>7.6645477397832883E-3</v>
      </c>
      <c r="G95" s="4">
        <f t="shared" si="11"/>
        <v>0.82069793139565173</v>
      </c>
      <c r="H95" s="4">
        <f t="shared" si="12"/>
        <v>3.2600468347184886</v>
      </c>
      <c r="I95" s="66">
        <f t="shared" si="13"/>
        <v>6.2902784751233624E-3</v>
      </c>
      <c r="J95" s="4">
        <f t="shared" si="14"/>
        <v>3.2600468347184886E-5</v>
      </c>
    </row>
    <row r="96" spans="1:10">
      <c r="A96" s="66">
        <v>4.0999999999999996</v>
      </c>
      <c r="B96" s="4">
        <f t="shared" si="9"/>
        <v>0.99297502732549903</v>
      </c>
      <c r="C96" s="4">
        <f t="shared" si="15"/>
        <v>1.9356784186804247E-3</v>
      </c>
      <c r="D96" s="66">
        <f t="shared" si="16"/>
        <v>2</v>
      </c>
      <c r="E96" s="4">
        <f t="shared" si="10"/>
        <v>3.8441606613651468E-3</v>
      </c>
      <c r="G96" s="4">
        <f t="shared" si="11"/>
        <v>0.81869827213961854</v>
      </c>
      <c r="H96" s="4">
        <f t="shared" si="12"/>
        <v>1.6258938782983532</v>
      </c>
      <c r="I96" s="66">
        <f t="shared" si="13"/>
        <v>3.1472076912867387E-3</v>
      </c>
      <c r="J96" s="4">
        <f t="shared" si="14"/>
        <v>1.6258938782983533E-5</v>
      </c>
    </row>
    <row r="97" spans="1:10">
      <c r="A97" s="66">
        <v>4.1500000000000004</v>
      </c>
      <c r="B97" s="4">
        <f t="shared" si="9"/>
        <v>0.99287827774642157</v>
      </c>
      <c r="C97" s="4">
        <f t="shared" si="15"/>
        <v>1.9418779385301896E-3</v>
      </c>
      <c r="D97" s="66">
        <f t="shared" si="16"/>
        <v>4</v>
      </c>
      <c r="E97" s="4">
        <f t="shared" si="10"/>
        <v>7.7121936928065049E-3</v>
      </c>
      <c r="G97" s="4">
        <f t="shared" si="11"/>
        <v>0.81670348512340385</v>
      </c>
      <c r="H97" s="4">
        <f t="shared" si="12"/>
        <v>3.2435485989553019</v>
      </c>
      <c r="I97" s="66">
        <f t="shared" si="13"/>
        <v>6.298575466861806E-3</v>
      </c>
      <c r="J97" s="4">
        <f t="shared" si="14"/>
        <v>3.2435485989553021E-5</v>
      </c>
    </row>
    <row r="98" spans="1:10">
      <c r="A98" s="66">
        <v>4.2</v>
      </c>
      <c r="B98" s="4">
        <f t="shared" si="9"/>
        <v>0.99278122919169498</v>
      </c>
      <c r="C98" s="4">
        <f t="shared" si="15"/>
        <v>1.948104229031285E-3</v>
      </c>
      <c r="D98" s="66">
        <f t="shared" si="16"/>
        <v>2</v>
      </c>
      <c r="E98" s="4">
        <f t="shared" si="10"/>
        <v>3.8680826221824368E-3</v>
      </c>
      <c r="G98" s="4">
        <f t="shared" si="11"/>
        <v>0.81471355847562454</v>
      </c>
      <c r="H98" s="4">
        <f t="shared" si="12"/>
        <v>1.6176646560451409</v>
      </c>
      <c r="I98" s="66">
        <f t="shared" si="13"/>
        <v>3.1513793575959777E-3</v>
      </c>
      <c r="J98" s="4">
        <f t="shared" si="14"/>
        <v>1.6176646560451407E-5</v>
      </c>
    </row>
    <row r="99" spans="1:10">
      <c r="A99" s="66">
        <v>4.25</v>
      </c>
      <c r="B99" s="4">
        <f t="shared" si="9"/>
        <v>0.99268388041922828</v>
      </c>
      <c r="C99" s="4">
        <f t="shared" si="15"/>
        <v>1.9543574057842377E-3</v>
      </c>
      <c r="D99" s="66">
        <f t="shared" si="16"/>
        <v>4</v>
      </c>
      <c r="E99" s="4">
        <f t="shared" si="10"/>
        <v>7.7602363731998133E-3</v>
      </c>
      <c r="G99" s="4">
        <f t="shared" si="11"/>
        <v>0.81272848035382284</v>
      </c>
      <c r="H99" s="4">
        <f t="shared" si="12"/>
        <v>3.2271298464194214</v>
      </c>
      <c r="I99" s="66">
        <f t="shared" si="13"/>
        <v>6.3069651147771456E-3</v>
      </c>
      <c r="J99" s="4">
        <f t="shared" si="14"/>
        <v>3.2271298464194213E-5</v>
      </c>
    </row>
    <row r="100" spans="1:10">
      <c r="A100" s="66">
        <v>4.3</v>
      </c>
      <c r="B100" s="4">
        <f t="shared" si="9"/>
        <v>0.99258623018197445</v>
      </c>
      <c r="C100" s="4">
        <f t="shared" si="15"/>
        <v>1.9606375848887614E-3</v>
      </c>
      <c r="D100" s="66">
        <f t="shared" si="16"/>
        <v>2</v>
      </c>
      <c r="E100" s="4">
        <f t="shared" si="10"/>
        <v>3.8922037382756532E-3</v>
      </c>
      <c r="G100" s="4">
        <f t="shared" si="11"/>
        <v>0.81074823894439541</v>
      </c>
      <c r="H100" s="4">
        <f t="shared" si="12"/>
        <v>1.6094750762409842</v>
      </c>
      <c r="I100" s="66">
        <f t="shared" si="13"/>
        <v>3.1555973264197784E-3</v>
      </c>
      <c r="J100" s="4">
        <f t="shared" si="14"/>
        <v>1.6094750762409843E-5</v>
      </c>
    </row>
    <row r="101" spans="1:10">
      <c r="A101" s="66">
        <v>4.3499999999999996</v>
      </c>
      <c r="B101" s="4">
        <f t="shared" si="9"/>
        <v>0.99248827722791322</v>
      </c>
      <c r="C101" s="4">
        <f t="shared" si="15"/>
        <v>1.9669448829459091E-3</v>
      </c>
      <c r="D101" s="66">
        <f t="shared" si="16"/>
        <v>4</v>
      </c>
      <c r="E101" s="4">
        <f t="shared" si="10"/>
        <v>7.8086789531089792E-3</v>
      </c>
      <c r="G101" s="4">
        <f t="shared" si="11"/>
        <v>0.80877282246252269</v>
      </c>
      <c r="H101" s="4">
        <f t="shared" si="12"/>
        <v>3.2107901809383441</v>
      </c>
      <c r="I101" s="66">
        <f t="shared" si="13"/>
        <v>6.3154473166096457E-3</v>
      </c>
      <c r="J101" s="4">
        <f t="shared" si="14"/>
        <v>3.2107901809383438E-5</v>
      </c>
    </row>
    <row r="102" spans="1:10">
      <c r="A102" s="66">
        <v>4.4000000000000004</v>
      </c>
      <c r="B102" s="4">
        <f t="shared" si="9"/>
        <v>0.99239002030003143</v>
      </c>
      <c r="C102" s="4">
        <f t="shared" si="15"/>
        <v>1.9732794170602358E-3</v>
      </c>
      <c r="D102" s="66">
        <f t="shared" si="16"/>
        <v>2</v>
      </c>
      <c r="E102" s="4">
        <f t="shared" si="10"/>
        <v>3.9165256015080835E-3</v>
      </c>
      <c r="G102" s="4">
        <f t="shared" si="11"/>
        <v>0.80680221915210015</v>
      </c>
      <c r="H102" s="4">
        <f t="shared" si="12"/>
        <v>1.6013249412849262</v>
      </c>
      <c r="I102" s="66">
        <f t="shared" si="13"/>
        <v>3.1598615466627358E-3</v>
      </c>
      <c r="J102" s="4">
        <f t="shared" si="14"/>
        <v>1.6013249412849261E-5</v>
      </c>
    </row>
    <row r="103" spans="1:10">
      <c r="A103" s="66">
        <v>4.45</v>
      </c>
      <c r="B103" s="4">
        <f t="shared" si="9"/>
        <v>0.99229145813630637</v>
      </c>
      <c r="C103" s="4">
        <f t="shared" si="15"/>
        <v>1.9796413048419805E-3</v>
      </c>
      <c r="D103" s="66">
        <f t="shared" si="16"/>
        <v>4</v>
      </c>
      <c r="E103" s="4">
        <f t="shared" si="10"/>
        <v>7.8575246278740369E-3</v>
      </c>
      <c r="G103" s="4">
        <f t="shared" si="11"/>
        <v>0.80483641728566679</v>
      </c>
      <c r="H103" s="4">
        <f t="shared" si="12"/>
        <v>3.1945292082783801</v>
      </c>
      <c r="I103" s="66">
        <f t="shared" si="13"/>
        <v>6.3240219702320319E-3</v>
      </c>
      <c r="J103" s="4">
        <f t="shared" si="14"/>
        <v>3.1945292082783802E-5</v>
      </c>
    </row>
    <row r="104" spans="1:10">
      <c r="A104" s="66">
        <v>4.5</v>
      </c>
      <c r="B104" s="4">
        <f t="shared" si="9"/>
        <v>0.99219258946968603</v>
      </c>
      <c r="C104" s="4">
        <f t="shared" si="15"/>
        <v>1.9860306644092366E-3</v>
      </c>
      <c r="D104" s="66">
        <f t="shared" si="16"/>
        <v>2</v>
      </c>
      <c r="E104" s="4">
        <f t="shared" si="10"/>
        <v>3.9410498153728026E-3</v>
      </c>
      <c r="G104" s="4">
        <f t="shared" si="11"/>
        <v>0.80287540516433631</v>
      </c>
      <c r="H104" s="4">
        <f t="shared" si="12"/>
        <v>1.5932140545430524</v>
      </c>
      <c r="I104" s="66">
        <f t="shared" si="13"/>
        <v>3.1641719672902717E-3</v>
      </c>
      <c r="J104" s="4">
        <f t="shared" si="14"/>
        <v>1.5932140545430524E-5</v>
      </c>
    </row>
    <row r="105" spans="1:10">
      <c r="A105" s="66">
        <v>4.55</v>
      </c>
      <c r="B105" s="4">
        <f t="shared" si="9"/>
        <v>0.99209341302807241</v>
      </c>
      <c r="C105" s="4">
        <f t="shared" si="15"/>
        <v>1.9924476143901608E-3</v>
      </c>
      <c r="D105" s="66">
        <f t="shared" si="16"/>
        <v>4</v>
      </c>
      <c r="E105" s="4">
        <f t="shared" si="10"/>
        <v>7.9067766161599017E-3</v>
      </c>
      <c r="G105" s="4">
        <f t="shared" si="11"/>
        <v>0.8009191711177267</v>
      </c>
      <c r="H105" s="4">
        <f t="shared" si="12"/>
        <v>3.178346536135201</v>
      </c>
      <c r="I105" s="66">
        <f t="shared" si="13"/>
        <v>6.3326889736278124E-3</v>
      </c>
      <c r="J105" s="4">
        <f t="shared" si="14"/>
        <v>3.178346536135201E-5</v>
      </c>
    </row>
    <row r="106" spans="1:10">
      <c r="A106" s="66">
        <v>4.5999999999999996</v>
      </c>
      <c r="B106" s="4">
        <f t="shared" si="9"/>
        <v>0.99199392753430182</v>
      </c>
      <c r="C106" s="4">
        <f t="shared" si="15"/>
        <v>1.9988922739251646E-3</v>
      </c>
      <c r="D106" s="66">
        <f t="shared" si="16"/>
        <v>2</v>
      </c>
      <c r="E106" s="4">
        <f t="shared" si="10"/>
        <v>3.9657779950579911E-3</v>
      </c>
      <c r="G106" s="4">
        <f t="shared" si="11"/>
        <v>0.79896770350389179</v>
      </c>
      <c r="H106" s="4">
        <f t="shared" si="12"/>
        <v>1.5851422203437744</v>
      </c>
      <c r="I106" s="66">
        <f t="shared" si="13"/>
        <v>3.1685285373177514E-3</v>
      </c>
      <c r="J106" s="4">
        <f t="shared" si="14"/>
        <v>1.5851422203437743E-5</v>
      </c>
    </row>
    <row r="107" spans="1:10">
      <c r="A107" s="66">
        <v>4.6500000000000004</v>
      </c>
      <c r="B107" s="4">
        <f t="shared" si="9"/>
        <v>0.99189413170612728</v>
      </c>
      <c r="C107" s="4">
        <f t="shared" si="15"/>
        <v>2.0053647626691266E-3</v>
      </c>
      <c r="D107" s="66">
        <f t="shared" si="16"/>
        <v>4</v>
      </c>
      <c r="E107" s="4">
        <f t="shared" si="10"/>
        <v>7.9564381600870284E-3</v>
      </c>
      <c r="G107" s="4">
        <f t="shared" si="11"/>
        <v>0.79702099070925114</v>
      </c>
      <c r="H107" s="4">
        <f t="shared" si="12"/>
        <v>3.16224177412444</v>
      </c>
      <c r="I107" s="66">
        <f t="shared" si="13"/>
        <v>6.3414482248694551E-3</v>
      </c>
      <c r="J107" s="4">
        <f t="shared" si="14"/>
        <v>3.1622417741244398E-5</v>
      </c>
    </row>
    <row r="108" spans="1:10">
      <c r="A108" s="66">
        <v>4.7</v>
      </c>
      <c r="B108" s="4">
        <f t="shared" si="9"/>
        <v>0.99179402425619934</v>
      </c>
      <c r="C108" s="4">
        <f t="shared" si="15"/>
        <v>2.011865200793622E-3</v>
      </c>
      <c r="D108" s="66">
        <f t="shared" si="16"/>
        <v>2</v>
      </c>
      <c r="E108" s="4">
        <f t="shared" si="10"/>
        <v>3.9907117675122257E-3</v>
      </c>
      <c r="G108" s="4">
        <f t="shared" si="11"/>
        <v>0.79507902114852103</v>
      </c>
      <c r="H108" s="4">
        <f t="shared" si="12"/>
        <v>1.5771092439731429</v>
      </c>
      <c r="I108" s="66">
        <f t="shared" si="13"/>
        <v>3.1729312057995045E-3</v>
      </c>
      <c r="J108" s="4">
        <f t="shared" si="14"/>
        <v>1.5771092439731429E-5</v>
      </c>
    </row>
    <row r="109" spans="1:10">
      <c r="A109" s="66">
        <v>4.75</v>
      </c>
      <c r="B109" s="4">
        <f t="shared" si="9"/>
        <v>0.99169360389204886</v>
      </c>
      <c r="C109" s="4">
        <f t="shared" si="15"/>
        <v>2.0183937089891437E-3</v>
      </c>
      <c r="D109" s="66">
        <f t="shared" si="16"/>
        <v>4</v>
      </c>
      <c r="E109" s="4">
        <f t="shared" si="10"/>
        <v>8.0065125253619331E-3</v>
      </c>
      <c r="G109" s="4">
        <f t="shared" si="11"/>
        <v>0.79314178326464624</v>
      </c>
      <c r="H109" s="4">
        <f t="shared" si="12"/>
        <v>3.1462145337723335</v>
      </c>
      <c r="I109" s="66">
        <f t="shared" si="13"/>
        <v>6.3502996220962896E-3</v>
      </c>
      <c r="J109" s="4">
        <f t="shared" si="14"/>
        <v>3.1462145337723333E-5</v>
      </c>
    </row>
    <row r="110" spans="1:10">
      <c r="A110" s="66">
        <v>4.8</v>
      </c>
      <c r="B110" s="4">
        <f t="shared" ref="B110:B141" si="17">((B$8^A110)*B$9^((B$5^30)*((B$5^A110)-1)))*EXP(-0.00001*A110)</f>
        <v>0.99159286931606694</v>
      </c>
      <c r="C110" s="4">
        <f t="shared" si="15"/>
        <v>2.0249504084673513E-3</v>
      </c>
      <c r="D110" s="66">
        <f t="shared" si="16"/>
        <v>2</v>
      </c>
      <c r="E110" s="4">
        <f t="shared" si="10"/>
        <v>4.0158527715097652E-3</v>
      </c>
      <c r="G110" s="4">
        <f t="shared" si="11"/>
        <v>0.79120926552873017</v>
      </c>
      <c r="H110" s="4">
        <f t="shared" si="12"/>
        <v>1.5691149316701829</v>
      </c>
      <c r="I110" s="66">
        <f t="shared" si="13"/>
        <v>3.1773799218177568E-3</v>
      </c>
      <c r="J110" s="4">
        <f t="shared" si="14"/>
        <v>1.5691149316701828E-5</v>
      </c>
    </row>
    <row r="111" spans="1:10">
      <c r="A111" s="66">
        <v>4.8499999999999996</v>
      </c>
      <c r="B111" s="4">
        <f t="shared" si="17"/>
        <v>0.99149181922548713</v>
      </c>
      <c r="C111" s="4">
        <f t="shared" si="15"/>
        <v>2.0315354209633199E-3</v>
      </c>
      <c r="D111" s="66">
        <f t="shared" si="16"/>
        <v>4</v>
      </c>
      <c r="E111" s="4">
        <f t="shared" si="10"/>
        <v>8.0570030014077507E-3</v>
      </c>
      <c r="G111" s="4">
        <f t="shared" si="11"/>
        <v>0.78928145643996694</v>
      </c>
      <c r="H111" s="4">
        <f t="shared" si="12"/>
        <v>3.1302644285064196</v>
      </c>
      <c r="I111" s="66">
        <f t="shared" si="13"/>
        <v>6.3592430634922944E-3</v>
      </c>
      <c r="J111" s="4">
        <f t="shared" si="14"/>
        <v>3.1302644285064196E-5</v>
      </c>
    </row>
    <row r="112" spans="1:10">
      <c r="A112" s="66">
        <v>4.9000000000000004</v>
      </c>
      <c r="B112" s="4">
        <f t="shared" si="17"/>
        <v>0.991390452312367</v>
      </c>
      <c r="C112" s="4">
        <f t="shared" si="15"/>
        <v>2.0381488687377922E-3</v>
      </c>
      <c r="D112" s="66">
        <f t="shared" si="16"/>
        <v>2</v>
      </c>
      <c r="E112" s="4">
        <f t="shared" si="10"/>
        <v>4.0412026577157983E-3</v>
      </c>
      <c r="G112" s="4">
        <f t="shared" si="11"/>
        <v>0.78735834452557296</v>
      </c>
      <c r="H112" s="4">
        <f t="shared" si="12"/>
        <v>1.5611590906222486</v>
      </c>
      <c r="I112" s="66">
        <f t="shared" si="13"/>
        <v>3.1818746344714566E-3</v>
      </c>
      <c r="J112" s="4">
        <f t="shared" si="14"/>
        <v>1.5611590906222485E-5</v>
      </c>
    </row>
    <row r="113" spans="1:10">
      <c r="A113" s="66">
        <v>4.95</v>
      </c>
      <c r="B113" s="4">
        <f t="shared" si="17"/>
        <v>0.99128876726356874</v>
      </c>
      <c r="C113" s="4">
        <f t="shared" si="15"/>
        <v>2.0447908745794621E-3</v>
      </c>
      <c r="D113" s="66">
        <f t="shared" si="16"/>
        <v>4</v>
      </c>
      <c r="E113" s="4">
        <f t="shared" si="10"/>
        <v>8.1079129014946776E-3</v>
      </c>
      <c r="G113" s="4">
        <f t="shared" si="11"/>
        <v>0.78543991834071836</v>
      </c>
      <c r="H113" s="4">
        <f t="shared" si="12"/>
        <v>3.1143910736462752</v>
      </c>
      <c r="I113" s="66">
        <f t="shared" si="13"/>
        <v>6.3682784472636365E-3</v>
      </c>
      <c r="J113" s="4">
        <f t="shared" si="14"/>
        <v>3.1143910736462749E-5</v>
      </c>
    </row>
    <row r="114" spans="1:10">
      <c r="A114" s="66">
        <v>5</v>
      </c>
      <c r="B114" s="4">
        <f t="shared" si="17"/>
        <v>0.99118676276074091</v>
      </c>
      <c r="C114" s="4">
        <f t="shared" si="15"/>
        <v>2.0514615618072414E-3</v>
      </c>
      <c r="D114" s="66">
        <f t="shared" si="16"/>
        <v>2</v>
      </c>
      <c r="E114" s="4">
        <f t="shared" si="10"/>
        <v>4.0667630887516269E-3</v>
      </c>
      <c r="G114" s="4">
        <f t="shared" si="11"/>
        <v>0.78352616646845896</v>
      </c>
      <c r="H114" s="4">
        <f t="shared" si="12"/>
        <v>1.5532415289604105</v>
      </c>
      <c r="I114" s="66">
        <f t="shared" si="13"/>
        <v>3.1864152928649915E-3</v>
      </c>
      <c r="J114" s="4">
        <f t="shared" si="14"/>
        <v>1.5532415289604103E-5</v>
      </c>
    </row>
    <row r="115" spans="1:10">
      <c r="A115" s="66">
        <v>5.05</v>
      </c>
      <c r="B115" s="4">
        <f t="shared" si="17"/>
        <v>0.99108443748029973</v>
      </c>
      <c r="C115" s="4">
        <f t="shared" si="15"/>
        <v>2.0581610542725623E-3</v>
      </c>
      <c r="D115" s="66">
        <f t="shared" si="16"/>
        <v>4</v>
      </c>
      <c r="E115" s="4">
        <f t="shared" si="10"/>
        <v>8.1592455628703327E-3</v>
      </c>
      <c r="G115" s="4">
        <f t="shared" si="11"/>
        <v>0.78161707751966825</v>
      </c>
      <c r="H115" s="4">
        <f t="shared" si="12"/>
        <v>3.0985940863943049</v>
      </c>
      <c r="I115" s="66">
        <f t="shared" si="13"/>
        <v>6.3774056716160302E-3</v>
      </c>
      <c r="J115" s="4">
        <f t="shared" si="14"/>
        <v>3.0985940863943046E-5</v>
      </c>
    </row>
    <row r="116" spans="1:10">
      <c r="A116" s="66">
        <v>5.0999999999999996</v>
      </c>
      <c r="B116" s="4">
        <f t="shared" si="17"/>
        <v>0.99098179009340959</v>
      </c>
      <c r="C116" s="4">
        <f t="shared" si="15"/>
        <v>2.0648894763616631E-3</v>
      </c>
      <c r="D116" s="66">
        <f t="shared" si="16"/>
        <v>2</v>
      </c>
      <c r="E116" s="4">
        <f t="shared" si="10"/>
        <v>4.0925357392598482E-3</v>
      </c>
      <c r="G116" s="4">
        <f t="shared" si="11"/>
        <v>0.77971264013296993</v>
      </c>
      <c r="H116" s="4">
        <f t="shared" si="12"/>
        <v>1.545362055754858</v>
      </c>
      <c r="I116" s="66">
        <f t="shared" si="13"/>
        <v>3.1910018460968321E-3</v>
      </c>
      <c r="J116" s="4">
        <f t="shared" si="14"/>
        <v>1.5453620557548581E-5</v>
      </c>
    </row>
    <row r="117" spans="1:10">
      <c r="A117" s="66">
        <v>5.15</v>
      </c>
      <c r="B117" s="4">
        <f t="shared" si="17"/>
        <v>0.99087881926596455</v>
      </c>
      <c r="C117" s="4">
        <f t="shared" si="15"/>
        <v>2.0716469529979071E-3</v>
      </c>
      <c r="D117" s="66">
        <f t="shared" si="16"/>
        <v>4</v>
      </c>
      <c r="E117" s="4">
        <f t="shared" si="10"/>
        <v>8.2110043468899968E-3</v>
      </c>
      <c r="G117" s="4">
        <f t="shared" si="11"/>
        <v>0.77781284297467035</v>
      </c>
      <c r="H117" s="4">
        <f t="shared" si="12"/>
        <v>3.0828730858265776</v>
      </c>
      <c r="I117" s="66">
        <f t="shared" si="13"/>
        <v>6.3866246347318847E-3</v>
      </c>
      <c r="J117" s="4">
        <f t="shared" si="14"/>
        <v>3.0828730858265777E-5</v>
      </c>
    </row>
    <row r="118" spans="1:10">
      <c r="A118" s="66">
        <v>5.2</v>
      </c>
      <c r="B118" s="4">
        <f t="shared" si="17"/>
        <v>0.99077552365856958</v>
      </c>
      <c r="C118" s="4">
        <f t="shared" si="15"/>
        <v>2.078433609644101E-3</v>
      </c>
      <c r="D118" s="66">
        <f t="shared" si="16"/>
        <v>2</v>
      </c>
      <c r="E118" s="4">
        <f t="shared" si="10"/>
        <v>4.1185222959694108E-3</v>
      </c>
      <c r="G118" s="4">
        <f t="shared" si="11"/>
        <v>0.77591767473869</v>
      </c>
      <c r="H118" s="4">
        <f t="shared" si="12"/>
        <v>1.5375204810103305</v>
      </c>
      <c r="I118" s="66">
        <f t="shared" si="13"/>
        <v>3.195634243248036E-3</v>
      </c>
      <c r="J118" s="4">
        <f t="shared" si="14"/>
        <v>1.5375204810103306E-5</v>
      </c>
    </row>
    <row r="119" spans="1:10">
      <c r="A119" s="66">
        <v>5.25</v>
      </c>
      <c r="B119" s="4">
        <f t="shared" si="17"/>
        <v>0.9906719019265211</v>
      </c>
      <c r="C119" s="4">
        <f t="shared" si="15"/>
        <v>2.0852495723048194E-3</v>
      </c>
      <c r="D119" s="66">
        <f t="shared" si="16"/>
        <v>4</v>
      </c>
      <c r="E119" s="4">
        <f t="shared" si="10"/>
        <v>8.2631926391467207E-3</v>
      </c>
      <c r="G119" s="4">
        <f t="shared" si="11"/>
        <v>0.77402712414649788</v>
      </c>
      <c r="H119" s="4">
        <f t="shared" si="12"/>
        <v>3.0672276928837059</v>
      </c>
      <c r="I119" s="66">
        <f t="shared" si="13"/>
        <v>6.3959352347472461E-3</v>
      </c>
      <c r="J119" s="4">
        <f t="shared" si="14"/>
        <v>3.067227692883706E-5</v>
      </c>
    </row>
    <row r="120" spans="1:10">
      <c r="A120" s="66">
        <v>5.3</v>
      </c>
      <c r="B120" s="4">
        <f t="shared" si="17"/>
        <v>0.99056795271978892</v>
      </c>
      <c r="C120" s="4">
        <f t="shared" si="15"/>
        <v>2.0920949675287495E-3</v>
      </c>
      <c r="D120" s="66">
        <f t="shared" si="16"/>
        <v>2</v>
      </c>
      <c r="E120" s="4">
        <f t="shared" si="10"/>
        <v>4.144724457760653E-3</v>
      </c>
      <c r="G120" s="4">
        <f t="shared" si="11"/>
        <v>0.77214117994704312</v>
      </c>
      <c r="H120" s="4">
        <f t="shared" si="12"/>
        <v>1.5297166156615694</v>
      </c>
      <c r="I120" s="66">
        <f t="shared" si="13"/>
        <v>3.200312433370679E-3</v>
      </c>
      <c r="J120" s="4">
        <f t="shared" si="14"/>
        <v>1.5297166156615694E-5</v>
      </c>
    </row>
    <row r="121" spans="1:10">
      <c r="A121" s="66">
        <v>5.35</v>
      </c>
      <c r="B121" s="4">
        <f t="shared" si="17"/>
        <v>0.99046367468299523</v>
      </c>
      <c r="C121" s="4">
        <f t="shared" si="15"/>
        <v>2.0989699224110408E-3</v>
      </c>
      <c r="D121" s="66">
        <f t="shared" si="16"/>
        <v>4</v>
      </c>
      <c r="E121" s="4">
        <f t="shared" si="10"/>
        <v>8.3158138496012834E-3</v>
      </c>
      <c r="G121" s="4">
        <f t="shared" si="11"/>
        <v>0.77025983091668826</v>
      </c>
      <c r="H121" s="4">
        <f t="shared" si="12"/>
        <v>3.0516575303617826</v>
      </c>
      <c r="I121" s="66">
        <f t="shared" si="13"/>
        <v>6.4053373697285391E-3</v>
      </c>
      <c r="J121" s="4">
        <f t="shared" si="14"/>
        <v>3.0516575303617825E-5</v>
      </c>
    </row>
    <row r="122" spans="1:10">
      <c r="A122" s="66">
        <v>5.4</v>
      </c>
      <c r="B122" s="4">
        <f t="shared" si="17"/>
        <v>0.99035906645539695</v>
      </c>
      <c r="C122" s="4">
        <f t="shared" si="15"/>
        <v>2.1058745645956573E-3</v>
      </c>
      <c r="D122" s="66">
        <f t="shared" si="16"/>
        <v>2</v>
      </c>
      <c r="E122" s="4">
        <f t="shared" si="10"/>
        <v>4.1711439357302411E-3</v>
      </c>
      <c r="G122" s="4">
        <f t="shared" si="11"/>
        <v>0.76838306585914296</v>
      </c>
      <c r="H122" s="4">
        <f t="shared" si="12"/>
        <v>1.5219502715687931</v>
      </c>
      <c r="I122" s="66">
        <f t="shared" si="13"/>
        <v>3.2050363654761746E-3</v>
      </c>
      <c r="J122" s="4">
        <f t="shared" si="14"/>
        <v>1.5219502715687932E-5</v>
      </c>
    </row>
    <row r="123" spans="1:10">
      <c r="A123" s="66">
        <v>5.45</v>
      </c>
      <c r="B123" s="4">
        <f t="shared" si="17"/>
        <v>0.99025412667086665</v>
      </c>
      <c r="C123" s="4">
        <f t="shared" si="15"/>
        <v>2.112809022277758E-3</v>
      </c>
      <c r="D123" s="66">
        <f t="shared" si="16"/>
        <v>4</v>
      </c>
      <c r="E123" s="4">
        <f t="shared" si="10"/>
        <v>8.3688714127119548E-3</v>
      </c>
      <c r="G123" s="4">
        <f t="shared" si="11"/>
        <v>0.76651087360539705</v>
      </c>
      <c r="H123" s="4">
        <f t="shared" si="12"/>
        <v>3.036162222903342</v>
      </c>
      <c r="I123" s="66">
        <f t="shared" si="13"/>
        <v>6.4148309376490737E-3</v>
      </c>
      <c r="J123" s="4">
        <f t="shared" si="14"/>
        <v>3.0361622229033421E-5</v>
      </c>
    </row>
    <row r="124" spans="1:10">
      <c r="A124" s="66">
        <v>5.5</v>
      </c>
      <c r="B124" s="4">
        <f t="shared" si="17"/>
        <v>0.99014885395787255</v>
      </c>
      <c r="C124" s="4">
        <f t="shared" si="15"/>
        <v>2.1197734242060684E-3</v>
      </c>
      <c r="D124" s="66">
        <f t="shared" si="16"/>
        <v>2</v>
      </c>
      <c r="E124" s="4">
        <f t="shared" si="10"/>
        <v>4.197782453255988E-3</v>
      </c>
      <c r="G124" s="4">
        <f t="shared" si="11"/>
        <v>0.7646432430136535</v>
      </c>
      <c r="H124" s="4">
        <f t="shared" si="12"/>
        <v>1.5142212615132</v>
      </c>
      <c r="I124" s="66">
        <f t="shared" si="13"/>
        <v>3.2098059885234688E-3</v>
      </c>
      <c r="J124" s="4">
        <f t="shared" si="14"/>
        <v>1.5142212615132001E-5</v>
      </c>
    </row>
    <row r="125" spans="1:10">
      <c r="A125" s="66">
        <v>5.55</v>
      </c>
      <c r="B125" s="4">
        <f t="shared" si="17"/>
        <v>0.99004324693945911</v>
      </c>
      <c r="C125" s="4">
        <f t="shared" si="15"/>
        <v>2.1267678996852758E-3</v>
      </c>
      <c r="D125" s="66">
        <f t="shared" si="16"/>
        <v>4</v>
      </c>
      <c r="E125" s="4">
        <f t="shared" si="10"/>
        <v>8.4223687875640968E-3</v>
      </c>
      <c r="G125" s="4">
        <f t="shared" si="11"/>
        <v>0.76278016296926343</v>
      </c>
      <c r="H125" s="4">
        <f t="shared" si="12"/>
        <v>3.0207413969883974</v>
      </c>
      <c r="I125" s="66">
        <f t="shared" si="13"/>
        <v>6.424415836365379E-3</v>
      </c>
      <c r="J125" s="4">
        <f t="shared" si="14"/>
        <v>3.0207413969883974E-5</v>
      </c>
    </row>
    <row r="126" spans="1:10">
      <c r="A126" s="66">
        <v>5.6</v>
      </c>
      <c r="B126" s="4">
        <f t="shared" si="17"/>
        <v>0.98993730423322812</v>
      </c>
      <c r="C126" s="4">
        <f t="shared" si="15"/>
        <v>2.1337925785784298E-3</v>
      </c>
      <c r="D126" s="66">
        <f t="shared" si="16"/>
        <v>2</v>
      </c>
      <c r="E126" s="4">
        <f t="shared" si="10"/>
        <v>4.2246417460615991E-3</v>
      </c>
      <c r="G126" s="4">
        <f t="shared" si="11"/>
        <v>0.76092162238465888</v>
      </c>
      <c r="H126" s="4">
        <f t="shared" si="12"/>
        <v>1.5065293991924871</v>
      </c>
      <c r="I126" s="66">
        <f t="shared" si="13"/>
        <v>3.2146212514071503E-3</v>
      </c>
      <c r="J126" s="4">
        <f t="shared" si="14"/>
        <v>1.5065293991924871E-5</v>
      </c>
    </row>
    <row r="127" spans="1:10">
      <c r="A127" s="66">
        <v>5.65</v>
      </c>
      <c r="B127" s="4">
        <f t="shared" si="17"/>
        <v>0.98983102445131932</v>
      </c>
      <c r="C127" s="4">
        <f t="shared" si="15"/>
        <v>2.1408475913093487E-3</v>
      </c>
      <c r="D127" s="66">
        <f t="shared" si="16"/>
        <v>4</v>
      </c>
      <c r="E127" s="4">
        <f t="shared" si="10"/>
        <v>8.4763094579994886E-3</v>
      </c>
      <c r="G127" s="4">
        <f t="shared" si="11"/>
        <v>0.7590676101992867</v>
      </c>
      <c r="H127" s="4">
        <f t="shared" si="12"/>
        <v>3.0053946809254986</v>
      </c>
      <c r="I127" s="66">
        <f t="shared" si="13"/>
        <v>6.4340919635932827E-3</v>
      </c>
      <c r="J127" s="4">
        <f t="shared" si="14"/>
        <v>3.0053946809254986E-5</v>
      </c>
    </row>
    <row r="128" spans="1:10">
      <c r="A128" s="66">
        <v>5.7</v>
      </c>
      <c r="B128" s="4">
        <f t="shared" si="17"/>
        <v>0.98972440620039071</v>
      </c>
      <c r="C128" s="4">
        <f t="shared" si="15"/>
        <v>2.1479330688650485E-3</v>
      </c>
      <c r="D128" s="66">
        <f t="shared" si="16"/>
        <v>2</v>
      </c>
      <c r="E128" s="4">
        <f t="shared" si="10"/>
        <v>4.2517235622812864E-3</v>
      </c>
      <c r="G128" s="4">
        <f t="shared" si="11"/>
        <v>0.75721811537954387</v>
      </c>
      <c r="H128" s="4">
        <f t="shared" si="12"/>
        <v>1.498874499216396</v>
      </c>
      <c r="I128" s="66">
        <f t="shared" si="13"/>
        <v>3.2194821029454365E-3</v>
      </c>
      <c r="J128" s="4">
        <f t="shared" si="14"/>
        <v>1.498874499216396E-5</v>
      </c>
    </row>
    <row r="129" spans="1:10">
      <c r="A129" s="66">
        <v>5.75</v>
      </c>
      <c r="B129" s="4">
        <f t="shared" si="17"/>
        <v>0.98961744808159924</v>
      </c>
      <c r="C129" s="4">
        <f t="shared" si="15"/>
        <v>2.1550491427981665E-3</v>
      </c>
      <c r="D129" s="66">
        <f t="shared" si="16"/>
        <v>4</v>
      </c>
      <c r="E129" s="4">
        <f t="shared" si="10"/>
        <v>8.5306969327454372E-3</v>
      </c>
      <c r="G129" s="4">
        <f t="shared" si="11"/>
        <v>0.75537312691871061</v>
      </c>
      <c r="H129" s="4">
        <f t="shared" si="12"/>
        <v>2.9901217048428497</v>
      </c>
      <c r="I129" s="66">
        <f t="shared" si="13"/>
        <v>6.4438592168837745E-3</v>
      </c>
      <c r="J129" s="4">
        <f t="shared" si="14"/>
        <v>2.9901217048428496E-5</v>
      </c>
    </row>
    <row r="130" spans="1:10">
      <c r="A130" s="66">
        <v>5.8</v>
      </c>
      <c r="B130" s="4">
        <f t="shared" si="17"/>
        <v>0.98951014869058063</v>
      </c>
      <c r="C130" s="4">
        <f t="shared" si="15"/>
        <v>2.1621959452294134E-3</v>
      </c>
      <c r="D130" s="66">
        <f t="shared" si="16"/>
        <v>2</v>
      </c>
      <c r="E130" s="4">
        <f t="shared" si="10"/>
        <v>4.2790296625242544E-3</v>
      </c>
      <c r="G130" s="4">
        <f t="shared" si="11"/>
        <v>0.75353263383688585</v>
      </c>
      <c r="H130" s="4">
        <f t="shared" si="12"/>
        <v>1.4912563771022835</v>
      </c>
      <c r="I130" s="66">
        <f t="shared" si="13"/>
        <v>3.2243884918680622E-3</v>
      </c>
      <c r="J130" s="4">
        <f t="shared" si="14"/>
        <v>1.4912563771022835E-5</v>
      </c>
    </row>
    <row r="131" spans="1:10">
      <c r="A131" s="66">
        <v>5.85</v>
      </c>
      <c r="B131" s="4">
        <f t="shared" si="17"/>
        <v>0.9894025066174309</v>
      </c>
      <c r="C131" s="4">
        <f t="shared" si="15"/>
        <v>2.1693736088500186E-3</v>
      </c>
      <c r="D131" s="66">
        <f t="shared" si="16"/>
        <v>4</v>
      </c>
      <c r="E131" s="4">
        <f t="shared" si="10"/>
        <v>8.5855347455436413E-3</v>
      </c>
      <c r="G131" s="4">
        <f t="shared" si="11"/>
        <v>0.75169662518092084</v>
      </c>
      <c r="H131" s="4">
        <f t="shared" si="12"/>
        <v>2.9749221006794659</v>
      </c>
      <c r="I131" s="66">
        <f t="shared" si="13"/>
        <v>6.4537174935986909E-3</v>
      </c>
      <c r="J131" s="4">
        <f t="shared" si="14"/>
        <v>2.9749221006794658E-5</v>
      </c>
    </row>
    <row r="132" spans="1:10">
      <c r="A132" s="66">
        <v>5.9</v>
      </c>
      <c r="B132" s="4">
        <f t="shared" si="17"/>
        <v>0.98929452044668542</v>
      </c>
      <c r="C132" s="4">
        <f t="shared" si="15"/>
        <v>2.1765822669241935E-3</v>
      </c>
      <c r="D132" s="66">
        <f t="shared" si="16"/>
        <v>2</v>
      </c>
      <c r="E132" s="4">
        <f t="shared" si="10"/>
        <v>4.3065618199390589E-3</v>
      </c>
      <c r="G132" s="4">
        <f t="shared" si="11"/>
        <v>0.7498650900243552</v>
      </c>
      <c r="H132" s="4">
        <f t="shared" si="12"/>
        <v>1.4836748492707101</v>
      </c>
      <c r="I132" s="66">
        <f t="shared" si="13"/>
        <v>3.2293403668040535E-3</v>
      </c>
      <c r="J132" s="4">
        <f t="shared" si="14"/>
        <v>1.4836748492707101E-5</v>
      </c>
    </row>
    <row r="133" spans="1:10">
      <c r="A133" s="66">
        <v>5.95</v>
      </c>
      <c r="B133" s="4">
        <f t="shared" si="17"/>
        <v>0.98918618875730013</v>
      </c>
      <c r="C133" s="4">
        <f t="shared" si="15"/>
        <v>2.1838220532916139E-3</v>
      </c>
      <c r="D133" s="66">
        <f t="shared" si="16"/>
        <v>4</v>
      </c>
      <c r="E133" s="4">
        <f t="shared" si="10"/>
        <v>8.6408264552786922E-3</v>
      </c>
      <c r="G133" s="4">
        <f t="shared" si="11"/>
        <v>0.74803801746735077</v>
      </c>
      <c r="H133" s="4">
        <f t="shared" si="12"/>
        <v>2.9597955021763815</v>
      </c>
      <c r="I133" s="66">
        <f t="shared" si="13"/>
        <v>6.4636666908861086E-3</v>
      </c>
      <c r="J133" s="4">
        <f t="shared" si="14"/>
        <v>2.9597955021763814E-5</v>
      </c>
    </row>
    <row r="134" spans="1:10">
      <c r="A134" s="66">
        <v>6</v>
      </c>
      <c r="B134" s="4">
        <f t="shared" si="17"/>
        <v>0.98907751012263156</v>
      </c>
      <c r="C134" s="4">
        <f t="shared" si="15"/>
        <v>2.1910931023698928E-3</v>
      </c>
      <c r="D134" s="66">
        <f t="shared" si="16"/>
        <v>2</v>
      </c>
      <c r="E134" s="4">
        <f t="shared" si="10"/>
        <v>4.3343218202777714E-3</v>
      </c>
      <c r="G134" s="4">
        <f t="shared" si="11"/>
        <v>0.74621539663662761</v>
      </c>
      <c r="H134" s="4">
        <f t="shared" si="12"/>
        <v>1.4761297330410552</v>
      </c>
      <c r="I134" s="66">
        <f t="shared" si="13"/>
        <v>3.2343376762693668E-3</v>
      </c>
      <c r="J134" s="4">
        <f t="shared" si="14"/>
        <v>1.4761297330410552E-5</v>
      </c>
    </row>
    <row r="135" spans="1:10">
      <c r="A135" s="66">
        <v>6.05</v>
      </c>
      <c r="B135" s="4">
        <f t="shared" si="17"/>
        <v>0.98896848311041652</v>
      </c>
      <c r="C135" s="4">
        <f t="shared" si="15"/>
        <v>2.1983955491570936E-3</v>
      </c>
      <c r="D135" s="66">
        <f t="shared" si="16"/>
        <v>4</v>
      </c>
      <c r="E135" s="4">
        <f t="shared" si="10"/>
        <v>8.696575646106328E-3</v>
      </c>
      <c r="G135" s="4">
        <f t="shared" si="11"/>
        <v>0.74439721668539827</v>
      </c>
      <c r="H135" s="4">
        <f t="shared" si="12"/>
        <v>2.9447415448678975</v>
      </c>
      <c r="I135" s="66">
        <f t="shared" si="13"/>
        <v>6.4737067056555696E-3</v>
      </c>
      <c r="J135" s="4">
        <f t="shared" si="14"/>
        <v>2.9447415448678976E-5</v>
      </c>
    </row>
    <row r="136" spans="1:10">
      <c r="A136" s="66">
        <v>6.1</v>
      </c>
      <c r="B136" s="4">
        <f t="shared" si="17"/>
        <v>0.98885910628275331</v>
      </c>
      <c r="C136" s="4">
        <f t="shared" si="15"/>
        <v>2.2057295292342133E-3</v>
      </c>
      <c r="D136" s="66">
        <f t="shared" si="16"/>
        <v>2</v>
      </c>
      <c r="E136" s="4">
        <f t="shared" si="10"/>
        <v>4.3623114619600447E-3</v>
      </c>
      <c r="G136" s="4">
        <f t="shared" si="11"/>
        <v>0.74258346679330478</v>
      </c>
      <c r="H136" s="4">
        <f t="shared" si="12"/>
        <v>1.468620846627152</v>
      </c>
      <c r="I136" s="66">
        <f t="shared" si="13"/>
        <v>3.2393803686544599E-3</v>
      </c>
      <c r="J136" s="4">
        <f t="shared" si="14"/>
        <v>1.4686208466271519E-5</v>
      </c>
    </row>
    <row r="137" spans="1:10">
      <c r="A137" s="66">
        <v>6.15</v>
      </c>
      <c r="B137" s="4">
        <f t="shared" si="17"/>
        <v>0.98874937819608022</v>
      </c>
      <c r="C137" s="4">
        <f t="shared" si="15"/>
        <v>2.2130951787677185E-3</v>
      </c>
      <c r="D137" s="66">
        <f t="shared" si="16"/>
        <v>4</v>
      </c>
      <c r="E137" s="4">
        <f t="shared" si="10"/>
        <v>8.752785927581299E-3</v>
      </c>
      <c r="G137" s="4">
        <f t="shared" si="11"/>
        <v>0.74077413616635257</v>
      </c>
      <c r="H137" s="4">
        <f t="shared" si="12"/>
        <v>2.9297598660728781</v>
      </c>
      <c r="I137" s="66">
        <f t="shared" si="13"/>
        <v>6.4838374345530438E-3</v>
      </c>
      <c r="J137" s="4">
        <f t="shared" si="14"/>
        <v>2.9297598660728782E-5</v>
      </c>
    </row>
    <row r="138" spans="1:10">
      <c r="A138" s="66">
        <v>6.2</v>
      </c>
      <c r="B138" s="4">
        <f t="shared" si="17"/>
        <v>0.98863929740115697</v>
      </c>
      <c r="C138" s="4">
        <f t="shared" si="15"/>
        <v>2.2204926345120706E-3</v>
      </c>
      <c r="D138" s="66">
        <f t="shared" si="16"/>
        <v>2</v>
      </c>
      <c r="E138" s="4">
        <f t="shared" si="10"/>
        <v>4.3905325561369151E-3</v>
      </c>
      <c r="G138" s="4">
        <f t="shared" si="11"/>
        <v>0.73896921403684768</v>
      </c>
      <c r="H138" s="4">
        <f t="shared" si="12"/>
        <v>1.4611480091329485</v>
      </c>
      <c r="I138" s="66">
        <f t="shared" si="13"/>
        <v>3.244468392211688E-3</v>
      </c>
      <c r="J138" s="4">
        <f t="shared" si="14"/>
        <v>1.4611480091329485E-5</v>
      </c>
    </row>
    <row r="139" spans="1:10">
      <c r="A139" s="66">
        <v>6.25</v>
      </c>
      <c r="B139" s="4">
        <f t="shared" si="17"/>
        <v>0.98852886244304417</v>
      </c>
      <c r="C139" s="4">
        <f t="shared" si="15"/>
        <v>2.2279220338122527E-3</v>
      </c>
      <c r="D139" s="66">
        <f t="shared" si="16"/>
        <v>4</v>
      </c>
      <c r="E139" s="4">
        <f t="shared" si="10"/>
        <v>8.8094609347848778E-3</v>
      </c>
      <c r="G139" s="4">
        <f t="shared" si="11"/>
        <v>0.73716868966333127</v>
      </c>
      <c r="H139" s="4">
        <f t="shared" si="12"/>
        <v>2.9148501048860891</v>
      </c>
      <c r="I139" s="66">
        <f t="shared" si="13"/>
        <v>6.4940587739356738E-3</v>
      </c>
      <c r="J139" s="4">
        <f t="shared" si="14"/>
        <v>2.9148501048860892E-5</v>
      </c>
    </row>
    <row r="140" spans="1:10">
      <c r="A140" s="66">
        <v>6.3</v>
      </c>
      <c r="B140" s="4">
        <f t="shared" si="17"/>
        <v>0.98841807186108355</v>
      </c>
      <c r="C140" s="4">
        <f t="shared" si="15"/>
        <v>2.2353835146063372E-3</v>
      </c>
      <c r="D140" s="66">
        <f t="shared" si="16"/>
        <v>2</v>
      </c>
      <c r="E140" s="4">
        <f t="shared" si="10"/>
        <v>4.4189869267544967E-3</v>
      </c>
      <c r="G140" s="4">
        <f t="shared" si="11"/>
        <v>0.73537255233051724</v>
      </c>
      <c r="H140" s="4">
        <f t="shared" si="12"/>
        <v>1.4537110405481872</v>
      </c>
      <c r="I140" s="66">
        <f t="shared" si="13"/>
        <v>3.2496016950426428E-3</v>
      </c>
      <c r="J140" s="4">
        <f t="shared" si="14"/>
        <v>1.4537110405481872E-5</v>
      </c>
    </row>
    <row r="141" spans="1:10">
      <c r="A141" s="66">
        <v>6.35</v>
      </c>
      <c r="B141" s="4">
        <f t="shared" si="17"/>
        <v>0.98830692418887678</v>
      </c>
      <c r="C141" s="4">
        <f t="shared" si="15"/>
        <v>2.2428772154280347E-3</v>
      </c>
      <c r="D141" s="66">
        <f t="shared" si="16"/>
        <v>4</v>
      </c>
      <c r="E141" s="4">
        <f t="shared" si="10"/>
        <v>8.8666043284519741E-3</v>
      </c>
      <c r="G141" s="4">
        <f t="shared" si="11"/>
        <v>0.73358079134922693</v>
      </c>
      <c r="H141" s="4">
        <f t="shared" si="12"/>
        <v>2.9000119021695867</v>
      </c>
      <c r="I141" s="66">
        <f t="shared" si="13"/>
        <v>6.50437061984628E-3</v>
      </c>
      <c r="J141" s="4">
        <f t="shared" si="14"/>
        <v>2.9000119021695867E-5</v>
      </c>
    </row>
    <row r="142" spans="1:10">
      <c r="A142" s="66">
        <v>6.4</v>
      </c>
      <c r="B142" s="4">
        <f t="shared" ref="B142:B173" si="18">((B$8^A142)*B$9^((B$5^30)*((B$5^A142)-1)))*EXP(-0.00001*A142)</f>
        <v>0.98819541795426691</v>
      </c>
      <c r="C142" s="4">
        <f t="shared" si="15"/>
        <v>2.2504032754092668E-3</v>
      </c>
      <c r="D142" s="66">
        <f t="shared" si="16"/>
        <v>2</v>
      </c>
      <c r="E142" s="4">
        <f t="shared" si="10"/>
        <v>4.4476764106174231E-3</v>
      </c>
      <c r="G142" s="4">
        <f t="shared" si="11"/>
        <v>0.73179339605632654</v>
      </c>
      <c r="H142" s="4">
        <f t="shared" si="12"/>
        <v>1.4463097617441079</v>
      </c>
      <c r="I142" s="66">
        <f t="shared" si="13"/>
        <v>3.2547802250853367E-3</v>
      </c>
      <c r="J142" s="4">
        <f t="shared" si="14"/>
        <v>1.4463097617441078E-5</v>
      </c>
    </row>
    <row r="143" spans="1:10">
      <c r="A143" s="66">
        <v>6.45</v>
      </c>
      <c r="B143" s="4">
        <f t="shared" si="18"/>
        <v>0.98808355167931705</v>
      </c>
      <c r="C143" s="4">
        <f t="shared" si="15"/>
        <v>2.2579618342827568E-3</v>
      </c>
      <c r="D143" s="66">
        <f t="shared" si="16"/>
        <v>4</v>
      </c>
      <c r="E143" s="4">
        <f t="shared" ref="E143:E206" si="19">B143*C143*D143</f>
        <v>8.9242197950978076E-3</v>
      </c>
      <c r="G143" s="4">
        <f t="shared" ref="G143:G206" si="20">(1+B$6)^-A143</f>
        <v>0.73001035581466378</v>
      </c>
      <c r="H143" s="4">
        <f t="shared" ref="H143:H206" si="21">B143*D143*G143</f>
        <v>2.8852449005441398</v>
      </c>
      <c r="I143" s="66">
        <f t="shared" ref="I143:I206" si="22">B143*C143*D143*G143</f>
        <v>6.5147728679876161E-3</v>
      </c>
      <c r="J143" s="4">
        <f t="shared" ref="J143:J206" si="23">B143*D143*G143/(10^5)</f>
        <v>2.88524490054414E-5</v>
      </c>
    </row>
    <row r="144" spans="1:10">
      <c r="A144" s="66">
        <v>6.5</v>
      </c>
      <c r="B144" s="4">
        <f t="shared" si="18"/>
        <v>0.9879713238802903</v>
      </c>
      <c r="C144" s="4">
        <f t="shared" si="15"/>
        <v>2.265553032384615E-3</v>
      </c>
      <c r="D144" s="66">
        <f t="shared" si="16"/>
        <v>2</v>
      </c>
      <c r="E144" s="4">
        <f t="shared" si="19"/>
        <v>4.4766028574520682E-3</v>
      </c>
      <c r="G144" s="4">
        <f t="shared" si="20"/>
        <v>0.72823166001300332</v>
      </c>
      <c r="H144" s="4">
        <f t="shared" si="21"/>
        <v>1.4389439944691766</v>
      </c>
      <c r="I144" s="66">
        <f t="shared" si="22"/>
        <v>3.2600039301012738E-3</v>
      </c>
      <c r="J144" s="4">
        <f t="shared" si="23"/>
        <v>1.4389439944691767E-5</v>
      </c>
    </row>
    <row r="145" spans="1:10">
      <c r="A145" s="66">
        <v>6.55</v>
      </c>
      <c r="B145" s="4">
        <f t="shared" si="18"/>
        <v>0.9878587330676295</v>
      </c>
      <c r="C145" s="4">
        <f t="shared" ref="C145:C208" si="24">B$3+B$4*(B$5^(30+A145))</f>
        <v>2.2731770106569505E-3</v>
      </c>
      <c r="D145" s="66">
        <f t="shared" ref="D145:D208" si="25">IF(D144=4,2,4)</f>
        <v>4</v>
      </c>
      <c r="E145" s="4">
        <f t="shared" si="19"/>
        <v>8.982311047144146E-3</v>
      </c>
      <c r="G145" s="4">
        <f t="shared" si="20"/>
        <v>0.72645729806596526</v>
      </c>
      <c r="H145" s="4">
        <f t="shared" si="21"/>
        <v>2.8705487443807112</v>
      </c>
      <c r="I145" s="66">
        <f t="shared" si="22"/>
        <v>6.5252654136964076E-3</v>
      </c>
      <c r="J145" s="4">
        <f t="shared" si="23"/>
        <v>2.8705487443807113E-5</v>
      </c>
    </row>
    <row r="146" spans="1:10">
      <c r="A146" s="66">
        <v>6.6</v>
      </c>
      <c r="B146" s="4">
        <f t="shared" si="18"/>
        <v>0.98774577774593708</v>
      </c>
      <c r="C146" s="4">
        <f t="shared" si="24"/>
        <v>2.2808339106504885E-3</v>
      </c>
      <c r="D146" s="66">
        <f t="shared" si="25"/>
        <v>2</v>
      </c>
      <c r="E146" s="4">
        <f t="shared" si="19"/>
        <v>4.5057681299695476E-3</v>
      </c>
      <c r="G146" s="4">
        <f t="shared" si="20"/>
        <v>0.72468725941396073</v>
      </c>
      <c r="H146" s="4">
        <f t="shared" si="21"/>
        <v>1.4316135613448286</v>
      </c>
      <c r="I146" s="66">
        <f t="shared" si="22"/>
        <v>3.2652727576623982E-3</v>
      </c>
      <c r="J146" s="4">
        <f t="shared" si="23"/>
        <v>1.4316135613448287E-5</v>
      </c>
    </row>
    <row r="147" spans="1:10">
      <c r="A147" s="66">
        <v>6.65</v>
      </c>
      <c r="B147" s="4">
        <f t="shared" si="18"/>
        <v>0.98763245641395481</v>
      </c>
      <c r="C147" s="4">
        <f t="shared" si="24"/>
        <v>2.2885238745271896E-3</v>
      </c>
      <c r="D147" s="66">
        <f t="shared" si="25"/>
        <v>4</v>
      </c>
      <c r="E147" s="4">
        <f t="shared" si="19"/>
        <v>9.0408818230450789E-3</v>
      </c>
      <c r="G147" s="4">
        <f t="shared" si="20"/>
        <v>0.72292153352313016</v>
      </c>
      <c r="H147" s="4">
        <f t="shared" si="21"/>
        <v>2.8559230797919688</v>
      </c>
      <c r="I147" s="66">
        <f t="shared" si="22"/>
        <v>6.5358481519171407E-3</v>
      </c>
      <c r="J147" s="4">
        <f t="shared" si="23"/>
        <v>2.8559230797919688E-5</v>
      </c>
    </row>
    <row r="148" spans="1:10">
      <c r="A148" s="66">
        <v>6.7</v>
      </c>
      <c r="B148" s="4">
        <f t="shared" si="18"/>
        <v>0.98751876756454249</v>
      </c>
      <c r="C148" s="4">
        <f t="shared" si="24"/>
        <v>2.2962470450629026E-3</v>
      </c>
      <c r="D148" s="66">
        <f t="shared" si="25"/>
        <v>2</v>
      </c>
      <c r="E148" s="4">
        <f t="shared" si="19"/>
        <v>4.5351741039284799E-3</v>
      </c>
      <c r="G148" s="4">
        <f t="shared" si="20"/>
        <v>0.72116010988527979</v>
      </c>
      <c r="H148" s="4">
        <f t="shared" si="21"/>
        <v>1.4243182858612431</v>
      </c>
      <c r="I148" s="66">
        <f t="shared" si="22"/>
        <v>3.2705866551379376E-3</v>
      </c>
      <c r="J148" s="4">
        <f t="shared" si="23"/>
        <v>1.4243182858612432E-5</v>
      </c>
    </row>
    <row r="149" spans="1:10">
      <c r="A149" s="66">
        <v>6.75</v>
      </c>
      <c r="B149" s="4">
        <f t="shared" si="18"/>
        <v>0.98740470968465799</v>
      </c>
      <c r="C149" s="4">
        <f t="shared" si="24"/>
        <v>2.3040035656500023E-3</v>
      </c>
      <c r="D149" s="66">
        <f t="shared" si="25"/>
        <v>4</v>
      </c>
      <c r="E149" s="4">
        <f t="shared" si="19"/>
        <v>9.0999358874122287E-3</v>
      </c>
      <c r="G149" s="4">
        <f t="shared" si="20"/>
        <v>0.71940297801781972</v>
      </c>
      <c r="H149" s="4">
        <f t="shared" si="21"/>
        <v>2.8413675546238548</v>
      </c>
      <c r="I149" s="66">
        <f t="shared" si="22"/>
        <v>6.546520977175588E-3</v>
      </c>
      <c r="J149" s="4">
        <f t="shared" si="23"/>
        <v>2.8413675546238548E-5</v>
      </c>
    </row>
    <row r="150" spans="1:10">
      <c r="A150" s="66">
        <v>6.8</v>
      </c>
      <c r="B150" s="4">
        <f t="shared" si="18"/>
        <v>0.9872902812553368</v>
      </c>
      <c r="C150" s="4">
        <f t="shared" si="24"/>
        <v>2.3117935803000614E-3</v>
      </c>
      <c r="D150" s="66">
        <f t="shared" si="25"/>
        <v>2</v>
      </c>
      <c r="E150" s="4">
        <f t="shared" si="19"/>
        <v>4.5648226681974597E-3</v>
      </c>
      <c r="G150" s="4">
        <f t="shared" si="20"/>
        <v>0.71765012746370072</v>
      </c>
      <c r="H150" s="4">
        <f t="shared" si="21"/>
        <v>1.4170579923731308</v>
      </c>
      <c r="I150" s="66">
        <f t="shared" si="22"/>
        <v>3.2759455696810972E-3</v>
      </c>
      <c r="J150" s="4">
        <f t="shared" si="23"/>
        <v>1.4170579923731308E-5</v>
      </c>
    </row>
    <row r="151" spans="1:10">
      <c r="A151" s="66">
        <v>6.85</v>
      </c>
      <c r="B151" s="4">
        <f t="shared" si="18"/>
        <v>0.98717548075167161</v>
      </c>
      <c r="C151" s="4">
        <f t="shared" si="24"/>
        <v>2.3196172336465205E-3</v>
      </c>
      <c r="D151" s="66">
        <f t="shared" si="25"/>
        <v>4</v>
      </c>
      <c r="E151" s="4">
        <f t="shared" si="19"/>
        <v>9.1594770311394652E-3</v>
      </c>
      <c r="G151" s="4">
        <f t="shared" si="20"/>
        <v>0.71590154779135318</v>
      </c>
      <c r="H151" s="4">
        <f t="shared" si="21"/>
        <v>2.8268818184471796</v>
      </c>
      <c r="I151" s="66">
        <f t="shared" si="22"/>
        <v>6.5572837835520918E-3</v>
      </c>
      <c r="J151" s="4">
        <f t="shared" si="23"/>
        <v>2.8268818184471794E-5</v>
      </c>
    </row>
    <row r="152" spans="1:10">
      <c r="A152" s="66">
        <v>6.9</v>
      </c>
      <c r="B152" s="4">
        <f t="shared" si="18"/>
        <v>0.9870603066427911</v>
      </c>
      <c r="C152" s="4">
        <f t="shared" si="24"/>
        <v>2.3274746709473718E-3</v>
      </c>
      <c r="D152" s="66">
        <f t="shared" si="25"/>
        <v>2</v>
      </c>
      <c r="E152" s="4">
        <f t="shared" si="19"/>
        <v>4.5947157248172844E-3</v>
      </c>
      <c r="G152" s="4">
        <f t="shared" si="20"/>
        <v>0.71415722859462394</v>
      </c>
      <c r="H152" s="4">
        <f t="shared" si="21"/>
        <v>1.4098325060955508</v>
      </c>
      <c r="I152" s="66">
        <f t="shared" si="22"/>
        <v>3.2813494482156506E-3</v>
      </c>
      <c r="J152" s="4">
        <f t="shared" si="23"/>
        <v>1.4098325060955508E-5</v>
      </c>
    </row>
    <row r="153" spans="1:10">
      <c r="A153" s="66">
        <v>6.95</v>
      </c>
      <c r="B153" s="4">
        <f t="shared" si="18"/>
        <v>0.9869447573918394</v>
      </c>
      <c r="C153" s="4">
        <f t="shared" si="24"/>
        <v>2.3353660380878594E-3</v>
      </c>
      <c r="D153" s="66">
        <f t="shared" si="25"/>
        <v>4</v>
      </c>
      <c r="E153" s="4">
        <f t="shared" si="19"/>
        <v>9.2195090715270541E-3</v>
      </c>
      <c r="G153" s="4">
        <f t="shared" si="20"/>
        <v>0.712417159492715</v>
      </c>
      <c r="H153" s="4">
        <f t="shared" si="21"/>
        <v>2.8124655225492838</v>
      </c>
      <c r="I153" s="66">
        <f t="shared" si="22"/>
        <v>6.5681364646546225E-3</v>
      </c>
      <c r="J153" s="4">
        <f t="shared" si="23"/>
        <v>2.8124655225492838E-5</v>
      </c>
    </row>
    <row r="154" spans="1:10">
      <c r="A154" s="66">
        <v>7</v>
      </c>
      <c r="B154" s="4">
        <f t="shared" si="18"/>
        <v>0.98682883145595557</v>
      </c>
      <c r="C154" s="4">
        <f t="shared" si="24"/>
        <v>2.3432914815831834E-3</v>
      </c>
      <c r="D154" s="66">
        <f t="shared" si="25"/>
        <v>2</v>
      </c>
      <c r="E154" s="4">
        <f t="shared" si="19"/>
        <v>4.6248551890628554E-3</v>
      </c>
      <c r="G154" s="4">
        <f t="shared" si="20"/>
        <v>0.71068133013012147</v>
      </c>
      <c r="H154" s="4">
        <f t="shared" si="21"/>
        <v>1.4026416530997439</v>
      </c>
      <c r="I154" s="66">
        <f t="shared" si="22"/>
        <v>3.2867982374223843E-3</v>
      </c>
      <c r="J154" s="4">
        <f t="shared" si="23"/>
        <v>1.4026416530997439E-5</v>
      </c>
    </row>
    <row r="155" spans="1:10">
      <c r="A155" s="66">
        <v>7.05</v>
      </c>
      <c r="B155" s="4">
        <f t="shared" si="18"/>
        <v>0.98671252728625281</v>
      </c>
      <c r="C155" s="4">
        <f t="shared" si="24"/>
        <v>2.351251148581231E-3</v>
      </c>
      <c r="D155" s="66">
        <f t="shared" si="25"/>
        <v>4</v>
      </c>
      <c r="E155" s="4">
        <f t="shared" si="19"/>
        <v>9.2800358524051645E-3</v>
      </c>
      <c r="G155" s="4">
        <f t="shared" si="20"/>
        <v>0.7089497301765697</v>
      </c>
      <c r="H155" s="4">
        <f t="shared" si="21"/>
        <v>2.7981183199257202</v>
      </c>
      <c r="I155" s="66">
        <f t="shared" si="22"/>
        <v>6.5790789135915344E-3</v>
      </c>
      <c r="J155" s="4">
        <f t="shared" si="23"/>
        <v>2.7981183199257202E-5</v>
      </c>
    </row>
    <row r="156" spans="1:10">
      <c r="A156" s="66">
        <v>7.1</v>
      </c>
      <c r="B156" s="4">
        <f t="shared" si="18"/>
        <v>0.98659584332779715</v>
      </c>
      <c r="C156" s="4">
        <f t="shared" si="24"/>
        <v>2.3592451868652917E-3</v>
      </c>
      <c r="D156" s="66">
        <f t="shared" si="25"/>
        <v>2</v>
      </c>
      <c r="E156" s="4">
        <f t="shared" si="19"/>
        <v>4.6552429895048179E-3</v>
      </c>
      <c r="G156" s="4">
        <f t="shared" si="20"/>
        <v>0.70722234932695693</v>
      </c>
      <c r="H156" s="4">
        <f t="shared" si="21"/>
        <v>1.39548526030899</v>
      </c>
      <c r="I156" s="66">
        <f t="shared" si="22"/>
        <v>3.2922918837254437E-3</v>
      </c>
      <c r="J156" s="4">
        <f t="shared" si="23"/>
        <v>1.3954852603089901E-5</v>
      </c>
    </row>
    <row r="157" spans="1:10">
      <c r="A157" s="66">
        <v>7.15</v>
      </c>
      <c r="B157" s="4">
        <f t="shared" si="18"/>
        <v>0.98647877801958694</v>
      </c>
      <c r="C157" s="4">
        <f t="shared" si="24"/>
        <v>2.3672737448568134E-3</v>
      </c>
      <c r="D157" s="66">
        <f t="shared" si="25"/>
        <v>4</v>
      </c>
      <c r="E157" s="4">
        <f t="shared" si="19"/>
        <v>9.3410612442568035E-3</v>
      </c>
      <c r="G157" s="4">
        <f t="shared" si="20"/>
        <v>0.70549917730128819</v>
      </c>
      <c r="H157" s="4">
        <f t="shared" si="21"/>
        <v>2.7838398652719949</v>
      </c>
      <c r="I157" s="66">
        <f t="shared" si="22"/>
        <v>6.5901110229441224E-3</v>
      </c>
      <c r="J157" s="4">
        <f t="shared" si="23"/>
        <v>2.7838398652719949E-5</v>
      </c>
    </row>
    <row r="158" spans="1:10">
      <c r="A158" s="66">
        <v>7.2</v>
      </c>
      <c r="B158" s="4">
        <f t="shared" si="18"/>
        <v>0.9863613297945325</v>
      </c>
      <c r="C158" s="4">
        <f t="shared" si="24"/>
        <v>2.3753369716181562E-3</v>
      </c>
      <c r="D158" s="66">
        <f t="shared" si="25"/>
        <v>2</v>
      </c>
      <c r="E158" s="4">
        <f t="shared" si="19"/>
        <v>4.6858810680708044E-3</v>
      </c>
      <c r="G158" s="4">
        <f t="shared" si="20"/>
        <v>0.70378020384461681</v>
      </c>
      <c r="H158" s="4">
        <f t="shared" si="21"/>
        <v>1.3883631554944869</v>
      </c>
      <c r="I158" s="66">
        <f t="shared" si="22"/>
        <v>3.2978303332785014E-3</v>
      </c>
      <c r="J158" s="4">
        <f t="shared" si="23"/>
        <v>1.3883631554944869E-5</v>
      </c>
    </row>
    <row r="159" spans="1:10">
      <c r="A159" s="66">
        <v>7.25</v>
      </c>
      <c r="B159" s="4">
        <f t="shared" si="18"/>
        <v>0.98624349707943337</v>
      </c>
      <c r="C159" s="4">
        <f t="shared" si="24"/>
        <v>2.3834350168553558E-3</v>
      </c>
      <c r="D159" s="66">
        <f t="shared" si="25"/>
        <v>4</v>
      </c>
      <c r="E159" s="4">
        <f t="shared" si="19"/>
        <v>9.4025891443400168E-3</v>
      </c>
      <c r="G159" s="4">
        <f t="shared" si="20"/>
        <v>0.70206541872698214</v>
      </c>
      <c r="H159" s="4">
        <f t="shared" si="21"/>
        <v>2.7696298149753424</v>
      </c>
      <c r="I159" s="66">
        <f t="shared" si="22"/>
        <v>6.601232684738851E-3</v>
      </c>
      <c r="J159" s="4">
        <f t="shared" si="23"/>
        <v>2.7696298149753425E-5</v>
      </c>
    </row>
    <row r="160" spans="1:10">
      <c r="A160" s="66">
        <v>7.3</v>
      </c>
      <c r="B160" s="4">
        <f t="shared" si="18"/>
        <v>0.98612527829495933</v>
      </c>
      <c r="C160" s="4">
        <f t="shared" si="24"/>
        <v>2.3915680309209084E-3</v>
      </c>
      <c r="D160" s="66">
        <f t="shared" si="25"/>
        <v>2</v>
      </c>
      <c r="E160" s="4">
        <f t="shared" si="19"/>
        <v>4.7167713801064175E-3</v>
      </c>
      <c r="G160" s="4">
        <f t="shared" si="20"/>
        <v>0.70035481174334968</v>
      </c>
      <c r="H160" s="4">
        <f t="shared" si="21"/>
        <v>1.3812751672712491</v>
      </c>
      <c r="I160" s="66">
        <f t="shared" si="22"/>
        <v>3.3034135319508495E-3</v>
      </c>
      <c r="J160" s="4">
        <f t="shared" si="23"/>
        <v>1.3812751672712491E-5</v>
      </c>
    </row>
    <row r="161" spans="1:10">
      <c r="A161" s="66">
        <v>7.35</v>
      </c>
      <c r="B161" s="4">
        <f t="shared" si="18"/>
        <v>0.98600667185562829</v>
      </c>
      <c r="C161" s="4">
        <f t="shared" si="24"/>
        <v>2.3997361648165584E-3</v>
      </c>
      <c r="D161" s="66">
        <f t="shared" si="25"/>
        <v>4</v>
      </c>
      <c r="E161" s="4">
        <f t="shared" si="19"/>
        <v>9.4646234768094566E-3</v>
      </c>
      <c r="G161" s="4">
        <f t="shared" si="20"/>
        <v>0.6986483727135494</v>
      </c>
      <c r="H161" s="4">
        <f t="shared" si="21"/>
        <v>2.7554878271065495</v>
      </c>
      <c r="I161" s="66">
        <f t="shared" si="22"/>
        <v>6.6124437904193827E-3</v>
      </c>
      <c r="J161" s="4">
        <f t="shared" si="23"/>
        <v>2.7554878271065494E-5</v>
      </c>
    </row>
    <row r="162" spans="1:10">
      <c r="A162" s="66">
        <v>7.4</v>
      </c>
      <c r="B162" s="4">
        <f t="shared" si="18"/>
        <v>0.98588767616978457</v>
      </c>
      <c r="C162" s="4">
        <f t="shared" si="24"/>
        <v>2.4079395701961013E-3</v>
      </c>
      <c r="D162" s="66">
        <f t="shared" si="25"/>
        <v>2</v>
      </c>
      <c r="E162" s="4">
        <f t="shared" si="19"/>
        <v>4.7479158944358085E-3</v>
      </c>
      <c r="G162" s="4">
        <f t="shared" si="20"/>
        <v>0.69694609148221576</v>
      </c>
      <c r="H162" s="4">
        <f t="shared" si="21"/>
        <v>1.3742211250940315</v>
      </c>
      <c r="I162" s="66">
        <f t="shared" si="22"/>
        <v>3.3090414253133253E-3</v>
      </c>
      <c r="J162" s="4">
        <f t="shared" si="23"/>
        <v>1.3742211250940314E-5</v>
      </c>
    </row>
    <row r="163" spans="1:10">
      <c r="A163" s="66">
        <v>7.45</v>
      </c>
      <c r="B163" s="4">
        <f t="shared" si="18"/>
        <v>0.98576828963957941</v>
      </c>
      <c r="C163" s="4">
        <f t="shared" si="24"/>
        <v>2.4161783993682053E-3</v>
      </c>
      <c r="D163" s="66">
        <f t="shared" si="25"/>
        <v>4</v>
      </c>
      <c r="E163" s="4">
        <f t="shared" si="19"/>
        <v>9.5271681928371689E-3</v>
      </c>
      <c r="G163" s="4">
        <f t="shared" si="20"/>
        <v>0.69524795791872729</v>
      </c>
      <c r="H163" s="4">
        <f t="shared" si="21"/>
        <v>2.7414135614118162</v>
      </c>
      <c r="I163" s="66">
        <f t="shared" si="22"/>
        <v>6.6237442308182933E-3</v>
      </c>
      <c r="J163" s="4">
        <f t="shared" si="23"/>
        <v>2.7414135614118163E-5</v>
      </c>
    </row>
    <row r="164" spans="1:10">
      <c r="A164" s="66">
        <v>7.5</v>
      </c>
      <c r="B164" s="4">
        <f t="shared" si="18"/>
        <v>0.98564851066094794</v>
      </c>
      <c r="C164" s="4">
        <f t="shared" si="24"/>
        <v>2.4244528052992298E-3</v>
      </c>
      <c r="D164" s="66">
        <f t="shared" si="25"/>
        <v>2</v>
      </c>
      <c r="E164" s="4">
        <f t="shared" si="19"/>
        <v>4.7793165934218859E-3</v>
      </c>
      <c r="G164" s="4">
        <f t="shared" si="20"/>
        <v>0.69355396191714602</v>
      </c>
      <c r="H164" s="4">
        <f t="shared" si="21"/>
        <v>1.3672008592532696</v>
      </c>
      <c r="I164" s="66">
        <f t="shared" si="22"/>
        <v>3.3147139586241067E-3</v>
      </c>
      <c r="J164" s="4">
        <f t="shared" si="23"/>
        <v>1.3672008592532697E-5</v>
      </c>
    </row>
    <row r="165" spans="1:10">
      <c r="A165" s="66">
        <v>7.55</v>
      </c>
      <c r="B165" s="4">
        <f t="shared" si="18"/>
        <v>0.98552833762358905</v>
      </c>
      <c r="C165" s="4">
        <f t="shared" si="24"/>
        <v>2.4327629416160761E-3</v>
      </c>
      <c r="D165" s="66">
        <f t="shared" si="25"/>
        <v>4</v>
      </c>
      <c r="E165" s="4">
        <f t="shared" si="19"/>
        <v>9.5902272707326548E-3</v>
      </c>
      <c r="G165" s="4">
        <f t="shared" si="20"/>
        <v>0.69186409339615729</v>
      </c>
      <c r="H165" s="4">
        <f t="shared" si="21"/>
        <v>2.7274066793046656</v>
      </c>
      <c r="I165" s="66">
        <f t="shared" si="22"/>
        <v>6.6351338961285521E-3</v>
      </c>
      <c r="J165" s="4">
        <f t="shared" si="23"/>
        <v>2.7274066793046656E-5</v>
      </c>
    </row>
    <row r="166" spans="1:10">
      <c r="A166" s="66">
        <v>7.6</v>
      </c>
      <c r="B166" s="4">
        <f t="shared" si="18"/>
        <v>0.98540776891094395</v>
      </c>
      <c r="C166" s="4">
        <f t="shared" si="24"/>
        <v>2.4411089626090324E-3</v>
      </c>
      <c r="D166" s="66">
        <f t="shared" si="25"/>
        <v>2</v>
      </c>
      <c r="E166" s="4">
        <f t="shared" si="19"/>
        <v>4.8109754730261507E-3</v>
      </c>
      <c r="G166" s="4">
        <f t="shared" si="20"/>
        <v>0.69017834229901021</v>
      </c>
      <c r="H166" s="4">
        <f t="shared" si="21"/>
        <v>1.3602142008710429</v>
      </c>
      <c r="I166" s="66">
        <f t="shared" si="22"/>
        <v>3.3204310768143851E-3</v>
      </c>
      <c r="J166" s="4">
        <f t="shared" si="23"/>
        <v>1.3602142008710429E-5</v>
      </c>
    </row>
    <row r="167" spans="1:10">
      <c r="A167" s="66">
        <v>7.65</v>
      </c>
      <c r="B167" s="4">
        <f t="shared" si="18"/>
        <v>0.98528680290017401</v>
      </c>
      <c r="C167" s="4">
        <f t="shared" si="24"/>
        <v>2.4494910232346371E-3</v>
      </c>
      <c r="D167" s="66">
        <f t="shared" si="25"/>
        <v>4</v>
      </c>
      <c r="E167" s="4">
        <f t="shared" si="19"/>
        <v>9.6538047160621265E-3</v>
      </c>
      <c r="G167" s="4">
        <f t="shared" si="20"/>
        <v>0.6884966985934573</v>
      </c>
      <c r="H167" s="4">
        <f t="shared" si="21"/>
        <v>2.7134668438578893</v>
      </c>
      <c r="I167" s="66">
        <f t="shared" si="22"/>
        <v>6.6466126758747222E-3</v>
      </c>
      <c r="J167" s="4">
        <f t="shared" si="23"/>
        <v>2.7134668438578893E-5</v>
      </c>
    </row>
    <row r="168" spans="1:10">
      <c r="A168" s="66">
        <v>7.7</v>
      </c>
      <c r="B168" s="4">
        <f t="shared" si="18"/>
        <v>0.98516543796214084</v>
      </c>
      <c r="C168" s="4">
        <f t="shared" si="24"/>
        <v>2.4579092791185636E-3</v>
      </c>
      <c r="D168" s="66">
        <f t="shared" si="25"/>
        <v>2</v>
      </c>
      <c r="E168" s="4">
        <f t="shared" si="19"/>
        <v>4.8428945428680989E-3</v>
      </c>
      <c r="G168" s="4">
        <f t="shared" si="20"/>
        <v>0.6868191522716951</v>
      </c>
      <c r="H168" s="4">
        <f t="shared" si="21"/>
        <v>1.3532609818970616</v>
      </c>
      <c r="I168" s="66">
        <f t="shared" si="22"/>
        <v>3.3261927244738862E-3</v>
      </c>
      <c r="J168" s="4">
        <f t="shared" si="23"/>
        <v>1.3532609818970616E-5</v>
      </c>
    </row>
    <row r="169" spans="1:10">
      <c r="A169" s="66">
        <v>7.75</v>
      </c>
      <c r="B169" s="4">
        <f t="shared" si="18"/>
        <v>0.98504367246138325</v>
      </c>
      <c r="C169" s="4">
        <f t="shared" si="24"/>
        <v>2.4663638865585029E-3</v>
      </c>
      <c r="D169" s="66">
        <f t="shared" si="25"/>
        <v>4</v>
      </c>
      <c r="E169" s="4">
        <f t="shared" si="19"/>
        <v>9.717904561766872E-3</v>
      </c>
      <c r="G169" s="4">
        <f t="shared" si="20"/>
        <v>0.6851456933503044</v>
      </c>
      <c r="H169" s="4">
        <f t="shared" si="21"/>
        <v>2.6995937197955384</v>
      </c>
      <c r="I169" s="66">
        <f t="shared" si="22"/>
        <v>6.6581804588838498E-3</v>
      </c>
      <c r="J169" s="4">
        <f t="shared" si="23"/>
        <v>2.6995937197955386E-5</v>
      </c>
    </row>
    <row r="170" spans="1:10">
      <c r="A170" s="66">
        <v>7.8</v>
      </c>
      <c r="B170" s="4">
        <f t="shared" si="18"/>
        <v>0.98492150475609663</v>
      </c>
      <c r="C170" s="4">
        <f t="shared" si="24"/>
        <v>2.4748550025270673E-3</v>
      </c>
      <c r="D170" s="66">
        <f t="shared" si="25"/>
        <v>2</v>
      </c>
      <c r="E170" s="4">
        <f t="shared" si="19"/>
        <v>4.8750758262842246E-3</v>
      </c>
      <c r="G170" s="4">
        <f t="shared" si="20"/>
        <v>0.6834763118701912</v>
      </c>
      <c r="H170" s="4">
        <f t="shared" si="21"/>
        <v>1.3463410351046718</v>
      </c>
      <c r="I170" s="66">
        <f t="shared" si="22"/>
        <v>3.3319988458362666E-3</v>
      </c>
      <c r="J170" s="4">
        <f t="shared" si="23"/>
        <v>1.3463410351046718E-5</v>
      </c>
    </row>
    <row r="171" spans="1:10">
      <c r="A171" s="66">
        <v>7.85</v>
      </c>
      <c r="B171" s="4">
        <f t="shared" si="18"/>
        <v>0.9847989331981114</v>
      </c>
      <c r="C171" s="4">
        <f t="shared" si="24"/>
        <v>2.4833827846747077E-3</v>
      </c>
      <c r="D171" s="66">
        <f t="shared" si="25"/>
        <v>4</v>
      </c>
      <c r="E171" s="4">
        <f t="shared" si="19"/>
        <v>9.7825308682808303E-3</v>
      </c>
      <c r="G171" s="4">
        <f t="shared" si="20"/>
        <v>0.68181099789652677</v>
      </c>
      <c r="H171" s="4">
        <f t="shared" si="21"/>
        <v>2.6857869734849573</v>
      </c>
      <c r="I171" s="66">
        <f t="shared" si="22"/>
        <v>6.6698371332561297E-3</v>
      </c>
      <c r="J171" s="4">
        <f t="shared" si="23"/>
        <v>2.6857869734849574E-5</v>
      </c>
    </row>
    <row r="172" spans="1:10">
      <c r="A172" s="66">
        <v>7.9</v>
      </c>
      <c r="B172" s="4">
        <f t="shared" si="18"/>
        <v>0.98467595613287118</v>
      </c>
      <c r="C172" s="4">
        <f t="shared" si="24"/>
        <v>2.4919473913326347E-3</v>
      </c>
      <c r="D172" s="66">
        <f t="shared" si="25"/>
        <v>2</v>
      </c>
      <c r="E172" s="4">
        <f t="shared" si="19"/>
        <v>4.907521360386552E-3</v>
      </c>
      <c r="G172" s="4">
        <f t="shared" si="20"/>
        <v>0.68014974151868945</v>
      </c>
      <c r="H172" s="4">
        <f t="shared" si="21"/>
        <v>1.3394541940868814</v>
      </c>
      <c r="I172" s="66">
        <f t="shared" si="22"/>
        <v>3.3378493847643605E-3</v>
      </c>
      <c r="J172" s="4">
        <f t="shared" si="23"/>
        <v>1.3394541940868813E-5</v>
      </c>
    </row>
    <row r="173" spans="1:10">
      <c r="A173" s="66">
        <v>7.95</v>
      </c>
      <c r="B173" s="4">
        <f t="shared" si="18"/>
        <v>0.98455257189941081</v>
      </c>
      <c r="C173" s="4">
        <f t="shared" si="24"/>
        <v>2.5005489815157675E-3</v>
      </c>
      <c r="D173" s="66">
        <f t="shared" si="25"/>
        <v>4</v>
      </c>
      <c r="E173" s="4">
        <f t="shared" si="19"/>
        <v>9.8476877236472055E-3</v>
      </c>
      <c r="G173" s="4">
        <f t="shared" si="20"/>
        <v>0.67849253285020472</v>
      </c>
      <c r="H173" s="4">
        <f t="shared" si="21"/>
        <v>2.6720462729288581</v>
      </c>
      <c r="I173" s="66">
        <f t="shared" si="22"/>
        <v>6.6815825863352591E-3</v>
      </c>
      <c r="J173" s="4">
        <f t="shared" si="23"/>
        <v>2.672046272928858E-5</v>
      </c>
    </row>
    <row r="174" spans="1:10">
      <c r="A174" s="66">
        <v>8</v>
      </c>
      <c r="B174" s="4">
        <f t="shared" ref="B174:B205" si="26">((B$8^A174)*B$9^((B$5^30)*((B$5^A174)-1)))*EXP(-0.00001*A174)</f>
        <v>0.98442877883033575</v>
      </c>
      <c r="C174" s="4">
        <f t="shared" si="24"/>
        <v>2.5091877149256703E-3</v>
      </c>
      <c r="D174" s="66">
        <f t="shared" si="25"/>
        <v>2</v>
      </c>
      <c r="E174" s="4">
        <f t="shared" si="19"/>
        <v>4.9402331961207165E-3</v>
      </c>
      <c r="G174" s="4">
        <f t="shared" si="20"/>
        <v>0.67683936202868722</v>
      </c>
      <c r="H174" s="4">
        <f t="shared" si="21"/>
        <v>1.3326002932524081</v>
      </c>
      <c r="I174" s="66">
        <f t="shared" si="22"/>
        <v>3.3437442847352884E-3</v>
      </c>
      <c r="J174" s="4">
        <f t="shared" si="23"/>
        <v>1.3326002932524082E-5</v>
      </c>
    </row>
    <row r="175" spans="1:10">
      <c r="A175" s="66">
        <v>8.0500000000000007</v>
      </c>
      <c r="B175" s="4">
        <f t="shared" si="26"/>
        <v>0.9843045752517996</v>
      </c>
      <c r="C175" s="4">
        <f t="shared" si="24"/>
        <v>2.5178637519535424E-3</v>
      </c>
      <c r="D175" s="66">
        <f t="shared" si="25"/>
        <v>4</v>
      </c>
      <c r="E175" s="4">
        <f t="shared" si="19"/>
        <v>9.9133792436341354E-3</v>
      </c>
      <c r="G175" s="4">
        <f t="shared" si="20"/>
        <v>0.6751902192157806</v>
      </c>
      <c r="H175" s="4">
        <f t="shared" si="21"/>
        <v>2.6583712877574337</v>
      </c>
      <c r="I175" s="66">
        <f t="shared" si="22"/>
        <v>6.6934167046785011E-3</v>
      </c>
      <c r="J175" s="4">
        <f t="shared" si="23"/>
        <v>2.6583712877574337E-5</v>
      </c>
    </row>
    <row r="176" spans="1:10">
      <c r="A176" s="66">
        <v>8.1</v>
      </c>
      <c r="B176" s="4">
        <f t="shared" si="26"/>
        <v>0.98417995948348191</v>
      </c>
      <c r="C176" s="4">
        <f t="shared" si="24"/>
        <v>2.5265772536831686E-3</v>
      </c>
      <c r="D176" s="66">
        <f t="shared" si="25"/>
        <v>2</v>
      </c>
      <c r="E176" s="4">
        <f t="shared" si="19"/>
        <v>4.9732133983235753E-3</v>
      </c>
      <c r="G176" s="4">
        <f t="shared" si="20"/>
        <v>0.67354509459710177</v>
      </c>
      <c r="H176" s="4">
        <f t="shared" si="21"/>
        <v>1.3257791678217472</v>
      </c>
      <c r="I176" s="66">
        <f t="shared" si="22"/>
        <v>3.3496834888254263E-3</v>
      </c>
      <c r="J176" s="4">
        <f t="shared" si="23"/>
        <v>1.3257791678217472E-5</v>
      </c>
    </row>
    <row r="177" spans="1:10">
      <c r="A177" s="66">
        <v>8.15</v>
      </c>
      <c r="B177" s="4">
        <f t="shared" si="26"/>
        <v>0.98405492983856746</v>
      </c>
      <c r="C177" s="4">
        <f t="shared" si="24"/>
        <v>2.535328381893927E-3</v>
      </c>
      <c r="D177" s="66">
        <f t="shared" si="25"/>
        <v>4</v>
      </c>
      <c r="E177" s="4">
        <f t="shared" si="19"/>
        <v>9.9796095718494276E-3</v>
      </c>
      <c r="G177" s="4">
        <f t="shared" si="20"/>
        <v>0.67190397838217919</v>
      </c>
      <c r="H177" s="4">
        <f t="shared" si="21"/>
        <v>2.6447616892205188</v>
      </c>
      <c r="I177" s="66">
        <f t="shared" si="22"/>
        <v>6.7053393740265062E-3</v>
      </c>
      <c r="J177" s="4">
        <f t="shared" si="23"/>
        <v>2.6447616892205188E-5</v>
      </c>
    </row>
    <row r="178" spans="1:10">
      <c r="A178" s="66">
        <v>8.1999999999999993</v>
      </c>
      <c r="B178" s="4">
        <f t="shared" si="26"/>
        <v>0.98392948462372321</v>
      </c>
      <c r="C178" s="4">
        <f t="shared" si="24"/>
        <v>2.5441172990637909E-3</v>
      </c>
      <c r="D178" s="66">
        <f t="shared" si="25"/>
        <v>2</v>
      </c>
      <c r="E178" s="4">
        <f t="shared" si="19"/>
        <v>5.0064640457802689E-3</v>
      </c>
      <c r="G178" s="4">
        <f t="shared" si="20"/>
        <v>0.6702668608043969</v>
      </c>
      <c r="H178" s="4">
        <f t="shared" si="21"/>
        <v>1.3189906538232621</v>
      </c>
      <c r="I178" s="66">
        <f t="shared" si="22"/>
        <v>3.3556669396952211E-3</v>
      </c>
      <c r="J178" s="4">
        <f t="shared" si="23"/>
        <v>1.3189906538232621E-5</v>
      </c>
    </row>
    <row r="179" spans="1:10">
      <c r="A179" s="66">
        <v>8.25</v>
      </c>
      <c r="B179" s="4">
        <f t="shared" si="26"/>
        <v>0.9838036221390779</v>
      </c>
      <c r="C179" s="4">
        <f t="shared" si="24"/>
        <v>2.5529441683723383E-3</v>
      </c>
      <c r="D179" s="66">
        <f t="shared" si="25"/>
        <v>4</v>
      </c>
      <c r="E179" s="4">
        <f t="shared" si="19"/>
        <v>1.004638287985417E-2</v>
      </c>
      <c r="G179" s="4">
        <f t="shared" si="20"/>
        <v>0.66863373212093535</v>
      </c>
      <c r="H179" s="4">
        <f t="shared" si="21"/>
        <v>2.6312171501797845</v>
      </c>
      <c r="I179" s="66">
        <f t="shared" si="22"/>
        <v>6.7173504792727642E-3</v>
      </c>
      <c r="J179" s="4">
        <f t="shared" si="23"/>
        <v>2.6312171501797845E-5</v>
      </c>
    </row>
    <row r="180" spans="1:10">
      <c r="A180" s="66">
        <v>8.3000000000000007</v>
      </c>
      <c r="B180" s="4">
        <f t="shared" si="26"/>
        <v>0.98367734067819823</v>
      </c>
      <c r="C180" s="4">
        <f t="shared" si="24"/>
        <v>2.5618091537037892E-3</v>
      </c>
      <c r="D180" s="66">
        <f t="shared" si="25"/>
        <v>2</v>
      </c>
      <c r="E180" s="4">
        <f t="shared" si="19"/>
        <v>5.0399872312808184E-3</v>
      </c>
      <c r="G180" s="4">
        <f t="shared" si="20"/>
        <v>0.66700458261271389</v>
      </c>
      <c r="H180" s="4">
        <f t="shared" si="21"/>
        <v>1.3122345880892921</v>
      </c>
      <c r="I180" s="66">
        <f t="shared" si="22"/>
        <v>3.3616945795738699E-3</v>
      </c>
      <c r="J180" s="4">
        <f t="shared" si="23"/>
        <v>1.3122345880892921E-5</v>
      </c>
    </row>
    <row r="181" spans="1:10">
      <c r="A181" s="66">
        <v>8.35</v>
      </c>
      <c r="B181" s="4">
        <f t="shared" si="26"/>
        <v>0.98355063852806845</v>
      </c>
      <c r="C181" s="4">
        <f t="shared" si="24"/>
        <v>2.5707124196500488E-3</v>
      </c>
      <c r="D181" s="66">
        <f t="shared" si="25"/>
        <v>4</v>
      </c>
      <c r="E181" s="4">
        <f t="shared" si="19"/>
        <v>1.0113703367275366E-2</v>
      </c>
      <c r="G181" s="4">
        <f t="shared" si="20"/>
        <v>0.6653794025843327</v>
      </c>
      <c r="H181" s="4">
        <f t="shared" si="21"/>
        <v>2.6177373451009807</v>
      </c>
      <c r="I181" s="66">
        <f t="shared" si="22"/>
        <v>6.729449904432837E-3</v>
      </c>
      <c r="J181" s="4">
        <f t="shared" si="23"/>
        <v>2.6177373451009805E-5</v>
      </c>
    </row>
    <row r="182" spans="1:10">
      <c r="A182" s="66">
        <v>8.4</v>
      </c>
      <c r="B182" s="4">
        <f t="shared" si="26"/>
        <v>0.98342351396906769</v>
      </c>
      <c r="C182" s="4">
        <f t="shared" si="24"/>
        <v>2.5796541315137498E-3</v>
      </c>
      <c r="D182" s="66">
        <f t="shared" si="25"/>
        <v>2</v>
      </c>
      <c r="E182" s="4">
        <f t="shared" si="19"/>
        <v>5.0737850616761502E-3</v>
      </c>
      <c r="G182" s="4">
        <f t="shared" si="20"/>
        <v>0.66375818236401507</v>
      </c>
      <c r="H182" s="4">
        <f t="shared" si="21"/>
        <v>1.3055108082522819</v>
      </c>
      <c r="I182" s="66">
        <f t="shared" si="22"/>
        <v>3.3677663502438538E-3</v>
      </c>
      <c r="J182" s="4">
        <f t="shared" si="23"/>
        <v>1.305510808252282E-5</v>
      </c>
    </row>
    <row r="183" spans="1:10">
      <c r="A183" s="66">
        <v>8.4499999999999993</v>
      </c>
      <c r="B183" s="4">
        <f t="shared" si="26"/>
        <v>0.98329596527494789</v>
      </c>
      <c r="C183" s="4">
        <f t="shared" si="24"/>
        <v>2.5886344553113431E-3</v>
      </c>
      <c r="D183" s="66">
        <f t="shared" si="25"/>
        <v>4</v>
      </c>
      <c r="E183" s="4">
        <f t="shared" si="19"/>
        <v>1.0181575261917425E-2</v>
      </c>
      <c r="G183" s="4">
        <f t="shared" si="20"/>
        <v>0.66214091230354988</v>
      </c>
      <c r="H183" s="4">
        <f t="shared" si="21"/>
        <v>2.6043219500462147</v>
      </c>
      <c r="I183" s="66">
        <f t="shared" si="22"/>
        <v>6.741637532613259E-3</v>
      </c>
      <c r="J183" s="4">
        <f t="shared" si="23"/>
        <v>2.6043219500462146E-5</v>
      </c>
    </row>
    <row r="184" spans="1:10">
      <c r="A184" s="66">
        <v>8.5</v>
      </c>
      <c r="B184" s="4">
        <f t="shared" si="26"/>
        <v>0.98316799071281158</v>
      </c>
      <c r="C184" s="4">
        <f t="shared" si="24"/>
        <v>2.5976535577761609E-3</v>
      </c>
      <c r="D184" s="66">
        <f t="shared" si="25"/>
        <v>2</v>
      </c>
      <c r="E184" s="4">
        <f t="shared" si="19"/>
        <v>5.107859657933549E-3</v>
      </c>
      <c r="G184" s="4">
        <f t="shared" si="20"/>
        <v>0.66052758277823431</v>
      </c>
      <c r="H184" s="4">
        <f t="shared" si="21"/>
        <v>1.2988191527409338</v>
      </c>
      <c r="I184" s="66">
        <f t="shared" si="22"/>
        <v>3.3738821930253057E-3</v>
      </c>
      <c r="J184" s="4">
        <f t="shared" si="23"/>
        <v>1.2988191527409338E-5</v>
      </c>
    </row>
    <row r="185" spans="1:10">
      <c r="A185" s="66">
        <v>8.5500000000000007</v>
      </c>
      <c r="B185" s="4">
        <f t="shared" si="26"/>
        <v>0.98303958854309026</v>
      </c>
      <c r="C185" s="4">
        <f t="shared" si="24"/>
        <v>2.6067116063615233E-3</v>
      </c>
      <c r="D185" s="66">
        <f t="shared" si="25"/>
        <v>4</v>
      </c>
      <c r="E185" s="4">
        <f t="shared" si="19"/>
        <v>1.0250002819872518E-2</v>
      </c>
      <c r="G185" s="4">
        <f t="shared" si="20"/>
        <v>0.65891818418681636</v>
      </c>
      <c r="H185" s="4">
        <f t="shared" si="21"/>
        <v>2.5909706426662726</v>
      </c>
      <c r="I185" s="66">
        <f t="shared" si="22"/>
        <v>6.7539132459801471E-3</v>
      </c>
      <c r="J185" s="4">
        <f t="shared" si="23"/>
        <v>2.5909706426662727E-5</v>
      </c>
    </row>
    <row r="186" spans="1:10">
      <c r="A186" s="66">
        <v>8.6</v>
      </c>
      <c r="B186" s="4">
        <f t="shared" si="26"/>
        <v>0.98291075701952102</v>
      </c>
      <c r="C186" s="4">
        <f t="shared" si="24"/>
        <v>2.6158087692438456E-3</v>
      </c>
      <c r="D186" s="66">
        <f t="shared" si="25"/>
        <v>2</v>
      </c>
      <c r="E186" s="4">
        <f t="shared" si="19"/>
        <v>5.1422131551915398E-3</v>
      </c>
      <c r="G186" s="4">
        <f t="shared" si="20"/>
        <v>0.65731270695143829</v>
      </c>
      <c r="H186" s="4">
        <f t="shared" si="21"/>
        <v>1.2921594607763776</v>
      </c>
      <c r="I186" s="66">
        <f t="shared" si="22"/>
        <v>3.3800420487602473E-3</v>
      </c>
      <c r="J186" s="4">
        <f t="shared" si="23"/>
        <v>1.2921594607763775E-5</v>
      </c>
    </row>
    <row r="187" spans="1:10">
      <c r="A187" s="66">
        <v>8.65</v>
      </c>
      <c r="B187" s="4">
        <f t="shared" si="26"/>
        <v>0.98278149438912576</v>
      </c>
      <c r="C187" s="4">
        <f t="shared" si="24"/>
        <v>2.6249452153257547E-3</v>
      </c>
      <c r="D187" s="66">
        <f t="shared" si="25"/>
        <v>4</v>
      </c>
      <c r="E187" s="4">
        <f t="shared" si="19"/>
        <v>1.0318990325629723E-2</v>
      </c>
      <c r="G187" s="4">
        <f t="shared" si="20"/>
        <v>0.65571114151757826</v>
      </c>
      <c r="H187" s="4">
        <f t="shared" si="21"/>
        <v>2.5776831021929802</v>
      </c>
      <c r="I187" s="66">
        <f t="shared" si="22"/>
        <v>6.7662769257275119E-3</v>
      </c>
      <c r="J187" s="4">
        <f t="shared" si="23"/>
        <v>2.5776831021929803E-5</v>
      </c>
    </row>
    <row r="188" spans="1:10">
      <c r="A188" s="66">
        <v>8.6999999999999993</v>
      </c>
      <c r="B188" s="4">
        <f t="shared" si="26"/>
        <v>0.98265179889218857</v>
      </c>
      <c r="C188" s="4">
        <f t="shared" si="24"/>
        <v>2.6341211142392349E-3</v>
      </c>
      <c r="D188" s="66">
        <f t="shared" si="25"/>
        <v>2</v>
      </c>
      <c r="E188" s="4">
        <f t="shared" si="19"/>
        <v>5.1768477028141611E-3</v>
      </c>
      <c r="G188" s="4">
        <f t="shared" si="20"/>
        <v>0.65411347835399525</v>
      </c>
      <c r="H188" s="4">
        <f t="shared" si="21"/>
        <v>1.2855315723683602</v>
      </c>
      <c r="I188" s="66">
        <f t="shared" si="22"/>
        <v>3.3862458577966609E-3</v>
      </c>
      <c r="J188" s="4">
        <f t="shared" si="23"/>
        <v>1.2855315723683603E-5</v>
      </c>
    </row>
    <row r="189" spans="1:10">
      <c r="A189" s="66">
        <v>8.75</v>
      </c>
      <c r="B189" s="4">
        <f t="shared" si="26"/>
        <v>0.98252166876223168</v>
      </c>
      <c r="C189" s="4">
        <f t="shared" si="24"/>
        <v>2.6433366363487684E-3</v>
      </c>
      <c r="D189" s="66">
        <f t="shared" si="25"/>
        <v>4</v>
      </c>
      <c r="E189" s="4">
        <f t="shared" si="19"/>
        <v>1.0388542092182946E-2</v>
      </c>
      <c r="G189" s="4">
        <f t="shared" si="20"/>
        <v>0.65251970795267089</v>
      </c>
      <c r="H189" s="4">
        <f t="shared" si="21"/>
        <v>2.5644590094316091</v>
      </c>
      <c r="I189" s="66">
        <f t="shared" si="22"/>
        <v>6.7787284520452445E-3</v>
      </c>
      <c r="J189" s="4">
        <f t="shared" si="23"/>
        <v>2.564459009431609E-5</v>
      </c>
    </row>
    <row r="190" spans="1:10">
      <c r="A190" s="66">
        <v>8.8000000000000007</v>
      </c>
      <c r="B190" s="4">
        <f t="shared" si="26"/>
        <v>0.98239110222599568</v>
      </c>
      <c r="C190" s="4">
        <f t="shared" si="24"/>
        <v>2.6525919527545026E-3</v>
      </c>
      <c r="D190" s="66">
        <f t="shared" si="25"/>
        <v>2</v>
      </c>
      <c r="E190" s="4">
        <f t="shared" si="19"/>
        <v>5.2117654644446045E-3</v>
      </c>
      <c r="G190" s="4">
        <f t="shared" si="20"/>
        <v>0.65092982082875339</v>
      </c>
      <c r="H190" s="4">
        <f t="shared" si="21"/>
        <v>1.278935328311458</v>
      </c>
      <c r="I190" s="66">
        <f t="shared" si="22"/>
        <v>3.3924935599724112E-3</v>
      </c>
      <c r="J190" s="4">
        <f t="shared" si="23"/>
        <v>1.2789353283114579E-5</v>
      </c>
    </row>
    <row r="191" spans="1:10">
      <c r="A191" s="66">
        <v>8.85</v>
      </c>
      <c r="B191" s="4">
        <f t="shared" si="26"/>
        <v>0.98226009750341592</v>
      </c>
      <c r="C191" s="4">
        <f t="shared" si="24"/>
        <v>2.6618872352954311E-3</v>
      </c>
      <c r="D191" s="66">
        <f t="shared" si="25"/>
        <v>4</v>
      </c>
      <c r="E191" s="4">
        <f t="shared" si="19"/>
        <v>1.0458662461137554E-2</v>
      </c>
      <c r="G191" s="4">
        <f t="shared" si="20"/>
        <v>0.64934380752050169</v>
      </c>
      <c r="H191" s="4">
        <f t="shared" si="21"/>
        <v>2.5512980467533093</v>
      </c>
      <c r="I191" s="66">
        <f t="shared" si="22"/>
        <v>6.7912677040868003E-3</v>
      </c>
      <c r="J191" s="4">
        <f t="shared" si="23"/>
        <v>2.5512980467533093E-5</v>
      </c>
    </row>
    <row r="192" spans="1:10">
      <c r="A192" s="66">
        <v>8.9</v>
      </c>
      <c r="B192" s="4">
        <f t="shared" si="26"/>
        <v>0.98212865280759865</v>
      </c>
      <c r="C192" s="4">
        <f t="shared" si="24"/>
        <v>2.6712226565525723E-3</v>
      </c>
      <c r="D192" s="66">
        <f t="shared" si="25"/>
        <v>2</v>
      </c>
      <c r="E192" s="4">
        <f t="shared" si="19"/>
        <v>5.2469686180582256E-3</v>
      </c>
      <c r="G192" s="4">
        <f t="shared" si="20"/>
        <v>0.64776165858922807</v>
      </c>
      <c r="H192" s="4">
        <f t="shared" si="21"/>
        <v>1.2723705701813084</v>
      </c>
      <c r="I192" s="66">
        <f t="shared" si="22"/>
        <v>3.3987850945990262E-3</v>
      </c>
      <c r="J192" s="4">
        <f t="shared" si="23"/>
        <v>1.2723705701813084E-5</v>
      </c>
    </row>
    <row r="193" spans="1:10">
      <c r="A193" s="66">
        <v>8.9499999999999993</v>
      </c>
      <c r="B193" s="4">
        <f t="shared" si="26"/>
        <v>0.98199676634480182</v>
      </c>
      <c r="C193" s="4">
        <f t="shared" si="24"/>
        <v>2.6805983898521859E-3</v>
      </c>
      <c r="D193" s="66">
        <f t="shared" si="25"/>
        <v>4</v>
      </c>
      <c r="E193" s="4">
        <f t="shared" si="19"/>
        <v>1.0529355802815716E-2</v>
      </c>
      <c r="G193" s="4">
        <f t="shared" si="20"/>
        <v>0.64618336461924253</v>
      </c>
      <c r="H193" s="4">
        <f t="shared" si="21"/>
        <v>2.5381998980876008</v>
      </c>
      <c r="I193" s="66">
        <f t="shared" si="22"/>
        <v>6.8038945599366045E-3</v>
      </c>
      <c r="J193" s="4">
        <f t="shared" si="23"/>
        <v>2.5381998980876008E-5</v>
      </c>
    </row>
    <row r="194" spans="1:10">
      <c r="A194" s="66">
        <v>9</v>
      </c>
      <c r="B194" s="4">
        <f t="shared" si="26"/>
        <v>0.98186443631440889</v>
      </c>
      <c r="C194" s="4">
        <f t="shared" si="24"/>
        <v>2.6900146092689804E-3</v>
      </c>
      <c r="D194" s="66">
        <f t="shared" si="25"/>
        <v>2</v>
      </c>
      <c r="E194" s="4">
        <f t="shared" si="19"/>
        <v>5.282459356014825E-3</v>
      </c>
      <c r="G194" s="4">
        <f t="shared" si="20"/>
        <v>0.64460891621779726</v>
      </c>
      <c r="H194" s="4">
        <f t="shared" si="21"/>
        <v>1.265837140330859</v>
      </c>
      <c r="I194" s="66">
        <f t="shared" si="22"/>
        <v>3.4051204004452796E-3</v>
      </c>
      <c r="J194" s="4">
        <f t="shared" si="23"/>
        <v>1.265837140330859E-5</v>
      </c>
    </row>
    <row r="195" spans="1:10">
      <c r="A195" s="66">
        <v>9.0500000000000007</v>
      </c>
      <c r="B195" s="4">
        <f t="shared" si="26"/>
        <v>0.98173166090890962</v>
      </c>
      <c r="C195" s="4">
        <f t="shared" si="24"/>
        <v>2.6994714896293615E-3</v>
      </c>
      <c r="D195" s="66">
        <f t="shared" si="25"/>
        <v>4</v>
      </c>
      <c r="E195" s="4">
        <f t="shared" si="19"/>
        <v>1.0600626516360326E-2</v>
      </c>
      <c r="G195" s="4">
        <f t="shared" si="20"/>
        <v>0.64303830401502915</v>
      </c>
      <c r="H195" s="4">
        <f t="shared" si="21"/>
        <v>2.5251642489148916</v>
      </c>
      <c r="I195" s="66">
        <f t="shared" si="22"/>
        <v>6.8166088965770904E-3</v>
      </c>
      <c r="J195" s="4">
        <f t="shared" si="23"/>
        <v>2.5251642489148915E-5</v>
      </c>
    </row>
    <row r="196" spans="1:10">
      <c r="A196" s="66">
        <v>9.1</v>
      </c>
      <c r="B196" s="4">
        <f t="shared" si="26"/>
        <v>0.98159843831387417</v>
      </c>
      <c r="C196" s="4">
        <f t="shared" si="24"/>
        <v>2.7089692065146542E-3</v>
      </c>
      <c r="D196" s="66">
        <f t="shared" si="25"/>
        <v>2</v>
      </c>
      <c r="E196" s="4">
        <f t="shared" si="19"/>
        <v>5.318239885110319E-3</v>
      </c>
      <c r="G196" s="4">
        <f t="shared" si="20"/>
        <v>0.64147151866390639</v>
      </c>
      <c r="H196" s="4">
        <f t="shared" si="21"/>
        <v>1.2593348818866394</v>
      </c>
      <c r="I196" s="66">
        <f t="shared" si="22"/>
        <v>3.4114994157206755E-3</v>
      </c>
      <c r="J196" s="4">
        <f t="shared" si="23"/>
        <v>1.2593348818866394E-5</v>
      </c>
    </row>
    <row r="197" spans="1:10">
      <c r="A197" s="66">
        <v>9.15</v>
      </c>
      <c r="B197" s="4">
        <f t="shared" si="26"/>
        <v>0.98146476670793337</v>
      </c>
      <c r="C197" s="4">
        <f t="shared" si="24"/>
        <v>2.7185079362643809E-3</v>
      </c>
      <c r="D197" s="66">
        <f t="shared" si="25"/>
        <v>4</v>
      </c>
      <c r="E197" s="4">
        <f t="shared" si="19"/>
        <v>1.0672479029837544E-2</v>
      </c>
      <c r="G197" s="4">
        <f t="shared" si="20"/>
        <v>0.63990855084017062</v>
      </c>
      <c r="H197" s="4">
        <f t="shared" si="21"/>
        <v>2.5121907862590391</v>
      </c>
      <c r="I197" s="66">
        <f t="shared" si="22"/>
        <v>6.8294105898554528E-3</v>
      </c>
      <c r="J197" s="4">
        <f t="shared" si="23"/>
        <v>2.5121907862590391E-5</v>
      </c>
    </row>
    <row r="198" spans="1:10">
      <c r="A198" s="66">
        <v>9.1999999999999993</v>
      </c>
      <c r="B198" s="4">
        <f t="shared" si="26"/>
        <v>0.98133064426275451</v>
      </c>
      <c r="C198" s="4">
        <f t="shared" si="24"/>
        <v>2.7280878559795326E-3</v>
      </c>
      <c r="D198" s="66">
        <f t="shared" si="25"/>
        <v>2</v>
      </c>
      <c r="E198" s="4">
        <f t="shared" si="19"/>
        <v>5.354312426627583E-3</v>
      </c>
      <c r="G198" s="4">
        <f t="shared" si="20"/>
        <v>0.63834939124228274</v>
      </c>
      <c r="H198" s="4">
        <f t="shared" si="21"/>
        <v>1.2528636387450529</v>
      </c>
      <c r="I198" s="66">
        <f t="shared" si="22"/>
        <v>3.4179220780587074E-3</v>
      </c>
      <c r="J198" s="4">
        <f t="shared" si="23"/>
        <v>1.252863638745053E-5</v>
      </c>
    </row>
    <row r="199" spans="1:10">
      <c r="A199" s="66">
        <v>9.25</v>
      </c>
      <c r="B199" s="4">
        <f t="shared" si="26"/>
        <v>0.98119606914301827</v>
      </c>
      <c r="C199" s="4">
        <f t="shared" si="24"/>
        <v>2.7377091435258484E-3</v>
      </c>
      <c r="D199" s="66">
        <f t="shared" si="25"/>
        <v>4</v>
      </c>
      <c r="E199" s="4">
        <f t="shared" si="19"/>
        <v>1.0744917800337846E-2</v>
      </c>
      <c r="G199" s="4">
        <f t="shared" si="20"/>
        <v>0.63679403059136708</v>
      </c>
      <c r="H199" s="4">
        <f t="shared" si="21"/>
        <v>2.4992791986799534</v>
      </c>
      <c r="I199" s="66">
        <f t="shared" si="22"/>
        <v>6.8422995144500629E-3</v>
      </c>
      <c r="J199" s="4">
        <f t="shared" si="23"/>
        <v>2.4992791986799534E-5</v>
      </c>
    </row>
    <row r="200" spans="1:10">
      <c r="A200" s="66">
        <v>9.3000000000000007</v>
      </c>
      <c r="B200" s="4">
        <f t="shared" si="26"/>
        <v>0.98106103950639723</v>
      </c>
      <c r="C200" s="4">
        <f t="shared" si="24"/>
        <v>2.7473719775371309E-3</v>
      </c>
      <c r="D200" s="66">
        <f t="shared" si="25"/>
        <v>2</v>
      </c>
      <c r="E200" s="4">
        <f t="shared" si="19"/>
        <v>5.390679216386648E-3</v>
      </c>
      <c r="G200" s="4">
        <f t="shared" si="20"/>
        <v>0.63524245963115611</v>
      </c>
      <c r="H200" s="4">
        <f t="shared" si="21"/>
        <v>1.2464232555686852</v>
      </c>
      <c r="I200" s="66">
        <f t="shared" si="22"/>
        <v>3.4243883245000076E-3</v>
      </c>
      <c r="J200" s="4">
        <f t="shared" si="23"/>
        <v>1.2464232555686852E-5</v>
      </c>
    </row>
    <row r="201" spans="1:10">
      <c r="A201" s="66">
        <v>9.35</v>
      </c>
      <c r="B201" s="4">
        <f t="shared" si="26"/>
        <v>0.98092555350353217</v>
      </c>
      <c r="C201" s="4">
        <f t="shared" si="24"/>
        <v>2.7570765374185526E-3</v>
      </c>
      <c r="D201" s="66">
        <f t="shared" si="25"/>
        <v>4</v>
      </c>
      <c r="E201" s="4">
        <f t="shared" si="19"/>
        <v>1.0817947314075583E-2</v>
      </c>
      <c r="G201" s="4">
        <f t="shared" si="20"/>
        <v>0.63369466912793582</v>
      </c>
      <c r="H201" s="4">
        <f t="shared" si="21"/>
        <v>2.4864291762662325</v>
      </c>
      <c r="I201" s="66">
        <f t="shared" si="22"/>
        <v>6.8552755438365687E-3</v>
      </c>
      <c r="J201" s="4">
        <f t="shared" si="23"/>
        <v>2.4864291762662324E-5</v>
      </c>
    </row>
    <row r="202" spans="1:10">
      <c r="A202" s="66">
        <v>9.4</v>
      </c>
      <c r="B202" s="4">
        <f t="shared" si="26"/>
        <v>0.98078960927800929</v>
      </c>
      <c r="C202" s="4">
        <f t="shared" si="24"/>
        <v>2.7668230033499877E-3</v>
      </c>
      <c r="D202" s="66">
        <f t="shared" si="25"/>
        <v>2</v>
      </c>
      <c r="E202" s="4">
        <f t="shared" si="19"/>
        <v>5.4273425047940849E-3</v>
      </c>
      <c r="G202" s="4">
        <f t="shared" si="20"/>
        <v>0.63215064987049041</v>
      </c>
      <c r="H202" s="4">
        <f t="shared" si="21"/>
        <v>1.240013577782636</v>
      </c>
      <c r="I202" s="66">
        <f t="shared" si="22"/>
        <v>3.430898091475316E-3</v>
      </c>
      <c r="J202" s="4">
        <f t="shared" si="23"/>
        <v>1.240013577782636E-5</v>
      </c>
    </row>
    <row r="203" spans="1:10">
      <c r="A203" s="66">
        <v>9.4499999999999993</v>
      </c>
      <c r="B203" s="4">
        <f t="shared" si="26"/>
        <v>0.98065320496633779</v>
      </c>
      <c r="C203" s="4">
        <f t="shared" si="24"/>
        <v>2.7766115562893644E-3</v>
      </c>
      <c r="D203" s="66">
        <f t="shared" si="25"/>
        <v>4</v>
      </c>
      <c r="E203" s="4">
        <f t="shared" si="19"/>
        <v>1.0891572086486945E-2</v>
      </c>
      <c r="G203" s="4">
        <f t="shared" si="20"/>
        <v>0.63061039267004748</v>
      </c>
      <c r="H203" s="4">
        <f t="shared" si="21"/>
        <v>2.4736404106278513</v>
      </c>
      <c r="I203" s="66">
        <f t="shared" si="22"/>
        <v>6.8683385502536602E-3</v>
      </c>
      <c r="J203" s="4">
        <f t="shared" si="23"/>
        <v>2.4736404106278515E-5</v>
      </c>
    </row>
    <row r="204" spans="1:10">
      <c r="A204" s="66">
        <v>9.5</v>
      </c>
      <c r="B204" s="4">
        <f t="shared" si="26"/>
        <v>0.98051633869792598</v>
      </c>
      <c r="C204" s="4">
        <f t="shared" si="24"/>
        <v>2.786442377976016E-3</v>
      </c>
      <c r="D204" s="66">
        <f t="shared" si="25"/>
        <v>2</v>
      </c>
      <c r="E204" s="4">
        <f t="shared" si="19"/>
        <v>5.4643045568915716E-3</v>
      </c>
      <c r="G204" s="4">
        <f t="shared" si="20"/>
        <v>0.62907388836022304</v>
      </c>
      <c r="H204" s="4">
        <f t="shared" si="21"/>
        <v>1.2336344515708675</v>
      </c>
      <c r="I204" s="66">
        <f t="shared" si="22"/>
        <v>3.4374513147882664E-3</v>
      </c>
      <c r="J204" s="4">
        <f t="shared" si="23"/>
        <v>1.2336344515708674E-5</v>
      </c>
    </row>
    <row r="205" spans="1:10">
      <c r="A205" s="66">
        <v>9.5500000000000007</v>
      </c>
      <c r="B205" s="4">
        <f t="shared" si="26"/>
        <v>0.98037900859506011</v>
      </c>
      <c r="C205" s="4">
        <f t="shared" si="24"/>
        <v>2.7963156509340612E-3</v>
      </c>
      <c r="D205" s="66">
        <f t="shared" si="25"/>
        <v>4</v>
      </c>
      <c r="E205" s="4">
        <f t="shared" si="19"/>
        <v>1.0965796662326339E-2</v>
      </c>
      <c r="G205" s="4">
        <f t="shared" si="20"/>
        <v>0.62754112779696791</v>
      </c>
      <c r="H205" s="4">
        <f t="shared" si="21"/>
        <v>2.4609125948888693</v>
      </c>
      <c r="I205" s="66">
        <f t="shared" si="22"/>
        <v>6.8814884046684973E-3</v>
      </c>
      <c r="J205" s="4">
        <f t="shared" si="23"/>
        <v>2.4609125948888693E-5</v>
      </c>
    </row>
    <row r="206" spans="1:10">
      <c r="A206" s="66">
        <v>9.6</v>
      </c>
      <c r="B206" s="4">
        <f t="shared" ref="B206" si="27">((B$8^A206)*B$9^((B$5^30)*((B$5^A206)-1)))*EXP(-0.00001*A206)</f>
        <v>0.98024121277287923</v>
      </c>
      <c r="C206" s="4">
        <f t="shared" si="24"/>
        <v>2.8062315584757918E-3</v>
      </c>
      <c r="D206" s="66">
        <f t="shared" si="25"/>
        <v>2</v>
      </c>
      <c r="E206" s="4">
        <f t="shared" si="19"/>
        <v>5.5015676524036742E-3</v>
      </c>
      <c r="G206" s="4">
        <f t="shared" si="20"/>
        <v>0.62601210185851264</v>
      </c>
      <c r="H206" s="4">
        <f t="shared" si="21"/>
        <v>1.2272857238725752</v>
      </c>
      <c r="I206" s="66">
        <f t="shared" si="22"/>
        <v>3.444047929598027E-3</v>
      </c>
      <c r="J206" s="4">
        <f t="shared" si="23"/>
        <v>1.2272857238725751E-5</v>
      </c>
    </row>
    <row r="207" spans="1:10">
      <c r="A207" s="66">
        <v>9.65</v>
      </c>
      <c r="B207" s="4">
        <f t="shared" ref="B207:B214" si="28">((B$8^A207)*B$9^((B$5^30)*((B$5^A207)-1)))*EXP(-0.00001*A207)</f>
        <v>0.98010294933935338</v>
      </c>
      <c r="C207" s="4">
        <f t="shared" si="24"/>
        <v>2.8161902847050721E-3</v>
      </c>
      <c r="D207" s="66">
        <f t="shared" si="25"/>
        <v>4</v>
      </c>
      <c r="E207" s="4">
        <f t="shared" ref="E207:E214" si="29">B207*C207*D207</f>
        <v>1.1040625615761098E-2</v>
      </c>
      <c r="G207" s="4">
        <f t="shared" ref="G207:G214" si="30">(1+B$6)^-A207</f>
        <v>0.62448680144531266</v>
      </c>
      <c r="H207" s="4">
        <f t="shared" ref="H207:H214" si="31">B207*D207*G207</f>
        <v>2.4482454236802003</v>
      </c>
      <c r="I207" s="66">
        <f t="shared" ref="I207:I214" si="32">B207*C207*D207*G207</f>
        <v>6.8947249767418338E-3</v>
      </c>
      <c r="J207" s="4">
        <f t="shared" ref="J207:J214" si="33">B207*D207*G207/(10^5)</f>
        <v>2.4482454236802002E-5</v>
      </c>
    </row>
    <row r="208" spans="1:10">
      <c r="A208" s="66">
        <v>9.6999999999999993</v>
      </c>
      <c r="B208" s="4">
        <f t="shared" si="28"/>
        <v>0.97996421639526077</v>
      </c>
      <c r="C208" s="4">
        <f t="shared" si="24"/>
        <v>2.8261920145207669E-3</v>
      </c>
      <c r="D208" s="66">
        <f t="shared" si="25"/>
        <v>2</v>
      </c>
      <c r="E208" s="4">
        <f t="shared" si="29"/>
        <v>5.5391340857847736E-3</v>
      </c>
      <c r="G208" s="4">
        <f t="shared" si="30"/>
        <v>0.62296521747999545</v>
      </c>
      <c r="H208" s="4">
        <f t="shared" si="31"/>
        <v>1.2209672423785738</v>
      </c>
      <c r="I208" s="66">
        <f t="shared" si="32"/>
        <v>3.4506878704017672E-3</v>
      </c>
      <c r="J208" s="4">
        <f t="shared" si="33"/>
        <v>1.2209672423785738E-5</v>
      </c>
    </row>
    <row r="209" spans="1:10">
      <c r="A209" s="66">
        <v>9.75</v>
      </c>
      <c r="B209" s="4">
        <f t="shared" si="28"/>
        <v>0.97982501203416361</v>
      </c>
      <c r="C209" s="4">
        <f t="shared" ref="C209:C214" si="34">B$3+B$4*(B$5^(30+A209))</f>
        <v>2.8362369336201567E-3</v>
      </c>
      <c r="D209" s="66">
        <f>IF(D208=4,2,4)</f>
        <v>4</v>
      </c>
      <c r="E209" s="4">
        <f t="shared" si="29"/>
        <v>1.1116063550464437E-2</v>
      </c>
      <c r="G209" s="4">
        <f t="shared" si="30"/>
        <v>0.62144734090730558</v>
      </c>
      <c r="H209" s="4">
        <f t="shared" si="31"/>
        <v>2.4356385931323987</v>
      </c>
      <c r="I209" s="66">
        <f t="shared" si="32"/>
        <v>6.9080481347927464E-3</v>
      </c>
      <c r="J209" s="4">
        <f t="shared" si="33"/>
        <v>2.4356385931323986E-5</v>
      </c>
    </row>
    <row r="210" spans="1:10">
      <c r="A210" s="66">
        <v>9.8000000000000007</v>
      </c>
      <c r="B210" s="4">
        <f t="shared" si="28"/>
        <v>0.97968533434238636</v>
      </c>
      <c r="C210" s="4">
        <f t="shared" si="34"/>
        <v>2.8463252285024086E-3</v>
      </c>
      <c r="D210" s="66">
        <f>IF(D209=4,2,4)</f>
        <v>2</v>
      </c>
      <c r="E210" s="4">
        <f t="shared" si="29"/>
        <v>5.5770061662651031E-3</v>
      </c>
      <c r="G210" s="4">
        <f t="shared" si="30"/>
        <v>0.61993316269405085</v>
      </c>
      <c r="H210" s="4">
        <f t="shared" si="31"/>
        <v>1.2146788555277084</v>
      </c>
      <c r="I210" s="66">
        <f t="shared" si="32"/>
        <v>3.4573710710169491E-3</v>
      </c>
      <c r="J210" s="4">
        <f t="shared" si="33"/>
        <v>1.2146788555277084E-5</v>
      </c>
    </row>
    <row r="211" spans="1:10">
      <c r="A211" s="66">
        <v>9.85</v>
      </c>
      <c r="B211" s="4">
        <f t="shared" si="28"/>
        <v>0.97954518139899094</v>
      </c>
      <c r="C211" s="4">
        <f t="shared" si="34"/>
        <v>2.8564570864720203E-3</v>
      </c>
      <c r="D211" s="66">
        <f>IF(D210=4,2,4)</f>
        <v>4</v>
      </c>
      <c r="E211" s="4">
        <f t="shared" si="29"/>
        <v>1.1192115099706672E-2</v>
      </c>
      <c r="G211" s="4">
        <f t="shared" si="30"/>
        <v>0.61842267382904925</v>
      </c>
      <c r="H211" s="4">
        <f t="shared" si="31"/>
        <v>2.4230918008685003</v>
      </c>
      <c r="I211" s="66">
        <f t="shared" si="32"/>
        <v>6.9214577457630769E-3</v>
      </c>
      <c r="J211" s="4">
        <f t="shared" si="33"/>
        <v>2.4230918008685003E-5</v>
      </c>
    </row>
    <row r="212" spans="1:10">
      <c r="A212" s="66">
        <v>9.9</v>
      </c>
      <c r="B212" s="4">
        <f t="shared" si="28"/>
        <v>0.97940455127575499</v>
      </c>
      <c r="C212" s="4">
        <f t="shared" si="34"/>
        <v>2.8666326956423042E-3</v>
      </c>
      <c r="D212" s="66">
        <f>IF(D211=4,2,4)</f>
        <v>2</v>
      </c>
      <c r="E212" s="4">
        <f t="shared" si="29"/>
        <v>5.6151862178959178E-3</v>
      </c>
      <c r="G212" s="4">
        <f t="shared" si="30"/>
        <v>0.61691586532307419</v>
      </c>
      <c r="H212" s="4">
        <f t="shared" si="31"/>
        <v>1.2084204125032791</v>
      </c>
      <c r="I212" s="66">
        <f t="shared" si="32"/>
        <v>3.4640974645634604E-3</v>
      </c>
      <c r="J212" s="4">
        <f t="shared" si="33"/>
        <v>1.2084204125032791E-5</v>
      </c>
    </row>
    <row r="213" spans="1:10">
      <c r="A213" s="66">
        <v>9.9499999999999993</v>
      </c>
      <c r="B213" s="4">
        <f t="shared" si="28"/>
        <v>0.97926344203714777</v>
      </c>
      <c r="C213" s="4">
        <f t="shared" si="34"/>
        <v>2.8768522449388835E-3</v>
      </c>
      <c r="D213" s="66">
        <f>IF(D212=4,2,4)</f>
        <v>4</v>
      </c>
      <c r="E213" s="4">
        <f t="shared" si="29"/>
        <v>1.1268784926444586E-2</v>
      </c>
      <c r="G213" s="4">
        <f t="shared" si="30"/>
        <v>0.61541272820880244</v>
      </c>
      <c r="H213" s="4">
        <f t="shared" si="31"/>
        <v>2.4106047459968942</v>
      </c>
      <c r="I213" s="66">
        <f t="shared" si="32"/>
        <v>6.9349536751814921E-3</v>
      </c>
      <c r="J213" s="4">
        <f t="shared" si="33"/>
        <v>2.4106047459968941E-5</v>
      </c>
    </row>
    <row r="214" spans="1:10">
      <c r="A214" s="66">
        <v>10</v>
      </c>
      <c r="B214" s="68">
        <f t="shared" si="28"/>
        <v>0.97912185174030675</v>
      </c>
      <c r="C214" s="4">
        <f t="shared" si="34"/>
        <v>2.8871159241031889E-3</v>
      </c>
      <c r="D214" s="66">
        <v>1</v>
      </c>
      <c r="E214" s="4">
        <f t="shared" si="29"/>
        <v>2.8268382897968414E-3</v>
      </c>
      <c r="G214" s="4">
        <f t="shared" si="30"/>
        <v>0.61391325354075932</v>
      </c>
      <c r="H214" s="4">
        <f t="shared" si="31"/>
        <v>0.6010958816147447</v>
      </c>
      <c r="I214" s="66">
        <f t="shared" si="32"/>
        <v>1.7354334917227747E-3</v>
      </c>
      <c r="J214" s="4">
        <f t="shared" si="33"/>
        <v>6.0109588161474467E-6</v>
      </c>
    </row>
    <row r="215" spans="1:10" ht="14" customHeight="1">
      <c r="B215" s="14"/>
      <c r="C215" s="4"/>
      <c r="D215" s="91" t="s">
        <v>211</v>
      </c>
      <c r="E215" s="68">
        <f>SUM(E14:E214)/60</f>
        <v>2.0779083484923067E-2</v>
      </c>
      <c r="H215" s="4">
        <f>SUM(H14:H214)/60</f>
        <v>7.8458021674344014</v>
      </c>
      <c r="I215" s="66">
        <f>SUM(I14:I214)/60</f>
        <v>1.6027684573651658E-2</v>
      </c>
      <c r="J215" s="4">
        <f>SUM(J14:J214)/60</f>
        <v>7.8458021674344028E-5</v>
      </c>
    </row>
    <row r="216" spans="1:10" ht="14" customHeight="1">
      <c r="B216" s="14"/>
      <c r="C216" s="4"/>
      <c r="D216" s="91" t="s">
        <v>212</v>
      </c>
      <c r="E216" s="68">
        <f>1-B214-E215</f>
        <v>9.906477477018491E-5</v>
      </c>
      <c r="I216" s="48" t="s">
        <v>95</v>
      </c>
      <c r="J216" s="57">
        <f>100000*(I215+2*J215)/H215</f>
        <v>206.28356758952992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2"/>
  <sheetViews>
    <sheetView zoomScale="125" zoomScaleNormal="125" zoomScalePageLayoutView="125" workbookViewId="0"/>
  </sheetViews>
  <sheetFormatPr baseColWidth="10" defaultRowHeight="12" x14ac:dyDescent="0"/>
  <sheetData>
    <row r="1" spans="1:22" ht="15">
      <c r="A1" s="70" t="s">
        <v>741</v>
      </c>
      <c r="O1" s="66"/>
      <c r="P1" s="66"/>
      <c r="Q1" s="66"/>
      <c r="R1" s="66"/>
      <c r="S1" s="66"/>
    </row>
    <row r="2" spans="1:22" ht="12" customHeight="1">
      <c r="A2" s="70"/>
      <c r="O2" s="66"/>
      <c r="P2" s="66"/>
      <c r="Q2" s="66"/>
      <c r="R2" s="66"/>
      <c r="S2" s="66"/>
    </row>
    <row r="3" spans="1:22" ht="12" customHeight="1">
      <c r="A3" s="63" t="s">
        <v>220</v>
      </c>
      <c r="B3" s="51">
        <f>4/(10^4)</f>
        <v>4.0000000000000002E-4</v>
      </c>
      <c r="O3" s="66"/>
      <c r="P3" s="66"/>
      <c r="Q3" s="66"/>
      <c r="R3" s="66"/>
      <c r="S3" s="66"/>
    </row>
    <row r="4" spans="1:22" ht="12" customHeight="1">
      <c r="A4" s="63" t="s">
        <v>221</v>
      </c>
      <c r="B4" s="51">
        <f>3.5/(10^6)</f>
        <v>3.4999999999999999E-6</v>
      </c>
      <c r="O4" s="66"/>
      <c r="P4" s="66"/>
      <c r="Q4" s="66"/>
      <c r="R4" s="66"/>
      <c r="S4" s="66"/>
    </row>
    <row r="5" spans="1:22" ht="12" customHeight="1">
      <c r="A5" s="63" t="s">
        <v>222</v>
      </c>
      <c r="B5" s="51">
        <v>0.14000000000000001</v>
      </c>
      <c r="O5" s="66"/>
      <c r="P5" s="66"/>
      <c r="Q5" s="66"/>
      <c r="R5" s="66"/>
      <c r="S5" s="66"/>
    </row>
    <row r="6" spans="1:22" ht="12" customHeight="1">
      <c r="A6" s="63" t="s">
        <v>223</v>
      </c>
      <c r="B6" s="51">
        <f>5/(10^4)</f>
        <v>5.0000000000000001E-4</v>
      </c>
      <c r="O6" s="66"/>
      <c r="P6" s="66"/>
      <c r="Q6" s="66"/>
      <c r="R6" s="66"/>
      <c r="S6" s="66"/>
    </row>
    <row r="7" spans="1:22" ht="12" customHeight="1">
      <c r="A7" s="63" t="s">
        <v>224</v>
      </c>
      <c r="B7" s="51">
        <f>7.6/(10^5)</f>
        <v>7.5999999999999991E-5</v>
      </c>
      <c r="O7" s="66"/>
      <c r="P7" s="66"/>
      <c r="Q7" s="66"/>
      <c r="R7" s="66"/>
      <c r="S7" s="66"/>
    </row>
    <row r="8" spans="1:22" ht="12" customHeight="1">
      <c r="A8" s="63" t="s">
        <v>225</v>
      </c>
      <c r="B8" s="51">
        <v>0.09</v>
      </c>
      <c r="O8" s="66"/>
      <c r="P8" s="66"/>
      <c r="Q8" s="66"/>
      <c r="R8" s="66"/>
      <c r="S8" s="66"/>
    </row>
    <row r="9" spans="1:22" ht="12" customHeight="1">
      <c r="A9" s="63" t="s">
        <v>74</v>
      </c>
      <c r="B9" s="98">
        <v>0.05</v>
      </c>
      <c r="O9" s="66"/>
      <c r="P9" s="66"/>
      <c r="Q9" s="66"/>
      <c r="R9" s="66"/>
      <c r="S9" s="66"/>
    </row>
    <row r="10" spans="1:22" ht="12" customHeight="1">
      <c r="A10" s="52" t="s">
        <v>226</v>
      </c>
      <c r="B10" s="51">
        <v>75000</v>
      </c>
      <c r="O10" s="66"/>
      <c r="P10" s="66"/>
      <c r="Q10" s="66"/>
      <c r="R10" s="66"/>
      <c r="S10" s="66"/>
      <c r="U10" s="100" t="s">
        <v>95</v>
      </c>
      <c r="V10" s="101">
        <v>2498.068819426036</v>
      </c>
    </row>
    <row r="11" spans="1:22" ht="12" customHeight="1">
      <c r="A11" s="52" t="s">
        <v>227</v>
      </c>
      <c r="B11" s="51">
        <v>100000</v>
      </c>
      <c r="O11" s="66"/>
      <c r="P11" s="66"/>
      <c r="Q11" s="66"/>
      <c r="R11" s="66"/>
      <c r="S11" s="66"/>
    </row>
    <row r="12" spans="1:22" ht="12" customHeight="1">
      <c r="A12" s="63" t="s">
        <v>82</v>
      </c>
      <c r="B12" s="51">
        <v>30</v>
      </c>
      <c r="O12" s="66"/>
      <c r="P12" s="66"/>
      <c r="Q12" s="66"/>
      <c r="R12" s="66"/>
      <c r="S12" s="66"/>
      <c r="T12" t="s">
        <v>219</v>
      </c>
    </row>
    <row r="13" spans="1:22" ht="12" customHeight="1">
      <c r="A13" s="50" t="s">
        <v>215</v>
      </c>
      <c r="B13" s="99">
        <f>1/12</f>
        <v>8.3333333333333329E-2</v>
      </c>
      <c r="P13" s="66"/>
      <c r="Q13" s="66"/>
      <c r="R13" s="66"/>
      <c r="S13" s="66"/>
    </row>
    <row r="14" spans="1:22" ht="12" customHeight="1">
      <c r="A14" s="53" t="s">
        <v>68</v>
      </c>
      <c r="B14" s="20">
        <f>B9/(1+B9)</f>
        <v>4.7619047619047616E-2</v>
      </c>
      <c r="D14" s="9"/>
      <c r="E14" s="20"/>
      <c r="P14" s="66"/>
      <c r="Q14" s="66"/>
      <c r="R14" s="66"/>
      <c r="S14" s="66"/>
    </row>
    <row r="15" spans="1:22" ht="12" customHeight="1">
      <c r="A15" s="97" t="s">
        <v>229</v>
      </c>
      <c r="B15" s="20">
        <f>LN(1+B9)</f>
        <v>4.8790164169432049E-2</v>
      </c>
      <c r="D15" s="9"/>
      <c r="E15" s="20"/>
      <c r="P15" s="66"/>
      <c r="Q15" s="66"/>
      <c r="R15" s="66"/>
      <c r="S15" s="66"/>
    </row>
    <row r="16" spans="1:22" ht="12" customHeight="1">
      <c r="A16" s="95"/>
      <c r="B16" s="20"/>
      <c r="D16" s="9"/>
      <c r="E16" s="20"/>
      <c r="O16" s="66" t="s">
        <v>120</v>
      </c>
      <c r="P16" s="66" t="s">
        <v>91</v>
      </c>
      <c r="Q16" s="66" t="s">
        <v>217</v>
      </c>
      <c r="R16" s="66" t="s">
        <v>218</v>
      </c>
      <c r="S16" s="66"/>
    </row>
    <row r="17" spans="1:22">
      <c r="N17" s="15" t="s">
        <v>75</v>
      </c>
      <c r="O17" s="66" t="s">
        <v>121</v>
      </c>
      <c r="P17" s="66" t="s">
        <v>94</v>
      </c>
      <c r="Q17" s="66" t="s">
        <v>94</v>
      </c>
      <c r="R17" s="66" t="s">
        <v>94</v>
      </c>
      <c r="S17" s="66"/>
    </row>
    <row r="18" spans="1:22" ht="14" customHeight="1">
      <c r="A18" s="66" t="s">
        <v>0</v>
      </c>
      <c r="B18" s="22" t="s">
        <v>234</v>
      </c>
      <c r="C18" s="22" t="s">
        <v>235</v>
      </c>
      <c r="D18" s="22" t="s">
        <v>236</v>
      </c>
      <c r="E18" s="22" t="s">
        <v>237</v>
      </c>
      <c r="F18" s="22" t="s">
        <v>238</v>
      </c>
      <c r="G18" s="22" t="s">
        <v>239</v>
      </c>
      <c r="H18" s="22" t="s">
        <v>240</v>
      </c>
      <c r="I18" s="7" t="s">
        <v>241</v>
      </c>
      <c r="J18" s="7" t="s">
        <v>242</v>
      </c>
      <c r="K18" s="7" t="s">
        <v>243</v>
      </c>
      <c r="L18" s="7" t="s">
        <v>244</v>
      </c>
      <c r="N18" s="96" t="s">
        <v>86</v>
      </c>
      <c r="O18" s="96" t="s">
        <v>22</v>
      </c>
      <c r="P18" s="66" t="s">
        <v>86</v>
      </c>
      <c r="Q18" s="66" t="s">
        <v>86</v>
      </c>
      <c r="R18" s="66" t="s">
        <v>86</v>
      </c>
      <c r="S18" s="66"/>
      <c r="T18" s="66" t="s">
        <v>0</v>
      </c>
      <c r="U18" s="96" t="s">
        <v>232</v>
      </c>
      <c r="V18" s="66" t="s">
        <v>233</v>
      </c>
    </row>
    <row r="19" spans="1:22">
      <c r="A19" s="66">
        <v>0</v>
      </c>
      <c r="B19" s="4">
        <f t="shared" ref="B19:B82" si="0">B$3+B$4*EXP(B$5*(B$12+A19))</f>
        <v>6.3340215864323801E-4</v>
      </c>
      <c r="C19" s="4">
        <f t="shared" ref="C19:C82" si="1">B$6+B$7*EXP(B$8*(B$12+A19))</f>
        <v>1.6308596110903349E-3</v>
      </c>
      <c r="D19" s="4">
        <f>0.05*B19</f>
        <v>3.1670107932161899E-5</v>
      </c>
      <c r="E19" s="4">
        <f>0.1*B19</f>
        <v>6.3340215864323798E-5</v>
      </c>
      <c r="F19" s="4">
        <f>C19</f>
        <v>1.6308596110903349E-3</v>
      </c>
      <c r="G19" s="4">
        <f>D19</f>
        <v>3.1670107932161899E-5</v>
      </c>
      <c r="H19" s="4">
        <f>1.2*C19</f>
        <v>1.9570315333084019E-3</v>
      </c>
      <c r="I19" s="4">
        <v>1</v>
      </c>
      <c r="J19" s="4">
        <v>0</v>
      </c>
      <c r="K19" s="4">
        <v>0</v>
      </c>
      <c r="L19" s="4">
        <v>0</v>
      </c>
      <c r="N19" s="10">
        <f>((1+B$9)^-A19)*I19</f>
        <v>1</v>
      </c>
      <c r="O19" s="66">
        <v>1</v>
      </c>
      <c r="P19" s="10">
        <f>((1+B$9)^-A19)*(I19*C19+J19*F19)*O19</f>
        <v>1.6308596110903349E-3</v>
      </c>
      <c r="Q19" s="10">
        <f>((1+B$9)^-A19)*(I19*D19+J19*G19)*O19</f>
        <v>3.1670107932161899E-5</v>
      </c>
      <c r="R19" s="10">
        <f>((1+B$9)^-A19)*J19*O19</f>
        <v>0</v>
      </c>
      <c r="S19" s="66"/>
      <c r="T19" s="66">
        <v>0</v>
      </c>
      <c r="U19" s="12">
        <f>U20-B$13*(B$15*U20+V$10-B20*(V20-U20)-(C20+D20)*(B$11-U20))</f>
        <v>-7.4464878707658499E-12</v>
      </c>
      <c r="V19" s="12">
        <f t="shared" ref="V19:V82" si="2">V20-B$13*(B$15*V20-B$10-E20*(U20-V20)-(F20+G20)*(B$11-V20))</f>
        <v>1201653.4936550779</v>
      </c>
    </row>
    <row r="20" spans="1:22">
      <c r="A20" s="5">
        <f>A19+1/12</f>
        <v>8.3333333333333329E-2</v>
      </c>
      <c r="B20" s="4">
        <f t="shared" si="0"/>
        <v>6.3614113009390462E-4</v>
      </c>
      <c r="C20" s="4">
        <f t="shared" si="1"/>
        <v>1.6393729432629524E-3</v>
      </c>
      <c r="D20" s="4">
        <f>0.05*B20</f>
        <v>3.1807056504695232E-5</v>
      </c>
      <c r="E20" s="4">
        <f>0.1*B20</f>
        <v>6.3614113009390465E-5</v>
      </c>
      <c r="F20" s="4">
        <f>C20</f>
        <v>1.6393729432629524E-3</v>
      </c>
      <c r="G20" s="4">
        <f>D20</f>
        <v>3.1807056504695232E-5</v>
      </c>
      <c r="H20" s="4">
        <f>1.2*C20</f>
        <v>1.967247531915543E-3</v>
      </c>
      <c r="I20" s="4">
        <f>I19-B$13*(I19*B19-J19*E19)-B$13*I19*(C19+D19)</f>
        <v>0.99980867234352788</v>
      </c>
      <c r="J20" s="4">
        <f>J19-B$13*(J19*E19-I19*B19)-B$13*J19*F19-B$13*J19*G19</f>
        <v>5.278351322026983E-5</v>
      </c>
      <c r="K20" s="4">
        <f>K19+B$13*I19*C19+B$13*J19*F19+B$13*L19*H19</f>
        <v>1.3590496759086123E-4</v>
      </c>
      <c r="L20" s="4">
        <f>L19+B$13*I19*D19+B$13*J19*G19-B$13*L19*H19</f>
        <v>2.6391756610134913E-6</v>
      </c>
      <c r="N20" s="10">
        <f t="shared" ref="N20:N83" si="3">((1+B$9)^-A20)*I20</f>
        <v>0.99575185602428729</v>
      </c>
      <c r="O20" s="66">
        <v>4</v>
      </c>
      <c r="P20" s="10">
        <f t="shared" ref="P20:P83" si="4">((1+B$9)^-A20)*(I20*C20+J20*F20)*O20</f>
        <v>6.5299793268898164E-3</v>
      </c>
      <c r="Q20" s="10">
        <f t="shared" ref="Q20:Q83" si="5">((1+B$9)^-A20)*(I20*D20+J20*G20)*O20</f>
        <v>1.2669443050065122E-4</v>
      </c>
      <c r="R20" s="10">
        <f t="shared" ref="R20:R83" si="6">((1+B$9)^-A20)*J20*O20</f>
        <v>2.1027735690016961E-4</v>
      </c>
      <c r="S20" s="66"/>
      <c r="T20" s="5">
        <f>T19+1/12</f>
        <v>8.3333333333333329E-2</v>
      </c>
      <c r="U20" s="12">
        <f t="shared" ref="U20:U83" si="7">U21-B$13*(B$15*U21+V$10-B21*(V21-U21)-(C21+D21)*(B$11-U21))</f>
        <v>131.16677940684042</v>
      </c>
      <c r="V20" s="12">
        <f t="shared" si="2"/>
        <v>1200443.9314226802</v>
      </c>
    </row>
    <row r="21" spans="1:22">
      <c r="A21" s="5">
        <f t="shared" ref="A21:A84" si="8">A20+1/12</f>
        <v>0.16666666666666666</v>
      </c>
      <c r="B21" s="4">
        <f t="shared" si="0"/>
        <v>6.3891224334073607E-4</v>
      </c>
      <c r="C21" s="4">
        <f t="shared" si="1"/>
        <v>1.6479503654640501E-3</v>
      </c>
      <c r="D21" s="4">
        <f t="shared" ref="D21:D84" si="9">0.05*B21</f>
        <v>3.1945612167036802E-5</v>
      </c>
      <c r="E21" s="4">
        <f t="shared" ref="E21:E84" si="10">0.1*B21</f>
        <v>6.3891224334073604E-5</v>
      </c>
      <c r="F21" s="4">
        <f t="shared" ref="F21:G84" si="11">C21</f>
        <v>1.6479503654640501E-3</v>
      </c>
      <c r="G21" s="4">
        <f t="shared" si="11"/>
        <v>3.1945612167036802E-5</v>
      </c>
      <c r="H21" s="4">
        <f t="shared" ref="H21:H84" si="12">1.2*C21</f>
        <v>1.97754043855686E-3</v>
      </c>
      <c r="I21" s="4">
        <f t="shared" ref="I21:I84" si="13">I20-B$13*(I20*B20-J20*E20)-B$13*I20*(C20+D20)</f>
        <v>0.9996164326503828</v>
      </c>
      <c r="J21" s="4">
        <f t="shared" ref="J21:J84" si="14">J20-B$13*(J20*E20-I20*B20)-B$13*J20*F20-B$13*J20*G20</f>
        <v>1.0577750073479583E-4</v>
      </c>
      <c r="K21" s="4">
        <f t="shared" ref="K21:K84" si="15">K20+B$13*I20*C20+B$13*J20*F20+B$13*L20*H20</f>
        <v>2.7250088506209979E-4</v>
      </c>
      <c r="L21" s="4">
        <f t="shared" ref="L21:L84" si="16">L20+B$13*I20*D20+B$13*J20*G20-B$13*L20*H20</f>
        <v>5.2889638203049083E-6</v>
      </c>
      <c r="N21" s="10">
        <f t="shared" si="3"/>
        <v>0.99152081781566281</v>
      </c>
      <c r="O21" s="66">
        <v>2</v>
      </c>
      <c r="P21" s="10">
        <f t="shared" si="4"/>
        <v>3.2682999968365253E-3</v>
      </c>
      <c r="Q21" s="10">
        <f t="shared" si="5"/>
        <v>6.3356182523778136E-5</v>
      </c>
      <c r="R21" s="10">
        <f t="shared" si="6"/>
        <v>2.0984167648581216E-4</v>
      </c>
      <c r="S21" s="66"/>
      <c r="T21" s="5">
        <f t="shared" ref="T21:T84" si="17">T20+1/12</f>
        <v>0.16666666666666666</v>
      </c>
      <c r="U21" s="12">
        <f t="shared" si="7"/>
        <v>262.60828592218536</v>
      </c>
      <c r="V21" s="12">
        <f t="shared" si="2"/>
        <v>1199230.0837860997</v>
      </c>
    </row>
    <row r="22" spans="1:22">
      <c r="A22" s="5">
        <f t="shared" si="8"/>
        <v>0.25</v>
      </c>
      <c r="B22" s="4">
        <f t="shared" si="0"/>
        <v>6.417158755673137E-4</v>
      </c>
      <c r="C22" s="4">
        <f t="shared" si="1"/>
        <v>1.6565923601758875E-3</v>
      </c>
      <c r="D22" s="4">
        <f t="shared" si="9"/>
        <v>3.2085793778365685E-5</v>
      </c>
      <c r="E22" s="4">
        <f t="shared" si="10"/>
        <v>6.417158755673137E-5</v>
      </c>
      <c r="F22" s="4">
        <f t="shared" si="11"/>
        <v>1.6565923601758875E-3</v>
      </c>
      <c r="G22" s="4">
        <f t="shared" si="11"/>
        <v>3.2085793778365685E-5</v>
      </c>
      <c r="H22" s="4">
        <f t="shared" si="12"/>
        <v>1.9879108322110651E-3</v>
      </c>
      <c r="I22" s="4">
        <f t="shared" si="13"/>
        <v>0.99942327331341663</v>
      </c>
      <c r="J22" s="4">
        <f t="shared" si="14"/>
        <v>1.5898439440253608E-4</v>
      </c>
      <c r="K22" s="4">
        <f t="shared" si="15"/>
        <v>4.0979280512217436E-4</v>
      </c>
      <c r="L22" s="4">
        <f t="shared" si="16"/>
        <v>7.9494870586738877E-6</v>
      </c>
      <c r="N22" s="10">
        <f t="shared" si="3"/>
        <v>0.98730681265512532</v>
      </c>
      <c r="O22" s="66">
        <v>4</v>
      </c>
      <c r="P22" s="10">
        <f t="shared" si="4"/>
        <v>6.5433004093810006E-3</v>
      </c>
      <c r="Q22" s="10">
        <f t="shared" si="5"/>
        <v>1.2673424833554322E-4</v>
      </c>
      <c r="R22" s="10">
        <f t="shared" si="6"/>
        <v>6.2822781854610262E-4</v>
      </c>
      <c r="S22" s="66"/>
      <c r="T22" s="5">
        <f t="shared" si="17"/>
        <v>0.25</v>
      </c>
      <c r="U22" s="12">
        <f t="shared" si="7"/>
        <v>394.32293034923282</v>
      </c>
      <c r="V22" s="12">
        <f t="shared" si="2"/>
        <v>1198011.937193376</v>
      </c>
    </row>
    <row r="23" spans="1:22">
      <c r="A23" s="5">
        <f t="shared" si="8"/>
        <v>0.33333333333333331</v>
      </c>
      <c r="B23" s="4">
        <f t="shared" si="0"/>
        <v>6.4455240838346339E-4</v>
      </c>
      <c r="C23" s="4">
        <f t="shared" si="1"/>
        <v>1.6652994135129466E-3</v>
      </c>
      <c r="D23" s="4">
        <f t="shared" si="9"/>
        <v>3.2227620419173171E-5</v>
      </c>
      <c r="E23" s="4">
        <f t="shared" si="10"/>
        <v>6.4455240838346342E-5</v>
      </c>
      <c r="F23" s="4">
        <f t="shared" si="11"/>
        <v>1.6652994135129466E-3</v>
      </c>
      <c r="G23" s="4">
        <f t="shared" si="11"/>
        <v>3.2227620419173171E-5</v>
      </c>
      <c r="H23" s="4">
        <f t="shared" si="12"/>
        <v>1.9983592962155359E-3</v>
      </c>
      <c r="I23" s="4">
        <f t="shared" si="13"/>
        <v>0.9992291866611821</v>
      </c>
      <c r="J23" s="4">
        <f t="shared" si="14"/>
        <v>2.1240665316437252E-4</v>
      </c>
      <c r="K23" s="4">
        <f t="shared" si="15"/>
        <v>5.4778581631863884E-4</v>
      </c>
      <c r="L23" s="4">
        <f t="shared" si="16"/>
        <v>1.0620869334831538E-5</v>
      </c>
      <c r="N23" s="10">
        <f t="shared" si="3"/>
        <v>0.98310976811500073</v>
      </c>
      <c r="O23" s="66">
        <v>2</v>
      </c>
      <c r="P23" s="10">
        <f t="shared" si="4"/>
        <v>3.2750402695314014E-3</v>
      </c>
      <c r="Q23" s="10">
        <f t="shared" si="5"/>
        <v>6.3380046739651381E-5</v>
      </c>
      <c r="R23" s="10">
        <f t="shared" si="6"/>
        <v>4.1796028043627564E-4</v>
      </c>
      <c r="S23" s="66"/>
      <c r="T23" s="5">
        <f t="shared" si="17"/>
        <v>0.33333333333333331</v>
      </c>
      <c r="U23" s="12">
        <f t="shared" si="7"/>
        <v>526.30909204376758</v>
      </c>
      <c r="V23" s="12">
        <f t="shared" si="2"/>
        <v>1196789.4780542683</v>
      </c>
    </row>
    <row r="24" spans="1:22">
      <c r="A24" s="5">
        <f t="shared" si="8"/>
        <v>0.41666666666666663</v>
      </c>
      <c r="B24" s="4">
        <f t="shared" si="0"/>
        <v>6.4742222787719783E-4</v>
      </c>
      <c r="C24" s="4">
        <f t="shared" si="1"/>
        <v>1.6740720152492727E-3</v>
      </c>
      <c r="D24" s="4">
        <f t="shared" si="9"/>
        <v>3.2371111393859894E-5</v>
      </c>
      <c r="E24" s="4">
        <f t="shared" si="10"/>
        <v>6.4742222787719789E-5</v>
      </c>
      <c r="F24" s="4">
        <f t="shared" si="11"/>
        <v>1.6740720152492727E-3</v>
      </c>
      <c r="G24" s="4">
        <f t="shared" si="11"/>
        <v>3.2371111393859894E-5</v>
      </c>
      <c r="H24" s="4">
        <f t="shared" si="12"/>
        <v>2.0088864182991272E-3</v>
      </c>
      <c r="I24" s="4">
        <f t="shared" si="13"/>
        <v>0.99903416495738895</v>
      </c>
      <c r="J24" s="4">
        <f t="shared" si="14"/>
        <v>2.6604676333367208E-4</v>
      </c>
      <c r="K24" s="4">
        <f t="shared" si="15"/>
        <v>6.8648504327695507E-4</v>
      </c>
      <c r="L24" s="4">
        <f t="shared" si="16"/>
        <v>1.3303236000456476E-5</v>
      </c>
      <c r="N24" s="10">
        <f t="shared" si="3"/>
        <v>0.9789296120577009</v>
      </c>
      <c r="O24" s="66">
        <v>4</v>
      </c>
      <c r="P24" s="10">
        <f t="shared" si="4"/>
        <v>6.5569403481379462E-3</v>
      </c>
      <c r="Q24" s="10">
        <f t="shared" si="5"/>
        <v>1.2678991374266696E-4</v>
      </c>
      <c r="R24" s="10">
        <f t="shared" si="6"/>
        <v>1.0427713644029259E-3</v>
      </c>
      <c r="S24" s="66"/>
      <c r="T24" s="5">
        <f t="shared" si="17"/>
        <v>0.41666666666666663</v>
      </c>
      <c r="U24" s="12">
        <f t="shared" si="7"/>
        <v>658.56511858789963</v>
      </c>
      <c r="V24" s="12">
        <f t="shared" si="2"/>
        <v>1195562.6927400774</v>
      </c>
    </row>
    <row r="25" spans="1:22">
      <c r="A25" s="5">
        <f t="shared" si="8"/>
        <v>0.49999999999999994</v>
      </c>
      <c r="B25" s="4">
        <f t="shared" si="0"/>
        <v>6.5032572466726737E-4</v>
      </c>
      <c r="C25" s="4">
        <f t="shared" si="1"/>
        <v>1.6829106588460276E-3</v>
      </c>
      <c r="D25" s="4">
        <f t="shared" si="9"/>
        <v>3.2516286233363371E-5</v>
      </c>
      <c r="E25" s="4">
        <f t="shared" si="10"/>
        <v>6.5032572466726743E-5</v>
      </c>
      <c r="F25" s="4">
        <f t="shared" si="11"/>
        <v>1.6829106588460276E-3</v>
      </c>
      <c r="G25" s="4">
        <f t="shared" si="11"/>
        <v>3.2516286233363371E-5</v>
      </c>
      <c r="H25" s="4">
        <f t="shared" si="12"/>
        <v>2.0194927906152329E-3</v>
      </c>
      <c r="I25" s="4">
        <f t="shared" si="13"/>
        <v>0.99883820040035431</v>
      </c>
      <c r="J25" s="4">
        <f t="shared" si="14"/>
        <v>3.1990723888972779E-4</v>
      </c>
      <c r="K25" s="4">
        <f t="shared" si="15"/>
        <v>8.2589564694065978E-4</v>
      </c>
      <c r="L25" s="4">
        <f t="shared" si="16"/>
        <v>1.5996713815406354E-5</v>
      </c>
      <c r="N25" s="10">
        <f t="shared" si="3"/>
        <v>0.97476627263448734</v>
      </c>
      <c r="O25" s="66">
        <v>2</v>
      </c>
      <c r="P25" s="10">
        <f t="shared" si="4"/>
        <v>3.2819399011937049E-3</v>
      </c>
      <c r="Q25" s="10">
        <f t="shared" si="5"/>
        <v>6.3411861269621018E-5</v>
      </c>
      <c r="R25" s="10">
        <f t="shared" si="6"/>
        <v>6.2439499553849833E-4</v>
      </c>
      <c r="S25" s="66"/>
      <c r="T25" s="5">
        <f t="shared" si="17"/>
        <v>0.49999999999999994</v>
      </c>
      <c r="U25" s="12">
        <f t="shared" si="7"/>
        <v>791.08932546140397</v>
      </c>
      <c r="V25" s="12">
        <f t="shared" si="2"/>
        <v>1194331.5675834657</v>
      </c>
    </row>
    <row r="26" spans="1:22">
      <c r="A26" s="5">
        <f t="shared" si="8"/>
        <v>0.58333333333333326</v>
      </c>
      <c r="B26" s="4">
        <f t="shared" si="0"/>
        <v>6.5326329395632896E-4</v>
      </c>
      <c r="C26" s="4">
        <f t="shared" si="1"/>
        <v>1.6918158414792426E-3</v>
      </c>
      <c r="D26" s="4">
        <f t="shared" si="9"/>
        <v>3.2663164697816449E-5</v>
      </c>
      <c r="E26" s="4">
        <f t="shared" si="10"/>
        <v>6.5326329395632899E-5</v>
      </c>
      <c r="F26" s="4">
        <f t="shared" si="11"/>
        <v>1.6918158414792426E-3</v>
      </c>
      <c r="G26" s="4">
        <f t="shared" si="11"/>
        <v>3.2663164697816449E-5</v>
      </c>
      <c r="H26" s="4">
        <f t="shared" si="12"/>
        <v>2.0301790097750909E-3</v>
      </c>
      <c r="I26" s="4">
        <f t="shared" si="13"/>
        <v>0.99864128512244998</v>
      </c>
      <c r="J26" s="4">
        <f t="shared" si="14"/>
        <v>3.7399062177410252E-4</v>
      </c>
      <c r="K26" s="4">
        <f t="shared" si="15"/>
        <v>9.6602282481288767E-4</v>
      </c>
      <c r="L26" s="4">
        <f t="shared" si="16"/>
        <v>1.8701430963086319E-5</v>
      </c>
      <c r="N26" s="10">
        <f t="shared" si="3"/>
        <v>0.97061967828424089</v>
      </c>
      <c r="O26" s="66">
        <v>4</v>
      </c>
      <c r="P26" s="10">
        <f t="shared" si="4"/>
        <v>6.5708988679447008E-3</v>
      </c>
      <c r="Q26" s="10">
        <f t="shared" si="5"/>
        <v>1.2686153343304459E-4</v>
      </c>
      <c r="R26" s="10">
        <f t="shared" si="6"/>
        <v>1.4539861806061522E-3</v>
      </c>
      <c r="S26" s="66"/>
      <c r="T26" s="5">
        <f t="shared" si="17"/>
        <v>0.58333333333333326</v>
      </c>
      <c r="U26" s="12">
        <f t="shared" si="7"/>
        <v>923.87999571064734</v>
      </c>
      <c r="V26" s="12">
        <f t="shared" si="2"/>
        <v>1193096.0888782737</v>
      </c>
    </row>
    <row r="27" spans="1:22">
      <c r="A27" s="5">
        <f t="shared" si="8"/>
        <v>0.66666666666666663</v>
      </c>
      <c r="B27" s="4">
        <f t="shared" si="0"/>
        <v>6.5623533558473775E-4</v>
      </c>
      <c r="C27" s="4">
        <f t="shared" si="1"/>
        <v>1.7007880640677899E-3</v>
      </c>
      <c r="D27" s="4">
        <f t="shared" si="9"/>
        <v>3.2811766779236888E-5</v>
      </c>
      <c r="E27" s="4">
        <f t="shared" si="10"/>
        <v>6.5623533558473775E-5</v>
      </c>
      <c r="F27" s="4">
        <f t="shared" si="11"/>
        <v>1.7007880640677899E-3</v>
      </c>
      <c r="G27" s="4">
        <f t="shared" si="11"/>
        <v>3.2811766779236888E-5</v>
      </c>
      <c r="H27" s="4">
        <f t="shared" si="12"/>
        <v>2.0409456768813476E-3</v>
      </c>
      <c r="I27" s="4">
        <f t="shared" si="13"/>
        <v>0.99844341118954494</v>
      </c>
      <c r="J27" s="4">
        <f t="shared" si="14"/>
        <v>4.2829948218989981E-4</v>
      </c>
      <c r="K27" s="4">
        <f t="shared" si="15"/>
        <v>1.1068718111992566E-3</v>
      </c>
      <c r="L27" s="4">
        <f t="shared" si="16"/>
        <v>2.1417517065975826E-5</v>
      </c>
      <c r="N27" s="10">
        <f t="shared" si="3"/>
        <v>0.96648975773223622</v>
      </c>
      <c r="O27" s="66">
        <v>2</v>
      </c>
      <c r="P27" s="10">
        <f t="shared" si="4"/>
        <v>3.2889987556434237E-3</v>
      </c>
      <c r="Q27" s="10">
        <f t="shared" si="5"/>
        <v>6.3451680069569777E-5</v>
      </c>
      <c r="R27" s="10">
        <f t="shared" si="6"/>
        <v>8.291848253780997E-4</v>
      </c>
      <c r="S27" s="66"/>
      <c r="T27" s="5">
        <f t="shared" si="17"/>
        <v>0.66666666666666663</v>
      </c>
      <c r="U27" s="12">
        <f t="shared" si="7"/>
        <v>1056.9353796150974</v>
      </c>
      <c r="V27" s="12">
        <f t="shared" si="2"/>
        <v>1191856.2428793344</v>
      </c>
    </row>
    <row r="28" spans="1:22">
      <c r="A28" s="5">
        <f t="shared" si="8"/>
        <v>0.75</v>
      </c>
      <c r="B28" s="4">
        <f t="shared" si="0"/>
        <v>6.5924225408497017E-4</v>
      </c>
      <c r="C28" s="4">
        <f t="shared" si="1"/>
        <v>1.7098278313015559E-3</v>
      </c>
      <c r="D28" s="4">
        <f t="shared" si="9"/>
        <v>3.2962112704248509E-5</v>
      </c>
      <c r="E28" s="4">
        <f t="shared" si="10"/>
        <v>6.5924225408497017E-5</v>
      </c>
      <c r="F28" s="4">
        <f t="shared" si="11"/>
        <v>1.7098278313015559E-3</v>
      </c>
      <c r="G28" s="4">
        <f t="shared" si="11"/>
        <v>3.2962112704248509E-5</v>
      </c>
      <c r="H28" s="4">
        <f t="shared" si="12"/>
        <v>2.0517933975618672E-3</v>
      </c>
      <c r="I28" s="4">
        <f t="shared" si="13"/>
        <v>0.99824457060044269</v>
      </c>
      <c r="J28" s="4">
        <f t="shared" si="14"/>
        <v>4.8283641890398501E-4</v>
      </c>
      <c r="K28" s="4">
        <f t="shared" si="15"/>
        <v>1.2484478774521172E-3</v>
      </c>
      <c r="L28" s="4">
        <f t="shared" si="16"/>
        <v>2.4145103201315244E-5</v>
      </c>
      <c r="N28" s="10">
        <f t="shared" si="3"/>
        <v>0.96237643998892097</v>
      </c>
      <c r="O28" s="66">
        <v>4</v>
      </c>
      <c r="P28" s="10">
        <f t="shared" si="4"/>
        <v>6.5851756992252961E-3</v>
      </c>
      <c r="Q28" s="10">
        <f t="shared" si="5"/>
        <v>1.2694921652428077E-4</v>
      </c>
      <c r="R28" s="10">
        <f t="shared" si="6"/>
        <v>1.8619500976291526E-3</v>
      </c>
      <c r="S28" s="66"/>
      <c r="T28" s="5">
        <f t="shared" si="17"/>
        <v>0.75</v>
      </c>
      <c r="U28" s="12">
        <f t="shared" si="7"/>
        <v>1190.2536943514069</v>
      </c>
      <c r="V28" s="12">
        <f t="shared" si="2"/>
        <v>1190612.015802284</v>
      </c>
    </row>
    <row r="29" spans="1:22">
      <c r="A29" s="5">
        <f t="shared" si="8"/>
        <v>0.83333333333333337</v>
      </c>
      <c r="B29" s="4">
        <f t="shared" si="0"/>
        <v>6.6228445873668684E-4</v>
      </c>
      <c r="C29" s="4">
        <f t="shared" si="1"/>
        <v>1.7189356516698307E-3</v>
      </c>
      <c r="D29" s="4">
        <f t="shared" si="9"/>
        <v>3.3114222936834346E-5</v>
      </c>
      <c r="E29" s="4">
        <f t="shared" si="10"/>
        <v>6.6228445873668692E-5</v>
      </c>
      <c r="F29" s="4">
        <f t="shared" si="11"/>
        <v>1.7189356516698307E-3</v>
      </c>
      <c r="G29" s="4">
        <f t="shared" si="11"/>
        <v>3.3114222936834346E-5</v>
      </c>
      <c r="H29" s="4">
        <f t="shared" si="12"/>
        <v>2.0627227820037967E-3</v>
      </c>
      <c r="I29" s="4">
        <f t="shared" si="13"/>
        <v>0.99804475528631487</v>
      </c>
      <c r="J29" s="4">
        <f t="shared" si="14"/>
        <v>5.3760405955217982E-4</v>
      </c>
      <c r="K29" s="4">
        <f t="shared" si="15"/>
        <v>1.3907563322161712E-3</v>
      </c>
      <c r="L29" s="4">
        <f t="shared" si="16"/>
        <v>2.6884321916953715E-5</v>
      </c>
      <c r="N29" s="10">
        <f t="shared" si="3"/>
        <v>0.95827965434869977</v>
      </c>
      <c r="O29" s="66">
        <v>2</v>
      </c>
      <c r="P29" s="10">
        <f t="shared" si="4"/>
        <v>3.2962166994483632E-3</v>
      </c>
      <c r="Q29" s="10">
        <f t="shared" si="5"/>
        <v>6.3499558303777039E-5</v>
      </c>
      <c r="R29" s="10">
        <f t="shared" si="6"/>
        <v>1.0323685979720008E-3</v>
      </c>
      <c r="S29" s="66"/>
      <c r="T29" s="5">
        <f t="shared" si="17"/>
        <v>0.83333333333333337</v>
      </c>
      <c r="U29" s="12">
        <f t="shared" si="7"/>
        <v>1323.8331236550694</v>
      </c>
      <c r="V29" s="12">
        <f t="shared" si="2"/>
        <v>1189363.3938233713</v>
      </c>
    </row>
    <row r="30" spans="1:22">
      <c r="A30" s="5">
        <f t="shared" si="8"/>
        <v>0.91666666666666674</v>
      </c>
      <c r="B30" s="4">
        <f t="shared" si="0"/>
        <v>6.6536236362243974E-4</v>
      </c>
      <c r="C30" s="4">
        <f t="shared" si="1"/>
        <v>1.7281120374899117E-3</v>
      </c>
      <c r="D30" s="4">
        <f t="shared" si="9"/>
        <v>3.3268118181121987E-5</v>
      </c>
      <c r="E30" s="4">
        <f t="shared" si="10"/>
        <v>6.6536236362243974E-5</v>
      </c>
      <c r="F30" s="4">
        <f t="shared" si="11"/>
        <v>1.7281120374899117E-3</v>
      </c>
      <c r="G30" s="4">
        <f t="shared" si="11"/>
        <v>3.3268118181121987E-5</v>
      </c>
      <c r="H30" s="4">
        <f t="shared" si="12"/>
        <v>2.073734444987894E-3</v>
      </c>
      <c r="I30" s="4">
        <f t="shared" si="13"/>
        <v>0.99784395711012996</v>
      </c>
      <c r="J30" s="4">
        <f t="shared" si="14"/>
        <v>5.9260506094745494E-4</v>
      </c>
      <c r="K30" s="4">
        <f t="shared" si="15"/>
        <v>1.5338025216754612E-3</v>
      </c>
      <c r="L30" s="4">
        <f t="shared" si="16"/>
        <v>2.9635307247359736E-5</v>
      </c>
      <c r="N30" s="10">
        <f t="shared" si="3"/>
        <v>0.95419933038872573</v>
      </c>
      <c r="O30" s="66">
        <v>4</v>
      </c>
      <c r="P30" s="10">
        <f t="shared" si="4"/>
        <v>6.5997705777538261E-3</v>
      </c>
      <c r="Q30" s="10">
        <f t="shared" si="5"/>
        <v>1.2705307456102236E-4</v>
      </c>
      <c r="R30" s="10">
        <f t="shared" si="6"/>
        <v>2.2667405993164621E-3</v>
      </c>
      <c r="S30" s="66"/>
      <c r="T30" s="5">
        <f t="shared" si="17"/>
        <v>0.91666666666666674</v>
      </c>
      <c r="U30" s="12">
        <f t="shared" si="7"/>
        <v>1457.6718174796392</v>
      </c>
      <c r="V30" s="12">
        <f t="shared" si="2"/>
        <v>1188110.3630792624</v>
      </c>
    </row>
    <row r="31" spans="1:22">
      <c r="A31" s="5">
        <f t="shared" si="8"/>
        <v>1</v>
      </c>
      <c r="B31" s="4">
        <f t="shared" si="0"/>
        <v>6.6847638768403482E-4</v>
      </c>
      <c r="C31" s="4">
        <f t="shared" si="1"/>
        <v>1.7373575049359205E-3</v>
      </c>
      <c r="D31" s="4">
        <f t="shared" si="9"/>
        <v>3.342381938420174E-5</v>
      </c>
      <c r="E31" s="4">
        <f t="shared" si="10"/>
        <v>6.6847638768403479E-5</v>
      </c>
      <c r="F31" s="4">
        <f t="shared" si="11"/>
        <v>1.7373575049359205E-3</v>
      </c>
      <c r="G31" s="4">
        <f t="shared" si="11"/>
        <v>3.342381938420174E-5</v>
      </c>
      <c r="H31" s="4">
        <f t="shared" si="12"/>
        <v>2.0848290059231043E-3</v>
      </c>
      <c r="I31" s="4">
        <f t="shared" si="13"/>
        <v>0.99764216786607751</v>
      </c>
      <c r="J31" s="4">
        <f t="shared" si="14"/>
        <v>6.4784210939114288E-4</v>
      </c>
      <c r="K31" s="4">
        <f t="shared" si="15"/>
        <v>1.6775918298017371E-3</v>
      </c>
      <c r="L31" s="4">
        <f t="shared" si="16"/>
        <v>3.2398194729795891E-5</v>
      </c>
      <c r="N31" s="10">
        <f t="shared" si="3"/>
        <v>0.95013539796769286</v>
      </c>
      <c r="O31" s="66">
        <v>2</v>
      </c>
      <c r="P31" s="10">
        <f t="shared" si="4"/>
        <v>3.3035936017779717E-3</v>
      </c>
      <c r="Q31" s="10">
        <f t="shared" si="5"/>
        <v>6.3555552355186692E-5</v>
      </c>
      <c r="R31" s="10">
        <f t="shared" si="6"/>
        <v>1.2339849702688436E-3</v>
      </c>
      <c r="S31" s="66"/>
      <c r="T31" s="5">
        <f t="shared" si="17"/>
        <v>1</v>
      </c>
      <c r="U31" s="12">
        <f t="shared" si="7"/>
        <v>1591.7678916535133</v>
      </c>
      <c r="V31" s="12">
        <f t="shared" si="2"/>
        <v>1186852.9096668446</v>
      </c>
    </row>
    <row r="32" spans="1:22">
      <c r="A32" s="5">
        <f t="shared" si="8"/>
        <v>1.0833333333333333</v>
      </c>
      <c r="B32" s="4">
        <f t="shared" si="0"/>
        <v>6.7162695477955428E-4</v>
      </c>
      <c r="C32" s="4">
        <f t="shared" si="1"/>
        <v>1.7466725740678385E-3</v>
      </c>
      <c r="D32" s="4">
        <f t="shared" si="9"/>
        <v>3.3581347738977718E-5</v>
      </c>
      <c r="E32" s="4">
        <f t="shared" si="10"/>
        <v>6.7162695477955437E-5</v>
      </c>
      <c r="F32" s="4">
        <f t="shared" si="11"/>
        <v>1.7466725740678385E-3</v>
      </c>
      <c r="G32" s="4">
        <f t="shared" si="11"/>
        <v>3.3581347738977718E-5</v>
      </c>
      <c r="H32" s="4">
        <f t="shared" si="12"/>
        <v>2.0960070888814061E-3</v>
      </c>
      <c r="I32" s="4">
        <f t="shared" si="13"/>
        <v>0.99743937927898818</v>
      </c>
      <c r="J32" s="4">
        <f t="shared" si="14"/>
        <v>7.0331792098719782E-4</v>
      </c>
      <c r="K32" s="4">
        <f t="shared" si="15"/>
        <v>1.8221296786041993E-3</v>
      </c>
      <c r="L32" s="4">
        <f t="shared" si="16"/>
        <v>3.517312142065929E-5</v>
      </c>
      <c r="N32" s="10">
        <f t="shared" si="3"/>
        <v>0.9460877872246376</v>
      </c>
      <c r="O32" s="66">
        <v>4</v>
      </c>
      <c r="P32" s="10">
        <f t="shared" si="4"/>
        <v>6.6146832443596962E-3</v>
      </c>
      <c r="Q32" s="10">
        <f t="shared" si="5"/>
        <v>1.2717322153556928E-4</v>
      </c>
      <c r="R32" s="10">
        <f t="shared" si="6"/>
        <v>2.6684348318519518E-3</v>
      </c>
      <c r="S32" s="66"/>
      <c r="T32" s="5">
        <f t="shared" si="17"/>
        <v>1.0833333333333333</v>
      </c>
      <c r="U32" s="12">
        <f t="shared" si="7"/>
        <v>1726.1194275342668</v>
      </c>
      <c r="V32" s="12">
        <f t="shared" si="2"/>
        <v>1185591.019643025</v>
      </c>
    </row>
    <row r="33" spans="1:22">
      <c r="A33" s="5">
        <f t="shared" si="8"/>
        <v>1.1666666666666665</v>
      </c>
      <c r="B33" s="4">
        <f t="shared" si="0"/>
        <v>6.748144937410509E-4</v>
      </c>
      <c r="C33" s="4">
        <f t="shared" si="1"/>
        <v>1.7560577688607621E-3</v>
      </c>
      <c r="D33" s="4">
        <f t="shared" si="9"/>
        <v>3.3740724687052546E-5</v>
      </c>
      <c r="E33" s="4">
        <f t="shared" si="10"/>
        <v>6.7481449374105093E-5</v>
      </c>
      <c r="F33" s="4">
        <f t="shared" si="11"/>
        <v>1.7560577688607621E-3</v>
      </c>
      <c r="G33" s="4">
        <f t="shared" si="11"/>
        <v>3.3740724687052546E-5</v>
      </c>
      <c r="H33" s="4">
        <f t="shared" si="12"/>
        <v>2.1072693226329145E-3</v>
      </c>
      <c r="I33" s="4">
        <f t="shared" si="13"/>
        <v>0.99723558300374815</v>
      </c>
      <c r="J33" s="4">
        <f t="shared" si="14"/>
        <v>7.59035241959522E-4</v>
      </c>
      <c r="K33" s="4">
        <f t="shared" si="15"/>
        <v>1.967421528380627E-3</v>
      </c>
      <c r="L33" s="4">
        <f t="shared" si="16"/>
        <v>3.7960225911989096E-5</v>
      </c>
      <c r="N33" s="10">
        <f t="shared" si="3"/>
        <v>0.94205642857774285</v>
      </c>
      <c r="O33" s="66">
        <v>2</v>
      </c>
      <c r="P33" s="10">
        <f t="shared" si="4"/>
        <v>3.3111293342547436E-3</v>
      </c>
      <c r="Q33" s="10">
        <f t="shared" si="5"/>
        <v>6.3619719835749413E-5</v>
      </c>
      <c r="R33" s="10">
        <f t="shared" si="6"/>
        <v>1.4340724326166422E-3</v>
      </c>
      <c r="S33" s="66"/>
      <c r="T33" s="5">
        <f t="shared" si="17"/>
        <v>1.1666666666666665</v>
      </c>
      <c r="U33" s="12">
        <f t="shared" si="7"/>
        <v>1860.7244716605421</v>
      </c>
      <c r="V33" s="12">
        <f t="shared" si="2"/>
        <v>1184324.679024528</v>
      </c>
    </row>
    <row r="34" spans="1:22">
      <c r="A34" s="5">
        <f t="shared" si="8"/>
        <v>1.2499999999999998</v>
      </c>
      <c r="B34" s="4">
        <f t="shared" si="0"/>
        <v>6.7803943843291461E-4</v>
      </c>
      <c r="C34" s="4">
        <f t="shared" si="1"/>
        <v>1.7655136172343708E-3</v>
      </c>
      <c r="D34" s="4">
        <f t="shared" si="9"/>
        <v>3.3901971921645731E-5</v>
      </c>
      <c r="E34" s="4">
        <f t="shared" si="10"/>
        <v>6.7803943843291461E-5</v>
      </c>
      <c r="F34" s="4">
        <f t="shared" si="11"/>
        <v>1.7655136172343708E-3</v>
      </c>
      <c r="G34" s="4">
        <f t="shared" si="11"/>
        <v>3.3901971921645731E-5</v>
      </c>
      <c r="H34" s="4">
        <f t="shared" si="12"/>
        <v>2.1186163406812447E-3</v>
      </c>
      <c r="I34" s="4">
        <f t="shared" si="13"/>
        <v>0.99703077062470979</v>
      </c>
      <c r="J34" s="4">
        <f t="shared" si="14"/>
        <v>8.1499684897238644E-4</v>
      </c>
      <c r="K34" s="4">
        <f t="shared" si="15"/>
        <v>2.1134728779698894E-3</v>
      </c>
      <c r="L34" s="4">
        <f t="shared" si="16"/>
        <v>4.0759648348142766E-5</v>
      </c>
      <c r="N34" s="10">
        <f t="shared" si="3"/>
        <v>0.93804125272314776</v>
      </c>
      <c r="O34" s="66">
        <v>4</v>
      </c>
      <c r="P34" s="10">
        <f t="shared" si="4"/>
        <v>6.6299134446279242E-3</v>
      </c>
      <c r="Q34" s="10">
        <f t="shared" si="5"/>
        <v>1.2730977390863123E-4</v>
      </c>
      <c r="R34" s="10">
        <f t="shared" si="6"/>
        <v>3.0671096126610501E-3</v>
      </c>
      <c r="S34" s="66"/>
      <c r="T34" s="5">
        <f t="shared" si="17"/>
        <v>1.2499999999999998</v>
      </c>
      <c r="U34" s="12">
        <f t="shared" si="7"/>
        <v>1995.5810354014843</v>
      </c>
      <c r="V34" s="12">
        <f t="shared" si="2"/>
        <v>1183053.8737876888</v>
      </c>
    </row>
    <row r="35" spans="1:22">
      <c r="A35" s="5">
        <f t="shared" si="8"/>
        <v>1.333333333333333</v>
      </c>
      <c r="B35" s="4">
        <f t="shared" si="0"/>
        <v>6.8130222781093044E-4</v>
      </c>
      <c r="C35" s="4">
        <f t="shared" si="1"/>
        <v>1.7750406510826302E-3</v>
      </c>
      <c r="D35" s="4">
        <f t="shared" si="9"/>
        <v>3.4065111390546526E-5</v>
      </c>
      <c r="E35" s="4">
        <f t="shared" si="10"/>
        <v>6.8130222781093052E-5</v>
      </c>
      <c r="F35" s="4">
        <f t="shared" si="11"/>
        <v>1.7750406510826302E-3</v>
      </c>
      <c r="G35" s="4">
        <f t="shared" si="11"/>
        <v>3.4065111390546526E-5</v>
      </c>
      <c r="H35" s="4">
        <f t="shared" si="12"/>
        <v>2.1300487812991563E-3</v>
      </c>
      <c r="I35" s="4">
        <f t="shared" si="13"/>
        <v>0.99682493365509772</v>
      </c>
      <c r="J35" s="4">
        <f t="shared" si="14"/>
        <v>8.7120554945396811E-4</v>
      </c>
      <c r="K35" s="4">
        <f t="shared" si="15"/>
        <v>2.2602892650058475E-3</v>
      </c>
      <c r="L35" s="4">
        <f t="shared" si="16"/>
        <v>4.3571530442642345E-5</v>
      </c>
      <c r="N35" s="10">
        <f t="shared" si="3"/>
        <v>0.93404219063376315</v>
      </c>
      <c r="O35" s="66">
        <v>2</v>
      </c>
      <c r="P35" s="10">
        <f t="shared" si="4"/>
        <v>3.3188237708031026E-3</v>
      </c>
      <c r="Q35" s="10">
        <f t="shared" si="5"/>
        <v>6.3692119596836462E-5</v>
      </c>
      <c r="R35" s="10">
        <f t="shared" si="6"/>
        <v>1.6326693131972385E-3</v>
      </c>
      <c r="S35" s="66"/>
      <c r="T35" s="5">
        <f t="shared" si="17"/>
        <v>1.333333333333333</v>
      </c>
      <c r="U35" s="12">
        <f t="shared" si="7"/>
        <v>2130.6870946037197</v>
      </c>
      <c r="V35" s="12">
        <f t="shared" si="2"/>
        <v>1181778.589868244</v>
      </c>
    </row>
    <row r="36" spans="1:22">
      <c r="A36" s="5">
        <f t="shared" si="8"/>
        <v>1.4166666666666663</v>
      </c>
      <c r="B36" s="4">
        <f t="shared" si="0"/>
        <v>6.8460330598202313E-4</v>
      </c>
      <c r="C36" s="4">
        <f t="shared" si="1"/>
        <v>1.7846394063037061E-3</v>
      </c>
      <c r="D36" s="4">
        <f t="shared" si="9"/>
        <v>3.4230165299101158E-5</v>
      </c>
      <c r="E36" s="4">
        <f t="shared" si="10"/>
        <v>6.8460330598202316E-5</v>
      </c>
      <c r="F36" s="4">
        <f t="shared" si="11"/>
        <v>1.7846394063037061E-3</v>
      </c>
      <c r="G36" s="4">
        <f t="shared" si="11"/>
        <v>3.4230165299101158E-5</v>
      </c>
      <c r="H36" s="4">
        <f t="shared" si="12"/>
        <v>2.1415672875644471E-3</v>
      </c>
      <c r="I36" s="4">
        <f t="shared" si="13"/>
        <v>0.99661806353640925</v>
      </c>
      <c r="J36" s="4">
        <f t="shared" si="14"/>
        <v>9.2766418192302756E-4</v>
      </c>
      <c r="K36" s="4">
        <f t="shared" si="15"/>
        <v>2.4078762661726471E-3</v>
      </c>
      <c r="L36" s="4">
        <f t="shared" si="16"/>
        <v>4.639601549519256E-5</v>
      </c>
      <c r="N36" s="10">
        <f t="shared" si="3"/>
        <v>0.9300591735580902</v>
      </c>
      <c r="O36" s="66">
        <v>4</v>
      </c>
      <c r="P36" s="10">
        <f t="shared" si="4"/>
        <v>6.6454609285943626E-3</v>
      </c>
      <c r="Q36" s="10">
        <f t="shared" si="5"/>
        <v>1.2746285063022531E-4</v>
      </c>
      <c r="R36" s="10">
        <f t="shared" si="6"/>
        <v>3.4628414392461108E-3</v>
      </c>
      <c r="S36" s="66"/>
      <c r="T36" s="5">
        <f t="shared" si="17"/>
        <v>1.4166666666666663</v>
      </c>
      <c r="U36" s="12">
        <f t="shared" si="7"/>
        <v>2266.0405892358758</v>
      </c>
      <c r="V36" s="12">
        <f t="shared" si="2"/>
        <v>1180498.8131611187</v>
      </c>
    </row>
    <row r="37" spans="1:22">
      <c r="A37" s="5">
        <f t="shared" si="8"/>
        <v>1.4999999999999996</v>
      </c>
      <c r="B37" s="4">
        <f t="shared" si="0"/>
        <v>6.8794312226470584E-4</v>
      </c>
      <c r="C37" s="4">
        <f t="shared" si="1"/>
        <v>1.7943104228301105E-3</v>
      </c>
      <c r="D37" s="4">
        <f t="shared" si="9"/>
        <v>3.4397156113235291E-5</v>
      </c>
      <c r="E37" s="4">
        <f t="shared" si="10"/>
        <v>6.8794312226470582E-5</v>
      </c>
      <c r="F37" s="4">
        <f t="shared" si="11"/>
        <v>1.7943104228301105E-3</v>
      </c>
      <c r="G37" s="4">
        <f t="shared" si="11"/>
        <v>3.4397156113235291E-5</v>
      </c>
      <c r="H37" s="4">
        <f t="shared" si="12"/>
        <v>2.1531725073961326E-3</v>
      </c>
      <c r="I37" s="4">
        <f t="shared" si="13"/>
        <v>0.99641015163781099</v>
      </c>
      <c r="J37" s="4">
        <f t="shared" si="14"/>
        <v>9.8437561631875125E-4</v>
      </c>
      <c r="K37" s="4">
        <f t="shared" si="15"/>
        <v>2.556239497461405E-3</v>
      </c>
      <c r="L37" s="4">
        <f t="shared" si="16"/>
        <v>4.9233248408871958E-5</v>
      </c>
      <c r="N37" s="10">
        <f t="shared" si="3"/>
        <v>0.92609213301904647</v>
      </c>
      <c r="O37" s="66">
        <v>2</v>
      </c>
      <c r="P37" s="10">
        <f t="shared" si="4"/>
        <v>3.3266767874957355E-3</v>
      </c>
      <c r="Q37" s="10">
        <f t="shared" si="5"/>
        <v>6.3772811739722693E-5</v>
      </c>
      <c r="R37" s="10">
        <f t="shared" si="6"/>
        <v>1.8298137824270984E-3</v>
      </c>
      <c r="S37" s="66"/>
      <c r="T37" s="5">
        <f t="shared" si="17"/>
        <v>1.4999999999999996</v>
      </c>
      <c r="U37" s="12">
        <f t="shared" si="7"/>
        <v>2401.6394230306364</v>
      </c>
      <c r="V37" s="12">
        <f t="shared" si="2"/>
        <v>1179214.5295202106</v>
      </c>
    </row>
    <row r="38" spans="1:22">
      <c r="A38" s="5">
        <f t="shared" si="8"/>
        <v>1.5833333333333328</v>
      </c>
      <c r="B38" s="4">
        <f t="shared" si="0"/>
        <v>6.9132213125024111E-4</v>
      </c>
      <c r="C38" s="4">
        <f t="shared" si="1"/>
        <v>1.8040542446590728E-3</v>
      </c>
      <c r="D38" s="4">
        <f t="shared" si="9"/>
        <v>3.4566106562512057E-5</v>
      </c>
      <c r="E38" s="4">
        <f t="shared" si="10"/>
        <v>6.9132213125024114E-5</v>
      </c>
      <c r="F38" s="4">
        <f t="shared" si="11"/>
        <v>1.8040542446590728E-3</v>
      </c>
      <c r="G38" s="4">
        <f t="shared" si="11"/>
        <v>3.4566106562512057E-5</v>
      </c>
      <c r="H38" s="4">
        <f t="shared" si="12"/>
        <v>2.1648650935908874E-3</v>
      </c>
      <c r="I38" s="4">
        <f t="shared" si="13"/>
        <v>0.99620118925553036</v>
      </c>
      <c r="J38" s="4">
        <f t="shared" si="14"/>
        <v>1.0413427543337827E-3</v>
      </c>
      <c r="K38" s="4">
        <f t="shared" si="15"/>
        <v>2.7053846144282981E-3</v>
      </c>
      <c r="L38" s="4">
        <f t="shared" si="16"/>
        <v>5.2083375707498874E-5</v>
      </c>
      <c r="N38" s="10">
        <f t="shared" si="3"/>
        <v>0.92214100081279471</v>
      </c>
      <c r="O38" s="66">
        <v>4</v>
      </c>
      <c r="P38" s="10">
        <f t="shared" si="4"/>
        <v>6.6613254504357435E-3</v>
      </c>
      <c r="Q38" s="10">
        <f t="shared" si="5"/>
        <v>1.2763257316070835E-4</v>
      </c>
      <c r="R38" s="10">
        <f t="shared" si="6"/>
        <v>3.8557064979539753E-3</v>
      </c>
      <c r="S38" s="66"/>
      <c r="T38" s="5">
        <f t="shared" si="17"/>
        <v>1.5833333333333328</v>
      </c>
      <c r="U38" s="12">
        <f t="shared" si="7"/>
        <v>2537.4814631243316</v>
      </c>
      <c r="V38" s="12">
        <f t="shared" si="2"/>
        <v>1177925.7247581717</v>
      </c>
    </row>
    <row r="39" spans="1:22">
      <c r="A39" s="5">
        <f t="shared" si="8"/>
        <v>1.6666666666666661</v>
      </c>
      <c r="B39" s="4">
        <f t="shared" si="0"/>
        <v>6.9474079286451255E-4</v>
      </c>
      <c r="C39" s="4">
        <f t="shared" si="1"/>
        <v>1.8138714198831399E-3</v>
      </c>
      <c r="D39" s="4">
        <f t="shared" si="9"/>
        <v>3.4737039643225629E-5</v>
      </c>
      <c r="E39" s="4">
        <f t="shared" si="10"/>
        <v>6.9474079286451258E-5</v>
      </c>
      <c r="F39" s="4">
        <f t="shared" si="11"/>
        <v>1.8138714198831399E-3</v>
      </c>
      <c r="G39" s="4">
        <f t="shared" si="11"/>
        <v>3.4737039643225629E-5</v>
      </c>
      <c r="H39" s="4">
        <f t="shared" si="12"/>
        <v>2.1766457038597678E-3</v>
      </c>
      <c r="I39" s="4">
        <f t="shared" si="13"/>
        <v>0.99599116761224227</v>
      </c>
      <c r="J39" s="4">
        <f t="shared" si="14"/>
        <v>1.0985685297504671E-3</v>
      </c>
      <c r="K39" s="4">
        <f t="shared" si="15"/>
        <v>2.8553173124540466E-3</v>
      </c>
      <c r="L39" s="4">
        <f t="shared" si="16"/>
        <v>5.4946545553173606E-5</v>
      </c>
      <c r="N39" s="10">
        <f t="shared" si="3"/>
        <v>0.91820570900757814</v>
      </c>
      <c r="O39" s="66">
        <v>2</v>
      </c>
      <c r="P39" s="10">
        <f t="shared" si="4"/>
        <v>3.3346882623972816E-3</v>
      </c>
      <c r="Q39" s="10">
        <f t="shared" si="5"/>
        <v>6.3861857626135626E-5</v>
      </c>
      <c r="R39" s="10">
        <f t="shared" si="6"/>
        <v>2.0255438573239448E-3</v>
      </c>
      <c r="S39" s="66"/>
      <c r="T39" s="5">
        <f t="shared" si="17"/>
        <v>1.6666666666666661</v>
      </c>
      <c r="U39" s="12">
        <f t="shared" si="7"/>
        <v>2673.5645396940599</v>
      </c>
      <c r="V39" s="12">
        <f t="shared" si="2"/>
        <v>1176632.3846461852</v>
      </c>
    </row>
    <row r="40" spans="1:22">
      <c r="A40" s="5">
        <f t="shared" si="8"/>
        <v>1.7499999999999993</v>
      </c>
      <c r="B40" s="4">
        <f t="shared" si="0"/>
        <v>6.981995724306292E-4</v>
      </c>
      <c r="C40" s="4">
        <f t="shared" si="1"/>
        <v>1.8237625007210079E-3</v>
      </c>
      <c r="D40" s="4">
        <f t="shared" si="9"/>
        <v>3.4909978621531461E-5</v>
      </c>
      <c r="E40" s="4">
        <f t="shared" si="10"/>
        <v>6.9819957243062923E-5</v>
      </c>
      <c r="F40" s="4">
        <f t="shared" si="11"/>
        <v>1.8237625007210079E-3</v>
      </c>
      <c r="G40" s="4">
        <f t="shared" si="11"/>
        <v>3.4909978621531461E-5</v>
      </c>
      <c r="H40" s="4">
        <f t="shared" si="12"/>
        <v>2.1885150008652092E-3</v>
      </c>
      <c r="I40" s="4">
        <f t="shared" si="13"/>
        <v>0.99578007785645073</v>
      </c>
      <c r="J40" s="4">
        <f t="shared" si="14"/>
        <v>1.1560559087803318E-3</v>
      </c>
      <c r="K40" s="4">
        <f t="shared" si="15"/>
        <v>3.0060433270048047E-3</v>
      </c>
      <c r="L40" s="4">
        <f t="shared" si="16"/>
        <v>5.78229077639984E-5</v>
      </c>
      <c r="N40" s="10">
        <f t="shared" si="3"/>
        <v>0.91428618994255961</v>
      </c>
      <c r="O40" s="66">
        <v>4</v>
      </c>
      <c r="P40" s="10">
        <f t="shared" si="4"/>
        <v>6.6775067681544105E-3</v>
      </c>
      <c r="Q40" s="10">
        <f t="shared" si="5"/>
        <v>1.2781906549193963E-4</v>
      </c>
      <c r="R40" s="10">
        <f t="shared" si="6"/>
        <v>4.2457806726746853E-3</v>
      </c>
      <c r="S40" s="66"/>
      <c r="T40" s="5">
        <f t="shared" si="17"/>
        <v>1.7499999999999993</v>
      </c>
      <c r="U40" s="12">
        <f t="shared" si="7"/>
        <v>2809.8864455923385</v>
      </c>
      <c r="V40" s="12">
        <f t="shared" si="2"/>
        <v>1175334.4949137394</v>
      </c>
    </row>
    <row r="41" spans="1:22">
      <c r="A41" s="5">
        <f t="shared" si="8"/>
        <v>1.8333333333333326</v>
      </c>
      <c r="B41" s="4">
        <f t="shared" si="0"/>
        <v>7.0169894073226027E-4</v>
      </c>
      <c r="C41" s="4">
        <f t="shared" si="1"/>
        <v>1.8337280435485805E-3</v>
      </c>
      <c r="D41" s="4">
        <f t="shared" si="9"/>
        <v>3.5084947036613015E-5</v>
      </c>
      <c r="E41" s="4">
        <f t="shared" si="10"/>
        <v>7.016989407322603E-5</v>
      </c>
      <c r="F41" s="4">
        <f t="shared" si="11"/>
        <v>1.8337280435485805E-3</v>
      </c>
      <c r="G41" s="4">
        <f t="shared" si="11"/>
        <v>3.5084947036613015E-5</v>
      </c>
      <c r="H41" s="4">
        <f t="shared" si="12"/>
        <v>2.2004736522582965E-3</v>
      </c>
      <c r="I41" s="4">
        <f t="shared" si="13"/>
        <v>0.9955679110618666</v>
      </c>
      <c r="J41" s="4">
        <f t="shared" si="14"/>
        <v>1.2138078904068285E-3</v>
      </c>
      <c r="K41" s="4">
        <f t="shared" si="15"/>
        <v>3.1575684338944585E-3</v>
      </c>
      <c r="L41" s="4">
        <f t="shared" si="16"/>
        <v>6.0712613831976843E-5</v>
      </c>
      <c r="N41" s="10">
        <f t="shared" si="3"/>
        <v>0.91038237622666607</v>
      </c>
      <c r="O41" s="66">
        <v>2</v>
      </c>
      <c r="P41" s="10">
        <f t="shared" si="4"/>
        <v>3.3428580754053514E-3</v>
      </c>
      <c r="Q41" s="10">
        <f t="shared" si="5"/>
        <v>6.3959319888867526E-5</v>
      </c>
      <c r="R41" s="10">
        <f t="shared" si="6"/>
        <v>2.2198974058386992E-3</v>
      </c>
      <c r="S41" s="66"/>
      <c r="T41" s="5">
        <f t="shared" si="17"/>
        <v>1.8333333333333326</v>
      </c>
      <c r="U41" s="12">
        <f t="shared" si="7"/>
        <v>2946.4449359792807</v>
      </c>
      <c r="V41" s="12">
        <f t="shared" si="2"/>
        <v>1174032.0412483991</v>
      </c>
    </row>
    <row r="42" spans="1:22">
      <c r="A42" s="5">
        <f t="shared" si="8"/>
        <v>1.9166666666666659</v>
      </c>
      <c r="B42" s="4">
        <f t="shared" si="0"/>
        <v>7.0523937407771659E-4</v>
      </c>
      <c r="C42" s="4">
        <f t="shared" si="1"/>
        <v>1.8437686089302699E-3</v>
      </c>
      <c r="D42" s="4">
        <f t="shared" si="9"/>
        <v>3.5261968703885831E-5</v>
      </c>
      <c r="E42" s="4">
        <f t="shared" si="10"/>
        <v>7.0523937407771661E-5</v>
      </c>
      <c r="F42" s="4">
        <f t="shared" si="11"/>
        <v>1.8437686089302699E-3</v>
      </c>
      <c r="G42" s="4">
        <f t="shared" si="11"/>
        <v>3.5261968703885831E-5</v>
      </c>
      <c r="H42" s="4">
        <f t="shared" si="12"/>
        <v>2.2125223307163239E-3</v>
      </c>
      <c r="I42" s="4">
        <f t="shared" si="13"/>
        <v>0.99535465822677904</v>
      </c>
      <c r="J42" s="4">
        <f t="shared" si="14"/>
        <v>1.2718275067313599E-3</v>
      </c>
      <c r="K42" s="4">
        <f t="shared" si="15"/>
        <v>3.3098984495483282E-3</v>
      </c>
      <c r="L42" s="4">
        <f t="shared" si="16"/>
        <v>6.3615816941094139E-5</v>
      </c>
      <c r="N42" s="10">
        <f t="shared" si="3"/>
        <v>0.90649420073743847</v>
      </c>
      <c r="O42" s="66">
        <v>4</v>
      </c>
      <c r="P42" s="10">
        <f t="shared" si="4"/>
        <v>6.6940046432575765E-3</v>
      </c>
      <c r="Q42" s="10">
        <f t="shared" si="5"/>
        <v>1.2802245416856543E-4</v>
      </c>
      <c r="R42" s="10">
        <f t="shared" si="6"/>
        <v>4.6331395534702302E-3</v>
      </c>
      <c r="S42" s="66"/>
      <c r="T42" s="5">
        <f t="shared" si="17"/>
        <v>1.9166666666666659</v>
      </c>
      <c r="U42" s="12">
        <f t="shared" si="7"/>
        <v>3083.2377279523002</v>
      </c>
      <c r="V42" s="12">
        <f t="shared" si="2"/>
        <v>1172725.0092955721</v>
      </c>
    </row>
    <row r="43" spans="1:22">
      <c r="A43" s="5">
        <f t="shared" si="8"/>
        <v>1.9999999999999991</v>
      </c>
      <c r="B43" s="4">
        <f t="shared" si="0"/>
        <v>7.0882135436478024E-4</v>
      </c>
      <c r="C43" s="4">
        <f t="shared" si="1"/>
        <v>1.8538847616505268E-3</v>
      </c>
      <c r="D43" s="4">
        <f t="shared" si="9"/>
        <v>3.5441067718239011E-5</v>
      </c>
      <c r="E43" s="4">
        <f t="shared" si="10"/>
        <v>7.0882135436478022E-5</v>
      </c>
      <c r="F43" s="4">
        <f t="shared" si="11"/>
        <v>1.8538847616505268E-3</v>
      </c>
      <c r="G43" s="4">
        <f t="shared" si="11"/>
        <v>3.5441067718239011E-5</v>
      </c>
      <c r="H43" s="4">
        <f t="shared" si="12"/>
        <v>2.2246617139806322E-3</v>
      </c>
      <c r="I43" s="4">
        <f t="shared" si="13"/>
        <v>0.99514031027342331</v>
      </c>
      <c r="J43" s="4">
        <f t="shared" si="14"/>
        <v>1.3301178233226173E-3</v>
      </c>
      <c r="K43" s="4">
        <f t="shared" si="15"/>
        <v>3.4630392312682869E-3</v>
      </c>
      <c r="L43" s="4">
        <f t="shared" si="16"/>
        <v>6.6532671985579966E-5</v>
      </c>
      <c r="N43" s="10">
        <f t="shared" si="3"/>
        <v>0.90262159661988506</v>
      </c>
      <c r="O43" s="66">
        <v>2</v>
      </c>
      <c r="P43" s="10">
        <f t="shared" si="4"/>
        <v>3.3511861080887692E-3</v>
      </c>
      <c r="Q43" s="10">
        <f t="shared" si="5"/>
        <v>6.4065262442447864E-5</v>
      </c>
      <c r="R43" s="10">
        <f t="shared" si="6"/>
        <v>2.41291215115214E-3</v>
      </c>
      <c r="S43" s="66"/>
      <c r="T43" s="5">
        <f t="shared" si="17"/>
        <v>1.9999999999999991</v>
      </c>
      <c r="U43" s="12">
        <f t="shared" si="7"/>
        <v>3220.2625001733404</v>
      </c>
      <c r="V43" s="12">
        <f t="shared" si="2"/>
        <v>1171413.3846582733</v>
      </c>
    </row>
    <row r="44" spans="1:22">
      <c r="A44" s="5">
        <f t="shared" si="8"/>
        <v>2.0833333333333326</v>
      </c>
      <c r="B44" s="4">
        <f t="shared" si="0"/>
        <v>7.124453691462983E-4</v>
      </c>
      <c r="C44" s="4">
        <f t="shared" si="1"/>
        <v>1.8640770707456086E-3</v>
      </c>
      <c r="D44" s="4">
        <f t="shared" si="9"/>
        <v>3.5622268457314916E-5</v>
      </c>
      <c r="E44" s="4">
        <f t="shared" si="10"/>
        <v>7.1244536914629833E-5</v>
      </c>
      <c r="F44" s="4">
        <f t="shared" si="11"/>
        <v>1.8640770707456086E-3</v>
      </c>
      <c r="G44" s="4">
        <f t="shared" si="11"/>
        <v>3.5622268457314916E-5</v>
      </c>
      <c r="H44" s="4">
        <f t="shared" si="12"/>
        <v>2.2368924848947301E-3</v>
      </c>
      <c r="I44" s="4">
        <f t="shared" si="13"/>
        <v>0.99492485804734287</v>
      </c>
      <c r="J44" s="4">
        <f t="shared" si="14"/>
        <v>1.3886819395692498E-3</v>
      </c>
      <c r="K44" s="4">
        <f t="shared" si="15"/>
        <v>3.6169966774992892E-3</v>
      </c>
      <c r="L44" s="4">
        <f t="shared" si="16"/>
        <v>6.9463335588355304E-5</v>
      </c>
      <c r="N44" s="10">
        <f t="shared" si="3"/>
        <v>0.89876449728534158</v>
      </c>
      <c r="O44" s="66">
        <v>4</v>
      </c>
      <c r="P44" s="10">
        <f t="shared" si="4"/>
        <v>6.7108188404310541E-3</v>
      </c>
      <c r="Q44" s="10">
        <f t="shared" si="5"/>
        <v>1.282428683094218E-4</v>
      </c>
      <c r="R44" s="10">
        <f t="shared" si="6"/>
        <v>5.0178584451321447E-3</v>
      </c>
      <c r="S44" s="66"/>
      <c r="T44" s="5">
        <f t="shared" si="17"/>
        <v>2.0833333333333326</v>
      </c>
      <c r="U44" s="12">
        <f t="shared" si="7"/>
        <v>3357.5168924936252</v>
      </c>
      <c r="V44" s="12">
        <f t="shared" si="2"/>
        <v>1170097.1528968844</v>
      </c>
    </row>
    <row r="45" spans="1:22">
      <c r="A45" s="5">
        <f t="shared" si="8"/>
        <v>2.1666666666666661</v>
      </c>
      <c r="B45" s="4">
        <f t="shared" si="0"/>
        <v>7.1611191169654418E-4</v>
      </c>
      <c r="C45" s="4">
        <f t="shared" si="1"/>
        <v>1.8743461095355879E-3</v>
      </c>
      <c r="D45" s="4">
        <f t="shared" si="9"/>
        <v>3.5805595584827211E-5</v>
      </c>
      <c r="E45" s="4">
        <f t="shared" si="10"/>
        <v>7.1611191169654423E-5</v>
      </c>
      <c r="F45" s="4">
        <f t="shared" si="11"/>
        <v>1.8743461095355879E-3</v>
      </c>
      <c r="G45" s="4">
        <f t="shared" si="11"/>
        <v>3.5805595584827211E-5</v>
      </c>
      <c r="H45" s="4">
        <f t="shared" si="12"/>
        <v>2.2492153314427055E-3</v>
      </c>
      <c r="I45" s="4">
        <f t="shared" si="13"/>
        <v>0.99470829231674696</v>
      </c>
      <c r="J45" s="4">
        <f t="shared" si="14"/>
        <v>1.4475229890358913E-3</v>
      </c>
      <c r="K45" s="4">
        <f t="shared" si="15"/>
        <v>3.7717767280973182E-3</v>
      </c>
      <c r="L45" s="4">
        <f t="shared" si="16"/>
        <v>7.2407966119665158E-5</v>
      </c>
      <c r="N45" s="10">
        <f t="shared" si="3"/>
        <v>0.89492283641033521</v>
      </c>
      <c r="O45" s="66">
        <v>2</v>
      </c>
      <c r="P45" s="10">
        <f t="shared" si="4"/>
        <v>3.359672243523017E-3</v>
      </c>
      <c r="Q45" s="10">
        <f t="shared" si="5"/>
        <v>6.4179750493872285E-5</v>
      </c>
      <c r="R45" s="10">
        <f t="shared" si="6"/>
        <v>2.6046256759356796E-3</v>
      </c>
      <c r="S45" s="66"/>
      <c r="T45" s="5">
        <f t="shared" si="17"/>
        <v>2.1666666666666661</v>
      </c>
      <c r="U45" s="12">
        <f t="shared" si="7"/>
        <v>3494.9985055759357</v>
      </c>
      <c r="V45" s="12">
        <f t="shared" si="2"/>
        <v>1168776.2995289101</v>
      </c>
    </row>
    <row r="46" spans="1:22">
      <c r="A46" s="5">
        <f t="shared" si="8"/>
        <v>2.2499999999999996</v>
      </c>
      <c r="B46" s="4">
        <f t="shared" si="0"/>
        <v>7.1982148107835905E-4</v>
      </c>
      <c r="C46" s="4">
        <f t="shared" si="1"/>
        <v>1.8846924556566072E-3</v>
      </c>
      <c r="D46" s="4">
        <f t="shared" si="9"/>
        <v>3.5991074053917954E-5</v>
      </c>
      <c r="E46" s="4">
        <f t="shared" si="10"/>
        <v>7.1982148107835908E-5</v>
      </c>
      <c r="F46" s="4">
        <f t="shared" si="11"/>
        <v>1.8846924556566072E-3</v>
      </c>
      <c r="G46" s="4">
        <f t="shared" si="11"/>
        <v>3.5991074053917954E-5</v>
      </c>
      <c r="H46" s="4">
        <f t="shared" si="12"/>
        <v>2.2616309467879286E-3</v>
      </c>
      <c r="I46" s="4">
        <f t="shared" si="13"/>
        <v>0.9944906037718626</v>
      </c>
      <c r="J46" s="4">
        <f t="shared" si="14"/>
        <v>1.5066441398225705E-3</v>
      </c>
      <c r="K46" s="4">
        <f t="shared" si="15"/>
        <v>3.9273853645987481E-3</v>
      </c>
      <c r="L46" s="4">
        <f t="shared" si="16"/>
        <v>7.5366723715898296E-5</v>
      </c>
      <c r="N46" s="10">
        <f t="shared" si="3"/>
        <v>0.89109654793545212</v>
      </c>
      <c r="O46" s="66">
        <v>4</v>
      </c>
      <c r="P46" s="10">
        <f t="shared" si="4"/>
        <v>6.7279491272072426E-3</v>
      </c>
      <c r="Q46" s="10">
        <f t="shared" si="5"/>
        <v>1.284804396290467E-4</v>
      </c>
      <c r="R46" s="10">
        <f t="shared" si="6"/>
        <v>5.4000123756666784E-3</v>
      </c>
      <c r="S46" s="66"/>
      <c r="T46" s="5">
        <f t="shared" si="17"/>
        <v>2.2499999999999996</v>
      </c>
      <c r="U46" s="12">
        <f t="shared" si="7"/>
        <v>3632.7049005144104</v>
      </c>
      <c r="V46" s="12">
        <f t="shared" si="2"/>
        <v>1167450.8100287309</v>
      </c>
    </row>
    <row r="47" spans="1:22">
      <c r="A47" s="5">
        <f t="shared" si="8"/>
        <v>2.333333333333333</v>
      </c>
      <c r="B47" s="4">
        <f t="shared" si="0"/>
        <v>7.2357458221108039E-4</v>
      </c>
      <c r="C47" s="4">
        <f t="shared" si="1"/>
        <v>1.8951166910933621E-3</v>
      </c>
      <c r="D47" s="4">
        <f t="shared" si="9"/>
        <v>3.6178729110554021E-5</v>
      </c>
      <c r="E47" s="4">
        <f t="shared" si="10"/>
        <v>7.2357458221108042E-5</v>
      </c>
      <c r="F47" s="4">
        <f t="shared" si="11"/>
        <v>1.8951166910933621E-3</v>
      </c>
      <c r="G47" s="4">
        <f t="shared" si="11"/>
        <v>3.6178729110554021E-5</v>
      </c>
      <c r="H47" s="4">
        <f t="shared" si="12"/>
        <v>2.2741400293120346E-3</v>
      </c>
      <c r="I47" s="4">
        <f t="shared" si="13"/>
        <v>0.99427178302428254</v>
      </c>
      <c r="J47" s="4">
        <f t="shared" si="14"/>
        <v>1.5660485949275257E-3</v>
      </c>
      <c r="K47" s="4">
        <f t="shared" si="15"/>
        <v>4.0838286104911319E-3</v>
      </c>
      <c r="L47" s="4">
        <f t="shared" si="16"/>
        <v>7.8339770298596132E-5</v>
      </c>
      <c r="N47" s="10">
        <f t="shared" si="3"/>
        <v>0.88728556606421216</v>
      </c>
      <c r="O47" s="66">
        <v>2</v>
      </c>
      <c r="P47" s="10">
        <f t="shared" si="4"/>
        <v>3.3683163661227893E-3</v>
      </c>
      <c r="Q47" s="10">
        <f t="shared" si="5"/>
        <v>6.4302850553385083E-5</v>
      </c>
      <c r="R47" s="10">
        <f t="shared" si="6"/>
        <v>2.7950754265755884E-3</v>
      </c>
      <c r="S47" s="66"/>
      <c r="T47" s="5">
        <f t="shared" si="17"/>
        <v>2.333333333333333</v>
      </c>
      <c r="U47" s="12">
        <f t="shared" si="7"/>
        <v>3770.6335984518673</v>
      </c>
      <c r="V47" s="12">
        <f t="shared" si="2"/>
        <v>1166120.6698273518</v>
      </c>
    </row>
    <row r="48" spans="1:22">
      <c r="A48" s="5">
        <f t="shared" si="8"/>
        <v>2.4166666666666665</v>
      </c>
      <c r="B48" s="4">
        <f t="shared" si="0"/>
        <v>7.2737172593926713E-4</v>
      </c>
      <c r="C48" s="4">
        <f t="shared" si="1"/>
        <v>1.9056194022118438E-3</v>
      </c>
      <c r="D48" s="4">
        <f t="shared" si="9"/>
        <v>3.6368586296963359E-5</v>
      </c>
      <c r="E48" s="4">
        <f t="shared" si="10"/>
        <v>7.2737172593926718E-5</v>
      </c>
      <c r="F48" s="4">
        <f t="shared" si="11"/>
        <v>1.9056194022118438E-3</v>
      </c>
      <c r="G48" s="4">
        <f t="shared" si="11"/>
        <v>3.6368586296963359E-5</v>
      </c>
      <c r="H48" s="4">
        <f t="shared" si="12"/>
        <v>2.2867432826542125E-3</v>
      </c>
      <c r="I48" s="4">
        <f t="shared" si="13"/>
        <v>0.99405182060630737</v>
      </c>
      <c r="J48" s="4">
        <f t="shared" si="14"/>
        <v>1.6257395926134489E-3</v>
      </c>
      <c r="K48" s="4">
        <f t="shared" si="15"/>
        <v>4.2411125314854078E-3</v>
      </c>
      <c r="L48" s="4">
        <f t="shared" si="16"/>
        <v>8.1327269593651957E-5</v>
      </c>
      <c r="N48" s="10">
        <f t="shared" si="3"/>
        <v>0.88348982526194764</v>
      </c>
      <c r="O48" s="66">
        <v>4</v>
      </c>
      <c r="P48" s="10">
        <f t="shared" si="4"/>
        <v>6.7453952736273044E-3</v>
      </c>
      <c r="Q48" s="10">
        <f t="shared" si="5"/>
        <v>1.287353024592954E-4</v>
      </c>
      <c r="R48" s="10">
        <f t="shared" si="6"/>
        <v>5.7796761047061752E-3</v>
      </c>
      <c r="S48" s="66"/>
      <c r="T48" s="5">
        <f t="shared" si="17"/>
        <v>2.4166666666666665</v>
      </c>
      <c r="U48" s="12">
        <f t="shared" si="7"/>
        <v>3908.7820801946527</v>
      </c>
      <c r="V48" s="12">
        <f t="shared" si="2"/>
        <v>1164785.864312147</v>
      </c>
    </row>
    <row r="49" spans="1:22">
      <c r="A49" s="5">
        <f t="shared" si="8"/>
        <v>2.5</v>
      </c>
      <c r="B49" s="4">
        <f t="shared" si="0"/>
        <v>7.3121342910223452E-4</v>
      </c>
      <c r="C49" s="4">
        <f t="shared" si="1"/>
        <v>1.9162011797923238E-3</v>
      </c>
      <c r="D49" s="4">
        <f t="shared" si="9"/>
        <v>3.6560671455111729E-5</v>
      </c>
      <c r="E49" s="4">
        <f t="shared" si="10"/>
        <v>7.3121342910223457E-5</v>
      </c>
      <c r="F49" s="4">
        <f t="shared" si="11"/>
        <v>1.9162011797923238E-3</v>
      </c>
      <c r="G49" s="4">
        <f t="shared" si="11"/>
        <v>3.6560671455111729E-5</v>
      </c>
      <c r="H49" s="4">
        <f t="shared" si="12"/>
        <v>2.2994414157507886E-3</v>
      </c>
      <c r="I49" s="4">
        <f t="shared" si="13"/>
        <v>0.99383070697028253</v>
      </c>
      <c r="J49" s="4">
        <f t="shared" si="14"/>
        <v>1.6857204067771856E-3</v>
      </c>
      <c r="K49" s="4">
        <f t="shared" si="15"/>
        <v>4.3992432357895291E-3</v>
      </c>
      <c r="L49" s="4">
        <f t="shared" si="16"/>
        <v>8.4329387150702337E-5</v>
      </c>
      <c r="N49" s="10">
        <f t="shared" si="3"/>
        <v>0.87970926025468554</v>
      </c>
      <c r="O49" s="66">
        <v>2</v>
      </c>
      <c r="P49" s="10">
        <f t="shared" si="4"/>
        <v>3.3771183614715798E-3</v>
      </c>
      <c r="Q49" s="10">
        <f t="shared" si="5"/>
        <v>6.443463044531119E-5</v>
      </c>
      <c r="R49" s="10">
        <f t="shared" si="6"/>
        <v>2.9842987173599751E-3</v>
      </c>
      <c r="S49" s="66"/>
      <c r="T49" s="5">
        <f t="shared" si="17"/>
        <v>2.5</v>
      </c>
      <c r="U49" s="12">
        <f t="shared" si="7"/>
        <v>4047.147785825015</v>
      </c>
      <c r="V49" s="12">
        <f t="shared" si="2"/>
        <v>1163446.3788266007</v>
      </c>
    </row>
    <row r="50" spans="1:22">
      <c r="A50" s="5">
        <f t="shared" si="8"/>
        <v>2.5833333333333335</v>
      </c>
      <c r="B50" s="4">
        <f t="shared" si="0"/>
        <v>7.3510021460439874E-4</v>
      </c>
      <c r="C50" s="4">
        <f t="shared" si="1"/>
        <v>1.9268626190625802E-3</v>
      </c>
      <c r="D50" s="4">
        <f t="shared" si="9"/>
        <v>3.6755010730219938E-5</v>
      </c>
      <c r="E50" s="4">
        <f t="shared" si="10"/>
        <v>7.3510021460439876E-5</v>
      </c>
      <c r="F50" s="4">
        <f t="shared" si="11"/>
        <v>1.9268626190625802E-3</v>
      </c>
      <c r="G50" s="4">
        <f t="shared" si="11"/>
        <v>3.6755010730219938E-5</v>
      </c>
      <c r="H50" s="4">
        <f t="shared" si="12"/>
        <v>2.312235142875096E-3</v>
      </c>
      <c r="I50" s="4">
        <f t="shared" si="13"/>
        <v>0.99360843248793085</v>
      </c>
      <c r="J50" s="4">
        <f t="shared" si="14"/>
        <v>1.7459943473229105E-3</v>
      </c>
      <c r="K50" s="4">
        <f t="shared" si="15"/>
        <v>4.5582268743835242E-3</v>
      </c>
      <c r="L50" s="4">
        <f t="shared" si="16"/>
        <v>8.7346290362712336E-5</v>
      </c>
      <c r="N50" s="10">
        <f t="shared" si="3"/>
        <v>0.87594380602803623</v>
      </c>
      <c r="O50" s="66">
        <v>4</v>
      </c>
      <c r="P50" s="10">
        <f t="shared" si="4"/>
        <v>6.7631570518973637E-3</v>
      </c>
      <c r="Q50" s="10">
        <f t="shared" si="5"/>
        <v>1.2900759377105177E-4</v>
      </c>
      <c r="R50" s="10">
        <f t="shared" si="6"/>
        <v>6.156924131845245E-3</v>
      </c>
      <c r="S50" s="66"/>
      <c r="T50" s="5">
        <f t="shared" si="17"/>
        <v>2.5833333333333335</v>
      </c>
      <c r="U50" s="12">
        <f t="shared" si="7"/>
        <v>4185.7281143110058</v>
      </c>
      <c r="V50" s="12">
        <f t="shared" si="2"/>
        <v>1162102.1986700441</v>
      </c>
    </row>
    <row r="51" spans="1:22">
      <c r="A51" s="5">
        <f t="shared" si="8"/>
        <v>2.666666666666667</v>
      </c>
      <c r="B51" s="4">
        <f t="shared" si="0"/>
        <v>7.3903261148645385E-4</v>
      </c>
      <c r="C51" s="4">
        <f t="shared" si="1"/>
        <v>1.9376043197313821E-3</v>
      </c>
      <c r="D51" s="4">
        <f t="shared" si="9"/>
        <v>3.6951630574322696E-5</v>
      </c>
      <c r="E51" s="4">
        <f t="shared" si="10"/>
        <v>7.3903261148645393E-5</v>
      </c>
      <c r="F51" s="4">
        <f t="shared" si="11"/>
        <v>1.9376043197313821E-3</v>
      </c>
      <c r="G51" s="4">
        <f t="shared" si="11"/>
        <v>3.6951630574322696E-5</v>
      </c>
      <c r="H51" s="4">
        <f t="shared" si="12"/>
        <v>2.3251251836776585E-3</v>
      </c>
      <c r="I51" s="4">
        <f t="shared" si="13"/>
        <v>0.99338498744967951</v>
      </c>
      <c r="J51" s="4">
        <f t="shared" si="14"/>
        <v>1.8065647605388065E-3</v>
      </c>
      <c r="K51" s="4">
        <f t="shared" si="15"/>
        <v>4.7180696412959808E-3</v>
      </c>
      <c r="L51" s="4">
        <f t="shared" si="16"/>
        <v>9.0378148485756101E-5</v>
      </c>
      <c r="N51" s="10">
        <f t="shared" si="3"/>
        <v>0.87219339782608618</v>
      </c>
      <c r="O51" s="66">
        <v>2</v>
      </c>
      <c r="P51" s="10">
        <f t="shared" si="4"/>
        <v>3.3860781161482727E-3</v>
      </c>
      <c r="Q51" s="10">
        <f t="shared" si="5"/>
        <v>6.4575159318934413E-5</v>
      </c>
      <c r="R51" s="10">
        <f t="shared" si="6"/>
        <v>3.1723327346277782E-3</v>
      </c>
      <c r="S51" s="66"/>
      <c r="T51" s="5">
        <f t="shared" si="17"/>
        <v>2.666666666666667</v>
      </c>
      <c r="U51" s="12">
        <f t="shared" si="7"/>
        <v>4324.5204231139114</v>
      </c>
      <c r="V51" s="12">
        <f t="shared" si="2"/>
        <v>1160753.3090973881</v>
      </c>
    </row>
    <row r="52" spans="1:22">
      <c r="A52" s="5">
        <f t="shared" si="8"/>
        <v>2.7500000000000004</v>
      </c>
      <c r="B52" s="4">
        <f t="shared" si="0"/>
        <v>7.4301115499738083E-4</v>
      </c>
      <c r="C52" s="4">
        <f t="shared" si="1"/>
        <v>1.9484268860222266E-3</v>
      </c>
      <c r="D52" s="4">
        <f t="shared" si="9"/>
        <v>3.7150557749869044E-5</v>
      </c>
      <c r="E52" s="4">
        <f t="shared" si="10"/>
        <v>7.4301115499738089E-5</v>
      </c>
      <c r="F52" s="4">
        <f t="shared" si="11"/>
        <v>1.9484268860222266E-3</v>
      </c>
      <c r="G52" s="4">
        <f t="shared" si="11"/>
        <v>3.7150557749869044E-5</v>
      </c>
      <c r="H52" s="4">
        <f t="shared" si="12"/>
        <v>2.3381122632266716E-3</v>
      </c>
      <c r="I52" s="4">
        <f t="shared" si="13"/>
        <v>0.99316036206398184</v>
      </c>
      <c r="J52" s="4">
        <f t="shared" si="14"/>
        <v>1.8674350294772698E-3</v>
      </c>
      <c r="K52" s="4">
        <f t="shared" si="15"/>
        <v>4.8787777738819637E-3</v>
      </c>
      <c r="L52" s="4">
        <f t="shared" si="16"/>
        <v>9.3425132658994461E-5</v>
      </c>
      <c r="N52" s="10">
        <f t="shared" si="3"/>
        <v>0.8684579711502951</v>
      </c>
      <c r="O52" s="66">
        <v>4</v>
      </c>
      <c r="P52" s="10">
        <f t="shared" si="4"/>
        <v>6.7812342360385747E-3</v>
      </c>
      <c r="Q52" s="10">
        <f t="shared" si="5"/>
        <v>1.2929745319602732E-4</v>
      </c>
      <c r="R52" s="10">
        <f t="shared" si="6"/>
        <v>6.5318307049001684E-3</v>
      </c>
      <c r="S52" s="66"/>
      <c r="T52" s="5">
        <f t="shared" si="17"/>
        <v>2.7500000000000004</v>
      </c>
      <c r="U52" s="12">
        <f t="shared" si="7"/>
        <v>4463.5220277932158</v>
      </c>
      <c r="V52" s="12">
        <f t="shared" si="2"/>
        <v>1159399.6953188521</v>
      </c>
    </row>
    <row r="53" spans="1:22">
      <c r="A53" s="5">
        <f t="shared" si="8"/>
        <v>2.8333333333333339</v>
      </c>
      <c r="B53" s="4">
        <f t="shared" si="0"/>
        <v>7.4703638666729884E-4</v>
      </c>
      <c r="C53" s="4">
        <f t="shared" si="1"/>
        <v>1.9593309267073198E-3</v>
      </c>
      <c r="D53" s="4">
        <f t="shared" si="9"/>
        <v>3.7351819333364943E-5</v>
      </c>
      <c r="E53" s="4">
        <f t="shared" si="10"/>
        <v>7.4703638666729887E-5</v>
      </c>
      <c r="F53" s="4">
        <f t="shared" si="11"/>
        <v>1.9593309267073198E-3</v>
      </c>
      <c r="G53" s="4">
        <f t="shared" si="11"/>
        <v>3.7351819333364943E-5</v>
      </c>
      <c r="H53" s="4">
        <f t="shared" si="12"/>
        <v>2.3511971120487836E-3</v>
      </c>
      <c r="I53" s="4">
        <f t="shared" si="13"/>
        <v>0.99293454645663426</v>
      </c>
      <c r="J53" s="4">
        <f t="shared" si="14"/>
        <v>1.9286085743386635E-3</v>
      </c>
      <c r="K53" s="4">
        <f t="shared" si="15"/>
        <v>5.040357553102357E-3</v>
      </c>
      <c r="L53" s="4">
        <f t="shared" si="16"/>
        <v>9.6487415924851282E-5</v>
      </c>
      <c r="N53" s="10">
        <f t="shared" si="3"/>
        <v>0.86473746175839905</v>
      </c>
      <c r="O53" s="66">
        <v>2</v>
      </c>
      <c r="P53" s="10">
        <f t="shared" si="4"/>
        <v>3.3951955175506284E-3</v>
      </c>
      <c r="Q53" s="10">
        <f t="shared" si="5"/>
        <v>6.4724507659417527E-5</v>
      </c>
      <c r="R53" s="10">
        <f t="shared" si="6"/>
        <v>3.3592145408789802E-3</v>
      </c>
      <c r="S53" s="66"/>
      <c r="T53" s="5">
        <f t="shared" si="17"/>
        <v>2.8333333333333339</v>
      </c>
      <c r="U53" s="12">
        <f t="shared" si="7"/>
        <v>4602.7302016090998</v>
      </c>
      <c r="V53" s="12">
        <f t="shared" si="2"/>
        <v>1158041.3424996883</v>
      </c>
    </row>
    <row r="54" spans="1:22">
      <c r="A54" s="5">
        <f t="shared" si="8"/>
        <v>2.9166666666666674</v>
      </c>
      <c r="B54" s="4">
        <f t="shared" si="0"/>
        <v>7.5110885438117725E-4</v>
      </c>
      <c r="C54" s="4">
        <f t="shared" si="1"/>
        <v>1.9703170551418243E-3</v>
      </c>
      <c r="D54" s="4">
        <f t="shared" si="9"/>
        <v>3.7555442719058864E-5</v>
      </c>
      <c r="E54" s="4">
        <f t="shared" si="10"/>
        <v>7.5110885438117728E-5</v>
      </c>
      <c r="F54" s="4">
        <f t="shared" si="11"/>
        <v>1.9703170551418243E-3</v>
      </c>
      <c r="G54" s="4">
        <f t="shared" si="11"/>
        <v>3.7555442719058864E-5</v>
      </c>
      <c r="H54" s="4">
        <f t="shared" si="12"/>
        <v>2.3643804661701889E-3</v>
      </c>
      <c r="I54" s="4">
        <f t="shared" si="13"/>
        <v>0.99270753067008743</v>
      </c>
      <c r="J54" s="4">
        <f t="shared" si="14"/>
        <v>1.9900888528586458E-3</v>
      </c>
      <c r="K54" s="4">
        <f t="shared" si="15"/>
        <v>5.2028153038046468E-3</v>
      </c>
      <c r="L54" s="4">
        <f t="shared" si="16"/>
        <v>9.9565173249390175E-5</v>
      </c>
      <c r="N54" s="10">
        <f t="shared" si="3"/>
        <v>0.86103180566331683</v>
      </c>
      <c r="O54" s="66">
        <v>4</v>
      </c>
      <c r="P54" s="10">
        <f t="shared" si="4"/>
        <v>6.7996266015309739E-3</v>
      </c>
      <c r="Q54" s="10">
        <f t="shared" si="5"/>
        <v>1.2960502304864039E-4</v>
      </c>
      <c r="R54" s="10">
        <f t="shared" si="6"/>
        <v>6.9044698280899272E-3</v>
      </c>
      <c r="S54" s="66"/>
      <c r="T54" s="5">
        <f t="shared" si="17"/>
        <v>2.9166666666666674</v>
      </c>
      <c r="U54" s="12">
        <f t="shared" si="7"/>
        <v>4742.1421751224789</v>
      </c>
      <c r="V54" s="12">
        <f t="shared" si="2"/>
        <v>1156678.2357599018</v>
      </c>
    </row>
    <row r="55" spans="1:22">
      <c r="A55" s="5">
        <f t="shared" si="8"/>
        <v>3.0000000000000009</v>
      </c>
      <c r="B55" s="4">
        <f t="shared" si="0"/>
        <v>7.552291124534097E-4</v>
      </c>
      <c r="C55" s="4">
        <f t="shared" si="1"/>
        <v>1.9813858892983646E-3</v>
      </c>
      <c r="D55" s="4">
        <f t="shared" si="9"/>
        <v>3.7761455622670485E-5</v>
      </c>
      <c r="E55" s="4">
        <f t="shared" si="10"/>
        <v>7.552291124534097E-5</v>
      </c>
      <c r="F55" s="4">
        <f t="shared" si="11"/>
        <v>1.9813858892983646E-3</v>
      </c>
      <c r="G55" s="4">
        <f t="shared" si="11"/>
        <v>3.7761455622670485E-5</v>
      </c>
      <c r="H55" s="4">
        <f t="shared" si="12"/>
        <v>2.3776630671580373E-3</v>
      </c>
      <c r="I55" s="4">
        <f t="shared" si="13"/>
        <v>0.99247930466275303</v>
      </c>
      <c r="J55" s="4">
        <f t="shared" si="14"/>
        <v>2.0518793606990942E-3</v>
      </c>
      <c r="K55" s="4">
        <f t="shared" si="15"/>
        <v>5.3661573950051274E-3</v>
      </c>
      <c r="L55" s="4">
        <f t="shared" si="16"/>
        <v>1.0265858154289322E-4</v>
      </c>
      <c r="N55" s="10">
        <f t="shared" si="3"/>
        <v>0.85734093913206166</v>
      </c>
      <c r="O55" s="66">
        <v>2</v>
      </c>
      <c r="P55" s="10">
        <f t="shared" si="4"/>
        <v>3.4044704537156034E-3</v>
      </c>
      <c r="Q55" s="10">
        <f t="shared" si="5"/>
        <v>6.4882747298759989E-5</v>
      </c>
      <c r="R55" s="10">
        <f t="shared" si="6"/>
        <v>3.5449810788452116E-3</v>
      </c>
      <c r="S55" s="66"/>
      <c r="T55" s="5">
        <f t="shared" si="17"/>
        <v>3.0000000000000009</v>
      </c>
      <c r="U55" s="12">
        <f t="shared" si="7"/>
        <v>4881.7551357925804</v>
      </c>
      <c r="V55" s="12">
        <f t="shared" si="2"/>
        <v>1155310.3601739667</v>
      </c>
    </row>
    <row r="56" spans="1:22">
      <c r="A56" s="5">
        <f t="shared" si="8"/>
        <v>3.0833333333333344</v>
      </c>
      <c r="B56" s="4">
        <f t="shared" si="0"/>
        <v>7.5939772170326148E-4</v>
      </c>
      <c r="C56" s="4">
        <f t="shared" si="1"/>
        <v>1.9925380518017776E-3</v>
      </c>
      <c r="D56" s="4">
        <f t="shared" si="9"/>
        <v>3.7969886085163077E-5</v>
      </c>
      <c r="E56" s="4">
        <f t="shared" si="10"/>
        <v>7.5939772170326153E-5</v>
      </c>
      <c r="F56" s="4">
        <f t="shared" si="11"/>
        <v>1.9925380518017776E-3</v>
      </c>
      <c r="G56" s="4">
        <f t="shared" si="11"/>
        <v>3.7969886085163077E-5</v>
      </c>
      <c r="H56" s="4">
        <f t="shared" si="12"/>
        <v>2.3910456621621329E-3</v>
      </c>
      <c r="I56" s="4">
        <f t="shared" si="13"/>
        <v>0.99224985830830426</v>
      </c>
      <c r="J56" s="4">
        <f t="shared" si="14"/>
        <v>2.1139836318426549E-3</v>
      </c>
      <c r="K56" s="4">
        <f t="shared" si="15"/>
        <v>5.5303902401725542E-3</v>
      </c>
      <c r="L56" s="4">
        <f t="shared" si="16"/>
        <v>1.0576781968064339E-4</v>
      </c>
      <c r="N56" s="10">
        <f t="shared" si="3"/>
        <v>0.85366479868465817</v>
      </c>
      <c r="O56" s="66">
        <v>4</v>
      </c>
      <c r="P56" s="10">
        <f t="shared" si="4"/>
        <v>6.8183339249509234E-3</v>
      </c>
      <c r="Q56" s="10">
        <f t="shared" si="5"/>
        <v>1.2993044834796688E-4</v>
      </c>
      <c r="R56" s="10">
        <f t="shared" si="6"/>
        <v>7.2749152701371339E-3</v>
      </c>
      <c r="S56" s="66"/>
      <c r="T56" s="5">
        <f t="shared" si="17"/>
        <v>3.0833333333333344</v>
      </c>
      <c r="U56" s="12">
        <f t="shared" si="7"/>
        <v>5021.5662275720742</v>
      </c>
      <c r="V56" s="12">
        <f t="shared" si="2"/>
        <v>1153937.7007705371</v>
      </c>
    </row>
    <row r="57" spans="1:22">
      <c r="A57" s="5">
        <f t="shared" si="8"/>
        <v>3.1666666666666679</v>
      </c>
      <c r="B57" s="4">
        <f t="shared" si="0"/>
        <v>7.6361524953120455E-4</v>
      </c>
      <c r="C57" s="4">
        <f t="shared" si="1"/>
        <v>2.0037741699641459E-3</v>
      </c>
      <c r="D57" s="4">
        <f t="shared" si="9"/>
        <v>3.8180762476560233E-5</v>
      </c>
      <c r="E57" s="4">
        <f t="shared" si="10"/>
        <v>7.6361524953120466E-5</v>
      </c>
      <c r="F57" s="4">
        <f t="shared" si="11"/>
        <v>2.0037741699641459E-3</v>
      </c>
      <c r="G57" s="4">
        <f t="shared" si="11"/>
        <v>3.8180762476560233E-5</v>
      </c>
      <c r="H57" s="4">
        <f t="shared" si="12"/>
        <v>2.4045290039569748E-3</v>
      </c>
      <c r="I57" s="4">
        <f t="shared" si="13"/>
        <v>0.99201918139497203</v>
      </c>
      <c r="J57" s="4">
        <f t="shared" si="14"/>
        <v>2.1764052389909314E-3</v>
      </c>
      <c r="K57" s="4">
        <f t="shared" si="15"/>
        <v>5.6955202975132206E-3</v>
      </c>
      <c r="L57" s="4">
        <f t="shared" si="16"/>
        <v>1.0889306852391246E-4</v>
      </c>
      <c r="N57" s="10">
        <f t="shared" si="3"/>
        <v>0.85000332109306365</v>
      </c>
      <c r="O57" s="66">
        <v>2</v>
      </c>
      <c r="P57" s="10">
        <f t="shared" si="4"/>
        <v>3.41390281313646E-3</v>
      </c>
      <c r="Q57" s="10">
        <f t="shared" si="5"/>
        <v>6.5049951426789912E-5</v>
      </c>
      <c r="R57" s="10">
        <f t="shared" si="6"/>
        <v>3.7296691755198575E-3</v>
      </c>
      <c r="S57" s="66"/>
      <c r="T57" s="5">
        <f t="shared" si="17"/>
        <v>3.1666666666666679</v>
      </c>
      <c r="U57" s="12">
        <f t="shared" si="7"/>
        <v>5161.5725504997499</v>
      </c>
      <c r="V57" s="12">
        <f t="shared" si="2"/>
        <v>1152560.2425321541</v>
      </c>
    </row>
    <row r="58" spans="1:22">
      <c r="A58" s="5">
        <f t="shared" si="8"/>
        <v>3.2500000000000013</v>
      </c>
      <c r="B58" s="4">
        <f t="shared" si="0"/>
        <v>7.6788226999614882E-4</v>
      </c>
      <c r="C58" s="4">
        <f t="shared" si="1"/>
        <v>2.0150948758200764E-3</v>
      </c>
      <c r="D58" s="4">
        <f t="shared" si="9"/>
        <v>3.8394113499807445E-5</v>
      </c>
      <c r="E58" s="4">
        <f t="shared" si="10"/>
        <v>7.678822699961489E-5</v>
      </c>
      <c r="F58" s="4">
        <f t="shared" si="11"/>
        <v>2.0150948758200764E-3</v>
      </c>
      <c r="G58" s="4">
        <f t="shared" si="11"/>
        <v>3.8394113499807445E-5</v>
      </c>
      <c r="H58" s="4">
        <f t="shared" si="12"/>
        <v>2.4181138509840917E-3</v>
      </c>
      <c r="I58" s="4">
        <f t="shared" si="13"/>
        <v>0.99178726362483516</v>
      </c>
      <c r="J58" s="4">
        <f t="shared" si="14"/>
        <v>2.239147793966344E-3</v>
      </c>
      <c r="K58" s="4">
        <f t="shared" si="15"/>
        <v>5.8615540702574775E-3</v>
      </c>
      <c r="L58" s="4">
        <f t="shared" si="16"/>
        <v>1.120345109411558E-4</v>
      </c>
      <c r="N58" s="10">
        <f t="shared" si="3"/>
        <v>0.84635644338009297</v>
      </c>
      <c r="O58" s="66">
        <v>4</v>
      </c>
      <c r="P58" s="10">
        <f t="shared" si="4"/>
        <v>6.8373559836019974E-3</v>
      </c>
      <c r="Q58" s="10">
        <f t="shared" si="5"/>
        <v>1.3027387683975329E-4</v>
      </c>
      <c r="R58" s="10">
        <f t="shared" si="6"/>
        <v>7.6432405722871031E-3</v>
      </c>
      <c r="S58" s="66"/>
      <c r="T58" s="5">
        <f t="shared" si="17"/>
        <v>3.2500000000000013</v>
      </c>
      <c r="U58" s="12">
        <f t="shared" si="7"/>
        <v>5301.7711602907566</v>
      </c>
      <c r="V58" s="12">
        <f t="shared" si="2"/>
        <v>1151177.9703949478</v>
      </c>
    </row>
    <row r="59" spans="1:22">
      <c r="A59" s="5">
        <f t="shared" si="8"/>
        <v>3.3333333333333348</v>
      </c>
      <c r="B59" s="4">
        <f t="shared" si="0"/>
        <v>7.7219936389357976E-4</v>
      </c>
      <c r="C59" s="4">
        <f t="shared" si="1"/>
        <v>2.0265008061622625E-3</v>
      </c>
      <c r="D59" s="4">
        <f t="shared" si="9"/>
        <v>3.8609968194678994E-5</v>
      </c>
      <c r="E59" s="4">
        <f t="shared" si="10"/>
        <v>7.7219936389357987E-5</v>
      </c>
      <c r="F59" s="4">
        <f t="shared" si="11"/>
        <v>2.0265008061622625E-3</v>
      </c>
      <c r="G59" s="4">
        <f t="shared" si="11"/>
        <v>3.8609968194678994E-5</v>
      </c>
      <c r="H59" s="4">
        <f t="shared" si="12"/>
        <v>2.4318009673947147E-3</v>
      </c>
      <c r="I59" s="4">
        <f t="shared" si="13"/>
        <v>0.9915540946131054</v>
      </c>
      <c r="J59" s="4">
        <f t="shared" si="14"/>
        <v>2.3022149481176815E-3</v>
      </c>
      <c r="K59" s="4">
        <f t="shared" si="15"/>
        <v>6.0284981069476896E-3</v>
      </c>
      <c r="L59" s="4">
        <f t="shared" si="16"/>
        <v>1.1519233182941619E-4</v>
      </c>
      <c r="N59" s="10">
        <f t="shared" si="3"/>
        <v>0.84272410281834986</v>
      </c>
      <c r="O59" s="66">
        <v>2</v>
      </c>
      <c r="P59" s="10">
        <f t="shared" si="4"/>
        <v>3.4234924845765445E-3</v>
      </c>
      <c r="Q59" s="10">
        <f t="shared" si="5"/>
        <v>6.5226194602184222E-5</v>
      </c>
      <c r="R59" s="10">
        <f t="shared" si="6"/>
        <v>3.9133155461467534E-3</v>
      </c>
      <c r="S59" s="66"/>
      <c r="T59" s="5">
        <f t="shared" si="17"/>
        <v>3.3333333333333348</v>
      </c>
      <c r="U59" s="12">
        <f t="shared" si="7"/>
        <v>5442.1590679244</v>
      </c>
      <c r="V59" s="12">
        <f t="shared" si="2"/>
        <v>1149790.8692483357</v>
      </c>
    </row>
    <row r="60" spans="1:22">
      <c r="A60" s="5">
        <f t="shared" si="8"/>
        <v>3.4166666666666683</v>
      </c>
      <c r="B60" s="4">
        <f t="shared" si="0"/>
        <v>7.7656711883460842E-4</v>
      </c>
      <c r="C60" s="4">
        <f t="shared" si="1"/>
        <v>2.0379926025772912E-3</v>
      </c>
      <c r="D60" s="4">
        <f t="shared" si="9"/>
        <v>3.8828355941730424E-5</v>
      </c>
      <c r="E60" s="4">
        <f t="shared" si="10"/>
        <v>7.7656711883460847E-5</v>
      </c>
      <c r="F60" s="4">
        <f t="shared" si="11"/>
        <v>2.0379926025772912E-3</v>
      </c>
      <c r="G60" s="4">
        <f t="shared" si="11"/>
        <v>3.8828355941730424E-5</v>
      </c>
      <c r="H60" s="4">
        <f t="shared" si="12"/>
        <v>2.4455911230927495E-3</v>
      </c>
      <c r="I60" s="4">
        <f t="shared" si="13"/>
        <v>0.99131966388740722</v>
      </c>
      <c r="J60" s="4">
        <f t="shared" si="14"/>
        <v>2.3656103927293666E-3</v>
      </c>
      <c r="K60" s="4">
        <f t="shared" si="15"/>
        <v>6.196359001727627E-3</v>
      </c>
      <c r="L60" s="4">
        <f t="shared" si="16"/>
        <v>1.1836671813593791E-4</v>
      </c>
      <c r="N60" s="10">
        <f t="shared" si="3"/>
        <v>0.83910623692916186</v>
      </c>
      <c r="O60" s="66">
        <v>4</v>
      </c>
      <c r="P60" s="10">
        <f t="shared" si="4"/>
        <v>6.8566925551392247E-3</v>
      </c>
      <c r="Q60" s="10">
        <f t="shared" si="5"/>
        <v>1.3063545901848383E-4</v>
      </c>
      <c r="R60" s="10">
        <f t="shared" si="6"/>
        <v>8.009519056243029E-3</v>
      </c>
      <c r="S60" s="66"/>
      <c r="T60" s="5">
        <f t="shared" si="17"/>
        <v>3.4166666666666683</v>
      </c>
      <c r="U60" s="12">
        <f t="shared" si="7"/>
        <v>5582.7332392295175</v>
      </c>
      <c r="V60" s="12">
        <f t="shared" si="2"/>
        <v>1148398.9239347146</v>
      </c>
    </row>
    <row r="61" spans="1:22">
      <c r="A61" s="5">
        <f t="shared" si="8"/>
        <v>3.5000000000000018</v>
      </c>
      <c r="B61" s="4">
        <f t="shared" si="0"/>
        <v>7.8098612932595609E-4</v>
      </c>
      <c r="C61" s="4">
        <f t="shared" si="1"/>
        <v>2.0495709114817396E-3</v>
      </c>
      <c r="D61" s="4">
        <f t="shared" si="9"/>
        <v>3.9049306466297806E-5</v>
      </c>
      <c r="E61" s="4">
        <f t="shared" si="10"/>
        <v>7.8098612932595612E-5</v>
      </c>
      <c r="F61" s="4">
        <f t="shared" si="11"/>
        <v>2.0495709114817396E-3</v>
      </c>
      <c r="G61" s="4">
        <f t="shared" si="11"/>
        <v>3.9049306466297806E-5</v>
      </c>
      <c r="H61" s="4">
        <f t="shared" si="12"/>
        <v>2.4594850937780873E-3</v>
      </c>
      <c r="I61" s="4">
        <f t="shared" si="13"/>
        <v>0.99108396088705231</v>
      </c>
      <c r="J61" s="4">
        <f t="shared" si="14"/>
        <v>2.4293378594344608E-3</v>
      </c>
      <c r="K61" s="4">
        <f t="shared" si="15"/>
        <v>6.3651433946332976E-3</v>
      </c>
      <c r="L61" s="4">
        <f t="shared" si="16"/>
        <v>1.2155785887999309E-4</v>
      </c>
      <c r="N61" s="10">
        <f t="shared" si="3"/>
        <v>0.83550278348152063</v>
      </c>
      <c r="O61" s="66">
        <v>2</v>
      </c>
      <c r="P61" s="10">
        <f t="shared" si="4"/>
        <v>3.4332393568797092E-3</v>
      </c>
      <c r="Q61" s="10">
        <f t="shared" si="5"/>
        <v>6.5411552763513836E-5</v>
      </c>
      <c r="R61" s="10">
        <f t="shared" si="6"/>
        <v>4.0959567981664587E-3</v>
      </c>
      <c r="S61" s="66"/>
      <c r="T61" s="5">
        <f t="shared" si="17"/>
        <v>3.5000000000000018</v>
      </c>
      <c r="U61" s="12">
        <f t="shared" si="7"/>
        <v>5723.4905944674247</v>
      </c>
      <c r="V61" s="12">
        <f t="shared" si="2"/>
        <v>1147002.1192491495</v>
      </c>
    </row>
    <row r="62" spans="1:22">
      <c r="A62" s="5">
        <f t="shared" si="8"/>
        <v>3.5833333333333353</v>
      </c>
      <c r="B62" s="4">
        <f t="shared" si="0"/>
        <v>7.8545699685087379E-4</v>
      </c>
      <c r="C62" s="4">
        <f t="shared" si="1"/>
        <v>2.0612363841585389E-3</v>
      </c>
      <c r="D62" s="4">
        <f t="shared" si="9"/>
        <v>3.9272849842543695E-5</v>
      </c>
      <c r="E62" s="4">
        <f t="shared" si="10"/>
        <v>7.854569968508739E-5</v>
      </c>
      <c r="F62" s="4">
        <f t="shared" si="11"/>
        <v>2.0612363841585389E-3</v>
      </c>
      <c r="G62" s="4">
        <f t="shared" si="11"/>
        <v>3.9272849842543695E-5</v>
      </c>
      <c r="H62" s="4">
        <f t="shared" si="12"/>
        <v>2.4734836609902468E-3</v>
      </c>
      <c r="I62" s="4">
        <f t="shared" si="13"/>
        <v>0.99084697496230845</v>
      </c>
      <c r="J62" s="4">
        <f t="shared" si="14"/>
        <v>2.4934011206314281E-3</v>
      </c>
      <c r="K62" s="4">
        <f t="shared" si="15"/>
        <v>6.5348579718852154E-3</v>
      </c>
      <c r="L62" s="4">
        <f t="shared" si="16"/>
        <v>1.2476594517492204E-4</v>
      </c>
      <c r="N62" s="10">
        <f t="shared" si="3"/>
        <v>0.83191368049102543</v>
      </c>
      <c r="O62" s="66">
        <v>4</v>
      </c>
      <c r="P62" s="10">
        <f t="shared" si="4"/>
        <v>6.8763434171864573E-3</v>
      </c>
      <c r="Q62" s="10">
        <f t="shared" si="5"/>
        <v>1.3101534814949031E-4</v>
      </c>
      <c r="R62" s="10">
        <f t="shared" si="6"/>
        <v>8.3738238320154104E-3</v>
      </c>
      <c r="S62" s="66"/>
      <c r="T62" s="5">
        <f t="shared" si="17"/>
        <v>3.5833333333333353</v>
      </c>
      <c r="U62" s="12">
        <f t="shared" si="7"/>
        <v>5864.428007912451</v>
      </c>
      <c r="V62" s="12">
        <f t="shared" si="2"/>
        <v>1145600.4399390563</v>
      </c>
    </row>
    <row r="63" spans="1:22">
      <c r="A63" s="5">
        <f t="shared" si="8"/>
        <v>3.6666666666666687</v>
      </c>
      <c r="B63" s="4">
        <f t="shared" si="0"/>
        <v>7.8998032995101033E-4</v>
      </c>
      <c r="C63" s="4">
        <f t="shared" si="1"/>
        <v>2.0729896767936024E-3</v>
      </c>
      <c r="D63" s="4">
        <f t="shared" si="9"/>
        <v>3.9499016497550521E-5</v>
      </c>
      <c r="E63" s="4">
        <f t="shared" si="10"/>
        <v>7.8998032995101041E-5</v>
      </c>
      <c r="F63" s="4">
        <f t="shared" si="11"/>
        <v>2.0729896767936024E-3</v>
      </c>
      <c r="G63" s="4">
        <f t="shared" si="11"/>
        <v>3.9499016497550521E-5</v>
      </c>
      <c r="H63" s="4">
        <f t="shared" si="12"/>
        <v>2.4875876121523226E-3</v>
      </c>
      <c r="I63" s="4">
        <f t="shared" si="13"/>
        <v>0.99060869537366281</v>
      </c>
      <c r="J63" s="4">
        <f t="shared" si="14"/>
        <v>2.557803989904686E-3</v>
      </c>
      <c r="K63" s="4">
        <f t="shared" si="15"/>
        <v>6.7055094661821087E-3</v>
      </c>
      <c r="L63" s="4">
        <f t="shared" si="16"/>
        <v>1.2799117025038897E-4</v>
      </c>
      <c r="N63" s="10">
        <f t="shared" si="3"/>
        <v>0.82833886621883313</v>
      </c>
      <c r="O63" s="66">
        <v>2</v>
      </c>
      <c r="P63" s="10">
        <f t="shared" si="4"/>
        <v>3.4431433187772664E-3</v>
      </c>
      <c r="Q63" s="10">
        <f t="shared" si="5"/>
        <v>6.5606103240308143E-5</v>
      </c>
      <c r="R63" s="10">
        <f t="shared" si="6"/>
        <v>4.2776294351191011E-3</v>
      </c>
      <c r="S63" s="66"/>
      <c r="T63" s="5">
        <f t="shared" si="17"/>
        <v>3.6666666666666687</v>
      </c>
      <c r="U63" s="12">
        <f t="shared" si="7"/>
        <v>6005.5423074300688</v>
      </c>
      <c r="V63" s="12">
        <f t="shared" si="2"/>
        <v>1144193.8707038802</v>
      </c>
    </row>
    <row r="64" spans="1:22">
      <c r="A64" s="5">
        <f t="shared" si="8"/>
        <v>3.7500000000000022</v>
      </c>
      <c r="B64" s="4">
        <f t="shared" si="0"/>
        <v>7.9455674430924236E-4</v>
      </c>
      <c r="C64" s="4">
        <f t="shared" si="1"/>
        <v>2.0848314505127388E-3</v>
      </c>
      <c r="D64" s="4">
        <f t="shared" si="9"/>
        <v>3.9727837215462119E-5</v>
      </c>
      <c r="E64" s="4">
        <f t="shared" si="10"/>
        <v>7.9455674430924239E-5</v>
      </c>
      <c r="F64" s="4">
        <f t="shared" si="11"/>
        <v>2.0848314505127388E-3</v>
      </c>
      <c r="G64" s="4">
        <f t="shared" si="11"/>
        <v>3.9727837215462119E-5</v>
      </c>
      <c r="H64" s="4">
        <f t="shared" si="12"/>
        <v>2.5017977406152866E-3</v>
      </c>
      <c r="I64" s="4">
        <f t="shared" si="13"/>
        <v>0.99036911129108007</v>
      </c>
      <c r="J64" s="4">
        <f t="shared" si="14"/>
        <v>2.6225503224489616E-3</v>
      </c>
      <c r="K64" s="4">
        <f t="shared" si="15"/>
        <v>6.8771046569960663E-3</v>
      </c>
      <c r="L64" s="4">
        <f t="shared" si="16"/>
        <v>1.3123372947485533E-4</v>
      </c>
      <c r="N64" s="10">
        <f t="shared" si="3"/>
        <v>0.82477827917061164</v>
      </c>
      <c r="O64" s="66">
        <v>4</v>
      </c>
      <c r="P64" s="10">
        <f t="shared" si="4"/>
        <v>6.8963083469468006E-3</v>
      </c>
      <c r="Q64" s="10">
        <f t="shared" si="5"/>
        <v>1.314137002910975E-4</v>
      </c>
      <c r="R64" s="10">
        <f t="shared" si="6"/>
        <v>8.7362278056834584E-3</v>
      </c>
      <c r="S64" s="66"/>
      <c r="T64" s="5">
        <f t="shared" si="17"/>
        <v>3.7500000000000022</v>
      </c>
      <c r="U64" s="12">
        <f t="shared" si="7"/>
        <v>6146.8302740526224</v>
      </c>
      <c r="V64" s="12">
        <f t="shared" si="2"/>
        <v>1142782.3961947691</v>
      </c>
    </row>
    <row r="65" spans="1:22">
      <c r="A65" s="5">
        <f t="shared" si="8"/>
        <v>3.8333333333333357</v>
      </c>
      <c r="B65" s="4">
        <f t="shared" si="0"/>
        <v>7.9918686283347927E-4</v>
      </c>
      <c r="C65" s="4">
        <f t="shared" si="1"/>
        <v>2.0967623714188426E-3</v>
      </c>
      <c r="D65" s="4">
        <f t="shared" si="9"/>
        <v>3.9959343141673965E-5</v>
      </c>
      <c r="E65" s="4">
        <f t="shared" si="10"/>
        <v>7.9918686283347929E-5</v>
      </c>
      <c r="F65" s="4">
        <f t="shared" si="11"/>
        <v>2.0967623714188426E-3</v>
      </c>
      <c r="G65" s="4">
        <f t="shared" si="11"/>
        <v>3.9959343141673965E-5</v>
      </c>
      <c r="H65" s="4">
        <f t="shared" si="12"/>
        <v>2.5161148457026111E-3</v>
      </c>
      <c r="I65" s="4">
        <f t="shared" si="13"/>
        <v>0.99012821179325505</v>
      </c>
      <c r="J65" s="4">
        <f t="shared" si="14"/>
        <v>2.6876440154974769E-3</v>
      </c>
      <c r="K65" s="4">
        <f t="shared" si="15"/>
        <v>7.0496503708691229E-3</v>
      </c>
      <c r="L65" s="4">
        <f t="shared" si="16"/>
        <v>1.3449382037827206E-4</v>
      </c>
      <c r="N65" s="10">
        <f t="shared" si="3"/>
        <v>0.82123185809549792</v>
      </c>
      <c r="O65" s="66">
        <v>2</v>
      </c>
      <c r="P65" s="10">
        <f t="shared" si="4"/>
        <v>3.4532042586914078E-3</v>
      </c>
      <c r="Q65" s="10">
        <f t="shared" si="5"/>
        <v>6.5809924764133318E-5</v>
      </c>
      <c r="R65" s="10">
        <f t="shared" si="6"/>
        <v>4.4583698605026936E-3</v>
      </c>
      <c r="S65" s="66"/>
      <c r="T65" s="5">
        <f t="shared" si="17"/>
        <v>3.8333333333333357</v>
      </c>
      <c r="U65" s="12">
        <f t="shared" si="7"/>
        <v>6288.2886415526737</v>
      </c>
      <c r="V65" s="12">
        <f t="shared" si="2"/>
        <v>1141366.0010142413</v>
      </c>
    </row>
    <row r="66" spans="1:22">
      <c r="A66" s="5">
        <f t="shared" si="8"/>
        <v>3.9166666666666692</v>
      </c>
      <c r="B66" s="4">
        <f t="shared" si="0"/>
        <v>8.0387131574144639E-4</v>
      </c>
      <c r="C66" s="4">
        <f t="shared" si="1"/>
        <v>2.1087831106293619E-3</v>
      </c>
      <c r="D66" s="4">
        <f t="shared" si="9"/>
        <v>4.0193565787072324E-5</v>
      </c>
      <c r="E66" s="4">
        <f t="shared" si="10"/>
        <v>8.0387131574144647E-5</v>
      </c>
      <c r="F66" s="4">
        <f t="shared" si="11"/>
        <v>2.1087831106293619E-3</v>
      </c>
      <c r="G66" s="4">
        <f t="shared" si="11"/>
        <v>4.0193565787072324E-5</v>
      </c>
      <c r="H66" s="4">
        <f t="shared" si="12"/>
        <v>2.5305397327552341E-3</v>
      </c>
      <c r="I66" s="4">
        <f t="shared" si="13"/>
        <v>0.98988598586685972</v>
      </c>
      <c r="J66" s="4">
        <f t="shared" si="14"/>
        <v>2.7530890087539887E-3</v>
      </c>
      <c r="K66" s="4">
        <f t="shared" si="15"/>
        <v>7.2231534817112806E-3</v>
      </c>
      <c r="L66" s="4">
        <f t="shared" si="16"/>
        <v>1.3777164267499272E-4</v>
      </c>
      <c r="N66" s="10">
        <f t="shared" si="3"/>
        <v>0.81769954198506156</v>
      </c>
      <c r="O66" s="66">
        <v>4</v>
      </c>
      <c r="P66" s="10">
        <f t="shared" si="4"/>
        <v>6.9165871208058472E-3</v>
      </c>
      <c r="Q66" s="10">
        <f t="shared" si="5"/>
        <v>1.3183067431679011E-4</v>
      </c>
      <c r="R66" s="10">
        <f t="shared" si="6"/>
        <v>9.0968036870663661E-3</v>
      </c>
      <c r="S66" s="66"/>
      <c r="T66" s="5">
        <f t="shared" si="17"/>
        <v>3.9166666666666692</v>
      </c>
      <c r="U66" s="12">
        <f t="shared" si="7"/>
        <v>6429.9140960139648</v>
      </c>
      <c r="V66" s="12">
        <f t="shared" si="2"/>
        <v>1139944.6697158488</v>
      </c>
    </row>
    <row r="67" spans="1:22">
      <c r="A67" s="5">
        <f t="shared" si="8"/>
        <v>4.0000000000000027</v>
      </c>
      <c r="B67" s="4">
        <f t="shared" si="0"/>
        <v>8.0861074064646492E-4</v>
      </c>
      <c r="C67" s="4">
        <f t="shared" si="1"/>
        <v>2.1208943443140442E-3</v>
      </c>
      <c r="D67" s="4">
        <f t="shared" si="9"/>
        <v>4.0430537032323251E-5</v>
      </c>
      <c r="E67" s="4">
        <f t="shared" si="10"/>
        <v>8.0861074064646503E-5</v>
      </c>
      <c r="F67" s="4">
        <f t="shared" si="11"/>
        <v>2.1208943443140442E-3</v>
      </c>
      <c r="G67" s="4">
        <f t="shared" si="11"/>
        <v>4.0430537032323251E-5</v>
      </c>
      <c r="H67" s="4">
        <f t="shared" si="12"/>
        <v>2.545073213176853E-3</v>
      </c>
      <c r="I67" s="4">
        <f t="shared" si="13"/>
        <v>0.98964242240578437</v>
      </c>
      <c r="J67" s="4">
        <f t="shared" si="14"/>
        <v>2.8188892848286986E-3</v>
      </c>
      <c r="K67" s="4">
        <f t="shared" si="15"/>
        <v>7.3976209110999712E-3</v>
      </c>
      <c r="L67" s="4">
        <f t="shared" si="16"/>
        <v>1.41067398286909E-4</v>
      </c>
      <c r="N67" s="10">
        <f t="shared" si="3"/>
        <v>0.81418127007227148</v>
      </c>
      <c r="O67" s="66">
        <v>2</v>
      </c>
      <c r="P67" s="10">
        <f t="shared" si="4"/>
        <v>3.463422064535033E-3</v>
      </c>
      <c r="Q67" s="10">
        <f t="shared" si="5"/>
        <v>6.6023097479680457E-5</v>
      </c>
      <c r="R67" s="10">
        <f t="shared" si="6"/>
        <v>4.638214381585775E-3</v>
      </c>
      <c r="S67" s="66"/>
      <c r="T67" s="5">
        <f t="shared" si="17"/>
        <v>4.0000000000000027</v>
      </c>
      <c r="U67" s="12">
        <f t="shared" si="7"/>
        <v>6571.7032754000211</v>
      </c>
      <c r="V67" s="12">
        <f t="shared" si="2"/>
        <v>1138518.3868038342</v>
      </c>
    </row>
    <row r="68" spans="1:22">
      <c r="A68" s="5">
        <f t="shared" si="8"/>
        <v>4.0833333333333357</v>
      </c>
      <c r="B68" s="4">
        <f t="shared" si="0"/>
        <v>8.1340578264424293E-4</v>
      </c>
      <c r="C68" s="4">
        <f t="shared" si="1"/>
        <v>2.1330967537329798E-3</v>
      </c>
      <c r="D68" s="4">
        <f t="shared" si="9"/>
        <v>4.0670289132212152E-5</v>
      </c>
      <c r="E68" s="4">
        <f t="shared" si="10"/>
        <v>8.1340578264424304E-5</v>
      </c>
      <c r="F68" s="4">
        <f t="shared" si="11"/>
        <v>2.1330967537329798E-3</v>
      </c>
      <c r="G68" s="4">
        <f t="shared" si="11"/>
        <v>4.0670289132212152E-5</v>
      </c>
      <c r="H68" s="4">
        <f t="shared" si="12"/>
        <v>2.5597161044795757E-3</v>
      </c>
      <c r="I68" s="4">
        <f t="shared" si="13"/>
        <v>0.98939751021037414</v>
      </c>
      <c r="J68" s="4">
        <f t="shared" si="14"/>
        <v>2.8850488696780655E-3</v>
      </c>
      <c r="K68" s="4">
        <f t="shared" si="15"/>
        <v>7.5730596285809504E-3</v>
      </c>
      <c r="L68" s="4">
        <f t="shared" si="16"/>
        <v>1.443812913668109E-4</v>
      </c>
      <c r="N68" s="10">
        <f t="shared" si="3"/>
        <v>0.81067698183046921</v>
      </c>
      <c r="O68" s="66">
        <v>4</v>
      </c>
      <c r="P68" s="10">
        <f t="shared" si="4"/>
        <v>6.9371795139276599E-3</v>
      </c>
      <c r="Q68" s="10">
        <f t="shared" si="5"/>
        <v>1.3226643193739289E-4</v>
      </c>
      <c r="R68" s="10">
        <f t="shared" si="6"/>
        <v>9.4556239973020186E-3</v>
      </c>
      <c r="S68" s="66"/>
      <c r="T68" s="5">
        <f t="shared" si="17"/>
        <v>4.0833333333333357</v>
      </c>
      <c r="U68" s="12">
        <f t="shared" si="7"/>
        <v>6713.6527691203919</v>
      </c>
      <c r="V68" s="12">
        <f t="shared" si="2"/>
        <v>1137087.1367327836</v>
      </c>
    </row>
    <row r="69" spans="1:22">
      <c r="A69" s="5">
        <f t="shared" si="8"/>
        <v>4.1666666666666687</v>
      </c>
      <c r="B69" s="4">
        <f t="shared" si="0"/>
        <v>8.1825709440067713E-4</v>
      </c>
      <c r="C69" s="4">
        <f t="shared" si="1"/>
        <v>2.1453910252749162E-3</v>
      </c>
      <c r="D69" s="4">
        <f t="shared" si="9"/>
        <v>4.0912854720033862E-5</v>
      </c>
      <c r="E69" s="4">
        <f t="shared" si="10"/>
        <v>8.1825709440067724E-5</v>
      </c>
      <c r="F69" s="4">
        <f t="shared" si="11"/>
        <v>2.1453910252749162E-3</v>
      </c>
      <c r="G69" s="4">
        <f t="shared" si="11"/>
        <v>4.0912854720033862E-5</v>
      </c>
      <c r="H69" s="4">
        <f t="shared" si="12"/>
        <v>2.5744692303298995E-3</v>
      </c>
      <c r="I69" s="4">
        <f t="shared" si="13"/>
        <v>0.98915123798665883</v>
      </c>
      <c r="J69" s="4">
        <f t="shared" si="14"/>
        <v>2.9515718330485313E-3</v>
      </c>
      <c r="K69" s="4">
        <f t="shared" si="15"/>
        <v>7.7494766519706345E-3</v>
      </c>
      <c r="L69" s="4">
        <f t="shared" si="16"/>
        <v>1.4771352832197257E-4</v>
      </c>
      <c r="N69" s="10">
        <f t="shared" si="3"/>
        <v>0.80718661697234384</v>
      </c>
      <c r="O69" s="66">
        <v>2</v>
      </c>
      <c r="P69" s="10">
        <f t="shared" si="4"/>
        <v>3.4737966235078789E-3</v>
      </c>
      <c r="Q69" s="10">
        <f t="shared" si="5"/>
        <v>6.6245702955856258E-5</v>
      </c>
      <c r="R69" s="10">
        <f t="shared" si="6"/>
        <v>4.8171992131731773E-3</v>
      </c>
      <c r="S69" s="66"/>
      <c r="T69" s="5">
        <f t="shared" si="17"/>
        <v>4.1666666666666687</v>
      </c>
      <c r="U69" s="12">
        <f t="shared" si="7"/>
        <v>6855.7591175945563</v>
      </c>
      <c r="V69" s="12">
        <f t="shared" si="2"/>
        <v>1135650.9039072725</v>
      </c>
    </row>
    <row r="70" spans="1:22">
      <c r="A70" s="5">
        <f t="shared" si="8"/>
        <v>4.2500000000000018</v>
      </c>
      <c r="B70" s="4">
        <f t="shared" si="0"/>
        <v>8.2316533624069051E-4</v>
      </c>
      <c r="C70" s="4">
        <f t="shared" si="1"/>
        <v>2.1577778504958678E-3</v>
      </c>
      <c r="D70" s="4">
        <f t="shared" si="9"/>
        <v>4.1158266812034531E-5</v>
      </c>
      <c r="E70" s="4">
        <f t="shared" si="10"/>
        <v>8.2316533624069062E-5</v>
      </c>
      <c r="F70" s="4">
        <f t="shared" si="11"/>
        <v>2.1577778504958678E-3</v>
      </c>
      <c r="G70" s="4">
        <f t="shared" si="11"/>
        <v>4.1158266812034531E-5</v>
      </c>
      <c r="H70" s="4">
        <f t="shared" si="12"/>
        <v>2.5893334205950411E-3</v>
      </c>
      <c r="I70" s="4">
        <f t="shared" si="13"/>
        <v>0.98890359434557784</v>
      </c>
      <c r="J70" s="4">
        <f t="shared" si="14"/>
        <v>3.018462288924191E-3</v>
      </c>
      <c r="K70" s="4">
        <f t="shared" si="15"/>
        <v>7.9268790476598669E-3</v>
      </c>
      <c r="L70" s="4">
        <f t="shared" si="16"/>
        <v>1.5106431783796611E-4</v>
      </c>
      <c r="N70" s="10">
        <f t="shared" si="3"/>
        <v>0.8037101154489148</v>
      </c>
      <c r="O70" s="66">
        <v>4</v>
      </c>
      <c r="P70" s="10">
        <f t="shared" si="4"/>
        <v>6.9580852998432944E-3</v>
      </c>
      <c r="Q70" s="10">
        <f t="shared" si="5"/>
        <v>1.327211377232524E-4</v>
      </c>
      <c r="R70" s="10">
        <f t="shared" si="6"/>
        <v>9.8127610763307175E-3</v>
      </c>
      <c r="S70" s="66"/>
      <c r="T70" s="5">
        <f t="shared" si="17"/>
        <v>4.2500000000000018</v>
      </c>
      <c r="U70" s="12">
        <f t="shared" si="7"/>
        <v>6998.018811813492</v>
      </c>
      <c r="V70" s="12">
        <f t="shared" si="2"/>
        <v>1134209.6726815079</v>
      </c>
    </row>
    <row r="71" spans="1:22">
      <c r="A71" s="5">
        <f t="shared" si="8"/>
        <v>4.3333333333333348</v>
      </c>
      <c r="B71" s="4">
        <f t="shared" si="0"/>
        <v>8.2813117623811131E-4</v>
      </c>
      <c r="C71" s="4">
        <f t="shared" si="1"/>
        <v>2.1702579261580202E-3</v>
      </c>
      <c r="D71" s="4">
        <f t="shared" si="9"/>
        <v>4.1406558811905565E-5</v>
      </c>
      <c r="E71" s="4">
        <f t="shared" si="10"/>
        <v>8.2813117623811131E-5</v>
      </c>
      <c r="F71" s="4">
        <f t="shared" si="11"/>
        <v>2.1702579261580202E-3</v>
      </c>
      <c r="G71" s="4">
        <f t="shared" si="11"/>
        <v>4.1406558811905565E-5</v>
      </c>
      <c r="H71" s="4">
        <f t="shared" si="12"/>
        <v>2.6043095113896242E-3</v>
      </c>
      <c r="I71" s="4">
        <f t="shared" si="13"/>
        <v>0.98865456780219962</v>
      </c>
      <c r="J71" s="4">
        <f t="shared" si="14"/>
        <v>3.0857243959784208E-3</v>
      </c>
      <c r="K71" s="4">
        <f t="shared" si="15"/>
        <v>8.1052739309191244E-3</v>
      </c>
      <c r="L71" s="4">
        <f t="shared" si="16"/>
        <v>1.5443387090270506E-4</v>
      </c>
      <c r="N71" s="10">
        <f t="shared" si="3"/>
        <v>0.80024741744851702</v>
      </c>
      <c r="O71" s="66">
        <v>2</v>
      </c>
      <c r="P71" s="10">
        <f t="shared" si="4"/>
        <v>3.4843278218888688E-3</v>
      </c>
      <c r="Q71" s="10">
        <f t="shared" si="5"/>
        <v>6.6477824196871715E-5</v>
      </c>
      <c r="R71" s="10">
        <f t="shared" si="6"/>
        <v>4.9953604813236614E-3</v>
      </c>
      <c r="S71" s="66"/>
      <c r="T71" s="5">
        <f t="shared" si="17"/>
        <v>4.3333333333333348</v>
      </c>
      <c r="U71" s="12">
        <f t="shared" si="7"/>
        <v>7140.4282928989314</v>
      </c>
      <c r="V71" s="12">
        <f t="shared" si="2"/>
        <v>1132763.4273589628</v>
      </c>
    </row>
    <row r="72" spans="1:22">
      <c r="A72" s="5">
        <f t="shared" si="8"/>
        <v>4.4166666666666679</v>
      </c>
      <c r="B72" s="4">
        <f t="shared" si="0"/>
        <v>8.3315529030660582E-4</v>
      </c>
      <c r="C72" s="4">
        <f t="shared" si="1"/>
        <v>2.1828319542689196E-3</v>
      </c>
      <c r="D72" s="4">
        <f t="shared" si="9"/>
        <v>4.1657764515330293E-5</v>
      </c>
      <c r="E72" s="4">
        <f t="shared" si="10"/>
        <v>8.3315529030660585E-5</v>
      </c>
      <c r="F72" s="4">
        <f t="shared" si="11"/>
        <v>2.1828319542689196E-3</v>
      </c>
      <c r="G72" s="4">
        <f t="shared" si="11"/>
        <v>4.1657764515330293E-5</v>
      </c>
      <c r="H72" s="4">
        <f t="shared" si="12"/>
        <v>2.6193983451227036E-3</v>
      </c>
      <c r="I72" s="4">
        <f t="shared" si="13"/>
        <v>0.98840414677493449</v>
      </c>
      <c r="J72" s="4">
        <f t="shared" si="14"/>
        <v>3.153362358029493E-3</v>
      </c>
      <c r="K72" s="4">
        <f t="shared" si="15"/>
        <v>8.2846684662051442E-3</v>
      </c>
      <c r="L72" s="4">
        <f t="shared" si="16"/>
        <v>1.5782240083071899E-4</v>
      </c>
      <c r="N72" s="10">
        <f t="shared" si="3"/>
        <v>0.7967984633957913</v>
      </c>
      <c r="O72" s="66">
        <v>4</v>
      </c>
      <c r="P72" s="10">
        <f t="shared" si="4"/>
        <v>6.9793042500316755E-3</v>
      </c>
      <c r="Q72" s="10">
        <f t="shared" si="5"/>
        <v>1.3319495912640679E-4</v>
      </c>
      <c r="R72" s="10">
        <f t="shared" si="6"/>
        <v>1.0168287090281348E-2</v>
      </c>
      <c r="S72" s="66"/>
      <c r="T72" s="5">
        <f t="shared" si="17"/>
        <v>4.4166666666666679</v>
      </c>
      <c r="U72" s="12">
        <f t="shared" si="7"/>
        <v>7282.9839516603161</v>
      </c>
      <c r="V72" s="12">
        <f t="shared" si="2"/>
        <v>1131312.1521920068</v>
      </c>
    </row>
    <row r="73" spans="1:22">
      <c r="A73" s="5">
        <f t="shared" si="8"/>
        <v>4.5000000000000009</v>
      </c>
      <c r="B73" s="4">
        <f t="shared" si="0"/>
        <v>8.3823836229167826E-4</v>
      </c>
      <c r="C73" s="4">
        <f t="shared" si="1"/>
        <v>2.1955006421209627E-3</v>
      </c>
      <c r="D73" s="4">
        <f t="shared" si="9"/>
        <v>4.1911918114583917E-5</v>
      </c>
      <c r="E73" s="4">
        <f t="shared" si="10"/>
        <v>8.3823836229167834E-5</v>
      </c>
      <c r="F73" s="4">
        <f t="shared" si="11"/>
        <v>2.1955006421209627E-3</v>
      </c>
      <c r="G73" s="4">
        <f t="shared" si="11"/>
        <v>4.1911918114583917E-5</v>
      </c>
      <c r="H73" s="4">
        <f t="shared" si="12"/>
        <v>2.634600770545155E-3</v>
      </c>
      <c r="I73" s="4">
        <f t="shared" si="13"/>
        <v>0.98815231958474303</v>
      </c>
      <c r="J73" s="4">
        <f t="shared" si="14"/>
        <v>3.2213804245001931E-3</v>
      </c>
      <c r="K73" s="4">
        <f t="shared" si="15"/>
        <v>8.4650698674690016E-3</v>
      </c>
      <c r="L73" s="4">
        <f t="shared" si="16"/>
        <v>1.6123012328766141E-4</v>
      </c>
      <c r="N73" s="10">
        <f t="shared" si="3"/>
        <v>0.79336319395067911</v>
      </c>
      <c r="O73" s="66">
        <v>2</v>
      </c>
      <c r="P73" s="10">
        <f t="shared" si="4"/>
        <v>3.4950155448246465E-3</v>
      </c>
      <c r="Q73" s="10">
        <f t="shared" si="5"/>
        <v>6.671954565332253E-5</v>
      </c>
      <c r="R73" s="10">
        <f t="shared" si="6"/>
        <v>5.1727342270181066E-3</v>
      </c>
      <c r="S73" s="66"/>
      <c r="T73" s="5">
        <f t="shared" si="17"/>
        <v>4.5000000000000009</v>
      </c>
      <c r="U73" s="12">
        <f t="shared" si="7"/>
        <v>7425.6821281494658</v>
      </c>
      <c r="V73" s="12">
        <f t="shared" si="2"/>
        <v>1129855.8313815293</v>
      </c>
    </row>
    <row r="74" spans="1:22">
      <c r="A74" s="5">
        <f t="shared" si="8"/>
        <v>4.5833333333333339</v>
      </c>
      <c r="B74" s="4">
        <f t="shared" si="0"/>
        <v>8.4338108406375317E-4</v>
      </c>
      <c r="C74" s="4">
        <f t="shared" si="1"/>
        <v>2.2082647023311825E-3</v>
      </c>
      <c r="D74" s="4">
        <f t="shared" si="9"/>
        <v>4.2169054203187663E-5</v>
      </c>
      <c r="E74" s="4">
        <f t="shared" si="10"/>
        <v>8.4338108406375325E-5</v>
      </c>
      <c r="F74" s="4">
        <f t="shared" si="11"/>
        <v>2.2082647023311825E-3</v>
      </c>
      <c r="G74" s="4">
        <f t="shared" si="11"/>
        <v>4.2169054203187663E-5</v>
      </c>
      <c r="H74" s="4">
        <f t="shared" si="12"/>
        <v>2.6499176427974189E-3</v>
      </c>
      <c r="I74" s="4">
        <f t="shared" si="13"/>
        <v>0.98789907445433778</v>
      </c>
      <c r="J74" s="4">
        <f t="shared" si="14"/>
        <v>3.2897828908814621E-3</v>
      </c>
      <c r="K74" s="4">
        <f t="shared" si="15"/>
        <v>8.6464853984655997E-3</v>
      </c>
      <c r="L74" s="4">
        <f t="shared" si="16"/>
        <v>1.6465725631505229E-4</v>
      </c>
      <c r="N74" s="10">
        <f t="shared" si="3"/>
        <v>0.78994155000742206</v>
      </c>
      <c r="O74" s="66">
        <v>4</v>
      </c>
      <c r="P74" s="10">
        <f t="shared" si="4"/>
        <v>7.0008361334927341E-3</v>
      </c>
      <c r="Q74" s="10">
        <f t="shared" si="5"/>
        <v>1.3368806650273339E-4</v>
      </c>
      <c r="R74" s="10">
        <f t="shared" si="6"/>
        <v>1.0522274038757256E-2</v>
      </c>
      <c r="S74" s="66"/>
      <c r="T74" s="5">
        <f t="shared" si="17"/>
        <v>4.5833333333333339</v>
      </c>
      <c r="U74" s="12">
        <f t="shared" si="7"/>
        <v>7568.5191112129723</v>
      </c>
      <c r="V74" s="12">
        <f t="shared" si="2"/>
        <v>1128394.4490765578</v>
      </c>
    </row>
    <row r="75" spans="1:22">
      <c r="A75" s="5">
        <f t="shared" si="8"/>
        <v>4.666666666666667</v>
      </c>
      <c r="B75" s="4">
        <f t="shared" si="0"/>
        <v>8.4858415561234299E-4</v>
      </c>
      <c r="C75" s="4">
        <f t="shared" si="1"/>
        <v>2.2211248528813295E-3</v>
      </c>
      <c r="D75" s="4">
        <f t="shared" si="9"/>
        <v>4.2429207780617151E-5</v>
      </c>
      <c r="E75" s="4">
        <f t="shared" si="10"/>
        <v>8.4858415561234302E-5</v>
      </c>
      <c r="F75" s="4">
        <f t="shared" si="11"/>
        <v>2.2211248528813295E-3</v>
      </c>
      <c r="G75" s="4">
        <f t="shared" si="11"/>
        <v>4.2429207780617151E-5</v>
      </c>
      <c r="H75" s="4">
        <f t="shared" si="12"/>
        <v>2.6653498234575951E-3</v>
      </c>
      <c r="I75" s="4">
        <f t="shared" si="13"/>
        <v>0.98764439950737992</v>
      </c>
      <c r="J75" s="4">
        <f t="shared" si="14"/>
        <v>3.3585740992000857E-3</v>
      </c>
      <c r="K75" s="4">
        <f t="shared" si="15"/>
        <v>8.828922373064596E-3</v>
      </c>
      <c r="L75" s="4">
        <f t="shared" si="16"/>
        <v>1.6810402035525749E-4</v>
      </c>
      <c r="N75" s="10">
        <f t="shared" si="3"/>
        <v>0.78653347269356499</v>
      </c>
      <c r="O75" s="66">
        <v>2</v>
      </c>
      <c r="P75" s="10">
        <f t="shared" si="4"/>
        <v>3.5058596761141469E-3</v>
      </c>
      <c r="Q75" s="10">
        <f t="shared" si="5"/>
        <v>6.6970953233254271E-5</v>
      </c>
      <c r="R75" s="10">
        <f t="shared" si="6"/>
        <v>5.34935640977685E-3</v>
      </c>
      <c r="S75" s="66"/>
      <c r="T75" s="5">
        <f t="shared" si="17"/>
        <v>4.666666666666667</v>
      </c>
      <c r="U75" s="12">
        <f t="shared" si="7"/>
        <v>7711.4911380423446</v>
      </c>
      <c r="V75" s="12">
        <f t="shared" si="2"/>
        <v>1126927.9893738697</v>
      </c>
    </row>
    <row r="76" spans="1:22">
      <c r="A76" s="5">
        <f t="shared" si="8"/>
        <v>4.75</v>
      </c>
      <c r="B76" s="4">
        <f t="shared" si="0"/>
        <v>8.538482851413317E-4</v>
      </c>
      <c r="C76" s="4">
        <f t="shared" si="1"/>
        <v>2.2340818171582653E-3</v>
      </c>
      <c r="D76" s="4">
        <f t="shared" si="9"/>
        <v>4.2692414257066588E-5</v>
      </c>
      <c r="E76" s="4">
        <f t="shared" si="10"/>
        <v>8.5384828514133176E-5</v>
      </c>
      <c r="F76" s="4">
        <f t="shared" si="11"/>
        <v>2.2340818171582653E-3</v>
      </c>
      <c r="G76" s="4">
        <f t="shared" si="11"/>
        <v>4.2692414257066588E-5</v>
      </c>
      <c r="H76" s="4">
        <f t="shared" si="12"/>
        <v>2.6808981805899182E-3</v>
      </c>
      <c r="I76" s="4">
        <f t="shared" si="13"/>
        <v>0.98738828276766999</v>
      </c>
      <c r="J76" s="4">
        <f t="shared" si="14"/>
        <v>3.4277584384904479E-3</v>
      </c>
      <c r="K76" s="4">
        <f t="shared" si="15"/>
        <v>9.0123881555627498E-3</v>
      </c>
      <c r="L76" s="4">
        <f t="shared" si="16"/>
        <v>1.715706382767064E-4</v>
      </c>
      <c r="N76" s="10">
        <f t="shared" si="3"/>
        <v>0.78313890336896652</v>
      </c>
      <c r="O76" s="66">
        <v>4</v>
      </c>
      <c r="P76" s="10">
        <f t="shared" si="4"/>
        <v>7.0226807163125604E-3</v>
      </c>
      <c r="Q76" s="10">
        <f t="shared" si="5"/>
        <v>1.3420063313405932E-4</v>
      </c>
      <c r="R76" s="10">
        <f t="shared" si="6"/>
        <v>1.0874793762019013E-2</v>
      </c>
      <c r="S76" s="66"/>
      <c r="T76" s="5">
        <f t="shared" si="17"/>
        <v>4.75</v>
      </c>
      <c r="U76" s="12">
        <f t="shared" si="7"/>
        <v>7854.5943937219154</v>
      </c>
      <c r="V76" s="12">
        <f t="shared" si="2"/>
        <v>1125456.4363175987</v>
      </c>
    </row>
    <row r="77" spans="1:22">
      <c r="A77" s="5">
        <f t="shared" si="8"/>
        <v>4.833333333333333</v>
      </c>
      <c r="B77" s="4">
        <f t="shared" si="0"/>
        <v>8.5917418916536532E-4</v>
      </c>
      <c r="C77" s="4">
        <f t="shared" si="1"/>
        <v>2.2471363239946456E-3</v>
      </c>
      <c r="D77" s="4">
        <f t="shared" si="9"/>
        <v>4.2958709458268267E-5</v>
      </c>
      <c r="E77" s="4">
        <f t="shared" si="10"/>
        <v>8.5917418916536535E-5</v>
      </c>
      <c r="F77" s="4">
        <f t="shared" si="11"/>
        <v>2.2471363239946456E-3</v>
      </c>
      <c r="G77" s="4">
        <f t="shared" si="11"/>
        <v>4.2958709458268267E-5</v>
      </c>
      <c r="H77" s="4">
        <f t="shared" si="12"/>
        <v>2.6965635887935746E-3</v>
      </c>
      <c r="I77" s="4">
        <f t="shared" si="13"/>
        <v>0.98713071215833248</v>
      </c>
      <c r="J77" s="4">
        <f t="shared" si="14"/>
        <v>3.497340345270372E-3</v>
      </c>
      <c r="K77" s="4">
        <f t="shared" si="15"/>
        <v>9.1968901609977022E-3</v>
      </c>
      <c r="L77" s="4">
        <f t="shared" si="16"/>
        <v>1.7505733539934984E-4</v>
      </c>
      <c r="N77" s="10">
        <f t="shared" si="3"/>
        <v>0.7797577836248093</v>
      </c>
      <c r="O77" s="66">
        <v>2</v>
      </c>
      <c r="P77" s="10">
        <f t="shared" si="4"/>
        <v>3.5168600979891664E-3</v>
      </c>
      <c r="Q77" s="10">
        <f t="shared" si="5"/>
        <v>6.7232134313206644E-5</v>
      </c>
      <c r="R77" s="10">
        <f t="shared" si="6"/>
        <v>5.5252629112247419E-3</v>
      </c>
      <c r="S77" s="66"/>
      <c r="T77" s="5">
        <f t="shared" si="17"/>
        <v>4.833333333333333</v>
      </c>
      <c r="U77" s="12">
        <f t="shared" si="7"/>
        <v>7997.8250107745271</v>
      </c>
      <c r="V77" s="12">
        <f t="shared" si="2"/>
        <v>1123979.7738988332</v>
      </c>
    </row>
    <row r="78" spans="1:22">
      <c r="A78" s="5">
        <f t="shared" si="8"/>
        <v>4.9166666666666661</v>
      </c>
      <c r="B78" s="4">
        <f t="shared" si="0"/>
        <v>8.6456259260737976E-4</v>
      </c>
      <c r="C78" s="4">
        <f t="shared" si="1"/>
        <v>2.2602891077099208E-3</v>
      </c>
      <c r="D78" s="4">
        <f t="shared" si="9"/>
        <v>4.3228129630368993E-5</v>
      </c>
      <c r="E78" s="4">
        <f t="shared" si="10"/>
        <v>8.6456259260737987E-5</v>
      </c>
      <c r="F78" s="4">
        <f t="shared" si="11"/>
        <v>2.2602891077099208E-3</v>
      </c>
      <c r="G78" s="4">
        <f t="shared" si="11"/>
        <v>4.3228129630368993E-5</v>
      </c>
      <c r="H78" s="4">
        <f t="shared" si="12"/>
        <v>2.7123469292519051E-3</v>
      </c>
      <c r="I78" s="4">
        <f t="shared" si="13"/>
        <v>0.9868716755009953</v>
      </c>
      <c r="J78" s="4">
        <f t="shared" si="14"/>
        <v>3.5673243040210659E-3</v>
      </c>
      <c r="K78" s="4">
        <f t="shared" si="15"/>
        <v>9.3824358554631601E-3</v>
      </c>
      <c r="L78" s="4">
        <f t="shared" si="16"/>
        <v>1.7856433952036013E-4</v>
      </c>
      <c r="N78" s="10">
        <f t="shared" si="3"/>
        <v>0.77639005528261917</v>
      </c>
      <c r="O78" s="66">
        <v>4</v>
      </c>
      <c r="P78" s="10">
        <f t="shared" si="4"/>
        <v>7.0448377612204781E-3</v>
      </c>
      <c r="Q78" s="10">
        <f t="shared" si="5"/>
        <v>1.347328352502243E-4</v>
      </c>
      <c r="R78" s="10">
        <f t="shared" si="6"/>
        <v>1.1225917948061132E-2</v>
      </c>
      <c r="S78" s="66"/>
      <c r="T78" s="5">
        <f t="shared" si="17"/>
        <v>4.9166666666666661</v>
      </c>
      <c r="U78" s="12">
        <f t="shared" si="7"/>
        <v>8141.1790687050243</v>
      </c>
      <c r="V78" s="12">
        <f t="shared" si="2"/>
        <v>1122497.9860552105</v>
      </c>
    </row>
    <row r="79" spans="1:22">
      <c r="A79" s="5">
        <f t="shared" si="8"/>
        <v>4.9999999999999991</v>
      </c>
      <c r="B79" s="4">
        <f t="shared" si="0"/>
        <v>8.700142288972743E-4</v>
      </c>
      <c r="C79" s="4">
        <f t="shared" si="1"/>
        <v>2.273540908151646E-3</v>
      </c>
      <c r="D79" s="4">
        <f t="shared" si="9"/>
        <v>4.3500711444863715E-5</v>
      </c>
      <c r="E79" s="4">
        <f t="shared" si="10"/>
        <v>8.700142288972743E-5</v>
      </c>
      <c r="F79" s="4">
        <f t="shared" si="11"/>
        <v>2.273540908151646E-3</v>
      </c>
      <c r="G79" s="4">
        <f t="shared" si="11"/>
        <v>4.3500711444863715E-5</v>
      </c>
      <c r="H79" s="4">
        <f t="shared" si="12"/>
        <v>2.7282490897819751E-3</v>
      </c>
      <c r="I79" s="4">
        <f t="shared" si="13"/>
        <v>0.98661116051496311</v>
      </c>
      <c r="J79" s="4">
        <f t="shared" si="14"/>
        <v>3.6377148476711943E-3</v>
      </c>
      <c r="K79" s="4">
        <f t="shared" si="15"/>
        <v>9.5690327564255228E-3</v>
      </c>
      <c r="L79" s="4">
        <f t="shared" si="16"/>
        <v>1.8209188094007447E-4</v>
      </c>
      <c r="N79" s="10">
        <f t="shared" si="3"/>
        <v>0.77303566039328653</v>
      </c>
      <c r="O79" s="66">
        <v>2</v>
      </c>
      <c r="P79" s="10">
        <f t="shared" si="4"/>
        <v>3.5280166908908226E-3</v>
      </c>
      <c r="Q79" s="10">
        <f t="shared" si="5"/>
        <v>6.7503177749229243E-5</v>
      </c>
      <c r="R79" s="10">
        <f t="shared" si="6"/>
        <v>5.7004895386024105E-3</v>
      </c>
      <c r="S79" s="66"/>
      <c r="T79" s="5">
        <f t="shared" si="17"/>
        <v>4.9999999999999991</v>
      </c>
      <c r="U79" s="12">
        <f t="shared" si="7"/>
        <v>8284.652593541563</v>
      </c>
      <c r="V79" s="12">
        <f t="shared" si="2"/>
        <v>1121011.0566705037</v>
      </c>
    </row>
    <row r="80" spans="1:22">
      <c r="A80" s="5">
        <f t="shared" si="8"/>
        <v>5.0833333333333321</v>
      </c>
      <c r="B80" s="4">
        <f t="shared" si="0"/>
        <v>8.7552984007173808E-4</v>
      </c>
      <c r="C80" s="4">
        <f t="shared" si="1"/>
        <v>2.2868924707370869E-3</v>
      </c>
      <c r="D80" s="4">
        <f t="shared" si="9"/>
        <v>4.3776492003586908E-5</v>
      </c>
      <c r="E80" s="4">
        <f t="shared" si="10"/>
        <v>8.7552984007173816E-5</v>
      </c>
      <c r="F80" s="4">
        <f t="shared" si="11"/>
        <v>2.2868924707370869E-3</v>
      </c>
      <c r="G80" s="4">
        <f t="shared" si="11"/>
        <v>4.3776492003586908E-5</v>
      </c>
      <c r="H80" s="4">
        <f t="shared" si="12"/>
        <v>2.7442709648845044E-3</v>
      </c>
      <c r="I80" s="4">
        <f t="shared" si="13"/>
        <v>0.98634915481638474</v>
      </c>
      <c r="J80" s="4">
        <f t="shared" si="14"/>
        <v>3.7085165580850927E-3</v>
      </c>
      <c r="K80" s="4">
        <f t="shared" si="15"/>
        <v>9.7566884330419004E-3</v>
      </c>
      <c r="L80" s="4">
        <f t="shared" si="16"/>
        <v>1.856401924881844E-4</v>
      </c>
      <c r="N80" s="10">
        <f t="shared" si="3"/>
        <v>0.76969454123609216</v>
      </c>
      <c r="O80" s="66">
        <v>4</v>
      </c>
      <c r="P80" s="10">
        <f t="shared" si="4"/>
        <v>7.0673070271377999E-3</v>
      </c>
      <c r="Q80" s="10">
        <f t="shared" si="5"/>
        <v>1.3528485205107821E-4</v>
      </c>
      <c r="R80" s="10">
        <f t="shared" si="6"/>
        <v>1.1575718139579595E-2</v>
      </c>
      <c r="S80" s="66"/>
      <c r="T80" s="5">
        <f t="shared" si="17"/>
        <v>5.0833333333333321</v>
      </c>
      <c r="U80" s="12">
        <f t="shared" si="7"/>
        <v>8428.2415573747639</v>
      </c>
      <c r="V80" s="12">
        <f t="shared" si="2"/>
        <v>1119518.9695742014</v>
      </c>
    </row>
    <row r="81" spans="1:22">
      <c r="A81" s="5">
        <f t="shared" si="8"/>
        <v>5.1666666666666652</v>
      </c>
      <c r="B81" s="4">
        <f t="shared" si="0"/>
        <v>8.8111017687525256E-4</v>
      </c>
      <c r="C81" s="4">
        <f t="shared" si="1"/>
        <v>2.3003445464951618E-3</v>
      </c>
      <c r="D81" s="4">
        <f t="shared" si="9"/>
        <v>4.4055508843762628E-5</v>
      </c>
      <c r="E81" s="4">
        <f t="shared" si="10"/>
        <v>8.8111017687525256E-5</v>
      </c>
      <c r="F81" s="4">
        <f t="shared" si="11"/>
        <v>2.3003445464951618E-3</v>
      </c>
      <c r="G81" s="4">
        <f t="shared" si="11"/>
        <v>4.4055508843762628E-5</v>
      </c>
      <c r="H81" s="4">
        <f t="shared" si="12"/>
        <v>2.7604134557941942E-3</v>
      </c>
      <c r="I81" s="4">
        <f t="shared" si="13"/>
        <v>0.98608564591741499</v>
      </c>
      <c r="J81" s="4">
        <f t="shared" si="14"/>
        <v>3.7797340665551462E-3</v>
      </c>
      <c r="K81" s="4">
        <f t="shared" si="15"/>
        <v>9.9454105064795597E-3</v>
      </c>
      <c r="L81" s="4">
        <f t="shared" si="16"/>
        <v>1.8920950955017221E-4</v>
      </c>
      <c r="N81" s="10">
        <f t="shared" si="3"/>
        <v>0.76636664031773927</v>
      </c>
      <c r="O81" s="66">
        <v>2</v>
      </c>
      <c r="P81" s="10">
        <f t="shared" si="4"/>
        <v>3.539329333241849E-3</v>
      </c>
      <c r="Q81" s="10">
        <f t="shared" si="5"/>
        <v>6.7784173887862727E-5</v>
      </c>
      <c r="R81" s="10">
        <f t="shared" si="6"/>
        <v>5.8750720282221211E-3</v>
      </c>
      <c r="S81" s="66"/>
      <c r="T81" s="5">
        <f t="shared" si="17"/>
        <v>5.1666666666666652</v>
      </c>
      <c r="U81" s="12">
        <f t="shared" si="7"/>
        <v>8571.9418778947256</v>
      </c>
      <c r="V81" s="12">
        <f t="shared" si="2"/>
        <v>1118021.7085410815</v>
      </c>
    </row>
    <row r="82" spans="1:22">
      <c r="A82" s="5">
        <f t="shared" si="8"/>
        <v>5.2499999999999982</v>
      </c>
      <c r="B82" s="4">
        <f t="shared" si="0"/>
        <v>8.8675599886227482E-4</v>
      </c>
      <c r="C82" s="4">
        <f t="shared" si="1"/>
        <v>2.3138978921086791E-3</v>
      </c>
      <c r="D82" s="4">
        <f t="shared" si="9"/>
        <v>4.4337799943113743E-5</v>
      </c>
      <c r="E82" s="4">
        <f t="shared" si="10"/>
        <v>8.8675599886227485E-5</v>
      </c>
      <c r="F82" s="4">
        <f t="shared" si="11"/>
        <v>2.3138978921086791E-3</v>
      </c>
      <c r="G82" s="4">
        <f t="shared" si="11"/>
        <v>4.4337799943113743E-5</v>
      </c>
      <c r="H82" s="4">
        <f t="shared" si="12"/>
        <v>2.7766774705304149E-3</v>
      </c>
      <c r="I82" s="4">
        <f t="shared" si="13"/>
        <v>0.98582062122537073</v>
      </c>
      <c r="J82" s="4">
        <f t="shared" si="14"/>
        <v>3.8513720542983506E-3</v>
      </c>
      <c r="K82" s="4">
        <f t="shared" si="15"/>
        <v>1.0135206650236778E-2</v>
      </c>
      <c r="L82" s="4">
        <f t="shared" si="16"/>
        <v>1.9280007009399652E-4</v>
      </c>
      <c r="N82" s="10">
        <f t="shared" si="3"/>
        <v>0.76305190037138781</v>
      </c>
      <c r="O82" s="66">
        <v>4</v>
      </c>
      <c r="P82" s="10">
        <f t="shared" si="4"/>
        <v>7.090088268718148E-3</v>
      </c>
      <c r="Q82" s="10">
        <f t="shared" si="5"/>
        <v>1.3585686572840271E-4</v>
      </c>
      <c r="R82" s="10">
        <f t="shared" si="6"/>
        <v>1.1924265740826969E-2</v>
      </c>
      <c r="S82" s="66"/>
      <c r="T82" s="5">
        <f t="shared" si="17"/>
        <v>5.2499999999999982</v>
      </c>
      <c r="U82" s="12">
        <f t="shared" si="7"/>
        <v>8715.7494179259338</v>
      </c>
      <c r="V82" s="12">
        <f t="shared" si="2"/>
        <v>1116519.2572907787</v>
      </c>
    </row>
    <row r="83" spans="1:22">
      <c r="A83" s="5">
        <f t="shared" si="8"/>
        <v>5.3333333333333313</v>
      </c>
      <c r="B83" s="4">
        <f t="shared" ref="B83:B146" si="18">B$3+B$4*EXP(B$5*(B$12+A83))</f>
        <v>8.9246807450062485E-4</v>
      </c>
      <c r="C83" s="4">
        <f t="shared" ref="C83:C146" si="19">B$6+B$7*EXP(B$8*(B$12+A83))</f>
        <v>2.3275532699569002E-3</v>
      </c>
      <c r="D83" s="4">
        <f t="shared" si="9"/>
        <v>4.4623403725031246E-5</v>
      </c>
      <c r="E83" s="4">
        <f t="shared" si="10"/>
        <v>8.9246807450062493E-5</v>
      </c>
      <c r="F83" s="4">
        <f t="shared" si="11"/>
        <v>2.3275532699569002E-3</v>
      </c>
      <c r="G83" s="4">
        <f t="shared" si="11"/>
        <v>4.4623403725031246E-5</v>
      </c>
      <c r="H83" s="4">
        <f t="shared" si="12"/>
        <v>2.79306392394828E-3</v>
      </c>
      <c r="I83" s="4">
        <f t="shared" si="13"/>
        <v>0.98555406804188073</v>
      </c>
      <c r="J83" s="4">
        <f t="shared" si="14"/>
        <v>3.9234352529570679E-3</v>
      </c>
      <c r="K83" s="4">
        <f t="shared" si="15"/>
        <v>1.0326084590465091E-2</v>
      </c>
      <c r="L83" s="4">
        <f t="shared" si="16"/>
        <v>1.96412114697029E-4</v>
      </c>
      <c r="N83" s="10">
        <f t="shared" si="3"/>
        <v>0.75975026435569437</v>
      </c>
      <c r="O83" s="66">
        <v>2</v>
      </c>
      <c r="P83" s="10">
        <f t="shared" si="4"/>
        <v>3.5507979012145909E-3</v>
      </c>
      <c r="Q83" s="10">
        <f t="shared" si="5"/>
        <v>6.8075214577076608E-5</v>
      </c>
      <c r="R83" s="10">
        <f t="shared" si="6"/>
        <v>6.0490460488666232E-3</v>
      </c>
      <c r="S83" s="66"/>
      <c r="T83" s="5">
        <f t="shared" si="17"/>
        <v>5.3333333333333313</v>
      </c>
      <c r="U83" s="12">
        <f t="shared" si="7"/>
        <v>8859.6599849600716</v>
      </c>
      <c r="V83" s="12">
        <f t="shared" ref="V83:V146" si="20">V84-B$13*(B$15*V84-B$10-E84*(U84-V84)-(F84+G84)*(B$11-V84))</f>
        <v>1115011.599487344</v>
      </c>
    </row>
    <row r="84" spans="1:22">
      <c r="A84" s="5">
        <f t="shared" si="8"/>
        <v>5.4166666666666643</v>
      </c>
      <c r="B84" s="4">
        <f t="shared" si="18"/>
        <v>8.9824718127608401E-4</v>
      </c>
      <c r="C84" s="4">
        <f t="shared" si="19"/>
        <v>2.3413114481584335E-3</v>
      </c>
      <c r="D84" s="4">
        <f t="shared" si="9"/>
        <v>4.4912359063804202E-5</v>
      </c>
      <c r="E84" s="4">
        <f t="shared" si="10"/>
        <v>8.9824718127608404E-5</v>
      </c>
      <c r="F84" s="4">
        <f t="shared" si="11"/>
        <v>2.3413114481584335E-3</v>
      </c>
      <c r="G84" s="4">
        <f t="shared" si="11"/>
        <v>4.4912359063804202E-5</v>
      </c>
      <c r="H84" s="4">
        <f t="shared" si="12"/>
        <v>2.8095737377901203E-3</v>
      </c>
      <c r="I84" s="4">
        <f t="shared" si="13"/>
        <v>0.98528597356202974</v>
      </c>
      <c r="J84" s="4">
        <f t="shared" si="14"/>
        <v>3.9959284451040059E-3</v>
      </c>
      <c r="K84" s="4">
        <f t="shared" si="15"/>
        <v>1.0518052106292964E-2</v>
      </c>
      <c r="L84" s="4">
        <f t="shared" si="16"/>
        <v>2.0004588657324357E-4</v>
      </c>
      <c r="N84" s="10">
        <f t="shared" ref="N84:N147" si="21">((1+B$9)^-A84)*I84</f>
        <v>0.75646167545385645</v>
      </c>
      <c r="O84" s="66">
        <v>4</v>
      </c>
      <c r="P84" s="10">
        <f t="shared" ref="P84:P147" si="22">((1+B$9)^-A84)*(I84*C84+J84*F84)*O84</f>
        <v>7.1131812358790972E-3</v>
      </c>
      <c r="Q84" s="10">
        <f t="shared" ref="Q84:Q147" si="23">((1+B$9)^-A84)*(I84*D84+J84*G84)*O84</f>
        <v>1.3644906148773864E-4</v>
      </c>
      <c r="R84" s="10">
        <f t="shared" ref="R84:R147" si="24">((1+B$9)^-A84)*J84*O84</f>
        <v>1.2271632024351753E-2</v>
      </c>
      <c r="S84" s="66"/>
      <c r="T84" s="5">
        <f t="shared" si="17"/>
        <v>5.4166666666666643</v>
      </c>
      <c r="U84" s="12">
        <f t="shared" ref="U84:U147" si="25">U85-B$13*(B$15*U85+V$10-B85*(V85-U85)-(C85+D85)*(B$11-U85))</f>
        <v>9003.6693306867637</v>
      </c>
      <c r="V84" s="12">
        <f t="shared" si="20"/>
        <v>1113498.7187387981</v>
      </c>
    </row>
    <row r="85" spans="1:22">
      <c r="A85" s="5">
        <f t="shared" ref="A85:A148" si="26">A84+1/12</f>
        <v>5.4999999999999973</v>
      </c>
      <c r="B85" s="4">
        <f t="shared" si="18"/>
        <v>9.0409410579821874E-4</v>
      </c>
      <c r="C85" s="4">
        <f t="shared" si="19"/>
        <v>2.3551732006144282E-3</v>
      </c>
      <c r="D85" s="4">
        <f t="shared" ref="D85:D148" si="27">0.05*B85</f>
        <v>4.5204705289910943E-5</v>
      </c>
      <c r="E85" s="4">
        <f t="shared" ref="E85:E148" si="28">0.1*B85</f>
        <v>9.0409410579821885E-5</v>
      </c>
      <c r="F85" s="4">
        <f t="shared" ref="F85:G148" si="29">C85</f>
        <v>2.3551732006144282E-3</v>
      </c>
      <c r="G85" s="4">
        <f t="shared" si="29"/>
        <v>4.5204705289910943E-5</v>
      </c>
      <c r="H85" s="4">
        <f t="shared" ref="H85:H148" si="30">1.2*C85</f>
        <v>2.8262078407373138E-3</v>
      </c>
      <c r="I85" s="4">
        <f t="shared" ref="I85:I148" si="31">I84-B$13*(I84*B84-J84*E84)-B$13*I84*(C84+D84)</f>
        <v>0.98501632487349711</v>
      </c>
      <c r="J85" s="4">
        <f t="shared" ref="J85:J148" si="32">J84-B$13*(J84*E84-I84*B84)-B$13*J84*F84-B$13*J84*G84</f>
        <v>4.0688564647514266E-3</v>
      </c>
      <c r="K85" s="4">
        <f t="shared" ref="K85:K148" si="33">K84+B$13*I84*C84+B$13*J84*F84+B$13*L84*H84</f>
        <v>1.0711117030150841E-2</v>
      </c>
      <c r="L85" s="4">
        <f t="shared" ref="L85:L148" si="34">L84+B$13*I84*D84+B$13*J84*G84-B$13*L84*H84</f>
        <v>2.037016316006601E-4</v>
      </c>
      <c r="N85" s="10">
        <f t="shared" si="21"/>
        <v>0.7531860770726615</v>
      </c>
      <c r="O85" s="66">
        <v>2</v>
      </c>
      <c r="P85" s="10">
        <f t="shared" si="22"/>
        <v>3.5624222684946497E-3</v>
      </c>
      <c r="Q85" s="10">
        <f t="shared" si="23"/>
        <v>6.8376393177157523E-5</v>
      </c>
      <c r="R85" s="10">
        <f t="shared" si="24"/>
        <v>6.2224472051292017E-3</v>
      </c>
      <c r="S85" s="66"/>
      <c r="T85" s="5">
        <f t="shared" ref="T85:T148" si="35">T84+1/12</f>
        <v>5.4999999999999973</v>
      </c>
      <c r="U85" s="12">
        <f t="shared" si="25"/>
        <v>9147.7731505222946</v>
      </c>
      <c r="V85" s="12">
        <f t="shared" si="20"/>
        <v>1111980.598596677</v>
      </c>
    </row>
    <row r="86" spans="1:22">
      <c r="A86" s="5">
        <f t="shared" si="26"/>
        <v>5.5833333333333304</v>
      </c>
      <c r="B86" s="4">
        <f t="shared" si="18"/>
        <v>9.1000964390744845E-4</v>
      </c>
      <c r="C86" s="4">
        <f t="shared" si="19"/>
        <v>2.3691393070521143E-3</v>
      </c>
      <c r="D86" s="4">
        <f t="shared" si="27"/>
        <v>4.5500482195372425E-5</v>
      </c>
      <c r="E86" s="4">
        <f t="shared" si="28"/>
        <v>9.100096439074485E-5</v>
      </c>
      <c r="F86" s="4">
        <f t="shared" si="29"/>
        <v>2.3691393070521143E-3</v>
      </c>
      <c r="G86" s="4">
        <f t="shared" si="29"/>
        <v>4.5500482195372425E-5</v>
      </c>
      <c r="H86" s="4">
        <f t="shared" si="30"/>
        <v>2.842967168462537E-3</v>
      </c>
      <c r="I86" s="4">
        <f t="shared" si="31"/>
        <v>0.98474510895568879</v>
      </c>
      <c r="J86" s="4">
        <f t="shared" si="32"/>
        <v>4.1422241978646057E-3</v>
      </c>
      <c r="K86" s="4">
        <f t="shared" si="33"/>
        <v>1.0905287248097601E-2</v>
      </c>
      <c r="L86" s="4">
        <f t="shared" si="34"/>
        <v>2.0737959834904451E-4</v>
      </c>
      <c r="N86" s="10">
        <f t="shared" si="21"/>
        <v>0.74992341284153907</v>
      </c>
      <c r="O86" s="66">
        <v>4</v>
      </c>
      <c r="P86" s="10">
        <f t="shared" si="22"/>
        <v>7.1365856733250606E-3</v>
      </c>
      <c r="Q86" s="10">
        <f t="shared" si="23"/>
        <v>1.370616275701064E-4</v>
      </c>
      <c r="R86" s="10">
        <f t="shared" si="24"/>
        <v>1.2617888137618403E-2</v>
      </c>
      <c r="S86" s="66"/>
      <c r="T86" s="5">
        <f t="shared" si="35"/>
        <v>5.5833333333333304</v>
      </c>
      <c r="U86" s="12">
        <f t="shared" si="25"/>
        <v>9291.9670831363001</v>
      </c>
      <c r="V86" s="12">
        <f t="shared" si="20"/>
        <v>1110457.2225555715</v>
      </c>
    </row>
    <row r="87" spans="1:22">
      <c r="A87" s="5">
        <f t="shared" si="26"/>
        <v>5.6666666666666634</v>
      </c>
      <c r="B87" s="4">
        <f t="shared" si="18"/>
        <v>9.1599460078337124E-4</v>
      </c>
      <c r="C87" s="4">
        <f t="shared" si="19"/>
        <v>2.383210553068664E-3</v>
      </c>
      <c r="D87" s="4">
        <f t="shared" si="27"/>
        <v>4.5799730039168562E-5</v>
      </c>
      <c r="E87" s="4">
        <f t="shared" si="28"/>
        <v>9.1599460078337124E-5</v>
      </c>
      <c r="F87" s="4">
        <f t="shared" si="29"/>
        <v>2.383210553068664E-3</v>
      </c>
      <c r="G87" s="4">
        <f t="shared" si="29"/>
        <v>4.5799730039168562E-5</v>
      </c>
      <c r="H87" s="4">
        <f t="shared" si="30"/>
        <v>2.8598526636823968E-3</v>
      </c>
      <c r="I87" s="4">
        <f t="shared" si="31"/>
        <v>0.98447231267886426</v>
      </c>
      <c r="J87" s="4">
        <f t="shared" si="32"/>
        <v>4.2160365828795635E-3</v>
      </c>
      <c r="K87" s="4">
        <f t="shared" si="33"/>
        <v>1.1100570700148396E-2</v>
      </c>
      <c r="L87" s="4">
        <f t="shared" si="34"/>
        <v>2.1108003810786679E-4</v>
      </c>
      <c r="N87" s="10">
        <f t="shared" si="21"/>
        <v>0.74667362661161985</v>
      </c>
      <c r="O87" s="66">
        <v>2</v>
      </c>
      <c r="P87" s="10">
        <f t="shared" si="22"/>
        <v>3.5742023060400638E-3</v>
      </c>
      <c r="Q87" s="10">
        <f t="shared" si="23"/>
        <v>6.8687804571538531E-5</v>
      </c>
      <c r="R87" s="10">
        <f t="shared" si="24"/>
        <v>6.3953110406931813E-3</v>
      </c>
      <c r="S87" s="66"/>
      <c r="T87" s="5">
        <f t="shared" si="35"/>
        <v>5.6666666666666634</v>
      </c>
      <c r="U87" s="12">
        <f t="shared" si="25"/>
        <v>9436.2467099764763</v>
      </c>
      <c r="V87" s="12">
        <f t="shared" si="20"/>
        <v>1108928.5740526584</v>
      </c>
    </row>
    <row r="88" spans="1:22">
      <c r="A88" s="5">
        <f t="shared" si="26"/>
        <v>5.7499999999999964</v>
      </c>
      <c r="B88" s="4">
        <f t="shared" si="18"/>
        <v>9.2204979105435796E-4</v>
      </c>
      <c r="C88" s="4">
        <f t="shared" si="19"/>
        <v>2.3973877301753741E-3</v>
      </c>
      <c r="D88" s="4">
        <f t="shared" si="27"/>
        <v>4.6102489552717903E-5</v>
      </c>
      <c r="E88" s="4">
        <f t="shared" si="28"/>
        <v>9.2204979105435807E-5</v>
      </c>
      <c r="F88" s="4">
        <f t="shared" si="29"/>
        <v>2.3973877301753741E-3</v>
      </c>
      <c r="G88" s="4">
        <f t="shared" si="29"/>
        <v>4.6102489552717903E-5</v>
      </c>
      <c r="H88" s="4">
        <f t="shared" si="30"/>
        <v>2.8768652762104488E-3</v>
      </c>
      <c r="I88" s="4">
        <f t="shared" si="31"/>
        <v>0.98419792280325669</v>
      </c>
      <c r="J88" s="4">
        <f t="shared" si="32"/>
        <v>4.2902986112250737E-3</v>
      </c>
      <c r="K88" s="4">
        <f t="shared" si="33"/>
        <v>1.1296975380603886E-2</v>
      </c>
      <c r="L88" s="4">
        <f t="shared" si="34"/>
        <v>2.1480320491451898E-4</v>
      </c>
      <c r="N88" s="10">
        <f t="shared" si="21"/>
        <v>0.743436662454796</v>
      </c>
      <c r="O88" s="66">
        <v>4</v>
      </c>
      <c r="P88" s="10">
        <f t="shared" si="22"/>
        <v>7.1603013200611356E-3</v>
      </c>
      <c r="Q88" s="10">
        <f t="shared" si="23"/>
        <v>1.376947552736005E-4</v>
      </c>
      <c r="R88" s="10">
        <f t="shared" si="24"/>
        <v>1.2963105109504346E-2</v>
      </c>
      <c r="S88" s="66"/>
      <c r="T88" s="5">
        <f t="shared" si="35"/>
        <v>5.7499999999999964</v>
      </c>
      <c r="U88" s="12">
        <f t="shared" si="25"/>
        <v>9580.607554791337</v>
      </c>
      <c r="V88" s="12">
        <f t="shared" si="20"/>
        <v>1107394.6364672247</v>
      </c>
    </row>
    <row r="89" spans="1:22">
      <c r="A89" s="5">
        <f t="shared" si="26"/>
        <v>5.8333333333333295</v>
      </c>
      <c r="B89" s="4">
        <f t="shared" si="18"/>
        <v>9.2817603890843134E-4</v>
      </c>
      <c r="C89" s="4">
        <f t="shared" si="19"/>
        <v>2.4116716358421946E-3</v>
      </c>
      <c r="D89" s="4">
        <f t="shared" si="27"/>
        <v>4.6408801945421568E-5</v>
      </c>
      <c r="E89" s="4">
        <f t="shared" si="28"/>
        <v>9.2817603890843137E-5</v>
      </c>
      <c r="F89" s="4">
        <f t="shared" si="29"/>
        <v>2.4116716358421946E-3</v>
      </c>
      <c r="G89" s="4">
        <f t="shared" si="29"/>
        <v>4.6408801945421568E-5</v>
      </c>
      <c r="H89" s="4">
        <f t="shared" si="30"/>
        <v>2.8940059630106333E-3</v>
      </c>
      <c r="I89" s="4">
        <f t="shared" si="31"/>
        <v>0.98392192597818762</v>
      </c>
      <c r="J89" s="4">
        <f t="shared" si="32"/>
        <v>4.3650153278489761E-3</v>
      </c>
      <c r="K89" s="4">
        <f t="shared" si="33"/>
        <v>1.1494509338380835E-2</v>
      </c>
      <c r="L89" s="4">
        <f t="shared" si="34"/>
        <v>2.1854935558279469E-4</v>
      </c>
      <c r="N89" s="10">
        <f t="shared" si="21"/>
        <v>0.74021246466278834</v>
      </c>
      <c r="O89" s="66">
        <v>2</v>
      </c>
      <c r="P89" s="10">
        <f t="shared" si="22"/>
        <v>3.5861378818359676E-3</v>
      </c>
      <c r="Q89" s="10">
        <f t="shared" si="23"/>
        <v>6.9009545177562941E-5</v>
      </c>
      <c r="R89" s="10">
        <f t="shared" si="24"/>
        <v>6.5676730415489652E-3</v>
      </c>
      <c r="S89" s="66"/>
      <c r="T89" s="5">
        <f t="shared" si="35"/>
        <v>5.8333333333333295</v>
      </c>
      <c r="U89" s="12">
        <f t="shared" si="25"/>
        <v>9725.0450831510461</v>
      </c>
      <c r="V89" s="12">
        <f t="shared" si="20"/>
        <v>1105855.3931201843</v>
      </c>
    </row>
    <row r="90" spans="1:22">
      <c r="A90" s="5">
        <f t="shared" si="26"/>
        <v>5.9166666666666625</v>
      </c>
      <c r="B90" s="4">
        <f t="shared" si="18"/>
        <v>9.3437417820545297E-4</v>
      </c>
      <c r="C90" s="4">
        <f t="shared" si="19"/>
        <v>2.4260630735425861E-3</v>
      </c>
      <c r="D90" s="4">
        <f t="shared" si="27"/>
        <v>4.671870891027265E-5</v>
      </c>
      <c r="E90" s="4">
        <f t="shared" si="28"/>
        <v>9.3437417820545299E-5</v>
      </c>
      <c r="F90" s="4">
        <f t="shared" si="29"/>
        <v>2.4260630735425861E-3</v>
      </c>
      <c r="G90" s="4">
        <f t="shared" si="29"/>
        <v>4.671870891027265E-5</v>
      </c>
      <c r="H90" s="4">
        <f t="shared" si="30"/>
        <v>2.9112756882511033E-3</v>
      </c>
      <c r="I90" s="4">
        <f t="shared" si="31"/>
        <v>0.9836443087411757</v>
      </c>
      <c r="J90" s="4">
        <f t="shared" si="32"/>
        <v>4.4401918317487996E-3</v>
      </c>
      <c r="K90" s="4">
        <f t="shared" si="33"/>
        <v>1.1693180677344109E-2</v>
      </c>
      <c r="L90" s="4">
        <f t="shared" si="34"/>
        <v>2.2231874973163216E-4</v>
      </c>
      <c r="N90" s="10">
        <f t="shared" si="21"/>
        <v>0.7370009777462172</v>
      </c>
      <c r="O90" s="66">
        <v>4</v>
      </c>
      <c r="P90" s="10">
        <f t="shared" si="22"/>
        <v>7.1843279088977478E-3</v>
      </c>
      <c r="Q90" s="10">
        <f t="shared" si="23"/>
        <v>1.3834863897484317E-4</v>
      </c>
      <c r="R90" s="10">
        <f t="shared" si="24"/>
        <v>1.3307353856670151E-2</v>
      </c>
      <c r="S90" s="66"/>
      <c r="T90" s="5">
        <f t="shared" si="35"/>
        <v>5.9166666666666625</v>
      </c>
      <c r="U90" s="12">
        <f t="shared" si="25"/>
        <v>9869.5547019663445</v>
      </c>
      <c r="V90" s="12">
        <f t="shared" si="20"/>
        <v>1104310.8272735865</v>
      </c>
    </row>
    <row r="91" spans="1:22">
      <c r="A91" s="5">
        <f t="shared" si="26"/>
        <v>5.9999999999999956</v>
      </c>
      <c r="B91" s="4">
        <f t="shared" si="18"/>
        <v>9.4064505259061756E-4</v>
      </c>
      <c r="C91" s="4">
        <f t="shared" si="19"/>
        <v>2.4405628527987143E-3</v>
      </c>
      <c r="D91" s="4">
        <f t="shared" si="27"/>
        <v>4.7032252629530881E-5</v>
      </c>
      <c r="E91" s="4">
        <f t="shared" si="28"/>
        <v>9.4064505259061761E-5</v>
      </c>
      <c r="F91" s="4">
        <f t="shared" si="29"/>
        <v>2.4405628527987143E-3</v>
      </c>
      <c r="G91" s="4">
        <f t="shared" si="29"/>
        <v>4.7032252629530881E-5</v>
      </c>
      <c r="H91" s="4">
        <f t="shared" si="30"/>
        <v>2.9286754233584572E-3</v>
      </c>
      <c r="I91" s="4">
        <f t="shared" si="31"/>
        <v>0.98336505751703929</v>
      </c>
      <c r="J91" s="4">
        <f t="shared" si="32"/>
        <v>4.5158332765067137E-3</v>
      </c>
      <c r="K91" s="4">
        <f t="shared" si="33"/>
        <v>1.1892997556640014E-2</v>
      </c>
      <c r="L91" s="4">
        <f t="shared" si="34"/>
        <v>2.2611164981412238E-4</v>
      </c>
      <c r="N91" s="10">
        <f t="shared" si="21"/>
        <v>0.73380214643367758</v>
      </c>
      <c r="O91" s="66">
        <v>2</v>
      </c>
      <c r="P91" s="10">
        <f t="shared" si="22"/>
        <v>3.598228860644581E-3</v>
      </c>
      <c r="Q91" s="10">
        <f t="shared" si="23"/>
        <v>6.9341712957171882E-5</v>
      </c>
      <c r="R91" s="10">
        <f t="shared" si="24"/>
        <v>6.7395686391466779E-3</v>
      </c>
      <c r="S91" s="66"/>
      <c r="T91" s="5">
        <f t="shared" si="35"/>
        <v>5.9999999999999956</v>
      </c>
      <c r="U91" s="12">
        <f t="shared" si="25"/>
        <v>10014.131759005626</v>
      </c>
      <c r="V91" s="12">
        <f t="shared" si="20"/>
        <v>1102760.9221301181</v>
      </c>
    </row>
    <row r="92" spans="1:22">
      <c r="A92" s="5">
        <f t="shared" si="26"/>
        <v>6.0833333333333286</v>
      </c>
      <c r="B92" s="4">
        <f t="shared" si="18"/>
        <v>9.469895156092882E-4</v>
      </c>
      <c r="C92" s="4">
        <f t="shared" si="19"/>
        <v>2.4551717892269862E-3</v>
      </c>
      <c r="D92" s="4">
        <f t="shared" si="27"/>
        <v>4.7349475780464414E-5</v>
      </c>
      <c r="E92" s="4">
        <f t="shared" si="28"/>
        <v>9.4698951560928828E-5</v>
      </c>
      <c r="F92" s="4">
        <f t="shared" si="29"/>
        <v>2.4551717892269862E-3</v>
      </c>
      <c r="G92" s="4">
        <f t="shared" si="29"/>
        <v>4.7349475780464414E-5</v>
      </c>
      <c r="H92" s="4">
        <f t="shared" si="30"/>
        <v>2.9462061470723832E-3</v>
      </c>
      <c r="I92" s="4">
        <f t="shared" si="31"/>
        <v>0.9830841586169935</v>
      </c>
      <c r="J92" s="4">
        <f t="shared" si="32"/>
        <v>4.5919448708288246E-3</v>
      </c>
      <c r="K92" s="4">
        <f t="shared" si="33"/>
        <v>1.2093968191031028E-2</v>
      </c>
      <c r="L92" s="4">
        <f t="shared" si="34"/>
        <v>2.2992832114678425E-4</v>
      </c>
      <c r="N92" s="10">
        <f t="shared" si="21"/>
        <v>0.73061591567081863</v>
      </c>
      <c r="O92" s="66">
        <v>4</v>
      </c>
      <c r="P92" s="10">
        <f t="shared" si="22"/>
        <v>7.2086651659459952E-3</v>
      </c>
      <c r="Q92" s="10">
        <f t="shared" si="23"/>
        <v>1.3902347615027969E-4</v>
      </c>
      <c r="R92" s="10">
        <f t="shared" si="24"/>
        <v>1.3650705189798905E-2</v>
      </c>
      <c r="S92" s="66"/>
      <c r="T92" s="5">
        <f t="shared" si="35"/>
        <v>6.0833333333333286</v>
      </c>
      <c r="U92" s="12">
        <f t="shared" si="25"/>
        <v>10158.771542410172</v>
      </c>
      <c r="V92" s="12">
        <f t="shared" si="20"/>
        <v>1101205.6608325955</v>
      </c>
    </row>
    <row r="93" spans="1:22">
      <c r="A93" s="5">
        <f t="shared" si="26"/>
        <v>6.1666666666666616</v>
      </c>
      <c r="B93" s="4">
        <f t="shared" si="18"/>
        <v>9.5340843082316923E-4</v>
      </c>
      <c r="C93" s="4">
        <f t="shared" si="19"/>
        <v>2.4698907045839253E-3</v>
      </c>
      <c r="D93" s="4">
        <f t="shared" si="27"/>
        <v>4.7670421541158462E-5</v>
      </c>
      <c r="E93" s="4">
        <f t="shared" si="28"/>
        <v>9.5340843082316923E-5</v>
      </c>
      <c r="F93" s="4">
        <f t="shared" si="29"/>
        <v>2.4698907045839253E-3</v>
      </c>
      <c r="G93" s="4">
        <f t="shared" si="29"/>
        <v>4.7670421541158462E-5</v>
      </c>
      <c r="H93" s="4">
        <f t="shared" si="30"/>
        <v>2.9638688455007104E-3</v>
      </c>
      <c r="I93" s="4">
        <f t="shared" si="31"/>
        <v>0.98280159823774027</v>
      </c>
      <c r="J93" s="4">
        <f t="shared" si="32"/>
        <v>4.6685318790888244E-3</v>
      </c>
      <c r="K93" s="4">
        <f t="shared" si="33"/>
        <v>1.2296100851231869E-2</v>
      </c>
      <c r="L93" s="4">
        <f t="shared" si="34"/>
        <v>2.3376903193910852E-4</v>
      </c>
      <c r="N93" s="10">
        <f t="shared" si="21"/>
        <v>0.7274422306194277</v>
      </c>
      <c r="O93" s="66">
        <v>2</v>
      </c>
      <c r="P93" s="10">
        <f t="shared" si="22"/>
        <v>3.6104751037504918E-3</v>
      </c>
      <c r="Q93" s="10">
        <f t="shared" si="23"/>
        <v>6.9684407427509108E-5</v>
      </c>
      <c r="R93" s="10">
        <f t="shared" si="24"/>
        <v>6.9110332134823555E-3</v>
      </c>
      <c r="S93" s="66"/>
      <c r="T93" s="5">
        <f t="shared" si="35"/>
        <v>6.1666666666666616</v>
      </c>
      <c r="U93" s="12">
        <f t="shared" si="25"/>
        <v>10303.469280207595</v>
      </c>
      <c r="V93" s="12">
        <f t="shared" si="20"/>
        <v>1099645.0264634511</v>
      </c>
    </row>
    <row r="94" spans="1:22">
      <c r="A94" s="5">
        <f t="shared" si="26"/>
        <v>6.2499999999999947</v>
      </c>
      <c r="B94" s="4">
        <f t="shared" si="18"/>
        <v>9.5990267192785244E-4</v>
      </c>
      <c r="C94" s="4">
        <f t="shared" si="19"/>
        <v>2.4847204268124033E-3</v>
      </c>
      <c r="D94" s="4">
        <f t="shared" si="27"/>
        <v>4.7995133596392626E-5</v>
      </c>
      <c r="E94" s="4">
        <f t="shared" si="28"/>
        <v>9.5990267192785252E-5</v>
      </c>
      <c r="F94" s="4">
        <f t="shared" si="29"/>
        <v>2.4847204268124033E-3</v>
      </c>
      <c r="G94" s="4">
        <f t="shared" si="29"/>
        <v>4.7995133596392626E-5</v>
      </c>
      <c r="H94" s="4">
        <f t="shared" si="30"/>
        <v>2.9816645121748839E-3</v>
      </c>
      <c r="I94" s="4">
        <f t="shared" si="31"/>
        <v>0.98251736246055377</v>
      </c>
      <c r="J94" s="4">
        <f t="shared" si="32"/>
        <v>4.7455996218760052E-3</v>
      </c>
      <c r="K94" s="4">
        <f t="shared" si="33"/>
        <v>1.2499403864246923E-2</v>
      </c>
      <c r="L94" s="4">
        <f t="shared" si="34"/>
        <v>2.3763405332337224E-4</v>
      </c>
      <c r="N94" s="10">
        <f t="shared" si="21"/>
        <v>0.724281036656519</v>
      </c>
      <c r="O94" s="66">
        <v>4</v>
      </c>
      <c r="P94" s="10">
        <f t="shared" si="22"/>
        <v>7.2333128101033546E-3</v>
      </c>
      <c r="Q94" s="10">
        <f t="shared" si="23"/>
        <v>1.3971946739729508E-4</v>
      </c>
      <c r="R94" s="10">
        <f t="shared" si="24"/>
        <v>1.3993229819700546E-2</v>
      </c>
      <c r="S94" s="66"/>
      <c r="T94" s="5">
        <f t="shared" si="35"/>
        <v>6.2499999999999947</v>
      </c>
      <c r="U94" s="12">
        <f t="shared" si="25"/>
        <v>10448.22013982353</v>
      </c>
      <c r="V94" s="12">
        <f t="shared" si="20"/>
        <v>1098079.0020442095</v>
      </c>
    </row>
    <row r="95" spans="1:22">
      <c r="A95" s="5">
        <f t="shared" si="26"/>
        <v>6.3333333333333277</v>
      </c>
      <c r="B95" s="4">
        <f t="shared" si="18"/>
        <v>9.6647312287173799E-4</v>
      </c>
      <c r="C95" s="4">
        <f t="shared" si="19"/>
        <v>2.4996617900882069E-3</v>
      </c>
      <c r="D95" s="4">
        <f t="shared" si="27"/>
        <v>4.8323656143586903E-5</v>
      </c>
      <c r="E95" s="4">
        <f t="shared" si="28"/>
        <v>9.6647312287173807E-5</v>
      </c>
      <c r="F95" s="4">
        <f t="shared" si="29"/>
        <v>2.4996617900882069E-3</v>
      </c>
      <c r="G95" s="4">
        <f t="shared" si="29"/>
        <v>4.8323656143586903E-5</v>
      </c>
      <c r="H95" s="4">
        <f t="shared" si="30"/>
        <v>2.9995941481058483E-3</v>
      </c>
      <c r="I95" s="4">
        <f t="shared" si="31"/>
        <v>0.98223143725035866</v>
      </c>
      <c r="J95" s="4">
        <f t="shared" si="32"/>
        <v>4.8231534765476635E-3</v>
      </c>
      <c r="K95" s="4">
        <f t="shared" si="33"/>
        <v>1.2703885613709023E-2</v>
      </c>
      <c r="L95" s="4">
        <f t="shared" si="34"/>
        <v>2.4152365938472539E-4</v>
      </c>
      <c r="N95" s="10">
        <f t="shared" si="21"/>
        <v>0.72113227937342594</v>
      </c>
      <c r="O95" s="66">
        <v>2</v>
      </c>
      <c r="P95" s="10">
        <f t="shared" si="22"/>
        <v>3.6228764687010976E-3</v>
      </c>
      <c r="Q95" s="10">
        <f t="shared" si="23"/>
        <v>7.0037729671431424E-5</v>
      </c>
      <c r="R95" s="10">
        <f t="shared" si="24"/>
        <v>7.0821020961155555E-3</v>
      </c>
      <c r="S95" s="66"/>
      <c r="T95" s="5">
        <f t="shared" si="35"/>
        <v>6.3333333333333277</v>
      </c>
      <c r="U95" s="12">
        <f t="shared" si="25"/>
        <v>10593.019227591585</v>
      </c>
      <c r="V95" s="12">
        <f t="shared" si="20"/>
        <v>1096507.5705349566</v>
      </c>
    </row>
    <row r="96" spans="1:22">
      <c r="A96" s="5">
        <f t="shared" si="26"/>
        <v>6.4166666666666607</v>
      </c>
      <c r="B96" s="4">
        <f t="shared" si="18"/>
        <v>9.7312067797634657E-4</v>
      </c>
      <c r="C96" s="4">
        <f t="shared" si="19"/>
        <v>2.5147156348669561E-3</v>
      </c>
      <c r="D96" s="4">
        <f t="shared" si="27"/>
        <v>4.865603389881733E-5</v>
      </c>
      <c r="E96" s="4">
        <f t="shared" si="28"/>
        <v>9.7312067797634659E-5</v>
      </c>
      <c r="F96" s="4">
        <f t="shared" si="29"/>
        <v>2.5147156348669561E-3</v>
      </c>
      <c r="G96" s="4">
        <f t="shared" si="29"/>
        <v>4.865603389881733E-5</v>
      </c>
      <c r="H96" s="4">
        <f t="shared" si="30"/>
        <v>3.0176587618403472E-3</v>
      </c>
      <c r="I96" s="4">
        <f t="shared" si="31"/>
        <v>0.98194380845480311</v>
      </c>
      <c r="J96" s="4">
        <f t="shared" si="32"/>
        <v>4.9011988777858881E-3</v>
      </c>
      <c r="K96" s="4">
        <f t="shared" si="33"/>
        <v>1.2909554540219565E-2</v>
      </c>
      <c r="L96" s="4">
        <f t="shared" si="34"/>
        <v>2.4543812719155173E-4</v>
      </c>
      <c r="N96" s="10">
        <f t="shared" si="21"/>
        <v>0.71799590457489915</v>
      </c>
      <c r="O96" s="66">
        <v>4</v>
      </c>
      <c r="P96" s="10">
        <f t="shared" si="22"/>
        <v>7.2582705525296928E-3</v>
      </c>
      <c r="Q96" s="10">
        <f t="shared" si="23"/>
        <v>1.4043681645513632E-4</v>
      </c>
      <c r="R96" s="10">
        <f t="shared" si="24"/>
        <v>1.4334998363276849E-2</v>
      </c>
      <c r="S96" s="66"/>
      <c r="T96" s="5">
        <f t="shared" si="35"/>
        <v>6.4166666666666607</v>
      </c>
      <c r="U96" s="12">
        <f t="shared" si="25"/>
        <v>10737.861588261623</v>
      </c>
      <c r="V96" s="12">
        <f t="shared" si="20"/>
        <v>1094930.7148338004</v>
      </c>
    </row>
    <row r="97" spans="1:22">
      <c r="A97" s="5">
        <f t="shared" si="26"/>
        <v>6.4999999999999938</v>
      </c>
      <c r="B97" s="4">
        <f t="shared" si="18"/>
        <v>9.7984624205805365E-4</v>
      </c>
      <c r="C97" s="4">
        <f t="shared" si="19"/>
        <v>2.5298828079313935E-3</v>
      </c>
      <c r="D97" s="4">
        <f t="shared" si="27"/>
        <v>4.8992312102902687E-5</v>
      </c>
      <c r="E97" s="4">
        <f t="shared" si="28"/>
        <v>9.7984624205805373E-5</v>
      </c>
      <c r="F97" s="4">
        <f t="shared" si="29"/>
        <v>2.5298828079313935E-3</v>
      </c>
      <c r="G97" s="4">
        <f t="shared" si="29"/>
        <v>4.8992312102902687E-5</v>
      </c>
      <c r="H97" s="4">
        <f t="shared" si="30"/>
        <v>3.0358593695176722E-3</v>
      </c>
      <c r="I97" s="4">
        <f t="shared" si="31"/>
        <v>0.98165446180332527</v>
      </c>
      <c r="J97" s="4">
        <f t="shared" si="32"/>
        <v>4.9797413181587574E-3</v>
      </c>
      <c r="K97" s="4">
        <f t="shared" si="33"/>
        <v>1.3116419141689956E-2</v>
      </c>
      <c r="L97" s="4">
        <f t="shared" si="34"/>
        <v>2.493777368261054E-4</v>
      </c>
      <c r="N97" s="10">
        <f t="shared" si="21"/>
        <v>0.7148718582782071</v>
      </c>
      <c r="O97" s="66">
        <v>2</v>
      </c>
      <c r="P97" s="10">
        <f t="shared" si="22"/>
        <v>3.6354328090421177E-3</v>
      </c>
      <c r="Q97" s="10">
        <f t="shared" si="23"/>
        <v>7.0401782347917223E-5</v>
      </c>
      <c r="R97" s="10">
        <f t="shared" si="24"/>
        <v>7.2528105731161883E-3</v>
      </c>
      <c r="S97" s="66"/>
      <c r="T97" s="5">
        <f t="shared" si="35"/>
        <v>6.4999999999999938</v>
      </c>
      <c r="U97" s="12">
        <f t="shared" si="25"/>
        <v>10882.742204506387</v>
      </c>
      <c r="V97" s="12">
        <f t="shared" si="20"/>
        <v>1093348.4177763222</v>
      </c>
    </row>
    <row r="98" spans="1:22">
      <c r="A98" s="5">
        <f t="shared" si="26"/>
        <v>6.5833333333333268</v>
      </c>
      <c r="B98" s="4">
        <f t="shared" si="18"/>
        <v>9.8665073055124205E-4</v>
      </c>
      <c r="C98" s="4">
        <f t="shared" si="19"/>
        <v>2.545164162439001E-3</v>
      </c>
      <c r="D98" s="4">
        <f t="shared" si="27"/>
        <v>4.9332536527562105E-5</v>
      </c>
      <c r="E98" s="4">
        <f t="shared" si="28"/>
        <v>9.8665073055124211E-5</v>
      </c>
      <c r="F98" s="4">
        <f t="shared" si="29"/>
        <v>2.545164162439001E-3</v>
      </c>
      <c r="G98" s="4">
        <f t="shared" si="29"/>
        <v>4.9332536527562105E-5</v>
      </c>
      <c r="H98" s="4">
        <f t="shared" si="30"/>
        <v>3.054196994926801E-3</v>
      </c>
      <c r="I98" s="4">
        <f t="shared" si="31"/>
        <v>0.98136338290621428</v>
      </c>
      <c r="J98" s="4">
        <f t="shared" si="32"/>
        <v>5.0587863486859404E-3</v>
      </c>
      <c r="K98" s="4">
        <f t="shared" si="33"/>
        <v>1.3324487973684374E-2</v>
      </c>
      <c r="L98" s="4">
        <f t="shared" si="34"/>
        <v>2.5334277141542491E-4</v>
      </c>
      <c r="N98" s="10">
        <f t="shared" si="21"/>
        <v>0.71176008671224344</v>
      </c>
      <c r="O98" s="66">
        <v>4</v>
      </c>
      <c r="P98" s="10">
        <f t="shared" si="22"/>
        <v>7.2835380961132979E-3</v>
      </c>
      <c r="Q98" s="10">
        <f t="shared" si="23"/>
        <v>1.4117573022561799E-4</v>
      </c>
      <c r="R98" s="10">
        <f t="shared" si="24"/>
        <v>1.4676081349342621E-2</v>
      </c>
      <c r="S98" s="66"/>
      <c r="T98" s="5">
        <f t="shared" si="35"/>
        <v>6.5833333333333268</v>
      </c>
      <c r="U98" s="12">
        <f t="shared" si="25"/>
        <v>11027.655996426523</v>
      </c>
      <c r="V98" s="12">
        <f t="shared" si="20"/>
        <v>1091760.6621350199</v>
      </c>
    </row>
    <row r="99" spans="1:22">
      <c r="A99" s="5">
        <f t="shared" si="26"/>
        <v>6.6666666666666599</v>
      </c>
      <c r="B99" s="4">
        <f t="shared" si="18"/>
        <v>9.9353506963290668E-4</v>
      </c>
      <c r="C99" s="4">
        <f t="shared" si="19"/>
        <v>2.5605605579699969E-3</v>
      </c>
      <c r="D99" s="4">
        <f t="shared" si="27"/>
        <v>4.9676753481645339E-5</v>
      </c>
      <c r="E99" s="4">
        <f t="shared" si="28"/>
        <v>9.9353506963290679E-5</v>
      </c>
      <c r="F99" s="4">
        <f t="shared" si="29"/>
        <v>2.5605605579699969E-3</v>
      </c>
      <c r="G99" s="4">
        <f t="shared" si="29"/>
        <v>4.9676753481645339E-5</v>
      </c>
      <c r="H99" s="4">
        <f t="shared" si="30"/>
        <v>3.0726726695639961E-3</v>
      </c>
      <c r="I99" s="4">
        <f t="shared" si="31"/>
        <v>0.98107055725366488</v>
      </c>
      <c r="J99" s="4">
        <f t="shared" si="32"/>
        <v>5.1383395794087367E-3</v>
      </c>
      <c r="K99" s="4">
        <f t="shared" si="33"/>
        <v>1.3533769649763879E-2</v>
      </c>
      <c r="L99" s="4">
        <f t="shared" si="34"/>
        <v>2.5733351716252667E-4</v>
      </c>
      <c r="N99" s="10">
        <f t="shared" si="21"/>
        <v>0.70866053631663584</v>
      </c>
      <c r="O99" s="66">
        <v>2</v>
      </c>
      <c r="P99" s="10">
        <f t="shared" si="22"/>
        <v>3.648143974048103E-3</v>
      </c>
      <c r="Q99" s="10">
        <f t="shared" si="23"/>
        <v>7.0776669702361751E-5</v>
      </c>
      <c r="R99" s="10">
        <f t="shared" si="24"/>
        <v>7.4231938879382566E-3</v>
      </c>
      <c r="S99" s="66"/>
      <c r="T99" s="5">
        <f t="shared" si="35"/>
        <v>6.6666666666666599</v>
      </c>
      <c r="U99" s="12">
        <f t="shared" si="25"/>
        <v>11172.597821054049</v>
      </c>
      <c r="V99" s="12">
        <f t="shared" si="20"/>
        <v>1090167.4306187429</v>
      </c>
    </row>
    <row r="100" spans="1:22">
      <c r="A100" s="5">
        <f t="shared" si="26"/>
        <v>6.7499999999999929</v>
      </c>
      <c r="B100" s="4">
        <f t="shared" si="18"/>
        <v>1.0005001963487173E-3</v>
      </c>
      <c r="C100" s="4">
        <f t="shared" si="19"/>
        <v>2.5760728605756936E-3</v>
      </c>
      <c r="D100" s="4">
        <f t="shared" si="27"/>
        <v>5.0025009817435869E-5</v>
      </c>
      <c r="E100" s="4">
        <f t="shared" si="28"/>
        <v>1.0005001963487174E-4</v>
      </c>
      <c r="F100" s="4">
        <f t="shared" si="29"/>
        <v>2.5760728605756936E-3</v>
      </c>
      <c r="G100" s="4">
        <f t="shared" si="29"/>
        <v>5.0025009817435869E-5</v>
      </c>
      <c r="H100" s="4">
        <f t="shared" si="30"/>
        <v>3.0912874326908322E-3</v>
      </c>
      <c r="I100" s="4">
        <f t="shared" si="31"/>
        <v>0.98077597021482577</v>
      </c>
      <c r="J100" s="4">
        <f t="shared" si="32"/>
        <v>5.2184066799645327E-3</v>
      </c>
      <c r="K100" s="4">
        <f t="shared" si="33"/>
        <v>1.3744272841831797E-2</v>
      </c>
      <c r="L100" s="4">
        <f t="shared" si="34"/>
        <v>2.6135026337787949E-4</v>
      </c>
      <c r="N100" s="10">
        <f t="shared" si="21"/>
        <v>0.70557315374086227</v>
      </c>
      <c r="O100" s="66">
        <v>4</v>
      </c>
      <c r="P100" s="10">
        <f t="shared" si="22"/>
        <v>7.3091151349267622E-3</v>
      </c>
      <c r="Q100" s="10">
        <f t="shared" si="23"/>
        <v>1.4193641879359285E-4</v>
      </c>
      <c r="R100" s="10">
        <f t="shared" si="24"/>
        <v>1.5016549224298278E-2</v>
      </c>
      <c r="S100" s="66"/>
      <c r="T100" s="5">
        <f t="shared" si="35"/>
        <v>6.7499999999999929</v>
      </c>
      <c r="U100" s="12">
        <f t="shared" si="25"/>
        <v>11317.562471854284</v>
      </c>
      <c r="V100" s="12">
        <f t="shared" si="20"/>
        <v>1088568.7058721166</v>
      </c>
    </row>
    <row r="101" spans="1:22">
      <c r="A101" s="5">
        <f t="shared" si="26"/>
        <v>6.8333333333333259</v>
      </c>
      <c r="B101" s="4">
        <f t="shared" si="18"/>
        <v>1.0075470587405638E-3</v>
      </c>
      <c r="C101" s="4">
        <f t="shared" si="19"/>
        <v>2.5917019428272009E-3</v>
      </c>
      <c r="D101" s="4">
        <f t="shared" si="27"/>
        <v>5.0377352937028191E-5</v>
      </c>
      <c r="E101" s="4">
        <f t="shared" si="28"/>
        <v>1.0075470587405638E-4</v>
      </c>
      <c r="F101" s="4">
        <f t="shared" si="29"/>
        <v>2.5917019428272009E-3</v>
      </c>
      <c r="G101" s="4">
        <f t="shared" si="29"/>
        <v>5.0377352937028191E-5</v>
      </c>
      <c r="H101" s="4">
        <f t="shared" si="30"/>
        <v>3.1100423313926411E-3</v>
      </c>
      <c r="I101" s="4">
        <f t="shared" si="31"/>
        <v>0.98047960703684267</v>
      </c>
      <c r="J101" s="4">
        <f t="shared" si="32"/>
        <v>5.2989933801657106E-3</v>
      </c>
      <c r="K101" s="4">
        <f t="shared" si="33"/>
        <v>1.3956006280480431E-2</v>
      </c>
      <c r="L101" s="4">
        <f t="shared" si="34"/>
        <v>2.6539330251116184E-4</v>
      </c>
      <c r="N101" s="10">
        <f t="shared" si="21"/>
        <v>0.70249788584336925</v>
      </c>
      <c r="O101" s="66">
        <v>2</v>
      </c>
      <c r="P101" s="10">
        <f t="shared" si="22"/>
        <v>3.6610098084478081E-3</v>
      </c>
      <c r="Q101" s="10">
        <f t="shared" si="23"/>
        <v>7.1162497576749315E-5</v>
      </c>
      <c r="R101" s="10">
        <f t="shared" si="24"/>
        <v>7.5932872442181099E-3</v>
      </c>
      <c r="S101" s="66"/>
      <c r="T101" s="5">
        <f t="shared" si="35"/>
        <v>6.8333333333333259</v>
      </c>
      <c r="U101" s="12">
        <f t="shared" si="25"/>
        <v>11462.544678226328</v>
      </c>
      <c r="V101" s="12">
        <f t="shared" si="20"/>
        <v>1086964.4704749591</v>
      </c>
    </row>
    <row r="102" spans="1:22">
      <c r="A102" s="5">
        <f t="shared" si="26"/>
        <v>6.916666666666659</v>
      </c>
      <c r="B102" s="4">
        <f t="shared" si="18"/>
        <v>1.0146766159755945E-3</v>
      </c>
      <c r="C102" s="4">
        <f t="shared" si="19"/>
        <v>2.6074486838645141E-3</v>
      </c>
      <c r="D102" s="4">
        <f t="shared" si="27"/>
        <v>5.0733830798779724E-5</v>
      </c>
      <c r="E102" s="4">
        <f t="shared" si="28"/>
        <v>1.0146766159755945E-4</v>
      </c>
      <c r="F102" s="4">
        <f t="shared" si="29"/>
        <v>2.6074486838645141E-3</v>
      </c>
      <c r="G102" s="4">
        <f t="shared" si="29"/>
        <v>5.0733830798779724E-5</v>
      </c>
      <c r="H102" s="4">
        <f t="shared" si="30"/>
        <v>3.1289384206374168E-3</v>
      </c>
      <c r="I102" s="4">
        <f t="shared" si="31"/>
        <v>0.98018145284389457</v>
      </c>
      <c r="J102" s="4">
        <f t="shared" si="32"/>
        <v>5.3801054705830019E-3</v>
      </c>
      <c r="K102" s="4">
        <f t="shared" si="33"/>
        <v>1.4168978755339057E-2</v>
      </c>
      <c r="L102" s="4">
        <f t="shared" si="34"/>
        <v>2.6946293018330342E-4</v>
      </c>
      <c r="N102" s="10">
        <f t="shared" si="21"/>
        <v>0.69943467969069584</v>
      </c>
      <c r="O102" s="66">
        <v>4</v>
      </c>
      <c r="P102" s="10">
        <f t="shared" si="22"/>
        <v>7.3350013536725642E-3</v>
      </c>
      <c r="Q102" s="10">
        <f t="shared" si="23"/>
        <v>1.4271909544716493E-4</v>
      </c>
      <c r="R102" s="10">
        <f t="shared" si="24"/>
        <v>1.5356472357649026E-2</v>
      </c>
      <c r="S102" s="66"/>
      <c r="T102" s="5">
        <f t="shared" si="35"/>
        <v>6.916666666666659</v>
      </c>
      <c r="U102" s="12">
        <f t="shared" si="25"/>
        <v>11607.53910500209</v>
      </c>
      <c r="V102" s="12">
        <f t="shared" si="20"/>
        <v>1085354.7069416884</v>
      </c>
    </row>
    <row r="103" spans="1:22">
      <c r="A103" s="5">
        <f t="shared" si="26"/>
        <v>6.999999999999992</v>
      </c>
      <c r="B103" s="4">
        <f t="shared" si="18"/>
        <v>1.0218898384767754E-3</v>
      </c>
      <c r="C103" s="4">
        <f t="shared" si="19"/>
        <v>2.6233139694459722E-3</v>
      </c>
      <c r="D103" s="4">
        <f t="shared" si="27"/>
        <v>5.1094491923838777E-5</v>
      </c>
      <c r="E103" s="4">
        <f t="shared" si="28"/>
        <v>1.0218898384767755E-4</v>
      </c>
      <c r="F103" s="4">
        <f t="shared" si="29"/>
        <v>2.6233139694459722E-3</v>
      </c>
      <c r="G103" s="4">
        <f t="shared" si="29"/>
        <v>5.1094491923838777E-5</v>
      </c>
      <c r="H103" s="4">
        <f t="shared" si="30"/>
        <v>3.1479767633351666E-3</v>
      </c>
      <c r="I103" s="4">
        <f t="shared" si="31"/>
        <v>0.9798814926362247</v>
      </c>
      <c r="J103" s="4">
        <f t="shared" si="32"/>
        <v>5.4617488031332932E-3</v>
      </c>
      <c r="K103" s="4">
        <f t="shared" si="33"/>
        <v>1.4383199115423203E-2</v>
      </c>
      <c r="L103" s="4">
        <f t="shared" si="34"/>
        <v>2.7355944521881346E-4</v>
      </c>
      <c r="N103" s="10">
        <f t="shared" si="21"/>
        <v>0.69638348255660121</v>
      </c>
      <c r="O103" s="66">
        <v>2</v>
      </c>
      <c r="P103" s="10">
        <f t="shared" si="22"/>
        <v>3.6740301521443258E-3</v>
      </c>
      <c r="Q103" s="10">
        <f t="shared" si="23"/>
        <v>7.1559373419691839E-5</v>
      </c>
      <c r="R103" s="10">
        <f t="shared" si="24"/>
        <v>7.7631258084947382E-3</v>
      </c>
      <c r="S103" s="66"/>
      <c r="T103" s="5">
        <f t="shared" si="35"/>
        <v>6.999999999999992</v>
      </c>
      <c r="U103" s="12">
        <f t="shared" si="25"/>
        <v>11752.540351943948</v>
      </c>
      <c r="V103" s="12">
        <f t="shared" si="20"/>
        <v>1083739.3977207197</v>
      </c>
    </row>
    <row r="104" spans="1:22">
      <c r="A104" s="5">
        <f t="shared" si="26"/>
        <v>7.083333333333325</v>
      </c>
      <c r="B104" s="4">
        <f t="shared" si="18"/>
        <v>1.0291877080549703E-3</v>
      </c>
      <c r="C104" s="4">
        <f t="shared" si="19"/>
        <v>2.6392986919980717E-3</v>
      </c>
      <c r="D104" s="4">
        <f t="shared" si="27"/>
        <v>5.1459385402748516E-5</v>
      </c>
      <c r="E104" s="4">
        <f t="shared" si="28"/>
        <v>1.0291877080549703E-4</v>
      </c>
      <c r="F104" s="4">
        <f t="shared" si="29"/>
        <v>2.6392986919980717E-3</v>
      </c>
      <c r="G104" s="4">
        <f t="shared" si="29"/>
        <v>5.1459385402748516E-5</v>
      </c>
      <c r="H104" s="4">
        <f t="shared" si="30"/>
        <v>3.167158430397686E-3</v>
      </c>
      <c r="I104" s="4">
        <f t="shared" si="31"/>
        <v>0.97957971128916455</v>
      </c>
      <c r="J104" s="4">
        <f t="shared" si="32"/>
        <v>5.5439292916718945E-3</v>
      </c>
      <c r="K104" s="4">
        <f t="shared" si="33"/>
        <v>1.4598676269485201E-2</v>
      </c>
      <c r="L104" s="4">
        <f t="shared" si="34"/>
        <v>2.7768314967839617E-4</v>
      </c>
      <c r="N104" s="10">
        <f t="shared" si="21"/>
        <v>0.69334424192119715</v>
      </c>
      <c r="O104" s="66">
        <v>4</v>
      </c>
      <c r="P104" s="10">
        <f t="shared" si="22"/>
        <v>7.3611964271180583E-3</v>
      </c>
      <c r="Q104" s="10">
        <f t="shared" si="23"/>
        <v>1.4352397669762507E-4</v>
      </c>
      <c r="R104" s="10">
        <f t="shared" si="24"/>
        <v>1.5695921047365561E-2</v>
      </c>
      <c r="S104" s="66"/>
      <c r="T104" s="5">
        <f t="shared" si="35"/>
        <v>7.083333333333325</v>
      </c>
      <c r="U104" s="12">
        <f t="shared" si="25"/>
        <v>11897.542953241078</v>
      </c>
      <c r="V104" s="12">
        <f t="shared" si="20"/>
        <v>1082118.5251938533</v>
      </c>
    </row>
    <row r="105" spans="1:22">
      <c r="A105" s="5">
        <f t="shared" si="26"/>
        <v>7.1666666666666581</v>
      </c>
      <c r="B105" s="4">
        <f t="shared" si="18"/>
        <v>1.0365712180425831E-3</v>
      </c>
      <c r="C105" s="4">
        <f t="shared" si="19"/>
        <v>2.6554037506656674E-3</v>
      </c>
      <c r="D105" s="4">
        <f t="shared" si="27"/>
        <v>5.1828560902129158E-5</v>
      </c>
      <c r="E105" s="4">
        <f t="shared" si="28"/>
        <v>1.0365712180425832E-4</v>
      </c>
      <c r="F105" s="4">
        <f t="shared" si="29"/>
        <v>2.6554037506656674E-3</v>
      </c>
      <c r="G105" s="4">
        <f t="shared" si="29"/>
        <v>5.1828560902129158E-5</v>
      </c>
      <c r="H105" s="4">
        <f t="shared" si="30"/>
        <v>3.1864845007988007E-3</v>
      </c>
      <c r="I105" s="4">
        <f t="shared" si="31"/>
        <v>0.97927609355215295</v>
      </c>
      <c r="J105" s="4">
        <f t="shared" si="32"/>
        <v>5.6266529125892787E-3</v>
      </c>
      <c r="K105" s="4">
        <f t="shared" si="33"/>
        <v>1.4815419186366023E-2</v>
      </c>
      <c r="L105" s="4">
        <f t="shared" si="34"/>
        <v>2.8183434889185661E-4</v>
      </c>
      <c r="N105" s="10">
        <f t="shared" si="21"/>
        <v>0.69031690547008551</v>
      </c>
      <c r="O105" s="66">
        <v>2</v>
      </c>
      <c r="P105" s="10">
        <f t="shared" si="22"/>
        <v>3.687204839929938E-3</v>
      </c>
      <c r="Q105" s="10">
        <f t="shared" si="23"/>
        <v>7.1967406296322281E-5</v>
      </c>
      <c r="R105" s="10">
        <f t="shared" si="24"/>
        <v>7.932744712849495E-3</v>
      </c>
      <c r="S105" s="66"/>
      <c r="T105" s="5">
        <f t="shared" si="35"/>
        <v>7.1666666666666581</v>
      </c>
      <c r="U105" s="12">
        <f t="shared" si="25"/>
        <v>12042.541377004494</v>
      </c>
      <c r="V105" s="12">
        <f t="shared" si="20"/>
        <v>1080492.0716756538</v>
      </c>
    </row>
    <row r="106" spans="1:22">
      <c r="A106" s="5">
        <f t="shared" si="26"/>
        <v>7.2499999999999911</v>
      </c>
      <c r="B106" s="4">
        <f t="shared" si="18"/>
        <v>1.0440413734287631E-3</v>
      </c>
      <c r="C106" s="4">
        <f t="shared" si="19"/>
        <v>2.6716300513625608E-3</v>
      </c>
      <c r="D106" s="4">
        <f t="shared" si="27"/>
        <v>5.2202068671438157E-5</v>
      </c>
      <c r="E106" s="4">
        <f t="shared" si="28"/>
        <v>1.0440413734287631E-4</v>
      </c>
      <c r="F106" s="4">
        <f t="shared" si="29"/>
        <v>2.6716300513625608E-3</v>
      </c>
      <c r="G106" s="4">
        <f t="shared" si="29"/>
        <v>5.2202068671438157E-5</v>
      </c>
      <c r="H106" s="4">
        <f t="shared" si="30"/>
        <v>3.2059560616350727E-3</v>
      </c>
      <c r="I106" s="4">
        <f t="shared" si="31"/>
        <v>0.97897062404774815</v>
      </c>
      <c r="J106" s="4">
        <f t="shared" si="32"/>
        <v>5.7099257054122861E-3</v>
      </c>
      <c r="K106" s="4">
        <f t="shared" si="33"/>
        <v>1.503343689534835E-2</v>
      </c>
      <c r="L106" s="4">
        <f t="shared" si="34"/>
        <v>2.8601335149129706E-4</v>
      </c>
      <c r="N106" s="10">
        <f t="shared" si="21"/>
        <v>0.68730142109349768</v>
      </c>
      <c r="O106" s="66">
        <v>4</v>
      </c>
      <c r="P106" s="10">
        <f t="shared" si="22"/>
        <v>7.3877000195196971E-3</v>
      </c>
      <c r="Q106" s="10">
        <f t="shared" si="23"/>
        <v>1.4435128229908361E-4</v>
      </c>
      <c r="R106" s="10">
        <f t="shared" si="24"/>
        <v>1.6034965525080949E-2</v>
      </c>
      <c r="S106" s="66"/>
      <c r="T106" s="5">
        <f t="shared" si="35"/>
        <v>7.2499999999999911</v>
      </c>
      <c r="U106" s="12">
        <f t="shared" si="25"/>
        <v>12187.530024760872</v>
      </c>
      <c r="V106" s="12">
        <f t="shared" si="20"/>
        <v>1078860.0194128174</v>
      </c>
    </row>
    <row r="107" spans="1:22">
      <c r="A107" s="5">
        <f t="shared" si="26"/>
        <v>7.3333333333333242</v>
      </c>
      <c r="B107" s="4">
        <f t="shared" si="18"/>
        <v>1.0515991909961903E-3</v>
      </c>
      <c r="C107" s="4">
        <f t="shared" si="19"/>
        <v>2.6879785068224409E-3</v>
      </c>
      <c r="D107" s="4">
        <f t="shared" si="27"/>
        <v>5.2579959549809516E-5</v>
      </c>
      <c r="E107" s="4">
        <f t="shared" si="28"/>
        <v>1.0515991909961903E-4</v>
      </c>
      <c r="F107" s="4">
        <f t="shared" si="29"/>
        <v>2.6879785068224409E-3</v>
      </c>
      <c r="G107" s="4">
        <f t="shared" si="29"/>
        <v>5.2579959549809516E-5</v>
      </c>
      <c r="H107" s="4">
        <f t="shared" si="30"/>
        <v>3.2255742081869292E-3</v>
      </c>
      <c r="I107" s="4">
        <f t="shared" si="31"/>
        <v>0.97866328727063479</v>
      </c>
      <c r="J107" s="4">
        <f t="shared" si="32"/>
        <v>5.7937537734098071E-3</v>
      </c>
      <c r="K107" s="4">
        <f t="shared" si="33"/>
        <v>1.5252738486510905E-2</v>
      </c>
      <c r="L107" s="4">
        <f t="shared" si="34"/>
        <v>2.9022046944460721E-4</v>
      </c>
      <c r="N107" s="10">
        <f t="shared" si="21"/>
        <v>0.6842977368854416</v>
      </c>
      <c r="O107" s="66">
        <v>2</v>
      </c>
      <c r="P107" s="10">
        <f t="shared" si="22"/>
        <v>3.700533701195496E-3</v>
      </c>
      <c r="Q107" s="10">
        <f t="shared" si="23"/>
        <v>7.2386706898032116E-5</v>
      </c>
      <c r="R107" s="10">
        <f t="shared" si="24"/>
        <v>8.1021790574625965E-3</v>
      </c>
      <c r="S107" s="66"/>
      <c r="T107" s="5">
        <f t="shared" si="35"/>
        <v>7.3333333333333242</v>
      </c>
      <c r="U107" s="12">
        <f t="shared" si="25"/>
        <v>12332.503230945185</v>
      </c>
      <c r="V107" s="12">
        <f t="shared" si="20"/>
        <v>1077222.3505835317</v>
      </c>
    </row>
    <row r="108" spans="1:22">
      <c r="A108" s="5">
        <f t="shared" si="26"/>
        <v>7.4166666666666572</v>
      </c>
      <c r="B108" s="4">
        <f t="shared" si="18"/>
        <v>1.0592456994594815E-3</v>
      </c>
      <c r="C108" s="4">
        <f t="shared" si="19"/>
        <v>2.7044500366502394E-3</v>
      </c>
      <c r="D108" s="4">
        <f t="shared" si="27"/>
        <v>5.2962284972974077E-5</v>
      </c>
      <c r="E108" s="4">
        <f t="shared" si="28"/>
        <v>1.0592456994594815E-4</v>
      </c>
      <c r="F108" s="4">
        <f t="shared" si="29"/>
        <v>2.7044500366502394E-3</v>
      </c>
      <c r="G108" s="4">
        <f t="shared" si="29"/>
        <v>5.2962284972974077E-5</v>
      </c>
      <c r="H108" s="4">
        <f t="shared" si="30"/>
        <v>3.2453400439802871E-3</v>
      </c>
      <c r="I108" s="4">
        <f t="shared" si="31"/>
        <v>0.97835406758662391</v>
      </c>
      <c r="J108" s="4">
        <f t="shared" si="32"/>
        <v>5.8781432842029387E-3</v>
      </c>
      <c r="K108" s="4">
        <f t="shared" si="33"/>
        <v>1.5473333111084016E-2</v>
      </c>
      <c r="L108" s="4">
        <f t="shared" si="34"/>
        <v>2.9445601808924827E-4</v>
      </c>
      <c r="N108" s="10">
        <f t="shared" si="21"/>
        <v>0.68130580114285122</v>
      </c>
      <c r="O108" s="66">
        <v>4</v>
      </c>
      <c r="P108" s="10">
        <f t="shared" si="22"/>
        <v>7.4145117840363631E-3</v>
      </c>
      <c r="Q108" s="10">
        <f t="shared" si="23"/>
        <v>1.4520123526778024E-4</v>
      </c>
      <c r="R108" s="10">
        <f t="shared" si="24"/>
        <v>1.63736759611183E-2</v>
      </c>
      <c r="S108" s="66"/>
      <c r="T108" s="5">
        <f t="shared" si="35"/>
        <v>7.4166666666666572</v>
      </c>
      <c r="U108" s="12">
        <f t="shared" si="25"/>
        <v>12477.455262392235</v>
      </c>
      <c r="V108" s="12">
        <f t="shared" si="20"/>
        <v>1075579.0472968228</v>
      </c>
    </row>
    <row r="109" spans="1:22">
      <c r="A109" s="5">
        <f t="shared" si="26"/>
        <v>7.4999999999999902</v>
      </c>
      <c r="B109" s="4">
        <f t="shared" si="18"/>
        <v>1.0669819396052045E-3</v>
      </c>
      <c r="C109" s="4">
        <f t="shared" si="19"/>
        <v>2.7210455673738533E-3</v>
      </c>
      <c r="D109" s="4">
        <f t="shared" si="27"/>
        <v>5.3349096980260228E-5</v>
      </c>
      <c r="E109" s="4">
        <f t="shared" si="28"/>
        <v>1.0669819396052046E-4</v>
      </c>
      <c r="F109" s="4">
        <f t="shared" si="29"/>
        <v>2.7210455673738533E-3</v>
      </c>
      <c r="G109" s="4">
        <f t="shared" si="29"/>
        <v>5.3349096980260228E-5</v>
      </c>
      <c r="H109" s="4">
        <f t="shared" si="30"/>
        <v>3.265254680848624E-3</v>
      </c>
      <c r="I109" s="4">
        <f t="shared" si="31"/>
        <v>0.9780429492316477</v>
      </c>
      <c r="J109" s="4">
        <f t="shared" si="32"/>
        <v>5.9631004703796248E-3</v>
      </c>
      <c r="K109" s="4">
        <f t="shared" si="33"/>
        <v>1.5695229981806405E-2</v>
      </c>
      <c r="L109" s="4">
        <f t="shared" si="34"/>
        <v>2.9872031616633366E-4</v>
      </c>
      <c r="N109" s="10">
        <f t="shared" si="21"/>
        <v>0.67832556236473973</v>
      </c>
      <c r="O109" s="66">
        <v>2</v>
      </c>
      <c r="P109" s="10">
        <f t="shared" si="22"/>
        <v>3.7140165596342913E-3</v>
      </c>
      <c r="Q109" s="10">
        <f t="shared" si="23"/>
        <v>7.281738755203993E-5</v>
      </c>
      <c r="R109" s="10">
        <f t="shared" si="24"/>
        <v>8.2714639130835755E-3</v>
      </c>
      <c r="S109" s="66"/>
      <c r="T109" s="5">
        <f t="shared" si="35"/>
        <v>7.4999999999999902</v>
      </c>
      <c r="U109" s="12">
        <f t="shared" si="25"/>
        <v>12622.380317827108</v>
      </c>
      <c r="V109" s="12">
        <f t="shared" si="20"/>
        <v>1073930.0915918942</v>
      </c>
    </row>
    <row r="110" spans="1:22">
      <c r="A110" s="5">
        <f t="shared" si="26"/>
        <v>7.5833333333333233</v>
      </c>
      <c r="B110" s="4">
        <f t="shared" si="18"/>
        <v>1.0748089644335448E-3</v>
      </c>
      <c r="C110" s="4">
        <f t="shared" si="19"/>
        <v>2.7377660324962591E-3</v>
      </c>
      <c r="D110" s="4">
        <f t="shared" si="27"/>
        <v>5.3740448221677239E-5</v>
      </c>
      <c r="E110" s="4">
        <f t="shared" si="28"/>
        <v>1.0748089644335448E-4</v>
      </c>
      <c r="F110" s="4">
        <f t="shared" si="29"/>
        <v>2.7377660324962591E-3</v>
      </c>
      <c r="G110" s="4">
        <f t="shared" si="29"/>
        <v>5.3740448221677239E-5</v>
      </c>
      <c r="H110" s="4">
        <f t="shared" si="30"/>
        <v>3.285319238995511E-3</v>
      </c>
      <c r="I110" s="4">
        <f t="shared" si="31"/>
        <v>0.97772991631074802</v>
      </c>
      <c r="J110" s="4">
        <f t="shared" si="32"/>
        <v>6.0486316301137715E-3</v>
      </c>
      <c r="K110" s="4">
        <f t="shared" si="33"/>
        <v>1.5918438373283186E-2</v>
      </c>
      <c r="L110" s="4">
        <f t="shared" si="34"/>
        <v>3.030136858550078E-4</v>
      </c>
      <c r="N110" s="10">
        <f t="shared" si="21"/>
        <v>0.67535696925135957</v>
      </c>
      <c r="O110" s="66">
        <v>4</v>
      </c>
      <c r="P110" s="10">
        <f t="shared" si="22"/>
        <v>7.4416313621314565E-3</v>
      </c>
      <c r="Q110" s="10">
        <f t="shared" si="23"/>
        <v>1.4607406190104429E-4</v>
      </c>
      <c r="R110" s="10">
        <f t="shared" si="24"/>
        <v>1.6712122469343497E-2</v>
      </c>
      <c r="S110" s="66"/>
      <c r="T110" s="5">
        <f t="shared" si="35"/>
        <v>7.5833333333333233</v>
      </c>
      <c r="U110" s="12">
        <f t="shared" si="25"/>
        <v>12767.272527354642</v>
      </c>
      <c r="V110" s="12">
        <f t="shared" si="20"/>
        <v>1072275.4654374544</v>
      </c>
    </row>
    <row r="111" spans="1:22">
      <c r="A111" s="5">
        <f t="shared" si="26"/>
        <v>7.6666666666666563</v>
      </c>
      <c r="B111" s="4">
        <f t="shared" si="18"/>
        <v>1.0827278393016322E-3</v>
      </c>
      <c r="C111" s="4">
        <f t="shared" si="19"/>
        <v>2.7546123725480307E-3</v>
      </c>
      <c r="D111" s="4">
        <f t="shared" si="27"/>
        <v>5.4136391965081613E-5</v>
      </c>
      <c r="E111" s="4">
        <f t="shared" si="28"/>
        <v>1.0827278393016323E-4</v>
      </c>
      <c r="F111" s="4">
        <f t="shared" si="29"/>
        <v>2.7546123725480307E-3</v>
      </c>
      <c r="G111" s="4">
        <f t="shared" si="29"/>
        <v>5.4136391965081613E-5</v>
      </c>
      <c r="H111" s="4">
        <f t="shared" si="30"/>
        <v>3.3055348470576369E-3</v>
      </c>
      <c r="I111" s="4">
        <f t="shared" si="31"/>
        <v>0.97741495279705892</v>
      </c>
      <c r="J111" s="4">
        <f t="shared" si="32"/>
        <v>6.1347431277888418E-3</v>
      </c>
      <c r="K111" s="4">
        <f t="shared" si="33"/>
        <v>1.6142967622345086E-2</v>
      </c>
      <c r="L111" s="4">
        <f t="shared" si="34"/>
        <v>3.0733645280712395E-4</v>
      </c>
      <c r="N111" s="10">
        <f t="shared" si="21"/>
        <v>0.67239997070336499</v>
      </c>
      <c r="O111" s="66">
        <v>2</v>
      </c>
      <c r="P111" s="10">
        <f t="shared" si="22"/>
        <v>3.7276532329402713E-3</v>
      </c>
      <c r="Q111" s="10">
        <f t="shared" si="23"/>
        <v>7.3259562230779712E-5</v>
      </c>
      <c r="R111" s="10">
        <f t="shared" si="24"/>
        <v>8.4406343234128163E-3</v>
      </c>
      <c r="S111" s="66"/>
      <c r="T111" s="5">
        <f t="shared" si="35"/>
        <v>7.6666666666666563</v>
      </c>
      <c r="U111" s="12">
        <f t="shared" si="25"/>
        <v>12912.125951947939</v>
      </c>
      <c r="V111" s="12">
        <f t="shared" si="20"/>
        <v>1070615.1507310332</v>
      </c>
    </row>
    <row r="112" spans="1:22">
      <c r="A112" s="5">
        <f t="shared" si="26"/>
        <v>7.7499999999999893</v>
      </c>
      <c r="B112" s="4">
        <f t="shared" si="18"/>
        <v>1.0907396420685492E-3</v>
      </c>
      <c r="C112" s="4">
        <f t="shared" si="19"/>
        <v>2.7715855351402351E-3</v>
      </c>
      <c r="D112" s="4">
        <f t="shared" si="27"/>
        <v>5.4536982103427467E-5</v>
      </c>
      <c r="E112" s="4">
        <f t="shared" si="28"/>
        <v>1.0907396420685493E-4</v>
      </c>
      <c r="F112" s="4">
        <f t="shared" si="29"/>
        <v>2.7715855351402351E-3</v>
      </c>
      <c r="G112" s="4">
        <f t="shared" si="29"/>
        <v>5.4536982103427467E-5</v>
      </c>
      <c r="H112" s="4">
        <f t="shared" si="30"/>
        <v>3.325902642168282E-3</v>
      </c>
      <c r="I112" s="4">
        <f t="shared" si="31"/>
        <v>0.97709804253078303</v>
      </c>
      <c r="J112" s="4">
        <f t="shared" si="32"/>
        <v>6.2214413946259373E-3</v>
      </c>
      <c r="K112" s="4">
        <f t="shared" si="33"/>
        <v>1.6368827128408835E-2</v>
      </c>
      <c r="L112" s="4">
        <f t="shared" si="34"/>
        <v>3.1168894618222389E-4</v>
      </c>
      <c r="N112" s="10">
        <f t="shared" si="21"/>
        <v>0.66945451582097903</v>
      </c>
      <c r="O112" s="66">
        <v>4</v>
      </c>
      <c r="P112" s="10">
        <f t="shared" si="22"/>
        <v>7.4690583829636215E-3</v>
      </c>
      <c r="Q112" s="10">
        <f t="shared" si="23"/>
        <v>1.4696999179588071E-4</v>
      </c>
      <c r="R112" s="10">
        <f t="shared" si="24"/>
        <v>1.7050375111837102E-2</v>
      </c>
      <c r="S112" s="66"/>
      <c r="T112" s="5">
        <f t="shared" si="35"/>
        <v>7.7499999999999893</v>
      </c>
      <c r="U112" s="12">
        <f t="shared" si="25"/>
        <v>13056.934582936012</v>
      </c>
      <c r="V112" s="12">
        <f t="shared" si="20"/>
        <v>1068949.1292982884</v>
      </c>
    </row>
    <row r="113" spans="1:22">
      <c r="A113" s="5">
        <f t="shared" si="26"/>
        <v>7.8333333333333224</v>
      </c>
      <c r="B113" s="4">
        <f t="shared" si="18"/>
        <v>1.0988454632420424E-3</v>
      </c>
      <c r="C113" s="4">
        <f t="shared" si="19"/>
        <v>2.7886864750177476E-3</v>
      </c>
      <c r="D113" s="4">
        <f t="shared" si="27"/>
        <v>5.494227316210212E-5</v>
      </c>
      <c r="E113" s="4">
        <f t="shared" si="28"/>
        <v>1.0988454632420424E-4</v>
      </c>
      <c r="F113" s="4">
        <f t="shared" si="29"/>
        <v>2.7886864750177476E-3</v>
      </c>
      <c r="G113" s="4">
        <f t="shared" si="29"/>
        <v>5.494227316210212E-5</v>
      </c>
      <c r="H113" s="4">
        <f t="shared" si="30"/>
        <v>3.346423770021297E-3</v>
      </c>
      <c r="I113" s="4">
        <f t="shared" si="31"/>
        <v>0.9767791692181621</v>
      </c>
      <c r="J113" s="4">
        <f t="shared" si="32"/>
        <v>6.3087329293163418E-3</v>
      </c>
      <c r="K113" s="4">
        <f t="shared" si="33"/>
        <v>1.6596026353838739E-2</v>
      </c>
      <c r="L113" s="4">
        <f t="shared" si="34"/>
        <v>3.1607149868281966E-4</v>
      </c>
      <c r="N113" s="10">
        <f t="shared" si="21"/>
        <v>0.666520553903165</v>
      </c>
      <c r="O113" s="66">
        <v>2</v>
      </c>
      <c r="P113" s="10">
        <f t="shared" si="22"/>
        <v>3.7414435325005273E-3</v>
      </c>
      <c r="Q113" s="10">
        <f t="shared" si="23"/>
        <v>7.3713346561095946E-5</v>
      </c>
      <c r="R113" s="10">
        <f t="shared" si="24"/>
        <v>8.6097253073911667E-3</v>
      </c>
      <c r="S113" s="66"/>
      <c r="T113" s="5">
        <f t="shared" si="35"/>
        <v>7.8333333333333224</v>
      </c>
      <c r="U113" s="12">
        <f t="shared" si="25"/>
        <v>13201.692341490605</v>
      </c>
      <c r="V113" s="12">
        <f t="shared" si="20"/>
        <v>1067277.3828923001</v>
      </c>
    </row>
    <row r="114" spans="1:22">
      <c r="A114" s="5">
        <f t="shared" si="26"/>
        <v>7.9166666666666554</v>
      </c>
      <c r="B114" s="4">
        <f t="shared" si="18"/>
        <v>1.1070464061269524E-3</v>
      </c>
      <c r="C114" s="4">
        <f t="shared" si="19"/>
        <v>2.8059161541129436E-3</v>
      </c>
      <c r="D114" s="4">
        <f t="shared" si="27"/>
        <v>5.5352320306347622E-5</v>
      </c>
      <c r="E114" s="4">
        <f t="shared" si="28"/>
        <v>1.1070464061269524E-4</v>
      </c>
      <c r="F114" s="4">
        <f t="shared" si="29"/>
        <v>2.8059161541129436E-3</v>
      </c>
      <c r="G114" s="4">
        <f t="shared" si="29"/>
        <v>5.5352320306347622E-5</v>
      </c>
      <c r="H114" s="4">
        <f t="shared" si="30"/>
        <v>3.3670993849355324E-3</v>
      </c>
      <c r="I114" s="4">
        <f t="shared" si="31"/>
        <v>0.97645831643044201</v>
      </c>
      <c r="J114" s="4">
        <f t="shared" si="32"/>
        <v>6.3966242986585493E-3</v>
      </c>
      <c r="K114" s="4">
        <f t="shared" si="33"/>
        <v>1.6824574824309442E-2</v>
      </c>
      <c r="L114" s="4">
        <f t="shared" si="34"/>
        <v>3.2048444658998017E-4</v>
      </c>
      <c r="N114" s="10">
        <f t="shared" si="21"/>
        <v>0.66359803444680432</v>
      </c>
      <c r="O114" s="66">
        <v>4</v>
      </c>
      <c r="P114" s="10">
        <f t="shared" si="22"/>
        <v>7.496792462765892E-3</v>
      </c>
      <c r="Q114" s="10">
        <f t="shared" si="23"/>
        <v>1.4788925786715689E-4</v>
      </c>
      <c r="R114" s="10">
        <f t="shared" si="24"/>
        <v>1.7388503903379305E-2</v>
      </c>
      <c r="S114" s="66"/>
      <c r="T114" s="5">
        <f t="shared" si="35"/>
        <v>7.9166666666666554</v>
      </c>
      <c r="U114" s="12">
        <f t="shared" si="25"/>
        <v>13346.393078112276</v>
      </c>
      <c r="V114" s="12">
        <f t="shared" si="20"/>
        <v>1065599.8931928559</v>
      </c>
    </row>
    <row r="115" spans="1:22">
      <c r="A115" s="5">
        <f t="shared" si="26"/>
        <v>7.9999999999999885</v>
      </c>
      <c r="B115" s="4">
        <f t="shared" si="18"/>
        <v>1.1153435869753869E-3</v>
      </c>
      <c r="C115" s="4">
        <f t="shared" si="19"/>
        <v>2.8232755415998124E-3</v>
      </c>
      <c r="D115" s="4">
        <f t="shared" si="27"/>
        <v>5.5767179348769346E-5</v>
      </c>
      <c r="E115" s="4">
        <f t="shared" si="28"/>
        <v>1.1153435869753869E-4</v>
      </c>
      <c r="F115" s="4">
        <f t="shared" si="29"/>
        <v>2.8232755415998124E-3</v>
      </c>
      <c r="G115" s="4">
        <f t="shared" si="29"/>
        <v>5.5767179348769346E-5</v>
      </c>
      <c r="H115" s="4">
        <f t="shared" si="30"/>
        <v>3.3879306499197746E-3</v>
      </c>
      <c r="I115" s="4">
        <f t="shared" si="31"/>
        <v>0.97613546760283121</v>
      </c>
      <c r="J115" s="4">
        <f t="shared" si="32"/>
        <v>6.4851221381997601E-3</v>
      </c>
      <c r="K115" s="4">
        <f t="shared" si="33"/>
        <v>1.705448212916982E-2</v>
      </c>
      <c r="L115" s="4">
        <f t="shared" si="34"/>
        <v>3.2492812979922344E-4</v>
      </c>
      <c r="N115" s="10">
        <f t="shared" si="21"/>
        <v>0.66068690714587464</v>
      </c>
      <c r="O115" s="66">
        <v>2</v>
      </c>
      <c r="P115" s="10">
        <f t="shared" si="22"/>
        <v>3.7553872630819085E-3</v>
      </c>
      <c r="Q115" s="10">
        <f t="shared" si="23"/>
        <v>7.4178857833231743E-5</v>
      </c>
      <c r="R115" s="10">
        <f t="shared" si="24"/>
        <v>8.7787718613944847E-3</v>
      </c>
      <c r="S115" s="66"/>
      <c r="T115" s="5">
        <f t="shared" si="35"/>
        <v>7.9999999999999885</v>
      </c>
      <c r="U115" s="12">
        <f t="shared" si="25"/>
        <v>13491.030572115791</v>
      </c>
      <c r="V115" s="12">
        <f t="shared" si="20"/>
        <v>1063916.6418057219</v>
      </c>
    </row>
    <row r="116" spans="1:22">
      <c r="A116" s="5">
        <f t="shared" si="26"/>
        <v>8.0833333333333215</v>
      </c>
      <c r="B116" s="4">
        <f t="shared" si="18"/>
        <v>1.1237381351386618E-3</v>
      </c>
      <c r="C116" s="4">
        <f t="shared" si="19"/>
        <v>2.8407656139484818E-3</v>
      </c>
      <c r="D116" s="4">
        <f t="shared" si="27"/>
        <v>5.6186906756933089E-5</v>
      </c>
      <c r="E116" s="4">
        <f t="shared" si="28"/>
        <v>1.1237381351386618E-4</v>
      </c>
      <c r="F116" s="4">
        <f t="shared" si="29"/>
        <v>2.8407656139484818E-3</v>
      </c>
      <c r="G116" s="4">
        <f t="shared" si="29"/>
        <v>5.6186906756933089E-5</v>
      </c>
      <c r="H116" s="4">
        <f t="shared" si="30"/>
        <v>3.4089187367381782E-3</v>
      </c>
      <c r="I116" s="4">
        <f t="shared" si="31"/>
        <v>0.97581060603345349</v>
      </c>
      <c r="J116" s="4">
        <f t="shared" si="32"/>
        <v>6.5742331528818292E-3</v>
      </c>
      <c r="K116" s="4">
        <f t="shared" si="33"/>
        <v>1.7285757921808004E-2</v>
      </c>
      <c r="L116" s="4">
        <f t="shared" si="34"/>
        <v>3.2940289185671626E-4</v>
      </c>
      <c r="N116" s="10">
        <f t="shared" si="21"/>
        <v>0.65778712189063726</v>
      </c>
      <c r="O116" s="66">
        <v>4</v>
      </c>
      <c r="P116" s="10">
        <f t="shared" si="22"/>
        <v>7.5248332042129494E-3</v>
      </c>
      <c r="Q116" s="10">
        <f t="shared" si="23"/>
        <v>1.4883209636536195E-4</v>
      </c>
      <c r="R116" s="10">
        <f t="shared" si="24"/>
        <v>1.7726578815741603E-2</v>
      </c>
      <c r="S116" s="66"/>
      <c r="T116" s="5">
        <f t="shared" si="35"/>
        <v>8.0833333333333215</v>
      </c>
      <c r="U116" s="12">
        <f t="shared" si="25"/>
        <v>13635.598531114911</v>
      </c>
      <c r="V116" s="12">
        <f t="shared" si="20"/>
        <v>1062227.6102619052</v>
      </c>
    </row>
    <row r="117" spans="1:22">
      <c r="A117" s="5">
        <f t="shared" si="26"/>
        <v>8.1666666666666554</v>
      </c>
      <c r="B117" s="4">
        <f t="shared" si="18"/>
        <v>1.1322311932210147E-3</v>
      </c>
      <c r="C117" s="4">
        <f t="shared" si="19"/>
        <v>2.8583873549801312E-3</v>
      </c>
      <c r="D117" s="4">
        <f t="shared" si="27"/>
        <v>5.6611559661050743E-5</v>
      </c>
      <c r="E117" s="4">
        <f t="shared" si="28"/>
        <v>1.1322311932210149E-4</v>
      </c>
      <c r="F117" s="4">
        <f t="shared" si="29"/>
        <v>2.8583873549801312E-3</v>
      </c>
      <c r="G117" s="4">
        <f t="shared" si="29"/>
        <v>5.6611559661050743E-5</v>
      </c>
      <c r="H117" s="4">
        <f t="shared" si="30"/>
        <v>3.4300648259761573E-3</v>
      </c>
      <c r="I117" s="4">
        <f t="shared" si="31"/>
        <v>0.97548371488229502</v>
      </c>
      <c r="J117" s="4">
        <f t="shared" si="32"/>
        <v>6.6639641176916876E-3</v>
      </c>
      <c r="K117" s="4">
        <f t="shared" si="33"/>
        <v>1.7518411920017574E-2</v>
      </c>
      <c r="L117" s="4">
        <f t="shared" si="34"/>
        <v>3.3390907999578307E-4</v>
      </c>
      <c r="N117" s="10">
        <f t="shared" si="21"/>
        <v>0.65489862876682425</v>
      </c>
      <c r="O117" s="66">
        <v>2</v>
      </c>
      <c r="P117" s="10">
        <f t="shared" si="22"/>
        <v>3.7694842225116784E-3</v>
      </c>
      <c r="Q117" s="10">
        <f t="shared" si="23"/>
        <v>7.4656215009596795E-5</v>
      </c>
      <c r="R117" s="10">
        <f t="shared" si="24"/>
        <v>8.9478089613299321E-3</v>
      </c>
      <c r="S117" s="66"/>
      <c r="T117" s="5">
        <f t="shared" si="35"/>
        <v>8.1666666666666554</v>
      </c>
      <c r="U117" s="12">
        <f t="shared" si="25"/>
        <v>13780.090590506645</v>
      </c>
      <c r="V117" s="12">
        <f t="shared" si="20"/>
        <v>1060532.7800169028</v>
      </c>
    </row>
    <row r="118" spans="1:22">
      <c r="A118" s="5">
        <f t="shared" si="26"/>
        <v>8.2499999999999893</v>
      </c>
      <c r="B118" s="4">
        <f t="shared" si="18"/>
        <v>1.1408239172351284E-3</v>
      </c>
      <c r="C118" s="4">
        <f t="shared" si="19"/>
        <v>2.8761417559223378E-3</v>
      </c>
      <c r="D118" s="4">
        <f t="shared" si="27"/>
        <v>5.7041195861756418E-5</v>
      </c>
      <c r="E118" s="4">
        <f t="shared" si="28"/>
        <v>1.1408239172351284E-4</v>
      </c>
      <c r="F118" s="4">
        <f t="shared" si="29"/>
        <v>2.8761417559223378E-3</v>
      </c>
      <c r="G118" s="4">
        <f t="shared" si="29"/>
        <v>5.7041195861756418E-5</v>
      </c>
      <c r="H118" s="4">
        <f t="shared" si="30"/>
        <v>3.4513701071068052E-3</v>
      </c>
      <c r="I118" s="4">
        <f t="shared" si="31"/>
        <v>0.97515477717014531</v>
      </c>
      <c r="J118" s="4">
        <f t="shared" si="32"/>
        <v>6.7543218783161973E-3</v>
      </c>
      <c r="K118" s="4">
        <f t="shared" si="33"/>
        <v>1.7752453906364825E-2</v>
      </c>
      <c r="L118" s="4">
        <f t="shared" si="34"/>
        <v>3.3844704517372492E-4</v>
      </c>
      <c r="N118" s="10">
        <f t="shared" si="21"/>
        <v>0.65202137805483362</v>
      </c>
      <c r="O118" s="66">
        <v>4</v>
      </c>
      <c r="P118" s="10">
        <f t="shared" si="22"/>
        <v>7.5531801957764494E-3</v>
      </c>
      <c r="Q118" s="10">
        <f t="shared" si="23"/>
        <v>1.4979874689391277E-4</v>
      </c>
      <c r="R118" s="10">
        <f t="shared" si="24"/>
        <v>1.8064669781778588E-2</v>
      </c>
      <c r="S118" s="66"/>
      <c r="T118" s="5">
        <f t="shared" si="35"/>
        <v>8.2499999999999893</v>
      </c>
      <c r="U118" s="12">
        <f t="shared" si="25"/>
        <v>13924.500312955035</v>
      </c>
      <c r="V118" s="12">
        <f t="shared" si="20"/>
        <v>1058832.1324499389</v>
      </c>
    </row>
    <row r="119" spans="1:22">
      <c r="A119" s="5">
        <f t="shared" si="26"/>
        <v>8.3333333333333233</v>
      </c>
      <c r="B119" s="4">
        <f t="shared" si="18"/>
        <v>1.1495174767594835E-3</v>
      </c>
      <c r="C119" s="4">
        <f t="shared" si="19"/>
        <v>2.8940298154648395E-3</v>
      </c>
      <c r="D119" s="4">
        <f t="shared" si="27"/>
        <v>5.7475873837974176E-5</v>
      </c>
      <c r="E119" s="4">
        <f t="shared" si="28"/>
        <v>1.1495174767594835E-4</v>
      </c>
      <c r="F119" s="4">
        <f t="shared" si="29"/>
        <v>2.8940298154648395E-3</v>
      </c>
      <c r="G119" s="4">
        <f t="shared" si="29"/>
        <v>5.7475873837974176E-5</v>
      </c>
      <c r="H119" s="4">
        <f t="shared" si="30"/>
        <v>3.4728357785578073E-3</v>
      </c>
      <c r="I119" s="4">
        <f t="shared" si="31"/>
        <v>0.97482377577753254</v>
      </c>
      <c r="J119" s="4">
        <f t="shared" si="32"/>
        <v>6.8453133518014565E-3</v>
      </c>
      <c r="K119" s="4">
        <f t="shared" si="33"/>
        <v>1.798789372855715E-2</v>
      </c>
      <c r="L119" s="4">
        <f t="shared" si="34"/>
        <v>3.4301714210895095E-4</v>
      </c>
      <c r="N119" s="10">
        <f t="shared" si="21"/>
        <v>0.6491553202289273</v>
      </c>
      <c r="O119" s="66">
        <v>2</v>
      </c>
      <c r="P119" s="10">
        <f t="shared" si="22"/>
        <v>3.7837342013520877E-3</v>
      </c>
      <c r="Q119" s="10">
        <f t="shared" si="23"/>
        <v>7.5145538733300835E-5</v>
      </c>
      <c r="R119" s="10">
        <f t="shared" si="24"/>
        <v>9.1168715646306308E-3</v>
      </c>
      <c r="S119" s="66"/>
      <c r="T119" s="5">
        <f t="shared" si="35"/>
        <v>8.3333333333333233</v>
      </c>
      <c r="U119" s="12">
        <f t="shared" si="25"/>
        <v>14068.821187874557</v>
      </c>
      <c r="V119" s="12">
        <f t="shared" si="20"/>
        <v>1057125.6488631903</v>
      </c>
    </row>
    <row r="120" spans="1:22">
      <c r="A120" s="5">
        <f t="shared" si="26"/>
        <v>8.4166666666666572</v>
      </c>
      <c r="B120" s="4">
        <f t="shared" si="18"/>
        <v>1.1583130550975474E-3</v>
      </c>
      <c r="C120" s="4">
        <f t="shared" si="19"/>
        <v>2.9120525398157013E-3</v>
      </c>
      <c r="D120" s="4">
        <f t="shared" si="27"/>
        <v>5.7915652754877376E-5</v>
      </c>
      <c r="E120" s="4">
        <f t="shared" si="28"/>
        <v>1.1583130550975475E-4</v>
      </c>
      <c r="F120" s="4">
        <f t="shared" si="29"/>
        <v>2.9120525398157013E-3</v>
      </c>
      <c r="G120" s="4">
        <f t="shared" si="29"/>
        <v>5.7915652754877376E-5</v>
      </c>
      <c r="H120" s="4">
        <f t="shared" si="30"/>
        <v>3.4944630477788414E-3</v>
      </c>
      <c r="I120" s="4">
        <f t="shared" si="31"/>
        <v>0.97449069344365269</v>
      </c>
      <c r="J120" s="4">
        <f t="shared" si="32"/>
        <v>6.936945527216529E-3</v>
      </c>
      <c r="K120" s="4">
        <f t="shared" si="33"/>
        <v>1.8224741299812504E-2</v>
      </c>
      <c r="L120" s="4">
        <f t="shared" si="34"/>
        <v>3.4761972931842279E-4</v>
      </c>
      <c r="N120" s="10">
        <f t="shared" si="21"/>
        <v>0.64630040595643268</v>
      </c>
      <c r="O120" s="66">
        <v>4</v>
      </c>
      <c r="P120" s="10">
        <f t="shared" si="22"/>
        <v>7.5818330110679674E-3</v>
      </c>
      <c r="Q120" s="10">
        <f t="shared" si="23"/>
        <v>1.507894524259748E-4</v>
      </c>
      <c r="R120" s="10">
        <f t="shared" si="24"/>
        <v>1.8402846699313052E-2</v>
      </c>
      <c r="S120" s="66"/>
      <c r="T120" s="5">
        <f t="shared" si="35"/>
        <v>8.4166666666666572</v>
      </c>
      <c r="U120" s="12">
        <f t="shared" si="25"/>
        <v>14213.046630913206</v>
      </c>
      <c r="V120" s="12">
        <f t="shared" si="20"/>
        <v>1055413.3104810002</v>
      </c>
    </row>
    <row r="121" spans="1:22">
      <c r="A121" s="5">
        <f t="shared" si="26"/>
        <v>8.4999999999999911</v>
      </c>
      <c r="B121" s="4">
        <f t="shared" si="18"/>
        <v>1.1672118494388407E-3</v>
      </c>
      <c r="C121" s="4">
        <f t="shared" si="19"/>
        <v>2.930210942757919E-3</v>
      </c>
      <c r="D121" s="4">
        <f t="shared" si="27"/>
        <v>5.8360592471942035E-5</v>
      </c>
      <c r="E121" s="4">
        <f t="shared" si="28"/>
        <v>1.1672118494388407E-4</v>
      </c>
      <c r="F121" s="4">
        <f t="shared" si="29"/>
        <v>2.930210942757919E-3</v>
      </c>
      <c r="G121" s="4">
        <f t="shared" si="29"/>
        <v>5.8360592471942035E-5</v>
      </c>
      <c r="H121" s="4">
        <f t="shared" si="30"/>
        <v>3.5162531313095028E-3</v>
      </c>
      <c r="I121" s="4">
        <f t="shared" si="31"/>
        <v>0.97415551276529322</v>
      </c>
      <c r="J121" s="4">
        <f t="shared" si="32"/>
        <v>7.0292254663215916E-3</v>
      </c>
      <c r="K121" s="4">
        <f t="shared" si="33"/>
        <v>1.8463006599229937E-2</v>
      </c>
      <c r="L121" s="4">
        <f t="shared" si="34"/>
        <v>3.5225516915541395E-4</v>
      </c>
      <c r="N121" s="10">
        <f t="shared" si="21"/>
        <v>0.64345658609695078</v>
      </c>
      <c r="O121" s="66">
        <v>2</v>
      </c>
      <c r="P121" s="10">
        <f t="shared" si="22"/>
        <v>3.7981369825687752E-3</v>
      </c>
      <c r="Q121" s="10">
        <f t="shared" si="23"/>
        <v>7.56469513364385E-5</v>
      </c>
      <c r="R121" s="10">
        <f t="shared" si="24"/>
        <v>9.2859946121452187E-3</v>
      </c>
      <c r="S121" s="66"/>
      <c r="T121" s="5">
        <f t="shared" si="35"/>
        <v>8.4999999999999911</v>
      </c>
      <c r="U121" s="12">
        <f t="shared" si="25"/>
        <v>14357.169983435368</v>
      </c>
      <c r="V121" s="12">
        <f t="shared" si="20"/>
        <v>1053695.0984490784</v>
      </c>
    </row>
    <row r="122" spans="1:22">
      <c r="A122" s="5">
        <f t="shared" si="26"/>
        <v>8.583333333333325</v>
      </c>
      <c r="B122" s="4">
        <f t="shared" si="18"/>
        <v>1.1762150710218854E-3</v>
      </c>
      <c r="C122" s="4">
        <f t="shared" si="19"/>
        <v>2.9485060457064456E-3</v>
      </c>
      <c r="D122" s="4">
        <f t="shared" si="27"/>
        <v>5.8810753551094273E-5</v>
      </c>
      <c r="E122" s="4">
        <f t="shared" si="28"/>
        <v>1.1762150710218855E-4</v>
      </c>
      <c r="F122" s="4">
        <f t="shared" si="29"/>
        <v>2.9485060457064456E-3</v>
      </c>
      <c r="G122" s="4">
        <f t="shared" si="29"/>
        <v>5.8810753551094273E-5</v>
      </c>
      <c r="H122" s="4">
        <f t="shared" si="30"/>
        <v>3.5382072548477347E-3</v>
      </c>
      <c r="I122" s="4">
        <f t="shared" si="31"/>
        <v>0.97381821619575093</v>
      </c>
      <c r="J122" s="4">
        <f t="shared" si="32"/>
        <v>7.1221603042404911E-3</v>
      </c>
      <c r="K122" s="4">
        <f t="shared" si="33"/>
        <v>1.8702699672161181E-2</v>
      </c>
      <c r="L122" s="4">
        <f t="shared" si="34"/>
        <v>3.5692382784758577E-4</v>
      </c>
      <c r="N122" s="10">
        <f t="shared" si="21"/>
        <v>0.64062381170156668</v>
      </c>
      <c r="O122" s="66">
        <v>4</v>
      </c>
      <c r="P122" s="10">
        <f t="shared" si="22"/>
        <v>7.6107912081695072E-3</v>
      </c>
      <c r="Q122" s="10">
        <f t="shared" si="23"/>
        <v>1.5180445932077113E-4</v>
      </c>
      <c r="R122" s="10">
        <f t="shared" si="24"/>
        <v>1.8741179434807298E-2</v>
      </c>
      <c r="S122" s="66"/>
      <c r="T122" s="5">
        <f t="shared" si="35"/>
        <v>8.583333333333325</v>
      </c>
      <c r="U122" s="12">
        <f t="shared" si="25"/>
        <v>14501.184512004527</v>
      </c>
      <c r="V122" s="12">
        <f t="shared" si="20"/>
        <v>1051970.9938336895</v>
      </c>
    </row>
    <row r="123" spans="1:22">
      <c r="A123" s="5">
        <f t="shared" si="26"/>
        <v>8.666666666666659</v>
      </c>
      <c r="B123" s="4">
        <f t="shared" si="18"/>
        <v>1.185323945299075E-3</v>
      </c>
      <c r="C123" s="4">
        <f t="shared" si="19"/>
        <v>2.9669388777656459E-3</v>
      </c>
      <c r="D123" s="4">
        <f t="shared" si="27"/>
        <v>5.9266197264953753E-5</v>
      </c>
      <c r="E123" s="4">
        <f t="shared" si="28"/>
        <v>1.1853239452990751E-4</v>
      </c>
      <c r="F123" s="4">
        <f t="shared" si="29"/>
        <v>2.9669388777656459E-3</v>
      </c>
      <c r="G123" s="4">
        <f t="shared" si="29"/>
        <v>5.9266197264953753E-5</v>
      </c>
      <c r="H123" s="4">
        <f t="shared" si="30"/>
        <v>3.5603266533187749E-3</v>
      </c>
      <c r="I123" s="4">
        <f t="shared" si="31"/>
        <v>0.97347878604374383</v>
      </c>
      <c r="J123" s="4">
        <f t="shared" si="32"/>
        <v>7.2157572501376863E-3</v>
      </c>
      <c r="K123" s="4">
        <f t="shared" si="33"/>
        <v>1.8943830630583254E-2</v>
      </c>
      <c r="L123" s="4">
        <f t="shared" si="34"/>
        <v>3.6162607553538083E-4</v>
      </c>
      <c r="N123" s="10">
        <f t="shared" si="21"/>
        <v>0.63780203401206625</v>
      </c>
      <c r="O123" s="66">
        <v>2</v>
      </c>
      <c r="P123" s="10">
        <f t="shared" si="22"/>
        <v>3.8126923411928347E-3</v>
      </c>
      <c r="Q123" s="10">
        <f t="shared" si="23"/>
        <v>7.616057684810905E-5</v>
      </c>
      <c r="R123" s="10">
        <f t="shared" si="24"/>
        <v>9.4552130299187173E-3</v>
      </c>
      <c r="S123" s="66"/>
      <c r="T123" s="5">
        <f t="shared" si="35"/>
        <v>8.666666666666659</v>
      </c>
      <c r="U123" s="12">
        <f t="shared" si="25"/>
        <v>14645.083407865934</v>
      </c>
      <c r="V123" s="12">
        <f t="shared" si="20"/>
        <v>1050240.9776208287</v>
      </c>
    </row>
    <row r="124" spans="1:22">
      <c r="A124" s="5">
        <f t="shared" si="26"/>
        <v>8.7499999999999929</v>
      </c>
      <c r="B124" s="4">
        <f t="shared" si="18"/>
        <v>1.1945397121034726E-3</v>
      </c>
      <c r="C124" s="4">
        <f t="shared" si="19"/>
        <v>2.9855104757871855E-3</v>
      </c>
      <c r="D124" s="4">
        <f t="shared" si="27"/>
        <v>5.9726985605173638E-5</v>
      </c>
      <c r="E124" s="4">
        <f t="shared" si="28"/>
        <v>1.1945397121034728E-4</v>
      </c>
      <c r="F124" s="4">
        <f t="shared" si="29"/>
        <v>2.9855104757871855E-3</v>
      </c>
      <c r="G124" s="4">
        <f t="shared" si="29"/>
        <v>5.9726985605173638E-5</v>
      </c>
      <c r="H124" s="4">
        <f t="shared" si="30"/>
        <v>3.5826125709446225E-3</v>
      </c>
      <c r="I124" s="4">
        <f t="shared" si="31"/>
        <v>0.97313720447231777</v>
      </c>
      <c r="J124" s="4">
        <f t="shared" si="32"/>
        <v>7.3100235878995664E-3</v>
      </c>
      <c r="K124" s="4">
        <f t="shared" si="33"/>
        <v>1.9186409653472129E-2</v>
      </c>
      <c r="L124" s="4">
        <f t="shared" si="34"/>
        <v>3.6636228631073544E-4</v>
      </c>
      <c r="N124" s="10">
        <f t="shared" si="21"/>
        <v>0.63499120446015545</v>
      </c>
      <c r="O124" s="66">
        <v>4</v>
      </c>
      <c r="P124" s="10">
        <f t="shared" si="22"/>
        <v>7.640054328951291E-3</v>
      </c>
      <c r="Q124" s="10">
        <f t="shared" si="23"/>
        <v>1.5284401733934685E-4</v>
      </c>
      <c r="R124" s="10">
        <f t="shared" si="24"/>
        <v>1.9079737826813447E-2</v>
      </c>
      <c r="S124" s="66"/>
      <c r="T124" s="5">
        <f t="shared" si="35"/>
        <v>8.7499999999999929</v>
      </c>
      <c r="U124" s="12">
        <f t="shared" si="25"/>
        <v>14788.859786429279</v>
      </c>
      <c r="V124" s="12">
        <f t="shared" si="20"/>
        <v>1048505.0307153831</v>
      </c>
    </row>
    <row r="125" spans="1:22">
      <c r="A125" s="5">
        <f t="shared" si="26"/>
        <v>8.8333333333333268</v>
      </c>
      <c r="B125" s="4">
        <f t="shared" si="18"/>
        <v>1.2038636258175639E-3</v>
      </c>
      <c r="C125" s="4">
        <f t="shared" si="19"/>
        <v>3.0042218844283492E-3</v>
      </c>
      <c r="D125" s="4">
        <f t="shared" si="27"/>
        <v>6.0193181290878195E-5</v>
      </c>
      <c r="E125" s="4">
        <f t="shared" si="28"/>
        <v>1.2038636258175639E-4</v>
      </c>
      <c r="F125" s="4">
        <f t="shared" si="29"/>
        <v>3.0042218844283492E-3</v>
      </c>
      <c r="G125" s="4">
        <f t="shared" si="29"/>
        <v>6.0193181290878195E-5</v>
      </c>
      <c r="H125" s="4">
        <f t="shared" si="30"/>
        <v>3.6050662613140187E-3</v>
      </c>
      <c r="I125" s="4">
        <f t="shared" si="31"/>
        <v>0.9727934534977466</v>
      </c>
      <c r="J125" s="4">
        <f t="shared" si="32"/>
        <v>7.4049666768201327E-3</v>
      </c>
      <c r="K125" s="4">
        <f t="shared" si="33"/>
        <v>1.9430446987177358E-2</v>
      </c>
      <c r="L125" s="4">
        <f t="shared" si="34"/>
        <v>3.7113283825611278E-4</v>
      </c>
      <c r="N125" s="10">
        <f t="shared" si="21"/>
        <v>0.63219127466668534</v>
      </c>
      <c r="O125" s="66">
        <v>2</v>
      </c>
      <c r="P125" s="10">
        <f t="shared" si="22"/>
        <v>3.8274000439765029E-3</v>
      </c>
      <c r="Q125" s="10">
        <f t="shared" si="23"/>
        <v>7.6686541002157288E-5</v>
      </c>
      <c r="R125" s="10">
        <f t="shared" si="24"/>
        <v>9.6245617308609744E-3</v>
      </c>
      <c r="S125" s="66"/>
      <c r="T125" s="5">
        <f t="shared" si="35"/>
        <v>8.8333333333333268</v>
      </c>
      <c r="U125" s="12">
        <f t="shared" si="25"/>
        <v>14932.5066867515</v>
      </c>
      <c r="V125" s="12">
        <f t="shared" si="20"/>
        <v>1046763.1339402819</v>
      </c>
    </row>
    <row r="126" spans="1:22">
      <c r="A126" s="5">
        <f t="shared" si="26"/>
        <v>8.9166666666666607</v>
      </c>
      <c r="B126" s="4">
        <f t="shared" si="18"/>
        <v>1.2132969555439994E-3</v>
      </c>
      <c r="C126" s="4">
        <f t="shared" si="19"/>
        <v>3.0230741562108036E-3</v>
      </c>
      <c r="D126" s="4">
        <f t="shared" si="27"/>
        <v>6.0664847777199971E-5</v>
      </c>
      <c r="E126" s="4">
        <f t="shared" si="28"/>
        <v>1.2132969555439994E-4</v>
      </c>
      <c r="F126" s="4">
        <f t="shared" si="29"/>
        <v>3.0230741562108036E-3</v>
      </c>
      <c r="G126" s="4">
        <f t="shared" si="29"/>
        <v>6.0664847777199971E-5</v>
      </c>
      <c r="H126" s="4">
        <f t="shared" si="30"/>
        <v>3.627688987452964E-3</v>
      </c>
      <c r="I126" s="4">
        <f t="shared" si="31"/>
        <v>0.97244751498842763</v>
      </c>
      <c r="J126" s="4">
        <f t="shared" si="32"/>
        <v>7.5005939522910098E-3</v>
      </c>
      <c r="K126" s="4">
        <f t="shared" si="33"/>
        <v>1.9675952945797711E-2</v>
      </c>
      <c r="L126" s="4">
        <f t="shared" si="34"/>
        <v>3.759381134838576E-4</v>
      </c>
      <c r="N126" s="10">
        <f t="shared" si="21"/>
        <v>0.62940219644088125</v>
      </c>
      <c r="O126" s="66">
        <v>4</v>
      </c>
      <c r="P126" s="10">
        <f t="shared" si="22"/>
        <v>7.669621898376589E-3</v>
      </c>
      <c r="Q126" s="10">
        <f t="shared" si="23"/>
        <v>1.539083796597581E-4</v>
      </c>
      <c r="R126" s="10">
        <f t="shared" si="24"/>
        <v>1.9418591689194999E-2</v>
      </c>
      <c r="S126" s="66"/>
      <c r="T126" s="5">
        <f t="shared" si="35"/>
        <v>8.9166666666666607</v>
      </c>
      <c r="U126" s="12">
        <f t="shared" si="25"/>
        <v>15076.017071019793</v>
      </c>
      <c r="V126" s="12">
        <f t="shared" si="20"/>
        <v>1045015.2680356308</v>
      </c>
    </row>
    <row r="127" spans="1:22">
      <c r="A127" s="5">
        <f t="shared" si="26"/>
        <v>8.9999999999999947</v>
      </c>
      <c r="B127" s="4">
        <f t="shared" si="18"/>
        <v>1.222840985278335E-3</v>
      </c>
      <c r="C127" s="4">
        <f t="shared" si="19"/>
        <v>3.0420683515798115E-3</v>
      </c>
      <c r="D127" s="4">
        <f t="shared" si="27"/>
        <v>6.1142049263916749E-5</v>
      </c>
      <c r="E127" s="4">
        <f t="shared" si="28"/>
        <v>1.222840985278335E-4</v>
      </c>
      <c r="F127" s="4">
        <f t="shared" si="29"/>
        <v>3.0420683515798115E-3</v>
      </c>
      <c r="G127" s="4">
        <f t="shared" si="29"/>
        <v>6.1142049263916749E-5</v>
      </c>
      <c r="H127" s="4">
        <f t="shared" si="30"/>
        <v>3.6504820218957734E-3</v>
      </c>
      <c r="I127" s="4">
        <f t="shared" si="31"/>
        <v>0.97209937066377083</v>
      </c>
      <c r="J127" s="4">
        <f t="shared" si="32"/>
        <v>7.5969129264957863E-3</v>
      </c>
      <c r="K127" s="4">
        <f t="shared" si="33"/>
        <v>1.9922937911557758E-2</v>
      </c>
      <c r="L127" s="4">
        <f t="shared" si="34"/>
        <v>3.8077849817587384E-4</v>
      </c>
      <c r="N127" s="10">
        <f t="shared" si="21"/>
        <v>0.62662392177957604</v>
      </c>
      <c r="O127" s="66">
        <v>2</v>
      </c>
      <c r="P127" s="10">
        <f t="shared" si="22"/>
        <v>3.842259849042266E-3</v>
      </c>
      <c r="Q127" s="10">
        <f t="shared" si="23"/>
        <v>7.7224971244617383E-5</v>
      </c>
      <c r="R127" s="10">
        <f t="shared" si="24"/>
        <v>9.7940756162988463E-3</v>
      </c>
      <c r="S127" s="66"/>
      <c r="T127" s="5">
        <f t="shared" si="35"/>
        <v>8.9999999999999947</v>
      </c>
      <c r="U127" s="12">
        <f t="shared" si="25"/>
        <v>15219.383824034927</v>
      </c>
      <c r="V127" s="12">
        <f t="shared" si="20"/>
        <v>1043261.4136578345</v>
      </c>
    </row>
    <row r="128" spans="1:22">
      <c r="A128" s="5">
        <f t="shared" si="26"/>
        <v>9.0833333333333286</v>
      </c>
      <c r="B128" s="4">
        <f t="shared" si="18"/>
        <v>1.232497014083795E-3</v>
      </c>
      <c r="C128" s="4">
        <f t="shared" si="19"/>
        <v>3.0612055389638692E-3</v>
      </c>
      <c r="D128" s="4">
        <f t="shared" si="27"/>
        <v>6.1624850704189755E-5</v>
      </c>
      <c r="E128" s="4">
        <f t="shared" si="28"/>
        <v>1.2324970140837951E-4</v>
      </c>
      <c r="F128" s="4">
        <f t="shared" si="29"/>
        <v>3.0612055389638692E-3</v>
      </c>
      <c r="G128" s="4">
        <f t="shared" si="29"/>
        <v>6.1624850704189755E-5</v>
      </c>
      <c r="H128" s="4">
        <f t="shared" si="30"/>
        <v>3.6734466467566429E-3</v>
      </c>
      <c r="I128" s="4">
        <f t="shared" si="31"/>
        <v>0.97174900209308257</v>
      </c>
      <c r="J128" s="4">
        <f t="shared" si="32"/>
        <v>7.6939311891086465E-3</v>
      </c>
      <c r="K128" s="4">
        <f t="shared" si="33"/>
        <v>2.0171412335185445E-2</v>
      </c>
      <c r="L128" s="4">
        <f t="shared" si="34"/>
        <v>3.8565438262362688E-4</v>
      </c>
      <c r="N128" s="10">
        <f t="shared" si="21"/>
        <v>0.6238564028664485</v>
      </c>
      <c r="O128" s="66">
        <v>4</v>
      </c>
      <c r="P128" s="10">
        <f t="shared" si="22"/>
        <v>7.6994934237933493E-3</v>
      </c>
      <c r="Q128" s="10">
        <f t="shared" si="23"/>
        <v>1.5499780289165223E-4</v>
      </c>
      <c r="R128" s="10">
        <f t="shared" si="24"/>
        <v>1.9757810814111935E-2</v>
      </c>
      <c r="S128" s="66"/>
      <c r="T128" s="5">
        <f t="shared" si="35"/>
        <v>9.0833333333333286</v>
      </c>
      <c r="U128" s="12">
        <f t="shared" si="25"/>
        <v>15362.59975269496</v>
      </c>
      <c r="V128" s="12">
        <f t="shared" si="20"/>
        <v>1041501.5513787046</v>
      </c>
    </row>
    <row r="129" spans="1:22">
      <c r="A129" s="5">
        <f t="shared" si="26"/>
        <v>9.1666666666666625</v>
      </c>
      <c r="B129" s="4">
        <f t="shared" si="18"/>
        <v>1.2422663562680976E-3</v>
      </c>
      <c r="C129" s="4">
        <f t="shared" si="19"/>
        <v>3.0804867948348116E-3</v>
      </c>
      <c r="D129" s="4">
        <f t="shared" si="27"/>
        <v>6.2113317813404886E-5</v>
      </c>
      <c r="E129" s="4">
        <f t="shared" si="28"/>
        <v>1.2422663562680977E-4</v>
      </c>
      <c r="F129" s="4">
        <f t="shared" si="29"/>
        <v>3.0804867948348116E-3</v>
      </c>
      <c r="G129" s="4">
        <f t="shared" si="29"/>
        <v>6.2113317813404886E-5</v>
      </c>
      <c r="H129" s="4">
        <f t="shared" si="30"/>
        <v>3.6965841538017736E-3</v>
      </c>
      <c r="I129" s="4">
        <f t="shared" si="31"/>
        <v>0.97139639069444406</v>
      </c>
      <c r="J129" s="4">
        <f t="shared" si="32"/>
        <v>7.7916564079972758E-3</v>
      </c>
      <c r="K129" s="4">
        <f t="shared" si="33"/>
        <v>2.0421386736290539E-2</v>
      </c>
      <c r="L129" s="4">
        <f t="shared" si="34"/>
        <v>3.905661612684713E-4</v>
      </c>
      <c r="N129" s="10">
        <f t="shared" si="21"/>
        <v>0.62109959207126508</v>
      </c>
      <c r="O129" s="66">
        <v>2</v>
      </c>
      <c r="P129" s="10">
        <f t="shared" si="22"/>
        <v>3.8572715055253592E-3</v>
      </c>
      <c r="Q129" s="10">
        <f t="shared" si="23"/>
        <v>7.7775996740844666E-5</v>
      </c>
      <c r="R129" s="10">
        <f t="shared" si="24"/>
        <v>9.9637895774080838E-3</v>
      </c>
      <c r="S129" s="66"/>
      <c r="T129" s="5">
        <f t="shared" si="35"/>
        <v>9.1666666666666625</v>
      </c>
      <c r="U129" s="12">
        <f t="shared" si="25"/>
        <v>15505.657585479456</v>
      </c>
      <c r="V129" s="12">
        <f t="shared" si="20"/>
        <v>1039735.6616845537</v>
      </c>
    </row>
    <row r="130" spans="1:22">
      <c r="A130" s="5">
        <f t="shared" si="26"/>
        <v>9.2499999999999964</v>
      </c>
      <c r="B130" s="4">
        <f t="shared" si="18"/>
        <v>1.2521503415623444E-3</v>
      </c>
      <c r="C130" s="4">
        <f t="shared" si="19"/>
        <v>3.0999132037683678E-3</v>
      </c>
      <c r="D130" s="4">
        <f t="shared" si="27"/>
        <v>6.2607517078117227E-5</v>
      </c>
      <c r="E130" s="4">
        <f t="shared" si="28"/>
        <v>1.2521503415623445E-4</v>
      </c>
      <c r="F130" s="4">
        <f t="shared" si="29"/>
        <v>3.0999132037683678E-3</v>
      </c>
      <c r="G130" s="4">
        <f t="shared" si="29"/>
        <v>6.2607517078117227E-5</v>
      </c>
      <c r="H130" s="4">
        <f t="shared" si="30"/>
        <v>3.7198958445220412E-3</v>
      </c>
      <c r="I130" s="4">
        <f t="shared" si="31"/>
        <v>0.97104151773358394</v>
      </c>
      <c r="J130" s="4">
        <f t="shared" si="32"/>
        <v>7.8900963299300218E-3</v>
      </c>
      <c r="K130" s="4">
        <f t="shared" si="33"/>
        <v>2.0672871703744031E-2</v>
      </c>
      <c r="L130" s="4">
        <f t="shared" si="34"/>
        <v>3.9551423274230511E-4</v>
      </c>
      <c r="N130" s="10">
        <f t="shared" si="21"/>
        <v>0.61835344194912734</v>
      </c>
      <c r="O130" s="66">
        <v>4</v>
      </c>
      <c r="P130" s="10">
        <f t="shared" si="22"/>
        <v>7.7296683942124017E-3</v>
      </c>
      <c r="Q130" s="10">
        <f t="shared" si="23"/>
        <v>1.5611254709020446E-4</v>
      </c>
      <c r="R130" s="10">
        <f t="shared" si="24"/>
        <v>2.0097464974761167E-2</v>
      </c>
      <c r="S130" s="66"/>
      <c r="T130" s="5">
        <f t="shared" si="35"/>
        <v>9.2499999999999964</v>
      </c>
      <c r="U130" s="12">
        <f t="shared" si="25"/>
        <v>15648.549971934312</v>
      </c>
      <c r="V130" s="12">
        <f t="shared" si="20"/>
        <v>1037963.7249752748</v>
      </c>
    </row>
    <row r="131" spans="1:22">
      <c r="A131" s="5">
        <f t="shared" si="26"/>
        <v>9.3333333333333304</v>
      </c>
      <c r="B131" s="4">
        <f t="shared" si="18"/>
        <v>1.2621503153020159E-3</v>
      </c>
      <c r="C131" s="4">
        <f t="shared" si="19"/>
        <v>3.1194858585051602E-3</v>
      </c>
      <c r="D131" s="4">
        <f t="shared" si="27"/>
        <v>6.3107515765100798E-5</v>
      </c>
      <c r="E131" s="4">
        <f t="shared" si="28"/>
        <v>1.262150315302016E-4</v>
      </c>
      <c r="F131" s="4">
        <f t="shared" si="29"/>
        <v>3.1194858585051602E-3</v>
      </c>
      <c r="G131" s="4">
        <f t="shared" si="29"/>
        <v>6.3107515765100798E-5</v>
      </c>
      <c r="H131" s="4">
        <f t="shared" si="30"/>
        <v>3.743383030206192E-3</v>
      </c>
      <c r="I131" s="4">
        <f t="shared" si="31"/>
        <v>0.97068436432274607</v>
      </c>
      <c r="J131" s="4">
        <f t="shared" si="32"/>
        <v>7.9892587812872718E-3</v>
      </c>
      <c r="K131" s="4">
        <f t="shared" si="33"/>
        <v>2.0925877896058417E-2</v>
      </c>
      <c r="L131" s="4">
        <f t="shared" si="34"/>
        <v>4.0049899990855201E-4</v>
      </c>
      <c r="N131" s="10">
        <f t="shared" si="21"/>
        <v>0.6156179052397236</v>
      </c>
      <c r="O131" s="66">
        <v>2</v>
      </c>
      <c r="P131" s="10">
        <f t="shared" si="22"/>
        <v>3.8724347532094615E-3</v>
      </c>
      <c r="Q131" s="10">
        <f t="shared" si="23"/>
        <v>7.833974838231697E-5</v>
      </c>
      <c r="R131" s="10">
        <f t="shared" si="24"/>
        <v>1.0133738496520843E-2</v>
      </c>
      <c r="S131" s="66"/>
      <c r="T131" s="5">
        <f t="shared" si="35"/>
        <v>9.3333333333333304</v>
      </c>
      <c r="U131" s="12">
        <f t="shared" si="25"/>
        <v>15791.269482157284</v>
      </c>
      <c r="V131" s="12">
        <f t="shared" si="20"/>
        <v>1036185.7215634062</v>
      </c>
    </row>
    <row r="132" spans="1:22">
      <c r="A132" s="5">
        <f t="shared" si="26"/>
        <v>9.4166666666666643</v>
      </c>
      <c r="B132" s="4">
        <f t="shared" si="18"/>
        <v>1.272267638610087E-3</v>
      </c>
      <c r="C132" s="4">
        <f t="shared" si="19"/>
        <v>3.1392058600121808E-3</v>
      </c>
      <c r="D132" s="4">
        <f t="shared" si="27"/>
        <v>6.3613381930504356E-5</v>
      </c>
      <c r="E132" s="4">
        <f t="shared" si="28"/>
        <v>1.2722676386100871E-4</v>
      </c>
      <c r="F132" s="4">
        <f t="shared" si="29"/>
        <v>3.1392058600121808E-3</v>
      </c>
      <c r="G132" s="4">
        <f t="shared" si="29"/>
        <v>6.3613381930504356E-5</v>
      </c>
      <c r="H132" s="4">
        <f t="shared" si="30"/>
        <v>3.7670470320146166E-3</v>
      </c>
      <c r="I132" s="4">
        <f t="shared" si="31"/>
        <v>0.97032491141955102</v>
      </c>
      <c r="J132" s="4">
        <f t="shared" si="32"/>
        <v>8.0891516687770261E-3</v>
      </c>
      <c r="K132" s="4">
        <f t="shared" si="33"/>
        <v>2.1180416041768829E-2</v>
      </c>
      <c r="L132" s="4">
        <f t="shared" si="34"/>
        <v>4.0552086990347318E-4</v>
      </c>
      <c r="N132" s="10">
        <f t="shared" si="21"/>
        <v>0.61289293486658358</v>
      </c>
      <c r="O132" s="66">
        <v>4</v>
      </c>
      <c r="P132" s="10">
        <f t="shared" si="22"/>
        <v>7.7601462795720477E-3</v>
      </c>
      <c r="Q132" s="10">
        <f t="shared" si="23"/>
        <v>1.5725287576937808E-4</v>
      </c>
      <c r="R132" s="10">
        <f t="shared" si="24"/>
        <v>2.0437623927863961E-2</v>
      </c>
      <c r="S132" s="66"/>
      <c r="T132" s="5">
        <f t="shared" si="35"/>
        <v>9.4166666666666643</v>
      </c>
      <c r="U132" s="12">
        <f t="shared" si="25"/>
        <v>15933.808606284338</v>
      </c>
      <c r="V132" s="12">
        <f t="shared" si="20"/>
        <v>1034401.6316731824</v>
      </c>
    </row>
    <row r="133" spans="1:22">
      <c r="A133" s="5">
        <f t="shared" si="26"/>
        <v>9.4999999999999982</v>
      </c>
      <c r="B133" s="4">
        <f t="shared" si="18"/>
        <v>1.2825036885822949E-3</v>
      </c>
      <c r="C133" s="4">
        <f t="shared" si="19"/>
        <v>3.159074317544711E-3</v>
      </c>
      <c r="D133" s="4">
        <f t="shared" si="27"/>
        <v>6.4125184429114748E-5</v>
      </c>
      <c r="E133" s="4">
        <f t="shared" si="28"/>
        <v>1.282503688582295E-4</v>
      </c>
      <c r="F133" s="4">
        <f t="shared" si="29"/>
        <v>3.159074317544711E-3</v>
      </c>
      <c r="G133" s="4">
        <f t="shared" si="29"/>
        <v>6.4125184429114748E-5</v>
      </c>
      <c r="H133" s="4">
        <f t="shared" si="30"/>
        <v>3.790889181053653E-3</v>
      </c>
      <c r="I133" s="4">
        <f t="shared" si="31"/>
        <v>0.96996313982585292</v>
      </c>
      <c r="J133" s="4">
        <f t="shared" si="32"/>
        <v>8.1897829801546394E-3</v>
      </c>
      <c r="K133" s="4">
        <f t="shared" si="33"/>
        <v>2.1436496939815045E-2</v>
      </c>
      <c r="L133" s="4">
        <f t="shared" si="34"/>
        <v>4.1058025417780854E-4</v>
      </c>
      <c r="N133" s="10">
        <f t="shared" si="21"/>
        <v>0.61017848393634011</v>
      </c>
      <c r="O133" s="66">
        <v>2</v>
      </c>
      <c r="P133" s="10">
        <f t="shared" si="22"/>
        <v>3.8877493221555178E-3</v>
      </c>
      <c r="Q133" s="10">
        <f t="shared" si="23"/>
        <v>7.8916358793088137E-5</v>
      </c>
      <c r="R133" s="10">
        <f t="shared" si="24"/>
        <v>1.0303957248304511E-2</v>
      </c>
      <c r="S133" s="66"/>
      <c r="T133" s="5">
        <f t="shared" si="35"/>
        <v>9.4999999999999982</v>
      </c>
      <c r="U133" s="12">
        <f t="shared" si="25"/>
        <v>16076.159753976928</v>
      </c>
      <c r="V133" s="12">
        <f t="shared" si="20"/>
        <v>1032611.4354395688</v>
      </c>
    </row>
    <row r="134" spans="1:22">
      <c r="A134" s="5">
        <f t="shared" si="26"/>
        <v>9.5833333333333321</v>
      </c>
      <c r="B134" s="4">
        <f t="shared" si="18"/>
        <v>1.2928598584745772E-3</v>
      </c>
      <c r="C134" s="4">
        <f t="shared" si="19"/>
        <v>3.1790923487087278E-3</v>
      </c>
      <c r="D134" s="4">
        <f t="shared" si="27"/>
        <v>6.4642992923728856E-5</v>
      </c>
      <c r="E134" s="4">
        <f t="shared" si="28"/>
        <v>1.2928598584745771E-4</v>
      </c>
      <c r="F134" s="4">
        <f t="shared" si="29"/>
        <v>3.1790923487087278E-3</v>
      </c>
      <c r="G134" s="4">
        <f t="shared" si="29"/>
        <v>6.4642992923728856E-5</v>
      </c>
      <c r="H134" s="4">
        <f t="shared" si="30"/>
        <v>3.8149108184504731E-3</v>
      </c>
      <c r="I134" s="4">
        <f t="shared" si="31"/>
        <v>0.96959903018659066</v>
      </c>
      <c r="J134" s="4">
        <f t="shared" si="32"/>
        <v>8.2911607849466828E-3</v>
      </c>
      <c r="K134" s="4">
        <f t="shared" si="33"/>
        <v>2.1694131459924319E-2</v>
      </c>
      <c r="L134" s="4">
        <f t="shared" si="34"/>
        <v>4.1567756853874986E-4</v>
      </c>
      <c r="N134" s="10">
        <f t="shared" si="21"/>
        <v>0.60747450573799278</v>
      </c>
      <c r="O134" s="66">
        <v>4</v>
      </c>
      <c r="P134" s="10">
        <f t="shared" si="22"/>
        <v>7.790926529988672E-3</v>
      </c>
      <c r="Q134" s="10">
        <f t="shared" si="23"/>
        <v>1.5841905591446921E-4</v>
      </c>
      <c r="R134" s="10">
        <f t="shared" si="24"/>
        <v>2.0778357415891607E-2</v>
      </c>
      <c r="S134" s="66"/>
      <c r="T134" s="5">
        <f t="shared" si="35"/>
        <v>9.5833333333333321</v>
      </c>
      <c r="U134" s="12">
        <f t="shared" si="25"/>
        <v>16218.315253910314</v>
      </c>
      <c r="V134" s="12">
        <f t="shared" si="20"/>
        <v>1030815.1129072824</v>
      </c>
    </row>
    <row r="135" spans="1:22">
      <c r="A135" s="5">
        <f t="shared" si="26"/>
        <v>9.6666666666666661</v>
      </c>
      <c r="B135" s="4">
        <f t="shared" si="18"/>
        <v>1.3033375578927135E-3</v>
      </c>
      <c r="C135" s="4">
        <f t="shared" si="19"/>
        <v>3.1992610795237636E-3</v>
      </c>
      <c r="D135" s="4">
        <f t="shared" si="27"/>
        <v>6.5166877894635682E-5</v>
      </c>
      <c r="E135" s="4">
        <f t="shared" si="28"/>
        <v>1.3033375578927136E-4</v>
      </c>
      <c r="F135" s="4">
        <f t="shared" si="29"/>
        <v>3.1992610795237636E-3</v>
      </c>
      <c r="G135" s="4">
        <f t="shared" si="29"/>
        <v>6.5166877894635682E-5</v>
      </c>
      <c r="H135" s="4">
        <f t="shared" si="30"/>
        <v>3.8391132954285162E-3</v>
      </c>
      <c r="I135" s="4">
        <f t="shared" si="31"/>
        <v>0.96923256298863425</v>
      </c>
      <c r="J135" s="4">
        <f t="shared" si="32"/>
        <v>8.393293235178928E-3</v>
      </c>
      <c r="K135" s="4">
        <f t="shared" si="33"/>
        <v>2.1953330542994996E-2</v>
      </c>
      <c r="L135" s="4">
        <f t="shared" si="34"/>
        <v>4.2081323319224581E-4</v>
      </c>
      <c r="N135" s="10">
        <f t="shared" si="21"/>
        <v>0.60478095374217811</v>
      </c>
      <c r="O135" s="66">
        <v>2</v>
      </c>
      <c r="P135" s="10">
        <f t="shared" si="22"/>
        <v>3.9032149323235403E-3</v>
      </c>
      <c r="Q135" s="10">
        <f t="shared" si="23"/>
        <v>7.9505962335874893E-5</v>
      </c>
      <c r="R135" s="10">
        <f t="shared" si="24"/>
        <v>1.0474480700807426E-2</v>
      </c>
      <c r="S135" s="66"/>
      <c r="T135" s="5">
        <f t="shared" si="35"/>
        <v>9.6666666666666661</v>
      </c>
      <c r="U135" s="12">
        <f t="shared" si="25"/>
        <v>16360.267353263038</v>
      </c>
      <c r="V135" s="12">
        <f t="shared" si="20"/>
        <v>1029012.644029796</v>
      </c>
    </row>
    <row r="136" spans="1:22">
      <c r="A136" s="5">
        <f t="shared" si="26"/>
        <v>9.75</v>
      </c>
      <c r="B136" s="4">
        <f t="shared" si="18"/>
        <v>1.3139382129841897E-3</v>
      </c>
      <c r="C136" s="4">
        <f t="shared" si="19"/>
        <v>3.2195816444862413E-3</v>
      </c>
      <c r="D136" s="4">
        <f t="shared" si="27"/>
        <v>6.5696910649209485E-5</v>
      </c>
      <c r="E136" s="4">
        <f t="shared" si="28"/>
        <v>1.3139382129841897E-4</v>
      </c>
      <c r="F136" s="4">
        <f t="shared" si="29"/>
        <v>3.2195816444862413E-3</v>
      </c>
      <c r="G136" s="4">
        <f t="shared" si="29"/>
        <v>6.5696910649209485E-5</v>
      </c>
      <c r="H136" s="4">
        <f t="shared" si="30"/>
        <v>3.8634979733834893E-3</v>
      </c>
      <c r="I136" s="4">
        <f t="shared" si="31"/>
        <v>0.9688637185596255</v>
      </c>
      <c r="J136" s="4">
        <f t="shared" si="32"/>
        <v>8.4961885661083598E-3</v>
      </c>
      <c r="K136" s="4">
        <f t="shared" si="33"/>
        <v>2.2214105201480944E-2</v>
      </c>
      <c r="L136" s="4">
        <f t="shared" si="34"/>
        <v>4.2598767278564047E-4</v>
      </c>
      <c r="N136" s="10">
        <f t="shared" si="21"/>
        <v>0.60209778160044336</v>
      </c>
      <c r="O136" s="66">
        <v>4</v>
      </c>
      <c r="P136" s="10">
        <f t="shared" si="22"/>
        <v>7.8220085749932805E-3</v>
      </c>
      <c r="Q136" s="10">
        <f t="shared" si="23"/>
        <v>1.5961135799390038E-4</v>
      </c>
      <c r="R136" s="10">
        <f t="shared" si="24"/>
        <v>2.1119735169020375E-2</v>
      </c>
      <c r="S136" s="66"/>
      <c r="T136" s="5">
        <f t="shared" si="35"/>
        <v>9.75</v>
      </c>
      <c r="U136" s="12">
        <f t="shared" si="25"/>
        <v>16502.008217207684</v>
      </c>
      <c r="V136" s="12">
        <f t="shared" si="20"/>
        <v>1027204.0086683271</v>
      </c>
    </row>
    <row r="137" spans="1:22">
      <c r="A137" s="5">
        <f t="shared" si="26"/>
        <v>9.8333333333333339</v>
      </c>
      <c r="B137" s="4">
        <f t="shared" si="18"/>
        <v>1.3246632666323145E-3</v>
      </c>
      <c r="C137" s="4">
        <f t="shared" si="19"/>
        <v>3.2400551866333016E-3</v>
      </c>
      <c r="D137" s="4">
        <f t="shared" si="27"/>
        <v>6.623316333161573E-5</v>
      </c>
      <c r="E137" s="4">
        <f t="shared" si="28"/>
        <v>1.3246632666323146E-4</v>
      </c>
      <c r="F137" s="4">
        <f t="shared" si="29"/>
        <v>3.2400551866333016E-3</v>
      </c>
      <c r="G137" s="4">
        <f t="shared" si="29"/>
        <v>6.623316333161573E-5</v>
      </c>
      <c r="H137" s="4">
        <f t="shared" si="30"/>
        <v>3.8880662239599616E-3</v>
      </c>
      <c r="I137" s="4">
        <f t="shared" si="31"/>
        <v>0.96849247706681385</v>
      </c>
      <c r="J137" s="4">
        <f t="shared" si="32"/>
        <v>8.5998550969592462E-3</v>
      </c>
      <c r="K137" s="4">
        <f t="shared" si="33"/>
        <v>2.2476466519776715E-2</v>
      </c>
      <c r="L137" s="4">
        <f t="shared" si="34"/>
        <v>4.3120131645064594E-4</v>
      </c>
      <c r="N137" s="10">
        <f t="shared" si="21"/>
        <v>0.59942494314452399</v>
      </c>
      <c r="O137" s="66">
        <v>2</v>
      </c>
      <c r="P137" s="10">
        <f t="shared" si="22"/>
        <v>3.9188312931872828E-3</v>
      </c>
      <c r="Q137" s="10">
        <f t="shared" si="23"/>
        <v>8.0108695117758776E-5</v>
      </c>
      <c r="R137" s="10">
        <f t="shared" si="24"/>
        <v>1.0645343716366962E-2</v>
      </c>
      <c r="S137" s="66"/>
      <c r="T137" s="5">
        <f t="shared" si="35"/>
        <v>9.8333333333333339</v>
      </c>
      <c r="U137" s="12">
        <f t="shared" si="25"/>
        <v>16643.52992840303</v>
      </c>
      <c r="V137" s="12">
        <f t="shared" si="20"/>
        <v>1025389.1865908114</v>
      </c>
    </row>
    <row r="138" spans="1:22">
      <c r="A138" s="5">
        <f t="shared" si="26"/>
        <v>9.9166666666666679</v>
      </c>
      <c r="B138" s="4">
        <f t="shared" si="18"/>
        <v>1.3355141786526158E-3</v>
      </c>
      <c r="C138" s="4">
        <f t="shared" si="19"/>
        <v>3.2606828576070869E-3</v>
      </c>
      <c r="D138" s="4">
        <f t="shared" si="27"/>
        <v>6.677570893263079E-5</v>
      </c>
      <c r="E138" s="4">
        <f t="shared" si="28"/>
        <v>1.3355141786526158E-4</v>
      </c>
      <c r="F138" s="4">
        <f t="shared" si="29"/>
        <v>3.2606828576070869E-3</v>
      </c>
      <c r="G138" s="4">
        <f t="shared" si="29"/>
        <v>6.677570893263079E-5</v>
      </c>
      <c r="H138" s="4">
        <f t="shared" si="30"/>
        <v>3.9128194291285041E-3</v>
      </c>
      <c r="I138" s="4">
        <f t="shared" si="31"/>
        <v>0.96811881851588721</v>
      </c>
      <c r="J138" s="4">
        <f t="shared" si="32"/>
        <v>8.7043012316631758E-3</v>
      </c>
      <c r="K138" s="4">
        <f t="shared" si="33"/>
        <v>2.274042565460347E-2</v>
      </c>
      <c r="L138" s="4">
        <f t="shared" si="34"/>
        <v>4.3645459784665041E-4</v>
      </c>
      <c r="N138" s="10">
        <f t="shared" si="21"/>
        <v>0.59676239238562756</v>
      </c>
      <c r="O138" s="66">
        <v>4</v>
      </c>
      <c r="P138" s="10">
        <f t="shared" si="22"/>
        <v>7.8533918227535939E-3</v>
      </c>
      <c r="Q138" s="10">
        <f t="shared" si="23"/>
        <v>1.6083005597022373E-4</v>
      </c>
      <c r="R138" s="10">
        <f t="shared" si="24"/>
        <v>2.1461826906806439E-2</v>
      </c>
      <c r="S138" s="66"/>
      <c r="T138" s="5">
        <f t="shared" si="35"/>
        <v>9.9166666666666679</v>
      </c>
      <c r="U138" s="12">
        <f t="shared" si="25"/>
        <v>16784.824486487745</v>
      </c>
      <c r="V138" s="12">
        <f t="shared" si="20"/>
        <v>1023568.1574708588</v>
      </c>
    </row>
    <row r="139" spans="1:22">
      <c r="A139" s="5">
        <f t="shared" si="26"/>
        <v>10.000000000000002</v>
      </c>
      <c r="B139" s="4">
        <f t="shared" si="18"/>
        <v>1.3464924259915347E-3</v>
      </c>
      <c r="C139" s="4">
        <f t="shared" si="19"/>
        <v>3.2814658177195257E-3</v>
      </c>
      <c r="D139" s="4">
        <f t="shared" si="27"/>
        <v>6.7324621299576736E-5</v>
      </c>
      <c r="E139" s="4">
        <f t="shared" si="28"/>
        <v>1.3464924259915347E-4</v>
      </c>
      <c r="F139" s="4">
        <f t="shared" si="29"/>
        <v>3.2814658177195257E-3</v>
      </c>
      <c r="G139" s="4">
        <f t="shared" si="29"/>
        <v>6.7324621299576736E-5</v>
      </c>
      <c r="H139" s="4">
        <f t="shared" si="30"/>
        <v>3.9377589812634303E-3</v>
      </c>
      <c r="I139" s="4">
        <f t="shared" si="31"/>
        <v>0.96774272274979745</v>
      </c>
      <c r="J139" s="4">
        <f t="shared" si="32"/>
        <v>8.8095354596030365E-3</v>
      </c>
      <c r="K139" s="4">
        <f t="shared" si="33"/>
        <v>2.3005993835395595E-2</v>
      </c>
      <c r="L139" s="4">
        <f t="shared" si="34"/>
        <v>4.417479552043621E-4</v>
      </c>
      <c r="N139" s="10">
        <f t="shared" si="21"/>
        <v>0.59411008351372097</v>
      </c>
      <c r="O139" s="66">
        <v>2</v>
      </c>
      <c r="P139" s="10">
        <f t="shared" si="22"/>
        <v>3.9345981033416444E-3</v>
      </c>
      <c r="Q139" s="10">
        <f t="shared" si="23"/>
        <v>8.0724694995482126E-5</v>
      </c>
      <c r="R139" s="10">
        <f t="shared" si="24"/>
        <v>1.0816581152375174E-2</v>
      </c>
      <c r="S139" s="66"/>
      <c r="T139" s="5">
        <f t="shared" si="35"/>
        <v>10.000000000000002</v>
      </c>
      <c r="U139" s="81">
        <f t="shared" si="25"/>
        <v>16925.883807575716</v>
      </c>
      <c r="V139" s="12">
        <f t="shared" si="20"/>
        <v>1021740.9008866946</v>
      </c>
    </row>
    <row r="140" spans="1:22">
      <c r="A140" s="5">
        <f t="shared" si="26"/>
        <v>10.083333333333336</v>
      </c>
      <c r="B140" s="4">
        <f t="shared" si="18"/>
        <v>1.3575995029274663E-3</v>
      </c>
      <c r="C140" s="4">
        <f t="shared" si="19"/>
        <v>3.30240523601761E-3</v>
      </c>
      <c r="D140" s="4">
        <f t="shared" si="27"/>
        <v>6.7879975146373323E-5</v>
      </c>
      <c r="E140" s="4">
        <f t="shared" si="28"/>
        <v>1.3575995029274665E-4</v>
      </c>
      <c r="F140" s="4">
        <f t="shared" si="29"/>
        <v>3.30240523601761E-3</v>
      </c>
      <c r="G140" s="4">
        <f t="shared" si="29"/>
        <v>6.7879975146373323E-5</v>
      </c>
      <c r="H140" s="4">
        <f t="shared" si="30"/>
        <v>3.962886283221132E-3</v>
      </c>
      <c r="I140" s="4">
        <f t="shared" si="31"/>
        <v>0.96736416944758175</v>
      </c>
      <c r="J140" s="4">
        <f t="shared" si="32"/>
        <v>8.9155663563609041E-3</v>
      </c>
      <c r="K140" s="4">
        <f t="shared" si="33"/>
        <v>2.3273182364688012E-2</v>
      </c>
      <c r="L140" s="4">
        <f t="shared" si="34"/>
        <v>4.470818313697899E-4</v>
      </c>
      <c r="N140" s="10">
        <f t="shared" si="21"/>
        <v>0.59146797089682213</v>
      </c>
      <c r="O140" s="66">
        <v>4</v>
      </c>
      <c r="P140" s="10">
        <f t="shared" si="22"/>
        <v>7.8850756592815131E-3</v>
      </c>
      <c r="Q140" s="10">
        <f t="shared" si="23"/>
        <v>1.6207542731029275E-4</v>
      </c>
      <c r="R140" s="10">
        <f t="shared" si="24"/>
        <v>2.1804702339571196E-2</v>
      </c>
      <c r="S140" s="66"/>
      <c r="T140" s="5">
        <f t="shared" si="35"/>
        <v>10.083333333333336</v>
      </c>
      <c r="U140" s="12">
        <f t="shared" si="25"/>
        <v>17066.69972375319</v>
      </c>
      <c r="V140" s="12">
        <f t="shared" si="20"/>
        <v>1019907.3963200824</v>
      </c>
    </row>
    <row r="141" spans="1:22">
      <c r="A141" s="5">
        <f t="shared" si="26"/>
        <v>10.16666666666667</v>
      </c>
      <c r="B141" s="4">
        <f t="shared" si="18"/>
        <v>1.3688369212741408E-3</v>
      </c>
      <c r="C141" s="4">
        <f t="shared" si="19"/>
        <v>3.3235022903491361E-3</v>
      </c>
      <c r="D141" s="4">
        <f t="shared" si="27"/>
        <v>6.844184606370704E-5</v>
      </c>
      <c r="E141" s="4">
        <f t="shared" si="28"/>
        <v>1.3688369212741408E-4</v>
      </c>
      <c r="F141" s="4">
        <f t="shared" si="29"/>
        <v>3.3235022903491361E-3</v>
      </c>
      <c r="G141" s="4">
        <f t="shared" si="29"/>
        <v>6.844184606370704E-5</v>
      </c>
      <c r="H141" s="4">
        <f t="shared" si="30"/>
        <v>3.9882027484189628E-3</v>
      </c>
      <c r="I141" s="4">
        <f t="shared" si="31"/>
        <v>0.96698313812317793</v>
      </c>
      <c r="J141" s="4">
        <f t="shared" si="32"/>
        <v>9.0224025844697804E-3</v>
      </c>
      <c r="K141" s="4">
        <f t="shared" si="33"/>
        <v>2.3542002618504167E-2</v>
      </c>
      <c r="L141" s="4">
        <f t="shared" si="34"/>
        <v>4.5245667384856208E-4</v>
      </c>
      <c r="N141" s="10">
        <f t="shared" si="21"/>
        <v>0.58883600908029687</v>
      </c>
      <c r="O141" s="66">
        <v>2</v>
      </c>
      <c r="P141" s="10">
        <f t="shared" si="22"/>
        <v>3.9505150501027162E-3</v>
      </c>
      <c r="Q141" s="10">
        <f t="shared" si="23"/>
        <v>8.1354101580319454E-5</v>
      </c>
      <c r="R141" s="10">
        <f t="shared" si="24"/>
        <v>1.098822786189719E-2</v>
      </c>
      <c r="S141" s="66"/>
      <c r="T141" s="5">
        <f t="shared" si="35"/>
        <v>10.16666666666667</v>
      </c>
      <c r="U141" s="12">
        <f t="shared" si="25"/>
        <v>17207.263982577828</v>
      </c>
      <c r="V141" s="12">
        <f t="shared" si="20"/>
        <v>1018067.6231552312</v>
      </c>
    </row>
    <row r="142" spans="1:22">
      <c r="A142" s="5">
        <f t="shared" si="26"/>
        <v>10.250000000000004</v>
      </c>
      <c r="B142" s="4">
        <f t="shared" si="18"/>
        <v>1.3802062105864022E-3</v>
      </c>
      <c r="C142" s="4">
        <f t="shared" si="19"/>
        <v>3.3447581674289732E-3</v>
      </c>
      <c r="D142" s="4">
        <f t="shared" si="27"/>
        <v>6.9010310529320118E-5</v>
      </c>
      <c r="E142" s="4">
        <f t="shared" si="28"/>
        <v>1.3802062105864024E-4</v>
      </c>
      <c r="F142" s="4">
        <f t="shared" si="29"/>
        <v>3.3447581674289732E-3</v>
      </c>
      <c r="G142" s="4">
        <f t="shared" si="29"/>
        <v>6.9010310529320118E-5</v>
      </c>
      <c r="H142" s="4">
        <f t="shared" si="30"/>
        <v>4.0137098009147675E-3</v>
      </c>
      <c r="I142" s="4">
        <f t="shared" si="31"/>
        <v>0.96659960812423618</v>
      </c>
      <c r="J142" s="4">
        <f t="shared" si="32"/>
        <v>9.130052894169129E-3</v>
      </c>
      <c r="K142" s="4">
        <f t="shared" si="33"/>
        <v>2.3812466046744623E-2</v>
      </c>
      <c r="L142" s="4">
        <f t="shared" si="34"/>
        <v>4.5787293485058335E-4</v>
      </c>
      <c r="N142" s="10">
        <f t="shared" si="21"/>
        <v>0.58621415278616007</v>
      </c>
      <c r="O142" s="66">
        <v>4</v>
      </c>
      <c r="P142" s="10">
        <f t="shared" si="22"/>
        <v>7.9170594476257392E-3</v>
      </c>
      <c r="Q142" s="10">
        <f t="shared" si="23"/>
        <v>1.6334775299456443E-4</v>
      </c>
      <c r="R142" s="10">
        <f t="shared" si="24"/>
        <v>2.2148431169486987E-2</v>
      </c>
      <c r="S142" s="66"/>
      <c r="T142" s="5">
        <f t="shared" si="35"/>
        <v>10.250000000000004</v>
      </c>
      <c r="U142" s="12">
        <f t="shared" si="25"/>
        <v>17347.568246579831</v>
      </c>
      <c r="V142" s="12">
        <f t="shared" si="20"/>
        <v>1016221.5606776848</v>
      </c>
    </row>
    <row r="143" spans="1:22">
      <c r="A143" s="5">
        <f t="shared" si="26"/>
        <v>10.333333333333337</v>
      </c>
      <c r="B143" s="4">
        <f t="shared" si="18"/>
        <v>1.3917089183684065E-3</v>
      </c>
      <c r="C143" s="4">
        <f t="shared" si="19"/>
        <v>3.3661740629058121E-3</v>
      </c>
      <c r="D143" s="4">
        <f t="shared" si="27"/>
        <v>6.9585445918420331E-5</v>
      </c>
      <c r="E143" s="4">
        <f t="shared" si="28"/>
        <v>1.3917089183684066E-4</v>
      </c>
      <c r="F143" s="4">
        <f t="shared" si="29"/>
        <v>3.3661740629058121E-3</v>
      </c>
      <c r="G143" s="4">
        <f t="shared" si="29"/>
        <v>6.9585445918420331E-5</v>
      </c>
      <c r="H143" s="4">
        <f t="shared" si="30"/>
        <v>4.0394088754869741E-3</v>
      </c>
      <c r="I143" s="4">
        <f t="shared" si="31"/>
        <v>0.96621355863092506</v>
      </c>
      <c r="J143" s="4">
        <f t="shared" si="32"/>
        <v>9.2385261241641689E-3</v>
      </c>
      <c r="K143" s="4">
        <f t="shared" si="33"/>
        <v>2.4084584173576309E-2</v>
      </c>
      <c r="L143" s="4">
        <f t="shared" si="34"/>
        <v>4.6333107133503048E-4</v>
      </c>
      <c r="N143" s="10">
        <f t="shared" si="21"/>
        <v>0.58360235691238116</v>
      </c>
      <c r="O143" s="66">
        <v>2</v>
      </c>
      <c r="P143" s="10">
        <f t="shared" si="22"/>
        <v>3.9665818091002836E-3</v>
      </c>
      <c r="Q143" s="10">
        <f t="shared" si="23"/>
        <v>8.1997056242501509E-5</v>
      </c>
      <c r="R143" s="10">
        <f t="shared" si="24"/>
        <v>1.116031869413729E-2</v>
      </c>
      <c r="S143" s="66"/>
      <c r="T143" s="5">
        <f t="shared" si="35"/>
        <v>10.333333333333337</v>
      </c>
      <c r="U143" s="12">
        <f t="shared" si="25"/>
        <v>17487.604092765261</v>
      </c>
      <c r="V143" s="12">
        <f t="shared" si="20"/>
        <v>1014369.1880731933</v>
      </c>
    </row>
    <row r="144" spans="1:22">
      <c r="A144" s="5">
        <f t="shared" si="26"/>
        <v>10.416666666666671</v>
      </c>
      <c r="B144" s="4">
        <f t="shared" si="18"/>
        <v>1.4033466102842485E-3</v>
      </c>
      <c r="C144" s="4">
        <f t="shared" si="19"/>
        <v>3.3877511814294219E-3</v>
      </c>
      <c r="D144" s="4">
        <f t="shared" si="27"/>
        <v>7.0167330514212428E-5</v>
      </c>
      <c r="E144" s="4">
        <f t="shared" si="28"/>
        <v>1.4033466102842486E-4</v>
      </c>
      <c r="F144" s="4">
        <f t="shared" si="29"/>
        <v>3.3877511814294219E-3</v>
      </c>
      <c r="G144" s="4">
        <f t="shared" si="29"/>
        <v>7.0167330514212428E-5</v>
      </c>
      <c r="H144" s="4">
        <f t="shared" si="30"/>
        <v>4.0653014177153063E-3</v>
      </c>
      <c r="I144" s="4">
        <f t="shared" si="31"/>
        <v>0.96582496865473366</v>
      </c>
      <c r="J144" s="4">
        <f t="shared" si="32"/>
        <v>9.3478312023888809E-3</v>
      </c>
      <c r="K144" s="4">
        <f t="shared" si="33"/>
        <v>2.4358368597822293E-2</v>
      </c>
      <c r="L144" s="4">
        <f t="shared" si="34"/>
        <v>4.6883154505568847E-4</v>
      </c>
      <c r="N144" s="10">
        <f t="shared" si="21"/>
        <v>0.58100057653219495</v>
      </c>
      <c r="O144" s="66">
        <v>4</v>
      </c>
      <c r="P144" s="10">
        <f t="shared" si="22"/>
        <v>7.9493425270491958E-3</v>
      </c>
      <c r="Q144" s="10">
        <f t="shared" si="23"/>
        <v>1.6464731752548458E-4</v>
      </c>
      <c r="R144" s="10">
        <f t="shared" si="24"/>
        <v>2.2493083091352992E-2</v>
      </c>
      <c r="S144" s="66"/>
      <c r="T144" s="5">
        <f t="shared" si="35"/>
        <v>10.416666666666671</v>
      </c>
      <c r="U144" s="12">
        <f t="shared" si="25"/>
        <v>17627.363012121732</v>
      </c>
      <c r="V144" s="12">
        <f t="shared" si="20"/>
        <v>1012510.4844265676</v>
      </c>
    </row>
    <row r="145" spans="1:22">
      <c r="A145" s="5">
        <f t="shared" si="26"/>
        <v>10.500000000000005</v>
      </c>
      <c r="B145" s="4">
        <f t="shared" si="18"/>
        <v>1.4151208703710731E-3</v>
      </c>
      <c r="C145" s="4">
        <f t="shared" si="19"/>
        <v>3.409490736718407E-3</v>
      </c>
      <c r="D145" s="4">
        <f t="shared" si="27"/>
        <v>7.0756043518553654E-5</v>
      </c>
      <c r="E145" s="4">
        <f t="shared" si="28"/>
        <v>1.4151208703710731E-4</v>
      </c>
      <c r="F145" s="4">
        <f t="shared" si="29"/>
        <v>3.409490736718407E-3</v>
      </c>
      <c r="G145" s="4">
        <f t="shared" si="29"/>
        <v>7.0756043518553654E-5</v>
      </c>
      <c r="H145" s="4">
        <f t="shared" si="30"/>
        <v>4.0913888840620879E-3</v>
      </c>
      <c r="I145" s="4">
        <f t="shared" si="31"/>
        <v>0.96543381703726905</v>
      </c>
      <c r="J145" s="4">
        <f t="shared" si="32"/>
        <v>9.4579771467726385E-3</v>
      </c>
      <c r="K145" s="4">
        <f t="shared" si="33"/>
        <v>2.4633830993352177E-2</v>
      </c>
      <c r="L145" s="4">
        <f t="shared" si="34"/>
        <v>4.7437482260662681E-4</v>
      </c>
      <c r="N145" s="10">
        <f t="shared" si="21"/>
        <v>0.57840876689341603</v>
      </c>
      <c r="O145" s="66">
        <v>2</v>
      </c>
      <c r="P145" s="10">
        <f t="shared" si="22"/>
        <v>3.9827980438627399E-3</v>
      </c>
      <c r="Q145" s="10">
        <f t="shared" si="23"/>
        <v>8.2653702115172259E-5</v>
      </c>
      <c r="R145" s="10">
        <f t="shared" si="24"/>
        <v>1.1332888494747409E-2</v>
      </c>
      <c r="S145" s="66"/>
      <c r="T145" s="5">
        <f t="shared" si="35"/>
        <v>10.500000000000005</v>
      </c>
      <c r="U145" s="12">
        <f t="shared" si="25"/>
        <v>17766.836409126601</v>
      </c>
      <c r="V145" s="12">
        <f t="shared" si="20"/>
        <v>1010645.4287205155</v>
      </c>
    </row>
    <row r="146" spans="1:22">
      <c r="A146" s="5">
        <f t="shared" si="26"/>
        <v>10.583333333333339</v>
      </c>
      <c r="B146" s="4">
        <f t="shared" si="18"/>
        <v>1.4270333012546795E-3</v>
      </c>
      <c r="C146" s="4">
        <f t="shared" si="19"/>
        <v>3.4313939516284852E-3</v>
      </c>
      <c r="D146" s="4">
        <f t="shared" si="27"/>
        <v>7.1351665062733971E-5</v>
      </c>
      <c r="E146" s="4">
        <f t="shared" si="28"/>
        <v>1.4270333012546794E-4</v>
      </c>
      <c r="F146" s="4">
        <f t="shared" si="29"/>
        <v>3.4313939516284852E-3</v>
      </c>
      <c r="G146" s="4">
        <f t="shared" si="29"/>
        <v>7.1351665062733971E-5</v>
      </c>
      <c r="H146" s="4">
        <f t="shared" si="30"/>
        <v>4.1176727419541823E-3</v>
      </c>
      <c r="I146" s="4">
        <f t="shared" si="31"/>
        <v>0.96504008244904882</v>
      </c>
      <c r="J146" s="4">
        <f t="shared" si="32"/>
        <v>9.5689730660104416E-3</v>
      </c>
      <c r="K146" s="4">
        <f t="shared" si="33"/>
        <v>2.4910983109472956E-2</v>
      </c>
      <c r="L146" s="4">
        <f t="shared" si="34"/>
        <v>4.7996137546821635E-4</v>
      </c>
      <c r="N146" s="10">
        <f t="shared" si="21"/>
        <v>0.57582688341775912</v>
      </c>
      <c r="O146" s="66">
        <v>4</v>
      </c>
      <c r="P146" s="10">
        <f t="shared" si="22"/>
        <v>7.981924212191082E-3</v>
      </c>
      <c r="Q146" s="10">
        <f t="shared" si="23"/>
        <v>1.6597440893491633E-4</v>
      </c>
      <c r="R146" s="10">
        <f t="shared" si="24"/>
        <v>2.2838727793050757E-2</v>
      </c>
      <c r="S146" s="66"/>
      <c r="T146" s="5">
        <f t="shared" si="35"/>
        <v>10.583333333333339</v>
      </c>
      <c r="U146" s="12">
        <f t="shared" si="25"/>
        <v>17906.015601257812</v>
      </c>
      <c r="V146" s="12">
        <f t="shared" si="20"/>
        <v>1008773.9998344593</v>
      </c>
    </row>
    <row r="147" spans="1:22">
      <c r="A147" s="5">
        <f t="shared" si="26"/>
        <v>10.666666666666673</v>
      </c>
      <c r="B147" s="4">
        <f t="shared" ref="B147:B210" si="36">B$3+B$4*EXP(B$5*(B$12+A147))</f>
        <v>1.4390855243676627E-3</v>
      </c>
      <c r="C147" s="4">
        <f t="shared" ref="C147:C210" si="37">B$6+B$7*EXP(B$8*(B$12+A147))</f>
        <v>3.4534620582212672E-3</v>
      </c>
      <c r="D147" s="4">
        <f t="shared" si="27"/>
        <v>7.1954276218383137E-5</v>
      </c>
      <c r="E147" s="4">
        <f t="shared" si="28"/>
        <v>1.4390855243676627E-4</v>
      </c>
      <c r="F147" s="4">
        <f t="shared" si="29"/>
        <v>3.4534620582212672E-3</v>
      </c>
      <c r="G147" s="4">
        <f t="shared" si="29"/>
        <v>7.1954276218383137E-5</v>
      </c>
      <c r="H147" s="4">
        <f t="shared" si="30"/>
        <v>4.1441544698655203E-3</v>
      </c>
      <c r="I147" s="4">
        <f t="shared" si="31"/>
        <v>0.96464374338828984</v>
      </c>
      <c r="J147" s="4">
        <f t="shared" si="32"/>
        <v>9.68082816033667E-3</v>
      </c>
      <c r="K147" s="4">
        <f t="shared" si="33"/>
        <v>2.5189836771320428E-2</v>
      </c>
      <c r="L147" s="4">
        <f t="shared" si="34"/>
        <v>4.8559168005348814E-4</v>
      </c>
      <c r="N147" s="10">
        <f t="shared" si="21"/>
        <v>0.57325488170016259</v>
      </c>
      <c r="O147" s="66">
        <v>2</v>
      </c>
      <c r="P147" s="10">
        <f t="shared" si="22"/>
        <v>3.9991634053941939E-3</v>
      </c>
      <c r="Q147" s="10">
        <f t="shared" si="23"/>
        <v>8.3324184097854261E-5</v>
      </c>
      <c r="R147" s="10">
        <f t="shared" si="24"/>
        <v>1.1505972105972753E-2</v>
      </c>
      <c r="S147" s="66"/>
      <c r="T147" s="5">
        <f t="shared" si="35"/>
        <v>10.666666666666673</v>
      </c>
      <c r="U147" s="12">
        <f t="shared" si="25"/>
        <v>18044.89181850756</v>
      </c>
      <c r="V147" s="12">
        <f t="shared" ref="V147:V210" si="38">V148-B$13*(B$15*V148-B$10-E148*(U148-V148)-(F148+G148)*(B$11-V148))</f>
        <v>1006896.1765433351</v>
      </c>
    </row>
    <row r="148" spans="1:22">
      <c r="A148" s="5">
        <f t="shared" si="26"/>
        <v>10.750000000000007</v>
      </c>
      <c r="B148" s="4">
        <f t="shared" si="36"/>
        <v>1.451279180170111E-3</v>
      </c>
      <c r="C148" s="4">
        <f t="shared" si="37"/>
        <v>3.4756962978335737E-3</v>
      </c>
      <c r="D148" s="4">
        <f t="shared" si="27"/>
        <v>7.2563959008505559E-5</v>
      </c>
      <c r="E148" s="4">
        <f t="shared" si="28"/>
        <v>1.4512791801701112E-4</v>
      </c>
      <c r="F148" s="4">
        <f t="shared" si="29"/>
        <v>3.4756962978335737E-3</v>
      </c>
      <c r="G148" s="4">
        <f t="shared" si="29"/>
        <v>7.2563959008505559E-5</v>
      </c>
      <c r="H148" s="4">
        <f t="shared" si="30"/>
        <v>4.1708355574002886E-3</v>
      </c>
      <c r="I148" s="4">
        <f t="shared" si="31"/>
        <v>0.96424477817969234</v>
      </c>
      <c r="J148" s="4">
        <f t="shared" si="32"/>
        <v>9.7935517223023041E-3</v>
      </c>
      <c r="K148" s="4">
        <f t="shared" si="33"/>
        <v>2.5470403880251038E-2</v>
      </c>
      <c r="L148" s="4">
        <f t="shared" si="34"/>
        <v>4.9126621775483356E-4</v>
      </c>
      <c r="N148" s="10">
        <f t="shared" ref="N148:N211" si="39">((1+B$9)^-A148)*I148</f>
        <v>0.57069271750811834</v>
      </c>
      <c r="O148" s="66">
        <v>4</v>
      </c>
      <c r="P148" s="10">
        <f t="shared" ref="P148:P211" si="40">((1+B$9)^-A148)*(I148*C148+J148*F148)*O148</f>
        <v>8.0148037922132716E-3</v>
      </c>
      <c r="Q148" s="10">
        <f t="shared" ref="Q148:Q211" si="41">((1+B$9)^-A148)*(I148*D148+J148*G148)*O148</f>
        <v>1.6732931879056447E-4</v>
      </c>
      <c r="R148" s="10">
        <f t="shared" ref="R148:R211" si="42">((1+B$9)^-A148)*J148*O148</f>
        <v>2.3185434955668296E-2</v>
      </c>
      <c r="S148" s="66"/>
      <c r="T148" s="5">
        <f t="shared" si="35"/>
        <v>10.750000000000007</v>
      </c>
      <c r="U148" s="12">
        <f t="shared" ref="U148:U211" si="43">U149-B$13*(B$15*U149+V$10-B149*(V149-U149)-(C149+D149)*(B$11-U149))</f>
        <v>18183.456202898942</v>
      </c>
      <c r="V148" s="12">
        <f t="shared" si="38"/>
        <v>1005011.9375163728</v>
      </c>
    </row>
    <row r="149" spans="1:22">
      <c r="A149" s="5">
        <f t="shared" ref="A149:A212" si="44">A148+1/12</f>
        <v>10.833333333333341</v>
      </c>
      <c r="B149" s="4">
        <f t="shared" si="36"/>
        <v>1.4636159283728872E-3</v>
      </c>
      <c r="C149" s="4">
        <f t="shared" si="37"/>
        <v>3.4980979211472417E-3</v>
      </c>
      <c r="D149" s="4">
        <f t="shared" ref="D149:D212" si="45">0.05*B149</f>
        <v>7.3180796418644359E-5</v>
      </c>
      <c r="E149" s="4">
        <f t="shared" ref="E149:E212" si="46">0.1*B149</f>
        <v>1.4636159283728872E-4</v>
      </c>
      <c r="F149" s="4">
        <f t="shared" ref="F149:G212" si="47">C149</f>
        <v>3.4980979211472417E-3</v>
      </c>
      <c r="G149" s="4">
        <f t="shared" si="47"/>
        <v>7.3180796418644359E-5</v>
      </c>
      <c r="H149" s="4">
        <f t="shared" ref="H149:H212" si="48">1.2*C149</f>
        <v>4.1977175053766903E-3</v>
      </c>
      <c r="I149" s="4">
        <f t="shared" ref="I149:I212" si="49">I148-B$13*(I148*B148-J148*E148)-B$13*I148*(C148+D148)</f>
        <v>0.96384316497321976</v>
      </c>
      <c r="J149" s="4">
        <f t="shared" ref="J149:J212" si="50">J148-B$13*(J148*E148-I148*B148)-B$13*J148*F148-B$13*J148*G148</f>
        <v>9.907153137555547E-3</v>
      </c>
      <c r="K149" s="4">
        <f t="shared" ref="K149:K212" si="51">K148+B$13*I148*C148+B$13*J148*F148+B$13*L148*H148</f>
        <v>2.5752696414234163E-2</v>
      </c>
      <c r="L149" s="4">
        <f t="shared" ref="L149:L212" si="52">L148+B$13*I148*D148+B$13*J148*G148-B$13*L148*H148</f>
        <v>4.9698547499104685E-4</v>
      </c>
      <c r="N149" s="10">
        <f t="shared" si="39"/>
        <v>0.56814034678100411</v>
      </c>
      <c r="O149" s="66">
        <v>2</v>
      </c>
      <c r="P149" s="10">
        <f t="shared" si="40"/>
        <v>4.0156775317437346E-3</v>
      </c>
      <c r="Q149" s="10">
        <f t="shared" si="41"/>
        <v>8.4008648859401931E-5</v>
      </c>
      <c r="R149" s="10">
        <f t="shared" si="42"/>
        <v>1.1679604366628906E-2</v>
      </c>
      <c r="S149" s="66"/>
      <c r="T149" s="5">
        <f t="shared" ref="T149:T212" si="53">T148+1/12</f>
        <v>10.833333333333341</v>
      </c>
      <c r="U149" s="12">
        <f t="shared" si="43"/>
        <v>18321.699808005738</v>
      </c>
      <c r="V149" s="12">
        <f t="shared" si="38"/>
        <v>1003121.2613158573</v>
      </c>
    </row>
    <row r="150" spans="1:22">
      <c r="A150" s="5">
        <f t="shared" si="44"/>
        <v>10.916666666666675</v>
      </c>
      <c r="B150" s="4">
        <f t="shared" si="36"/>
        <v>1.4760974481635427E-3</v>
      </c>
      <c r="C150" s="4">
        <f t="shared" si="37"/>
        <v>3.5206681882594872E-3</v>
      </c>
      <c r="D150" s="4">
        <f t="shared" si="45"/>
        <v>7.3804872408177139E-5</v>
      </c>
      <c r="E150" s="4">
        <f t="shared" si="46"/>
        <v>1.4760974481635428E-4</v>
      </c>
      <c r="F150" s="4">
        <f t="shared" si="47"/>
        <v>3.5206681882594872E-3</v>
      </c>
      <c r="G150" s="4">
        <f t="shared" si="47"/>
        <v>7.3804872408177139E-5</v>
      </c>
      <c r="H150" s="4">
        <f t="shared" si="48"/>
        <v>4.2248018259113847E-3</v>
      </c>
      <c r="I150" s="4">
        <f t="shared" si="49"/>
        <v>0.96343888174287518</v>
      </c>
      <c r="J150" s="4">
        <f t="shared" si="50"/>
        <v>1.0021641885625765E-2</v>
      </c>
      <c r="K150" s="4">
        <f t="shared" si="51"/>
        <v>2.6036726428244839E-2</v>
      </c>
      <c r="L150" s="4">
        <f t="shared" si="52"/>
        <v>5.027499432547107E-4</v>
      </c>
      <c r="N150" s="10">
        <f t="shared" si="39"/>
        <v>0.56559772562942323</v>
      </c>
      <c r="O150" s="66">
        <v>4</v>
      </c>
      <c r="P150" s="10">
        <f t="shared" si="40"/>
        <v>8.0479805299308246E-3</v>
      </c>
      <c r="Q150" s="10">
        <f t="shared" si="41"/>
        <v>1.6871234220134913E-4</v>
      </c>
      <c r="R150" s="10">
        <f t="shared" si="42"/>
        <v>2.3533274253281566E-2</v>
      </c>
      <c r="S150" s="66"/>
      <c r="T150" s="5">
        <f t="shared" si="53"/>
        <v>10.916666666666675</v>
      </c>
      <c r="U150" s="12">
        <f t="shared" si="43"/>
        <v>18459.613598475513</v>
      </c>
      <c r="V150" s="12">
        <f t="shared" si="38"/>
        <v>1001224.12639587</v>
      </c>
    </row>
    <row r="151" spans="1:22">
      <c r="A151" s="5">
        <f t="shared" si="44"/>
        <v>11.000000000000009</v>
      </c>
      <c r="B151" s="4">
        <f t="shared" si="36"/>
        <v>1.4887254384348763E-3</v>
      </c>
      <c r="C151" s="4">
        <f t="shared" si="37"/>
        <v>3.5434083687537915E-3</v>
      </c>
      <c r="D151" s="4">
        <f t="shared" si="45"/>
        <v>7.443627192174382E-5</v>
      </c>
      <c r="E151" s="4">
        <f t="shared" si="46"/>
        <v>1.4887254384348764E-4</v>
      </c>
      <c r="F151" s="4">
        <f t="shared" si="47"/>
        <v>3.5434083687537915E-3</v>
      </c>
      <c r="G151" s="4">
        <f t="shared" si="47"/>
        <v>7.443627192174382E-5</v>
      </c>
      <c r="H151" s="4">
        <f t="shared" si="48"/>
        <v>4.2520900425045494E-3</v>
      </c>
      <c r="I151" s="4">
        <f t="shared" si="49"/>
        <v>0.96303190628547308</v>
      </c>
      <c r="J151" s="4">
        <f t="shared" si="50"/>
        <v>1.0137027540710705E-2</v>
      </c>
      <c r="K151" s="4">
        <f t="shared" si="51"/>
        <v>2.6322506054656799E-2</v>
      </c>
      <c r="L151" s="4">
        <f t="shared" si="52"/>
        <v>5.0856011915992392E-4</v>
      </c>
      <c r="N151" s="10">
        <f t="shared" si="39"/>
        <v>0.56306481033454658</v>
      </c>
      <c r="O151" s="66">
        <v>2</v>
      </c>
      <c r="P151" s="10">
        <f t="shared" si="40"/>
        <v>4.0323400475666222E-3</v>
      </c>
      <c r="Q151" s="10">
        <f t="shared" si="41"/>
        <v>8.4707244840416009E-5</v>
      </c>
      <c r="R151" s="10">
        <f t="shared" si="42"/>
        <v>1.1853820111904735E-2</v>
      </c>
      <c r="S151" s="66"/>
      <c r="T151" s="5">
        <f t="shared" si="53"/>
        <v>11.000000000000009</v>
      </c>
      <c r="U151" s="12">
        <f t="shared" si="43"/>
        <v>18597.188449556219</v>
      </c>
      <c r="V151" s="12">
        <f t="shared" si="38"/>
        <v>999320.51110101049</v>
      </c>
    </row>
    <row r="152" spans="1:22">
      <c r="A152" s="5">
        <f t="shared" si="44"/>
        <v>11.083333333333343</v>
      </c>
      <c r="B152" s="4">
        <f t="shared" si="36"/>
        <v>1.5015016180161705E-3</v>
      </c>
      <c r="C152" s="4">
        <f t="shared" si="37"/>
        <v>3.5663197417713012E-3</v>
      </c>
      <c r="D152" s="4">
        <f t="shared" si="45"/>
        <v>7.5075080900808536E-5</v>
      </c>
      <c r="E152" s="4">
        <f t="shared" si="46"/>
        <v>1.5015016180161707E-4</v>
      </c>
      <c r="F152" s="4">
        <f t="shared" si="47"/>
        <v>3.5663197417713012E-3</v>
      </c>
      <c r="G152" s="4">
        <f t="shared" si="47"/>
        <v>7.5075080900808536E-5</v>
      </c>
      <c r="H152" s="4">
        <f t="shared" si="48"/>
        <v>4.2795836901255609E-3</v>
      </c>
      <c r="I152" s="4">
        <f t="shared" si="49"/>
        <v>0.96262221621940725</v>
      </c>
      <c r="J152" s="4">
        <f t="shared" si="50"/>
        <v>1.0253319772466879E-2</v>
      </c>
      <c r="K152" s="4">
        <f t="shared" si="51"/>
        <v>2.6610047503635933E-2</v>
      </c>
      <c r="L152" s="4">
        <f t="shared" si="52"/>
        <v>5.1441650449037262E-4</v>
      </c>
      <c r="N152" s="10">
        <f t="shared" si="39"/>
        <v>0.56054155734746081</v>
      </c>
      <c r="O152" s="66">
        <v>4</v>
      </c>
      <c r="P152" s="10">
        <f t="shared" si="40"/>
        <v>8.0814536609263247E-3</v>
      </c>
      <c r="Q152" s="10">
        <f t="shared" si="41"/>
        <v>1.7012377782168198E-4</v>
      </c>
      <c r="R152" s="10">
        <f t="shared" si="42"/>
        <v>2.3882315352381639E-2</v>
      </c>
      <c r="S152" s="66"/>
      <c r="T152" s="5">
        <f t="shared" si="53"/>
        <v>11.083333333333343</v>
      </c>
      <c r="U152" s="12">
        <f t="shared" si="43"/>
        <v>18734.415146626445</v>
      </c>
      <c r="V152" s="12">
        <f t="shared" si="38"/>
        <v>997410.39366509789</v>
      </c>
    </row>
    <row r="153" spans="1:22">
      <c r="A153" s="5">
        <f t="shared" si="44"/>
        <v>11.166666666666677</v>
      </c>
      <c r="B153" s="4">
        <f t="shared" si="36"/>
        <v>1.5144277259071469E-3</v>
      </c>
      <c r="C153" s="4">
        <f t="shared" si="37"/>
        <v>3.5894035960827892E-3</v>
      </c>
      <c r="D153" s="4">
        <f t="shared" si="45"/>
        <v>7.5721386295357358E-5</v>
      </c>
      <c r="E153" s="4">
        <f t="shared" si="46"/>
        <v>1.5144277259071472E-4</v>
      </c>
      <c r="F153" s="4">
        <f t="shared" si="47"/>
        <v>3.5894035960827892E-3</v>
      </c>
      <c r="G153" s="4">
        <f t="shared" si="47"/>
        <v>7.5721386295357358E-5</v>
      </c>
      <c r="H153" s="4">
        <f t="shared" si="48"/>
        <v>4.3072843152993472E-3</v>
      </c>
      <c r="I153" s="4">
        <f t="shared" si="49"/>
        <v>0.96220978898341558</v>
      </c>
      <c r="J153" s="4">
        <f t="shared" si="50"/>
        <v>1.0370528346803066E-2</v>
      </c>
      <c r="K153" s="4">
        <f t="shared" si="51"/>
        <v>2.6899363063533993E-2</v>
      </c>
      <c r="L153" s="4">
        <f t="shared" si="52"/>
        <v>5.2031960624774416E-4</v>
      </c>
      <c r="N153" s="10">
        <f t="shared" si="39"/>
        <v>0.55802792328852102</v>
      </c>
      <c r="O153" s="66">
        <v>2</v>
      </c>
      <c r="P153" s="10">
        <f t="shared" si="40"/>
        <v>4.0491505636774056E-3</v>
      </c>
      <c r="Q153" s="10">
        <f t="shared" si="41"/>
        <v>8.5420122255098154E-5</v>
      </c>
      <c r="R153" s="10">
        <f t="shared" si="42"/>
        <v>1.2028654172985136E-2</v>
      </c>
      <c r="S153" s="66"/>
      <c r="T153" s="5">
        <f t="shared" si="53"/>
        <v>11.166666666666677</v>
      </c>
      <c r="U153" s="12">
        <f t="shared" si="43"/>
        <v>18871.28438472953</v>
      </c>
      <c r="V153" s="12">
        <f t="shared" si="38"/>
        <v>995493.75220985222</v>
      </c>
    </row>
    <row r="154" spans="1:22">
      <c r="A154" s="5">
        <f t="shared" si="44"/>
        <v>11.250000000000011</v>
      </c>
      <c r="B154" s="4">
        <f t="shared" si="36"/>
        <v>1.5275055215146697E-3</v>
      </c>
      <c r="C154" s="4">
        <f t="shared" si="37"/>
        <v>3.6126612301611472E-3</v>
      </c>
      <c r="D154" s="4">
        <f t="shared" si="45"/>
        <v>7.6375276075733495E-5</v>
      </c>
      <c r="E154" s="4">
        <f t="shared" si="46"/>
        <v>1.5275055215146699E-4</v>
      </c>
      <c r="F154" s="4">
        <f t="shared" si="47"/>
        <v>3.6126612301611472E-3</v>
      </c>
      <c r="G154" s="4">
        <f t="shared" si="47"/>
        <v>7.6375276075733495E-5</v>
      </c>
      <c r="H154" s="4">
        <f t="shared" si="48"/>
        <v>4.3351934761933766E-3</v>
      </c>
      <c r="I154" s="4">
        <f t="shared" si="49"/>
        <v>0.96179460183534049</v>
      </c>
      <c r="J154" s="4">
        <f t="shared" si="50"/>
        <v>1.0488663126676845E-2</v>
      </c>
      <c r="K154" s="4">
        <f t="shared" si="51"/>
        <v>2.7190465101282604E-2</v>
      </c>
      <c r="L154" s="4">
        <f t="shared" si="52"/>
        <v>5.2626993670048497E-4</v>
      </c>
      <c r="N154" s="10">
        <f t="shared" si="39"/>
        <v>0.55552386494670758</v>
      </c>
      <c r="O154" s="66">
        <v>4</v>
      </c>
      <c r="P154" s="10">
        <f t="shared" si="40"/>
        <v>8.1152223926477494E-3</v>
      </c>
      <c r="Q154" s="10">
        <f t="shared" si="41"/>
        <v>1.7156392785459135E-4</v>
      </c>
      <c r="R154" s="10">
        <f t="shared" si="42"/>
        <v>2.423262791093549E-2</v>
      </c>
      <c r="S154" s="66"/>
      <c r="T154" s="5">
        <f t="shared" si="53"/>
        <v>11.250000000000011</v>
      </c>
      <c r="U154" s="12">
        <f t="shared" si="43"/>
        <v>19007.786768111717</v>
      </c>
      <c r="V154" s="12">
        <f t="shared" si="38"/>
        <v>993570.56474355492</v>
      </c>
    </row>
    <row r="155" spans="1:22">
      <c r="A155" s="5">
        <f t="shared" si="44"/>
        <v>11.333333333333345</v>
      </c>
      <c r="B155" s="4">
        <f t="shared" si="36"/>
        <v>1.5407367848922205E-3</v>
      </c>
      <c r="C155" s="4">
        <f t="shared" si="37"/>
        <v>3.636093952254422E-3</v>
      </c>
      <c r="D155" s="4">
        <f t="shared" si="45"/>
        <v>7.7036839244611034E-5</v>
      </c>
      <c r="E155" s="4">
        <f t="shared" si="46"/>
        <v>1.5407367848922207E-4</v>
      </c>
      <c r="F155" s="4">
        <f t="shared" si="47"/>
        <v>3.636093952254422E-3</v>
      </c>
      <c r="G155" s="4">
        <f t="shared" si="47"/>
        <v>7.7036839244611034E-5</v>
      </c>
      <c r="H155" s="4">
        <f t="shared" si="48"/>
        <v>4.3633127427053064E-3</v>
      </c>
      <c r="I155" s="4">
        <f t="shared" si="49"/>
        <v>0.96137663185088584</v>
      </c>
      <c r="J155" s="4">
        <f t="shared" si="50"/>
        <v>1.0607734072894063E-2</v>
      </c>
      <c r="K155" s="4">
        <f t="shared" si="51"/>
        <v>2.7483366062787527E-2</v>
      </c>
      <c r="L155" s="4">
        <f t="shared" si="52"/>
        <v>5.3226801343290065E-4</v>
      </c>
      <c r="N155" s="10">
        <f t="shared" si="39"/>
        <v>0.55302933927898823</v>
      </c>
      <c r="O155" s="66">
        <v>2</v>
      </c>
      <c r="P155" s="10">
        <f t="shared" si="40"/>
        <v>4.0661086765946793E-3</v>
      </c>
      <c r="Q155" s="10">
        <f t="shared" si="41"/>
        <v>8.6147433092516697E-5</v>
      </c>
      <c r="R155" s="10">
        <f t="shared" si="42"/>
        <v>1.2204141376487542E-2</v>
      </c>
      <c r="S155" s="66"/>
      <c r="T155" s="5">
        <f t="shared" si="53"/>
        <v>11.333333333333345</v>
      </c>
      <c r="U155" s="12">
        <f t="shared" si="43"/>
        <v>19143.912809764526</v>
      </c>
      <c r="V155" s="12">
        <f t="shared" si="38"/>
        <v>991640.80915968807</v>
      </c>
    </row>
    <row r="156" spans="1:22">
      <c r="A156" s="5">
        <f t="shared" si="44"/>
        <v>11.416666666666679</v>
      </c>
      <c r="B156" s="4">
        <f t="shared" si="36"/>
        <v>1.5541233169821861E-3</v>
      </c>
      <c r="C156" s="4">
        <f t="shared" si="37"/>
        <v>3.659703080459415E-3</v>
      </c>
      <c r="D156" s="4">
        <f t="shared" si="45"/>
        <v>7.7706165849109312E-5</v>
      </c>
      <c r="E156" s="4">
        <f t="shared" si="46"/>
        <v>1.5541233169821862E-4</v>
      </c>
      <c r="F156" s="4">
        <f t="shared" si="47"/>
        <v>3.659703080459415E-3</v>
      </c>
      <c r="G156" s="4">
        <f t="shared" si="47"/>
        <v>7.7706165849109312E-5</v>
      </c>
      <c r="H156" s="4">
        <f t="shared" si="48"/>
        <v>4.3916436965512982E-3</v>
      </c>
      <c r="I156" s="4">
        <f t="shared" si="49"/>
        <v>0.96095585592237154</v>
      </c>
      <c r="J156" s="4">
        <f t="shared" si="50"/>
        <v>1.0727751244911172E-2</v>
      </c>
      <c r="K156" s="4">
        <f t="shared" si="51"/>
        <v>2.7778078473323097E-2</v>
      </c>
      <c r="L156" s="4">
        <f t="shared" si="52"/>
        <v>5.3831435939460069E-4</v>
      </c>
      <c r="N156" s="10">
        <f t="shared" si="39"/>
        <v>0.55054430340968519</v>
      </c>
      <c r="O156" s="66">
        <v>4</v>
      </c>
      <c r="P156" s="10">
        <f t="shared" si="40"/>
        <v>8.1492859034897093E-3</v>
      </c>
      <c r="Q156" s="10">
        <f t="shared" si="41"/>
        <v>1.7303309805365025E-4</v>
      </c>
      <c r="R156" s="10">
        <f t="shared" si="42"/>
        <v>2.4584281577068049E-2</v>
      </c>
      <c r="S156" s="66"/>
      <c r="T156" s="5">
        <f t="shared" si="53"/>
        <v>11.416666666666679</v>
      </c>
      <c r="U156" s="12">
        <f t="shared" si="43"/>
        <v>19279.652930971562</v>
      </c>
      <c r="V156" s="12">
        <f t="shared" si="38"/>
        <v>989704.46323555207</v>
      </c>
    </row>
    <row r="157" spans="1:22">
      <c r="A157" s="5">
        <f t="shared" si="44"/>
        <v>11.500000000000012</v>
      </c>
      <c r="B157" s="4">
        <f t="shared" si="36"/>
        <v>1.5676669398609899E-3</v>
      </c>
      <c r="C157" s="4">
        <f t="shared" si="37"/>
        <v>3.6834899427958105E-3</v>
      </c>
      <c r="D157" s="4">
        <f t="shared" si="45"/>
        <v>7.8383346993049499E-5</v>
      </c>
      <c r="E157" s="4">
        <f t="shared" si="46"/>
        <v>1.56766693986099E-4</v>
      </c>
      <c r="F157" s="4">
        <f t="shared" si="47"/>
        <v>3.6834899427958105E-3</v>
      </c>
      <c r="G157" s="4">
        <f t="shared" si="47"/>
        <v>7.8383346993049499E-5</v>
      </c>
      <c r="H157" s="4">
        <f t="shared" si="48"/>
        <v>4.4201879313549722E-3</v>
      </c>
      <c r="I157" s="4">
        <f t="shared" si="49"/>
        <v>0.96053225075748294</v>
      </c>
      <c r="J157" s="4">
        <f t="shared" si="50"/>
        <v>1.0848724801640326E-2</v>
      </c>
      <c r="K157" s="4">
        <f t="shared" si="51"/>
        <v>2.8074614937926866E-2</v>
      </c>
      <c r="L157" s="4">
        <f t="shared" si="52"/>
        <v>5.4440950295028432E-4</v>
      </c>
      <c r="N157" s="10">
        <f t="shared" si="39"/>
        <v>0.54806871462984685</v>
      </c>
      <c r="O157" s="66">
        <v>2</v>
      </c>
      <c r="P157" s="10">
        <f t="shared" si="40"/>
        <v>4.0832139680775049E-3</v>
      </c>
      <c r="Q157" s="10">
        <f t="shared" si="41"/>
        <v>8.6889331117260917E-5</v>
      </c>
      <c r="R157" s="10">
        <f t="shared" si="42"/>
        <v>1.2380316543705878E-2</v>
      </c>
      <c r="S157" s="66"/>
      <c r="T157" s="5">
        <f t="shared" si="53"/>
        <v>11.500000000000012</v>
      </c>
      <c r="U157" s="12">
        <f t="shared" si="43"/>
        <v>19414.997460859951</v>
      </c>
      <c r="V157" s="12">
        <f t="shared" si="38"/>
        <v>987761.50463086215</v>
      </c>
    </row>
    <row r="158" spans="1:22">
      <c r="A158" s="5">
        <f t="shared" si="44"/>
        <v>11.583333333333346</v>
      </c>
      <c r="B158" s="4">
        <f t="shared" si="36"/>
        <v>1.5813694969870999E-3</v>
      </c>
      <c r="C158" s="4">
        <f t="shared" si="37"/>
        <v>3.707455877280883E-3</v>
      </c>
      <c r="D158" s="4">
        <f t="shared" si="45"/>
        <v>7.9068474849354996E-5</v>
      </c>
      <c r="E158" s="4">
        <f t="shared" si="46"/>
        <v>1.5813694969870999E-4</v>
      </c>
      <c r="F158" s="4">
        <f t="shared" si="47"/>
        <v>3.707455877280883E-3</v>
      </c>
      <c r="G158" s="4">
        <f t="shared" si="47"/>
        <v>7.9068474849354996E-5</v>
      </c>
      <c r="H158" s="4">
        <f t="shared" si="48"/>
        <v>4.4489470527370595E-3</v>
      </c>
      <c r="I158" s="4">
        <f t="shared" si="49"/>
        <v>0.960105792878019</v>
      </c>
      <c r="J158" s="4">
        <f t="shared" si="50"/>
        <v>1.0970665002257168E-2</v>
      </c>
      <c r="K158" s="4">
        <f t="shared" si="51"/>
        <v>2.8372988141794356E-2</v>
      </c>
      <c r="L158" s="4">
        <f t="shared" si="52"/>
        <v>5.5055397792987126E-4</v>
      </c>
      <c r="N158" s="10">
        <f t="shared" si="39"/>
        <v>0.54560253039662376</v>
      </c>
      <c r="O158" s="66">
        <v>4</v>
      </c>
      <c r="P158" s="10">
        <f t="shared" si="40"/>
        <v>8.1836433418577357E-3</v>
      </c>
      <c r="Q158" s="10">
        <f t="shared" si="41"/>
        <v>1.7453159772365021E-4</v>
      </c>
      <c r="R158" s="10">
        <f t="shared" si="42"/>
        <v>2.4937345987352724E-2</v>
      </c>
      <c r="S158" s="66"/>
      <c r="T158" s="5">
        <f t="shared" si="53"/>
        <v>11.583333333333346</v>
      </c>
      <c r="U158" s="12">
        <f t="shared" si="43"/>
        <v>19549.936635956612</v>
      </c>
      <c r="V158" s="12">
        <f t="shared" si="38"/>
        <v>985811.91088632226</v>
      </c>
    </row>
    <row r="159" spans="1:22">
      <c r="A159" s="5">
        <f t="shared" si="44"/>
        <v>11.66666666666668</v>
      </c>
      <c r="B159" s="4">
        <f t="shared" si="36"/>
        <v>1.5952328534519469E-3</v>
      </c>
      <c r="C159" s="4">
        <f t="shared" si="37"/>
        <v>3.731602232004774E-3</v>
      </c>
      <c r="D159" s="4">
        <f t="shared" si="45"/>
        <v>7.9761642672597347E-5</v>
      </c>
      <c r="E159" s="4">
        <f t="shared" si="46"/>
        <v>1.5952328534519469E-4</v>
      </c>
      <c r="F159" s="4">
        <f t="shared" si="47"/>
        <v>3.731602232004774E-3</v>
      </c>
      <c r="G159" s="4">
        <f t="shared" si="47"/>
        <v>7.9761642672597347E-5</v>
      </c>
      <c r="H159" s="4">
        <f t="shared" si="48"/>
        <v>4.4779226784057288E-3</v>
      </c>
      <c r="I159" s="4">
        <f t="shared" si="49"/>
        <v>0.95967645861863637</v>
      </c>
      <c r="J159" s="4">
        <f t="shared" si="50"/>
        <v>1.1093582207011184E-2</v>
      </c>
      <c r="K159" s="4">
        <f t="shared" si="51"/>
        <v>2.8673210850673925E-2</v>
      </c>
      <c r="L159" s="4">
        <f t="shared" si="52"/>
        <v>5.5674832367897319E-4</v>
      </c>
      <c r="N159" s="10">
        <f t="shared" si="39"/>
        <v>0.54314570833265086</v>
      </c>
      <c r="O159" s="66">
        <v>2</v>
      </c>
      <c r="P159" s="10">
        <f t="shared" si="40"/>
        <v>4.1004660046532289E-3</v>
      </c>
      <c r="Q159" s="10">
        <f t="shared" si="41"/>
        <v>8.7645971869454412E-5</v>
      </c>
      <c r="R159" s="10">
        <f t="shared" si="42"/>
        <v>1.2557214489655443E-2</v>
      </c>
      <c r="S159" s="66"/>
      <c r="T159" s="5">
        <f t="shared" si="53"/>
        <v>11.66666666666668</v>
      </c>
      <c r="U159" s="12">
        <f t="shared" si="43"/>
        <v>19684.460599749571</v>
      </c>
      <c r="V159" s="12">
        <f t="shared" si="38"/>
        <v>983855.65942217689</v>
      </c>
    </row>
    <row r="160" spans="1:22">
      <c r="A160" s="5">
        <f t="shared" si="44"/>
        <v>11.750000000000014</v>
      </c>
      <c r="B160" s="4">
        <f t="shared" si="36"/>
        <v>1.6092588962337859E-3</v>
      </c>
      <c r="C160" s="4">
        <f t="shared" si="37"/>
        <v>3.755930365206299E-3</v>
      </c>
      <c r="D160" s="4">
        <f t="shared" si="45"/>
        <v>8.0462944811689297E-5</v>
      </c>
      <c r="E160" s="4">
        <f t="shared" si="46"/>
        <v>1.6092588962337859E-4</v>
      </c>
      <c r="F160" s="4">
        <f t="shared" si="47"/>
        <v>3.755930365206299E-3</v>
      </c>
      <c r="G160" s="4">
        <f t="shared" si="47"/>
        <v>8.0462944811689297E-5</v>
      </c>
      <c r="H160" s="4">
        <f t="shared" si="48"/>
        <v>4.5071164382475583E-3</v>
      </c>
      <c r="I160" s="4">
        <f t="shared" si="49"/>
        <v>0.95924422412559052</v>
      </c>
      <c r="J160" s="4">
        <f t="shared" si="50"/>
        <v>1.1217486878038549E-2</v>
      </c>
      <c r="K160" s="4">
        <f t="shared" si="51"/>
        <v>2.8975295911261686E-2</v>
      </c>
      <c r="L160" s="4">
        <f t="shared" si="52"/>
        <v>5.6299308510970912E-4</v>
      </c>
      <c r="N160" s="10">
        <f t="shared" si="39"/>
        <v>0.54069820622543241</v>
      </c>
      <c r="O160" s="66">
        <v>4</v>
      </c>
      <c r="P160" s="10">
        <f t="shared" si="40"/>
        <v>8.2182938252153229E-3</v>
      </c>
      <c r="Q160" s="10">
        <f t="shared" si="41"/>
        <v>1.7605973971996858E-4</v>
      </c>
      <c r="R160" s="10">
        <f t="shared" si="42"/>
        <v>2.5291890764697119E-2</v>
      </c>
      <c r="S160" s="66"/>
      <c r="T160" s="5">
        <f t="shared" si="53"/>
        <v>11.750000000000014</v>
      </c>
      <c r="U160" s="12">
        <f t="shared" si="43"/>
        <v>19818.559402254548</v>
      </c>
      <c r="V160" s="12">
        <f t="shared" si="38"/>
        <v>981892.72753673978</v>
      </c>
    </row>
    <row r="161" spans="1:22">
      <c r="A161" s="5">
        <f t="shared" si="44"/>
        <v>11.833333333333348</v>
      </c>
      <c r="B161" s="4">
        <f t="shared" si="36"/>
        <v>1.6234495344545383E-3</v>
      </c>
      <c r="C161" s="4">
        <f t="shared" si="37"/>
        <v>3.7804416453493658E-3</v>
      </c>
      <c r="D161" s="4">
        <f t="shared" si="45"/>
        <v>8.1172476722726915E-5</v>
      </c>
      <c r="E161" s="4">
        <f t="shared" si="46"/>
        <v>1.6234495344545383E-4</v>
      </c>
      <c r="F161" s="4">
        <f t="shared" si="47"/>
        <v>3.7804416453493658E-3</v>
      </c>
      <c r="G161" s="4">
        <f t="shared" si="47"/>
        <v>8.1172476722726915E-5</v>
      </c>
      <c r="H161" s="4">
        <f t="shared" si="48"/>
        <v>4.536529974419239E-3</v>
      </c>
      <c r="I161" s="4">
        <f t="shared" si="49"/>
        <v>0.95880906535547472</v>
      </c>
      <c r="J161" s="4">
        <f t="shared" si="50"/>
        <v>1.1342389580177355E-2</v>
      </c>
      <c r="K161" s="4">
        <f t="shared" si="51"/>
        <v>2.9279256251596445E-2</v>
      </c>
      <c r="L161" s="4">
        <f t="shared" si="52"/>
        <v>5.692888127518613E-4</v>
      </c>
      <c r="N161" s="10">
        <f t="shared" si="39"/>
        <v>0.5382599820267342</v>
      </c>
      <c r="O161" s="66">
        <v>2</v>
      </c>
      <c r="P161" s="10">
        <f t="shared" si="40"/>
        <v>4.117864337136682E-3</v>
      </c>
      <c r="Q161" s="10">
        <f t="shared" si="41"/>
        <v>8.8417512664101577E-5</v>
      </c>
      <c r="R161" s="10">
        <f t="shared" si="42"/>
        <v>1.2734870021912065E-2</v>
      </c>
      <c r="S161" s="66"/>
      <c r="T161" s="5">
        <f t="shared" si="53"/>
        <v>11.833333333333348</v>
      </c>
      <c r="U161" s="12">
        <f t="shared" si="43"/>
        <v>19952.222999587029</v>
      </c>
      <c r="V161" s="12">
        <f t="shared" si="38"/>
        <v>979923.0924049</v>
      </c>
    </row>
    <row r="162" spans="1:22">
      <c r="A162" s="5">
        <f t="shared" si="44"/>
        <v>11.916666666666682</v>
      </c>
      <c r="B162" s="4">
        <f t="shared" si="36"/>
        <v>1.6378066996396493E-3</v>
      </c>
      <c r="C162" s="4">
        <f t="shared" si="37"/>
        <v>3.8051374511999451E-3</v>
      </c>
      <c r="D162" s="4">
        <f t="shared" si="45"/>
        <v>8.1890334981982464E-5</v>
      </c>
      <c r="E162" s="4">
        <f t="shared" si="46"/>
        <v>1.6378066996396493E-4</v>
      </c>
      <c r="F162" s="4">
        <f t="shared" si="47"/>
        <v>3.8051374511999451E-3</v>
      </c>
      <c r="G162" s="4">
        <f t="shared" si="47"/>
        <v>8.1890334981982464E-5</v>
      </c>
      <c r="H162" s="4">
        <f t="shared" si="48"/>
        <v>4.566164941439934E-3</v>
      </c>
      <c r="I162" s="4">
        <f t="shared" si="49"/>
        <v>0.95837095807395634</v>
      </c>
      <c r="J162" s="4">
        <f t="shared" si="50"/>
        <v>1.14683009817851E-2</v>
      </c>
      <c r="K162" s="4">
        <f t="shared" si="51"/>
        <v>2.9585104881454626E-2</v>
      </c>
      <c r="L162" s="4">
        <f t="shared" si="52"/>
        <v>5.7563606280437241E-4</v>
      </c>
      <c r="N162" s="10">
        <f t="shared" si="39"/>
        <v>0.53583099385197952</v>
      </c>
      <c r="O162" s="66">
        <v>4</v>
      </c>
      <c r="P162" s="10">
        <f t="shared" si="40"/>
        <v>8.2532364391134615E-3</v>
      </c>
      <c r="Q162" s="10">
        <f t="shared" si="41"/>
        <v>1.776178404465715E-4</v>
      </c>
      <c r="R162" s="10">
        <f t="shared" si="42"/>
        <v>2.5647985515810399E-2</v>
      </c>
      <c r="S162" s="66"/>
      <c r="T162" s="5">
        <f t="shared" si="53"/>
        <v>11.916666666666682</v>
      </c>
      <c r="U162" s="12">
        <f t="shared" si="43"/>
        <v>20085.441253540037</v>
      </c>
      <c r="V162" s="12">
        <f t="shared" si="38"/>
        <v>977946.7310766041</v>
      </c>
    </row>
    <row r="163" spans="1:22">
      <c r="A163" s="5">
        <f t="shared" si="44"/>
        <v>12.000000000000016</v>
      </c>
      <c r="B163" s="4">
        <f t="shared" si="36"/>
        <v>1.6523323459809872E-3</v>
      </c>
      <c r="C163" s="4">
        <f t="shared" si="37"/>
        <v>3.8300191719036251E-3</v>
      </c>
      <c r="D163" s="4">
        <f t="shared" si="45"/>
        <v>8.2616617299049371E-5</v>
      </c>
      <c r="E163" s="4">
        <f t="shared" si="46"/>
        <v>1.6523323459809874E-4</v>
      </c>
      <c r="F163" s="4">
        <f t="shared" si="47"/>
        <v>3.8300191719036251E-3</v>
      </c>
      <c r="G163" s="4">
        <f t="shared" si="47"/>
        <v>8.2616617299049371E-5</v>
      </c>
      <c r="H163" s="4">
        <f t="shared" si="48"/>
        <v>4.5960230062843501E-3</v>
      </c>
      <c r="I163" s="4">
        <f t="shared" si="49"/>
        <v>0.95792987785450978</v>
      </c>
      <c r="J163" s="4">
        <f t="shared" si="50"/>
        <v>1.1595231855558347E-2</v>
      </c>
      <c r="K163" s="4">
        <f t="shared" si="51"/>
        <v>2.9892854892745124E-2</v>
      </c>
      <c r="L163" s="4">
        <f t="shared" si="52"/>
        <v>5.8203539718718457E-4</v>
      </c>
      <c r="N163" s="10">
        <f t="shared" si="39"/>
        <v>0.53341119997964936</v>
      </c>
      <c r="O163" s="66">
        <v>2</v>
      </c>
      <c r="P163" s="10">
        <f t="shared" si="40"/>
        <v>4.135408500140522E-3</v>
      </c>
      <c r="Q163" s="10">
        <f t="shared" si="41"/>
        <v>8.9204112589737794E-5</v>
      </c>
      <c r="R163" s="10">
        <f t="shared" si="42"/>
        <v>1.2913317939238587E-2</v>
      </c>
      <c r="S163" s="66"/>
      <c r="T163" s="5">
        <f t="shared" si="53"/>
        <v>12.000000000000016</v>
      </c>
      <c r="U163" s="12">
        <f t="shared" si="43"/>
        <v>20218.203931167871</v>
      </c>
      <c r="V163" s="12">
        <f t="shared" si="38"/>
        <v>975963.62047531432</v>
      </c>
    </row>
    <row r="164" spans="1:22">
      <c r="A164" s="5">
        <f t="shared" si="44"/>
        <v>12.08333333333335</v>
      </c>
      <c r="B164" s="4">
        <f t="shared" si="36"/>
        <v>1.6670284506028438E-3</v>
      </c>
      <c r="C164" s="4">
        <f t="shared" si="37"/>
        <v>3.8550882070637615E-3</v>
      </c>
      <c r="D164" s="4">
        <f t="shared" si="45"/>
        <v>8.335142253014219E-5</v>
      </c>
      <c r="E164" s="4">
        <f t="shared" si="46"/>
        <v>1.6670284506028438E-4</v>
      </c>
      <c r="F164" s="4">
        <f t="shared" si="47"/>
        <v>3.8550882070637615E-3</v>
      </c>
      <c r="G164" s="4">
        <f t="shared" si="47"/>
        <v>8.335142253014219E-5</v>
      </c>
      <c r="H164" s="4">
        <f t="shared" si="48"/>
        <v>4.626105848476514E-3</v>
      </c>
      <c r="I164" s="4">
        <f t="shared" si="49"/>
        <v>0.95748580007714856</v>
      </c>
      <c r="J164" s="4">
        <f t="shared" si="50"/>
        <v>1.1723193079354436E-2</v>
      </c>
      <c r="K164" s="4">
        <f t="shared" si="51"/>
        <v>3.0202519459904077E-2</v>
      </c>
      <c r="L164" s="4">
        <f t="shared" si="52"/>
        <v>5.8848738359341718E-4</v>
      </c>
      <c r="N164" s="10">
        <f t="shared" si="39"/>
        <v>0.53100055885068942</v>
      </c>
      <c r="O164" s="66">
        <v>4</v>
      </c>
      <c r="P164" s="10">
        <f t="shared" si="40"/>
        <v>8.2884702362025203E-3</v>
      </c>
      <c r="Q164" s="10">
        <f t="shared" si="41"/>
        <v>1.7920621985259737E-4</v>
      </c>
      <c r="R164" s="10">
        <f t="shared" si="42"/>
        <v>2.600569982823835E-2</v>
      </c>
      <c r="S164" s="66"/>
      <c r="T164" s="5">
        <f t="shared" si="53"/>
        <v>12.08333333333335</v>
      </c>
      <c r="U164" s="12">
        <f t="shared" si="43"/>
        <v>20350.500704376023</v>
      </c>
      <c r="V164" s="12">
        <f t="shared" si="38"/>
        <v>973973.73739644315</v>
      </c>
    </row>
    <row r="165" spans="1:22">
      <c r="A165" s="5">
        <f t="shared" si="44"/>
        <v>12.166666666666684</v>
      </c>
      <c r="B165" s="4">
        <f t="shared" si="36"/>
        <v>1.6818970138310367E-3</v>
      </c>
      <c r="C165" s="4">
        <f t="shared" si="37"/>
        <v>3.8803459668201893E-3</v>
      </c>
      <c r="D165" s="4">
        <f t="shared" si="45"/>
        <v>8.409485069155184E-5</v>
      </c>
      <c r="E165" s="4">
        <f t="shared" si="46"/>
        <v>1.6818970138310368E-4</v>
      </c>
      <c r="F165" s="4">
        <f t="shared" si="47"/>
        <v>3.8803459668201893E-3</v>
      </c>
      <c r="G165" s="4">
        <f t="shared" si="47"/>
        <v>8.409485069155184E-5</v>
      </c>
      <c r="H165" s="4">
        <f t="shared" si="48"/>
        <v>4.6564151601842267E-3</v>
      </c>
      <c r="I165" s="4">
        <f t="shared" si="49"/>
        <v>0.95703869992715407</v>
      </c>
      <c r="J165" s="4">
        <f t="shared" si="50"/>
        <v>1.1852195637015119E-2</v>
      </c>
      <c r="K165" s="4">
        <f t="shared" si="51"/>
        <v>3.0514111840289473E-2</v>
      </c>
      <c r="L165" s="4">
        <f t="shared" si="52"/>
        <v>5.9499259554188428E-4</v>
      </c>
      <c r="N165" s="10">
        <f t="shared" si="39"/>
        <v>0.52859902906791989</v>
      </c>
      <c r="O165" s="66">
        <v>2</v>
      </c>
      <c r="P165" s="10">
        <f t="shared" si="40"/>
        <v>4.1530980115766884E-3</v>
      </c>
      <c r="Q165" s="10">
        <f t="shared" si="41"/>
        <v>9.0005932506354377E-5</v>
      </c>
      <c r="R165" s="10">
        <f t="shared" si="42"/>
        <v>1.3092593029991577E-2</v>
      </c>
      <c r="S165" s="66"/>
      <c r="T165" s="5">
        <f t="shared" si="53"/>
        <v>12.166666666666684</v>
      </c>
      <c r="U165" s="12">
        <f t="shared" si="43"/>
        <v>20482.32114951752</v>
      </c>
      <c r="V165" s="12">
        <f t="shared" si="38"/>
        <v>971977.05850576272</v>
      </c>
    </row>
    <row r="166" spans="1:22">
      <c r="A166" s="5">
        <f t="shared" si="44"/>
        <v>12.250000000000018</v>
      </c>
      <c r="B166" s="4">
        <f t="shared" si="36"/>
        <v>1.6969400594651792E-3</v>
      </c>
      <c r="C166" s="4">
        <f t="shared" si="37"/>
        <v>3.9057938719285522E-3</v>
      </c>
      <c r="D166" s="4">
        <f t="shared" si="45"/>
        <v>8.4847002973258964E-5</v>
      </c>
      <c r="E166" s="4">
        <f t="shared" si="46"/>
        <v>1.6969400594651793E-4</v>
      </c>
      <c r="F166" s="4">
        <f t="shared" si="47"/>
        <v>3.9057938719285522E-3</v>
      </c>
      <c r="G166" s="4">
        <f t="shared" si="47"/>
        <v>8.4847002973258964E-5</v>
      </c>
      <c r="H166" s="4">
        <f t="shared" si="48"/>
        <v>4.6869526463142628E-3</v>
      </c>
      <c r="I166" s="4">
        <f t="shared" si="49"/>
        <v>0.95658855239380303</v>
      </c>
      <c r="J166" s="4">
        <f t="shared" si="50"/>
        <v>1.1982250619192017E-2</v>
      </c>
      <c r="K166" s="4">
        <f t="shared" si="51"/>
        <v>3.0827645374575583E-2</v>
      </c>
      <c r="L166" s="4">
        <f t="shared" si="52"/>
        <v>6.0155161242995048E-4</v>
      </c>
      <c r="N166" s="10">
        <f t="shared" si="39"/>
        <v>0.52620656939545207</v>
      </c>
      <c r="O166" s="66">
        <v>4</v>
      </c>
      <c r="P166" s="10">
        <f t="shared" si="40"/>
        <v>8.3239942352260361E-3</v>
      </c>
      <c r="Q166" s="10">
        <f t="shared" si="41"/>
        <v>1.8082520142745861E-4</v>
      </c>
      <c r="R166" s="10">
        <f t="shared" si="42"/>
        <v>2.636510326695149E-2</v>
      </c>
      <c r="S166" s="66"/>
      <c r="T166" s="5">
        <f t="shared" si="53"/>
        <v>12.250000000000018</v>
      </c>
      <c r="U166" s="12">
        <f t="shared" si="43"/>
        <v>20613.654746995951</v>
      </c>
      <c r="V166" s="12">
        <f t="shared" si="38"/>
        <v>969973.56033778959</v>
      </c>
    </row>
    <row r="167" spans="1:22">
      <c r="A167" s="5">
        <f t="shared" si="44"/>
        <v>12.333333333333352</v>
      </c>
      <c r="B167" s="4">
        <f t="shared" si="36"/>
        <v>1.7121596350541551E-3</v>
      </c>
      <c r="C167" s="4">
        <f t="shared" si="37"/>
        <v>3.9314333538402269E-3</v>
      </c>
      <c r="D167" s="4">
        <f t="shared" si="45"/>
        <v>8.5607981752707757E-5</v>
      </c>
      <c r="E167" s="4">
        <f t="shared" si="46"/>
        <v>1.7121596350541551E-4</v>
      </c>
      <c r="F167" s="4">
        <f t="shared" si="47"/>
        <v>3.9314333538402269E-3</v>
      </c>
      <c r="G167" s="4">
        <f t="shared" si="47"/>
        <v>8.5607981752707757E-5</v>
      </c>
      <c r="H167" s="4">
        <f t="shared" si="48"/>
        <v>4.7177200246082719E-3</v>
      </c>
      <c r="I167" s="4">
        <f t="shared" si="49"/>
        <v>0.95613533226909286</v>
      </c>
      <c r="J167" s="4">
        <f t="shared" si="50"/>
        <v>1.2113369224173748E-2</v>
      </c>
      <c r="K167" s="4">
        <f t="shared" si="51"/>
        <v>3.1143133487147156E-2</v>
      </c>
      <c r="L167" s="4">
        <f t="shared" si="52"/>
        <v>6.0816501958672398E-4</v>
      </c>
      <c r="N167" s="10">
        <f t="shared" si="39"/>
        <v>0.52382313875810949</v>
      </c>
      <c r="O167" s="66">
        <v>2</v>
      </c>
      <c r="P167" s="10">
        <f t="shared" si="40"/>
        <v>4.1709323721487177E-3</v>
      </c>
      <c r="Q167" s="10">
        <f t="shared" si="41"/>
        <v>9.0823135042567617E-5</v>
      </c>
      <c r="R167" s="10">
        <f t="shared" si="42"/>
        <v>1.3272730070300926E-2</v>
      </c>
      <c r="S167" s="66"/>
      <c r="T167" s="5">
        <f t="shared" si="53"/>
        <v>12.333333333333352</v>
      </c>
      <c r="U167" s="12">
        <f t="shared" si="43"/>
        <v>20744.49088087543</v>
      </c>
      <c r="V167" s="12">
        <f t="shared" si="38"/>
        <v>967963.21929414361</v>
      </c>
    </row>
    <row r="168" spans="1:22">
      <c r="A168" s="5">
        <f t="shared" si="44"/>
        <v>12.416666666666686</v>
      </c>
      <c r="B168" s="4">
        <f t="shared" si="36"/>
        <v>1.7275578121748038E-3</v>
      </c>
      <c r="C168" s="4">
        <f t="shared" si="37"/>
        <v>3.9572658547828293E-3</v>
      </c>
      <c r="D168" s="4">
        <f t="shared" si="45"/>
        <v>8.6377890608740188E-5</v>
      </c>
      <c r="E168" s="4">
        <f t="shared" si="46"/>
        <v>1.7275578121748038E-4</v>
      </c>
      <c r="F168" s="4">
        <f t="shared" si="47"/>
        <v>3.9572658547828293E-3</v>
      </c>
      <c r="G168" s="4">
        <f t="shared" si="47"/>
        <v>8.6377890608740188E-5</v>
      </c>
      <c r="H168" s="4">
        <f t="shared" si="48"/>
        <v>4.7487190257393952E-3</v>
      </c>
      <c r="I168" s="4">
        <f t="shared" si="49"/>
        <v>0.95567901414646594</v>
      </c>
      <c r="J168" s="4">
        <f t="shared" si="50"/>
        <v>1.2245562758714615E-2</v>
      </c>
      <c r="K168" s="4">
        <f t="shared" si="51"/>
        <v>3.1460589686493345E-2</v>
      </c>
      <c r="L168" s="4">
        <f t="shared" si="52"/>
        <v>6.1483340832658626E-4</v>
      </c>
      <c r="N168" s="10">
        <f t="shared" si="39"/>
        <v>0.52144869624085333</v>
      </c>
      <c r="O168" s="66">
        <v>4</v>
      </c>
      <c r="P168" s="10">
        <f t="shared" si="40"/>
        <v>8.3598074199962413E-3</v>
      </c>
      <c r="Q168" s="10">
        <f t="shared" si="41"/>
        <v>1.8247511219440121E-4</v>
      </c>
      <c r="R168" s="10">
        <f t="shared" si="42"/>
        <v>2.67262653704716E-2</v>
      </c>
      <c r="S168" s="66"/>
      <c r="T168" s="5">
        <f t="shared" si="53"/>
        <v>12.416666666666686</v>
      </c>
      <c r="U168" s="12">
        <f t="shared" si="43"/>
        <v>20874.818838497762</v>
      </c>
      <c r="V168" s="12">
        <f t="shared" si="38"/>
        <v>965946.01164188166</v>
      </c>
    </row>
    <row r="169" spans="1:22">
      <c r="A169" s="5">
        <f t="shared" si="44"/>
        <v>12.50000000000002</v>
      </c>
      <c r="B169" s="4">
        <f t="shared" si="36"/>
        <v>1.7431366867138964E-3</v>
      </c>
      <c r="C169" s="4">
        <f t="shared" si="37"/>
        <v>3.9832928278413495E-3</v>
      </c>
      <c r="D169" s="4">
        <f t="shared" si="45"/>
        <v>8.7156834335694829E-5</v>
      </c>
      <c r="E169" s="4">
        <f t="shared" si="46"/>
        <v>1.7431366867138966E-4</v>
      </c>
      <c r="F169" s="4">
        <f t="shared" si="47"/>
        <v>3.9832928278413495E-3</v>
      </c>
      <c r="G169" s="4">
        <f t="shared" si="47"/>
        <v>8.7156834335694829E-5</v>
      </c>
      <c r="H169" s="4">
        <f t="shared" si="48"/>
        <v>4.7799513934096193E-3</v>
      </c>
      <c r="I169" s="4">
        <f t="shared" si="49"/>
        <v>0.95521957241953137</v>
      </c>
      <c r="J169" s="4">
        <f t="shared" si="50"/>
        <v>1.2378842638864726E-2</v>
      </c>
      <c r="K169" s="4">
        <f t="shared" si="51"/>
        <v>3.1780027565601325E-2</v>
      </c>
      <c r="L169" s="4">
        <f t="shared" si="52"/>
        <v>6.2155737600305683E-4</v>
      </c>
      <c r="N169" s="10">
        <f t="shared" si="39"/>
        <v>0.51908320108821404</v>
      </c>
      <c r="O169" s="66">
        <v>2</v>
      </c>
      <c r="P169" s="10">
        <f t="shared" si="40"/>
        <v>4.1889110648349265E-3</v>
      </c>
      <c r="Q169" s="10">
        <f t="shared" si="41"/>
        <v>9.1655884592002176E-5</v>
      </c>
      <c r="R169" s="10">
        <f t="shared" si="42"/>
        <v>1.3453763822014816E-2</v>
      </c>
      <c r="S169" s="66"/>
      <c r="T169" s="5">
        <f t="shared" si="53"/>
        <v>12.50000000000002</v>
      </c>
      <c r="U169" s="12">
        <f t="shared" si="43"/>
        <v>21004.627810107075</v>
      </c>
      <c r="V169" s="12">
        <f t="shared" si="38"/>
        <v>963921.913511805</v>
      </c>
    </row>
    <row r="170" spans="1:22">
      <c r="A170" s="5">
        <f t="shared" si="44"/>
        <v>12.583333333333353</v>
      </c>
      <c r="B170" s="4">
        <f t="shared" si="36"/>
        <v>1.7588983791534053E-3</v>
      </c>
      <c r="C170" s="4">
        <f t="shared" si="37"/>
        <v>4.0095157370398822E-3</v>
      </c>
      <c r="D170" s="4">
        <f t="shared" si="45"/>
        <v>8.7944918957670278E-5</v>
      </c>
      <c r="E170" s="4">
        <f t="shared" si="46"/>
        <v>1.7588983791534056E-4</v>
      </c>
      <c r="F170" s="4">
        <f t="shared" si="47"/>
        <v>4.0095157370398822E-3</v>
      </c>
      <c r="G170" s="4">
        <f t="shared" si="47"/>
        <v>8.7944918957670278E-5</v>
      </c>
      <c r="H170" s="4">
        <f t="shared" si="48"/>
        <v>4.8114188844478583E-3</v>
      </c>
      <c r="I170" s="4">
        <f t="shared" si="49"/>
        <v>0.95475698128078657</v>
      </c>
      <c r="J170" s="4">
        <f t="shared" si="50"/>
        <v>1.2513220390801379E-2</v>
      </c>
      <c r="K170" s="4">
        <f t="shared" si="51"/>
        <v>3.2101460802349518E-2</v>
      </c>
      <c r="L170" s="4">
        <f t="shared" si="52"/>
        <v>6.2833752606299153E-4</v>
      </c>
      <c r="N170" s="10">
        <f t="shared" si="39"/>
        <v>0.51672661270372688</v>
      </c>
      <c r="O170" s="66">
        <v>4</v>
      </c>
      <c r="P170" s="10">
        <f t="shared" si="40"/>
        <v>8.3959087383510423E-3</v>
      </c>
      <c r="Q170" s="10">
        <f t="shared" si="41"/>
        <v>1.8415628270245987E-4</v>
      </c>
      <c r="R170" s="10">
        <f t="shared" si="42"/>
        <v>2.7089255646521121E-2</v>
      </c>
      <c r="S170" s="66"/>
      <c r="T170" s="5">
        <f t="shared" si="53"/>
        <v>12.583333333333353</v>
      </c>
      <c r="U170" s="12">
        <f t="shared" si="43"/>
        <v>21133.906888482205</v>
      </c>
      <c r="V170" s="12">
        <f t="shared" si="38"/>
        <v>961890.90089673956</v>
      </c>
    </row>
    <row r="171" spans="1:22">
      <c r="A171" s="5">
        <f t="shared" si="44"/>
        <v>12.666666666666687</v>
      </c>
      <c r="B171" s="4">
        <f t="shared" si="36"/>
        <v>1.7748450348591355E-3</v>
      </c>
      <c r="C171" s="4">
        <f t="shared" si="37"/>
        <v>4.0359360574239852E-3</v>
      </c>
      <c r="D171" s="4">
        <f t="shared" si="45"/>
        <v>8.8742251742956774E-5</v>
      </c>
      <c r="E171" s="4">
        <f t="shared" si="46"/>
        <v>1.7748450348591355E-4</v>
      </c>
      <c r="F171" s="4">
        <f t="shared" si="47"/>
        <v>4.0359360574239852E-3</v>
      </c>
      <c r="G171" s="4">
        <f t="shared" si="47"/>
        <v>8.8742251742956774E-5</v>
      </c>
      <c r="H171" s="4">
        <f t="shared" si="48"/>
        <v>4.8431232689087819E-3</v>
      </c>
      <c r="I171" s="4">
        <f t="shared" si="49"/>
        <v>0.95429121472033729</v>
      </c>
      <c r="J171" s="4">
        <f t="shared" si="50"/>
        <v>1.2648707651661605E-2</v>
      </c>
      <c r="K171" s="4">
        <f t="shared" si="51"/>
        <v>3.242490315990041E-2</v>
      </c>
      <c r="L171" s="4">
        <f t="shared" si="52"/>
        <v>6.3517446810111404E-4</v>
      </c>
      <c r="N171" s="10">
        <f t="shared" si="39"/>
        <v>0.51437889064937437</v>
      </c>
      <c r="O171" s="66">
        <v>2</v>
      </c>
      <c r="P171" s="10">
        <f t="shared" si="40"/>
        <v>4.2070335543621818E-3</v>
      </c>
      <c r="Q171" s="10">
        <f t="shared" si="41"/>
        <v>9.2504347308853939E-5</v>
      </c>
      <c r="R171" s="10">
        <f t="shared" si="42"/>
        <v>1.3635729030402218E-2</v>
      </c>
      <c r="S171" s="66"/>
      <c r="T171" s="5">
        <f t="shared" si="53"/>
        <v>12.666666666666687</v>
      </c>
      <c r="U171" s="12">
        <f t="shared" si="43"/>
        <v>21262.645068577087</v>
      </c>
      <c r="V171" s="12">
        <f t="shared" si="38"/>
        <v>959852.94964979007</v>
      </c>
    </row>
    <row r="172" spans="1:22">
      <c r="A172" s="5">
        <f t="shared" si="44"/>
        <v>12.750000000000021</v>
      </c>
      <c r="B172" s="4">
        <f t="shared" si="36"/>
        <v>1.7909788243727365E-3</v>
      </c>
      <c r="C172" s="4">
        <f t="shared" si="37"/>
        <v>4.062555275143649E-3</v>
      </c>
      <c r="D172" s="4">
        <f t="shared" si="45"/>
        <v>8.9548941218636833E-5</v>
      </c>
      <c r="E172" s="4">
        <f t="shared" si="46"/>
        <v>1.7909788243727367E-4</v>
      </c>
      <c r="F172" s="4">
        <f t="shared" si="47"/>
        <v>4.062555275143649E-3</v>
      </c>
      <c r="G172" s="4">
        <f t="shared" si="47"/>
        <v>8.9548941218636833E-5</v>
      </c>
      <c r="H172" s="4">
        <f t="shared" si="48"/>
        <v>4.875066330172379E-3</v>
      </c>
      <c r="I172" s="4">
        <f t="shared" si="49"/>
        <v>0.95382224652461689</v>
      </c>
      <c r="J172" s="4">
        <f t="shared" si="50"/>
        <v>1.2785316170375687E-2</v>
      </c>
      <c r="K172" s="4">
        <f t="shared" si="51"/>
        <v>3.275036848709293E-2</v>
      </c>
      <c r="L172" s="4">
        <f t="shared" si="52"/>
        <v>6.420688179148786E-4</v>
      </c>
      <c r="N172" s="10">
        <f t="shared" si="39"/>
        <v>0.5120399946450318</v>
      </c>
      <c r="O172" s="66">
        <v>4</v>
      </c>
      <c r="P172" s="10">
        <f t="shared" si="40"/>
        <v>8.4322971010921954E-3</v>
      </c>
      <c r="Q172" s="10">
        <f t="shared" si="41"/>
        <v>1.858690470167417E-4</v>
      </c>
      <c r="R172" s="10">
        <f t="shared" si="42"/>
        <v>2.7454143567179828E-2</v>
      </c>
      <c r="S172" s="66"/>
      <c r="T172" s="5">
        <f t="shared" si="53"/>
        <v>12.750000000000021</v>
      </c>
      <c r="U172" s="12">
        <f t="shared" si="43"/>
        <v>21390.831247169484</v>
      </c>
      <c r="V172" s="12">
        <f t="shared" si="38"/>
        <v>957808.03548256576</v>
      </c>
    </row>
    <row r="173" spans="1:22">
      <c r="A173" s="5">
        <f t="shared" si="44"/>
        <v>12.833333333333355</v>
      </c>
      <c r="B173" s="4">
        <f t="shared" si="36"/>
        <v>1.8073019437071299E-3</v>
      </c>
      <c r="C173" s="4">
        <f t="shared" si="37"/>
        <v>4.0893748875368867E-3</v>
      </c>
      <c r="D173" s="4">
        <f t="shared" si="45"/>
        <v>9.0365097185356503E-5</v>
      </c>
      <c r="E173" s="4">
        <f t="shared" si="46"/>
        <v>1.8073019437071301E-4</v>
      </c>
      <c r="F173" s="4">
        <f t="shared" si="47"/>
        <v>4.0893748875368867E-3</v>
      </c>
      <c r="G173" s="4">
        <f t="shared" si="47"/>
        <v>9.0365097185356503E-5</v>
      </c>
      <c r="H173" s="4">
        <f t="shared" si="48"/>
        <v>4.9072498650442635E-3</v>
      </c>
      <c r="I173" s="4">
        <f t="shared" si="49"/>
        <v>0.95335005027510489</v>
      </c>
      <c r="J173" s="4">
        <f t="shared" si="50"/>
        <v>1.2923057808501542E-2</v>
      </c>
      <c r="K173" s="4">
        <f t="shared" si="51"/>
        <v>3.3077870718834279E-2</v>
      </c>
      <c r="L173" s="4">
        <f t="shared" si="52"/>
        <v>6.490211975596614E-4</v>
      </c>
      <c r="N173" s="10">
        <f t="shared" si="39"/>
        <v>0.50970988456791899</v>
      </c>
      <c r="O173" s="66">
        <v>2</v>
      </c>
      <c r="P173" s="10">
        <f t="shared" si="40"/>
        <v>4.225299286670257E-3</v>
      </c>
      <c r="Q173" s="10">
        <f t="shared" si="41"/>
        <v>9.3368691102603467E-5</v>
      </c>
      <c r="R173" s="10">
        <f t="shared" si="42"/>
        <v>1.3818660421605001E-2</v>
      </c>
      <c r="S173" s="66"/>
      <c r="T173" s="5">
        <f t="shared" si="53"/>
        <v>12.833333333333355</v>
      </c>
      <c r="U173" s="12">
        <f t="shared" si="43"/>
        <v>21518.454222518325</v>
      </c>
      <c r="V173" s="12">
        <f t="shared" si="38"/>
        <v>955756.13396337919</v>
      </c>
    </row>
    <row r="174" spans="1:22">
      <c r="A174" s="5">
        <f t="shared" si="44"/>
        <v>12.916666666666689</v>
      </c>
      <c r="B174" s="4">
        <f t="shared" si="36"/>
        <v>1.8238166146454259E-3</v>
      </c>
      <c r="C174" s="4">
        <f t="shared" si="37"/>
        <v>4.1163964032139644E-3</v>
      </c>
      <c r="D174" s="4">
        <f t="shared" si="45"/>
        <v>9.1190830732271302E-5</v>
      </c>
      <c r="E174" s="4">
        <f t="shared" si="46"/>
        <v>1.823816614645426E-4</v>
      </c>
      <c r="F174" s="4">
        <f t="shared" si="47"/>
        <v>4.1163964032139644E-3</v>
      </c>
      <c r="G174" s="4">
        <f t="shared" si="47"/>
        <v>9.1190830732271302E-5</v>
      </c>
      <c r="H174" s="4">
        <f t="shared" si="48"/>
        <v>4.939675683856757E-3</v>
      </c>
      <c r="I174" s="4">
        <f t="shared" si="49"/>
        <v>0.95287459934704499</v>
      </c>
      <c r="J174" s="4">
        <f t="shared" si="50"/>
        <v>1.3061944541059778E-2</v>
      </c>
      <c r="K174" s="4">
        <f t="shared" si="51"/>
        <v>3.3407423876491239E-2</v>
      </c>
      <c r="L174" s="4">
        <f t="shared" si="52"/>
        <v>6.56032235404281E-4</v>
      </c>
      <c r="N174" s="10">
        <f t="shared" si="39"/>
        <v>0.5073885204520574</v>
      </c>
      <c r="O174" s="66">
        <v>4</v>
      </c>
      <c r="P174" s="10">
        <f t="shared" si="40"/>
        <v>8.4689713809043624E-3</v>
      </c>
      <c r="Q174" s="10">
        <f t="shared" si="41"/>
        <v>1.8761374270697442E-4</v>
      </c>
      <c r="R174" s="10">
        <f t="shared" si="42"/>
        <v>2.7820998563532342E-2</v>
      </c>
      <c r="S174" s="66"/>
      <c r="T174" s="5">
        <f t="shared" si="53"/>
        <v>12.916666666666689</v>
      </c>
      <c r="U174" s="12">
        <f t="shared" si="43"/>
        <v>21645.502694029936</v>
      </c>
      <c r="V174" s="12">
        <f t="shared" si="38"/>
        <v>953697.220515416</v>
      </c>
    </row>
    <row r="175" spans="1:22">
      <c r="A175" s="5">
        <f t="shared" si="44"/>
        <v>13.000000000000023</v>
      </c>
      <c r="B175" s="4">
        <f t="shared" si="36"/>
        <v>1.8405250850433345E-3</v>
      </c>
      <c r="C175" s="4">
        <f t="shared" si="37"/>
        <v>4.1436213421422695E-3</v>
      </c>
      <c r="D175" s="4">
        <f t="shared" si="45"/>
        <v>9.2026254252166727E-5</v>
      </c>
      <c r="E175" s="4">
        <f t="shared" si="46"/>
        <v>1.8405250850433345E-4</v>
      </c>
      <c r="F175" s="4">
        <f t="shared" si="47"/>
        <v>4.1436213421422695E-3</v>
      </c>
      <c r="G175" s="4">
        <f t="shared" si="47"/>
        <v>9.2026254252166727E-5</v>
      </c>
      <c r="H175" s="4">
        <f t="shared" si="48"/>
        <v>4.9723456105707229E-3</v>
      </c>
      <c r="I175" s="4">
        <f t="shared" si="49"/>
        <v>0.95239586690816336</v>
      </c>
      <c r="J175" s="4">
        <f t="shared" si="50"/>
        <v>1.320198845736927E-2</v>
      </c>
      <c r="K175" s="4">
        <f t="shared" si="51"/>
        <v>3.3739042068280822E-2</v>
      </c>
      <c r="L175" s="4">
        <f t="shared" si="52"/>
        <v>6.6310256618684453E-4</v>
      </c>
      <c r="N175" s="10">
        <f t="shared" si="39"/>
        <v>0.50507586248773273</v>
      </c>
      <c r="O175" s="66">
        <v>2</v>
      </c>
      <c r="P175" s="10">
        <f t="shared" si="40"/>
        <v>4.2437076883665133E-3</v>
      </c>
      <c r="Q175" s="10">
        <f t="shared" si="41"/>
        <v>9.4249085631841175E-5</v>
      </c>
      <c r="R175" s="10">
        <f t="shared" si="42"/>
        <v>1.4002592699831302E-2</v>
      </c>
      <c r="S175" s="66"/>
      <c r="T175" s="5">
        <f t="shared" si="53"/>
        <v>13.000000000000023</v>
      </c>
      <c r="U175" s="12">
        <f t="shared" si="43"/>
        <v>21771.965261933521</v>
      </c>
      <c r="V175" s="12">
        <f t="shared" si="38"/>
        <v>951631.27041487629</v>
      </c>
    </row>
    <row r="176" spans="1:22">
      <c r="A176" s="5">
        <f t="shared" si="44"/>
        <v>13.083333333333357</v>
      </c>
      <c r="B176" s="4">
        <f t="shared" si="36"/>
        <v>1.8574296291351219E-3</v>
      </c>
      <c r="C176" s="4">
        <f t="shared" si="37"/>
        <v>4.1710512357317929E-3</v>
      </c>
      <c r="D176" s="4">
        <f t="shared" si="45"/>
        <v>9.2871481456756094E-5</v>
      </c>
      <c r="E176" s="4">
        <f t="shared" si="46"/>
        <v>1.8574296291351219E-4</v>
      </c>
      <c r="F176" s="4">
        <f t="shared" si="47"/>
        <v>4.1710512357317929E-3</v>
      </c>
      <c r="G176" s="4">
        <f t="shared" si="47"/>
        <v>9.2871481456756094E-5</v>
      </c>
      <c r="H176" s="4">
        <f t="shared" si="48"/>
        <v>5.0052614828781511E-3</v>
      </c>
      <c r="I176" s="4">
        <f t="shared" si="49"/>
        <v>0.95191382591738594</v>
      </c>
      <c r="J176" s="4">
        <f t="shared" si="50"/>
        <v>1.3343201761883118E-2</v>
      </c>
      <c r="K176" s="4">
        <f t="shared" si="51"/>
        <v>3.4072739489660303E-2</v>
      </c>
      <c r="L176" s="4">
        <f t="shared" si="52"/>
        <v>6.702328310709178E-4</v>
      </c>
      <c r="N176" s="10">
        <f t="shared" si="39"/>
        <v>0.50277187102096133</v>
      </c>
      <c r="O176" s="66">
        <v>4</v>
      </c>
      <c r="P176" s="10">
        <f t="shared" si="40"/>
        <v>8.5059304112548532E-3</v>
      </c>
      <c r="Q176" s="10">
        <f t="shared" si="41"/>
        <v>1.8939071083424805E-4</v>
      </c>
      <c r="R176" s="10">
        <f t="shared" si="42"/>
        <v>2.8189890019790022E-2</v>
      </c>
      <c r="S176" s="66"/>
      <c r="T176" s="5">
        <f t="shared" si="53"/>
        <v>13.083333333333357</v>
      </c>
      <c r="U176" s="12">
        <f t="shared" si="43"/>
        <v>21897.830426966182</v>
      </c>
      <c r="V176" s="12">
        <f t="shared" si="38"/>
        <v>949558.25878908683</v>
      </c>
    </row>
    <row r="177" spans="1:22">
      <c r="A177" s="5">
        <f t="shared" si="44"/>
        <v>13.166666666666691</v>
      </c>
      <c r="B177" s="4">
        <f t="shared" si="36"/>
        <v>1.8745325478431629E-3</v>
      </c>
      <c r="C177" s="4">
        <f t="shared" si="37"/>
        <v>4.1986876269212783E-3</v>
      </c>
      <c r="D177" s="4">
        <f t="shared" si="45"/>
        <v>9.3726627392158154E-5</v>
      </c>
      <c r="E177" s="4">
        <f t="shared" si="46"/>
        <v>1.8745325478431631E-4</v>
      </c>
      <c r="F177" s="4">
        <f t="shared" si="47"/>
        <v>4.1986876269212783E-3</v>
      </c>
      <c r="G177" s="4">
        <f t="shared" si="47"/>
        <v>9.3726627392158154E-5</v>
      </c>
      <c r="H177" s="4">
        <f t="shared" si="48"/>
        <v>5.0384251523055337E-3</v>
      </c>
      <c r="I177" s="4">
        <f t="shared" si="49"/>
        <v>0.95142844912355695</v>
      </c>
      <c r="J177" s="4">
        <f t="shared" si="50"/>
        <v>1.3485596775024767E-2</v>
      </c>
      <c r="K177" s="4">
        <f t="shared" si="51"/>
        <v>3.4408530423716499E-2</v>
      </c>
      <c r="L177" s="4">
        <f t="shared" si="52"/>
        <v>6.7742367770201768E-4</v>
      </c>
      <c r="N177" s="10">
        <f t="shared" si="39"/>
        <v>0.50047650655296383</v>
      </c>
      <c r="O177" s="66">
        <v>2</v>
      </c>
      <c r="P177" s="10">
        <f t="shared" si="40"/>
        <v>4.2622581661709031E-3</v>
      </c>
      <c r="Q177" s="10">
        <f t="shared" si="41"/>
        <v>9.5145702297174867E-5</v>
      </c>
      <c r="R177" s="10">
        <f t="shared" si="42"/>
        <v>1.4187560544281821E-2</v>
      </c>
      <c r="S177" s="66"/>
      <c r="T177" s="5">
        <f t="shared" si="53"/>
        <v>13.166666666666691</v>
      </c>
      <c r="U177" s="12">
        <f t="shared" si="43"/>
        <v>22023.086590067793</v>
      </c>
      <c r="V177" s="12">
        <f t="shared" si="38"/>
        <v>947478.16061458352</v>
      </c>
    </row>
    <row r="178" spans="1:22">
      <c r="A178" s="5">
        <f t="shared" si="44"/>
        <v>13.250000000000025</v>
      </c>
      <c r="B178" s="4">
        <f t="shared" si="36"/>
        <v>1.8918361690911322E-3</v>
      </c>
      <c r="C178" s="4">
        <f t="shared" si="37"/>
        <v>4.2265320702650228E-3</v>
      </c>
      <c r="D178" s="4">
        <f t="shared" si="45"/>
        <v>9.4591808454556612E-5</v>
      </c>
      <c r="E178" s="4">
        <f t="shared" si="46"/>
        <v>1.8918361690911322E-4</v>
      </c>
      <c r="F178" s="4">
        <f t="shared" si="47"/>
        <v>4.2265320702650228E-3</v>
      </c>
      <c r="G178" s="4">
        <f t="shared" si="47"/>
        <v>9.4591808454556612E-5</v>
      </c>
      <c r="H178" s="4">
        <f t="shared" si="48"/>
        <v>5.071838484318027E-3</v>
      </c>
      <c r="I178" s="4">
        <f t="shared" si="49"/>
        <v>0.95093970906415737</v>
      </c>
      <c r="J178" s="4">
        <f t="shared" si="50"/>
        <v>1.3629185934024169E-2</v>
      </c>
      <c r="K178" s="4">
        <f t="shared" si="51"/>
        <v>3.4746429241554279E-2</v>
      </c>
      <c r="L178" s="4">
        <f t="shared" si="52"/>
        <v>6.8467576026442567E-4</v>
      </c>
      <c r="N178" s="10">
        <f t="shared" si="39"/>
        <v>0.49818972973964204</v>
      </c>
      <c r="O178" s="66">
        <v>4</v>
      </c>
      <c r="P178" s="10">
        <f t="shared" si="40"/>
        <v>8.5431729852736959E-3</v>
      </c>
      <c r="Q178" s="10">
        <f t="shared" si="41"/>
        <v>1.9120029593587814E-4</v>
      </c>
      <c r="R178" s="10">
        <f t="shared" si="42"/>
        <v>2.8560887266869759E-2</v>
      </c>
      <c r="S178" s="66"/>
      <c r="T178" s="5">
        <f t="shared" si="53"/>
        <v>13.250000000000025</v>
      </c>
      <c r="U178" s="12">
        <f t="shared" si="43"/>
        <v>22147.722052086086</v>
      </c>
      <c r="V178" s="12">
        <f t="shared" si="38"/>
        <v>945390.95071516372</v>
      </c>
    </row>
    <row r="179" spans="1:22">
      <c r="A179" s="5">
        <f t="shared" si="44"/>
        <v>13.333333333333359</v>
      </c>
      <c r="B179" s="4">
        <f t="shared" si="36"/>
        <v>1.9093428481208581E-3</v>
      </c>
      <c r="C179" s="4">
        <f t="shared" si="37"/>
        <v>4.2545861320203004E-3</v>
      </c>
      <c r="D179" s="4">
        <f t="shared" si="45"/>
        <v>9.5467142406042917E-5</v>
      </c>
      <c r="E179" s="4">
        <f t="shared" si="46"/>
        <v>1.9093428481208583E-4</v>
      </c>
      <c r="F179" s="4">
        <f t="shared" si="47"/>
        <v>4.2545861320203004E-3</v>
      </c>
      <c r="G179" s="4">
        <f t="shared" si="47"/>
        <v>9.5467142406042917E-5</v>
      </c>
      <c r="H179" s="4">
        <f t="shared" si="48"/>
        <v>5.1055033584243605E-3</v>
      </c>
      <c r="I179" s="4">
        <f t="shared" si="49"/>
        <v>0.95044757806402391</v>
      </c>
      <c r="J179" s="4">
        <f t="shared" si="50"/>
        <v>1.3773981793753755E-2</v>
      </c>
      <c r="K179" s="4">
        <f t="shared" si="51"/>
        <v>3.5086450402684287E-2</v>
      </c>
      <c r="L179" s="4">
        <f t="shared" si="52"/>
        <v>6.9198973953831758E-4</v>
      </c>
      <c r="N179" s="10">
        <f t="shared" si="39"/>
        <v>0.49591150139106388</v>
      </c>
      <c r="O179" s="66">
        <v>2</v>
      </c>
      <c r="P179" s="10">
        <f t="shared" si="40"/>
        <v>4.280950106351036E-3</v>
      </c>
      <c r="Q179" s="10">
        <f t="shared" si="41"/>
        <v>9.6058714233177736E-5</v>
      </c>
      <c r="R179" s="10">
        <f t="shared" si="42"/>
        <v>1.4373598605800177E-2</v>
      </c>
      <c r="S179" s="66"/>
      <c r="T179" s="5">
        <f t="shared" si="53"/>
        <v>13.333333333333359</v>
      </c>
      <c r="U179" s="12">
        <f t="shared" si="43"/>
        <v>22271.725013492283</v>
      </c>
      <c r="V179" s="12">
        <f t="shared" si="38"/>
        <v>943296.60375990788</v>
      </c>
    </row>
    <row r="180" spans="1:22">
      <c r="A180" s="5">
        <f t="shared" si="44"/>
        <v>13.416666666666693</v>
      </c>
      <c r="B180" s="4">
        <f t="shared" si="36"/>
        <v>1.927054967812903E-3</v>
      </c>
      <c r="C180" s="4">
        <f t="shared" si="37"/>
        <v>4.282851390235487E-3</v>
      </c>
      <c r="D180" s="4">
        <f t="shared" si="45"/>
        <v>9.6352748390645152E-5</v>
      </c>
      <c r="E180" s="4">
        <f t="shared" si="46"/>
        <v>1.927054967812903E-4</v>
      </c>
      <c r="F180" s="4">
        <f t="shared" si="47"/>
        <v>4.282851390235487E-3</v>
      </c>
      <c r="G180" s="4">
        <f t="shared" si="47"/>
        <v>9.6352748390645152E-5</v>
      </c>
      <c r="H180" s="4">
        <f t="shared" si="48"/>
        <v>5.1394216682825846E-3</v>
      </c>
      <c r="I180" s="4">
        <f t="shared" si="49"/>
        <v>0.94995202823406921</v>
      </c>
      <c r="J180" s="4">
        <f t="shared" si="50"/>
        <v>1.3919997027564064E-2</v>
      </c>
      <c r="K180" s="4">
        <f t="shared" si="51"/>
        <v>3.542860845540971E-2</v>
      </c>
      <c r="L180" s="4">
        <f t="shared" si="52"/>
        <v>6.9936628295721016E-4</v>
      </c>
      <c r="N180" s="10">
        <f t="shared" si="39"/>
        <v>0.4936417824709507</v>
      </c>
      <c r="O180" s="66">
        <v>4</v>
      </c>
      <c r="P180" s="10">
        <f t="shared" si="40"/>
        <v>8.5806978546138519E-3</v>
      </c>
      <c r="Q180" s="10">
        <f t="shared" si="41"/>
        <v>1.9304284600832203E-4</v>
      </c>
      <c r="R180" s="10">
        <f t="shared" si="42"/>
        <v>2.893405957541223E-2</v>
      </c>
      <c r="S180" s="66"/>
      <c r="T180" s="5">
        <f t="shared" si="53"/>
        <v>13.416666666666693</v>
      </c>
      <c r="U180" s="12">
        <f t="shared" si="43"/>
        <v>22395.083574107604</v>
      </c>
      <c r="V180" s="12">
        <f t="shared" si="38"/>
        <v>941195.09426117036</v>
      </c>
    </row>
    <row r="181" spans="1:22">
      <c r="A181" s="5">
        <f t="shared" si="44"/>
        <v>13.500000000000027</v>
      </c>
      <c r="B181" s="4">
        <f t="shared" si="36"/>
        <v>1.9449749390109039E-3</v>
      </c>
      <c r="C181" s="4">
        <f t="shared" si="37"/>
        <v>4.3113294348388065E-3</v>
      </c>
      <c r="D181" s="4">
        <f t="shared" si="45"/>
        <v>9.72487469505452E-5</v>
      </c>
      <c r="E181" s="4">
        <f t="shared" si="46"/>
        <v>1.944974939010904E-4</v>
      </c>
      <c r="F181" s="4">
        <f t="shared" si="47"/>
        <v>4.3113294348388065E-3</v>
      </c>
      <c r="G181" s="4">
        <f t="shared" si="47"/>
        <v>9.72487469505452E-5</v>
      </c>
      <c r="H181" s="4">
        <f t="shared" si="48"/>
        <v>5.173595321806568E-3</v>
      </c>
      <c r="I181" s="4">
        <f t="shared" si="49"/>
        <v>0.94945303147000348</v>
      </c>
      <c r="J181" s="4">
        <f t="shared" si="50"/>
        <v>1.4067244428118835E-2</v>
      </c>
      <c r="K181" s="4">
        <f t="shared" si="51"/>
        <v>3.5772918037212172E-2</v>
      </c>
      <c r="L181" s="4">
        <f t="shared" si="52"/>
        <v>7.0680606466572008E-4</v>
      </c>
      <c r="N181" s="10">
        <f t="shared" si="39"/>
        <v>0.49138053409617227</v>
      </c>
      <c r="O181" s="66">
        <v>2</v>
      </c>
      <c r="P181" s="10">
        <f t="shared" si="40"/>
        <v>4.2997828741472739E-3</v>
      </c>
      <c r="Q181" s="10">
        <f t="shared" si="41"/>
        <v>9.698829629934556E-5</v>
      </c>
      <c r="R181" s="10">
        <f t="shared" si="42"/>
        <v>1.4560741503238484E-2</v>
      </c>
      <c r="S181" s="66"/>
      <c r="T181" s="5">
        <f t="shared" si="53"/>
        <v>13.500000000000027</v>
      </c>
      <c r="U181" s="12">
        <f t="shared" si="43"/>
        <v>22517.785732841043</v>
      </c>
      <c r="V181" s="12">
        <f t="shared" si="38"/>
        <v>939086.39657253842</v>
      </c>
    </row>
    <row r="182" spans="1:22">
      <c r="A182" s="5">
        <f t="shared" si="44"/>
        <v>13.583333333333361</v>
      </c>
      <c r="B182" s="4">
        <f t="shared" si="36"/>
        <v>1.9631052008497159E-3</v>
      </c>
      <c r="C182" s="4">
        <f t="shared" si="37"/>
        <v>4.340021867727778E-3</v>
      </c>
      <c r="D182" s="4">
        <f t="shared" si="45"/>
        <v>9.8155260042485806E-5</v>
      </c>
      <c r="E182" s="4">
        <f t="shared" si="46"/>
        <v>1.9631052008497161E-4</v>
      </c>
      <c r="F182" s="4">
        <f t="shared" si="47"/>
        <v>4.340021867727778E-3</v>
      </c>
      <c r="G182" s="4">
        <f t="shared" si="47"/>
        <v>9.8155260042485806E-5</v>
      </c>
      <c r="H182" s="4">
        <f t="shared" si="48"/>
        <v>5.2080262412733331E-3</v>
      </c>
      <c r="I182" s="4">
        <f t="shared" si="49"/>
        <v>0.94895055945105666</v>
      </c>
      <c r="J182" s="4">
        <f t="shared" si="50"/>
        <v>1.4215736908229337E-2</v>
      </c>
      <c r="K182" s="4">
        <f t="shared" si="51"/>
        <v>3.6119393875136602E-2</v>
      </c>
      <c r="L182" s="4">
        <f t="shared" si="52"/>
        <v>7.1430976557763318E-4</v>
      </c>
      <c r="N182" s="10">
        <f t="shared" si="39"/>
        <v>0.48912771753624612</v>
      </c>
      <c r="O182" s="66">
        <v>4</v>
      </c>
      <c r="P182" s="10">
        <f t="shared" si="40"/>
        <v>8.6185037282912619E-3</v>
      </c>
      <c r="Q182" s="10">
        <f t="shared" si="41"/>
        <v>1.9491871248806882E-4</v>
      </c>
      <c r="R182" s="10">
        <f t="shared" si="42"/>
        <v>2.9309476148221245E-2</v>
      </c>
      <c r="S182" s="66"/>
      <c r="T182" s="5">
        <f t="shared" si="53"/>
        <v>13.583333333333361</v>
      </c>
      <c r="U182" s="12">
        <f t="shared" si="43"/>
        <v>22639.819387438754</v>
      </c>
      <c r="V182" s="12">
        <f t="shared" si="38"/>
        <v>936970.48488675966</v>
      </c>
    </row>
    <row r="183" spans="1:22">
      <c r="A183" s="5">
        <f t="shared" si="44"/>
        <v>13.666666666666694</v>
      </c>
      <c r="B183" s="4">
        <f t="shared" si="36"/>
        <v>1.9814482210874173E-3</v>
      </c>
      <c r="C183" s="4">
        <f t="shared" si="37"/>
        <v>4.3689303028593175E-3</v>
      </c>
      <c r="D183" s="4">
        <f t="shared" si="45"/>
        <v>9.9072411054370869E-5</v>
      </c>
      <c r="E183" s="4">
        <f t="shared" si="46"/>
        <v>1.9814482210874174E-4</v>
      </c>
      <c r="F183" s="4">
        <f t="shared" si="47"/>
        <v>4.3689303028593175E-3</v>
      </c>
      <c r="G183" s="4">
        <f t="shared" si="47"/>
        <v>9.9072411054370869E-5</v>
      </c>
      <c r="H183" s="4">
        <f t="shared" si="48"/>
        <v>5.2427163634311807E-3</v>
      </c>
      <c r="I183" s="4">
        <f t="shared" si="49"/>
        <v>0.9484445836387031</v>
      </c>
      <c r="J183" s="4">
        <f t="shared" si="50"/>
        <v>1.4365487501687776E-2</v>
      </c>
      <c r="K183" s="4">
        <f t="shared" si="51"/>
        <v>3.646805078617503E-2</v>
      </c>
      <c r="L183" s="4">
        <f t="shared" si="52"/>
        <v>7.2187807343428124E-4</v>
      </c>
      <c r="N183" s="10">
        <f t="shared" si="39"/>
        <v>0.48688329421284282</v>
      </c>
      <c r="O183" s="66">
        <v>2</v>
      </c>
      <c r="P183" s="10">
        <f t="shared" si="40"/>
        <v>4.3187558131876479E-3</v>
      </c>
      <c r="Q183" s="10">
        <f t="shared" si="41"/>
        <v>9.7934625070020972E-5</v>
      </c>
      <c r="R183" s="10">
        <f t="shared" si="42"/>
        <v>1.4749023819528825E-2</v>
      </c>
      <c r="S183" s="66"/>
      <c r="T183" s="5">
        <f t="shared" si="53"/>
        <v>13.666666666666694</v>
      </c>
      <c r="U183" s="12">
        <f t="shared" si="43"/>
        <v>22761.172334245417</v>
      </c>
      <c r="V183" s="12">
        <f t="shared" si="38"/>
        <v>934847.33323363599</v>
      </c>
    </row>
    <row r="184" spans="1:22">
      <c r="A184" s="5">
        <f t="shared" si="44"/>
        <v>13.750000000000028</v>
      </c>
      <c r="B184" s="4">
        <f t="shared" si="36"/>
        <v>2.0000064964411884E-3</v>
      </c>
      <c r="C184" s="4">
        <f t="shared" si="37"/>
        <v>4.3980563663405213E-3</v>
      </c>
      <c r="D184" s="4">
        <f t="shared" si="45"/>
        <v>1.0000032482205943E-4</v>
      </c>
      <c r="E184" s="4">
        <f t="shared" si="46"/>
        <v>2.0000064964411886E-4</v>
      </c>
      <c r="F184" s="4">
        <f t="shared" si="47"/>
        <v>4.3980563663405213E-3</v>
      </c>
      <c r="G184" s="4">
        <f t="shared" si="47"/>
        <v>1.0000032482205943E-4</v>
      </c>
      <c r="H184" s="4">
        <f t="shared" si="48"/>
        <v>5.2776676396086254E-3</v>
      </c>
      <c r="I184" s="4">
        <f t="shared" si="49"/>
        <v>0.94793507527538812</v>
      </c>
      <c r="J184" s="4">
        <f t="shared" si="50"/>
        <v>1.4516509364099539E-2</v>
      </c>
      <c r="K184" s="4">
        <f t="shared" si="51"/>
        <v>3.6818903677649312E-2</v>
      </c>
      <c r="L184" s="4">
        <f t="shared" si="52"/>
        <v>7.2951168286322404E-4</v>
      </c>
      <c r="N184" s="10">
        <f t="shared" si="39"/>
        <v>0.48464722569929652</v>
      </c>
      <c r="O184" s="66">
        <v>4</v>
      </c>
      <c r="P184" s="10">
        <f t="shared" si="40"/>
        <v>8.6565892715044588E-3</v>
      </c>
      <c r="Q184" s="10">
        <f t="shared" si="41"/>
        <v>1.9682825023042839E-4</v>
      </c>
      <c r="R184" s="10">
        <f t="shared" si="42"/>
        <v>2.9687206112105621E-2</v>
      </c>
      <c r="S184" s="66"/>
      <c r="T184" s="5">
        <f t="shared" si="53"/>
        <v>13.750000000000028</v>
      </c>
      <c r="U184" s="12">
        <f t="shared" si="43"/>
        <v>22881.832267977996</v>
      </c>
      <c r="V184" s="12">
        <f t="shared" si="38"/>
        <v>932716.9154778854</v>
      </c>
    </row>
    <row r="185" spans="1:22">
      <c r="A185" s="5">
        <f t="shared" si="44"/>
        <v>13.833333333333362</v>
      </c>
      <c r="B185" s="4">
        <f t="shared" si="36"/>
        <v>2.0187825529271609E-3</v>
      </c>
      <c r="C185" s="4">
        <f t="shared" si="37"/>
        <v>4.4274016965201446E-3</v>
      </c>
      <c r="D185" s="4">
        <f t="shared" si="45"/>
        <v>1.0093912764635805E-4</v>
      </c>
      <c r="E185" s="4">
        <f t="shared" si="46"/>
        <v>2.0187825529271609E-4</v>
      </c>
      <c r="F185" s="4">
        <f t="shared" si="47"/>
        <v>4.4274016965201446E-3</v>
      </c>
      <c r="G185" s="4">
        <f t="shared" si="47"/>
        <v>1.0093912764635805E-4</v>
      </c>
      <c r="H185" s="4">
        <f t="shared" si="48"/>
        <v>5.3128820358241732E-3</v>
      </c>
      <c r="I185" s="4">
        <f t="shared" si="49"/>
        <v>0.94742200538325638</v>
      </c>
      <c r="J185" s="4">
        <f t="shared" si="50"/>
        <v>1.4668815773714068E-2</v>
      </c>
      <c r="K185" s="4">
        <f t="shared" si="51"/>
        <v>3.7171967547592617E-2</v>
      </c>
      <c r="L185" s="4">
        <f t="shared" si="52"/>
        <v>7.3721129543723163E-4</v>
      </c>
      <c r="N185" s="10">
        <f t="shared" si="39"/>
        <v>0.48241947372012134</v>
      </c>
      <c r="O185" s="66">
        <v>2</v>
      </c>
      <c r="P185" s="10">
        <f t="shared" si="40"/>
        <v>4.3378682448925289E-3</v>
      </c>
      <c r="Q185" s="10">
        <f t="shared" si="41"/>
        <v>9.8897878823247598E-5</v>
      </c>
      <c r="R185" s="10">
        <f t="shared" si="42"/>
        <v>1.4938480097451233E-2</v>
      </c>
      <c r="S185" s="66"/>
      <c r="T185" s="5">
        <f t="shared" si="53"/>
        <v>13.833333333333362</v>
      </c>
      <c r="U185" s="12">
        <f t="shared" si="43"/>
        <v>23001.786781512252</v>
      </c>
      <c r="V185" s="12">
        <f t="shared" si="38"/>
        <v>930579.20531696978</v>
      </c>
    </row>
    <row r="186" spans="1:22">
      <c r="A186" s="5">
        <f t="shared" si="44"/>
        <v>13.916666666666696</v>
      </c>
      <c r="B186" s="4">
        <f t="shared" si="36"/>
        <v>2.0377789462042348E-3</v>
      </c>
      <c r="C186" s="4">
        <f t="shared" si="37"/>
        <v>4.4569679440807433E-3</v>
      </c>
      <c r="D186" s="4">
        <f t="shared" si="45"/>
        <v>1.0188894731021174E-4</v>
      </c>
      <c r="E186" s="4">
        <f t="shared" si="46"/>
        <v>2.0377789462042349E-4</v>
      </c>
      <c r="F186" s="4">
        <f t="shared" si="47"/>
        <v>4.4569679440807433E-3</v>
      </c>
      <c r="G186" s="4">
        <f t="shared" si="47"/>
        <v>1.0188894731021174E-4</v>
      </c>
      <c r="H186" s="4">
        <f t="shared" si="48"/>
        <v>5.3483615328968918E-3</v>
      </c>
      <c r="I186" s="4">
        <f t="shared" si="49"/>
        <v>0.94690534476288291</v>
      </c>
      <c r="J186" s="4">
        <f t="shared" si="50"/>
        <v>1.482242013225416E-2</v>
      </c>
      <c r="K186" s="4">
        <f t="shared" si="51"/>
        <v>3.7527257485129695E-2</v>
      </c>
      <c r="L186" s="4">
        <f t="shared" si="52"/>
        <v>7.4497761973356651E-4</v>
      </c>
      <c r="N186" s="10">
        <f t="shared" si="39"/>
        <v>0.48020000015053271</v>
      </c>
      <c r="O186" s="66">
        <v>4</v>
      </c>
      <c r="P186" s="10">
        <f t="shared" si="40"/>
        <v>8.694953104433514E-3</v>
      </c>
      <c r="Q186" s="10">
        <f t="shared" si="41"/>
        <v>1.9877181748613866E-4</v>
      </c>
      <c r="R186" s="10">
        <f t="shared" si="42"/>
        <v>3.006731850910431E-2</v>
      </c>
      <c r="S186" s="66"/>
      <c r="T186" s="5">
        <f t="shared" si="53"/>
        <v>13.916666666666696</v>
      </c>
      <c r="U186" s="12">
        <f t="shared" si="43"/>
        <v>23121.023365682435</v>
      </c>
      <c r="V186" s="12">
        <f t="shared" si="38"/>
        <v>928434.17627888848</v>
      </c>
    </row>
    <row r="187" spans="1:22">
      <c r="A187" s="5">
        <f t="shared" si="44"/>
        <v>14.00000000000003</v>
      </c>
      <c r="B187" s="4">
        <f t="shared" si="36"/>
        <v>2.0569982619219294E-3</v>
      </c>
      <c r="C187" s="4">
        <f t="shared" si="37"/>
        <v>4.4867567721315373E-3</v>
      </c>
      <c r="D187" s="4">
        <f t="shared" si="45"/>
        <v>1.0284991309609647E-4</v>
      </c>
      <c r="E187" s="4">
        <f t="shared" si="46"/>
        <v>2.0569982619219294E-4</v>
      </c>
      <c r="F187" s="4">
        <f t="shared" si="47"/>
        <v>4.4867567721315373E-3</v>
      </c>
      <c r="G187" s="4">
        <f t="shared" si="47"/>
        <v>1.0284991309609647E-4</v>
      </c>
      <c r="H187" s="4">
        <f t="shared" si="48"/>
        <v>5.3841081265578444E-3</v>
      </c>
      <c r="I187" s="4">
        <f t="shared" si="49"/>
        <v>0.9463850639920075</v>
      </c>
      <c r="J187" s="4">
        <f t="shared" si="50"/>
        <v>1.4977335965743436E-2</v>
      </c>
      <c r="K187" s="4">
        <f t="shared" si="51"/>
        <v>3.7884788670855887E-2</v>
      </c>
      <c r="L187" s="4">
        <f t="shared" si="52"/>
        <v>7.5281137139355961E-4</v>
      </c>
      <c r="N187" s="10">
        <f t="shared" si="39"/>
        <v>0.47798876701597531</v>
      </c>
      <c r="O187" s="66">
        <v>2</v>
      </c>
      <c r="P187" s="10">
        <f t="shared" si="40"/>
        <v>4.3571194678688535E-3</v>
      </c>
      <c r="Q187" s="10">
        <f t="shared" si="41"/>
        <v>9.987823752851382E-5</v>
      </c>
      <c r="R187" s="10">
        <f t="shared" si="42"/>
        <v>1.5129144835088367E-2</v>
      </c>
      <c r="S187" s="66"/>
      <c r="T187" s="5">
        <f t="shared" si="53"/>
        <v>14.00000000000003</v>
      </c>
      <c r="U187" s="12">
        <f t="shared" si="43"/>
        <v>23239.529409094554</v>
      </c>
      <c r="V187" s="12">
        <f t="shared" si="38"/>
        <v>926281.80171993747</v>
      </c>
    </row>
    <row r="188" spans="1:22">
      <c r="A188" s="5">
        <f t="shared" si="44"/>
        <v>14.083333333333364</v>
      </c>
      <c r="B188" s="4">
        <f t="shared" si="36"/>
        <v>2.0764431160723374E-3</v>
      </c>
      <c r="C188" s="4">
        <f t="shared" si="37"/>
        <v>4.516769856301962E-3</v>
      </c>
      <c r="D188" s="4">
        <f t="shared" si="45"/>
        <v>1.0382215580361687E-4</v>
      </c>
      <c r="E188" s="4">
        <f t="shared" si="46"/>
        <v>2.0764431160723374E-4</v>
      </c>
      <c r="F188" s="4">
        <f t="shared" si="47"/>
        <v>4.516769856301962E-3</v>
      </c>
      <c r="G188" s="4">
        <f t="shared" si="47"/>
        <v>1.0382215580361687E-4</v>
      </c>
      <c r="H188" s="4">
        <f t="shared" si="48"/>
        <v>5.4201238275623544E-3</v>
      </c>
      <c r="I188" s="4">
        <f t="shared" si="49"/>
        <v>0.94586113342427147</v>
      </c>
      <c r="J188" s="4">
        <f t="shared" si="50"/>
        <v>1.5133576925331784E-2</v>
      </c>
      <c r="K188" s="4">
        <f t="shared" si="51"/>
        <v>3.8244576377214679E-2</v>
      </c>
      <c r="L188" s="4">
        <f t="shared" si="52"/>
        <v>7.6071327318247815E-4</v>
      </c>
      <c r="N188" s="10">
        <f t="shared" si="39"/>
        <v>0.47578573649165579</v>
      </c>
      <c r="O188" s="66">
        <v>4</v>
      </c>
      <c r="P188" s="10">
        <f t="shared" si="40"/>
        <v>8.7335938010179599E-3</v>
      </c>
      <c r="Q188" s="10">
        <f t="shared" si="41"/>
        <v>2.0074977587571165E-4</v>
      </c>
      <c r="R188" s="10">
        <f t="shared" si="42"/>
        <v>3.0449882287075038E-2</v>
      </c>
      <c r="S188" s="66"/>
      <c r="T188" s="5">
        <f t="shared" si="53"/>
        <v>14.083333333333364</v>
      </c>
      <c r="U188" s="12">
        <f t="shared" si="43"/>
        <v>23357.292197953651</v>
      </c>
      <c r="V188" s="12">
        <f t="shared" si="38"/>
        <v>924122.05482243304</v>
      </c>
    </row>
    <row r="189" spans="1:22">
      <c r="A189" s="5">
        <f t="shared" si="44"/>
        <v>14.166666666666698</v>
      </c>
      <c r="B189" s="4">
        <f t="shared" si="36"/>
        <v>2.0961161553461837E-3</v>
      </c>
      <c r="C189" s="4">
        <f t="shared" si="37"/>
        <v>4.547008884835918E-3</v>
      </c>
      <c r="D189" s="4">
        <f t="shared" si="45"/>
        <v>1.0480580776730919E-4</v>
      </c>
      <c r="E189" s="4">
        <f t="shared" si="46"/>
        <v>2.0961161553461838E-4</v>
      </c>
      <c r="F189" s="4">
        <f t="shared" si="47"/>
        <v>4.547008884835918E-3</v>
      </c>
      <c r="G189" s="4">
        <f t="shared" si="47"/>
        <v>1.0480580776730919E-4</v>
      </c>
      <c r="H189" s="4">
        <f t="shared" si="48"/>
        <v>5.4564106618031011E-3</v>
      </c>
      <c r="I189" s="4">
        <f t="shared" si="49"/>
        <v>0.94533352318795827</v>
      </c>
      <c r="J189" s="4">
        <f t="shared" si="50"/>
        <v>1.5291156788118501E-2</v>
      </c>
      <c r="K189" s="4">
        <f t="shared" si="51"/>
        <v>3.8606635968873898E-2</v>
      </c>
      <c r="L189" s="4">
        <f t="shared" si="52"/>
        <v>7.6868405504968221E-4</v>
      </c>
      <c r="N189" s="10">
        <f t="shared" si="39"/>
        <v>0.47359087090208157</v>
      </c>
      <c r="O189" s="66">
        <v>2</v>
      </c>
      <c r="P189" s="10">
        <f t="shared" si="40"/>
        <v>4.3765087572938382E-3</v>
      </c>
      <c r="Q189" s="10">
        <f t="shared" si="41"/>
        <v>1.0087588283334424E-4</v>
      </c>
      <c r="R189" s="10">
        <f t="shared" si="42"/>
        <v>1.5321052480956943E-2</v>
      </c>
      <c r="S189" s="66"/>
      <c r="T189" s="5">
        <f t="shared" si="53"/>
        <v>14.166666666666698</v>
      </c>
      <c r="U189" s="12">
        <f t="shared" si="43"/>
        <v>23474.298915905521</v>
      </c>
      <c r="V189" s="12">
        <f t="shared" si="38"/>
        <v>921954.90859240014</v>
      </c>
    </row>
    <row r="190" spans="1:22">
      <c r="A190" s="5">
        <f t="shared" si="44"/>
        <v>14.250000000000032</v>
      </c>
      <c r="B190" s="4">
        <f t="shared" si="36"/>
        <v>2.1160200574930703E-3</v>
      </c>
      <c r="C190" s="4">
        <f t="shared" si="37"/>
        <v>4.5774755586867263E-3</v>
      </c>
      <c r="D190" s="4">
        <f t="shared" si="45"/>
        <v>1.0580100287465352E-4</v>
      </c>
      <c r="E190" s="4">
        <f t="shared" si="46"/>
        <v>2.1160200574930703E-4</v>
      </c>
      <c r="F190" s="4">
        <f t="shared" si="47"/>
        <v>4.5774755586867263E-3</v>
      </c>
      <c r="G190" s="4">
        <f t="shared" si="47"/>
        <v>1.0580100287465352E-4</v>
      </c>
      <c r="H190" s="4">
        <f t="shared" si="48"/>
        <v>5.4929706704240711E-3</v>
      </c>
      <c r="I190" s="4">
        <f t="shared" si="49"/>
        <v>0.94480220318473807</v>
      </c>
      <c r="J190" s="4">
        <f t="shared" si="50"/>
        <v>1.5450089457972918E-2</v>
      </c>
      <c r="K190" s="4">
        <f t="shared" si="51"/>
        <v>3.8970982903100353E-2</v>
      </c>
      <c r="L190" s="4">
        <f t="shared" si="52"/>
        <v>7.7672445418906343E-4</v>
      </c>
      <c r="N190" s="10">
        <f t="shared" si="39"/>
        <v>0.47140413272060561</v>
      </c>
      <c r="O190" s="66">
        <v>4</v>
      </c>
      <c r="P190" s="10">
        <f t="shared" si="40"/>
        <v>8.7725098877136365E-3</v>
      </c>
      <c r="Q190" s="10">
        <f t="shared" si="41"/>
        <v>2.0276249036143393E-4</v>
      </c>
      <c r="R190" s="10">
        <f t="shared" si="42"/>
        <v>3.0834966289626221E-2</v>
      </c>
      <c r="S190" s="66"/>
      <c r="T190" s="5">
        <f t="shared" si="53"/>
        <v>14.250000000000032</v>
      </c>
      <c r="U190" s="12">
        <f t="shared" si="43"/>
        <v>23590.536643893302</v>
      </c>
      <c r="V190" s="12">
        <f t="shared" si="38"/>
        <v>919780.33585722384</v>
      </c>
    </row>
    <row r="191" spans="1:22">
      <c r="A191" s="5">
        <f t="shared" si="44"/>
        <v>14.333333333333366</v>
      </c>
      <c r="B191" s="4">
        <f t="shared" si="36"/>
        <v>2.1361575316859675E-3</v>
      </c>
      <c r="C191" s="4">
        <f t="shared" si="37"/>
        <v>4.6081715916128311E-3</v>
      </c>
      <c r="D191" s="4">
        <f t="shared" si="45"/>
        <v>1.0680787658429838E-4</v>
      </c>
      <c r="E191" s="4">
        <f t="shared" si="46"/>
        <v>2.1361575316859675E-4</v>
      </c>
      <c r="F191" s="4">
        <f t="shared" si="47"/>
        <v>4.6081715916128311E-3</v>
      </c>
      <c r="G191" s="4">
        <f t="shared" si="47"/>
        <v>1.0680787658429838E-4</v>
      </c>
      <c r="H191" s="4">
        <f t="shared" si="48"/>
        <v>5.5298059099353975E-3</v>
      </c>
      <c r="I191" s="4">
        <f t="shared" si="49"/>
        <v>0.94426714308841553</v>
      </c>
      <c r="J191" s="4">
        <f t="shared" si="50"/>
        <v>1.5610388966352227E-2</v>
      </c>
      <c r="K191" s="4">
        <f t="shared" si="51"/>
        <v>3.933763273013291E-2</v>
      </c>
      <c r="L191" s="4">
        <f t="shared" si="52"/>
        <v>7.8483521509976526E-4</v>
      </c>
      <c r="N191" s="10">
        <f t="shared" si="39"/>
        <v>0.46922548456897623</v>
      </c>
      <c r="O191" s="66">
        <v>2</v>
      </c>
      <c r="P191" s="10">
        <f t="shared" si="40"/>
        <v>4.3960353642880012E-3</v>
      </c>
      <c r="Q191" s="10">
        <f t="shared" si="41"/>
        <v>1.0189099804869701E-4</v>
      </c>
      <c r="R191" s="10">
        <f t="shared" si="42"/>
        <v>1.5514237428805618E-2</v>
      </c>
      <c r="S191" s="66"/>
      <c r="T191" s="5">
        <f t="shared" si="53"/>
        <v>14.333333333333366</v>
      </c>
      <c r="U191" s="12">
        <f t="shared" si="43"/>
        <v>23705.992360029399</v>
      </c>
      <c r="V191" s="12">
        <f t="shared" si="38"/>
        <v>917598.30926326418</v>
      </c>
    </row>
    <row r="192" spans="1:22">
      <c r="A192" s="5">
        <f t="shared" si="44"/>
        <v>14.4166666666667</v>
      </c>
      <c r="B192" s="4">
        <f t="shared" si="36"/>
        <v>2.1565313188899502E-3</v>
      </c>
      <c r="C192" s="4">
        <f t="shared" si="37"/>
        <v>4.639098710274174E-3</v>
      </c>
      <c r="D192" s="4">
        <f t="shared" si="45"/>
        <v>1.0782656594449752E-4</v>
      </c>
      <c r="E192" s="4">
        <f t="shared" si="46"/>
        <v>2.1565313188899504E-4</v>
      </c>
      <c r="F192" s="4">
        <f t="shared" si="47"/>
        <v>4.639098710274174E-3</v>
      </c>
      <c r="G192" s="4">
        <f t="shared" si="47"/>
        <v>1.0782656594449752E-4</v>
      </c>
      <c r="H192" s="4">
        <f t="shared" si="48"/>
        <v>5.566918452329009E-3</v>
      </c>
      <c r="I192" s="4">
        <f t="shared" si="49"/>
        <v>0.94372831234368293</v>
      </c>
      <c r="J192" s="4">
        <f t="shared" si="50"/>
        <v>1.5772069473116282E-2</v>
      </c>
      <c r="K192" s="4">
        <f t="shared" si="51"/>
        <v>3.9706601093553992E-2</v>
      </c>
      <c r="L192" s="4">
        <f t="shared" si="52"/>
        <v>7.9301708964717871E-4</v>
      </c>
      <c r="N192" s="10">
        <f t="shared" si="39"/>
        <v>0.46705488921689325</v>
      </c>
      <c r="O192" s="66">
        <v>4</v>
      </c>
      <c r="P192" s="10">
        <f t="shared" si="40"/>
        <v>8.8116998422279047E-3</v>
      </c>
      <c r="Q192" s="10">
        <f t="shared" si="41"/>
        <v>2.0481032921693359E-4</v>
      </c>
      <c r="R192" s="10">
        <f t="shared" si="42"/>
        <v>3.1222639245371275E-2</v>
      </c>
      <c r="S192" s="66"/>
      <c r="T192" s="5">
        <f t="shared" si="53"/>
        <v>14.4166666666667</v>
      </c>
      <c r="U192" s="12">
        <f t="shared" si="43"/>
        <v>23820.652939483218</v>
      </c>
      <c r="V192" s="12">
        <f t="shared" si="38"/>
        <v>915408.80127343361</v>
      </c>
    </row>
    <row r="193" spans="1:22">
      <c r="A193" s="5">
        <f t="shared" si="44"/>
        <v>14.500000000000034</v>
      </c>
      <c r="B193" s="4">
        <f t="shared" si="36"/>
        <v>2.1771441922352882E-3</v>
      </c>
      <c r="C193" s="4">
        <f t="shared" si="37"/>
        <v>4.6702586543293408E-3</v>
      </c>
      <c r="D193" s="4">
        <f t="shared" si="45"/>
        <v>1.0885720961176442E-4</v>
      </c>
      <c r="E193" s="4">
        <f t="shared" si="46"/>
        <v>2.1771441922352884E-4</v>
      </c>
      <c r="F193" s="4">
        <f t="shared" si="47"/>
        <v>4.6702586543293408E-3</v>
      </c>
      <c r="G193" s="4">
        <f t="shared" si="47"/>
        <v>1.0885720961176442E-4</v>
      </c>
      <c r="H193" s="4">
        <f t="shared" si="48"/>
        <v>5.6043103851952086E-3</v>
      </c>
      <c r="I193" s="4">
        <f t="shared" si="49"/>
        <v>0.9431856801648778</v>
      </c>
      <c r="J193" s="4">
        <f t="shared" si="50"/>
        <v>1.5935145267339103E-2</v>
      </c>
      <c r="K193" s="4">
        <f t="shared" si="51"/>
        <v>4.0077903730659267E-2</v>
      </c>
      <c r="L193" s="4">
        <f t="shared" si="52"/>
        <v>8.0127083712420956E-4</v>
      </c>
      <c r="N193" s="10">
        <f t="shared" si="39"/>
        <v>0.46489230958157035</v>
      </c>
      <c r="O193" s="66">
        <v>2</v>
      </c>
      <c r="P193" s="10">
        <f t="shared" si="40"/>
        <v>4.4156985152773894E-3</v>
      </c>
      <c r="Q193" s="10">
        <f t="shared" si="41"/>
        <v>1.0292376813312378E-4</v>
      </c>
      <c r="R193" s="10">
        <f t="shared" si="42"/>
        <v>1.5708734012068747E-2</v>
      </c>
      <c r="S193" s="66"/>
      <c r="T193" s="5">
        <f t="shared" si="53"/>
        <v>14.500000000000034</v>
      </c>
      <c r="U193" s="12">
        <f t="shared" si="43"/>
        <v>23934.505154385151</v>
      </c>
      <c r="V193" s="12">
        <f t="shared" si="38"/>
        <v>913211.78416473628</v>
      </c>
    </row>
    <row r="194" spans="1:22">
      <c r="A194" s="5">
        <f t="shared" si="44"/>
        <v>14.583333333333368</v>
      </c>
      <c r="B194" s="4">
        <f t="shared" si="36"/>
        <v>2.1979989573948965E-3</v>
      </c>
      <c r="C194" s="4">
        <f t="shared" si="37"/>
        <v>4.7016531765333887E-3</v>
      </c>
      <c r="D194" s="4">
        <f t="shared" si="45"/>
        <v>1.0989994786974482E-4</v>
      </c>
      <c r="E194" s="4">
        <f t="shared" si="46"/>
        <v>2.1979989573948965E-4</v>
      </c>
      <c r="F194" s="4">
        <f t="shared" si="47"/>
        <v>4.7016531765333887E-3</v>
      </c>
      <c r="G194" s="4">
        <f t="shared" si="47"/>
        <v>1.0989994786974482E-4</v>
      </c>
      <c r="H194" s="4">
        <f t="shared" si="48"/>
        <v>5.6419838118400662E-3</v>
      </c>
      <c r="I194" s="4">
        <f t="shared" si="49"/>
        <v>0.94263921553474517</v>
      </c>
      <c r="J194" s="4">
        <f t="shared" si="50"/>
        <v>1.6099630768116768E-2</v>
      </c>
      <c r="K194" s="4">
        <f t="shared" si="51"/>
        <v>4.0451556472825619E-2</v>
      </c>
      <c r="L194" s="4">
        <f t="shared" si="52"/>
        <v>8.0959722431281236E-4</v>
      </c>
      <c r="N194" s="10">
        <f t="shared" si="39"/>
        <v>0.46273770872730219</v>
      </c>
      <c r="O194" s="66">
        <v>4</v>
      </c>
      <c r="P194" s="10">
        <f t="shared" si="40"/>
        <v>8.8511620922332376E-3</v>
      </c>
      <c r="Q194" s="10">
        <f t="shared" si="41"/>
        <v>2.068936639942281E-4</v>
      </c>
      <c r="R194" s="10">
        <f t="shared" si="42"/>
        <v>3.1612969756484019E-2</v>
      </c>
      <c r="S194" s="66"/>
      <c r="T194" s="5">
        <f t="shared" si="53"/>
        <v>14.583333333333368</v>
      </c>
      <c r="U194" s="12">
        <f t="shared" si="43"/>
        <v>24047.535673747345</v>
      </c>
      <c r="V194" s="12">
        <f t="shared" si="38"/>
        <v>911007.23002576828</v>
      </c>
    </row>
    <row r="195" spans="1:22">
      <c r="A195" s="5">
        <f t="shared" si="44"/>
        <v>14.666666666666702</v>
      </c>
      <c r="B195" s="4">
        <f t="shared" si="36"/>
        <v>2.2190984529662288E-3</v>
      </c>
      <c r="C195" s="4">
        <f t="shared" si="37"/>
        <v>4.73328404283648E-3</v>
      </c>
      <c r="D195" s="4">
        <f t="shared" si="45"/>
        <v>1.1095492264831145E-4</v>
      </c>
      <c r="E195" s="4">
        <f t="shared" si="46"/>
        <v>2.2190984529662291E-4</v>
      </c>
      <c r="F195" s="4">
        <f t="shared" si="47"/>
        <v>4.73328404283648E-3</v>
      </c>
      <c r="G195" s="4">
        <f t="shared" si="47"/>
        <v>1.1095492264831145E-4</v>
      </c>
      <c r="H195" s="4">
        <f t="shared" si="48"/>
        <v>5.6799408514037761E-3</v>
      </c>
      <c r="I195" s="4">
        <f t="shared" si="49"/>
        <v>0.94208888720320594</v>
      </c>
      <c r="J195" s="4">
        <f t="shared" si="50"/>
        <v>1.6265540525371481E-2</v>
      </c>
      <c r="K195" s="4">
        <f t="shared" si="51"/>
        <v>4.082757524587724E-2</v>
      </c>
      <c r="L195" s="4">
        <f t="shared" si="52"/>
        <v>8.1799702554578738E-4</v>
      </c>
      <c r="N195" s="10">
        <f t="shared" si="39"/>
        <v>0.4605910498650389</v>
      </c>
      <c r="O195" s="66">
        <v>2</v>
      </c>
      <c r="P195" s="10">
        <f t="shared" si="40"/>
        <v>4.4354974113448705E-3</v>
      </c>
      <c r="Q195" s="10">
        <f t="shared" si="41"/>
        <v>1.039743796756458E-4</v>
      </c>
      <c r="R195" s="10">
        <f t="shared" si="42"/>
        <v>1.590457649796528E-2</v>
      </c>
      <c r="S195" s="66"/>
      <c r="T195" s="5">
        <f t="shared" si="53"/>
        <v>14.666666666666702</v>
      </c>
      <c r="U195" s="12">
        <f t="shared" si="43"/>
        <v>24159.731063401698</v>
      </c>
      <c r="V195" s="12">
        <f t="shared" si="38"/>
        <v>908795.11075417942</v>
      </c>
    </row>
    <row r="196" spans="1:22">
      <c r="A196" s="5">
        <f t="shared" si="44"/>
        <v>14.750000000000036</v>
      </c>
      <c r="B196" s="4">
        <f t="shared" si="36"/>
        <v>2.2404455508576509E-3</v>
      </c>
      <c r="C196" s="4">
        <f t="shared" si="37"/>
        <v>4.7651530324831805E-3</v>
      </c>
      <c r="D196" s="4">
        <f t="shared" si="45"/>
        <v>1.1202227754288255E-4</v>
      </c>
      <c r="E196" s="4">
        <f t="shared" si="46"/>
        <v>2.240445550857651E-4</v>
      </c>
      <c r="F196" s="4">
        <f t="shared" si="47"/>
        <v>4.7651530324831805E-3</v>
      </c>
      <c r="G196" s="4">
        <f t="shared" si="47"/>
        <v>1.1202227754288255E-4</v>
      </c>
      <c r="H196" s="4">
        <f t="shared" si="48"/>
        <v>5.7181836389798161E-3</v>
      </c>
      <c r="I196" s="4">
        <f t="shared" si="49"/>
        <v>0.94153466368613037</v>
      </c>
      <c r="J196" s="4">
        <f t="shared" si="50"/>
        <v>1.6432889220651475E-2</v>
      </c>
      <c r="K196" s="4">
        <f t="shared" si="51"/>
        <v>4.1205976070449825E-2</v>
      </c>
      <c r="L196" s="4">
        <f t="shared" si="52"/>
        <v>8.2647102276883462E-4</v>
      </c>
      <c r="N196" s="10">
        <f t="shared" si="39"/>
        <v>0.45845229635196483</v>
      </c>
      <c r="O196" s="66">
        <v>4</v>
      </c>
      <c r="P196" s="10">
        <f t="shared" si="40"/>
        <v>8.8908950140587813E-3</v>
      </c>
      <c r="Q196" s="10">
        <f t="shared" si="41"/>
        <v>2.0901286948816139E-4</v>
      </c>
      <c r="R196" s="10">
        <f t="shared" si="42"/>
        <v>3.2006026286533186E-2</v>
      </c>
      <c r="S196" s="66"/>
      <c r="T196" s="5">
        <f t="shared" si="53"/>
        <v>14.750000000000036</v>
      </c>
      <c r="U196" s="12">
        <f t="shared" si="43"/>
        <v>24271.077785955647</v>
      </c>
      <c r="V196" s="12">
        <f t="shared" si="38"/>
        <v>906575.39805409405</v>
      </c>
    </row>
    <row r="197" spans="1:22">
      <c r="A197" s="5">
        <f t="shared" si="44"/>
        <v>14.833333333333369</v>
      </c>
      <c r="B197" s="4">
        <f t="shared" si="36"/>
        <v>2.2620431566793288E-3</v>
      </c>
      <c r="C197" s="4">
        <f t="shared" si="37"/>
        <v>4.7972619381125622E-3</v>
      </c>
      <c r="D197" s="4">
        <f t="shared" si="45"/>
        <v>1.1310215783396645E-4</v>
      </c>
      <c r="E197" s="4">
        <f t="shared" si="46"/>
        <v>2.2620431566793291E-4</v>
      </c>
      <c r="F197" s="4">
        <f t="shared" si="47"/>
        <v>4.7972619381125622E-3</v>
      </c>
      <c r="G197" s="4">
        <f t="shared" si="47"/>
        <v>1.1310215783396645E-4</v>
      </c>
      <c r="H197" s="4">
        <f t="shared" si="48"/>
        <v>5.7567143257350748E-3</v>
      </c>
      <c r="I197" s="4">
        <f t="shared" si="49"/>
        <v>0.94097651326411846</v>
      </c>
      <c r="J197" s="4">
        <f t="shared" si="50"/>
        <v>1.6601691667926497E-2</v>
      </c>
      <c r="K197" s="4">
        <f t="shared" si="51"/>
        <v>4.158677506235272E-2</v>
      </c>
      <c r="L197" s="4">
        <f t="shared" si="52"/>
        <v>8.3502000560286053E-4</v>
      </c>
      <c r="N197" s="10">
        <f t="shared" si="39"/>
        <v>0.45632141169108498</v>
      </c>
      <c r="O197" s="66">
        <v>2</v>
      </c>
      <c r="P197" s="10">
        <f t="shared" si="40"/>
        <v>4.4554312275703976E-3</v>
      </c>
      <c r="Q197" s="10">
        <f t="shared" si="41"/>
        <v>1.0504302087730323E-4</v>
      </c>
      <c r="R197" s="10">
        <f t="shared" si="42"/>
        <v>1.6101799081231587E-2</v>
      </c>
      <c r="S197" s="66"/>
      <c r="T197" s="5">
        <f t="shared" si="53"/>
        <v>14.833333333333369</v>
      </c>
      <c r="U197" s="12">
        <f t="shared" si="43"/>
        <v>24381.562200766246</v>
      </c>
      <c r="V197" s="12">
        <f t="shared" si="38"/>
        <v>904348.06343349221</v>
      </c>
    </row>
    <row r="198" spans="1:22">
      <c r="A198" s="5">
        <f t="shared" si="44"/>
        <v>14.916666666666703</v>
      </c>
      <c r="B198" s="4">
        <f t="shared" si="36"/>
        <v>2.2838942101387309E-3</v>
      </c>
      <c r="C198" s="4">
        <f t="shared" si="37"/>
        <v>4.8296125658590268E-3</v>
      </c>
      <c r="D198" s="4">
        <f t="shared" si="45"/>
        <v>1.1419471050693655E-4</v>
      </c>
      <c r="E198" s="4">
        <f t="shared" si="46"/>
        <v>2.2838942101387311E-4</v>
      </c>
      <c r="F198" s="4">
        <f t="shared" si="47"/>
        <v>4.8296125658590268E-3</v>
      </c>
      <c r="G198" s="4">
        <f t="shared" si="47"/>
        <v>1.1419471050693655E-4</v>
      </c>
      <c r="H198" s="4">
        <f t="shared" si="48"/>
        <v>5.7955350790308323E-3</v>
      </c>
      <c r="I198" s="4">
        <f t="shared" si="49"/>
        <v>0.94041440398128651</v>
      </c>
      <c r="J198" s="4">
        <f t="shared" si="50"/>
        <v>1.6771962814378517E-2</v>
      </c>
      <c r="K198" s="4">
        <f t="shared" si="51"/>
        <v>4.1969988432928984E-2</v>
      </c>
      <c r="L198" s="4">
        <f t="shared" si="52"/>
        <v>8.4364477140653224E-4</v>
      </c>
      <c r="N198" s="10">
        <f t="shared" si="39"/>
        <v>0.45419835953081639</v>
      </c>
      <c r="O198" s="66">
        <v>4</v>
      </c>
      <c r="P198" s="10">
        <f t="shared" si="40"/>
        <v>8.9308969313596897E-3</v>
      </c>
      <c r="Q198" s="10">
        <f t="shared" si="41"/>
        <v>2.1116832369813676E-4</v>
      </c>
      <c r="R198" s="10">
        <f t="shared" si="42"/>
        <v>3.2401877147573616E-2</v>
      </c>
      <c r="S198" s="66"/>
      <c r="T198" s="5">
        <f t="shared" si="53"/>
        <v>14.916666666666703</v>
      </c>
      <c r="U198" s="12">
        <f t="shared" si="43"/>
        <v>24491.170563933039</v>
      </c>
      <c r="V198" s="12">
        <f t="shared" si="38"/>
        <v>902113.07820154889</v>
      </c>
    </row>
    <row r="199" spans="1:22">
      <c r="A199" s="5">
        <f t="shared" si="44"/>
        <v>15.000000000000037</v>
      </c>
      <c r="B199" s="4">
        <f t="shared" si="36"/>
        <v>2.3060016854407612E-3</v>
      </c>
      <c r="C199" s="4">
        <f t="shared" si="37"/>
        <v>4.8622067354539261E-3</v>
      </c>
      <c r="D199" s="4">
        <f t="shared" si="45"/>
        <v>1.1530008427203806E-4</v>
      </c>
      <c r="E199" s="4">
        <f t="shared" si="46"/>
        <v>2.3060016854407612E-4</v>
      </c>
      <c r="F199" s="4">
        <f t="shared" si="47"/>
        <v>4.8622067354539261E-3</v>
      </c>
      <c r="G199" s="4">
        <f t="shared" si="47"/>
        <v>1.1530008427203806E-4</v>
      </c>
      <c r="H199" s="4">
        <f t="shared" si="48"/>
        <v>5.8346480825447111E-3</v>
      </c>
      <c r="I199" s="4">
        <f t="shared" si="49"/>
        <v>0.93984830364406069</v>
      </c>
      <c r="J199" s="4">
        <f t="shared" si="50"/>
        <v>1.6943717741187421E-2</v>
      </c>
      <c r="K199" s="4">
        <f t="shared" si="51"/>
        <v>4.2355632489413333E-2</v>
      </c>
      <c r="L199" s="4">
        <f t="shared" si="52"/>
        <v>8.5234612533907302E-4</v>
      </c>
      <c r="N199" s="10">
        <f t="shared" si="39"/>
        <v>0.45208310366458609</v>
      </c>
      <c r="O199" s="66">
        <v>2</v>
      </c>
      <c r="P199" s="10">
        <f t="shared" si="40"/>
        <v>4.4754991123600353E-3</v>
      </c>
      <c r="Q199" s="10">
        <f t="shared" si="41"/>
        <v>1.0612988153132663E-4</v>
      </c>
      <c r="R199" s="10">
        <f t="shared" si="42"/>
        <v>1.6300435877476888E-2</v>
      </c>
      <c r="S199" s="66"/>
      <c r="T199" s="5">
        <f t="shared" si="53"/>
        <v>15.000000000000037</v>
      </c>
      <c r="U199" s="12">
        <f t="shared" si="43"/>
        <v>24599.889028310343</v>
      </c>
      <c r="V199" s="12">
        <f t="shared" si="38"/>
        <v>899870.41346593213</v>
      </c>
    </row>
    <row r="200" spans="1:22">
      <c r="A200" s="5">
        <f t="shared" si="44"/>
        <v>15.083333333333371</v>
      </c>
      <c r="B200" s="4">
        <f t="shared" si="36"/>
        <v>2.3283685916925781E-3</v>
      </c>
      <c r="C200" s="4">
        <f t="shared" si="37"/>
        <v>4.895046280327886E-3</v>
      </c>
      <c r="D200" s="4">
        <f t="shared" si="45"/>
        <v>1.1641842958462891E-4</v>
      </c>
      <c r="E200" s="4">
        <f t="shared" si="46"/>
        <v>2.3283685916925781E-4</v>
      </c>
      <c r="F200" s="4">
        <f t="shared" si="47"/>
        <v>4.895046280327886E-3</v>
      </c>
      <c r="G200" s="4">
        <f t="shared" si="47"/>
        <v>1.1641842958462891E-4</v>
      </c>
      <c r="H200" s="4">
        <f t="shared" si="48"/>
        <v>5.8740555363934631E-3</v>
      </c>
      <c r="I200" s="4">
        <f t="shared" si="49"/>
        <v>0.93927817981997808</v>
      </c>
      <c r="J200" s="4">
        <f t="shared" si="50"/>
        <v>1.7116971664311312E-2</v>
      </c>
      <c r="K200" s="4">
        <f t="shared" si="51"/>
        <v>4.274372363528782E-2</v>
      </c>
      <c r="L200" s="4">
        <f t="shared" si="52"/>
        <v>8.6112488042329471E-4</v>
      </c>
      <c r="N200" s="10">
        <f t="shared" si="39"/>
        <v>0.4499756080304349</v>
      </c>
      <c r="O200" s="66">
        <v>4</v>
      </c>
      <c r="P200" s="10">
        <f t="shared" si="40"/>
        <v>8.9711661137639939E-3</v>
      </c>
      <c r="Q200" s="10">
        <f t="shared" si="41"/>
        <v>2.133604077870505E-4</v>
      </c>
      <c r="R200" s="10">
        <f t="shared" si="42"/>
        <v>3.2800590486470854E-2</v>
      </c>
      <c r="S200" s="66"/>
      <c r="T200" s="5">
        <f t="shared" si="53"/>
        <v>15.083333333333371</v>
      </c>
      <c r="U200" s="12">
        <f t="shared" si="43"/>
        <v>24707.703643539437</v>
      </c>
      <c r="V200" s="12">
        <f t="shared" si="38"/>
        <v>897620.0401300576</v>
      </c>
    </row>
    <row r="201" spans="1:22">
      <c r="A201" s="5">
        <f t="shared" si="44"/>
        <v>15.166666666666705</v>
      </c>
      <c r="B201" s="4">
        <f t="shared" si="36"/>
        <v>2.350997973313171E-3</v>
      </c>
      <c r="C201" s="4">
        <f t="shared" si="37"/>
        <v>4.9281330477139642E-3</v>
      </c>
      <c r="D201" s="4">
        <f t="shared" si="45"/>
        <v>1.1754989866565855E-4</v>
      </c>
      <c r="E201" s="4">
        <f t="shared" si="46"/>
        <v>2.3509979733131711E-4</v>
      </c>
      <c r="F201" s="4">
        <f t="shared" si="47"/>
        <v>4.9281330477139642E-3</v>
      </c>
      <c r="G201" s="4">
        <f t="shared" si="47"/>
        <v>1.1754989866565855E-4</v>
      </c>
      <c r="H201" s="4">
        <f t="shared" si="48"/>
        <v>5.913759657256757E-3</v>
      </c>
      <c r="I201" s="4">
        <f t="shared" si="49"/>
        <v>0.93870399983649533</v>
      </c>
      <c r="J201" s="4">
        <f t="shared" si="50"/>
        <v>1.729173993526114E-2</v>
      </c>
      <c r="K201" s="4">
        <f t="shared" si="51"/>
        <v>4.3134278370635167E-2</v>
      </c>
      <c r="L201" s="4">
        <f t="shared" si="52"/>
        <v>8.699818576088595E-4</v>
      </c>
      <c r="N201" s="10">
        <f t="shared" si="39"/>
        <v>0.44787583671062786</v>
      </c>
      <c r="O201" s="66">
        <v>2</v>
      </c>
      <c r="P201" s="10">
        <f t="shared" si="40"/>
        <v>4.4957001867637486E-3</v>
      </c>
      <c r="Q201" s="10">
        <f t="shared" si="41"/>
        <v>1.0723515300188663E-4</v>
      </c>
      <c r="R201" s="10">
        <f t="shared" si="42"/>
        <v>1.6500520916149536E-2</v>
      </c>
      <c r="S201" s="66"/>
      <c r="T201" s="5">
        <f t="shared" si="53"/>
        <v>15.166666666666705</v>
      </c>
      <c r="U201" s="12">
        <f t="shared" si="43"/>
        <v>24814.600356101269</v>
      </c>
      <c r="V201" s="12">
        <f t="shared" si="38"/>
        <v>895361.92889030126</v>
      </c>
    </row>
    <row r="202" spans="1:22">
      <c r="A202" s="5">
        <f t="shared" si="44"/>
        <v>15.250000000000039</v>
      </c>
      <c r="B202" s="4">
        <f t="shared" si="36"/>
        <v>2.3738929104477548E-3</v>
      </c>
      <c r="C202" s="4">
        <f t="shared" si="37"/>
        <v>4.9614688987515559E-3</v>
      </c>
      <c r="D202" s="4">
        <f t="shared" si="45"/>
        <v>1.1869464552238774E-4</v>
      </c>
      <c r="E202" s="4">
        <f t="shared" si="46"/>
        <v>2.3738929104477548E-4</v>
      </c>
      <c r="F202" s="4">
        <f t="shared" si="47"/>
        <v>4.9614688987515559E-3</v>
      </c>
      <c r="G202" s="4">
        <f t="shared" si="47"/>
        <v>1.1869464552238774E-4</v>
      </c>
      <c r="H202" s="4">
        <f t="shared" si="48"/>
        <v>5.9537626785018671E-3</v>
      </c>
      <c r="I202" s="4">
        <f t="shared" si="49"/>
        <v>0.93812573077980577</v>
      </c>
      <c r="J202" s="4">
        <f t="shared" si="50"/>
        <v>1.7468038041869281E-2</v>
      </c>
      <c r="K202" s="4">
        <f t="shared" si="51"/>
        <v>4.3527313292489746E-2</v>
      </c>
      <c r="L202" s="4">
        <f t="shared" si="52"/>
        <v>8.789178858357677E-4</v>
      </c>
      <c r="N202" s="10">
        <f t="shared" si="39"/>
        <v>0.44578375393127023</v>
      </c>
      <c r="O202" s="66">
        <v>4</v>
      </c>
      <c r="P202" s="10">
        <f t="shared" si="40"/>
        <v>9.0117007754966852E-3</v>
      </c>
      <c r="Q202" s="10">
        <f t="shared" si="41"/>
        <v>2.1558950603732641E-4</v>
      </c>
      <c r="R202" s="10">
        <f t="shared" si="42"/>
        <v>3.3202234270435796E-2</v>
      </c>
      <c r="S202" s="66"/>
      <c r="T202" s="5">
        <f t="shared" si="53"/>
        <v>15.250000000000039</v>
      </c>
      <c r="U202" s="12">
        <f t="shared" si="43"/>
        <v>24920.565009390266</v>
      </c>
      <c r="V202" s="12">
        <f t="shared" si="38"/>
        <v>893096.05023316701</v>
      </c>
    </row>
    <row r="203" spans="1:22">
      <c r="A203" s="5">
        <f t="shared" si="44"/>
        <v>15.333333333333373</v>
      </c>
      <c r="B203" s="4">
        <f t="shared" si="36"/>
        <v>2.3970565193870076E-3</v>
      </c>
      <c r="C203" s="4">
        <f t="shared" si="37"/>
        <v>4.9950557085910677E-3</v>
      </c>
      <c r="D203" s="4">
        <f t="shared" si="45"/>
        <v>1.1985282596935039E-4</v>
      </c>
      <c r="E203" s="4">
        <f t="shared" si="46"/>
        <v>2.3970565193870077E-4</v>
      </c>
      <c r="F203" s="4">
        <f t="shared" si="47"/>
        <v>4.9950557085910677E-3</v>
      </c>
      <c r="G203" s="4">
        <f t="shared" si="47"/>
        <v>1.1985282596935039E-4</v>
      </c>
      <c r="H203" s="4">
        <f t="shared" si="48"/>
        <v>5.9940668503092815E-3</v>
      </c>
      <c r="I203" s="4">
        <f t="shared" si="49"/>
        <v>0.93754333949366464</v>
      </c>
      <c r="J203" s="4">
        <f t="shared" si="50"/>
        <v>1.7645881609051763E-2</v>
      </c>
      <c r="K203" s="4">
        <f t="shared" si="51"/>
        <v>4.3922845095186056E-2</v>
      </c>
      <c r="L203" s="4">
        <f t="shared" si="52"/>
        <v>8.8793380209806227E-4</v>
      </c>
      <c r="N203" s="10">
        <f t="shared" si="39"/>
        <v>0.44369932406193008</v>
      </c>
      <c r="O203" s="66">
        <v>2</v>
      </c>
      <c r="P203" s="10">
        <f t="shared" si="40"/>
        <v>4.516033543781728E-3</v>
      </c>
      <c r="Q203" s="10">
        <f t="shared" si="41"/>
        <v>1.0835902820136726E-4</v>
      </c>
      <c r="R203" s="10">
        <f t="shared" si="42"/>
        <v>1.6702088133102283E-2</v>
      </c>
      <c r="S203" s="66"/>
      <c r="T203" s="5">
        <f t="shared" si="53"/>
        <v>15.333333333333373</v>
      </c>
      <c r="U203" s="12">
        <f t="shared" si="43"/>
        <v>25025.583343809816</v>
      </c>
      <c r="V203" s="12">
        <f t="shared" si="38"/>
        <v>890822.37443241035</v>
      </c>
    </row>
    <row r="204" spans="1:22">
      <c r="A204" s="5">
        <f t="shared" si="44"/>
        <v>15.416666666666707</v>
      </c>
      <c r="B204" s="4">
        <f t="shared" si="36"/>
        <v>2.4204919529912418E-3</v>
      </c>
      <c r="C204" s="4">
        <f t="shared" si="37"/>
        <v>5.0288953664994109E-3</v>
      </c>
      <c r="D204" s="4">
        <f t="shared" si="45"/>
        <v>1.2102459764956209E-4</v>
      </c>
      <c r="E204" s="4">
        <f t="shared" si="46"/>
        <v>2.4204919529912419E-4</v>
      </c>
      <c r="F204" s="4">
        <f t="shared" si="47"/>
        <v>5.0288953664994109E-3</v>
      </c>
      <c r="G204" s="4">
        <f t="shared" si="47"/>
        <v>1.2102459764956209E-4</v>
      </c>
      <c r="H204" s="4">
        <f t="shared" si="48"/>
        <v>6.0346744397992928E-3</v>
      </c>
      <c r="I204" s="4">
        <f t="shared" si="49"/>
        <v>0.9369567925782244</v>
      </c>
      <c r="J204" s="4">
        <f t="shared" si="50"/>
        <v>1.7825286399563767E-2</v>
      </c>
      <c r="K204" s="4">
        <f t="shared" si="51"/>
        <v>4.4320890570704569E-2</v>
      </c>
      <c r="L204" s="4">
        <f t="shared" si="52"/>
        <v>8.9703045150774552E-4</v>
      </c>
      <c r="N204" s="10">
        <f t="shared" si="39"/>
        <v>0.44162251161526789</v>
      </c>
      <c r="O204" s="66">
        <v>4</v>
      </c>
      <c r="P204" s="10">
        <f t="shared" si="40"/>
        <v>9.0524990739809085E-3</v>
      </c>
      <c r="Q204" s="10">
        <f t="shared" si="41"/>
        <v>2.1785600580395397E-4</v>
      </c>
      <c r="R204" s="10">
        <f t="shared" si="42"/>
        <v>3.3606876271744864E-2</v>
      </c>
      <c r="S204" s="66"/>
      <c r="T204" s="5">
        <f t="shared" si="53"/>
        <v>15.416666666666707</v>
      </c>
      <c r="U204" s="12">
        <f t="shared" si="43"/>
        <v>25129.640996890099</v>
      </c>
      <c r="V204" s="12">
        <f t="shared" si="38"/>
        <v>888540.87154611654</v>
      </c>
    </row>
    <row r="205" spans="1:22">
      <c r="A205" s="5">
        <f t="shared" si="44"/>
        <v>15.500000000000041</v>
      </c>
      <c r="B205" s="4">
        <f t="shared" si="36"/>
        <v>2.4442024011195451E-3</v>
      </c>
      <c r="C205" s="4">
        <f t="shared" si="37"/>
        <v>5.0629897759662586E-3</v>
      </c>
      <c r="D205" s="4">
        <f t="shared" si="45"/>
        <v>1.2221012005597727E-4</v>
      </c>
      <c r="E205" s="4">
        <f t="shared" si="46"/>
        <v>2.4442024011195454E-4</v>
      </c>
      <c r="F205" s="4">
        <f t="shared" si="47"/>
        <v>5.0629897759662586E-3</v>
      </c>
      <c r="G205" s="4">
        <f t="shared" si="47"/>
        <v>1.2221012005597727E-4</v>
      </c>
      <c r="H205" s="4">
        <f t="shared" si="48"/>
        <v>6.07558773115951E-3</v>
      </c>
      <c r="I205" s="4">
        <f t="shared" si="49"/>
        <v>0.93636605638887849</v>
      </c>
      <c r="J205" s="4">
        <f t="shared" si="50"/>
        <v>1.8006268314748042E-2</v>
      </c>
      <c r="K205" s="4">
        <f t="shared" si="51"/>
        <v>4.4721466609015027E-2</v>
      </c>
      <c r="L205" s="4">
        <f t="shared" si="52"/>
        <v>9.0620868735890084E-4</v>
      </c>
      <c r="N205" s="10">
        <f t="shared" si="39"/>
        <v>0.43955328124667092</v>
      </c>
      <c r="O205" s="66">
        <v>2</v>
      </c>
      <c r="P205" s="10">
        <f t="shared" si="40"/>
        <v>4.5364982476591639E-3</v>
      </c>
      <c r="Q205" s="10">
        <f t="shared" si="41"/>
        <v>1.0950170156611662E-4</v>
      </c>
      <c r="R205" s="10">
        <f t="shared" si="42"/>
        <v>1.690517136274414E-2</v>
      </c>
      <c r="S205" s="66"/>
      <c r="T205" s="5">
        <f t="shared" si="53"/>
        <v>15.500000000000041</v>
      </c>
      <c r="U205" s="12">
        <f t="shared" si="43"/>
        <v>25232.723503428842</v>
      </c>
      <c r="V205" s="12">
        <f t="shared" si="38"/>
        <v>886251.51141373278</v>
      </c>
    </row>
    <row r="206" spans="1:22">
      <c r="A206" s="5">
        <f t="shared" si="44"/>
        <v>15.583333333333375</v>
      </c>
      <c r="B206" s="4">
        <f t="shared" si="36"/>
        <v>2.4681910910639608E-3</v>
      </c>
      <c r="C206" s="4">
        <f t="shared" si="37"/>
        <v>5.0973408548111443E-3</v>
      </c>
      <c r="D206" s="4">
        <f t="shared" si="45"/>
        <v>1.2340955455319804E-4</v>
      </c>
      <c r="E206" s="4">
        <f t="shared" si="46"/>
        <v>2.4681910910639607E-4</v>
      </c>
      <c r="F206" s="4">
        <f t="shared" si="47"/>
        <v>5.0973408548111443E-3</v>
      </c>
      <c r="G206" s="4">
        <f t="shared" si="47"/>
        <v>1.2340955455319804E-4</v>
      </c>
      <c r="H206" s="4">
        <f t="shared" si="48"/>
        <v>6.116809025773373E-3</v>
      </c>
      <c r="I206" s="4">
        <f t="shared" si="49"/>
        <v>0.93577109703511563</v>
      </c>
      <c r="J206" s="4">
        <f t="shared" si="50"/>
        <v>1.8188843395275888E-2</v>
      </c>
      <c r="K206" s="4">
        <f t="shared" si="51"/>
        <v>4.5124590198416893E-2</v>
      </c>
      <c r="L206" s="4">
        <f t="shared" si="52"/>
        <v>9.1546937119201281E-4</v>
      </c>
      <c r="N206" s="10">
        <f t="shared" si="39"/>
        <v>0.43749159775389573</v>
      </c>
      <c r="O206" s="66">
        <v>4</v>
      </c>
      <c r="P206" s="10">
        <f t="shared" si="40"/>
        <v>9.0935591084158815E-3</v>
      </c>
      <c r="Q206" s="10">
        <f t="shared" si="41"/>
        <v>2.2016029746442354E-4</v>
      </c>
      <c r="R206" s="10">
        <f t="shared" si="42"/>
        <v>3.4014584051621041E-2</v>
      </c>
      <c r="S206" s="66"/>
      <c r="T206" s="5">
        <f t="shared" si="53"/>
        <v>15.583333333333375</v>
      </c>
      <c r="U206" s="12">
        <f t="shared" si="43"/>
        <v>25334.816295655673</v>
      </c>
      <c r="V206" s="12">
        <f t="shared" si="38"/>
        <v>883954.26365305355</v>
      </c>
    </row>
    <row r="207" spans="1:22">
      <c r="A207" s="5">
        <f t="shared" si="44"/>
        <v>15.666666666666709</v>
      </c>
      <c r="B207" s="4">
        <f t="shared" si="36"/>
        <v>2.4924612879887722E-3</v>
      </c>
      <c r="C207" s="4">
        <f t="shared" si="37"/>
        <v>5.1319505352913058E-3</v>
      </c>
      <c r="D207" s="4">
        <f t="shared" si="45"/>
        <v>1.2462306439943861E-4</v>
      </c>
      <c r="E207" s="4">
        <f t="shared" si="46"/>
        <v>2.4924612879887722E-4</v>
      </c>
      <c r="F207" s="4">
        <f t="shared" si="47"/>
        <v>5.1319505352913058E-3</v>
      </c>
      <c r="G207" s="4">
        <f t="shared" si="47"/>
        <v>1.2462306439943861E-4</v>
      </c>
      <c r="H207" s="4">
        <f t="shared" si="48"/>
        <v>6.1583406423495668E-3</v>
      </c>
      <c r="I207" s="4">
        <f t="shared" si="49"/>
        <v>0.93517188037938459</v>
      </c>
      <c r="J207" s="4">
        <f t="shared" si="50"/>
        <v>1.83730278218803E-2</v>
      </c>
      <c r="K207" s="4">
        <f t="shared" si="51"/>
        <v>4.5530278425877029E-2</v>
      </c>
      <c r="L207" s="4">
        <f t="shared" si="52"/>
        <v>9.2481337285847806E-4</v>
      </c>
      <c r="N207" s="10">
        <f t="shared" si="39"/>
        <v>0.43543742607671554</v>
      </c>
      <c r="O207" s="66">
        <v>2</v>
      </c>
      <c r="P207" s="10">
        <f t="shared" si="40"/>
        <v>4.5570933331694112E-3</v>
      </c>
      <c r="Q207" s="10">
        <f t="shared" si="41"/>
        <v>1.1066336903061888E-4</v>
      </c>
      <c r="R207" s="10">
        <f t="shared" si="42"/>
        <v>1.7109804329766293E-2</v>
      </c>
      <c r="S207" s="66"/>
      <c r="T207" s="5">
        <f t="shared" si="53"/>
        <v>15.666666666666709</v>
      </c>
      <c r="U207" s="12">
        <f t="shared" si="43"/>
        <v>25435.904703420732</v>
      </c>
      <c r="V207" s="12">
        <f t="shared" si="38"/>
        <v>881649.09765715862</v>
      </c>
    </row>
    <row r="208" spans="1:22">
      <c r="A208" s="5">
        <f t="shared" si="44"/>
        <v>15.750000000000043</v>
      </c>
      <c r="B208" s="4">
        <f t="shared" si="36"/>
        <v>2.5170162953749142E-3</v>
      </c>
      <c r="C208" s="4">
        <f t="shared" si="37"/>
        <v>5.1668207642103885E-3</v>
      </c>
      <c r="D208" s="4">
        <f t="shared" si="45"/>
        <v>1.2585081476874571E-4</v>
      </c>
      <c r="E208" s="4">
        <f t="shared" si="46"/>
        <v>2.5170162953749143E-4</v>
      </c>
      <c r="F208" s="4">
        <f t="shared" si="47"/>
        <v>5.1668207642103885E-3</v>
      </c>
      <c r="G208" s="4">
        <f t="shared" si="47"/>
        <v>1.2585081476874571E-4</v>
      </c>
      <c r="H208" s="4">
        <f t="shared" si="48"/>
        <v>6.2001849170524662E-3</v>
      </c>
      <c r="I208" s="4">
        <f t="shared" si="49"/>
        <v>0.93456837203596976</v>
      </c>
      <c r="J208" s="4">
        <f t="shared" si="50"/>
        <v>1.8558837916080921E-2</v>
      </c>
      <c r="K208" s="4">
        <f t="shared" si="51"/>
        <v>4.5938548477364394E-2</v>
      </c>
      <c r="L208" s="4">
        <f t="shared" si="52"/>
        <v>9.3424157058529965E-4</v>
      </c>
      <c r="N208" s="10">
        <f t="shared" si="39"/>
        <v>0.4333907312965754</v>
      </c>
      <c r="O208" s="66">
        <v>4</v>
      </c>
      <c r="P208" s="10">
        <f t="shared" si="40"/>
        <v>9.1348789183314343E-3</v>
      </c>
      <c r="Q208" s="10">
        <f t="shared" si="41"/>
        <v>2.2250277436545454E-4</v>
      </c>
      <c r="R208" s="10">
        <f t="shared" si="42"/>
        <v>3.4425424943250071E-2</v>
      </c>
      <c r="S208" s="66"/>
      <c r="T208" s="5">
        <f t="shared" si="53"/>
        <v>15.750000000000043</v>
      </c>
      <c r="U208" s="12">
        <f t="shared" si="43"/>
        <v>25535.973954408215</v>
      </c>
      <c r="V208" s="12">
        <f t="shared" si="38"/>
        <v>879335.9825913026</v>
      </c>
    </row>
    <row r="209" spans="1:22">
      <c r="A209" s="5">
        <f t="shared" si="44"/>
        <v>15.833333333333377</v>
      </c>
      <c r="B209" s="4">
        <f t="shared" si="36"/>
        <v>2.5418594554696364E-3</v>
      </c>
      <c r="C209" s="4">
        <f t="shared" si="37"/>
        <v>5.2019535030279757E-3</v>
      </c>
      <c r="D209" s="4">
        <f t="shared" si="45"/>
        <v>1.2709297277348184E-4</v>
      </c>
      <c r="E209" s="4">
        <f t="shared" si="46"/>
        <v>2.5418594554696368E-4</v>
      </c>
      <c r="F209" s="4">
        <f t="shared" si="47"/>
        <v>5.2019535030279757E-3</v>
      </c>
      <c r="G209" s="4">
        <f t="shared" si="47"/>
        <v>1.2709297277348184E-4</v>
      </c>
      <c r="H209" s="4">
        <f t="shared" si="48"/>
        <v>6.2423442036335704E-3</v>
      </c>
      <c r="I209" s="4">
        <f t="shared" si="49"/>
        <v>0.93396053736987827</v>
      </c>
      <c r="J209" s="4">
        <f t="shared" si="50"/>
        <v>1.8746290140900373E-2</v>
      </c>
      <c r="K209" s="4">
        <f t="shared" si="51"/>
        <v>4.634941763818181E-2</v>
      </c>
      <c r="L209" s="4">
        <f t="shared" si="52"/>
        <v>9.4375485103995811E-4</v>
      </c>
      <c r="N209" s="10">
        <f t="shared" si="39"/>
        <v>0.43135147863625362</v>
      </c>
      <c r="O209" s="66">
        <v>2</v>
      </c>
      <c r="P209" s="10">
        <f t="shared" si="40"/>
        <v>4.5778178048852978E-3</v>
      </c>
      <c r="Q209" s="10">
        <f t="shared" si="41"/>
        <v>1.1184422800003615E-4</v>
      </c>
      <c r="R209" s="10">
        <f t="shared" si="42"/>
        <v>1.7316020640429242E-2</v>
      </c>
      <c r="S209" s="66"/>
      <c r="T209" s="5">
        <f t="shared" si="53"/>
        <v>15.833333333333377</v>
      </c>
      <c r="U209" s="12">
        <f t="shared" si="43"/>
        <v>25635.009174375555</v>
      </c>
      <c r="V209" s="12">
        <f t="shared" si="38"/>
        <v>877014.88738975557</v>
      </c>
    </row>
    <row r="210" spans="1:22">
      <c r="A210" s="5">
        <f t="shared" si="44"/>
        <v>15.91666666666671</v>
      </c>
      <c r="B210" s="4">
        <f t="shared" si="36"/>
        <v>2.5669941497414189E-3</v>
      </c>
      <c r="C210" s="4">
        <f t="shared" si="37"/>
        <v>5.2373507279698823E-3</v>
      </c>
      <c r="D210" s="4">
        <f t="shared" si="45"/>
        <v>1.2834970748707095E-4</v>
      </c>
      <c r="E210" s="4">
        <f t="shared" si="46"/>
        <v>2.566994149741419E-4</v>
      </c>
      <c r="F210" s="4">
        <f t="shared" si="47"/>
        <v>5.2373507279698823E-3</v>
      </c>
      <c r="G210" s="4">
        <f t="shared" si="47"/>
        <v>1.2834970748707095E-4</v>
      </c>
      <c r="H210" s="4">
        <f t="shared" si="48"/>
        <v>6.2848208735638584E-3</v>
      </c>
      <c r="I210" s="4">
        <f t="shared" si="49"/>
        <v>0.93334834149573886</v>
      </c>
      <c r="J210" s="4">
        <f t="shared" si="50"/>
        <v>1.8935401101571579E-2</v>
      </c>
      <c r="K210" s="4">
        <f t="shared" si="51"/>
        <v>4.6762903293294515E-2</v>
      </c>
      <c r="L210" s="4">
        <f t="shared" si="52"/>
        <v>9.5335410939544963E-4</v>
      </c>
      <c r="N210" s="10">
        <f t="shared" si="39"/>
        <v>0.42931963345952889</v>
      </c>
      <c r="O210" s="66">
        <v>4</v>
      </c>
      <c r="P210" s="10">
        <f t="shared" si="40"/>
        <v>9.1764564821188669E-3</v>
      </c>
      <c r="Q210" s="10">
        <f t="shared" si="41"/>
        <v>2.248838327664058E-4</v>
      </c>
      <c r="R210" s="10">
        <f t="shared" si="42"/>
        <v>3.4839466033906197E-2</v>
      </c>
      <c r="S210" s="66"/>
      <c r="T210" s="5">
        <f t="shared" si="53"/>
        <v>15.91666666666671</v>
      </c>
      <c r="U210" s="12">
        <f t="shared" si="43"/>
        <v>25732.995387418934</v>
      </c>
      <c r="V210" s="12">
        <f t="shared" si="38"/>
        <v>874685.78075259365</v>
      </c>
    </row>
    <row r="211" spans="1:22">
      <c r="A211" s="5">
        <f t="shared" si="44"/>
        <v>16.000000000000043</v>
      </c>
      <c r="B211" s="4">
        <f t="shared" ref="B211:B274" si="54">B$3+B$4*EXP(B$5*(B$12+A211))</f>
        <v>2.5924237993402259E-3</v>
      </c>
      <c r="C211" s="4">
        <f t="shared" ref="C211:C274" si="55">B$6+B$7*EXP(B$8*(B$12+A211))</f>
        <v>5.2730144301393455E-3</v>
      </c>
      <c r="D211" s="4">
        <f t="shared" si="45"/>
        <v>1.2962118996701129E-4</v>
      </c>
      <c r="E211" s="4">
        <f t="shared" si="46"/>
        <v>2.5924237993402258E-4</v>
      </c>
      <c r="F211" s="4">
        <f t="shared" si="47"/>
        <v>5.2730144301393455E-3</v>
      </c>
      <c r="G211" s="4">
        <f t="shared" si="47"/>
        <v>1.2962118996701129E-4</v>
      </c>
      <c r="H211" s="4">
        <f t="shared" si="48"/>
        <v>6.3276173161672146E-3</v>
      </c>
      <c r="I211" s="4">
        <f t="shared" si="49"/>
        <v>0.93273174927671376</v>
      </c>
      <c r="J211" s="4">
        <f t="shared" si="50"/>
        <v>1.9126187546235671E-2</v>
      </c>
      <c r="K211" s="4">
        <f t="shared" si="51"/>
        <v>4.7179022927655564E-2</v>
      </c>
      <c r="L211" s="4">
        <f t="shared" si="52"/>
        <v>9.6304024939548568E-4</v>
      </c>
      <c r="N211" s="10">
        <f t="shared" si="39"/>
        <v>0.42729516127085532</v>
      </c>
      <c r="O211" s="66">
        <v>2</v>
      </c>
      <c r="P211" s="10">
        <f t="shared" si="40"/>
        <v>4.598670636438657E-3</v>
      </c>
      <c r="Q211" s="10">
        <f t="shared" si="41"/>
        <v>1.1304447732106425E-4</v>
      </c>
      <c r="R211" s="10">
        <f t="shared" si="42"/>
        <v>1.7523853773397928E-2</v>
      </c>
      <c r="S211" s="66"/>
      <c r="T211" s="5">
        <f t="shared" si="53"/>
        <v>16.000000000000043</v>
      </c>
      <c r="U211" s="12">
        <f t="shared" si="43"/>
        <v>25829.917516265879</v>
      </c>
      <c r="V211" s="12">
        <f t="shared" ref="V211:V274" si="56">V212-B$13*(B$15*V212-B$10-E212*(U212-V212)-(F212+G212)*(B$11-V212))</f>
        <v>872348.63114243932</v>
      </c>
    </row>
    <row r="212" spans="1:22">
      <c r="A212" s="5">
        <f t="shared" si="44"/>
        <v>16.083333333333375</v>
      </c>
      <c r="B212" s="4">
        <f t="shared" si="54"/>
        <v>2.6181518655631827E-3</v>
      </c>
      <c r="C212" s="4">
        <f t="shared" si="55"/>
        <v>5.3089466156290132E-3</v>
      </c>
      <c r="D212" s="4">
        <f t="shared" si="45"/>
        <v>1.3090759327815914E-4</v>
      </c>
      <c r="E212" s="4">
        <f t="shared" si="46"/>
        <v>2.6181518655631829E-4</v>
      </c>
      <c r="F212" s="4">
        <f t="shared" si="47"/>
        <v>5.3089466156290132E-3</v>
      </c>
      <c r="G212" s="4">
        <f t="shared" si="47"/>
        <v>1.3090759327815914E-4</v>
      </c>
      <c r="H212" s="4">
        <f t="shared" si="48"/>
        <v>6.3707359387548158E-3</v>
      </c>
      <c r="I212" s="4">
        <f t="shared" si="49"/>
        <v>0.93211072532342265</v>
      </c>
      <c r="J212" s="4">
        <f t="shared" si="50"/>
        <v>1.9318666366630047E-2</v>
      </c>
      <c r="K212" s="4">
        <f t="shared" si="51"/>
        <v>4.7597794126527919E-2</v>
      </c>
      <c r="L212" s="4">
        <f t="shared" si="52"/>
        <v>9.7281418341984345E-4</v>
      </c>
      <c r="N212" s="10">
        <f t="shared" ref="N212:N275" si="57">((1+B$9)^-A212)*I212</f>
        <v>0.42527802771504319</v>
      </c>
      <c r="O212" s="66">
        <v>4</v>
      </c>
      <c r="P212" s="10">
        <f t="shared" ref="P212:P275" si="58">((1+B$9)^-A212)*(I212*C212+J212*F212)*O212</f>
        <v>9.2182897155378939E-3</v>
      </c>
      <c r="Q212" s="10">
        <f t="shared" ref="Q212:Q275" si="59">((1+B$9)^-A212)*(I212*D212+J212*G212)*O212</f>
        <v>2.2730387177925969E-4</v>
      </c>
      <c r="R212" s="10">
        <f t="shared" ref="R212:R275" si="60">((1+B$9)^-A212)*J212*O212</f>
        <v>3.5256774146160179E-2</v>
      </c>
      <c r="S212" s="66"/>
      <c r="T212" s="5">
        <f t="shared" si="53"/>
        <v>16.083333333333375</v>
      </c>
      <c r="U212" s="12">
        <f t="shared" ref="U212:U275" si="61">U213-B$13*(B$15*U213+V$10-B213*(V213-U213)-(C213+D213)*(B$11-U213))</f>
        <v>25925.760382595658</v>
      </c>
      <c r="V212" s="12">
        <f t="shared" si="56"/>
        <v>870003.40678115003</v>
      </c>
    </row>
    <row r="213" spans="1:22">
      <c r="A213" s="5">
        <f t="shared" ref="A213:A276" si="62">A212+1/12</f>
        <v>16.166666666666707</v>
      </c>
      <c r="B213" s="4">
        <f t="shared" si="54"/>
        <v>2.6441818503256916E-3</v>
      </c>
      <c r="C213" s="4">
        <f t="shared" si="55"/>
        <v>5.3451493056337999E-3</v>
      </c>
      <c r="D213" s="4">
        <f t="shared" ref="D213:D276" si="63">0.05*B213</f>
        <v>1.3220909251628459E-4</v>
      </c>
      <c r="E213" s="4">
        <f t="shared" ref="E213:E276" si="64">0.1*B213</f>
        <v>2.6441818503256917E-4</v>
      </c>
      <c r="F213" s="4">
        <f t="shared" ref="F213:G276" si="65">C213</f>
        <v>5.3451493056337999E-3</v>
      </c>
      <c r="G213" s="4">
        <f t="shared" si="65"/>
        <v>1.3220909251628459E-4</v>
      </c>
      <c r="H213" s="4">
        <f t="shared" ref="H213:H276" si="66">1.2*C213</f>
        <v>6.4141791667605601E-3</v>
      </c>
      <c r="I213" s="4">
        <f t="shared" ref="I213:I276" si="67">I212-B$13*(I212*B212-J212*E212)-B$13*I212*(C212+D212)</f>
        <v>0.9314852339928813</v>
      </c>
      <c r="J213" s="4">
        <f t="shared" ref="J213:J276" si="68">J212-B$13*(J212*E212-I212*B212)-B$13*J212*F212-B$13*J212*G212</f>
        <v>1.9512854598766147E-2</v>
      </c>
      <c r="K213" s="4">
        <f t="shared" ref="K213:K276" si="69">K212+B$13*I212*C212+B$13*J212*F212+B$13*L212*H212</f>
        <v>4.8019234575803156E-2</v>
      </c>
      <c r="L213" s="4">
        <f t="shared" ref="L213:L276" si="70">L212+B$13*I212*D212+B$13*J212*G212-B$13*L212*H212</f>
        <v>9.8267683254986068E-4</v>
      </c>
      <c r="N213" s="10">
        <f t="shared" si="57"/>
        <v>0.42326819857694709</v>
      </c>
      <c r="O213" s="66">
        <v>2</v>
      </c>
      <c r="P213" s="10">
        <f t="shared" si="58"/>
        <v>4.6196507697677516E-3</v>
      </c>
      <c r="Q213" s="10">
        <f t="shared" si="59"/>
        <v>1.1426431725104622E-4</v>
      </c>
      <c r="R213" s="10">
        <f t="shared" si="60"/>
        <v>1.7733337070111332E-2</v>
      </c>
      <c r="S213" s="66"/>
      <c r="T213" s="5">
        <f t="shared" ref="T213:T276" si="71">T212+1/12</f>
        <v>16.166666666666707</v>
      </c>
      <c r="U213" s="12">
        <f t="shared" si="61"/>
        <v>26020.508707388279</v>
      </c>
      <c r="V213" s="12">
        <f t="shared" si="56"/>
        <v>867650.07564645447</v>
      </c>
    </row>
    <row r="214" spans="1:22">
      <c r="A214" s="5">
        <f t="shared" si="62"/>
        <v>16.250000000000039</v>
      </c>
      <c r="B214" s="4">
        <f t="shared" si="54"/>
        <v>2.6705172966380885E-3</v>
      </c>
      <c r="C214" s="4">
        <f t="shared" si="55"/>
        <v>5.3816245365645599E-3</v>
      </c>
      <c r="D214" s="4">
        <f t="shared" si="63"/>
        <v>1.3352586483190442E-4</v>
      </c>
      <c r="E214" s="4">
        <f t="shared" si="64"/>
        <v>2.6705172966380884E-4</v>
      </c>
      <c r="F214" s="4">
        <f t="shared" si="65"/>
        <v>5.3816245365645599E-3</v>
      </c>
      <c r="G214" s="4">
        <f t="shared" si="65"/>
        <v>1.3352586483190442E-4</v>
      </c>
      <c r="H214" s="4">
        <f t="shared" si="66"/>
        <v>6.4579494438774714E-3</v>
      </c>
      <c r="I214" s="4">
        <f t="shared" si="67"/>
        <v>0.93085523938745329</v>
      </c>
      <c r="J214" s="4">
        <f t="shared" si="68"/>
        <v>1.9708769423596492E-2</v>
      </c>
      <c r="K214" s="4">
        <f t="shared" si="69"/>
        <v>4.8443362062316628E-2</v>
      </c>
      <c r="L214" s="4">
        <f t="shared" si="70"/>
        <v>9.9262912663406247E-4</v>
      </c>
      <c r="N214" s="10">
        <f t="shared" si="57"/>
        <v>0.42126563978116072</v>
      </c>
      <c r="O214" s="66">
        <v>4</v>
      </c>
      <c r="P214" s="10">
        <f t="shared" si="58"/>
        <v>9.2603764701995814E-3</v>
      </c>
      <c r="Q214" s="10">
        <f t="shared" si="59"/>
        <v>2.2976329330506498E-4</v>
      </c>
      <c r="R214" s="10">
        <f t="shared" si="60"/>
        <v>3.5677415818142787E-2</v>
      </c>
      <c r="S214" s="66"/>
      <c r="T214" s="5">
        <f t="shared" si="71"/>
        <v>16.250000000000039</v>
      </c>
      <c r="U214" s="12">
        <f t="shared" si="61"/>
        <v>26114.147111302835</v>
      </c>
      <c r="V214" s="12">
        <f t="shared" si="56"/>
        <v>865288.60546853591</v>
      </c>
    </row>
    <row r="215" spans="1:22">
      <c r="A215" s="5">
        <f t="shared" si="62"/>
        <v>16.333333333333371</v>
      </c>
      <c r="B215" s="4">
        <f t="shared" si="54"/>
        <v>2.6971617890878849E-3</v>
      </c>
      <c r="C215" s="4">
        <f t="shared" si="55"/>
        <v>5.4183743601626481E-3</v>
      </c>
      <c r="D215" s="4">
        <f t="shared" si="63"/>
        <v>1.3485808945439424E-4</v>
      </c>
      <c r="E215" s="4">
        <f t="shared" si="64"/>
        <v>2.6971617890878848E-4</v>
      </c>
      <c r="F215" s="4">
        <f t="shared" si="65"/>
        <v>5.4183743601626481E-3</v>
      </c>
      <c r="G215" s="4">
        <f t="shared" si="65"/>
        <v>1.3485808945439424E-4</v>
      </c>
      <c r="H215" s="4">
        <f t="shared" si="66"/>
        <v>6.5020492321951773E-3</v>
      </c>
      <c r="I215" s="4">
        <f t="shared" si="67"/>
        <v>0.93022070535381696</v>
      </c>
      <c r="J215" s="4">
        <f t="shared" si="68"/>
        <v>1.9906428167670548E-2</v>
      </c>
      <c r="K215" s="4">
        <f t="shared" si="69"/>
        <v>4.8870194474159051E-2</v>
      </c>
      <c r="L215" s="4">
        <f t="shared" si="70"/>
        <v>1.0026720043539172E-3</v>
      </c>
      <c r="N215" s="10">
        <f t="shared" si="57"/>
        <v>0.41927031739171844</v>
      </c>
      <c r="O215" s="66">
        <v>2</v>
      </c>
      <c r="P215" s="10">
        <f t="shared" si="58"/>
        <v>4.6407571143526954E-3</v>
      </c>
      <c r="Q215" s="10">
        <f t="shared" si="59"/>
        <v>1.1550394942528588E-4</v>
      </c>
      <c r="R215" s="10">
        <f t="shared" si="60"/>
        <v>1.7944503724672822E-2</v>
      </c>
      <c r="S215" s="66"/>
      <c r="T215" s="5">
        <f t="shared" si="71"/>
        <v>16.333333333333371</v>
      </c>
      <c r="U215" s="12">
        <f t="shared" si="61"/>
        <v>26206.660115086044</v>
      </c>
      <c r="V215" s="12">
        <f t="shared" si="56"/>
        <v>862918.9637265614</v>
      </c>
    </row>
    <row r="216" spans="1:22">
      <c r="A216" s="5">
        <f t="shared" si="62"/>
        <v>16.416666666666703</v>
      </c>
      <c r="B216" s="4">
        <f t="shared" si="54"/>
        <v>2.7241189543276913E-3</v>
      </c>
      <c r="C216" s="4">
        <f t="shared" si="55"/>
        <v>5.455400843615333E-3</v>
      </c>
      <c r="D216" s="4">
        <f t="shared" si="63"/>
        <v>1.3620594771638456E-4</v>
      </c>
      <c r="E216" s="4">
        <f t="shared" si="64"/>
        <v>2.7241189543276913E-4</v>
      </c>
      <c r="F216" s="4">
        <f t="shared" si="65"/>
        <v>5.455400843615333E-3</v>
      </c>
      <c r="G216" s="4">
        <f t="shared" si="65"/>
        <v>1.3620594771638456E-4</v>
      </c>
      <c r="H216" s="4">
        <f t="shared" si="66"/>
        <v>6.5464810123383992E-3</v>
      </c>
      <c r="I216" s="4">
        <f t="shared" si="67"/>
        <v>0.92958159548194741</v>
      </c>
      <c r="J216" s="4">
        <f t="shared" si="68"/>
        <v>2.0105848303778959E-2</v>
      </c>
      <c r="K216" s="4">
        <f t="shared" si="69"/>
        <v>4.9299749800984366E-2</v>
      </c>
      <c r="L216" s="4">
        <f t="shared" si="70"/>
        <v>1.0128064132897035E-3</v>
      </c>
      <c r="N216" s="10">
        <f t="shared" si="57"/>
        <v>0.41728219761180352</v>
      </c>
      <c r="O216" s="66">
        <v>4</v>
      </c>
      <c r="P216" s="10">
        <f t="shared" si="58"/>
        <v>9.3027145320248965E-3</v>
      </c>
      <c r="Q216" s="10">
        <f t="shared" si="59"/>
        <v>2.3226250196671668E-4</v>
      </c>
      <c r="R216" s="10">
        <f t="shared" si="60"/>
        <v>3.6101457282835661E-2</v>
      </c>
      <c r="S216" s="66"/>
      <c r="T216" s="5">
        <f t="shared" si="71"/>
        <v>16.416666666666703</v>
      </c>
      <c r="U216" s="12">
        <f t="shared" si="61"/>
        <v>26298.032140011746</v>
      </c>
      <c r="V216" s="12">
        <f t="shared" si="56"/>
        <v>860541.11764515634</v>
      </c>
    </row>
    <row r="217" spans="1:22">
      <c r="A217" s="5">
        <f t="shared" si="62"/>
        <v>16.500000000000036</v>
      </c>
      <c r="B217" s="4">
        <f t="shared" si="54"/>
        <v>2.7513924615688435E-3</v>
      </c>
      <c r="C217" s="4">
        <f t="shared" si="55"/>
        <v>5.4927060696720806E-3</v>
      </c>
      <c r="D217" s="4">
        <f t="shared" si="63"/>
        <v>1.3756962307844218E-4</v>
      </c>
      <c r="E217" s="4">
        <f t="shared" si="64"/>
        <v>2.7513924615688435E-4</v>
      </c>
      <c r="F217" s="4">
        <f t="shared" si="65"/>
        <v>5.4927060696720806E-3</v>
      </c>
      <c r="G217" s="4">
        <f t="shared" si="65"/>
        <v>1.3756962307844218E-4</v>
      </c>
      <c r="H217" s="4">
        <f t="shared" si="66"/>
        <v>6.5912472836064965E-3</v>
      </c>
      <c r="I217" s="4">
        <f t="shared" si="67"/>
        <v>0.92893787310411458</v>
      </c>
      <c r="J217" s="4">
        <f t="shared" si="68"/>
        <v>2.0307047451585621E-2</v>
      </c>
      <c r="K217" s="4">
        <f t="shared" si="69"/>
        <v>4.9732046134313812E-2</v>
      </c>
      <c r="L217" s="4">
        <f t="shared" si="70"/>
        <v>1.0230333099864877E-3</v>
      </c>
      <c r="N217" s="10">
        <f t="shared" si="57"/>
        <v>0.41530124678346392</v>
      </c>
      <c r="O217" s="66">
        <v>2</v>
      </c>
      <c r="P217" s="10">
        <f t="shared" si="58"/>
        <v>4.6619885464386276E-3</v>
      </c>
      <c r="Q217" s="10">
        <f t="shared" si="59"/>
        <v>1.1676357682250155E-4</v>
      </c>
      <c r="R217" s="10">
        <f t="shared" si="60"/>
        <v>1.8157386773247099E-2</v>
      </c>
      <c r="S217" s="66"/>
      <c r="T217" s="5">
        <f t="shared" si="71"/>
        <v>16.500000000000036</v>
      </c>
      <c r="U217" s="12">
        <f t="shared" si="61"/>
        <v>26388.247508352259</v>
      </c>
      <c r="V217" s="12">
        <f t="shared" si="56"/>
        <v>858155.03419082321</v>
      </c>
    </row>
    <row r="218" spans="1:22">
      <c r="A218" s="5">
        <f t="shared" si="62"/>
        <v>16.583333333333368</v>
      </c>
      <c r="B218" s="4">
        <f t="shared" si="54"/>
        <v>2.778986023080817E-3</v>
      </c>
      <c r="C218" s="4">
        <f t="shared" si="55"/>
        <v>5.5302921367616827E-3</v>
      </c>
      <c r="D218" s="4">
        <f t="shared" si="63"/>
        <v>1.3894930115404086E-4</v>
      </c>
      <c r="E218" s="4">
        <f t="shared" si="64"/>
        <v>2.7789860230808172E-4</v>
      </c>
      <c r="F218" s="4">
        <f t="shared" si="65"/>
        <v>5.5302921367616827E-3</v>
      </c>
      <c r="G218" s="4">
        <f t="shared" si="65"/>
        <v>1.3894930115404086E-4</v>
      </c>
      <c r="H218" s="4">
        <f t="shared" si="66"/>
        <v>6.6363505641140194E-3</v>
      </c>
      <c r="I218" s="4">
        <f t="shared" si="67"/>
        <v>0.92828950129389698</v>
      </c>
      <c r="J218" s="4">
        <f t="shared" si="68"/>
        <v>2.0510043378247186E-2</v>
      </c>
      <c r="K218" s="4">
        <f t="shared" si="69"/>
        <v>5.0167101667836077E-2</v>
      </c>
      <c r="L218" s="4">
        <f t="shared" si="70"/>
        <v>1.0333536600201951E-3</v>
      </c>
      <c r="N218" s="10">
        <f t="shared" si="57"/>
        <v>0.41332743138733458</v>
      </c>
      <c r="O218" s="66">
        <v>4</v>
      </c>
      <c r="P218" s="10">
        <f t="shared" si="58"/>
        <v>9.345301619678878E-3</v>
      </c>
      <c r="Q218" s="10">
        <f t="shared" si="59"/>
        <v>2.3480190503796233E-4</v>
      </c>
      <c r="R218" s="10">
        <f t="shared" si="60"/>
        <v>3.6528964446360924E-2</v>
      </c>
      <c r="S218" s="66"/>
      <c r="T218" s="5">
        <f t="shared" si="71"/>
        <v>16.583333333333368</v>
      </c>
      <c r="U218" s="12">
        <f t="shared" si="61"/>
        <v>26477.29044388243</v>
      </c>
      <c r="V218" s="12">
        <f t="shared" si="56"/>
        <v>855760.68006830337</v>
      </c>
    </row>
    <row r="219" spans="1:22">
      <c r="A219" s="5">
        <f t="shared" si="62"/>
        <v>16.6666666666667</v>
      </c>
      <c r="B219" s="4">
        <f t="shared" si="54"/>
        <v>2.8069033946965288E-3</v>
      </c>
      <c r="C219" s="4">
        <f t="shared" si="55"/>
        <v>5.5681611591103242E-3</v>
      </c>
      <c r="D219" s="4">
        <f t="shared" si="63"/>
        <v>1.4034516973482645E-4</v>
      </c>
      <c r="E219" s="4">
        <f t="shared" si="64"/>
        <v>2.8069033946965291E-4</v>
      </c>
      <c r="F219" s="4">
        <f t="shared" si="65"/>
        <v>5.5681611591103242E-3</v>
      </c>
      <c r="G219" s="4">
        <f t="shared" si="65"/>
        <v>1.4034516973482645E-4</v>
      </c>
      <c r="H219" s="4">
        <f t="shared" si="66"/>
        <v>6.681793390932389E-3</v>
      </c>
      <c r="I219" s="4">
        <f t="shared" si="67"/>
        <v>0.92763644286521385</v>
      </c>
      <c r="J219" s="4">
        <f t="shared" si="68"/>
        <v>2.0714853999019428E-2</v>
      </c>
      <c r="K219" s="4">
        <f t="shared" si="69"/>
        <v>5.0604934697703406E-2</v>
      </c>
      <c r="L219" s="4">
        <f t="shared" si="70"/>
        <v>1.0437684380637669E-3</v>
      </c>
      <c r="N219" s="10">
        <f t="shared" si="57"/>
        <v>0.41136071804236707</v>
      </c>
      <c r="O219" s="66">
        <v>2</v>
      </c>
      <c r="P219" s="10">
        <f t="shared" si="58"/>
        <v>4.6833439082465955E-3</v>
      </c>
      <c r="Q219" s="10">
        <f t="shared" si="59"/>
        <v>1.1804340372836019E-4</v>
      </c>
      <c r="R219" s="10">
        <f t="shared" si="60"/>
        <v>1.8372019082949241E-2</v>
      </c>
      <c r="S219" s="66"/>
      <c r="T219" s="5">
        <f t="shared" si="71"/>
        <v>16.6666666666667</v>
      </c>
      <c r="U219" s="12">
        <f t="shared" si="61"/>
        <v>26565.145072417254</v>
      </c>
      <c r="V219" s="12">
        <f t="shared" si="56"/>
        <v>853358.02171688189</v>
      </c>
    </row>
    <row r="220" spans="1:22">
      <c r="A220" s="5">
        <f t="shared" si="62"/>
        <v>16.750000000000032</v>
      </c>
      <c r="B220" s="4">
        <f t="shared" si="54"/>
        <v>2.8351483763235513E-3</v>
      </c>
      <c r="C220" s="4">
        <f t="shared" si="55"/>
        <v>5.6063152668604996E-3</v>
      </c>
      <c r="D220" s="4">
        <f t="shared" si="63"/>
        <v>1.4175741881617757E-4</v>
      </c>
      <c r="E220" s="4">
        <f t="shared" si="64"/>
        <v>2.8351483763235514E-4</v>
      </c>
      <c r="F220" s="4">
        <f t="shared" si="65"/>
        <v>5.6063152668604996E-3</v>
      </c>
      <c r="G220" s="4">
        <f t="shared" si="65"/>
        <v>1.4175741881617757E-4</v>
      </c>
      <c r="H220" s="4">
        <f t="shared" si="66"/>
        <v>6.7275783202325997E-3</v>
      </c>
      <c r="I220" s="4">
        <f t="shared" si="67"/>
        <v>0.92697866037137344</v>
      </c>
      <c r="J220" s="4">
        <f t="shared" si="68"/>
        <v>2.0921497377850016E-2</v>
      </c>
      <c r="K220" s="4">
        <f t="shared" si="69"/>
        <v>5.1045563622823614E-2</v>
      </c>
      <c r="L220" s="4">
        <f t="shared" si="70"/>
        <v>1.0542786279533949E-3</v>
      </c>
      <c r="N220" s="10">
        <f t="shared" si="57"/>
        <v>0.40940107350556665</v>
      </c>
      <c r="O220" s="66">
        <v>4</v>
      </c>
      <c r="P220" s="10">
        <f t="shared" si="58"/>
        <v>9.3881353829799487E-3</v>
      </c>
      <c r="Q220" s="10">
        <f t="shared" si="59"/>
        <v>2.3738191236850024E-4</v>
      </c>
      <c r="R220" s="10">
        <f t="shared" si="60"/>
        <v>3.6960002865240517E-2</v>
      </c>
      <c r="S220" s="66"/>
      <c r="T220" s="5">
        <f t="shared" si="71"/>
        <v>16.750000000000032</v>
      </c>
      <c r="U220" s="12">
        <f t="shared" si="61"/>
        <v>26651.795422383977</v>
      </c>
      <c r="V220" s="12">
        <f t="shared" si="56"/>
        <v>850947.02530663332</v>
      </c>
    </row>
    <row r="221" spans="1:22">
      <c r="A221" s="5">
        <f t="shared" si="62"/>
        <v>16.833333333333364</v>
      </c>
      <c r="B221" s="4">
        <f t="shared" si="54"/>
        <v>2.8637248124613276E-3</v>
      </c>
      <c r="C221" s="4">
        <f t="shared" si="55"/>
        <v>5.6447566061908344E-3</v>
      </c>
      <c r="D221" s="4">
        <f t="shared" si="63"/>
        <v>1.4318624062306637E-4</v>
      </c>
      <c r="E221" s="4">
        <f t="shared" si="64"/>
        <v>2.8637248124613275E-4</v>
      </c>
      <c r="F221" s="4">
        <f t="shared" si="65"/>
        <v>5.6447566061908344E-3</v>
      </c>
      <c r="G221" s="4">
        <f t="shared" si="65"/>
        <v>1.4318624062306637E-4</v>
      </c>
      <c r="H221" s="4">
        <f t="shared" si="66"/>
        <v>6.7737079274290011E-3</v>
      </c>
      <c r="I221" s="4">
        <f t="shared" si="67"/>
        <v>0.92631611610414077</v>
      </c>
      <c r="J221" s="4">
        <f t="shared" si="68"/>
        <v>2.1129991727957122E-2</v>
      </c>
      <c r="K221" s="4">
        <f t="shared" si="69"/>
        <v>5.1489006945147776E-2</v>
      </c>
      <c r="L221" s="4">
        <f t="shared" si="70"/>
        <v>1.0648852227548176E-3</v>
      </c>
      <c r="N221" s="10">
        <f t="shared" si="57"/>
        <v>0.40744846467173518</v>
      </c>
      <c r="O221" s="66">
        <v>2</v>
      </c>
      <c r="P221" s="10">
        <f t="shared" si="58"/>
        <v>4.7048220071720754E-3</v>
      </c>
      <c r="Q221" s="10">
        <f t="shared" si="59"/>
        <v>1.1934363569702938E-4</v>
      </c>
      <c r="R221" s="10">
        <f t="shared" si="60"/>
        <v>1.8588433340211232E-2</v>
      </c>
      <c r="S221" s="66"/>
      <c r="T221" s="5">
        <f t="shared" si="71"/>
        <v>16.833333333333364</v>
      </c>
      <c r="U221" s="12">
        <f t="shared" si="61"/>
        <v>26737.225425429631</v>
      </c>
      <c r="V221" s="12">
        <f t="shared" si="56"/>
        <v>848527.65673460858</v>
      </c>
    </row>
    <row r="222" spans="1:22">
      <c r="A222" s="5">
        <f t="shared" si="62"/>
        <v>16.916666666666696</v>
      </c>
      <c r="B222" s="4">
        <f t="shared" si="54"/>
        <v>2.8926365927244443E-3</v>
      </c>
      <c r="C222" s="4">
        <f t="shared" si="55"/>
        <v>5.6834873394367973E-3</v>
      </c>
      <c r="D222" s="4">
        <f t="shared" si="63"/>
        <v>1.4463182963622221E-4</v>
      </c>
      <c r="E222" s="4">
        <f t="shared" si="64"/>
        <v>2.8926365927244441E-4</v>
      </c>
      <c r="F222" s="4">
        <f t="shared" si="65"/>
        <v>5.6834873394367973E-3</v>
      </c>
      <c r="G222" s="4">
        <f t="shared" si="65"/>
        <v>1.4463182963622221E-4</v>
      </c>
      <c r="H222" s="4">
        <f t="shared" si="66"/>
        <v>6.8201848073241563E-3</v>
      </c>
      <c r="I222" s="4">
        <f t="shared" si="67"/>
        <v>0.9256487720928237</v>
      </c>
      <c r="J222" s="4">
        <f t="shared" si="68"/>
        <v>2.1340355412393396E-2</v>
      </c>
      <c r="K222" s="4">
        <f t="shared" si="69"/>
        <v>5.1935283269953628E-2</v>
      </c>
      <c r="L222" s="4">
        <f t="shared" si="70"/>
        <v>1.0755892248296725E-3</v>
      </c>
      <c r="N222" s="10">
        <f t="shared" si="57"/>
        <v>0.4055028585732236</v>
      </c>
      <c r="O222" s="66">
        <v>4</v>
      </c>
      <c r="P222" s="10">
        <f t="shared" si="58"/>
        <v>9.431213401284581E-3</v>
      </c>
      <c r="Q222" s="10">
        <f t="shared" si="59"/>
        <v>2.4000293630505699E-4</v>
      </c>
      <c r="R222" s="10">
        <f t="shared" si="60"/>
        <v>3.7394637722595318E-2</v>
      </c>
      <c r="S222" s="66"/>
      <c r="T222" s="5">
        <f t="shared" si="71"/>
        <v>16.916666666666696</v>
      </c>
      <c r="U222" s="12">
        <f t="shared" si="61"/>
        <v>26821.418917064915</v>
      </c>
      <c r="V222" s="12">
        <f t="shared" si="56"/>
        <v>846099.88162096078</v>
      </c>
    </row>
    <row r="223" spans="1:22">
      <c r="A223" s="5">
        <f t="shared" si="62"/>
        <v>17.000000000000028</v>
      </c>
      <c r="B223" s="4">
        <f t="shared" si="54"/>
        <v>2.9218876523720719E-3</v>
      </c>
      <c r="C223" s="4">
        <f t="shared" si="55"/>
        <v>5.7225096452123425E-3</v>
      </c>
      <c r="D223" s="4">
        <f t="shared" si="63"/>
        <v>1.4609438261860359E-4</v>
      </c>
      <c r="E223" s="4">
        <f t="shared" si="64"/>
        <v>2.9218876523720718E-4</v>
      </c>
      <c r="F223" s="4">
        <f t="shared" si="65"/>
        <v>5.7225096452123425E-3</v>
      </c>
      <c r="G223" s="4">
        <f t="shared" si="65"/>
        <v>1.4609438261860359E-4</v>
      </c>
      <c r="H223" s="4">
        <f t="shared" si="66"/>
        <v>6.8670115742548105E-3</v>
      </c>
      <c r="I223" s="4">
        <f t="shared" si="67"/>
        <v>0.92497659010337929</v>
      </c>
      <c r="J223" s="4">
        <f t="shared" si="68"/>
        <v>2.1552606944594696E-2</v>
      </c>
      <c r="K223" s="4">
        <f t="shared" si="69"/>
        <v>5.2384411306124486E-2</v>
      </c>
      <c r="L223" s="4">
        <f t="shared" si="70"/>
        <v>1.0863916459018879E-3</v>
      </c>
      <c r="N223" s="10">
        <f t="shared" si="57"/>
        <v>0.40356422237968936</v>
      </c>
      <c r="O223" s="66">
        <v>2</v>
      </c>
      <c r="P223" s="10">
        <f t="shared" si="58"/>
        <v>4.7264216149709819E-3</v>
      </c>
      <c r="Q223" s="10">
        <f t="shared" si="59"/>
        <v>1.2066447951068269E-4</v>
      </c>
      <c r="R223" s="10">
        <f t="shared" si="60"/>
        <v>1.8806662038610818E-2</v>
      </c>
      <c r="S223" s="66"/>
      <c r="T223" s="5">
        <f t="shared" si="71"/>
        <v>17.000000000000028</v>
      </c>
      <c r="U223" s="12">
        <f t="shared" si="61"/>
        <v>26904.35963734542</v>
      </c>
      <c r="V223" s="12">
        <f t="shared" si="56"/>
        <v>843663.66530501039</v>
      </c>
    </row>
    <row r="224" spans="1:22">
      <c r="A224" s="5">
        <f t="shared" si="62"/>
        <v>17.083333333333361</v>
      </c>
      <c r="B224" s="4">
        <f t="shared" si="54"/>
        <v>2.9514819728436027E-3</v>
      </c>
      <c r="C224" s="4">
        <f t="shared" si="55"/>
        <v>5.7618257185324609E-3</v>
      </c>
      <c r="D224" s="4">
        <f t="shared" si="63"/>
        <v>1.4757409864218015E-4</v>
      </c>
      <c r="E224" s="4">
        <f t="shared" si="64"/>
        <v>2.951481972843603E-4</v>
      </c>
      <c r="F224" s="4">
        <f t="shared" si="65"/>
        <v>5.7618257185324609E-3</v>
      </c>
      <c r="G224" s="4">
        <f t="shared" si="65"/>
        <v>1.4757409864218015E-4</v>
      </c>
      <c r="H224" s="4">
        <f t="shared" si="66"/>
        <v>6.9141908622389527E-3</v>
      </c>
      <c r="I224" s="4">
        <f t="shared" si="67"/>
        <v>0.92429953163753975</v>
      </c>
      <c r="J224" s="4">
        <f t="shared" si="68"/>
        <v>2.1766764988913046E-2</v>
      </c>
      <c r="K224" s="4">
        <f t="shared" si="69"/>
        <v>5.2836409866423538E-2</v>
      </c>
      <c r="L224" s="4">
        <f t="shared" si="70"/>
        <v>1.0972935071241066E-3</v>
      </c>
      <c r="N224" s="10">
        <f t="shared" si="57"/>
        <v>0.40163252339786276</v>
      </c>
      <c r="O224" s="66">
        <v>4</v>
      </c>
      <c r="P224" s="10">
        <f t="shared" si="58"/>
        <v>9.4745331818467081E-3</v>
      </c>
      <c r="Q224" s="10">
        <f t="shared" si="59"/>
        <v>2.4266539160830016E-4</v>
      </c>
      <c r="R224" s="10">
        <f t="shared" si="60"/>
        <v>3.7832933803253865E-2</v>
      </c>
      <c r="S224" s="66"/>
      <c r="T224" s="5">
        <f t="shared" si="71"/>
        <v>17.083333333333361</v>
      </c>
      <c r="U224" s="12">
        <f t="shared" si="61"/>
        <v>26986.031231591191</v>
      </c>
      <c r="V224" s="12">
        <f t="shared" si="56"/>
        <v>841218.97284124757</v>
      </c>
    </row>
    <row r="225" spans="1:22">
      <c r="A225" s="5">
        <f t="shared" si="62"/>
        <v>17.166666666666693</v>
      </c>
      <c r="B225" s="4">
        <f t="shared" si="54"/>
        <v>2.9814235823005719E-3</v>
      </c>
      <c r="C225" s="4">
        <f t="shared" si="55"/>
        <v>5.8014377709366509E-3</v>
      </c>
      <c r="D225" s="4">
        <f t="shared" si="63"/>
        <v>1.490711791150286E-4</v>
      </c>
      <c r="E225" s="4">
        <f t="shared" si="64"/>
        <v>2.9814235823005721E-4</v>
      </c>
      <c r="F225" s="4">
        <f t="shared" si="65"/>
        <v>5.8014377709366509E-3</v>
      </c>
      <c r="G225" s="4">
        <f t="shared" si="65"/>
        <v>1.490711791150286E-4</v>
      </c>
      <c r="H225" s="4">
        <f t="shared" si="66"/>
        <v>6.9617253251239809E-3</v>
      </c>
      <c r="I225" s="4">
        <f t="shared" si="67"/>
        <v>0.92361755793195954</v>
      </c>
      <c r="J225" s="4">
        <f t="shared" si="68"/>
        <v>2.1982848361133282E-2</v>
      </c>
      <c r="K225" s="4">
        <f t="shared" si="69"/>
        <v>5.329129786776348E-2</v>
      </c>
      <c r="L225" s="4">
        <f t="shared" si="70"/>
        <v>1.1082958391441268E-3</v>
      </c>
      <c r="N225" s="10">
        <f t="shared" si="57"/>
        <v>0.39970772907132002</v>
      </c>
      <c r="O225" s="66">
        <v>2</v>
      </c>
      <c r="P225" s="10">
        <f t="shared" si="58"/>
        <v>4.7481414669331423E-3</v>
      </c>
      <c r="Q225" s="10">
        <f t="shared" si="59"/>
        <v>1.2200614313689483E-4</v>
      </c>
      <c r="R225" s="10">
        <f t="shared" si="60"/>
        <v>1.9026737466147362E-2</v>
      </c>
      <c r="S225" s="66"/>
      <c r="T225" s="5">
        <f t="shared" si="71"/>
        <v>17.166666666666693</v>
      </c>
      <c r="U225" s="12">
        <f t="shared" si="61"/>
        <v>27066.417251145638</v>
      </c>
      <c r="V225" s="12">
        <f t="shared" si="56"/>
        <v>838765.76899527095</v>
      </c>
    </row>
    <row r="226" spans="1:22">
      <c r="A226" s="5">
        <f t="shared" si="62"/>
        <v>17.250000000000025</v>
      </c>
      <c r="B226" s="4">
        <f t="shared" si="54"/>
        <v>3.0117165561749305E-3</v>
      </c>
      <c r="C226" s="4">
        <f t="shared" si="55"/>
        <v>5.8413480306132963E-3</v>
      </c>
      <c r="D226" s="4">
        <f t="shared" si="63"/>
        <v>1.5058582780874653E-4</v>
      </c>
      <c r="E226" s="4">
        <f t="shared" si="64"/>
        <v>3.0117165561749305E-4</v>
      </c>
      <c r="F226" s="4">
        <f t="shared" si="65"/>
        <v>5.8413480306132963E-3</v>
      </c>
      <c r="G226" s="4">
        <f t="shared" si="65"/>
        <v>1.5058582780874653E-4</v>
      </c>
      <c r="H226" s="4">
        <f t="shared" si="66"/>
        <v>7.0096176367359557E-3</v>
      </c>
      <c r="I226" s="4">
        <f t="shared" si="67"/>
        <v>0.92293062995738506</v>
      </c>
      <c r="J226" s="4">
        <f t="shared" si="68"/>
        <v>2.2200876028972753E-2</v>
      </c>
      <c r="K226" s="4">
        <f t="shared" si="69"/>
        <v>5.3749094331471223E-2</v>
      </c>
      <c r="L226" s="4">
        <f t="shared" si="70"/>
        <v>1.1193996821713486E-3</v>
      </c>
      <c r="N226" s="10">
        <f t="shared" si="57"/>
        <v>0.39778980698026412</v>
      </c>
      <c r="O226" s="66">
        <v>4</v>
      </c>
      <c r="P226" s="10">
        <f t="shared" si="58"/>
        <v>9.5180921581521274E-3</v>
      </c>
      <c r="Q226" s="10">
        <f t="shared" si="59"/>
        <v>2.4536969536547072E-4</v>
      </c>
      <c r="R226" s="10">
        <f t="shared" si="60"/>
        <v>3.8274955467739173E-2</v>
      </c>
      <c r="S226" s="66"/>
      <c r="T226" s="5">
        <f t="shared" si="71"/>
        <v>17.250000000000025</v>
      </c>
      <c r="U226" s="12">
        <f t="shared" si="61"/>
        <v>27145.501154174868</v>
      </c>
      <c r="V226" s="12">
        <f t="shared" si="56"/>
        <v>836304.01823966252</v>
      </c>
    </row>
    <row r="227" spans="1:22">
      <c r="A227" s="5">
        <f t="shared" si="62"/>
        <v>17.333333333333357</v>
      </c>
      <c r="B227" s="4">
        <f t="shared" si="54"/>
        <v>3.0423650177237799E-3</v>
      </c>
      <c r="C227" s="4">
        <f t="shared" si="55"/>
        <v>5.8815587425250261E-3</v>
      </c>
      <c r="D227" s="4">
        <f t="shared" si="63"/>
        <v>1.5211825088618902E-4</v>
      </c>
      <c r="E227" s="4">
        <f t="shared" si="64"/>
        <v>3.0423650177237803E-4</v>
      </c>
      <c r="F227" s="4">
        <f t="shared" si="65"/>
        <v>5.8815587425250261E-3</v>
      </c>
      <c r="G227" s="4">
        <f t="shared" si="65"/>
        <v>1.5211825088618902E-4</v>
      </c>
      <c r="H227" s="4">
        <f t="shared" si="66"/>
        <v>7.0578704910300308E-3</v>
      </c>
      <c r="I227" s="4">
        <f t="shared" si="67"/>
        <v>0.92223870841784583</v>
      </c>
      <c r="J227" s="4">
        <f t="shared" si="68"/>
        <v>2.2420867112563515E-2</v>
      </c>
      <c r="K227" s="4">
        <f t="shared" si="69"/>
        <v>5.4209818383547784E-2</v>
      </c>
      <c r="L227" s="4">
        <f t="shared" si="70"/>
        <v>1.1306060860432135E-3</v>
      </c>
      <c r="N227" s="10">
        <f t="shared" si="57"/>
        <v>0.39587872484131342</v>
      </c>
      <c r="O227" s="66">
        <v>2</v>
      </c>
      <c r="P227" s="10">
        <f t="shared" si="58"/>
        <v>4.7699802610431238E-3</v>
      </c>
      <c r="Q227" s="10">
        <f t="shared" si="59"/>
        <v>1.2336883568385781E-4</v>
      </c>
      <c r="R227" s="10">
        <f t="shared" si="60"/>
        <v>1.9248691691949003E-2</v>
      </c>
      <c r="S227" s="66"/>
      <c r="T227" s="5">
        <f t="shared" si="71"/>
        <v>17.333333333333357</v>
      </c>
      <c r="U227" s="12">
        <f t="shared" si="61"/>
        <v>27223.266306508478</v>
      </c>
      <c r="V227" s="12">
        <f t="shared" si="56"/>
        <v>833833.68474979675</v>
      </c>
    </row>
    <row r="228" spans="1:22">
      <c r="A228" s="5">
        <f t="shared" si="62"/>
        <v>17.416666666666689</v>
      </c>
      <c r="B228" s="4">
        <f t="shared" si="54"/>
        <v>3.0733731385905942E-3</v>
      </c>
      <c r="C228" s="4">
        <f t="shared" si="55"/>
        <v>5.9220721685349972E-3</v>
      </c>
      <c r="D228" s="4">
        <f t="shared" si="63"/>
        <v>1.5366865692952972E-4</v>
      </c>
      <c r="E228" s="4">
        <f t="shared" si="64"/>
        <v>3.0733731385905943E-4</v>
      </c>
      <c r="F228" s="4">
        <f t="shared" si="65"/>
        <v>5.9220721685349972E-3</v>
      </c>
      <c r="G228" s="4">
        <f t="shared" si="65"/>
        <v>1.5366865692952972E-4</v>
      </c>
      <c r="H228" s="4">
        <f t="shared" si="66"/>
        <v>7.1064866022419963E-3</v>
      </c>
      <c r="I228" s="4">
        <f t="shared" si="67"/>
        <v>0.92154175374986924</v>
      </c>
      <c r="J228" s="4">
        <f t="shared" si="68"/>
        <v>2.2642840884916412E-2</v>
      </c>
      <c r="K228" s="4">
        <f t="shared" si="69"/>
        <v>5.4673489254922998E-2</v>
      </c>
      <c r="L228" s="4">
        <f t="shared" si="70"/>
        <v>1.1419161102916228E-3</v>
      </c>
      <c r="N228" s="10">
        <f t="shared" si="57"/>
        <v>0.39397445050729663</v>
      </c>
      <c r="O228" s="66">
        <v>4</v>
      </c>
      <c r="P228" s="10">
        <f t="shared" si="58"/>
        <v>9.5618876882273794E-3</v>
      </c>
      <c r="Q228" s="10">
        <f t="shared" si="59"/>
        <v>2.4811626689858428E-4</v>
      </c>
      <c r="R228" s="10">
        <f t="shared" si="60"/>
        <v>3.8720766625102508E-2</v>
      </c>
      <c r="S228" s="66"/>
      <c r="T228" s="5">
        <f t="shared" si="71"/>
        <v>17.416666666666689</v>
      </c>
      <c r="U228" s="12">
        <f t="shared" si="61"/>
        <v>27299.695982522942</v>
      </c>
      <c r="V228" s="12">
        <f t="shared" si="56"/>
        <v>831354.73239958286</v>
      </c>
    </row>
    <row r="229" spans="1:22">
      <c r="A229" s="5">
        <f t="shared" si="62"/>
        <v>17.500000000000021</v>
      </c>
      <c r="B229" s="4">
        <f t="shared" si="54"/>
        <v>3.1047451393730347E-3</v>
      </c>
      <c r="C229" s="4">
        <f t="shared" si="55"/>
        <v>5.962890587534098E-3</v>
      </c>
      <c r="D229" s="4">
        <f t="shared" si="63"/>
        <v>1.5523725696865175E-4</v>
      </c>
      <c r="E229" s="4">
        <f t="shared" si="64"/>
        <v>3.104745139373035E-4</v>
      </c>
      <c r="F229" s="4">
        <f t="shared" si="65"/>
        <v>5.962890587534098E-3</v>
      </c>
      <c r="G229" s="4">
        <f t="shared" si="65"/>
        <v>1.5523725696865175E-4</v>
      </c>
      <c r="H229" s="4">
        <f t="shared" si="66"/>
        <v>7.155468705040917E-3</v>
      </c>
      <c r="I229" s="4">
        <f t="shared" si="67"/>
        <v>0.92083972612171949</v>
      </c>
      <c r="J229" s="4">
        <f t="shared" si="68"/>
        <v>2.2866816772366402E-2</v>
      </c>
      <c r="K229" s="4">
        <f t="shared" si="69"/>
        <v>5.5140126281705067E-2</v>
      </c>
      <c r="L229" s="4">
        <f t="shared" si="70"/>
        <v>1.1533308242093236E-3</v>
      </c>
      <c r="N229" s="10">
        <f t="shared" si="57"/>
        <v>0.39207695196705772</v>
      </c>
      <c r="O229" s="66">
        <v>2</v>
      </c>
      <c r="P229" s="10">
        <f t="shared" si="58"/>
        <v>4.7919366571283562E-3</v>
      </c>
      <c r="Q229" s="10">
        <f t="shared" si="59"/>
        <v>1.2475276735335249E-4</v>
      </c>
      <c r="R229" s="10">
        <f t="shared" si="60"/>
        <v>1.9472556552395125E-2</v>
      </c>
      <c r="S229" s="66"/>
      <c r="T229" s="5">
        <f t="shared" si="71"/>
        <v>17.500000000000021</v>
      </c>
      <c r="U229" s="12">
        <f t="shared" si="61"/>
        <v>27374.773366068697</v>
      </c>
      <c r="V229" s="12">
        <f t="shared" si="56"/>
        <v>828867.12475714018</v>
      </c>
    </row>
    <row r="230" spans="1:22">
      <c r="A230" s="5">
        <f t="shared" si="62"/>
        <v>17.583333333333353</v>
      </c>
      <c r="B230" s="4">
        <f t="shared" si="54"/>
        <v>3.136485290197413E-3</v>
      </c>
      <c r="C230" s="4">
        <f t="shared" si="55"/>
        <v>6.0040162955691603E-3</v>
      </c>
      <c r="D230" s="4">
        <f t="shared" si="63"/>
        <v>1.5682426450987067E-4</v>
      </c>
      <c r="E230" s="4">
        <f t="shared" si="64"/>
        <v>3.1364852901974135E-4</v>
      </c>
      <c r="F230" s="4">
        <f t="shared" si="65"/>
        <v>6.0040162955691603E-3</v>
      </c>
      <c r="G230" s="4">
        <f t="shared" si="65"/>
        <v>1.5682426450987067E-4</v>
      </c>
      <c r="H230" s="4">
        <f t="shared" si="66"/>
        <v>7.2048195546829917E-3</v>
      </c>
      <c r="I230" s="4">
        <f t="shared" si="67"/>
        <v>0.92013258543266074</v>
      </c>
      <c r="J230" s="4">
        <f t="shared" si="68"/>
        <v>2.3092814354998499E-2</v>
      </c>
      <c r="K230" s="4">
        <f t="shared" si="69"/>
        <v>5.5609748905424791E-2</v>
      </c>
      <c r="L230" s="4">
        <f t="shared" si="70"/>
        <v>1.164851306916245E-3</v>
      </c>
      <c r="N230" s="10">
        <f t="shared" si="57"/>
        <v>0.39018619734526599</v>
      </c>
      <c r="O230" s="66">
        <v>4</v>
      </c>
      <c r="P230" s="10">
        <f t="shared" si="58"/>
        <v>9.6059170529232754E-3</v>
      </c>
      <c r="Q230" s="10">
        <f t="shared" si="59"/>
        <v>2.5090552766807763E-4</v>
      </c>
      <c r="R230" s="10">
        <f t="shared" si="60"/>
        <v>3.917043070457138E-2</v>
      </c>
      <c r="S230" s="66"/>
      <c r="T230" s="5">
        <f t="shared" si="71"/>
        <v>17.583333333333353</v>
      </c>
      <c r="U230" s="12">
        <f t="shared" si="61"/>
        <v>27448.481551442088</v>
      </c>
      <c r="V230" s="12">
        <f t="shared" si="56"/>
        <v>826370.82508040383</v>
      </c>
    </row>
    <row r="231" spans="1:22">
      <c r="A231" s="5">
        <f t="shared" si="62"/>
        <v>17.666666666666686</v>
      </c>
      <c r="B231" s="4">
        <f t="shared" si="54"/>
        <v>3.1685979112999266E-3</v>
      </c>
      <c r="C231" s="4">
        <f t="shared" si="55"/>
        <v>6.0454516059721027E-3</v>
      </c>
      <c r="D231" s="4">
        <f t="shared" si="63"/>
        <v>1.5842989556499634E-4</v>
      </c>
      <c r="E231" s="4">
        <f t="shared" si="64"/>
        <v>3.1685979112999269E-4</v>
      </c>
      <c r="F231" s="4">
        <f t="shared" si="65"/>
        <v>6.0454516059721027E-3</v>
      </c>
      <c r="G231" s="4">
        <f t="shared" si="65"/>
        <v>1.5842989556499634E-4</v>
      </c>
      <c r="H231" s="4">
        <f t="shared" si="66"/>
        <v>7.254541927166523E-3</v>
      </c>
      <c r="I231" s="4">
        <f t="shared" si="67"/>
        <v>0.91942029131224645</v>
      </c>
      <c r="J231" s="4">
        <f t="shared" si="68"/>
        <v>2.3320853367053734E-2</v>
      </c>
      <c r="K231" s="4">
        <f t="shared" si="69"/>
        <v>5.6082376673274308E-2</v>
      </c>
      <c r="L231" s="4">
        <f t="shared" si="70"/>
        <v>1.176478647425775E-3</v>
      </c>
      <c r="N231" s="10">
        <f t="shared" si="57"/>
        <v>0.38830215490223646</v>
      </c>
      <c r="O231" s="66">
        <v>2</v>
      </c>
      <c r="P231" s="10">
        <f t="shared" si="58"/>
        <v>4.8140092759944419E-3</v>
      </c>
      <c r="Q231" s="10">
        <f t="shared" si="59"/>
        <v>1.2615814939140256E-4</v>
      </c>
      <c r="R231" s="10">
        <f t="shared" si="60"/>
        <v>1.9698363636637795E-2</v>
      </c>
      <c r="S231" s="66"/>
      <c r="T231" s="5">
        <f t="shared" si="71"/>
        <v>17.666666666666686</v>
      </c>
      <c r="U231" s="12">
        <f t="shared" si="61"/>
        <v>27520.803544403367</v>
      </c>
      <c r="V231" s="12">
        <f t="shared" si="56"/>
        <v>823865.79631266138</v>
      </c>
    </row>
    <row r="232" spans="1:22">
      <c r="A232" s="5">
        <f t="shared" si="62"/>
        <v>17.750000000000018</v>
      </c>
      <c r="B232" s="4">
        <f t="shared" si="54"/>
        <v>3.2010873736146943E-3</v>
      </c>
      <c r="C232" s="4">
        <f t="shared" si="55"/>
        <v>6.0871988494900619E-3</v>
      </c>
      <c r="D232" s="4">
        <f t="shared" si="63"/>
        <v>1.6005436868073473E-4</v>
      </c>
      <c r="E232" s="4">
        <f t="shared" si="64"/>
        <v>3.2010873736146946E-4</v>
      </c>
      <c r="F232" s="4">
        <f t="shared" si="65"/>
        <v>6.0871988494900619E-3</v>
      </c>
      <c r="G232" s="4">
        <f t="shared" si="65"/>
        <v>1.6005436868073473E-4</v>
      </c>
      <c r="H232" s="4">
        <f t="shared" si="66"/>
        <v>7.3046386193880743E-3</v>
      </c>
      <c r="I232" s="4">
        <f t="shared" si="67"/>
        <v>0.91870280311963459</v>
      </c>
      <c r="J232" s="4">
        <f t="shared" si="68"/>
        <v>2.3550953697314397E-2</v>
      </c>
      <c r="K232" s="4">
        <f t="shared" si="69"/>
        <v>5.6558029238340274E-2</v>
      </c>
      <c r="L232" s="4">
        <f t="shared" si="70"/>
        <v>1.1882139447109584E-3</v>
      </c>
      <c r="N232" s="10">
        <f t="shared" si="57"/>
        <v>0.38642479303375565</v>
      </c>
      <c r="O232" s="66">
        <v>4</v>
      </c>
      <c r="P232" s="10">
        <f t="shared" si="58"/>
        <v>9.6501774541726936E-3</v>
      </c>
      <c r="Q232" s="10">
        <f t="shared" si="59"/>
        <v>2.5373790117174516E-4</v>
      </c>
      <c r="R232" s="10">
        <f t="shared" si="60"/>
        <v>3.962401062597902E-2</v>
      </c>
      <c r="S232" s="66"/>
      <c r="T232" s="5">
        <f t="shared" si="71"/>
        <v>17.750000000000018</v>
      </c>
      <c r="U232" s="12">
        <f t="shared" si="61"/>
        <v>27591.722263241947</v>
      </c>
      <c r="V232" s="12">
        <f t="shared" si="56"/>
        <v>821352.00107801764</v>
      </c>
    </row>
    <row r="233" spans="1:22">
      <c r="A233" s="5">
        <f t="shared" si="62"/>
        <v>17.83333333333335</v>
      </c>
      <c r="B233" s="4">
        <f t="shared" si="54"/>
        <v>3.233958099368695E-3</v>
      </c>
      <c r="C233" s="4">
        <f t="shared" si="55"/>
        <v>6.1292603744164988E-3</v>
      </c>
      <c r="D233" s="4">
        <f t="shared" si="63"/>
        <v>1.6169790496843475E-4</v>
      </c>
      <c r="E233" s="4">
        <f t="shared" si="64"/>
        <v>3.233958099368695E-4</v>
      </c>
      <c r="F233" s="4">
        <f t="shared" si="65"/>
        <v>6.1292603744164988E-3</v>
      </c>
      <c r="G233" s="4">
        <f t="shared" si="65"/>
        <v>1.6169790496843475E-4</v>
      </c>
      <c r="H233" s="4">
        <f t="shared" si="66"/>
        <v>7.3551124492997983E-3</v>
      </c>
      <c r="I233" s="4">
        <f t="shared" si="67"/>
        <v>0.91798007994293029</v>
      </c>
      <c r="J233" s="4">
        <f t="shared" si="68"/>
        <v>2.3783135389467934E-2</v>
      </c>
      <c r="K233" s="4">
        <f t="shared" si="69"/>
        <v>5.7036726359831307E-2</v>
      </c>
      <c r="L233" s="4">
        <f t="shared" si="70"/>
        <v>1.2000583077706049E-3</v>
      </c>
      <c r="N233" s="10">
        <f t="shared" si="57"/>
        <v>0.38455408027091736</v>
      </c>
      <c r="O233" s="66">
        <v>2</v>
      </c>
      <c r="P233" s="10">
        <f t="shared" si="58"/>
        <v>4.8361966985476764E-3</v>
      </c>
      <c r="Q233" s="10">
        <f t="shared" si="59"/>
        <v>1.2758519403654247E-4</v>
      </c>
      <c r="R233" s="10">
        <f t="shared" si="60"/>
        <v>1.9926144271505623E-2</v>
      </c>
      <c r="S233" s="66"/>
      <c r="T233" s="5">
        <f t="shared" si="71"/>
        <v>17.83333333333335</v>
      </c>
      <c r="U233" s="12">
        <f t="shared" si="61"/>
        <v>27661.220539890153</v>
      </c>
      <c r="V233" s="12">
        <f t="shared" si="56"/>
        <v>818829.40167678823</v>
      </c>
    </row>
    <row r="234" spans="1:22">
      <c r="A234" s="5">
        <f t="shared" si="62"/>
        <v>17.916666666666682</v>
      </c>
      <c r="B234" s="4">
        <f t="shared" si="54"/>
        <v>3.2672145626836758E-3</v>
      </c>
      <c r="C234" s="4">
        <f t="shared" si="55"/>
        <v>6.1716385467232796E-3</v>
      </c>
      <c r="D234" s="4">
        <f t="shared" si="63"/>
        <v>1.6336072813418379E-4</v>
      </c>
      <c r="E234" s="4">
        <f t="shared" si="64"/>
        <v>3.2672145626836758E-4</v>
      </c>
      <c r="F234" s="4">
        <f t="shared" si="65"/>
        <v>6.1716385467232796E-3</v>
      </c>
      <c r="G234" s="4">
        <f t="shared" si="65"/>
        <v>1.6336072813418379E-4</v>
      </c>
      <c r="H234" s="4">
        <f t="shared" si="66"/>
        <v>7.405966256067935E-3</v>
      </c>
      <c r="I234" s="4">
        <f t="shared" si="67"/>
        <v>0.91725208059855645</v>
      </c>
      <c r="J234" s="4">
        <f t="shared" si="68"/>
        <v>2.4017418642448798E-2</v>
      </c>
      <c r="K234" s="4">
        <f t="shared" si="69"/>
        <v>5.7518487903299588E-2</v>
      </c>
      <c r="L234" s="4">
        <f t="shared" si="70"/>
        <v>1.2120128556952897E-3</v>
      </c>
      <c r="N234" s="10">
        <f t="shared" si="57"/>
        <v>0.38268998527996539</v>
      </c>
      <c r="O234" s="66">
        <v>4</v>
      </c>
      <c r="P234" s="10">
        <f t="shared" si="58"/>
        <v>9.6946660132227365E-3</v>
      </c>
      <c r="Q234" s="10">
        <f t="shared" si="59"/>
        <v>2.5661381283883562E-4</v>
      </c>
      <c r="R234" s="10">
        <f t="shared" si="60"/>
        <v>4.0081568768941804E-2</v>
      </c>
      <c r="S234" s="66"/>
      <c r="T234" s="5">
        <f t="shared" si="71"/>
        <v>17.916666666666682</v>
      </c>
      <c r="U234" s="12">
        <f t="shared" si="61"/>
        <v>27729.281121086769</v>
      </c>
      <c r="V234" s="12">
        <f t="shared" si="56"/>
        <v>816297.96008081886</v>
      </c>
    </row>
    <row r="235" spans="1:22">
      <c r="A235" s="5">
        <f t="shared" si="62"/>
        <v>18.000000000000014</v>
      </c>
      <c r="B235" s="4">
        <f t="shared" si="54"/>
        <v>3.3008612901851515E-3</v>
      </c>
      <c r="C235" s="4">
        <f t="shared" si="55"/>
        <v>6.2143357501937609E-3</v>
      </c>
      <c r="D235" s="4">
        <f t="shared" si="63"/>
        <v>1.6504306450925758E-4</v>
      </c>
      <c r="E235" s="4">
        <f t="shared" si="64"/>
        <v>3.3008612901851516E-4</v>
      </c>
      <c r="F235" s="4">
        <f t="shared" si="65"/>
        <v>6.2143357501937609E-3</v>
      </c>
      <c r="G235" s="4">
        <f t="shared" si="65"/>
        <v>1.6504306450925758E-4</v>
      </c>
      <c r="H235" s="4">
        <f t="shared" si="66"/>
        <v>7.4572029002325131E-3</v>
      </c>
      <c r="I235" s="4">
        <f t="shared" si="67"/>
        <v>0.91651876363065288</v>
      </c>
      <c r="J235" s="4">
        <f t="shared" si="68"/>
        <v>2.4253823810757549E-2</v>
      </c>
      <c r="K235" s="4">
        <f t="shared" si="69"/>
        <v>5.8003333840856416E-2</v>
      </c>
      <c r="L235" s="4">
        <f t="shared" si="70"/>
        <v>1.2240787177332324E-3</v>
      </c>
      <c r="N235" s="10">
        <f t="shared" si="57"/>
        <v>0.38083247686214444</v>
      </c>
      <c r="O235" s="66">
        <v>2</v>
      </c>
      <c r="P235" s="10">
        <f t="shared" si="58"/>
        <v>4.8584974649046354E-3</v>
      </c>
      <c r="Q235" s="10">
        <f t="shared" si="59"/>
        <v>1.2903411446562387E-4</v>
      </c>
      <c r="R235" s="10">
        <f t="shared" si="60"/>
        <v>2.0155929505773041E-2</v>
      </c>
      <c r="S235" s="66"/>
      <c r="T235" s="5">
        <f t="shared" si="71"/>
        <v>18.000000000000014</v>
      </c>
      <c r="U235" s="12">
        <f t="shared" si="61"/>
        <v>27795.886669591644</v>
      </c>
      <c r="V235" s="12">
        <f t="shared" si="56"/>
        <v>813757.63792873023</v>
      </c>
    </row>
    <row r="236" spans="1:22">
      <c r="A236" s="5">
        <f t="shared" si="62"/>
        <v>18.083333333333346</v>
      </c>
      <c r="B236" s="4">
        <f t="shared" si="54"/>
        <v>3.3349028616185372E-3</v>
      </c>
      <c r="C236" s="4">
        <f t="shared" si="55"/>
        <v>6.2573543865569025E-3</v>
      </c>
      <c r="D236" s="4">
        <f t="shared" si="63"/>
        <v>1.6674514308092687E-4</v>
      </c>
      <c r="E236" s="4">
        <f t="shared" si="64"/>
        <v>3.3349028616185374E-4</v>
      </c>
      <c r="F236" s="4">
        <f t="shared" si="65"/>
        <v>6.2573543865569025E-3</v>
      </c>
      <c r="G236" s="4">
        <f t="shared" si="65"/>
        <v>1.6674514308092687E-4</v>
      </c>
      <c r="H236" s="4">
        <f t="shared" si="66"/>
        <v>7.5088252638682825E-3</v>
      </c>
      <c r="I236" s="4">
        <f t="shared" si="67"/>
        <v>0.91578008731050586</v>
      </c>
      <c r="J236" s="4">
        <f t="shared" si="68"/>
        <v>2.4492371404756491E-2</v>
      </c>
      <c r="K236" s="4">
        <f t="shared" si="69"/>
        <v>5.8491284251381705E-2</v>
      </c>
      <c r="L236" s="4">
        <f t="shared" si="70"/>
        <v>1.2362570333560358E-3</v>
      </c>
      <c r="N236" s="10">
        <f t="shared" si="57"/>
        <v>0.37898152395355938</v>
      </c>
      <c r="O236" s="66">
        <v>4</v>
      </c>
      <c r="P236" s="10">
        <f t="shared" si="58"/>
        <v>9.7393797688409122E-3</v>
      </c>
      <c r="Q236" s="10">
        <f t="shared" si="59"/>
        <v>2.5953368991914525E-4</v>
      </c>
      <c r="R236" s="10">
        <f t="shared" si="60"/>
        <v>4.0543166940750365E-2</v>
      </c>
      <c r="S236" s="66"/>
      <c r="T236" s="5">
        <f t="shared" si="71"/>
        <v>18.083333333333346</v>
      </c>
      <c r="U236" s="12">
        <f t="shared" si="61"/>
        <v>27861.019765452744</v>
      </c>
      <c r="V236" s="12">
        <f t="shared" si="56"/>
        <v>811208.39652108774</v>
      </c>
    </row>
    <row r="237" spans="1:22">
      <c r="A237" s="5">
        <f t="shared" si="62"/>
        <v>18.166666666666679</v>
      </c>
      <c r="B237" s="4">
        <f t="shared" si="54"/>
        <v>3.3693439104725046E-3</v>
      </c>
      <c r="C237" s="4">
        <f t="shared" si="55"/>
        <v>6.3006968756223504E-3</v>
      </c>
      <c r="D237" s="4">
        <f t="shared" si="63"/>
        <v>1.6846719552362523E-4</v>
      </c>
      <c r="E237" s="4">
        <f t="shared" si="64"/>
        <v>3.3693439104725046E-4</v>
      </c>
      <c r="F237" s="4">
        <f t="shared" si="65"/>
        <v>6.3006968756223504E-3</v>
      </c>
      <c r="G237" s="4">
        <f t="shared" si="65"/>
        <v>1.6846719552362523E-4</v>
      </c>
      <c r="H237" s="4">
        <f t="shared" si="66"/>
        <v>7.5608362507468205E-3</v>
      </c>
      <c r="I237" s="4">
        <f t="shared" si="67"/>
        <v>0.91503600963600762</v>
      </c>
      <c r="J237" s="4">
        <f t="shared" si="68"/>
        <v>2.4733082090941116E-2</v>
      </c>
      <c r="K237" s="4">
        <f t="shared" si="69"/>
        <v>5.8982359320727144E-2</v>
      </c>
      <c r="L237" s="4">
        <f t="shared" si="70"/>
        <v>1.2485489523242717E-3</v>
      </c>
      <c r="N237" s="10">
        <f t="shared" si="57"/>
        <v>0.3771370956250425</v>
      </c>
      <c r="O237" s="66">
        <v>2</v>
      </c>
      <c r="P237" s="10">
        <f t="shared" si="58"/>
        <v>4.8809100734888205E-3</v>
      </c>
      <c r="Q237" s="10">
        <f t="shared" si="59"/>
        <v>1.3050512473708763E-4</v>
      </c>
      <c r="R237" s="10">
        <f t="shared" si="60"/>
        <v>2.0387750093777791E-2</v>
      </c>
      <c r="S237" s="66"/>
      <c r="T237" s="5">
        <f t="shared" si="71"/>
        <v>18.166666666666679</v>
      </c>
      <c r="U237" s="12">
        <f t="shared" si="61"/>
        <v>27924.662907326998</v>
      </c>
      <c r="V237" s="12">
        <f t="shared" si="56"/>
        <v>808650.19681549305</v>
      </c>
    </row>
    <row r="238" spans="1:22">
      <c r="A238" s="5">
        <f t="shared" si="62"/>
        <v>18.250000000000011</v>
      </c>
      <c r="B238" s="4">
        <f t="shared" si="54"/>
        <v>3.4041891246096466E-3</v>
      </c>
      <c r="C238" s="4">
        <f t="shared" si="55"/>
        <v>6.3443656554165347E-3</v>
      </c>
      <c r="D238" s="4">
        <f t="shared" si="63"/>
        <v>1.7020945623048234E-4</v>
      </c>
      <c r="E238" s="4">
        <f t="shared" si="64"/>
        <v>3.4041891246096469E-4</v>
      </c>
      <c r="F238" s="4">
        <f t="shared" si="65"/>
        <v>6.3443656554165347E-3</v>
      </c>
      <c r="G238" s="4">
        <f t="shared" si="65"/>
        <v>1.7020945623048234E-4</v>
      </c>
      <c r="H238" s="4">
        <f t="shared" si="66"/>
        <v>7.6132387864998414E-3</v>
      </c>
      <c r="I238" s="4">
        <f t="shared" si="67"/>
        <v>0.91428648833114767</v>
      </c>
      <c r="J238" s="4">
        <f t="shared" si="68"/>
        <v>2.497597669218659E-2</v>
      </c>
      <c r="K238" s="4">
        <f t="shared" si="69"/>
        <v>5.9476579341912986E-2</v>
      </c>
      <c r="L238" s="4">
        <f t="shared" si="70"/>
        <v>1.2609556347528933E-3</v>
      </c>
      <c r="N238" s="10">
        <f t="shared" si="57"/>
        <v>0.37529916108202921</v>
      </c>
      <c r="O238" s="66">
        <v>4</v>
      </c>
      <c r="P238" s="10">
        <f t="shared" si="58"/>
        <v>9.7843156754955692E-3</v>
      </c>
      <c r="Q238" s="10">
        <f t="shared" si="59"/>
        <v>2.6249796136697381E-4</v>
      </c>
      <c r="R238" s="10">
        <f t="shared" si="60"/>
        <v>4.1008866342939737E-2</v>
      </c>
      <c r="S238" s="66"/>
      <c r="T238" s="5">
        <f t="shared" si="71"/>
        <v>18.250000000000011</v>
      </c>
      <c r="U238" s="12">
        <f t="shared" si="61"/>
        <v>27986.798513856334</v>
      </c>
      <c r="V238" s="12">
        <f t="shared" si="56"/>
        <v>806082.99942159804</v>
      </c>
    </row>
    <row r="239" spans="1:22">
      <c r="A239" s="5">
        <f t="shared" si="62"/>
        <v>18.333333333333343</v>
      </c>
      <c r="B239" s="4">
        <f t="shared" si="54"/>
        <v>3.4394432469045709E-3</v>
      </c>
      <c r="C239" s="4">
        <f t="shared" si="55"/>
        <v>6.388363182319827E-3</v>
      </c>
      <c r="D239" s="4">
        <f t="shared" si="63"/>
        <v>1.7197216234522857E-4</v>
      </c>
      <c r="E239" s="4">
        <f t="shared" si="64"/>
        <v>3.4394432469045714E-4</v>
      </c>
      <c r="F239" s="4">
        <f t="shared" si="65"/>
        <v>6.388363182319827E-3</v>
      </c>
      <c r="G239" s="4">
        <f t="shared" si="65"/>
        <v>1.7197216234522857E-4</v>
      </c>
      <c r="H239" s="4">
        <f t="shared" si="66"/>
        <v>7.6660358187837924E-3</v>
      </c>
      <c r="I239" s="4">
        <f t="shared" si="67"/>
        <v>0.91353148084553704</v>
      </c>
      <c r="J239" s="4">
        <f t="shared" si="68"/>
        <v>2.5221076187968528E-2</v>
      </c>
      <c r="K239" s="4">
        <f t="shared" si="69"/>
        <v>5.9973964715318191E-2</v>
      </c>
      <c r="L239" s="4">
        <f t="shared" si="70"/>
        <v>1.273478251176457E-3</v>
      </c>
      <c r="N239" s="10">
        <f t="shared" si="57"/>
        <v>0.37346768966444177</v>
      </c>
      <c r="O239" s="66">
        <v>2</v>
      </c>
      <c r="P239" s="10">
        <f t="shared" si="58"/>
        <v>4.9034329801143301E-3</v>
      </c>
      <c r="Q239" s="10">
        <f t="shared" si="59"/>
        <v>1.3199843973162403E-4</v>
      </c>
      <c r="R239" s="10">
        <f t="shared" si="60"/>
        <v>2.062163647836918E-2</v>
      </c>
      <c r="S239" s="66"/>
      <c r="T239" s="5">
        <f t="shared" si="71"/>
        <v>18.333333333333343</v>
      </c>
      <c r="U239" s="12">
        <f t="shared" si="61"/>
        <v>28047.408925100386</v>
      </c>
      <c r="V239" s="12">
        <f t="shared" si="56"/>
        <v>803506.76459603896</v>
      </c>
    </row>
    <row r="240" spans="1:22">
      <c r="A240" s="5">
        <f t="shared" si="62"/>
        <v>18.416666666666675</v>
      </c>
      <c r="B240" s="4">
        <f t="shared" si="54"/>
        <v>3.4751110758894648E-3</v>
      </c>
      <c r="C240" s="4">
        <f t="shared" si="55"/>
        <v>6.4326919312047252E-3</v>
      </c>
      <c r="D240" s="4">
        <f t="shared" si="63"/>
        <v>1.7375555379447324E-4</v>
      </c>
      <c r="E240" s="4">
        <f t="shared" si="64"/>
        <v>3.4751110758894649E-4</v>
      </c>
      <c r="F240" s="4">
        <f t="shared" si="65"/>
        <v>6.4326919312047252E-3</v>
      </c>
      <c r="G240" s="4">
        <f t="shared" si="65"/>
        <v>1.7375555379447324E-4</v>
      </c>
      <c r="H240" s="4">
        <f t="shared" si="66"/>
        <v>7.7192303174456701E-3</v>
      </c>
      <c r="I240" s="4">
        <f t="shared" si="67"/>
        <v>0.91277094435396489</v>
      </c>
      <c r="J240" s="4">
        <f t="shared" si="68"/>
        <v>2.5468401714557283E-2</v>
      </c>
      <c r="K240" s="4">
        <f t="shared" si="69"/>
        <v>6.0474535948863976E-2</v>
      </c>
      <c r="L240" s="4">
        <f t="shared" si="70"/>
        <v>1.2861179826141407E-3</v>
      </c>
      <c r="N240" s="10">
        <f t="shared" si="57"/>
        <v>0.37164265084658182</v>
      </c>
      <c r="O240" s="66">
        <v>4</v>
      </c>
      <c r="P240" s="10">
        <f t="shared" si="58"/>
        <v>9.8294706015100708E-3</v>
      </c>
      <c r="Q240" s="10">
        <f t="shared" si="59"/>
        <v>2.655070577197707E-4</v>
      </c>
      <c r="R240" s="10">
        <f t="shared" si="60"/>
        <v>4.1478727536503154E-2</v>
      </c>
      <c r="S240" s="66"/>
      <c r="T240" s="5">
        <f t="shared" si="71"/>
        <v>18.416666666666675</v>
      </c>
      <c r="U240" s="12">
        <f t="shared" si="61"/>
        <v>28106.476404027304</v>
      </c>
      <c r="V240" s="12">
        <f t="shared" si="56"/>
        <v>800921.4522372894</v>
      </c>
    </row>
    <row r="241" spans="1:22">
      <c r="A241" s="5">
        <f t="shared" si="62"/>
        <v>18.500000000000007</v>
      </c>
      <c r="B241" s="4">
        <f t="shared" si="54"/>
        <v>3.5111974664072346E-3</v>
      </c>
      <c r="C241" s="4">
        <f t="shared" si="55"/>
        <v>6.4773543955750461E-3</v>
      </c>
      <c r="D241" s="4">
        <f t="shared" si="63"/>
        <v>1.7555987332036174E-4</v>
      </c>
      <c r="E241" s="4">
        <f t="shared" si="64"/>
        <v>3.5111974664072347E-4</v>
      </c>
      <c r="F241" s="4">
        <f t="shared" si="65"/>
        <v>6.4773543955750461E-3</v>
      </c>
      <c r="G241" s="4">
        <f t="shared" si="65"/>
        <v>1.7555987332036174E-4</v>
      </c>
      <c r="H241" s="4">
        <f t="shared" si="66"/>
        <v>7.7728252746900551E-3</v>
      </c>
      <c r="I241" s="4">
        <f t="shared" si="67"/>
        <v>0.91200483575599045</v>
      </c>
      <c r="J241" s="4">
        <f t="shared" si="68"/>
        <v>2.5717974565184959E-2</v>
      </c>
      <c r="K241" s="4">
        <f t="shared" si="69"/>
        <v>6.097831365819039E-2</v>
      </c>
      <c r="L241" s="4">
        <f t="shared" si="70"/>
        <v>1.2988760206345319E-3</v>
      </c>
      <c r="N241" s="10">
        <f t="shared" si="57"/>
        <v>0.36982401423703132</v>
      </c>
      <c r="O241" s="66">
        <v>2</v>
      </c>
      <c r="P241" s="10">
        <f t="shared" si="58"/>
        <v>4.9260645970565014E-3</v>
      </c>
      <c r="Q241" s="10">
        <f t="shared" si="59"/>
        <v>1.3351427509014372E-4</v>
      </c>
      <c r="R241" s="10">
        <f t="shared" si="60"/>
        <v>2.0857618773169096E-2</v>
      </c>
      <c r="S241" s="66"/>
      <c r="T241" s="5">
        <f t="shared" si="71"/>
        <v>18.500000000000007</v>
      </c>
      <c r="U241" s="12">
        <f t="shared" si="61"/>
        <v>28163.983138064239</v>
      </c>
      <c r="V241" s="12">
        <f t="shared" si="56"/>
        <v>798327.02188043098</v>
      </c>
    </row>
    <row r="242" spans="1:22">
      <c r="A242" s="5">
        <f t="shared" si="62"/>
        <v>18.583333333333339</v>
      </c>
      <c r="B242" s="4">
        <f t="shared" si="54"/>
        <v>3.5477073302722932E-3</v>
      </c>
      <c r="C242" s="4">
        <f t="shared" si="55"/>
        <v>6.5223530877061807E-3</v>
      </c>
      <c r="D242" s="4">
        <f t="shared" si="63"/>
        <v>1.7738536651361466E-4</v>
      </c>
      <c r="E242" s="4">
        <f t="shared" si="64"/>
        <v>3.5477073302722932E-4</v>
      </c>
      <c r="F242" s="4">
        <f t="shared" si="65"/>
        <v>6.5223530877061807E-3</v>
      </c>
      <c r="G242" s="4">
        <f t="shared" si="65"/>
        <v>1.7738536651361466E-4</v>
      </c>
      <c r="H242" s="4">
        <f t="shared" si="66"/>
        <v>7.8268237052474161E-3</v>
      </c>
      <c r="I242" s="4">
        <f t="shared" si="67"/>
        <v>0.91123311167556986</v>
      </c>
      <c r="J242" s="4">
        <f t="shared" si="68"/>
        <v>2.5969816190184319E-2</v>
      </c>
      <c r="K242" s="4">
        <f t="shared" si="69"/>
        <v>6.1485318566825944E-2</v>
      </c>
      <c r="L242" s="4">
        <f t="shared" si="70"/>
        <v>1.3117535674201754E-3</v>
      </c>
      <c r="N242" s="10">
        <f t="shared" si="57"/>
        <v>0.36801174957856186</v>
      </c>
      <c r="O242" s="66">
        <v>4</v>
      </c>
      <c r="P242" s="10">
        <f t="shared" si="58"/>
        <v>9.8748413271912052E-3</v>
      </c>
      <c r="Q242" s="10">
        <f t="shared" si="59"/>
        <v>2.6856141097133282E-4</v>
      </c>
      <c r="R242" s="10">
        <f t="shared" si="60"/>
        <v>4.1952810405713539E-2</v>
      </c>
      <c r="S242" s="66"/>
      <c r="T242" s="5">
        <f t="shared" si="71"/>
        <v>18.583333333333339</v>
      </c>
      <c r="U242" s="12">
        <f t="shared" si="61"/>
        <v>28219.911240709</v>
      </c>
      <c r="V242" s="12">
        <f t="shared" si="56"/>
        <v>795723.43269184034</v>
      </c>
    </row>
    <row r="243" spans="1:22">
      <c r="A243" s="5">
        <f t="shared" si="62"/>
        <v>18.666666666666671</v>
      </c>
      <c r="B243" s="4">
        <f t="shared" si="54"/>
        <v>3.5846456369391442E-3</v>
      </c>
      <c r="C243" s="4">
        <f t="shared" si="55"/>
        <v>6.567690538786421E-3</v>
      </c>
      <c r="D243" s="4">
        <f t="shared" si="63"/>
        <v>1.7923228184695721E-4</v>
      </c>
      <c r="E243" s="4">
        <f t="shared" si="64"/>
        <v>3.5846456369391442E-4</v>
      </c>
      <c r="F243" s="4">
        <f t="shared" si="65"/>
        <v>6.567690538786421E-3</v>
      </c>
      <c r="G243" s="4">
        <f t="shared" si="65"/>
        <v>1.7923228184695721E-4</v>
      </c>
      <c r="H243" s="4">
        <f t="shared" si="66"/>
        <v>7.8812286465437045E-3</v>
      </c>
      <c r="I243" s="4">
        <f t="shared" si="67"/>
        <v>0.91045572846071954</v>
      </c>
      <c r="J243" s="4">
        <f t="shared" si="68"/>
        <v>2.6223948197098775E-2</v>
      </c>
      <c r="K243" s="4">
        <f t="shared" si="69"/>
        <v>6.1995571506350065E-2</v>
      </c>
      <c r="L243" s="4">
        <f t="shared" si="70"/>
        <v>1.3247518358318565E-3</v>
      </c>
      <c r="N243" s="10">
        <f t="shared" si="57"/>
        <v>0.36620582674805224</v>
      </c>
      <c r="O243" s="66">
        <v>2</v>
      </c>
      <c r="P243" s="10">
        <f t="shared" si="58"/>
        <v>4.948803292109517E-3</v>
      </c>
      <c r="Q243" s="10">
        <f t="shared" si="59"/>
        <v>1.3505284714897972E-4</v>
      </c>
      <c r="R243" s="10">
        <f t="shared" si="60"/>
        <v>2.1095726744127956E-2</v>
      </c>
      <c r="S243" s="66"/>
      <c r="T243" s="5">
        <f t="shared" si="71"/>
        <v>18.666666666666671</v>
      </c>
      <c r="U243" s="12">
        <f t="shared" si="61"/>
        <v>28274.242753204515</v>
      </c>
      <c r="V243" s="12">
        <f t="shared" si="56"/>
        <v>793110.64346379112</v>
      </c>
    </row>
    <row r="244" spans="1:22">
      <c r="A244" s="5">
        <f t="shared" si="62"/>
        <v>18.750000000000004</v>
      </c>
      <c r="B244" s="4">
        <f t="shared" si="54"/>
        <v>3.6220174141787837E-3</v>
      </c>
      <c r="C244" s="4">
        <f t="shared" si="55"/>
        <v>6.613369299059358E-3</v>
      </c>
      <c r="D244" s="4">
        <f t="shared" si="63"/>
        <v>1.811008707089392E-4</v>
      </c>
      <c r="E244" s="4">
        <f t="shared" si="64"/>
        <v>3.6220174141787841E-4</v>
      </c>
      <c r="F244" s="4">
        <f t="shared" si="65"/>
        <v>6.613369299059358E-3</v>
      </c>
      <c r="G244" s="4">
        <f t="shared" si="65"/>
        <v>1.811008707089392E-4</v>
      </c>
      <c r="H244" s="4">
        <f t="shared" si="66"/>
        <v>7.9360431588712289E-3</v>
      </c>
      <c r="I244" s="4">
        <f t="shared" si="67"/>
        <v>0.90967264218321686</v>
      </c>
      <c r="J244" s="4">
        <f t="shared" si="68"/>
        <v>2.6480392350762612E-2</v>
      </c>
      <c r="K244" s="4">
        <f t="shared" si="69"/>
        <v>6.2509093416548173E-2</v>
      </c>
      <c r="L244" s="4">
        <f t="shared" si="70"/>
        <v>1.3378720494726009E-3</v>
      </c>
      <c r="N244" s="10">
        <f t="shared" si="57"/>
        <v>0.3644062157564158</v>
      </c>
      <c r="O244" s="66">
        <v>4</v>
      </c>
      <c r="P244" s="10">
        <f t="shared" si="58"/>
        <v>9.920424542931185E-3</v>
      </c>
      <c r="Q244" s="10">
        <f t="shared" si="59"/>
        <v>2.7166145443937391E-4</v>
      </c>
      <c r="R244" s="10">
        <f t="shared" si="60"/>
        <v>4.2431174120516273E-2</v>
      </c>
      <c r="S244" s="66"/>
      <c r="T244" s="5">
        <f t="shared" si="71"/>
        <v>18.750000000000004</v>
      </c>
      <c r="U244" s="12">
        <f t="shared" si="61"/>
        <v>28326.959646277737</v>
      </c>
      <c r="V244" s="12">
        <f t="shared" si="56"/>
        <v>790488.61260896944</v>
      </c>
    </row>
    <row r="245" spans="1:22">
      <c r="A245" s="5">
        <f t="shared" si="62"/>
        <v>18.833333333333336</v>
      </c>
      <c r="B245" s="4">
        <f t="shared" si="54"/>
        <v>3.6598277487630295E-3</v>
      </c>
      <c r="C245" s="4">
        <f t="shared" si="55"/>
        <v>6.6593919379672913E-3</v>
      </c>
      <c r="D245" s="4">
        <f t="shared" si="63"/>
        <v>1.8299138743815149E-4</v>
      </c>
      <c r="E245" s="4">
        <f t="shared" si="64"/>
        <v>3.6598277487630298E-4</v>
      </c>
      <c r="F245" s="4">
        <f t="shared" si="65"/>
        <v>6.6593919379672913E-3</v>
      </c>
      <c r="G245" s="4">
        <f t="shared" si="65"/>
        <v>1.8299138743815149E-4</v>
      </c>
      <c r="H245" s="4">
        <f t="shared" si="66"/>
        <v>7.9912703255607485E-3</v>
      </c>
      <c r="I245" s="4">
        <f t="shared" si="67"/>
        <v>0.90888380863833884</v>
      </c>
      <c r="J245" s="4">
        <f t="shared" si="68"/>
        <v>2.6739170573350592E-2</v>
      </c>
      <c r="K245" s="4">
        <f t="shared" si="69"/>
        <v>6.3025905345559324E-2</v>
      </c>
      <c r="L245" s="4">
        <f t="shared" si="70"/>
        <v>1.3511154427513724E-3</v>
      </c>
      <c r="N245" s="10">
        <f t="shared" si="57"/>
        <v>0.36261288674853537</v>
      </c>
      <c r="O245" s="66">
        <v>2</v>
      </c>
      <c r="P245" s="10">
        <f t="shared" si="58"/>
        <v>4.9716473876309404E-3</v>
      </c>
      <c r="Q245" s="10">
        <f t="shared" si="59"/>
        <v>1.3661437287223921E-4</v>
      </c>
      <c r="R245" s="10">
        <f t="shared" si="60"/>
        <v>2.1335989790356901E-2</v>
      </c>
      <c r="S245" s="66"/>
      <c r="T245" s="5">
        <f t="shared" si="71"/>
        <v>18.833333333333336</v>
      </c>
      <c r="U245" s="12">
        <f t="shared" si="61"/>
        <v>28378.043821944637</v>
      </c>
      <c r="V245" s="12">
        <f t="shared" si="56"/>
        <v>787857.2981549009</v>
      </c>
    </row>
    <row r="246" spans="1:22">
      <c r="A246" s="5">
        <f t="shared" si="62"/>
        <v>18.916666666666668</v>
      </c>
      <c r="B246" s="4">
        <f t="shared" si="54"/>
        <v>3.698081787156908E-3</v>
      </c>
      <c r="C246" s="4">
        <f t="shared" si="55"/>
        <v>6.705761044295792E-3</v>
      </c>
      <c r="D246" s="4">
        <f t="shared" si="63"/>
        <v>1.849040893578454E-4</v>
      </c>
      <c r="E246" s="4">
        <f t="shared" si="64"/>
        <v>3.698081787156908E-4</v>
      </c>
      <c r="F246" s="4">
        <f t="shared" si="65"/>
        <v>6.705761044295792E-3</v>
      </c>
      <c r="G246" s="4">
        <f t="shared" si="65"/>
        <v>1.849040893578454E-4</v>
      </c>
      <c r="H246" s="4">
        <f t="shared" si="66"/>
        <v>8.0469132531549494E-3</v>
      </c>
      <c r="I246" s="4">
        <f t="shared" si="67"/>
        <v>0.90808918334464139</v>
      </c>
      <c r="J246" s="4">
        <f t="shared" si="68"/>
        <v>2.7000304944396043E-2</v>
      </c>
      <c r="K246" s="4">
        <f t="shared" si="69"/>
        <v>6.3546028450016265E-2</v>
      </c>
      <c r="L246" s="4">
        <f t="shared" si="70"/>
        <v>1.3644832609464473E-3</v>
      </c>
      <c r="N246" s="10">
        <f t="shared" si="57"/>
        <v>0.36082581000320774</v>
      </c>
      <c r="O246" s="66">
        <v>4</v>
      </c>
      <c r="P246" s="10">
        <f t="shared" si="58"/>
        <v>9.9662168472837587E-3</v>
      </c>
      <c r="Q246" s="10">
        <f t="shared" si="59"/>
        <v>2.7480762262731989E-4</v>
      </c>
      <c r="R246" s="10">
        <f t="shared" si="60"/>
        <v>4.291387709745615E-2</v>
      </c>
      <c r="S246" s="66"/>
      <c r="T246" s="5">
        <f t="shared" si="71"/>
        <v>18.916666666666668</v>
      </c>
      <c r="U246" s="12">
        <f t="shared" si="61"/>
        <v>28427.47711538303</v>
      </c>
      <c r="V246" s="12">
        <f t="shared" si="56"/>
        <v>785216.65773828898</v>
      </c>
    </row>
    <row r="247" spans="1:22">
      <c r="A247" s="5">
        <f t="shared" si="62"/>
        <v>19</v>
      </c>
      <c r="B247" s="4">
        <f t="shared" si="54"/>
        <v>3.7367847362191446E-3</v>
      </c>
      <c r="C247" s="4">
        <f t="shared" si="55"/>
        <v>6.7524792263193266E-3</v>
      </c>
      <c r="D247" s="4">
        <f t="shared" si="63"/>
        <v>1.8683923681095724E-4</v>
      </c>
      <c r="E247" s="4">
        <f t="shared" si="64"/>
        <v>3.7367847362191448E-4</v>
      </c>
      <c r="F247" s="4">
        <f t="shared" si="65"/>
        <v>6.7524792263193266E-3</v>
      </c>
      <c r="G247" s="4">
        <f t="shared" si="65"/>
        <v>1.8683923681095724E-4</v>
      </c>
      <c r="H247" s="4">
        <f t="shared" si="66"/>
        <v>8.1029750715831909E-3</v>
      </c>
      <c r="I247" s="4">
        <f t="shared" si="67"/>
        <v>0.90728872154377749</v>
      </c>
      <c r="J247" s="4">
        <f t="shared" si="68"/>
        <v>2.7263817700776575E-2</v>
      </c>
      <c r="K247" s="4">
        <f t="shared" si="69"/>
        <v>6.4069483995177548E-2</v>
      </c>
      <c r="L247" s="4">
        <f t="shared" si="70"/>
        <v>1.3779767602684438E-3</v>
      </c>
      <c r="N247" s="10">
        <f t="shared" si="57"/>
        <v>0.3590449559330971</v>
      </c>
      <c r="O247" s="66">
        <v>2</v>
      </c>
      <c r="P247" s="10">
        <f t="shared" si="58"/>
        <v>4.9945951595731751E-3</v>
      </c>
      <c r="Q247" s="10">
        <f t="shared" si="59"/>
        <v>1.381990697812215E-4</v>
      </c>
      <c r="R247" s="10">
        <f t="shared" si="60"/>
        <v>2.157843692421783E-2</v>
      </c>
      <c r="S247" s="66"/>
      <c r="T247" s="5">
        <f t="shared" si="71"/>
        <v>19</v>
      </c>
      <c r="U247" s="12">
        <f t="shared" si="61"/>
        <v>28475.241296875</v>
      </c>
      <c r="V247" s="12">
        <f t="shared" si="56"/>
        <v>782566.64859926188</v>
      </c>
    </row>
    <row r="248" spans="1:22">
      <c r="A248" s="5">
        <f t="shared" si="62"/>
        <v>19.083333333333332</v>
      </c>
      <c r="B248" s="4">
        <f t="shared" si="54"/>
        <v>3.7759418639108978E-3</v>
      </c>
      <c r="C248" s="4">
        <f t="shared" si="55"/>
        <v>6.7995491119479442E-3</v>
      </c>
      <c r="D248" s="4">
        <f t="shared" si="63"/>
        <v>1.8879709319554491E-4</v>
      </c>
      <c r="E248" s="4">
        <f t="shared" si="64"/>
        <v>3.7759418639108982E-4</v>
      </c>
      <c r="F248" s="4">
        <f t="shared" si="65"/>
        <v>6.7995491119479442E-3</v>
      </c>
      <c r="G248" s="4">
        <f t="shared" si="65"/>
        <v>1.8879709319554491E-4</v>
      </c>
      <c r="H248" s="4">
        <f t="shared" si="66"/>
        <v>8.1594589343375323E-3</v>
      </c>
      <c r="I248" s="4">
        <f t="shared" si="67"/>
        <v>0.90648237820035882</v>
      </c>
      <c r="J248" s="4">
        <f t="shared" si="68"/>
        <v>2.7529731236666462E-2</v>
      </c>
      <c r="K248" s="4">
        <f t="shared" si="69"/>
        <v>6.4596293355051751E-2</v>
      </c>
      <c r="L248" s="4">
        <f t="shared" si="70"/>
        <v>1.391597207922987E-3</v>
      </c>
      <c r="N248" s="10">
        <f t="shared" si="57"/>
        <v>0.35727029508469621</v>
      </c>
      <c r="O248" s="66">
        <v>4</v>
      </c>
      <c r="P248" s="10">
        <f t="shared" si="58"/>
        <v>1.0012214745014033E-2</v>
      </c>
      <c r="Q248" s="10">
        <f t="shared" si="59"/>
        <v>2.78000351080146E-4</v>
      </c>
      <c r="R248" s="10">
        <f t="shared" si="60"/>
        <v>4.3400976959100973E-2</v>
      </c>
      <c r="S248" s="66"/>
      <c r="T248" s="5">
        <f t="shared" si="71"/>
        <v>19.083333333333332</v>
      </c>
      <c r="U248" s="12">
        <f t="shared" si="61"/>
        <v>28521.318073820716</v>
      </c>
      <c r="V248" s="12">
        <f t="shared" si="56"/>
        <v>779907.22757552669</v>
      </c>
    </row>
    <row r="249" spans="1:22">
      <c r="A249" s="5">
        <f t="shared" si="62"/>
        <v>19.166666666666664</v>
      </c>
      <c r="B249" s="4">
        <f t="shared" si="54"/>
        <v>3.8155585000127757E-3</v>
      </c>
      <c r="C249" s="4">
        <f t="shared" si="55"/>
        <v>6.8469733488751294E-3</v>
      </c>
      <c r="D249" s="4">
        <f t="shared" si="63"/>
        <v>1.907779250006388E-4</v>
      </c>
      <c r="E249" s="4">
        <f t="shared" si="64"/>
        <v>3.8155585000127759E-4</v>
      </c>
      <c r="F249" s="4">
        <f t="shared" si="65"/>
        <v>6.8469733488751294E-3</v>
      </c>
      <c r="G249" s="4">
        <f t="shared" si="65"/>
        <v>1.907779250006388E-4</v>
      </c>
      <c r="H249" s="4">
        <f t="shared" si="66"/>
        <v>8.2163680186501543E-3</v>
      </c>
      <c r="I249" s="4">
        <f t="shared" si="67"/>
        <v>0.90567010800185865</v>
      </c>
      <c r="J249" s="4">
        <f t="shared" si="68"/>
        <v>2.7798068103454796E-2</v>
      </c>
      <c r="K249" s="4">
        <f t="shared" si="69"/>
        <v>6.5126478012513603E-2</v>
      </c>
      <c r="L249" s="4">
        <f t="shared" si="70"/>
        <v>1.4053458821729841E-3</v>
      </c>
      <c r="N249" s="10">
        <f t="shared" si="57"/>
        <v>0.35550179813829941</v>
      </c>
      <c r="O249" s="66">
        <v>2</v>
      </c>
      <c r="P249" s="10">
        <f t="shared" si="58"/>
        <v>5.0176448365018833E-3</v>
      </c>
      <c r="Q249" s="10">
        <f t="shared" si="59"/>
        <v>1.3980715588081903E-4</v>
      </c>
      <c r="R249" s="10">
        <f t="shared" si="60"/>
        <v>2.1823096750652183E-2</v>
      </c>
      <c r="S249" s="66"/>
      <c r="T249" s="5">
        <f t="shared" si="71"/>
        <v>19.166666666666664</v>
      </c>
      <c r="U249" s="12">
        <f t="shared" si="61"/>
        <v>28565.689092825505</v>
      </c>
      <c r="V249" s="12">
        <f t="shared" si="56"/>
        <v>777238.35109643033</v>
      </c>
    </row>
    <row r="250" spans="1:22">
      <c r="A250" s="5">
        <f t="shared" si="62"/>
        <v>19.249999999999996</v>
      </c>
      <c r="B250" s="4">
        <f t="shared" si="54"/>
        <v>3.8556400368502989E-3</v>
      </c>
      <c r="C250" s="4">
        <f t="shared" si="55"/>
        <v>6.8947546047267109E-3</v>
      </c>
      <c r="D250" s="4">
        <f t="shared" si="63"/>
        <v>1.9278200184251495E-4</v>
      </c>
      <c r="E250" s="4">
        <f t="shared" si="64"/>
        <v>3.855640036850299E-4</v>
      </c>
      <c r="F250" s="4">
        <f t="shared" si="65"/>
        <v>6.8947546047267109E-3</v>
      </c>
      <c r="G250" s="4">
        <f t="shared" si="65"/>
        <v>1.9278200184251495E-4</v>
      </c>
      <c r="H250" s="4">
        <f t="shared" si="66"/>
        <v>8.273705525672052E-3</v>
      </c>
      <c r="I250" s="4">
        <f t="shared" si="67"/>
        <v>0.90485186535855944</v>
      </c>
      <c r="J250" s="4">
        <f t="shared" si="68"/>
        <v>2.806885100962846E-2</v>
      </c>
      <c r="K250" s="4">
        <f t="shared" si="69"/>
        <v>6.5660059559411746E-2</v>
      </c>
      <c r="L250" s="4">
        <f t="shared" si="70"/>
        <v>1.4192240724004903E-3</v>
      </c>
      <c r="N250" s="10">
        <f t="shared" si="57"/>
        <v>0.35373943590798135</v>
      </c>
      <c r="O250" s="66">
        <v>4</v>
      </c>
      <c r="P250" s="10">
        <f t="shared" si="58"/>
        <v>1.0058414645122232E-2</v>
      </c>
      <c r="Q250" s="10">
        <f t="shared" si="59"/>
        <v>2.8124007623409725E-4</v>
      </c>
      <c r="R250" s="10">
        <f t="shared" si="60"/>
        <v>4.3892530491923661E-2</v>
      </c>
      <c r="S250" s="66"/>
      <c r="T250" s="5">
        <f t="shared" si="71"/>
        <v>19.249999999999996</v>
      </c>
      <c r="U250" s="12">
        <f t="shared" si="61"/>
        <v>28608.335941862089</v>
      </c>
      <c r="V250" s="12">
        <f t="shared" si="56"/>
        <v>774559.97517692414</v>
      </c>
    </row>
    <row r="251" spans="1:22">
      <c r="A251" s="5">
        <f t="shared" si="62"/>
        <v>19.333333333333329</v>
      </c>
      <c r="B251" s="4">
        <f t="shared" si="54"/>
        <v>3.8961919300278583E-3</v>
      </c>
      <c r="C251" s="4">
        <f t="shared" si="55"/>
        <v>6.9428955672109233E-3</v>
      </c>
      <c r="D251" s="4">
        <f t="shared" si="63"/>
        <v>1.9480959650139293E-4</v>
      </c>
      <c r="E251" s="4">
        <f t="shared" si="64"/>
        <v>3.8961919300278586E-4</v>
      </c>
      <c r="F251" s="4">
        <f t="shared" si="65"/>
        <v>6.9428955672109233E-3</v>
      </c>
      <c r="G251" s="4">
        <f t="shared" si="65"/>
        <v>1.9480959650139293E-4</v>
      </c>
      <c r="H251" s="4">
        <f t="shared" si="66"/>
        <v>8.331474680653107E-3</v>
      </c>
      <c r="I251" s="4">
        <f t="shared" si="67"/>
        <v>0.90402760440354502</v>
      </c>
      <c r="J251" s="4">
        <f t="shared" si="68"/>
        <v>2.8342102820618952E-2</v>
      </c>
      <c r="K251" s="4">
        <f t="shared" si="69"/>
        <v>6.6197059696667962E-2</v>
      </c>
      <c r="L251" s="4">
        <f t="shared" si="70"/>
        <v>1.4332330791681424E-3</v>
      </c>
      <c r="N251" s="10">
        <f t="shared" si="57"/>
        <v>0.35198317934158679</v>
      </c>
      <c r="O251" s="66">
        <v>2</v>
      </c>
      <c r="P251" s="10">
        <f t="shared" si="58"/>
        <v>5.040794598601332E-3</v>
      </c>
      <c r="Q251" s="10">
        <f t="shared" si="59"/>
        <v>1.4143884958281322E-4</v>
      </c>
      <c r="R251" s="10">
        <f t="shared" si="60"/>
        <v>2.2069997445729534E-2</v>
      </c>
      <c r="S251" s="66"/>
      <c r="T251" s="5">
        <f t="shared" si="71"/>
        <v>19.333333333333329</v>
      </c>
      <c r="U251" s="12">
        <f t="shared" si="61"/>
        <v>28649.240152509912</v>
      </c>
      <c r="V251" s="12">
        <f t="shared" si="56"/>
        <v>771872.05541143147</v>
      </c>
    </row>
    <row r="252" spans="1:22">
      <c r="A252" s="5">
        <f t="shared" si="62"/>
        <v>19.416666666666661</v>
      </c>
      <c r="B252" s="4">
        <f t="shared" si="54"/>
        <v>3.9372196991713055E-3</v>
      </c>
      <c r="C252" s="4">
        <f t="shared" si="55"/>
        <v>6.9913989442696046E-3</v>
      </c>
      <c r="D252" s="4">
        <f t="shared" si="63"/>
        <v>1.9686098495856529E-4</v>
      </c>
      <c r="E252" s="4">
        <f t="shared" si="64"/>
        <v>3.9372196991713059E-4</v>
      </c>
      <c r="F252" s="4">
        <f t="shared" si="65"/>
        <v>6.9913989442696046E-3</v>
      </c>
      <c r="G252" s="4">
        <f t="shared" si="65"/>
        <v>1.9686098495856529E-4</v>
      </c>
      <c r="H252" s="4">
        <f t="shared" si="66"/>
        <v>8.3896787331235248E-3</v>
      </c>
      <c r="I252" s="4">
        <f t="shared" si="67"/>
        <v>0.90319727899274005</v>
      </c>
      <c r="J252" s="4">
        <f t="shared" si="68"/>
        <v>2.8617846558612065E-2</v>
      </c>
      <c r="K252" s="4">
        <f t="shared" si="69"/>
        <v>6.6737500234367864E-2</v>
      </c>
      <c r="L252" s="4">
        <f t="shared" si="70"/>
        <v>1.447374214280134E-3</v>
      </c>
      <c r="N252" s="10">
        <f t="shared" si="57"/>
        <v>0.3502329995207305</v>
      </c>
      <c r="O252" s="66">
        <v>4</v>
      </c>
      <c r="P252" s="10">
        <f t="shared" si="58"/>
        <v>1.010481285884131E-2</v>
      </c>
      <c r="Q252" s="10">
        <f t="shared" si="59"/>
        <v>2.845272352601091E-4</v>
      </c>
      <c r="R252" s="10">
        <f t="shared" si="60"/>
        <v>4.4388593602604436E-2</v>
      </c>
      <c r="S252" s="66"/>
      <c r="T252" s="5">
        <f t="shared" si="71"/>
        <v>19.416666666666661</v>
      </c>
      <c r="U252" s="12">
        <f t="shared" si="61"/>
        <v>28688.383202273602</v>
      </c>
      <c r="V252" s="12">
        <f t="shared" si="56"/>
        <v>769174.54696761642</v>
      </c>
    </row>
    <row r="253" spans="1:22">
      <c r="A253" s="5">
        <f t="shared" si="62"/>
        <v>19.499999999999993</v>
      </c>
      <c r="B253" s="4">
        <f t="shared" si="54"/>
        <v>3.9787289286792229E-3</v>
      </c>
      <c r="C253" s="4">
        <f t="shared" si="55"/>
        <v>7.040267464230511E-3</v>
      </c>
      <c r="D253" s="4">
        <f t="shared" si="63"/>
        <v>1.9893644643396115E-4</v>
      </c>
      <c r="E253" s="4">
        <f t="shared" si="64"/>
        <v>3.978728928679223E-4</v>
      </c>
      <c r="F253" s="4">
        <f t="shared" si="65"/>
        <v>7.040267464230511E-3</v>
      </c>
      <c r="G253" s="4">
        <f t="shared" si="65"/>
        <v>1.9893644643396115E-4</v>
      </c>
      <c r="H253" s="4">
        <f t="shared" si="66"/>
        <v>8.4483209570766129E-3</v>
      </c>
      <c r="I253" s="4">
        <f t="shared" si="67"/>
        <v>0.90236084270499517</v>
      </c>
      <c r="J253" s="4">
        <f t="shared" si="68"/>
        <v>2.8896105402319419E-2</v>
      </c>
      <c r="K253" s="4">
        <f t="shared" si="69"/>
        <v>6.7281403091842759E-2</v>
      </c>
      <c r="L253" s="4">
        <f t="shared" si="70"/>
        <v>1.4616488008427099E-3</v>
      </c>
      <c r="N253" s="10">
        <f t="shared" si="57"/>
        <v>0.34848886766080422</v>
      </c>
      <c r="O253" s="66">
        <v>2</v>
      </c>
      <c r="P253" s="10">
        <f t="shared" si="58"/>
        <v>5.0640425766666905E-3</v>
      </c>
      <c r="Q253" s="10">
        <f t="shared" si="59"/>
        <v>1.4309436962597858E-4</v>
      </c>
      <c r="R253" s="10">
        <f t="shared" si="60"/>
        <v>2.2319166734396236E-2</v>
      </c>
      <c r="S253" s="66"/>
      <c r="T253" s="5">
        <f t="shared" si="71"/>
        <v>19.499999999999993</v>
      </c>
      <c r="U253" s="12">
        <f t="shared" si="61"/>
        <v>28725.746516982588</v>
      </c>
      <c r="V253" s="12">
        <f t="shared" si="56"/>
        <v>766467.40458005213</v>
      </c>
    </row>
    <row r="254" spans="1:22">
      <c r="A254" s="5">
        <f t="shared" si="62"/>
        <v>19.583333333333325</v>
      </c>
      <c r="B254" s="4">
        <f t="shared" si="54"/>
        <v>4.0207252684830441E-3</v>
      </c>
      <c r="C254" s="4">
        <f t="shared" si="55"/>
        <v>7.0895038759607645E-3</v>
      </c>
      <c r="D254" s="4">
        <f t="shared" si="63"/>
        <v>2.0103626342415221E-4</v>
      </c>
      <c r="E254" s="4">
        <f t="shared" si="64"/>
        <v>4.0207252684830441E-4</v>
      </c>
      <c r="F254" s="4">
        <f t="shared" si="65"/>
        <v>7.0895038759607645E-3</v>
      </c>
      <c r="G254" s="4">
        <f t="shared" si="65"/>
        <v>2.0103626342415221E-4</v>
      </c>
      <c r="H254" s="4">
        <f t="shared" si="66"/>
        <v>8.5074046511529177E-3</v>
      </c>
      <c r="I254" s="4">
        <f t="shared" si="67"/>
        <v>0.90151824884222265</v>
      </c>
      <c r="J254" s="4">
        <f t="shared" si="68"/>
        <v>2.9176902686710856E-2</v>
      </c>
      <c r="K254" s="4">
        <f t="shared" si="69"/>
        <v>6.7828790297742303E-2</v>
      </c>
      <c r="L254" s="4">
        <f t="shared" si="70"/>
        <v>1.4760581733241566E-3</v>
      </c>
      <c r="N254" s="10">
        <f t="shared" si="57"/>
        <v>0.34675075511099518</v>
      </c>
      <c r="O254" s="66">
        <v>4</v>
      </c>
      <c r="P254" s="10">
        <f t="shared" si="58"/>
        <v>1.0151405597608654E-2</v>
      </c>
      <c r="Q254" s="10">
        <f t="shared" si="59"/>
        <v>2.878622659007572E-4</v>
      </c>
      <c r="R254" s="10">
        <f t="shared" si="60"/>
        <v>4.4889221272713865E-2</v>
      </c>
      <c r="S254" s="66"/>
      <c r="T254" s="5">
        <f t="shared" si="71"/>
        <v>19.583333333333325</v>
      </c>
      <c r="U254" s="12">
        <f t="shared" si="61"/>
        <v>28761.311473273992</v>
      </c>
      <c r="V254" s="12">
        <f t="shared" si="56"/>
        <v>763750.5825437865</v>
      </c>
    </row>
    <row r="255" spans="1:22">
      <c r="A255" s="5">
        <f t="shared" si="62"/>
        <v>19.666666666666657</v>
      </c>
      <c r="B255" s="4">
        <f t="shared" si="54"/>
        <v>4.0632144348160763E-3</v>
      </c>
      <c r="C255" s="4">
        <f t="shared" si="55"/>
        <v>7.1391109490215078E-3</v>
      </c>
      <c r="D255" s="4">
        <f t="shared" si="63"/>
        <v>2.0316072174080381E-4</v>
      </c>
      <c r="E255" s="4">
        <f t="shared" si="64"/>
        <v>4.0632144348160763E-4</v>
      </c>
      <c r="F255" s="4">
        <f t="shared" si="65"/>
        <v>7.1391109490215078E-3</v>
      </c>
      <c r="G255" s="4">
        <f t="shared" si="65"/>
        <v>2.0316072174080381E-4</v>
      </c>
      <c r="H255" s="4">
        <f t="shared" si="66"/>
        <v>8.566933138825809E-3</v>
      </c>
      <c r="I255" s="4">
        <f t="shared" si="67"/>
        <v>0.9006694504295808</v>
      </c>
      <c r="J255" s="4">
        <f t="shared" si="68"/>
        <v>2.9460261902706626E-2</v>
      </c>
      <c r="K255" s="4">
        <f t="shared" si="69"/>
        <v>6.837968399009825E-2</v>
      </c>
      <c r="L255" s="4">
        <f t="shared" si="70"/>
        <v>1.4906036776142599E-3</v>
      </c>
      <c r="N255" s="10">
        <f t="shared" si="57"/>
        <v>0.3450186333543126</v>
      </c>
      <c r="O255" s="66">
        <v>2</v>
      </c>
      <c r="P255" s="10">
        <f t="shared" si="58"/>
        <v>5.0873868510833446E-3</v>
      </c>
      <c r="Q255" s="10">
        <f t="shared" si="59"/>
        <v>1.447739349929038E-4</v>
      </c>
      <c r="R255" s="10">
        <f t="shared" si="60"/>
        <v>2.2570631867404864E-2</v>
      </c>
      <c r="S255" s="66"/>
      <c r="T255" s="5">
        <f t="shared" si="71"/>
        <v>19.666666666666657</v>
      </c>
      <c r="U255" s="12">
        <f t="shared" si="61"/>
        <v>28795.059401160954</v>
      </c>
      <c r="V255" s="12">
        <f t="shared" si="56"/>
        <v>761024.03470780409</v>
      </c>
    </row>
    <row r="256" spans="1:22">
      <c r="A256" s="5">
        <f t="shared" si="62"/>
        <v>19.749999999999989</v>
      </c>
      <c r="B256" s="4">
        <f t="shared" si="54"/>
        <v>4.1062022109915625E-3</v>
      </c>
      <c r="C256" s="4">
        <f t="shared" si="55"/>
        <v>7.1890914738236833E-3</v>
      </c>
      <c r="D256" s="4">
        <f t="shared" si="63"/>
        <v>2.0531011054957814E-4</v>
      </c>
      <c r="E256" s="4">
        <f t="shared" si="64"/>
        <v>4.1062022109915629E-4</v>
      </c>
      <c r="F256" s="4">
        <f t="shared" si="65"/>
        <v>7.1890914738236833E-3</v>
      </c>
      <c r="G256" s="4">
        <f t="shared" si="65"/>
        <v>2.0531011054957814E-4</v>
      </c>
      <c r="H256" s="4">
        <f t="shared" si="66"/>
        <v>8.6269097685884189E-3</v>
      </c>
      <c r="I256" s="4">
        <f t="shared" si="67"/>
        <v>0.8998144002157098</v>
      </c>
      <c r="J256" s="4">
        <f t="shared" si="68"/>
        <v>2.9746206696828311E-2</v>
      </c>
      <c r="K256" s="4">
        <f t="shared" si="69"/>
        <v>6.8934106416378607E-2</v>
      </c>
      <c r="L256" s="4">
        <f t="shared" si="70"/>
        <v>1.5052866710832085E-3</v>
      </c>
      <c r="N256" s="10">
        <f t="shared" si="57"/>
        <v>0.34329247400762497</v>
      </c>
      <c r="O256" s="66">
        <v>4</v>
      </c>
      <c r="P256" s="10">
        <f t="shared" si="58"/>
        <v>1.0198188971011617E-2</v>
      </c>
      <c r="Q256" s="10">
        <f t="shared" si="59"/>
        <v>2.912456063005487E-4</v>
      </c>
      <c r="R256" s="10">
        <f t="shared" si="60"/>
        <v>4.5394467511737376E-2</v>
      </c>
      <c r="S256" s="66"/>
      <c r="T256" s="5">
        <f t="shared" si="71"/>
        <v>19.749999999999989</v>
      </c>
      <c r="U256" s="12">
        <f t="shared" si="61"/>
        <v>28826.9715866886</v>
      </c>
      <c r="V256" s="12">
        <f t="shared" si="56"/>
        <v>758287.71446838242</v>
      </c>
    </row>
    <row r="257" spans="1:22">
      <c r="A257" s="5">
        <f t="shared" si="62"/>
        <v>19.833333333333321</v>
      </c>
      <c r="B257" s="4">
        <f t="shared" si="54"/>
        <v>4.1496944481898453E-3</v>
      </c>
      <c r="C257" s="4">
        <f t="shared" si="55"/>
        <v>7.2394482617849955E-3</v>
      </c>
      <c r="D257" s="4">
        <f t="shared" si="63"/>
        <v>2.0748472240949227E-4</v>
      </c>
      <c r="E257" s="4">
        <f t="shared" si="64"/>
        <v>4.1496944481898455E-4</v>
      </c>
      <c r="F257" s="4">
        <f t="shared" si="65"/>
        <v>7.2394482617849955E-3</v>
      </c>
      <c r="G257" s="4">
        <f t="shared" si="65"/>
        <v>2.0748472240949227E-4</v>
      </c>
      <c r="H257" s="4">
        <f t="shared" si="66"/>
        <v>8.6873379141419946E-3</v>
      </c>
      <c r="I257" s="4">
        <f t="shared" si="67"/>
        <v>0.89895305067302034</v>
      </c>
      <c r="J257" s="4">
        <f t="shared" si="68"/>
        <v>3.0034760870807392E-2</v>
      </c>
      <c r="K257" s="4">
        <f t="shared" si="69"/>
        <v>6.9492079933532333E-2</v>
      </c>
      <c r="L257" s="4">
        <f t="shared" si="70"/>
        <v>1.520108522639913E-3</v>
      </c>
      <c r="N257" s="10">
        <f t="shared" si="57"/>
        <v>0.34157224882170623</v>
      </c>
      <c r="O257" s="66">
        <v>2</v>
      </c>
      <c r="P257" s="10">
        <f t="shared" si="58"/>
        <v>5.1108254507932676E-3</v>
      </c>
      <c r="Q257" s="10">
        <f t="shared" si="59"/>
        <v>1.4647776482344072E-4</v>
      </c>
      <c r="R257" s="10">
        <f t="shared" si="60"/>
        <v>2.2824419597404378E-2</v>
      </c>
      <c r="S257" s="66"/>
      <c r="T257" s="5">
        <f t="shared" si="71"/>
        <v>19.833333333333321</v>
      </c>
      <c r="U257" s="12">
        <f t="shared" si="61"/>
        <v>28857.029274679957</v>
      </c>
      <c r="V257" s="12">
        <f t="shared" si="56"/>
        <v>755541.57476234029</v>
      </c>
    </row>
    <row r="258" spans="1:22">
      <c r="A258" s="5">
        <f t="shared" si="62"/>
        <v>19.916666666666654</v>
      </c>
      <c r="B258" s="4">
        <f t="shared" si="54"/>
        <v>4.1936970662548017E-3</v>
      </c>
      <c r="C258" s="4">
        <f t="shared" si="55"/>
        <v>7.2901841454880399E-3</v>
      </c>
      <c r="D258" s="4">
        <f t="shared" si="63"/>
        <v>2.096848533127401E-4</v>
      </c>
      <c r="E258" s="4">
        <f t="shared" si="64"/>
        <v>4.1936970662548019E-4</v>
      </c>
      <c r="F258" s="4">
        <f t="shared" si="65"/>
        <v>7.2901841454880399E-3</v>
      </c>
      <c r="G258" s="4">
        <f t="shared" si="65"/>
        <v>2.096848533127401E-4</v>
      </c>
      <c r="H258" s="4">
        <f t="shared" si="66"/>
        <v>8.7482209745856476E-3</v>
      </c>
      <c r="I258" s="4">
        <f t="shared" si="67"/>
        <v>0.89808535399803568</v>
      </c>
      <c r="J258" s="4">
        <f t="shared" si="68"/>
        <v>3.0325948381150401E-2</v>
      </c>
      <c r="K258" s="4">
        <f t="shared" si="69"/>
        <v>7.0053627008024241E-2</v>
      </c>
      <c r="L258" s="4">
        <f t="shared" si="70"/>
        <v>1.5350706127897156E-3</v>
      </c>
      <c r="N258" s="10">
        <f t="shared" si="57"/>
        <v>0.33985792968129169</v>
      </c>
      <c r="O258" s="66">
        <v>4</v>
      </c>
      <c r="P258" s="10">
        <f t="shared" si="58"/>
        <v>1.024515898470745E-2</v>
      </c>
      <c r="Q258" s="10">
        <f t="shared" si="59"/>
        <v>2.9467769482937641E-4</v>
      </c>
      <c r="R258" s="10">
        <f t="shared" si="60"/>
        <v>4.5904385308401491E-2</v>
      </c>
      <c r="S258" s="66"/>
      <c r="T258" s="5">
        <f t="shared" si="71"/>
        <v>19.916666666666654</v>
      </c>
      <c r="U258" s="12">
        <f t="shared" si="61"/>
        <v>28885.213671574129</v>
      </c>
      <c r="V258" s="12">
        <f t="shared" si="56"/>
        <v>752785.56806017703</v>
      </c>
    </row>
    <row r="259" spans="1:22">
      <c r="A259" s="5">
        <f t="shared" si="62"/>
        <v>19.999999999999986</v>
      </c>
      <c r="B259" s="4">
        <f t="shared" si="54"/>
        <v>4.2382160544996014E-3</v>
      </c>
      <c r="C259" s="4">
        <f t="shared" si="55"/>
        <v>7.3413019788396445E-3</v>
      </c>
      <c r="D259" s="4">
        <f t="shared" si="63"/>
        <v>2.1191080272498007E-4</v>
      </c>
      <c r="E259" s="4">
        <f t="shared" si="64"/>
        <v>4.2382160544996014E-4</v>
      </c>
      <c r="F259" s="4">
        <f t="shared" si="65"/>
        <v>7.3413019788396445E-3</v>
      </c>
      <c r="G259" s="4">
        <f t="shared" si="65"/>
        <v>2.1191080272498007E-4</v>
      </c>
      <c r="H259" s="4">
        <f t="shared" si="66"/>
        <v>8.8095623746075723E-3</v>
      </c>
      <c r="I259" s="4">
        <f t="shared" si="67"/>
        <v>0.89721126211178903</v>
      </c>
      <c r="J259" s="4">
        <f t="shared" si="68"/>
        <v>3.0619793338659503E-2</v>
      </c>
      <c r="K259" s="4">
        <f t="shared" si="69"/>
        <v>7.0618770215859994E-2</v>
      </c>
      <c r="L259" s="4">
        <f t="shared" si="70"/>
        <v>1.550174333691465E-3</v>
      </c>
      <c r="N259" s="10">
        <f t="shared" si="57"/>
        <v>0.33814948860514438</v>
      </c>
      <c r="O259" s="66">
        <v>2</v>
      </c>
      <c r="P259" s="10">
        <f t="shared" si="58"/>
        <v>5.1343563522484557E-3</v>
      </c>
      <c r="Q259" s="10">
        <f t="shared" si="59"/>
        <v>1.4820607832468467E-4</v>
      </c>
      <c r="R259" s="10">
        <f t="shared" si="60"/>
        <v>2.3080556154171056E-2</v>
      </c>
      <c r="S259" s="66"/>
      <c r="T259" s="5">
        <f t="shared" si="71"/>
        <v>19.999999999999986</v>
      </c>
      <c r="U259" s="12">
        <f t="shared" si="61"/>
        <v>28911.50594835911</v>
      </c>
      <c r="V259" s="12">
        <f t="shared" si="56"/>
        <v>750019.64635910036</v>
      </c>
    </row>
    <row r="260" spans="1:22">
      <c r="A260" s="5">
        <f t="shared" si="62"/>
        <v>20.083333333333318</v>
      </c>
      <c r="B260" s="4">
        <f t="shared" si="54"/>
        <v>4.2832574725219282E-3</v>
      </c>
      <c r="C260" s="4">
        <f t="shared" si="55"/>
        <v>7.3928046372314284E-3</v>
      </c>
      <c r="D260" s="4">
        <f t="shared" si="63"/>
        <v>2.1416287362609643E-4</v>
      </c>
      <c r="E260" s="4">
        <f t="shared" si="64"/>
        <v>4.2832574725219287E-4</v>
      </c>
      <c r="F260" s="4">
        <f t="shared" si="65"/>
        <v>7.3928046372314284E-3</v>
      </c>
      <c r="G260" s="4">
        <f t="shared" si="65"/>
        <v>2.1416287362609643E-4</v>
      </c>
      <c r="H260" s="4">
        <f t="shared" si="66"/>
        <v>8.8713655646777134E-3</v>
      </c>
      <c r="I260" s="4">
        <f t="shared" si="67"/>
        <v>0.8963307266602778</v>
      </c>
      <c r="J260" s="4">
        <f t="shared" si="68"/>
        <v>3.0916320007907359E-2</v>
      </c>
      <c r="K260" s="4">
        <f t="shared" si="69"/>
        <v>7.1187532242600951E-2</v>
      </c>
      <c r="L260" s="4">
        <f t="shared" si="70"/>
        <v>1.5654210892139231E-3</v>
      </c>
      <c r="N260" s="10">
        <f t="shared" si="57"/>
        <v>0.33644689774613079</v>
      </c>
      <c r="O260" s="66">
        <v>4</v>
      </c>
      <c r="P260" s="10">
        <f t="shared" si="58"/>
        <v>1.0292311538317221E-2</v>
      </c>
      <c r="Q260" s="10">
        <f t="shared" si="59"/>
        <v>2.9815896989894211E-4</v>
      </c>
      <c r="R260" s="10">
        <f t="shared" si="60"/>
        <v>4.6419026580261188E-2</v>
      </c>
      <c r="S260" s="66"/>
      <c r="T260" s="5">
        <f t="shared" si="71"/>
        <v>20.083333333333318</v>
      </c>
      <c r="U260" s="12">
        <f t="shared" si="61"/>
        <v>28935.887243601748</v>
      </c>
      <c r="V260" s="12">
        <f t="shared" si="56"/>
        <v>747243.76117594098</v>
      </c>
    </row>
    <row r="261" spans="1:22">
      <c r="A261" s="5">
        <f t="shared" si="62"/>
        <v>20.16666666666665</v>
      </c>
      <c r="B261" s="4">
        <f t="shared" si="54"/>
        <v>4.3288274510287798E-3</v>
      </c>
      <c r="C261" s="4">
        <f t="shared" si="55"/>
        <v>7.4446950177014925E-3</v>
      </c>
      <c r="D261" s="4">
        <f t="shared" si="63"/>
        <v>2.16441372551439E-4</v>
      </c>
      <c r="E261" s="4">
        <f t="shared" si="64"/>
        <v>4.3288274510287799E-4</v>
      </c>
      <c r="F261" s="4">
        <f t="shared" si="65"/>
        <v>7.4446950177014925E-3</v>
      </c>
      <c r="G261" s="4">
        <f t="shared" si="65"/>
        <v>2.16441372551439E-4</v>
      </c>
      <c r="H261" s="4">
        <f t="shared" si="66"/>
        <v>8.9336340212417906E-3</v>
      </c>
      <c r="I261" s="4">
        <f t="shared" si="67"/>
        <v>0.89544369901497478</v>
      </c>
      <c r="J261" s="4">
        <f t="shared" si="68"/>
        <v>3.1215552806665155E-2</v>
      </c>
      <c r="K261" s="4">
        <f t="shared" si="69"/>
        <v>7.1759935883368695E-2</v>
      </c>
      <c r="L261" s="4">
        <f t="shared" si="70"/>
        <v>1.5808122949914811E-3</v>
      </c>
      <c r="N261" s="10">
        <f t="shared" si="57"/>
        <v>0.33475012939130672</v>
      </c>
      <c r="O261" s="66">
        <v>2</v>
      </c>
      <c r="P261" s="10">
        <f t="shared" si="58"/>
        <v>5.157977478351573E-3</v>
      </c>
      <c r="Q261" s="10">
        <f t="shared" si="59"/>
        <v>1.4995909467739444E-4</v>
      </c>
      <c r="R261" s="10">
        <f t="shared" si="60"/>
        <v>2.333906721895997E-2</v>
      </c>
      <c r="S261" s="66"/>
      <c r="T261" s="5">
        <f t="shared" si="71"/>
        <v>20.16666666666665</v>
      </c>
      <c r="U261" s="12">
        <f t="shared" si="61"/>
        <v>28958.338666577325</v>
      </c>
      <c r="V261" s="12">
        <f t="shared" si="56"/>
        <v>744457.86353995232</v>
      </c>
    </row>
    <row r="262" spans="1:22">
      <c r="A262" s="5">
        <f t="shared" si="62"/>
        <v>20.249999999999982</v>
      </c>
      <c r="B262" s="4">
        <f t="shared" si="54"/>
        <v>4.3749321926709137E-3</v>
      </c>
      <c r="C262" s="4">
        <f t="shared" si="55"/>
        <v>7.4969760390974326E-3</v>
      </c>
      <c r="D262" s="4">
        <f t="shared" si="63"/>
        <v>2.1874660963354571E-4</v>
      </c>
      <c r="E262" s="4">
        <f t="shared" si="64"/>
        <v>4.3749321926709142E-4</v>
      </c>
      <c r="F262" s="4">
        <f t="shared" si="65"/>
        <v>7.4969760390974326E-3</v>
      </c>
      <c r="G262" s="4">
        <f t="shared" si="65"/>
        <v>2.1874660963354571E-4</v>
      </c>
      <c r="H262" s="4">
        <f t="shared" si="66"/>
        <v>8.9963712469169187E-3</v>
      </c>
      <c r="I262" s="4">
        <f t="shared" si="67"/>
        <v>0.89455013027339936</v>
      </c>
      <c r="J262" s="4">
        <f t="shared" si="68"/>
        <v>3.1517516305282565E-2</v>
      </c>
      <c r="K262" s="4">
        <f t="shared" si="69"/>
        <v>7.2336004042838978E-2</v>
      </c>
      <c r="L262" s="4">
        <f t="shared" si="70"/>
        <v>1.5963493784791503E-3</v>
      </c>
      <c r="N262" s="10">
        <f t="shared" si="57"/>
        <v>0.33305915596201313</v>
      </c>
      <c r="O262" s="66">
        <v>4</v>
      </c>
      <c r="P262" s="10">
        <f t="shared" si="58"/>
        <v>1.0339642423294418E-2</v>
      </c>
      <c r="Q262" s="10">
        <f t="shared" si="59"/>
        <v>3.0168986977196312E-4</v>
      </c>
      <c r="R262" s="10">
        <f t="shared" si="60"/>
        <v>4.6938442121508217E-2</v>
      </c>
      <c r="S262" s="66"/>
      <c r="T262" s="5">
        <f t="shared" si="71"/>
        <v>20.249999999999982</v>
      </c>
      <c r="U262" s="12">
        <f t="shared" si="61"/>
        <v>28978.841300501383</v>
      </c>
      <c r="V262" s="12">
        <f t="shared" si="56"/>
        <v>741661.90398549277</v>
      </c>
    </row>
    <row r="263" spans="1:22">
      <c r="A263" s="5">
        <f t="shared" si="62"/>
        <v>20.333333333333314</v>
      </c>
      <c r="B263" s="4">
        <f t="shared" si="54"/>
        <v>4.4215779728871219E-3</v>
      </c>
      <c r="C263" s="4">
        <f t="shared" si="55"/>
        <v>7.549650642240481E-3</v>
      </c>
      <c r="D263" s="4">
        <f t="shared" si="63"/>
        <v>2.210788986443561E-4</v>
      </c>
      <c r="E263" s="4">
        <f t="shared" si="64"/>
        <v>4.421577972887122E-4</v>
      </c>
      <c r="F263" s="4">
        <f t="shared" si="65"/>
        <v>7.549650642240481E-3</v>
      </c>
      <c r="G263" s="4">
        <f t="shared" si="65"/>
        <v>2.210788986443561E-4</v>
      </c>
      <c r="H263" s="4">
        <f t="shared" si="66"/>
        <v>9.0595807706885766E-3</v>
      </c>
      <c r="I263" s="4">
        <f t="shared" si="67"/>
        <v>0.89364997125974976</v>
      </c>
      <c r="J263" s="4">
        <f t="shared" si="68"/>
        <v>3.1822235226018479E-2</v>
      </c>
      <c r="K263" s="4">
        <f t="shared" si="69"/>
        <v>7.2915759735225003E-2</v>
      </c>
      <c r="L263" s="4">
        <f t="shared" si="70"/>
        <v>1.6120337790068021E-3</v>
      </c>
      <c r="N263" s="10">
        <f t="shared" si="57"/>
        <v>0.33137395001398234</v>
      </c>
      <c r="O263" s="66">
        <v>2</v>
      </c>
      <c r="P263" s="10">
        <f t="shared" si="58"/>
        <v>5.1816866973838239E-3</v>
      </c>
      <c r="Q263" s="10">
        <f t="shared" si="59"/>
        <v>1.5173703293875365E-4</v>
      </c>
      <c r="R263" s="10">
        <f t="shared" si="60"/>
        <v>2.359997789795663E-2</v>
      </c>
      <c r="S263" s="66"/>
      <c r="T263" s="5">
        <f t="shared" si="71"/>
        <v>20.333333333333314</v>
      </c>
      <c r="U263" s="12">
        <f t="shared" si="61"/>
        <v>28997.37620586644</v>
      </c>
      <c r="V263" s="12">
        <f t="shared" si="56"/>
        <v>738855.83254458907</v>
      </c>
    </row>
    <row r="264" spans="1:22">
      <c r="A264" s="5">
        <f t="shared" si="62"/>
        <v>20.416666666666647</v>
      </c>
      <c r="B264" s="4">
        <f t="shared" si="54"/>
        <v>4.4687711407583883E-3</v>
      </c>
      <c r="C264" s="4">
        <f t="shared" si="55"/>
        <v>7.6027217900909473E-3</v>
      </c>
      <c r="D264" s="4">
        <f t="shared" si="63"/>
        <v>2.2343855703791944E-4</v>
      </c>
      <c r="E264" s="4">
        <f t="shared" si="64"/>
        <v>4.4687711407583887E-4</v>
      </c>
      <c r="F264" s="4">
        <f t="shared" si="65"/>
        <v>7.6027217900909473E-3</v>
      </c>
      <c r="G264" s="4">
        <f t="shared" si="65"/>
        <v>2.2343855703791944E-4</v>
      </c>
      <c r="H264" s="4">
        <f t="shared" si="66"/>
        <v>9.1232661481091357E-3</v>
      </c>
      <c r="I264" s="4">
        <f t="shared" si="67"/>
        <v>0.89274317252559643</v>
      </c>
      <c r="J264" s="4">
        <f t="shared" si="68"/>
        <v>3.2129734442321242E-2</v>
      </c>
      <c r="K264" s="4">
        <f t="shared" si="69"/>
        <v>7.3499226084249747E-2</v>
      </c>
      <c r="L264" s="4">
        <f t="shared" si="70"/>
        <v>1.6278669478326225E-3</v>
      </c>
      <c r="N264" s="10">
        <f t="shared" si="57"/>
        <v>0.3296944842374544</v>
      </c>
      <c r="O264" s="66">
        <v>4</v>
      </c>
      <c r="P264" s="10">
        <f t="shared" si="58"/>
        <v>1.0387147320767984E-2</v>
      </c>
      <c r="Q264" s="10">
        <f t="shared" si="59"/>
        <v>3.0527083236396124E-4</v>
      </c>
      <c r="R264" s="10">
        <f t="shared" si="60"/>
        <v>4.7462681548959176E-2</v>
      </c>
      <c r="S264" s="66"/>
      <c r="T264" s="5">
        <f t="shared" si="71"/>
        <v>20.416666666666647</v>
      </c>
      <c r="U264" s="12">
        <f t="shared" si="61"/>
        <v>29013.924423886321</v>
      </c>
      <c r="V264" s="12">
        <f t="shared" si="56"/>
        <v>736039.59873937827</v>
      </c>
    </row>
    <row r="265" spans="1:22">
      <c r="A265" s="5">
        <f t="shared" si="62"/>
        <v>20.499999999999979</v>
      </c>
      <c r="B265" s="4">
        <f t="shared" si="54"/>
        <v>4.5165181198720964E-3</v>
      </c>
      <c r="C265" s="4">
        <f t="shared" si="55"/>
        <v>7.6561924679149039E-3</v>
      </c>
      <c r="D265" s="4">
        <f t="shared" si="63"/>
        <v>2.2582590599360482E-4</v>
      </c>
      <c r="E265" s="4">
        <f t="shared" si="64"/>
        <v>4.5165181198720964E-4</v>
      </c>
      <c r="F265" s="4">
        <f t="shared" si="65"/>
        <v>7.6561924679149039E-3</v>
      </c>
      <c r="G265" s="4">
        <f t="shared" si="65"/>
        <v>2.2582590599360482E-4</v>
      </c>
      <c r="H265" s="4">
        <f t="shared" si="66"/>
        <v>9.1874309614978847E-3</v>
      </c>
      <c r="I265" s="4">
        <f t="shared" si="67"/>
        <v>0.89182968435063992</v>
      </c>
      <c r="J265" s="4">
        <f t="shared" si="68"/>
        <v>3.2440038978057209E-2</v>
      </c>
      <c r="K265" s="4">
        <f t="shared" si="69"/>
        <v>7.4086426323107121E-2</v>
      </c>
      <c r="L265" s="4">
        <f t="shared" si="70"/>
        <v>1.6438503481957551E-3</v>
      </c>
      <c r="N265" s="10">
        <f t="shared" si="57"/>
        <v>0.32802073145730326</v>
      </c>
      <c r="O265" s="66">
        <v>2</v>
      </c>
      <c r="P265" s="10">
        <f t="shared" si="58"/>
        <v>5.2054818219201748E-3</v>
      </c>
      <c r="Q265" s="10">
        <f t="shared" si="59"/>
        <v>1.5354011194137468E-4</v>
      </c>
      <c r="R265" s="10">
        <f t="shared" si="60"/>
        <v>2.3863312694808302E-2</v>
      </c>
      <c r="S265" s="66"/>
      <c r="T265" s="5">
        <f t="shared" si="71"/>
        <v>20.499999999999979</v>
      </c>
      <c r="U265" s="12">
        <f t="shared" si="61"/>
        <v>29028.466980050907</v>
      </c>
      <c r="V265" s="12">
        <f t="shared" si="56"/>
        <v>733213.15157442691</v>
      </c>
    </row>
    <row r="266" spans="1:22">
      <c r="A266" s="5">
        <f t="shared" si="62"/>
        <v>20.583333333333311</v>
      </c>
      <c r="B266" s="4">
        <f t="shared" si="54"/>
        <v>4.5648254091963372E-3</v>
      </c>
      <c r="C266" s="4">
        <f t="shared" si="55"/>
        <v>7.7100656834520713E-3</v>
      </c>
      <c r="D266" s="4">
        <f t="shared" si="63"/>
        <v>2.2824127045981688E-4</v>
      </c>
      <c r="E266" s="4">
        <f t="shared" si="64"/>
        <v>4.5648254091963376E-4</v>
      </c>
      <c r="F266" s="4">
        <f t="shared" si="65"/>
        <v>7.7100656834520713E-3</v>
      </c>
      <c r="G266" s="4">
        <f t="shared" si="65"/>
        <v>2.2824127045981688E-4</v>
      </c>
      <c r="H266" s="4">
        <f t="shared" si="66"/>
        <v>9.2520788201424856E-3</v>
      </c>
      <c r="I266" s="4">
        <f t="shared" si="67"/>
        <v>0.89090945674353383</v>
      </c>
      <c r="J266" s="4">
        <f t="shared" si="68"/>
        <v>3.2753174006686273E-2</v>
      </c>
      <c r="K266" s="4">
        <f t="shared" si="69"/>
        <v>7.4677383794411786E-2</v>
      </c>
      <c r="L266" s="4">
        <f t="shared" si="70"/>
        <v>1.6599854553680951E-3</v>
      </c>
      <c r="N266" s="10">
        <f t="shared" si="57"/>
        <v>0.32635266463317425</v>
      </c>
      <c r="O266" s="66">
        <v>4</v>
      </c>
      <c r="P266" s="10">
        <f t="shared" si="58"/>
        <v>1.0434821799360233E-2</v>
      </c>
      <c r="Q266" s="10">
        <f t="shared" si="59"/>
        <v>3.0890229503744251E-4</v>
      </c>
      <c r="R266" s="10">
        <f t="shared" si="60"/>
        <v>4.7991793246182378E-2</v>
      </c>
      <c r="S266" s="66"/>
      <c r="T266" s="5">
        <f t="shared" si="71"/>
        <v>20.583333333333311</v>
      </c>
      <c r="U266" s="12">
        <f t="shared" si="61"/>
        <v>29040.984887794195</v>
      </c>
      <c r="V266" s="12">
        <f t="shared" si="56"/>
        <v>730376.43952892418</v>
      </c>
    </row>
    <row r="267" spans="1:22">
      <c r="A267" s="5">
        <f t="shared" si="62"/>
        <v>20.666666666666643</v>
      </c>
      <c r="B267" s="4">
        <f t="shared" si="54"/>
        <v>4.6136995839645136E-3</v>
      </c>
      <c r="C267" s="4">
        <f t="shared" si="55"/>
        <v>7.7643444670850211E-3</v>
      </c>
      <c r="D267" s="4">
        <f t="shared" si="63"/>
        <v>2.3068497919822569E-4</v>
      </c>
      <c r="E267" s="4">
        <f t="shared" si="64"/>
        <v>4.6136995839645139E-4</v>
      </c>
      <c r="F267" s="4">
        <f t="shared" si="65"/>
        <v>7.7643444670850211E-3</v>
      </c>
      <c r="G267" s="4">
        <f t="shared" si="65"/>
        <v>2.3068497919822569E-4</v>
      </c>
      <c r="H267" s="4">
        <f t="shared" si="66"/>
        <v>9.3172133605020253E-3</v>
      </c>
      <c r="I267" s="4">
        <f t="shared" si="67"/>
        <v>0.88998243944277422</v>
      </c>
      <c r="J267" s="4">
        <f t="shared" si="68"/>
        <v>3.3069164850383151E-2</v>
      </c>
      <c r="K267" s="4">
        <f t="shared" si="69"/>
        <v>7.5272121950137424E-2</v>
      </c>
      <c r="L267" s="4">
        <f t="shared" si="70"/>
        <v>1.6762737567052061E-3</v>
      </c>
      <c r="N267" s="10">
        <f t="shared" si="57"/>
        <v>0.32469025685963099</v>
      </c>
      <c r="O267" s="66">
        <v>2</v>
      </c>
      <c r="P267" s="10">
        <f t="shared" si="58"/>
        <v>5.2293606077320779E-3</v>
      </c>
      <c r="Q267" s="10">
        <f t="shared" si="59"/>
        <v>1.5536855018844769E-4</v>
      </c>
      <c r="R267" s="10">
        <f t="shared" si="60"/>
        <v>2.4129095482214372E-2</v>
      </c>
      <c r="S267" s="66"/>
      <c r="T267" s="5">
        <f t="shared" si="71"/>
        <v>20.666666666666643</v>
      </c>
      <c r="U267" s="12">
        <f t="shared" si="61"/>
        <v>29051.459152278581</v>
      </c>
      <c r="V267" s="12">
        <f t="shared" si="56"/>
        <v>727529.41054874798</v>
      </c>
    </row>
    <row r="268" spans="1:22">
      <c r="A268" s="5">
        <f t="shared" si="62"/>
        <v>20.749999999999975</v>
      </c>
      <c r="B268" s="4">
        <f t="shared" si="54"/>
        <v>4.6631472965703094E-3</v>
      </c>
      <c r="C268" s="4">
        <f t="shared" si="55"/>
        <v>7.8190318720096508E-3</v>
      </c>
      <c r="D268" s="4">
        <f t="shared" si="63"/>
        <v>2.3315736482851549E-4</v>
      </c>
      <c r="E268" s="4">
        <f t="shared" si="64"/>
        <v>4.6631472965703098E-4</v>
      </c>
      <c r="F268" s="4">
        <f t="shared" si="65"/>
        <v>7.8190318720096508E-3</v>
      </c>
      <c r="G268" s="4">
        <f t="shared" si="65"/>
        <v>2.3315736482851549E-4</v>
      </c>
      <c r="H268" s="4">
        <f t="shared" si="66"/>
        <v>9.3828382464115814E-3</v>
      </c>
      <c r="I268" s="4">
        <f t="shared" si="67"/>
        <v>0.88904858191765745</v>
      </c>
      <c r="J268" s="4">
        <f t="shared" si="68"/>
        <v>3.3388036979103052E-2</v>
      </c>
      <c r="K268" s="4">
        <f t="shared" si="69"/>
        <v>7.5870664351543202E-2</v>
      </c>
      <c r="L268" s="4">
        <f t="shared" si="70"/>
        <v>1.6927167516963249E-3</v>
      </c>
      <c r="N268" s="10">
        <f t="shared" si="57"/>
        <v>0.32303348136631393</v>
      </c>
      <c r="O268" s="66">
        <v>4</v>
      </c>
      <c r="P268" s="10">
        <f t="shared" si="58"/>
        <v>1.0482661312979757E-2</v>
      </c>
      <c r="Q268" s="10">
        <f t="shared" si="59"/>
        <v>3.1258469438825813E-4</v>
      </c>
      <c r="R268" s="10">
        <f t="shared" si="60"/>
        <v>4.8525824305722005E-2</v>
      </c>
      <c r="S268" s="66"/>
      <c r="T268" s="5">
        <f t="shared" si="71"/>
        <v>20.749999999999975</v>
      </c>
      <c r="U268" s="12">
        <f t="shared" si="61"/>
        <v>29059.870774298437</v>
      </c>
      <c r="V268" s="12">
        <f t="shared" si="56"/>
        <v>724672.01203840098</v>
      </c>
    </row>
    <row r="269" spans="1:22">
      <c r="A269" s="5">
        <f t="shared" si="62"/>
        <v>20.833333333333307</v>
      </c>
      <c r="B269" s="4">
        <f t="shared" si="54"/>
        <v>4.7131752774731781E-3</v>
      </c>
      <c r="C269" s="4">
        <f t="shared" si="55"/>
        <v>7.8741309744069145E-3</v>
      </c>
      <c r="D269" s="4">
        <f t="shared" si="63"/>
        <v>2.3565876387365891E-4</v>
      </c>
      <c r="E269" s="4">
        <f t="shared" si="64"/>
        <v>4.7131752774731781E-4</v>
      </c>
      <c r="F269" s="4">
        <f t="shared" si="65"/>
        <v>7.8741309744069145E-3</v>
      </c>
      <c r="G269" s="4">
        <f t="shared" si="65"/>
        <v>2.3565876387365891E-4</v>
      </c>
      <c r="H269" s="4">
        <f t="shared" si="66"/>
        <v>9.4489571692882978E-3</v>
      </c>
      <c r="I269" s="4">
        <f t="shared" si="67"/>
        <v>0.88810783336930788</v>
      </c>
      <c r="J269" s="4">
        <f t="shared" si="68"/>
        <v>3.3709816009590471E-2</v>
      </c>
      <c r="K269" s="4">
        <f t="shared" si="69"/>
        <v>7.6473034669088266E-2</v>
      </c>
      <c r="L269" s="4">
        <f t="shared" si="70"/>
        <v>1.7093159520134196E-3</v>
      </c>
      <c r="N269" s="10">
        <f t="shared" si="57"/>
        <v>0.32138231151810825</v>
      </c>
      <c r="O269" s="66">
        <v>2</v>
      </c>
      <c r="P269" s="10">
        <f t="shared" si="58"/>
        <v>5.2533207526777315E-3</v>
      </c>
      <c r="Q269" s="10">
        <f t="shared" si="59"/>
        <v>1.5722256574492909E-4</v>
      </c>
      <c r="R269" s="10">
        <f t="shared" si="60"/>
        <v>2.4397349472554987E-2</v>
      </c>
      <c r="S269" s="66"/>
      <c r="T269" s="5">
        <f t="shared" si="71"/>
        <v>20.833333333333307</v>
      </c>
      <c r="U269" s="12">
        <f t="shared" si="61"/>
        <v>29066.200754306068</v>
      </c>
      <c r="V269" s="12">
        <f t="shared" si="56"/>
        <v>721804.19085281435</v>
      </c>
    </row>
    <row r="270" spans="1:22">
      <c r="A270" s="5">
        <f t="shared" si="62"/>
        <v>20.916666666666639</v>
      </c>
      <c r="B270" s="4">
        <f t="shared" si="54"/>
        <v>4.7637903361144197E-3</v>
      </c>
      <c r="C270" s="4">
        <f t="shared" si="55"/>
        <v>7.9296448736158442E-3</v>
      </c>
      <c r="D270" s="4">
        <f t="shared" si="63"/>
        <v>2.38189516805721E-4</v>
      </c>
      <c r="E270" s="4">
        <f t="shared" si="64"/>
        <v>4.76379033611442E-4</v>
      </c>
      <c r="F270" s="4">
        <f t="shared" si="65"/>
        <v>7.9296448736158442E-3</v>
      </c>
      <c r="G270" s="4">
        <f t="shared" si="65"/>
        <v>2.38189516805721E-4</v>
      </c>
      <c r="H270" s="4">
        <f t="shared" si="66"/>
        <v>9.515573848339013E-3</v>
      </c>
      <c r="I270" s="4">
        <f t="shared" si="67"/>
        <v>0.88716014273177712</v>
      </c>
      <c r="J270" s="4">
        <f t="shared" si="68"/>
        <v>3.4034527704329645E-2</v>
      </c>
      <c r="K270" s="4">
        <f t="shared" si="69"/>
        <v>7.7079256682333994E-2</v>
      </c>
      <c r="L270" s="4">
        <f t="shared" si="70"/>
        <v>1.7260728815592691E-3</v>
      </c>
      <c r="N270" s="10">
        <f t="shared" si="57"/>
        <v>0.31973672081532378</v>
      </c>
      <c r="O270" s="66">
        <v>4</v>
      </c>
      <c r="P270" s="10">
        <f t="shared" si="58"/>
        <v>1.0530661198589777E-2</v>
      </c>
      <c r="Q270" s="10">
        <f t="shared" si="59"/>
        <v>3.1631846602395142E-4</v>
      </c>
      <c r="R270" s="10">
        <f t="shared" si="60"/>
        <v>4.9064820469378219E-2</v>
      </c>
      <c r="S270" s="66"/>
      <c r="T270" s="5">
        <f t="shared" si="71"/>
        <v>20.916666666666639</v>
      </c>
      <c r="U270" s="12">
        <f t="shared" si="61"/>
        <v>29070.430096563261</v>
      </c>
      <c r="V270" s="12">
        <f t="shared" si="56"/>
        <v>718925.89328901784</v>
      </c>
    </row>
    <row r="271" spans="1:22">
      <c r="A271" s="5">
        <f t="shared" si="62"/>
        <v>20.999999999999972</v>
      </c>
      <c r="B271" s="4">
        <f t="shared" si="54"/>
        <v>4.8149993618440455E-3</v>
      </c>
      <c r="C271" s="4">
        <f t="shared" si="55"/>
        <v>7.9855766923078997E-3</v>
      </c>
      <c r="D271" s="4">
        <f t="shared" si="63"/>
        <v>2.4074996809220228E-4</v>
      </c>
      <c r="E271" s="4">
        <f t="shared" si="64"/>
        <v>4.8149993618440455E-4</v>
      </c>
      <c r="F271" s="4">
        <f t="shared" si="65"/>
        <v>7.9855766923078997E-3</v>
      </c>
      <c r="G271" s="4">
        <f t="shared" si="65"/>
        <v>2.4074996809220228E-4</v>
      </c>
      <c r="H271" s="4">
        <f t="shared" si="66"/>
        <v>9.5826920307694793E-3</v>
      </c>
      <c r="I271" s="4">
        <f t="shared" si="67"/>
        <v>0.88620545867321621</v>
      </c>
      <c r="J271" s="4">
        <f t="shared" si="68"/>
        <v>3.436219797043541E-2</v>
      </c>
      <c r="K271" s="4">
        <f t="shared" si="69"/>
        <v>7.7689354279833825E-2</v>
      </c>
      <c r="L271" s="4">
        <f t="shared" si="70"/>
        <v>1.7429890765145264E-3</v>
      </c>
      <c r="N271" s="10">
        <f t="shared" si="57"/>
        <v>0.31809668289388482</v>
      </c>
      <c r="O271" s="66">
        <v>2</v>
      </c>
      <c r="P271" s="10">
        <f t="shared" si="58"/>
        <v>5.2773598955801106E-3</v>
      </c>
      <c r="Q271" s="10">
        <f t="shared" si="59"/>
        <v>1.5910237612467125E-4</v>
      </c>
      <c r="R271" s="10">
        <f t="shared" si="60"/>
        <v>2.4668097187537302E-2</v>
      </c>
      <c r="S271" s="66"/>
      <c r="T271" s="5">
        <f t="shared" si="71"/>
        <v>20.999999999999972</v>
      </c>
      <c r="U271" s="12">
        <f t="shared" si="61"/>
        <v>29072.539813421681</v>
      </c>
      <c r="V271" s="12">
        <f t="shared" si="56"/>
        <v>716037.0650776726</v>
      </c>
    </row>
    <row r="272" spans="1:22">
      <c r="A272" s="5">
        <f t="shared" si="62"/>
        <v>21.083333333333304</v>
      </c>
      <c r="B272" s="4">
        <f t="shared" si="54"/>
        <v>4.8668093248585044E-3</v>
      </c>
      <c r="C272" s="4">
        <f t="shared" si="55"/>
        <v>8.0419295766626358E-3</v>
      </c>
      <c r="D272" s="4">
        <f t="shared" si="63"/>
        <v>2.4334046624292522E-4</v>
      </c>
      <c r="E272" s="4">
        <f t="shared" si="64"/>
        <v>4.8668093248585044E-4</v>
      </c>
      <c r="F272" s="4">
        <f t="shared" si="65"/>
        <v>8.0419295766626358E-3</v>
      </c>
      <c r="G272" s="4">
        <f t="shared" si="65"/>
        <v>2.4334046624292522E-4</v>
      </c>
      <c r="H272" s="4">
        <f t="shared" si="66"/>
        <v>9.6503154919951629E-3</v>
      </c>
      <c r="I272" s="4">
        <f t="shared" si="67"/>
        <v>0.88524372959712294</v>
      </c>
      <c r="J272" s="4">
        <f t="shared" si="68"/>
        <v>3.469285285848292E-2</v>
      </c>
      <c r="K272" s="4">
        <f t="shared" si="69"/>
        <v>7.8303351459010434E-2</v>
      </c>
      <c r="L272" s="4">
        <f t="shared" si="70"/>
        <v>1.7600660853837294E-3</v>
      </c>
      <c r="N272" s="10">
        <f t="shared" si="57"/>
        <v>0.31646217152553074</v>
      </c>
      <c r="O272" s="66">
        <v>4</v>
      </c>
      <c r="P272" s="10">
        <f t="shared" si="58"/>
        <v>1.0578816673951913E-2</v>
      </c>
      <c r="Q272" s="10">
        <f t="shared" si="59"/>
        <v>3.2010404433387163E-4</v>
      </c>
      <c r="R272" s="10">
        <f t="shared" si="60"/>
        <v>4.9608826066501646E-2</v>
      </c>
      <c r="S272" s="66"/>
      <c r="T272" s="5">
        <f t="shared" si="71"/>
        <v>21.083333333333304</v>
      </c>
      <c r="U272" s="12">
        <f t="shared" si="61"/>
        <v>29072.510929735516</v>
      </c>
      <c r="V272" s="12">
        <f t="shared" si="56"/>
        <v>713137.65137446474</v>
      </c>
    </row>
    <row r="273" spans="1:22">
      <c r="A273" s="5">
        <f t="shared" si="62"/>
        <v>21.166666666666636</v>
      </c>
      <c r="B273" s="4">
        <f t="shared" si="54"/>
        <v>4.9192272771494214E-3</v>
      </c>
      <c r="C273" s="4">
        <f t="shared" si="55"/>
        <v>8.0987066965446664E-3</v>
      </c>
      <c r="D273" s="4">
        <f t="shared" si="63"/>
        <v>2.4596136385747106E-4</v>
      </c>
      <c r="E273" s="4">
        <f t="shared" si="64"/>
        <v>4.9192272771494212E-4</v>
      </c>
      <c r="F273" s="4">
        <f t="shared" si="65"/>
        <v>8.0987066965446664E-3</v>
      </c>
      <c r="G273" s="4">
        <f t="shared" si="65"/>
        <v>2.4596136385747106E-4</v>
      </c>
      <c r="H273" s="4">
        <f t="shared" si="66"/>
        <v>9.7184480358535989E-3</v>
      </c>
      <c r="I273" s="4">
        <f t="shared" si="67"/>
        <v>0.8842749036436649</v>
      </c>
      <c r="J273" s="4">
        <f t="shared" si="68"/>
        <v>3.5026518561274977E-2</v>
      </c>
      <c r="K273" s="4">
        <f t="shared" si="69"/>
        <v>7.8921272326019962E-2</v>
      </c>
      <c r="L273" s="4">
        <f t="shared" si="70"/>
        <v>1.7773054690402258E-3</v>
      </c>
      <c r="N273" s="10">
        <f t="shared" si="57"/>
        <v>0.31483316061802852</v>
      </c>
      <c r="O273" s="66">
        <v>2</v>
      </c>
      <c r="P273" s="10">
        <f t="shared" si="58"/>
        <v>5.3014756150928707E-3</v>
      </c>
      <c r="Q273" s="10">
        <f t="shared" si="59"/>
        <v>1.6100819817338303E-4</v>
      </c>
      <c r="R273" s="10">
        <f t="shared" si="60"/>
        <v>2.4941360426838446E-2</v>
      </c>
      <c r="S273" s="66"/>
      <c r="T273" s="5">
        <f t="shared" si="71"/>
        <v>21.166666666666636</v>
      </c>
      <c r="U273" s="12">
        <f t="shared" si="61"/>
        <v>29070.324487409791</v>
      </c>
      <c r="V273" s="12">
        <f t="shared" si="56"/>
        <v>710227.59675135824</v>
      </c>
    </row>
    <row r="274" spans="1:22">
      <c r="A274" s="5">
        <f t="shared" si="62"/>
        <v>21.249999999999968</v>
      </c>
      <c r="B274" s="4">
        <f t="shared" si="54"/>
        <v>4.9722603534634504E-3</v>
      </c>
      <c r="C274" s="4">
        <f t="shared" si="55"/>
        <v>8.1559112456819453E-3</v>
      </c>
      <c r="D274" s="4">
        <f t="shared" si="63"/>
        <v>2.4861301767317251E-4</v>
      </c>
      <c r="E274" s="4">
        <f t="shared" si="64"/>
        <v>4.9722603534634502E-4</v>
      </c>
      <c r="F274" s="4">
        <f t="shared" si="65"/>
        <v>8.1559112456819453E-3</v>
      </c>
      <c r="G274" s="4">
        <f t="shared" si="65"/>
        <v>2.4861301767317251E-4</v>
      </c>
      <c r="H274" s="4">
        <f t="shared" si="66"/>
        <v>9.7870934948183341E-3</v>
      </c>
      <c r="I274" s="4">
        <f t="shared" si="67"/>
        <v>0.88329892869108151</v>
      </c>
      <c r="J274" s="4">
        <f t="shared" si="68"/>
        <v>3.5363221412545331E-2</v>
      </c>
      <c r="K274" s="4">
        <f t="shared" si="69"/>
        <v>7.9543141095603204E-2</v>
      </c>
      <c r="L274" s="4">
        <f t="shared" si="70"/>
        <v>1.7947088007699702E-3</v>
      </c>
      <c r="N274" s="10">
        <f t="shared" si="57"/>
        <v>0.31320962421539494</v>
      </c>
      <c r="O274" s="66">
        <v>4</v>
      </c>
      <c r="P274" s="10">
        <f t="shared" si="58"/>
        <v>1.062712283534616E-2</v>
      </c>
      <c r="Q274" s="10">
        <f t="shared" si="59"/>
        <v>3.2394186225085379E-4</v>
      </c>
      <c r="R274" s="10">
        <f t="shared" si="60"/>
        <v>5.0157883950260308E-2</v>
      </c>
      <c r="S274" s="66"/>
      <c r="T274" s="5">
        <f t="shared" si="71"/>
        <v>21.249999999999968</v>
      </c>
      <c r="U274" s="12">
        <f t="shared" si="61"/>
        <v>29065.961550087944</v>
      </c>
      <c r="V274" s="12">
        <f t="shared" si="56"/>
        <v>707306.84518770268</v>
      </c>
    </row>
    <row r="275" spans="1:22">
      <c r="A275" s="5">
        <f t="shared" si="62"/>
        <v>21.3333333333333</v>
      </c>
      <c r="B275" s="4">
        <f t="shared" ref="B275:B338" si="72">B$3+B$4*EXP(B$5*(B$12+A275))</f>
        <v>5.0259157722734064E-3</v>
      </c>
      <c r="C275" s="4">
        <f t="shared" ref="C275:C338" si="73">B$6+B$7*EXP(B$8*(B$12+A275))</f>
        <v>8.2135464418454391E-3</v>
      </c>
      <c r="D275" s="4">
        <f t="shared" si="63"/>
        <v>2.5129578861367031E-4</v>
      </c>
      <c r="E275" s="4">
        <f t="shared" si="64"/>
        <v>5.0259157722734062E-4</v>
      </c>
      <c r="F275" s="4">
        <f t="shared" si="65"/>
        <v>8.2135464418454391E-3</v>
      </c>
      <c r="G275" s="4">
        <f t="shared" si="65"/>
        <v>2.5129578861367031E-4</v>
      </c>
      <c r="H275" s="4">
        <f t="shared" si="66"/>
        <v>9.8562557302145273E-3</v>
      </c>
      <c r="I275" s="4">
        <f t="shared" si="67"/>
        <v>0.88231575235716586</v>
      </c>
      <c r="J275" s="4">
        <f t="shared" si="68"/>
        <v>3.5702987885596602E-2</v>
      </c>
      <c r="K275" s="4">
        <f t="shared" si="69"/>
        <v>8.0168982090923338E-2</v>
      </c>
      <c r="L275" s="4">
        <f t="shared" si="70"/>
        <v>1.81227766631416E-3</v>
      </c>
      <c r="N275" s="10">
        <f t="shared" si="57"/>
        <v>0.31159153649813104</v>
      </c>
      <c r="O275" s="66">
        <v>2</v>
      </c>
      <c r="P275" s="10">
        <f t="shared" si="58"/>
        <v>5.3256654285543364E-3</v>
      </c>
      <c r="Q275" s="10">
        <f t="shared" si="59"/>
        <v>1.6294024794731983E-4</v>
      </c>
      <c r="R275" s="10">
        <f t="shared" si="60"/>
        <v>2.5217160235724432E-2</v>
      </c>
      <c r="S275" s="66"/>
      <c r="T275" s="5">
        <f t="shared" si="71"/>
        <v>21.3333333333333</v>
      </c>
      <c r="U275" s="12">
        <f t="shared" si="61"/>
        <v>29059.403207982279</v>
      </c>
      <c r="V275" s="12">
        <f t="shared" ref="V275:V338" si="74">V276-B$13*(B$15*V276-B$10-E276*(U276-V276)-(F276+G276)*(B$11-V276))</f>
        <v>704375.34006119543</v>
      </c>
    </row>
    <row r="276" spans="1:22">
      <c r="A276" s="5">
        <f t="shared" si="62"/>
        <v>21.416666666666632</v>
      </c>
      <c r="B276" s="4">
        <f t="shared" si="72"/>
        <v>5.0802008367607952E-3</v>
      </c>
      <c r="C276" s="4">
        <f t="shared" si="73"/>
        <v>8.271615527030143E-3</v>
      </c>
      <c r="D276" s="4">
        <f t="shared" si="63"/>
        <v>2.5401004183803975E-4</v>
      </c>
      <c r="E276" s="4">
        <f t="shared" si="64"/>
        <v>5.080200836760795E-4</v>
      </c>
      <c r="F276" s="4">
        <f t="shared" si="65"/>
        <v>8.271615527030143E-3</v>
      </c>
      <c r="G276" s="4">
        <f t="shared" si="65"/>
        <v>2.5401004183803975E-4</v>
      </c>
      <c r="H276" s="4">
        <f t="shared" si="66"/>
        <v>9.9259386324361716E-3</v>
      </c>
      <c r="I276" s="4">
        <f t="shared" si="67"/>
        <v>0.8813253220008278</v>
      </c>
      <c r="J276" s="4">
        <f t="shared" si="68"/>
        <v>3.6045844591871309E-2</v>
      </c>
      <c r="K276" s="4">
        <f t="shared" si="69"/>
        <v>8.0798819743390149E-2</v>
      </c>
      <c r="L276" s="4">
        <f t="shared" si="70"/>
        <v>1.830013663910667E-3</v>
      </c>
      <c r="N276" s="10">
        <f t="shared" ref="N276:N339" si="75">((1+B$9)^-A276)*I276</f>
        <v>0.30997887178346728</v>
      </c>
      <c r="O276" s="66">
        <v>4</v>
      </c>
      <c r="P276" s="10">
        <f t="shared" ref="P276:P339" si="76">((1+B$9)^-A276)*(I276*C276+J276*F276)*O276</f>
        <v>1.0675574655266949E-2</v>
      </c>
      <c r="Q276" s="10">
        <f t="shared" ref="Q276:Q339" si="77">((1+B$9)^-A276)*(I276*D276+J276*G276)*O276</f>
        <v>3.2783235100424082E-4</v>
      </c>
      <c r="R276" s="10">
        <f t="shared" ref="R276:R339" si="78">((1+B$9)^-A276)*J276*O276</f>
        <v>5.0712035431837825E-2</v>
      </c>
      <c r="S276" s="66"/>
      <c r="T276" s="5">
        <f t="shared" si="71"/>
        <v>21.416666666666632</v>
      </c>
      <c r="U276" s="12">
        <f t="shared" ref="U276:U339" si="79">U277-B$13*(B$15*U277+V$10-B277*(V277-U277)-(C277+D277)*(B$11-U277))</f>
        <v>29050.630582851056</v>
      </c>
      <c r="V276" s="12">
        <f t="shared" si="74"/>
        <v>701433.02413869405</v>
      </c>
    </row>
    <row r="277" spans="1:22">
      <c r="A277" s="5">
        <f t="shared" ref="A277:A340" si="80">A276+1/12</f>
        <v>21.499999999999964</v>
      </c>
      <c r="B277" s="4">
        <f t="shared" si="72"/>
        <v>5.1351229358098773E-3</v>
      </c>
      <c r="C277" s="4">
        <f t="shared" si="73"/>
        <v>8.3301217676373957E-3</v>
      </c>
      <c r="D277" s="4">
        <f t="shared" ref="D277:D340" si="81">0.05*B277</f>
        <v>2.567561467904939E-4</v>
      </c>
      <c r="E277" s="4">
        <f t="shared" ref="E277:E340" si="82">0.1*B277</f>
        <v>5.1351229358098779E-4</v>
      </c>
      <c r="F277" s="4">
        <f t="shared" ref="F277:G340" si="83">C277</f>
        <v>8.3301217676373957E-3</v>
      </c>
      <c r="G277" s="4">
        <f t="shared" si="83"/>
        <v>2.567561467904939E-4</v>
      </c>
      <c r="H277" s="4">
        <f t="shared" ref="H277:H340" si="84">1.2*C277</f>
        <v>9.9961461211648742E-3</v>
      </c>
      <c r="I277" s="4">
        <f t="shared" ref="I277:I340" si="85">I276-B$13*(I276*B276-J276*E276)-B$13*I276*(C276+D276)</f>
        <v>0.88032758472374084</v>
      </c>
      <c r="J277" s="4">
        <f t="shared" ref="J277:J340" si="86">J276-B$13*(J276*E276-I276*B276)-B$13*J276*F276-B$13*J276*G276</f>
        <v>3.6391818279454424E-2</v>
      </c>
      <c r="K277" s="4">
        <f t="shared" ref="K277:K340" si="87">K276+B$13*I276*C276+B$13*J276*F276+B$13*L276*H276</f>
        <v>8.1432678592470345E-2</v>
      </c>
      <c r="L277" s="4">
        <f t="shared" ref="L277:L340" si="88">L276+B$13*I276*D276+B$13*J276*G276-B$13*L276*H276</f>
        <v>1.8479184043342276E-3</v>
      </c>
      <c r="N277" s="10">
        <f t="shared" si="75"/>
        <v>0.30837160452561951</v>
      </c>
      <c r="O277" s="66">
        <v>2</v>
      </c>
      <c r="P277" s="10">
        <f t="shared" si="76"/>
        <v>5.3499267908297503E-3</v>
      </c>
      <c r="Q277" s="10">
        <f t="shared" si="77"/>
        <v>1.6489874058759043E-4</v>
      </c>
      <c r="R277" s="10">
        <f t="shared" si="78"/>
        <v>2.549551687162414E-2</v>
      </c>
      <c r="S277" s="66"/>
      <c r="T277" s="5">
        <f t="shared" ref="T277:T340" si="89">T276+1/12</f>
        <v>21.499999999999964</v>
      </c>
      <c r="U277" s="12">
        <f t="shared" si="79"/>
        <v>29039.624833126076</v>
      </c>
      <c r="V277" s="12">
        <f t="shared" si="74"/>
        <v>698479.83956687711</v>
      </c>
    </row>
    <row r="278" spans="1:22">
      <c r="A278" s="5">
        <f t="shared" si="80"/>
        <v>21.583333333333297</v>
      </c>
      <c r="B278" s="4">
        <f t="shared" si="72"/>
        <v>5.1906895450133704E-3</v>
      </c>
      <c r="C278" s="4">
        <f t="shared" si="73"/>
        <v>8.3890684546586731E-3</v>
      </c>
      <c r="D278" s="4">
        <f t="shared" si="81"/>
        <v>2.5953447725066852E-4</v>
      </c>
      <c r="E278" s="4">
        <f t="shared" si="82"/>
        <v>5.1906895450133704E-4</v>
      </c>
      <c r="F278" s="4">
        <f t="shared" si="83"/>
        <v>8.3890684546586731E-3</v>
      </c>
      <c r="G278" s="4">
        <f t="shared" si="83"/>
        <v>2.5953447725066852E-4</v>
      </c>
      <c r="H278" s="4">
        <f t="shared" si="84"/>
        <v>1.0066882145590407E-2</v>
      </c>
      <c r="I278" s="4">
        <f t="shared" si="85"/>
        <v>0.87932248737207463</v>
      </c>
      <c r="J278" s="4">
        <f t="shared" si="86"/>
        <v>3.6740935831506012E-2</v>
      </c>
      <c r="K278" s="4">
        <f t="shared" si="87"/>
        <v>8.2070583285483861E-2</v>
      </c>
      <c r="L278" s="4">
        <f t="shared" si="88"/>
        <v>1.8659935109353498E-3</v>
      </c>
      <c r="N278" s="10">
        <f t="shared" si="75"/>
        <v>0.3067697093160574</v>
      </c>
      <c r="O278" s="66">
        <v>4</v>
      </c>
      <c r="P278" s="10">
        <f t="shared" si="76"/>
        <v>1.0724166980096156E-2</v>
      </c>
      <c r="Q278" s="10">
        <f t="shared" si="77"/>
        <v>3.3177593986403824E-4</v>
      </c>
      <c r="R278" s="10">
        <f t="shared" si="78"/>
        <v>5.1271320212520968E-2</v>
      </c>
      <c r="S278" s="66"/>
      <c r="T278" s="5">
        <f t="shared" si="89"/>
        <v>21.583333333333297</v>
      </c>
      <c r="U278" s="12">
        <f t="shared" si="79"/>
        <v>29026.367159194702</v>
      </c>
      <c r="V278" s="12">
        <f t="shared" si="74"/>
        <v>695515.72786275076</v>
      </c>
    </row>
    <row r="279" spans="1:22">
      <c r="A279" s="5">
        <f t="shared" si="80"/>
        <v>21.666666666666629</v>
      </c>
      <c r="B279" s="4">
        <f t="shared" si="72"/>
        <v>5.2469082276899691E-3</v>
      </c>
      <c r="C279" s="4">
        <f t="shared" si="73"/>
        <v>8.448458903860652E-3</v>
      </c>
      <c r="D279" s="4">
        <f t="shared" si="81"/>
        <v>2.6234541138449844E-4</v>
      </c>
      <c r="E279" s="4">
        <f t="shared" si="82"/>
        <v>5.2469082276899689E-4</v>
      </c>
      <c r="F279" s="4">
        <f t="shared" si="83"/>
        <v>8.448458903860652E-3</v>
      </c>
      <c r="G279" s="4">
        <f t="shared" si="83"/>
        <v>2.6234541138449844E-4</v>
      </c>
      <c r="H279" s="4">
        <f t="shared" si="84"/>
        <v>1.0138150684632781E-2</v>
      </c>
      <c r="I279" s="4">
        <f t="shared" si="85"/>
        <v>0.878309976538314</v>
      </c>
      <c r="J279" s="4">
        <f t="shared" si="86"/>
        <v>3.7093224264622221E-2</v>
      </c>
      <c r="K279" s="4">
        <f t="shared" si="87"/>
        <v>8.271255857738577E-2</v>
      </c>
      <c r="L279" s="4">
        <f t="shared" si="88"/>
        <v>1.8842406196778979E-3</v>
      </c>
      <c r="N279" s="10">
        <f t="shared" si="75"/>
        <v>0.30517316088378282</v>
      </c>
      <c r="O279" s="66">
        <v>2</v>
      </c>
      <c r="P279" s="10">
        <f t="shared" si="76"/>
        <v>5.3742570931420014E-3</v>
      </c>
      <c r="Q279" s="10">
        <f t="shared" si="77"/>
        <v>1.6688389018997495E-4</v>
      </c>
      <c r="R279" s="10">
        <f t="shared" si="78"/>
        <v>2.577644976963778E-2</v>
      </c>
      <c r="S279" s="66"/>
      <c r="T279" s="5">
        <f t="shared" si="89"/>
        <v>21.666666666666629</v>
      </c>
      <c r="U279" s="12">
        <f t="shared" si="79"/>
        <v>29010.838808840377</v>
      </c>
      <c r="V279" s="12">
        <f t="shared" si="74"/>
        <v>692540.62990399788</v>
      </c>
    </row>
    <row r="280" spans="1:22">
      <c r="A280" s="5">
        <f t="shared" si="80"/>
        <v>21.749999999999961</v>
      </c>
      <c r="B280" s="4">
        <f t="shared" si="72"/>
        <v>5.3037866359138385E-3</v>
      </c>
      <c r="C280" s="4">
        <f t="shared" si="73"/>
        <v>8.5082964559717571E-3</v>
      </c>
      <c r="D280" s="4">
        <f t="shared" si="81"/>
        <v>2.6518933179569193E-4</v>
      </c>
      <c r="E280" s="4">
        <f t="shared" si="82"/>
        <v>5.3037866359138385E-4</v>
      </c>
      <c r="F280" s="4">
        <f t="shared" si="83"/>
        <v>8.5082964559717571E-3</v>
      </c>
      <c r="G280" s="4">
        <f t="shared" si="83"/>
        <v>2.6518933179569193E-4</v>
      </c>
      <c r="H280" s="4">
        <f t="shared" si="84"/>
        <v>1.0209955747166108E-2</v>
      </c>
      <c r="I280" s="4">
        <f t="shared" si="85"/>
        <v>0.87728999856316781</v>
      </c>
      <c r="J280" s="4">
        <f t="shared" si="86"/>
        <v>3.7448710727123212E-2</v>
      </c>
      <c r="K280" s="4">
        <f t="shared" si="87"/>
        <v>8.3358629330533646E-2</v>
      </c>
      <c r="L280" s="4">
        <f t="shared" si="88"/>
        <v>1.9026613791753089E-3</v>
      </c>
      <c r="N280" s="10">
        <f t="shared" si="75"/>
        <v>0.30358193409562162</v>
      </c>
      <c r="O280" s="66">
        <v>4</v>
      </c>
      <c r="P280" s="10">
        <f t="shared" si="76"/>
        <v>1.0772894527753166E-2</v>
      </c>
      <c r="Q280" s="10">
        <f t="shared" si="77"/>
        <v>3.3577305587597066E-4</v>
      </c>
      <c r="R280" s="10">
        <f t="shared" si="78"/>
        <v>5.1835776313635604E-2</v>
      </c>
      <c r="S280" s="66"/>
      <c r="T280" s="5">
        <f t="shared" si="89"/>
        <v>21.749999999999961</v>
      </c>
      <c r="U280" s="12">
        <f t="shared" si="79"/>
        <v>28993.021082845826</v>
      </c>
      <c r="V280" s="12">
        <f t="shared" si="74"/>
        <v>689554.48591916705</v>
      </c>
    </row>
    <row r="281" spans="1:22">
      <c r="A281" s="5">
        <f t="shared" si="80"/>
        <v>21.833333333333293</v>
      </c>
      <c r="B281" s="4">
        <f t="shared" si="72"/>
        <v>5.3613325115561385E-3</v>
      </c>
      <c r="C281" s="4">
        <f t="shared" si="73"/>
        <v>8.5685844768700822E-3</v>
      </c>
      <c r="D281" s="4">
        <f t="shared" si="81"/>
        <v>2.6806662557780691E-4</v>
      </c>
      <c r="E281" s="4">
        <f t="shared" si="82"/>
        <v>5.3613325115561383E-4</v>
      </c>
      <c r="F281" s="4">
        <f t="shared" si="83"/>
        <v>8.5685844768700822E-3</v>
      </c>
      <c r="G281" s="4">
        <f t="shared" si="83"/>
        <v>2.6806662557780691E-4</v>
      </c>
      <c r="H281" s="4">
        <f t="shared" si="84"/>
        <v>1.0282301372244099E-2</v>
      </c>
      <c r="I281" s="4">
        <f t="shared" si="85"/>
        <v>0.87626249953756818</v>
      </c>
      <c r="J281" s="4">
        <f t="shared" si="86"/>
        <v>3.7807422497266291E-2</v>
      </c>
      <c r="K281" s="4">
        <f t="shared" si="87"/>
        <v>8.4008820514440141E-2</v>
      </c>
      <c r="L281" s="4">
        <f t="shared" si="88"/>
        <v>1.9212574507254025E-3</v>
      </c>
      <c r="N281" s="10">
        <f t="shared" si="75"/>
        <v>0.30199600395652476</v>
      </c>
      <c r="O281" s="66">
        <v>2</v>
      </c>
      <c r="P281" s="10">
        <f t="shared" si="76"/>
        <v>5.3986536618910617E-3</v>
      </c>
      <c r="Q281" s="10">
        <f t="shared" si="77"/>
        <v>1.6889590967013933E-4</v>
      </c>
      <c r="R281" s="10">
        <f t="shared" si="78"/>
        <v>2.6059977506959191E-2</v>
      </c>
      <c r="S281" s="66"/>
      <c r="T281" s="5">
        <f t="shared" si="89"/>
        <v>21.833333333333293</v>
      </c>
      <c r="U281" s="12">
        <f t="shared" si="79"/>
        <v>28972.895340763207</v>
      </c>
      <c r="V281" s="12">
        <f t="shared" si="74"/>
        <v>686557.23547769932</v>
      </c>
    </row>
    <row r="282" spans="1:22">
      <c r="A282" s="5">
        <f t="shared" si="80"/>
        <v>21.916666666666625</v>
      </c>
      <c r="B282" s="4">
        <f t="shared" si="72"/>
        <v>5.4195536873387837E-3</v>
      </c>
      <c r="C282" s="4">
        <f t="shared" si="73"/>
        <v>8.6293263577726965E-3</v>
      </c>
      <c r="D282" s="4">
        <f t="shared" si="81"/>
        <v>2.7097768436693919E-4</v>
      </c>
      <c r="E282" s="4">
        <f t="shared" si="82"/>
        <v>5.4195536873387839E-4</v>
      </c>
      <c r="F282" s="4">
        <f t="shared" si="83"/>
        <v>8.6293263577726965E-3</v>
      </c>
      <c r="G282" s="4">
        <f t="shared" si="83"/>
        <v>2.7097768436693919E-4</v>
      </c>
      <c r="H282" s="4">
        <f t="shared" si="84"/>
        <v>1.0355191629327236E-2</v>
      </c>
      <c r="I282" s="4">
        <f t="shared" si="85"/>
        <v>0.87522742530476327</v>
      </c>
      <c r="J282" s="4">
        <f t="shared" si="86"/>
        <v>3.8169386981382607E-2</v>
      </c>
      <c r="K282" s="4">
        <f t="shared" si="87"/>
        <v>8.4663157205510431E-2</v>
      </c>
      <c r="L282" s="4">
        <f t="shared" si="88"/>
        <v>1.9400305083437375E-3</v>
      </c>
      <c r="N282" s="10">
        <f t="shared" si="75"/>
        <v>0.30041534560988298</v>
      </c>
      <c r="O282" s="66">
        <v>4</v>
      </c>
      <c r="P282" s="10">
        <f t="shared" si="76"/>
        <v>1.0821751885322722E-2</v>
      </c>
      <c r="Q282" s="10">
        <f t="shared" si="77"/>
        <v>3.3982412358723221E-4</v>
      </c>
      <c r="R282" s="10">
        <f t="shared" si="78"/>
        <v>5.240544000428967E-2</v>
      </c>
      <c r="S282" s="66"/>
      <c r="T282" s="5">
        <f t="shared" si="89"/>
        <v>21.916666666666625</v>
      </c>
      <c r="U282" s="12">
        <f t="shared" si="79"/>
        <v>28950.443006855643</v>
      </c>
      <c r="V282" s="12">
        <f t="shared" si="74"/>
        <v>683548.81747978856</v>
      </c>
    </row>
    <row r="283" spans="1:22">
      <c r="A283" s="5">
        <f t="shared" si="80"/>
        <v>21.999999999999957</v>
      </c>
      <c r="B283" s="4">
        <f t="shared" si="72"/>
        <v>5.4784580879005743E-3</v>
      </c>
      <c r="C283" s="4">
        <f t="shared" si="73"/>
        <v>8.6905255154264057E-3</v>
      </c>
      <c r="D283" s="4">
        <f t="shared" si="81"/>
        <v>2.7392290439502871E-4</v>
      </c>
      <c r="E283" s="4">
        <f t="shared" si="82"/>
        <v>5.4784580879005743E-4</v>
      </c>
      <c r="F283" s="4">
        <f t="shared" si="83"/>
        <v>8.6905255154264057E-3</v>
      </c>
      <c r="G283" s="4">
        <f t="shared" si="83"/>
        <v>2.7392290439502871E-4</v>
      </c>
      <c r="H283" s="4">
        <f t="shared" si="84"/>
        <v>1.0428630618511686E-2</v>
      </c>
      <c r="I283" s="4">
        <f t="shared" si="85"/>
        <v>0.87418472146250448</v>
      </c>
      <c r="J283" s="4">
        <f t="shared" si="86"/>
        <v>3.8534631711935788E-2</v>
      </c>
      <c r="K283" s="4">
        <f t="shared" si="87"/>
        <v>8.5321664586764351E-2</v>
      </c>
      <c r="L283" s="4">
        <f t="shared" si="88"/>
        <v>1.958982238795471E-3</v>
      </c>
      <c r="N283" s="10">
        <f t="shared" si="75"/>
        <v>0.298839934337852</v>
      </c>
      <c r="O283" s="66">
        <v>2</v>
      </c>
      <c r="P283" s="10">
        <f t="shared" si="76"/>
        <v>5.4231137574624246E-3</v>
      </c>
      <c r="Q283" s="10">
        <f t="shared" si="77"/>
        <v>1.7093501062413676E-4</v>
      </c>
      <c r="R283" s="10">
        <f t="shared" si="78"/>
        <v>2.6346117766191432E-2</v>
      </c>
      <c r="S283" s="66"/>
      <c r="T283" s="5">
        <f t="shared" si="89"/>
        <v>21.999999999999957</v>
      </c>
      <c r="U283" s="12">
        <f t="shared" si="79"/>
        <v>28925.64557621464</v>
      </c>
      <c r="V283" s="12">
        <f t="shared" si="74"/>
        <v>680529.17014607345</v>
      </c>
    </row>
    <row r="284" spans="1:22">
      <c r="A284" s="5">
        <f t="shared" si="80"/>
        <v>22.08333333333329</v>
      </c>
      <c r="B284" s="4">
        <f t="shared" si="72"/>
        <v>5.5380537308758679E-3</v>
      </c>
      <c r="C284" s="4">
        <f t="shared" si="73"/>
        <v>8.7521853922999729E-3</v>
      </c>
      <c r="D284" s="4">
        <f t="shared" si="81"/>
        <v>2.7690268654379343E-4</v>
      </c>
      <c r="E284" s="4">
        <f t="shared" si="82"/>
        <v>5.5380537308758685E-4</v>
      </c>
      <c r="F284" s="4">
        <f t="shared" si="83"/>
        <v>8.7521853922999729E-3</v>
      </c>
      <c r="G284" s="4">
        <f t="shared" si="83"/>
        <v>2.7690268654379343E-4</v>
      </c>
      <c r="H284" s="4">
        <f t="shared" si="84"/>
        <v>1.0502622470759967E-2</v>
      </c>
      <c r="I284" s="4">
        <f t="shared" si="85"/>
        <v>0.87313433336533064</v>
      </c>
      <c r="J284" s="4">
        <f t="shared" si="86"/>
        <v>3.8903184345500809E-2</v>
      </c>
      <c r="K284" s="4">
        <f t="shared" si="87"/>
        <v>8.5984367947542897E-2</v>
      </c>
      <c r="L284" s="4">
        <f t="shared" si="88"/>
        <v>1.978114341625677E-3</v>
      </c>
      <c r="N284" s="10">
        <f t="shared" si="75"/>
        <v>0.29726974556169022</v>
      </c>
      <c r="O284" s="66">
        <v>4</v>
      </c>
      <c r="P284" s="10">
        <f t="shared" si="76"/>
        <v>1.0870733506660842E-2</v>
      </c>
      <c r="Q284" s="10">
        <f t="shared" si="77"/>
        <v>3.4392956476268045E-4</v>
      </c>
      <c r="R284" s="10">
        <f t="shared" si="78"/>
        <v>5.298034572688242E-2</v>
      </c>
      <c r="S284" s="66"/>
      <c r="T284" s="5">
        <f t="shared" si="89"/>
        <v>22.08333333333329</v>
      </c>
      <c r="U284" s="12">
        <f t="shared" si="79"/>
        <v>28898.484621058044</v>
      </c>
      <c r="V284" s="12">
        <f t="shared" si="74"/>
        <v>677498.23100715771</v>
      </c>
    </row>
    <row r="285" spans="1:22">
      <c r="A285" s="5">
        <f t="shared" si="80"/>
        <v>22.166666666666622</v>
      </c>
      <c r="B285" s="4">
        <f t="shared" si="72"/>
        <v>5.5983487279858586E-3</v>
      </c>
      <c r="C285" s="4">
        <f t="shared" si="73"/>
        <v>8.8143094567777365E-3</v>
      </c>
      <c r="D285" s="4">
        <f t="shared" si="81"/>
        <v>2.7991743639929292E-4</v>
      </c>
      <c r="E285" s="4">
        <f t="shared" si="82"/>
        <v>5.5983487279858584E-4</v>
      </c>
      <c r="F285" s="4">
        <f t="shared" si="83"/>
        <v>8.8143094567777365E-3</v>
      </c>
      <c r="G285" s="4">
        <f t="shared" si="83"/>
        <v>2.7991743639929292E-4</v>
      </c>
      <c r="H285" s="4">
        <f t="shared" si="84"/>
        <v>1.0577171348133284E-2</v>
      </c>
      <c r="I285" s="4">
        <f t="shared" si="85"/>
        <v>0.87207620612695169</v>
      </c>
      <c r="J285" s="4">
        <f t="shared" si="86"/>
        <v>3.9275072660661305E-2</v>
      </c>
      <c r="K285" s="4">
        <f t="shared" si="87"/>
        <v>8.6651292683198933E-2</v>
      </c>
      <c r="L285" s="4">
        <f t="shared" si="88"/>
        <v>1.9974285291880743E-3</v>
      </c>
      <c r="N285" s="10">
        <f t="shared" si="75"/>
        <v>0.29570475484210818</v>
      </c>
      <c r="O285" s="66">
        <v>2</v>
      </c>
      <c r="P285" s="10">
        <f t="shared" si="76"/>
        <v>5.4476345730247481E-3</v>
      </c>
      <c r="Q285" s="10">
        <f t="shared" si="77"/>
        <v>1.7300140318407886E-4</v>
      </c>
      <c r="R285" s="10">
        <f t="shared" si="78"/>
        <v>2.6634887297535471E-2</v>
      </c>
      <c r="S285" s="66"/>
      <c r="T285" s="5">
        <f t="shared" si="89"/>
        <v>22.166666666666622</v>
      </c>
      <c r="U285" s="12">
        <f t="shared" si="79"/>
        <v>28868.941797213334</v>
      </c>
      <c r="V285" s="12">
        <f t="shared" si="74"/>
        <v>674455.93689295545</v>
      </c>
    </row>
    <row r="286" spans="1:22">
      <c r="A286" s="5">
        <f t="shared" si="80"/>
        <v>22.249999999999954</v>
      </c>
      <c r="B286" s="4">
        <f t="shared" si="72"/>
        <v>5.659351286142685E-3</v>
      </c>
      <c r="C286" s="4">
        <f t="shared" si="73"/>
        <v>8.8769012033546989E-3</v>
      </c>
      <c r="D286" s="4">
        <f t="shared" si="81"/>
        <v>2.8296756430713424E-4</v>
      </c>
      <c r="E286" s="4">
        <f t="shared" si="82"/>
        <v>5.6593512861426848E-4</v>
      </c>
      <c r="F286" s="4">
        <f t="shared" si="83"/>
        <v>8.8769012033546989E-3</v>
      </c>
      <c r="G286" s="4">
        <f t="shared" si="83"/>
        <v>2.8296756430713424E-4</v>
      </c>
      <c r="H286" s="4">
        <f t="shared" si="84"/>
        <v>1.0652281444025639E-2</v>
      </c>
      <c r="I286" s="4">
        <f t="shared" si="85"/>
        <v>0.87101028462273256</v>
      </c>
      <c r="J286" s="4">
        <f t="shared" si="86"/>
        <v>3.9650324555823666E-2</v>
      </c>
      <c r="K286" s="4">
        <f t="shared" si="87"/>
        <v>8.7322464294771696E-2</v>
      </c>
      <c r="L286" s="4">
        <f t="shared" si="88"/>
        <v>2.0169265266721222E-3</v>
      </c>
      <c r="N286" s="10">
        <f t="shared" si="75"/>
        <v>0.29414493787962936</v>
      </c>
      <c r="O286" s="66">
        <v>4</v>
      </c>
      <c r="P286" s="10">
        <f t="shared" si="76"/>
        <v>1.0919833709979768E-2</v>
      </c>
      <c r="Q286" s="10">
        <f t="shared" si="77"/>
        <v>3.4808979809127259E-4</v>
      </c>
      <c r="R286" s="10">
        <f t="shared" si="78"/>
        <v>5.3560526020339956E-2</v>
      </c>
      <c r="S286" s="66"/>
      <c r="T286" s="5">
        <f t="shared" si="89"/>
        <v>22.249999999999954</v>
      </c>
      <c r="U286" s="12">
        <f t="shared" si="79"/>
        <v>28836.998850791137</v>
      </c>
      <c r="V286" s="12">
        <f t="shared" si="74"/>
        <v>671402.22392185859</v>
      </c>
    </row>
    <row r="287" spans="1:22">
      <c r="A287" s="5">
        <f t="shared" si="80"/>
        <v>22.333333333333286</v>
      </c>
      <c r="B287" s="4">
        <f t="shared" si="72"/>
        <v>5.7210697085664846E-3</v>
      </c>
      <c r="C287" s="4">
        <f t="shared" si="73"/>
        <v>8.9399641528331002E-3</v>
      </c>
      <c r="D287" s="4">
        <f t="shared" si="81"/>
        <v>2.8605348542832425E-4</v>
      </c>
      <c r="E287" s="4">
        <f t="shared" si="82"/>
        <v>5.7210697085664851E-4</v>
      </c>
      <c r="F287" s="4">
        <f t="shared" si="83"/>
        <v>8.9399641528331002E-3</v>
      </c>
      <c r="G287" s="4">
        <f t="shared" si="83"/>
        <v>2.8605348542832425E-4</v>
      </c>
      <c r="H287" s="4">
        <f t="shared" si="84"/>
        <v>1.072795698339972E-2</v>
      </c>
      <c r="I287" s="4">
        <f t="shared" si="85"/>
        <v>0.86993651349228063</v>
      </c>
      <c r="J287" s="4">
        <f t="shared" si="86"/>
        <v>4.0028968046946126E-2</v>
      </c>
      <c r="K287" s="4">
        <f t="shared" si="87"/>
        <v>8.7997908388644935E-2</v>
      </c>
      <c r="L287" s="4">
        <f t="shared" si="88"/>
        <v>2.0366100721284281E-3</v>
      </c>
      <c r="N287" s="10">
        <f t="shared" si="75"/>
        <v>0.292590270514964</v>
      </c>
      <c r="O287" s="66">
        <v>2</v>
      </c>
      <c r="P287" s="10">
        <f t="shared" si="76"/>
        <v>5.4722132333170958E-3</v>
      </c>
      <c r="Q287" s="10">
        <f t="shared" si="77"/>
        <v>1.7509529586886459E-4</v>
      </c>
      <c r="R287" s="10">
        <f t="shared" si="78"/>
        <v>2.6926301879831936E-2</v>
      </c>
      <c r="S287" s="66"/>
      <c r="T287" s="5">
        <f t="shared" si="89"/>
        <v>22.333333333333286</v>
      </c>
      <c r="U287" s="12">
        <f t="shared" si="79"/>
        <v>28802.637625054038</v>
      </c>
      <c r="V287" s="12">
        <f t="shared" si="74"/>
        <v>668337.02748972317</v>
      </c>
    </row>
    <row r="288" spans="1:22">
      <c r="A288" s="5">
        <f t="shared" si="80"/>
        <v>22.416666666666618</v>
      </c>
      <c r="B288" s="4">
        <f t="shared" si="72"/>
        <v>5.7835123959156026E-3</v>
      </c>
      <c r="C288" s="4">
        <f t="shared" si="73"/>
        <v>9.0035018525204819E-3</v>
      </c>
      <c r="D288" s="4">
        <f t="shared" si="81"/>
        <v>2.8917561979578015E-4</v>
      </c>
      <c r="E288" s="4">
        <f t="shared" si="82"/>
        <v>5.783512395915603E-4</v>
      </c>
      <c r="F288" s="4">
        <f t="shared" si="83"/>
        <v>9.0035018525204819E-3</v>
      </c>
      <c r="G288" s="4">
        <f t="shared" si="83"/>
        <v>2.8917561979578015E-4</v>
      </c>
      <c r="H288" s="4">
        <f t="shared" si="84"/>
        <v>1.0804202223024579E-2</v>
      </c>
      <c r="I288" s="4">
        <f t="shared" si="85"/>
        <v>0.86885483714213829</v>
      </c>
      <c r="J288" s="4">
        <f t="shared" si="86"/>
        <v>4.0411031265180981E-2</v>
      </c>
      <c r="K288" s="4">
        <f t="shared" si="87"/>
        <v>8.8677650676188421E-2</v>
      </c>
      <c r="L288" s="4">
        <f t="shared" si="88"/>
        <v>2.0564809164924291E-3</v>
      </c>
      <c r="N288" s="10">
        <f t="shared" si="75"/>
        <v>0.29104072872939418</v>
      </c>
      <c r="O288" s="66">
        <v>4</v>
      </c>
      <c r="P288" s="10">
        <f t="shared" si="76"/>
        <v>1.0969046675412018E-2</v>
      </c>
      <c r="Q288" s="10">
        <f t="shared" si="77"/>
        <v>3.5230523888248353E-4</v>
      </c>
      <c r="R288" s="10">
        <f t="shared" si="78"/>
        <v>5.4146011441036847E-2</v>
      </c>
      <c r="S288" s="66"/>
      <c r="T288" s="5">
        <f t="shared" si="89"/>
        <v>22.416666666666618</v>
      </c>
      <c r="U288" s="12">
        <f t="shared" si="79"/>
        <v>28765.840067485868</v>
      </c>
      <c r="V288" s="12">
        <f t="shared" si="74"/>
        <v>665260.28225867136</v>
      </c>
    </row>
    <row r="289" spans="1:22">
      <c r="A289" s="5">
        <f t="shared" si="80"/>
        <v>22.49999999999995</v>
      </c>
      <c r="B289" s="4">
        <f t="shared" si="72"/>
        <v>5.8466878474300026E-3</v>
      </c>
      <c r="C289" s="4">
        <f t="shared" si="73"/>
        <v>9.0675178764292146E-3</v>
      </c>
      <c r="D289" s="4">
        <f t="shared" si="81"/>
        <v>2.9233439237150014E-4</v>
      </c>
      <c r="E289" s="4">
        <f t="shared" si="82"/>
        <v>5.8466878474300028E-4</v>
      </c>
      <c r="F289" s="4">
        <f t="shared" si="83"/>
        <v>9.0675178764292146E-3</v>
      </c>
      <c r="G289" s="4">
        <f t="shared" si="83"/>
        <v>2.9233439237150014E-4</v>
      </c>
      <c r="H289" s="4">
        <f t="shared" si="84"/>
        <v>1.0881021451715057E-2</v>
      </c>
      <c r="I289" s="4">
        <f t="shared" si="85"/>
        <v>0.86776519974858313</v>
      </c>
      <c r="J289" s="4">
        <f t="shared" si="86"/>
        <v>4.0796542454428181E-2</v>
      </c>
      <c r="K289" s="4">
        <f t="shared" si="87"/>
        <v>8.9361716973382466E-2</v>
      </c>
      <c r="L289" s="4">
        <f t="shared" si="88"/>
        <v>2.0765408236062843E-3</v>
      </c>
      <c r="N289" s="10">
        <f t="shared" si="75"/>
        <v>0.28949628864517168</v>
      </c>
      <c r="O289" s="66">
        <v>2</v>
      </c>
      <c r="P289" s="10">
        <f t="shared" si="76"/>
        <v>5.4968467934259956E-3</v>
      </c>
      <c r="Q289" s="10">
        <f t="shared" si="77"/>
        <v>1.7721689542984624E-4</v>
      </c>
      <c r="R289" s="10">
        <f t="shared" si="78"/>
        <v>2.7220376280436165E-2</v>
      </c>
      <c r="S289" s="66"/>
      <c r="T289" s="5">
        <f t="shared" si="89"/>
        <v>22.49999999999995</v>
      </c>
      <c r="U289" s="12">
        <f t="shared" si="79"/>
        <v>28726.588237066771</v>
      </c>
      <c r="V289" s="12">
        <f t="shared" si="74"/>
        <v>662171.9221457052</v>
      </c>
    </row>
    <row r="290" spans="1:22">
      <c r="A290" s="5">
        <f t="shared" si="80"/>
        <v>22.583333333333282</v>
      </c>
      <c r="B290" s="4">
        <f t="shared" si="72"/>
        <v>5.9106046620881203E-3</v>
      </c>
      <c r="C290" s="4">
        <f t="shared" si="73"/>
        <v>9.1320158254775147E-3</v>
      </c>
      <c r="D290" s="4">
        <f t="shared" si="81"/>
        <v>2.9553023310440601E-4</v>
      </c>
      <c r="E290" s="4">
        <f t="shared" si="82"/>
        <v>5.9106046620881203E-4</v>
      </c>
      <c r="F290" s="4">
        <f t="shared" si="83"/>
        <v>9.1320158254775147E-3</v>
      </c>
      <c r="G290" s="4">
        <f t="shared" si="83"/>
        <v>2.9553023310440601E-4</v>
      </c>
      <c r="H290" s="4">
        <f t="shared" si="84"/>
        <v>1.0958418990573017E-2</v>
      </c>
      <c r="I290" s="4">
        <f t="shared" si="85"/>
        <v>0.86666754526053758</v>
      </c>
      <c r="J290" s="4">
        <f t="shared" si="86"/>
        <v>4.1185529968798422E-2</v>
      </c>
      <c r="K290" s="4">
        <f t="shared" si="87"/>
        <v>9.0050133200425167E-2</v>
      </c>
      <c r="L290" s="4">
        <f t="shared" si="88"/>
        <v>2.0967915702389418E-3</v>
      </c>
      <c r="N290" s="10">
        <f t="shared" si="75"/>
        <v>0.28795692652592764</v>
      </c>
      <c r="O290" s="66">
        <v>4</v>
      </c>
      <c r="P290" s="10">
        <f t="shared" si="76"/>
        <v>1.1018366442554852E-2</v>
      </c>
      <c r="Q290" s="10">
        <f t="shared" si="77"/>
        <v>3.5657629875249697E-4</v>
      </c>
      <c r="R290" s="10">
        <f t="shared" si="78"/>
        <v>5.4736830481364927E-2</v>
      </c>
      <c r="S290" s="66"/>
      <c r="T290" s="5">
        <f t="shared" si="89"/>
        <v>22.583333333333282</v>
      </c>
      <c r="U290" s="12">
        <f t="shared" si="79"/>
        <v>28684.864311759611</v>
      </c>
      <c r="V290" s="12">
        <f t="shared" si="74"/>
        <v>659071.88031112985</v>
      </c>
    </row>
    <row r="291" spans="1:22">
      <c r="A291" s="5">
        <f t="shared" si="80"/>
        <v>22.666666666666615</v>
      </c>
      <c r="B291" s="4">
        <f t="shared" si="72"/>
        <v>5.9752715397772792E-3</v>
      </c>
      <c r="C291" s="4">
        <f t="shared" si="73"/>
        <v>9.196999327692015E-3</v>
      </c>
      <c r="D291" s="4">
        <f t="shared" si="81"/>
        <v>2.9876357698886398E-4</v>
      </c>
      <c r="E291" s="4">
        <f t="shared" si="82"/>
        <v>5.9752715397772796E-4</v>
      </c>
      <c r="F291" s="4">
        <f t="shared" si="83"/>
        <v>9.196999327692015E-3</v>
      </c>
      <c r="G291" s="4">
        <f t="shared" si="83"/>
        <v>2.9876357698886398E-4</v>
      </c>
      <c r="H291" s="4">
        <f t="shared" si="84"/>
        <v>1.1036399193230418E-2</v>
      </c>
      <c r="I291" s="4">
        <f t="shared" si="85"/>
        <v>0.86556181740258975</v>
      </c>
      <c r="J291" s="4">
        <f t="shared" si="86"/>
        <v>4.157802226998384E-2</v>
      </c>
      <c r="K291" s="4">
        <f t="shared" si="87"/>
        <v>9.0742925381322281E-2</v>
      </c>
      <c r="L291" s="4">
        <f t="shared" si="88"/>
        <v>2.1172349461043168E-3</v>
      </c>
      <c r="N291" s="10">
        <f t="shared" si="75"/>
        <v>0.28642261877709474</v>
      </c>
      <c r="O291" s="66">
        <v>2</v>
      </c>
      <c r="P291" s="10">
        <f t="shared" si="76"/>
        <v>5.5215322375527743E-3</v>
      </c>
      <c r="Q291" s="10">
        <f t="shared" si="77"/>
        <v>1.7936640669131894E-4</v>
      </c>
      <c r="R291" s="10">
        <f t="shared" si="78"/>
        <v>2.7517124213907139E-2</v>
      </c>
      <c r="S291" s="66"/>
      <c r="T291" s="5">
        <f t="shared" si="89"/>
        <v>22.666666666666615</v>
      </c>
      <c r="U291" s="12">
        <f t="shared" si="79"/>
        <v>28640.650596213254</v>
      </c>
      <c r="V291" s="12">
        <f t="shared" si="74"/>
        <v>655960.08914678171</v>
      </c>
    </row>
    <row r="292" spans="1:22">
      <c r="A292" s="5">
        <f t="shared" si="80"/>
        <v>22.749999999999947</v>
      </c>
      <c r="B292" s="4">
        <f t="shared" si="72"/>
        <v>6.0406972824779024E-3</v>
      </c>
      <c r="C292" s="4">
        <f t="shared" si="73"/>
        <v>9.2624720384118543E-3</v>
      </c>
      <c r="D292" s="4">
        <f t="shared" si="81"/>
        <v>3.0203486412389512E-4</v>
      </c>
      <c r="E292" s="4">
        <f t="shared" si="82"/>
        <v>6.0406972824779024E-4</v>
      </c>
      <c r="F292" s="4">
        <f t="shared" si="83"/>
        <v>9.2624720384118543E-3</v>
      </c>
      <c r="G292" s="4">
        <f t="shared" si="83"/>
        <v>3.0203486412389512E-4</v>
      </c>
      <c r="H292" s="4">
        <f t="shared" si="84"/>
        <v>1.1114966446094224E-2</v>
      </c>
      <c r="I292" s="4">
        <f t="shared" si="85"/>
        <v>0.86444795967812915</v>
      </c>
      <c r="J292" s="4">
        <f t="shared" si="86"/>
        <v>4.1974047924534449E-2</v>
      </c>
      <c r="K292" s="4">
        <f t="shared" si="87"/>
        <v>9.1440119643459147E-2</v>
      </c>
      <c r="L292" s="4">
        <f t="shared" si="88"/>
        <v>2.1378727538775353E-3</v>
      </c>
      <c r="N292" s="10">
        <f t="shared" si="75"/>
        <v>0.28489334194634197</v>
      </c>
      <c r="O292" s="66">
        <v>4</v>
      </c>
      <c r="P292" s="10">
        <f t="shared" si="76"/>
        <v>1.1067786907995225E-2</v>
      </c>
      <c r="Q292" s="10">
        <f t="shared" si="77"/>
        <v>3.6090338529990638E-4</v>
      </c>
      <c r="R292" s="10">
        <f t="shared" si="78"/>
        <v>5.53330094859108E-2</v>
      </c>
      <c r="S292" s="66"/>
      <c r="T292" s="5">
        <f t="shared" si="89"/>
        <v>22.749999999999947</v>
      </c>
      <c r="U292" s="12">
        <f t="shared" si="79"/>
        <v>28593.929529688612</v>
      </c>
      <c r="V292" s="12">
        <f t="shared" si="74"/>
        <v>652836.48026405834</v>
      </c>
    </row>
    <row r="293" spans="1:22">
      <c r="A293" s="5">
        <f t="shared" si="80"/>
        <v>22.833333333333279</v>
      </c>
      <c r="B293" s="4">
        <f t="shared" si="72"/>
        <v>6.1068907954615354E-3</v>
      </c>
      <c r="C293" s="4">
        <f t="shared" si="73"/>
        <v>9.3284376404942845E-3</v>
      </c>
      <c r="D293" s="4">
        <f t="shared" si="81"/>
        <v>3.053445397730768E-4</v>
      </c>
      <c r="E293" s="4">
        <f t="shared" si="82"/>
        <v>6.1068907954615361E-4</v>
      </c>
      <c r="F293" s="4">
        <f t="shared" si="83"/>
        <v>9.3284376404942845E-3</v>
      </c>
      <c r="G293" s="4">
        <f t="shared" si="83"/>
        <v>3.053445397730768E-4</v>
      </c>
      <c r="H293" s="4">
        <f t="shared" si="84"/>
        <v>1.119412516859314E-2</v>
      </c>
      <c r="I293" s="4">
        <f t="shared" si="85"/>
        <v>0.86332591537259817</v>
      </c>
      <c r="J293" s="4">
        <f t="shared" si="86"/>
        <v>4.2373635601038323E-2</v>
      </c>
      <c r="K293" s="4">
        <f t="shared" si="87"/>
        <v>9.2141742217154668E-2</v>
      </c>
      <c r="L293" s="4">
        <f t="shared" si="88"/>
        <v>2.158706809209186E-3</v>
      </c>
      <c r="N293" s="10">
        <f t="shared" si="75"/>
        <v>0.28336907272402156</v>
      </c>
      <c r="O293" s="66">
        <v>2</v>
      </c>
      <c r="P293" s="10">
        <f t="shared" si="76"/>
        <v>5.5462664777714285E-3</v>
      </c>
      <c r="Q293" s="10">
        <f t="shared" si="77"/>
        <v>1.8154403238570895E-4</v>
      </c>
      <c r="R293" s="10">
        <f t="shared" si="78"/>
        <v>2.7816558299491374E-2</v>
      </c>
      <c r="S293" s="66"/>
      <c r="T293" s="5">
        <f t="shared" si="89"/>
        <v>22.833333333333279</v>
      </c>
      <c r="U293" s="12">
        <f t="shared" si="79"/>
        <v>28544.683694213349</v>
      </c>
      <c r="V293" s="12">
        <f t="shared" si="74"/>
        <v>649700.98448174703</v>
      </c>
    </row>
    <row r="294" spans="1:22">
      <c r="A294" s="5">
        <f t="shared" si="80"/>
        <v>22.916666666666611</v>
      </c>
      <c r="B294" s="4">
        <f t="shared" si="72"/>
        <v>6.1738610885029733E-3</v>
      </c>
      <c r="C294" s="4">
        <f t="shared" si="73"/>
        <v>9.3948998445218101E-3</v>
      </c>
      <c r="D294" s="4">
        <f t="shared" si="81"/>
        <v>3.0869305442514871E-4</v>
      </c>
      <c r="E294" s="4">
        <f t="shared" si="82"/>
        <v>6.1738610885029742E-4</v>
      </c>
      <c r="F294" s="4">
        <f t="shared" si="83"/>
        <v>9.3948998445218101E-3</v>
      </c>
      <c r="G294" s="4">
        <f t="shared" si="83"/>
        <v>3.0869305442514871E-4</v>
      </c>
      <c r="H294" s="4">
        <f t="shared" si="84"/>
        <v>1.1273879813426172E-2</v>
      </c>
      <c r="I294" s="4">
        <f t="shared" si="85"/>
        <v>0.8621956275568623</v>
      </c>
      <c r="J294" s="4">
        <f t="shared" si="86"/>
        <v>4.2776814067203628E-2</v>
      </c>
      <c r="K294" s="4">
        <f t="shared" si="87"/>
        <v>9.2847819435196821E-2</v>
      </c>
      <c r="L294" s="4">
        <f t="shared" si="88"/>
        <v>2.1797389407375318E-3</v>
      </c>
      <c r="N294" s="10">
        <f t="shared" si="75"/>
        <v>0.28184978794362814</v>
      </c>
      <c r="O294" s="66">
        <v>4</v>
      </c>
      <c r="P294" s="10">
        <f t="shared" si="76"/>
        <v>1.1117301822816622E-2</v>
      </c>
      <c r="Q294" s="10">
        <f t="shared" si="77"/>
        <v>3.6528690177071424E-4</v>
      </c>
      <c r="R294" s="10">
        <f t="shared" si="78"/>
        <v>5.5934572565204566E-2</v>
      </c>
      <c r="S294" s="66"/>
      <c r="T294" s="5">
        <f t="shared" si="89"/>
        <v>22.916666666666611</v>
      </c>
      <c r="U294" s="12">
        <f t="shared" si="79"/>
        <v>28492.895822971401</v>
      </c>
      <c r="V294" s="12">
        <f t="shared" si="74"/>
        <v>646553.53181364725</v>
      </c>
    </row>
    <row r="295" spans="1:22">
      <c r="A295" s="5">
        <f t="shared" si="80"/>
        <v>22.999999999999943</v>
      </c>
      <c r="B295" s="4">
        <f t="shared" si="72"/>
        <v>6.2416172771065917E-3</v>
      </c>
      <c r="C295" s="4">
        <f t="shared" si="73"/>
        <v>9.4618623890109256E-3</v>
      </c>
      <c r="D295" s="4">
        <f t="shared" si="81"/>
        <v>3.1208086385532962E-4</v>
      </c>
      <c r="E295" s="4">
        <f t="shared" si="82"/>
        <v>6.2416172771065923E-4</v>
      </c>
      <c r="F295" s="4">
        <f t="shared" si="83"/>
        <v>9.4618623890109256E-3</v>
      </c>
      <c r="G295" s="4">
        <f t="shared" si="83"/>
        <v>3.1208086385532962E-4</v>
      </c>
      <c r="H295" s="4">
        <f t="shared" si="84"/>
        <v>1.135423486681311E-2</v>
      </c>
      <c r="I295" s="4">
        <f t="shared" si="85"/>
        <v>0.86105703909070164</v>
      </c>
      <c r="J295" s="4">
        <f t="shared" si="86"/>
        <v>4.3183612186840512E-2</v>
      </c>
      <c r="K295" s="4">
        <f t="shared" si="87"/>
        <v>9.355837773235956E-2</v>
      </c>
      <c r="L295" s="4">
        <f t="shared" si="88"/>
        <v>2.2009709900986151E-3</v>
      </c>
      <c r="N295" s="10">
        <f t="shared" si="75"/>
        <v>0.28033546458227171</v>
      </c>
      <c r="O295" s="66">
        <v>2</v>
      </c>
      <c r="P295" s="10">
        <f t="shared" si="76"/>
        <v>5.571046352777536E-3</v>
      </c>
      <c r="Q295" s="10">
        <f t="shared" si="77"/>
        <v>1.8374997298334616E-4</v>
      </c>
      <c r="R295" s="10">
        <f t="shared" si="78"/>
        <v>2.8118690017383107E-2</v>
      </c>
      <c r="S295" s="66"/>
      <c r="T295" s="5">
        <f t="shared" si="89"/>
        <v>22.999999999999943</v>
      </c>
      <c r="U295" s="12">
        <f t="shared" si="79"/>
        <v>28438.548808933607</v>
      </c>
      <c r="V295" s="12">
        <f t="shared" si="74"/>
        <v>643394.05145598447</v>
      </c>
    </row>
    <row r="296" spans="1:22">
      <c r="A296" s="5">
        <f t="shared" si="80"/>
        <v>23.083333333333275</v>
      </c>
      <c r="B296" s="4">
        <f t="shared" si="72"/>
        <v>6.3101685837471215E-3</v>
      </c>
      <c r="C296" s="4">
        <f t="shared" si="73"/>
        <v>9.529329040622413E-3</v>
      </c>
      <c r="D296" s="4">
        <f t="shared" si="81"/>
        <v>3.1550842918735611E-4</v>
      </c>
      <c r="E296" s="4">
        <f t="shared" si="82"/>
        <v>6.3101685837471222E-4</v>
      </c>
      <c r="F296" s="4">
        <f t="shared" si="83"/>
        <v>9.529329040622413E-3</v>
      </c>
      <c r="G296" s="4">
        <f t="shared" si="83"/>
        <v>3.1550842918735611E-4</v>
      </c>
      <c r="H296" s="4">
        <f t="shared" si="84"/>
        <v>1.1435194848746895E-2</v>
      </c>
      <c r="I296" s="4">
        <f t="shared" si="85"/>
        <v>0.85991009262642448</v>
      </c>
      <c r="J296" s="4">
        <f t="shared" si="86"/>
        <v>4.3594058916740799E-2</v>
      </c>
      <c r="K296" s="4">
        <f t="shared" si="87"/>
        <v>9.4273443644900756E-2</v>
      </c>
      <c r="L296" s="4">
        <f t="shared" si="88"/>
        <v>2.2224048119342133E-3</v>
      </c>
      <c r="N296" s="10">
        <f t="shared" si="75"/>
        <v>0.27882607976116158</v>
      </c>
      <c r="O296" s="66">
        <v>4</v>
      </c>
      <c r="P296" s="10">
        <f t="shared" si="76"/>
        <v>1.1166904790087995E-2</v>
      </c>
      <c r="Q296" s="10">
        <f t="shared" si="77"/>
        <v>3.6972724671235642E-4</v>
      </c>
      <c r="R296" s="10">
        <f t="shared" si="78"/>
        <v>5.6541541507003017E-2</v>
      </c>
      <c r="S296" s="66"/>
      <c r="T296" s="5">
        <f t="shared" si="89"/>
        <v>23.083333333333275</v>
      </c>
      <c r="U296" s="12">
        <f t="shared" si="79"/>
        <v>28381.625713735917</v>
      </c>
      <c r="V296" s="12">
        <f t="shared" si="74"/>
        <v>640222.47177461023</v>
      </c>
    </row>
    <row r="297" spans="1:22">
      <c r="A297" s="5">
        <f t="shared" si="80"/>
        <v>23.166666666666607</v>
      </c>
      <c r="B297" s="4">
        <f t="shared" si="72"/>
        <v>6.3795243391249158E-3</v>
      </c>
      <c r="C297" s="4">
        <f t="shared" si="73"/>
        <v>9.5973035943732275E-3</v>
      </c>
      <c r="D297" s="4">
        <f t="shared" si="81"/>
        <v>3.1897621695624583E-4</v>
      </c>
      <c r="E297" s="4">
        <f t="shared" si="82"/>
        <v>6.3795243391249166E-4</v>
      </c>
      <c r="F297" s="4">
        <f t="shared" si="83"/>
        <v>9.5973035943732275E-3</v>
      </c>
      <c r="G297" s="4">
        <f t="shared" si="83"/>
        <v>3.1897621695624583E-4</v>
      </c>
      <c r="H297" s="4">
        <f t="shared" si="84"/>
        <v>1.1516764313247873E-2</v>
      </c>
      <c r="I297" s="4">
        <f t="shared" si="85"/>
        <v>0.85875473061260843</v>
      </c>
      <c r="J297" s="4">
        <f t="shared" si="86"/>
        <v>4.4008183303453491E-2</v>
      </c>
      <c r="K297" s="4">
        <f t="shared" si="87"/>
        <v>9.4993043810040798E-2</v>
      </c>
      <c r="L297" s="4">
        <f t="shared" si="88"/>
        <v>2.2440422738975786E-3</v>
      </c>
      <c r="N297" s="10">
        <f t="shared" si="75"/>
        <v>0.27732161074610467</v>
      </c>
      <c r="O297" s="66">
        <v>2</v>
      </c>
      <c r="P297" s="10">
        <f t="shared" si="76"/>
        <v>5.595868626628542E-3</v>
      </c>
      <c r="Q297" s="10">
        <f t="shared" si="77"/>
        <v>1.8598442651669445E-4</v>
      </c>
      <c r="R297" s="10">
        <f t="shared" si="78"/>
        <v>2.8423529663743001E-2</v>
      </c>
      <c r="S297" s="66"/>
      <c r="T297" s="5">
        <f t="shared" si="89"/>
        <v>23.166666666666607</v>
      </c>
      <c r="U297" s="12">
        <f t="shared" si="79"/>
        <v>28322.10977681186</v>
      </c>
      <c r="V297" s="12">
        <f t="shared" si="74"/>
        <v>637038.72029198566</v>
      </c>
    </row>
    <row r="298" spans="1:22">
      <c r="A298" s="5">
        <f t="shared" si="80"/>
        <v>23.24999999999994</v>
      </c>
      <c r="B298" s="4">
        <f t="shared" si="72"/>
        <v>6.4496939834359779E-3</v>
      </c>
      <c r="C298" s="4">
        <f t="shared" si="73"/>
        <v>9.6657898738499327E-3</v>
      </c>
      <c r="D298" s="4">
        <f t="shared" si="81"/>
        <v>3.2248469917179891E-4</v>
      </c>
      <c r="E298" s="4">
        <f t="shared" si="82"/>
        <v>6.4496939834359781E-4</v>
      </c>
      <c r="F298" s="4">
        <f t="shared" si="83"/>
        <v>9.6657898738499327E-3</v>
      </c>
      <c r="G298" s="4">
        <f t="shared" si="83"/>
        <v>3.2248469917179891E-4</v>
      </c>
      <c r="H298" s="4">
        <f t="shared" si="84"/>
        <v>1.1598947848619919E-2</v>
      </c>
      <c r="I298" s="4">
        <f t="shared" si="85"/>
        <v>0.85759089529796773</v>
      </c>
      <c r="J298" s="4">
        <f t="shared" si="86"/>
        <v>4.4426014479953993E-2</v>
      </c>
      <c r="K298" s="4">
        <f t="shared" si="87"/>
        <v>9.5717204965421701E-2</v>
      </c>
      <c r="L298" s="4">
        <f t="shared" si="88"/>
        <v>2.2658852566569037E-3</v>
      </c>
      <c r="N298" s="10">
        <f t="shared" si="75"/>
        <v>0.27582203494801522</v>
      </c>
      <c r="O298" s="66">
        <v>4</v>
      </c>
      <c r="P298" s="10">
        <f t="shared" si="76"/>
        <v>1.1216589262336273E-2</v>
      </c>
      <c r="Q298" s="10">
        <f t="shared" si="77"/>
        <v>3.7422481361654131E-4</v>
      </c>
      <c r="R298" s="10">
        <f t="shared" si="78"/>
        <v>5.715393568507228E-2</v>
      </c>
      <c r="S298" s="66"/>
      <c r="T298" s="5">
        <f t="shared" si="89"/>
        <v>23.24999999999994</v>
      </c>
      <c r="U298" s="12">
        <f t="shared" si="79"/>
        <v>28259.9844247861</v>
      </c>
      <c r="V298" s="12">
        <f t="shared" si="74"/>
        <v>633842.72367394378</v>
      </c>
    </row>
    <row r="299" spans="1:22">
      <c r="A299" s="5">
        <f t="shared" si="80"/>
        <v>23.333333333333272</v>
      </c>
      <c r="B299" s="4">
        <f t="shared" si="72"/>
        <v>6.5206870676568765E-3</v>
      </c>
      <c r="C299" s="4">
        <f t="shared" si="73"/>
        <v>9.7347917314237996E-3</v>
      </c>
      <c r="D299" s="4">
        <f t="shared" si="81"/>
        <v>3.2603435338284382E-4</v>
      </c>
      <c r="E299" s="4">
        <f t="shared" si="82"/>
        <v>6.5206870676568765E-4</v>
      </c>
      <c r="F299" s="4">
        <f t="shared" si="83"/>
        <v>9.7347917314237996E-3</v>
      </c>
      <c r="G299" s="4">
        <f t="shared" si="83"/>
        <v>3.2603435338284382E-4</v>
      </c>
      <c r="H299" s="4">
        <f t="shared" si="84"/>
        <v>1.1681750077708559E-2</v>
      </c>
      <c r="I299" s="4">
        <f t="shared" si="85"/>
        <v>0.85641852873535251</v>
      </c>
      <c r="J299" s="4">
        <f t="shared" si="86"/>
        <v>4.484758166220499E-2</v>
      </c>
      <c r="K299" s="4">
        <f t="shared" si="87"/>
        <v>9.644595394854634E-2</v>
      </c>
      <c r="L299" s="4">
        <f t="shared" si="88"/>
        <v>2.2879356538964609E-3</v>
      </c>
      <c r="N299" s="10">
        <f t="shared" si="75"/>
        <v>0.27432732992343811</v>
      </c>
      <c r="O299" s="66">
        <v>2</v>
      </c>
      <c r="P299" s="10">
        <f t="shared" si="76"/>
        <v>5.6207299874759652E-3</v>
      </c>
      <c r="Q299" s="10">
        <f t="shared" si="77"/>
        <v>1.8824758839892092E-4</v>
      </c>
      <c r="R299" s="10">
        <f t="shared" si="78"/>
        <v>2.8731086304457677E-2</v>
      </c>
      <c r="S299" s="66"/>
      <c r="T299" s="5">
        <f t="shared" si="89"/>
        <v>23.333333333333272</v>
      </c>
      <c r="U299" s="12">
        <f t="shared" si="79"/>
        <v>28195.233281136159</v>
      </c>
      <c r="V299" s="12">
        <f t="shared" si="74"/>
        <v>630634.40771622653</v>
      </c>
    </row>
    <row r="300" spans="1:22">
      <c r="A300" s="5">
        <f t="shared" si="80"/>
        <v>23.416666666666604</v>
      </c>
      <c r="B300" s="4">
        <f t="shared" si="72"/>
        <v>6.592513254844801E-3</v>
      </c>
      <c r="C300" s="4">
        <f t="shared" si="73"/>
        <v>9.8043130484675185E-3</v>
      </c>
      <c r="D300" s="4">
        <f t="shared" si="81"/>
        <v>3.2962566274224005E-4</v>
      </c>
      <c r="E300" s="4">
        <f t="shared" si="82"/>
        <v>6.592513254844801E-4</v>
      </c>
      <c r="F300" s="4">
        <f t="shared" si="83"/>
        <v>9.8043130484675185E-3</v>
      </c>
      <c r="G300" s="4">
        <f t="shared" si="83"/>
        <v>3.2962566274224005E-4</v>
      </c>
      <c r="H300" s="4">
        <f t="shared" si="84"/>
        <v>1.1765175658161021E-2</v>
      </c>
      <c r="I300" s="4">
        <f t="shared" si="85"/>
        <v>0.85523757278588064</v>
      </c>
      <c r="J300" s="4">
        <f t="shared" si="86"/>
        <v>4.5272914145606885E-2</v>
      </c>
      <c r="K300" s="4">
        <f t="shared" si="87"/>
        <v>9.7179317696197448E-2</v>
      </c>
      <c r="L300" s="4">
        <f t="shared" si="88"/>
        <v>2.310195372315348E-3</v>
      </c>
      <c r="N300" s="10">
        <f t="shared" si="75"/>
        <v>0.27283747337508518</v>
      </c>
      <c r="O300" s="66">
        <v>4</v>
      </c>
      <c r="P300" s="10">
        <f t="shared" si="76"/>
        <v>1.1266348539002833E-2</v>
      </c>
      <c r="Q300" s="10">
        <f t="shared" si="77"/>
        <v>3.7877999055062301E-4</v>
      </c>
      <c r="R300" s="10">
        <f t="shared" si="78"/>
        <v>5.7771771965435148E-2</v>
      </c>
      <c r="S300" s="66"/>
      <c r="T300" s="5">
        <f t="shared" si="89"/>
        <v>23.416666666666604</v>
      </c>
      <c r="U300" s="12">
        <f t="shared" si="79"/>
        <v>28127.840176129528</v>
      </c>
      <c r="V300" s="12">
        <f t="shared" si="74"/>
        <v>627413.6973307929</v>
      </c>
    </row>
    <row r="301" spans="1:22">
      <c r="A301" s="5">
        <f t="shared" si="80"/>
        <v>23.499999999999936</v>
      </c>
      <c r="B301" s="4">
        <f t="shared" si="72"/>
        <v>6.6651823214527901E-3</v>
      </c>
      <c r="C301" s="4">
        <f t="shared" si="73"/>
        <v>9.8743577355735121E-3</v>
      </c>
      <c r="D301" s="4">
        <f t="shared" si="81"/>
        <v>3.3325911607263954E-4</v>
      </c>
      <c r="E301" s="4">
        <f t="shared" si="82"/>
        <v>6.6651823214527908E-4</v>
      </c>
      <c r="F301" s="4">
        <f t="shared" si="83"/>
        <v>9.8743577355735121E-3</v>
      </c>
      <c r="G301" s="4">
        <f t="shared" si="83"/>
        <v>3.3325911607263954E-4</v>
      </c>
      <c r="H301" s="4">
        <f t="shared" si="84"/>
        <v>1.1849229282688214E-2</v>
      </c>
      <c r="I301" s="4">
        <f t="shared" si="85"/>
        <v>0.85404796912320491</v>
      </c>
      <c r="J301" s="4">
        <f t="shared" si="86"/>
        <v>4.5702041301335532E-2</v>
      </c>
      <c r="K301" s="4">
        <f t="shared" si="87"/>
        <v>9.7917323243836132E-2</v>
      </c>
      <c r="L301" s="4">
        <f t="shared" si="88"/>
        <v>2.332666331623779E-3</v>
      </c>
      <c r="N301" s="10">
        <f t="shared" si="75"/>
        <v>0.27135244315238394</v>
      </c>
      <c r="O301" s="66">
        <v>2</v>
      </c>
      <c r="P301" s="10">
        <f t="shared" si="76"/>
        <v>5.6456270462899236E-3</v>
      </c>
      <c r="Q301" s="10">
        <f t="shared" si="77"/>
        <v>1.9053965123667755E-4</v>
      </c>
      <c r="R301" s="10">
        <f t="shared" si="78"/>
        <v>2.9041367727623581E-2</v>
      </c>
      <c r="S301" s="66"/>
      <c r="T301" s="5">
        <f t="shared" si="89"/>
        <v>23.499999999999936</v>
      </c>
      <c r="U301" s="12">
        <f t="shared" si="79"/>
        <v>28057.78915704363</v>
      </c>
      <c r="V301" s="12">
        <f t="shared" si="74"/>
        <v>624180.51653189282</v>
      </c>
    </row>
    <row r="302" spans="1:22">
      <c r="A302" s="5">
        <f t="shared" si="80"/>
        <v>23.583333333333268</v>
      </c>
      <c r="B302" s="4">
        <f t="shared" si="72"/>
        <v>6.7387041586604354E-3</v>
      </c>
      <c r="C302" s="4">
        <f t="shared" si="73"/>
        <v>9.9449297327738901E-3</v>
      </c>
      <c r="D302" s="4">
        <f t="shared" si="81"/>
        <v>3.3693520793302178E-4</v>
      </c>
      <c r="E302" s="4">
        <f t="shared" si="82"/>
        <v>6.7387041586604356E-4</v>
      </c>
      <c r="F302" s="4">
        <f t="shared" si="83"/>
        <v>9.9449297327738901E-3</v>
      </c>
      <c r="G302" s="4">
        <f t="shared" si="83"/>
        <v>3.3693520793302178E-4</v>
      </c>
      <c r="H302" s="4">
        <f t="shared" si="84"/>
        <v>1.1933915679328668E-2</v>
      </c>
      <c r="I302" s="4">
        <f t="shared" si="85"/>
        <v>0.85284965923791867</v>
      </c>
      <c r="J302" s="4">
        <f t="shared" si="86"/>
        <v>4.613499257256528E-2</v>
      </c>
      <c r="K302" s="4">
        <f t="shared" si="87"/>
        <v>9.8659997724979576E-2</v>
      </c>
      <c r="L302" s="4">
        <f t="shared" si="88"/>
        <v>2.3553504645368634E-3</v>
      </c>
      <c r="N302" s="10">
        <f t="shared" si="75"/>
        <v>0.26987221725203969</v>
      </c>
      <c r="O302" s="66">
        <v>4</v>
      </c>
      <c r="P302" s="10">
        <f t="shared" si="76"/>
        <v>1.1316175763885446E-2</v>
      </c>
      <c r="Q302" s="10">
        <f t="shared" si="77"/>
        <v>3.8339315977729626E-4</v>
      </c>
      <c r="R302" s="10">
        <f t="shared" si="78"/>
        <v>5.8395064610051062E-2</v>
      </c>
      <c r="S302" s="66"/>
      <c r="T302" s="5">
        <f t="shared" si="89"/>
        <v>23.583333333333268</v>
      </c>
      <c r="U302" s="12">
        <f t="shared" si="79"/>
        <v>27985.064498676318</v>
      </c>
      <c r="V302" s="12">
        <f t="shared" si="74"/>
        <v>620934.78842190397</v>
      </c>
    </row>
    <row r="303" spans="1:22">
      <c r="A303" s="5">
        <f t="shared" si="80"/>
        <v>23.6666666666666</v>
      </c>
      <c r="B303" s="4">
        <f t="shared" si="72"/>
        <v>6.8130887737201809E-3</v>
      </c>
      <c r="C303" s="4">
        <f t="shared" si="73"/>
        <v>1.0016033009762096E-2</v>
      </c>
      <c r="D303" s="4">
        <f t="shared" si="81"/>
        <v>3.4065443868600909E-4</v>
      </c>
      <c r="E303" s="4">
        <f t="shared" si="82"/>
        <v>6.8130887737201818E-4</v>
      </c>
      <c r="F303" s="4">
        <f t="shared" si="83"/>
        <v>1.0016033009762096E-2</v>
      </c>
      <c r="G303" s="4">
        <f t="shared" si="83"/>
        <v>3.4065443868600909E-4</v>
      </c>
      <c r="H303" s="4">
        <f t="shared" si="84"/>
        <v>1.2019239611714515E-2</v>
      </c>
      <c r="I303" s="4">
        <f t="shared" si="85"/>
        <v>0.85164258444210195</v>
      </c>
      <c r="J303" s="4">
        <f t="shared" si="86"/>
        <v>4.6571797470574966E-2</v>
      </c>
      <c r="K303" s="4">
        <f t="shared" si="87"/>
        <v>9.9407368370557622E-2</v>
      </c>
      <c r="L303" s="4">
        <f t="shared" si="88"/>
        <v>2.3782497167658062E-3</v>
      </c>
      <c r="N303" s="10">
        <f t="shared" si="75"/>
        <v>0.26839677381861082</v>
      </c>
      <c r="O303" s="66">
        <v>2</v>
      </c>
      <c r="P303" s="10">
        <f t="shared" si="76"/>
        <v>5.6705563355765346E-3</v>
      </c>
      <c r="Q303" s="10">
        <f t="shared" si="77"/>
        <v>1.9286080463697464E-4</v>
      </c>
      <c r="R303" s="10">
        <f t="shared" si="78"/>
        <v>2.9354380394739039E-2</v>
      </c>
      <c r="S303" s="66"/>
      <c r="T303" s="5">
        <f t="shared" si="89"/>
        <v>23.6666666666666</v>
      </c>
      <c r="U303" s="12">
        <f t="shared" si="79"/>
        <v>27909.650714154806</v>
      </c>
      <c r="V303" s="12">
        <f t="shared" si="74"/>
        <v>617676.43517692562</v>
      </c>
    </row>
    <row r="304" spans="1:22">
      <c r="A304" s="5">
        <f t="shared" si="80"/>
        <v>23.749999999999932</v>
      </c>
      <c r="B304" s="4">
        <f t="shared" si="72"/>
        <v>6.8883462913194807E-3</v>
      </c>
      <c r="C304" s="4">
        <f t="shared" si="73"/>
        <v>1.0087671566116216E-2</v>
      </c>
      <c r="D304" s="4">
        <f t="shared" si="81"/>
        <v>3.4441731456597404E-4</v>
      </c>
      <c r="E304" s="4">
        <f t="shared" si="82"/>
        <v>6.8883462913194807E-4</v>
      </c>
      <c r="F304" s="4">
        <f t="shared" si="83"/>
        <v>1.0087671566116216E-2</v>
      </c>
      <c r="G304" s="4">
        <f t="shared" si="83"/>
        <v>3.4441731456597404E-4</v>
      </c>
      <c r="H304" s="4">
        <f t="shared" si="84"/>
        <v>1.2105205879339458E-2</v>
      </c>
      <c r="I304" s="4">
        <f t="shared" si="85"/>
        <v>0.85042668587401127</v>
      </c>
      <c r="J304" s="4">
        <f t="shared" si="86"/>
        <v>4.7012485570734758E-2</v>
      </c>
      <c r="K304" s="4">
        <f t="shared" si="87"/>
        <v>0.10015946250824785</v>
      </c>
      <c r="L304" s="4">
        <f t="shared" si="88"/>
        <v>2.4013660470064611E-3</v>
      </c>
      <c r="N304" s="10">
        <f t="shared" si="75"/>
        <v>0.26692609114509691</v>
      </c>
      <c r="O304" s="66">
        <v>4</v>
      </c>
      <c r="P304" s="10">
        <f t="shared" si="76"/>
        <v>1.1366063922566247E-2</v>
      </c>
      <c r="Q304" s="10">
        <f t="shared" si="77"/>
        <v>3.8806469736232964E-4</v>
      </c>
      <c r="R304" s="10">
        <f t="shared" si="78"/>
        <v>5.9023825177897039E-2</v>
      </c>
      <c r="S304" s="66"/>
      <c r="T304" s="5">
        <f t="shared" si="89"/>
        <v>23.749999999999932</v>
      </c>
      <c r="U304" s="12">
        <f t="shared" si="79"/>
        <v>27831.532566051119</v>
      </c>
      <c r="V304" s="12">
        <f t="shared" si="74"/>
        <v>614405.37803212577</v>
      </c>
    </row>
    <row r="305" spans="1:22">
      <c r="A305" s="5">
        <f t="shared" si="80"/>
        <v>23.833333333333265</v>
      </c>
      <c r="B305" s="4">
        <f t="shared" si="72"/>
        <v>6.9644869549588765E-3</v>
      </c>
      <c r="C305" s="4">
        <f t="shared" si="73"/>
        <v>1.0159849431523942E-2</v>
      </c>
      <c r="D305" s="4">
        <f t="shared" si="81"/>
        <v>3.4822434774794384E-4</v>
      </c>
      <c r="E305" s="4">
        <f t="shared" si="82"/>
        <v>6.9644869549588767E-4</v>
      </c>
      <c r="F305" s="4">
        <f t="shared" si="83"/>
        <v>1.0159849431523942E-2</v>
      </c>
      <c r="G305" s="4">
        <f t="shared" si="83"/>
        <v>3.4822434774794384E-4</v>
      </c>
      <c r="H305" s="4">
        <f t="shared" si="84"/>
        <v>1.219181931782873E-2</v>
      </c>
      <c r="I305" s="4">
        <f t="shared" si="85"/>
        <v>0.84920190450291466</v>
      </c>
      <c r="J305" s="4">
        <f t="shared" si="86"/>
        <v>4.7457086508371514E-2</v>
      </c>
      <c r="K305" s="4">
        <f t="shared" si="87"/>
        <v>0.10091630756178892</v>
      </c>
      <c r="L305" s="4">
        <f t="shared" si="88"/>
        <v>2.424701426925181E-3</v>
      </c>
      <c r="N305" s="10">
        <f t="shared" si="75"/>
        <v>0.26546014767353998</v>
      </c>
      <c r="O305" s="66">
        <v>2</v>
      </c>
      <c r="P305" s="10">
        <f t="shared" si="76"/>
        <v>5.6955143080887755E-3</v>
      </c>
      <c r="Q305" s="10">
        <f t="shared" si="77"/>
        <v>1.9521123500801772E-4</v>
      </c>
      <c r="R305" s="10">
        <f t="shared" si="78"/>
        <v>2.9670129390589522E-2</v>
      </c>
      <c r="S305" s="66"/>
      <c r="T305" s="5">
        <f t="shared" si="89"/>
        <v>23.833333333333265</v>
      </c>
      <c r="U305" s="12">
        <f t="shared" si="79"/>
        <v>27750.695077812459</v>
      </c>
      <c r="V305" s="12">
        <f t="shared" si="74"/>
        <v>611121.53726683685</v>
      </c>
    </row>
    <row r="306" spans="1:22">
      <c r="A306" s="5">
        <f t="shared" si="80"/>
        <v>23.916666666666597</v>
      </c>
      <c r="B306" s="4">
        <f t="shared" si="72"/>
        <v>7.0415211283462271E-3</v>
      </c>
      <c r="C306" s="4">
        <f t="shared" si="73"/>
        <v>1.0232570666009227E-2</v>
      </c>
      <c r="D306" s="4">
        <f t="shared" si="81"/>
        <v>3.5207605641731136E-4</v>
      </c>
      <c r="E306" s="4">
        <f t="shared" si="82"/>
        <v>7.0415211283462271E-4</v>
      </c>
      <c r="F306" s="4">
        <f t="shared" si="83"/>
        <v>1.0232570666009227E-2</v>
      </c>
      <c r="G306" s="4">
        <f t="shared" si="83"/>
        <v>3.5207605641731136E-4</v>
      </c>
      <c r="H306" s="4">
        <f t="shared" si="84"/>
        <v>1.2279084799211071E-2</v>
      </c>
      <c r="I306" s="4">
        <f t="shared" si="85"/>
        <v>0.84796818113407624</v>
      </c>
      <c r="J306" s="4">
        <f t="shared" si="86"/>
        <v>4.7905629974510408E-2</v>
      </c>
      <c r="K306" s="4">
        <f t="shared" si="87"/>
        <v>0.10167793105027172</v>
      </c>
      <c r="L306" s="4">
        <f t="shared" si="88"/>
        <v>2.4482578411418876E-3</v>
      </c>
      <c r="N306" s="10">
        <f t="shared" si="75"/>
        <v>0.26399892199563929</v>
      </c>
      <c r="O306" s="66">
        <v>4</v>
      </c>
      <c r="P306" s="10">
        <f t="shared" si="76"/>
        <v>1.1416005839827383E-2</v>
      </c>
      <c r="Q306" s="10">
        <f t="shared" si="77"/>
        <v>3.927949727701199E-4</v>
      </c>
      <c r="R306" s="10">
        <f t="shared" si="78"/>
        <v>5.9658062423420338E-2</v>
      </c>
      <c r="S306" s="66"/>
      <c r="T306" s="5">
        <f t="shared" si="89"/>
        <v>23.916666666666597</v>
      </c>
      <c r="U306" s="12">
        <f t="shared" si="79"/>
        <v>27667.12354551506</v>
      </c>
      <c r="V306" s="12">
        <f t="shared" si="74"/>
        <v>607824.83218939498</v>
      </c>
    </row>
    <row r="307" spans="1:22">
      <c r="A307" s="5">
        <f t="shared" si="80"/>
        <v>23.999999999999929</v>
      </c>
      <c r="B307" s="4">
        <f t="shared" si="72"/>
        <v>7.119459296807398E-3</v>
      </c>
      <c r="C307" s="4">
        <f t="shared" si="73"/>
        <v>1.0305839360160676E-2</v>
      </c>
      <c r="D307" s="4">
        <f t="shared" si="81"/>
        <v>3.559729648403699E-4</v>
      </c>
      <c r="E307" s="4">
        <f t="shared" si="82"/>
        <v>7.119459296807398E-4</v>
      </c>
      <c r="F307" s="4">
        <f t="shared" si="83"/>
        <v>1.0305839360160676E-2</v>
      </c>
      <c r="G307" s="4">
        <f t="shared" si="83"/>
        <v>3.559729648403699E-4</v>
      </c>
      <c r="H307" s="4">
        <f t="shared" si="84"/>
        <v>1.2367007232192811E-2</v>
      </c>
      <c r="I307" s="4">
        <f t="shared" si="85"/>
        <v>0.8467254564138913</v>
      </c>
      <c r="J307" s="4">
        <f t="shared" si="86"/>
        <v>4.8358145711490594E-2</v>
      </c>
      <c r="K307" s="4">
        <f t="shared" si="87"/>
        <v>0.10244436058740816</v>
      </c>
      <c r="L307" s="4">
        <f t="shared" si="88"/>
        <v>2.4720372872102997E-3</v>
      </c>
      <c r="N307" s="10">
        <f t="shared" si="75"/>
        <v>0.26254239285337921</v>
      </c>
      <c r="O307" s="66">
        <v>2</v>
      </c>
      <c r="P307" s="10">
        <f t="shared" si="76"/>
        <v>5.7204973355312995E-3</v>
      </c>
      <c r="Q307" s="10">
        <f t="shared" si="77"/>
        <v>1.9759112535388526E-4</v>
      </c>
      <c r="R307" s="10">
        <f t="shared" si="78"/>
        <v>2.9988618371811666E-2</v>
      </c>
      <c r="S307" s="66"/>
      <c r="T307" s="5">
        <f t="shared" si="89"/>
        <v>23.999999999999929</v>
      </c>
      <c r="U307" s="12">
        <f t="shared" si="79"/>
        <v>27580.803549950397</v>
      </c>
      <c r="V307" s="12">
        <f t="shared" si="74"/>
        <v>604515.18112171837</v>
      </c>
    </row>
    <row r="308" spans="1:22">
      <c r="A308" s="5">
        <f t="shared" si="80"/>
        <v>24.083333333333261</v>
      </c>
      <c r="B308" s="4">
        <f t="shared" si="72"/>
        <v>7.1983120687134257E-3</v>
      </c>
      <c r="C308" s="4">
        <f t="shared" si="73"/>
        <v>1.0379659635361664E-2</v>
      </c>
      <c r="D308" s="4">
        <f t="shared" si="81"/>
        <v>3.5991560343567132E-4</v>
      </c>
      <c r="E308" s="4">
        <f t="shared" si="82"/>
        <v>7.1983120687134263E-4</v>
      </c>
      <c r="F308" s="4">
        <f t="shared" si="83"/>
        <v>1.0379659635361664E-2</v>
      </c>
      <c r="G308" s="4">
        <f t="shared" si="83"/>
        <v>3.5991560343567132E-4</v>
      </c>
      <c r="H308" s="4">
        <f t="shared" si="84"/>
        <v>1.2455591562433995E-2</v>
      </c>
      <c r="I308" s="4">
        <f t="shared" si="85"/>
        <v>0.84547367083517566</v>
      </c>
      <c r="J308" s="4">
        <f t="shared" si="86"/>
        <v>4.8814663508452448E-2</v>
      </c>
      <c r="K308" s="4">
        <f t="shared" si="87"/>
        <v>0.10321562388077711</v>
      </c>
      <c r="L308" s="4">
        <f t="shared" si="88"/>
        <v>2.4960417755952487E-3</v>
      </c>
      <c r="N308" s="10">
        <f t="shared" si="75"/>
        <v>0.2610905391396704</v>
      </c>
      <c r="O308" s="66">
        <v>4</v>
      </c>
      <c r="P308" s="10">
        <f t="shared" si="76"/>
        <v>1.1465994177055022E-2</v>
      </c>
      <c r="Q308" s="10">
        <f t="shared" si="77"/>
        <v>3.9758434844678405E-4</v>
      </c>
      <c r="R308" s="10">
        <f t="shared" si="78"/>
        <v>6.0297782192335496E-2</v>
      </c>
      <c r="S308" s="66"/>
      <c r="T308" s="5">
        <f t="shared" si="89"/>
        <v>24.083333333333261</v>
      </c>
      <c r="U308" s="12">
        <f t="shared" si="79"/>
        <v>27491.720969052836</v>
      </c>
      <c r="V308" s="12">
        <f t="shared" si="74"/>
        <v>601192.50138361985</v>
      </c>
    </row>
    <row r="309" spans="1:22">
      <c r="A309" s="5">
        <f t="shared" si="80"/>
        <v>24.166666666666593</v>
      </c>
      <c r="B309" s="4">
        <f t="shared" si="72"/>
        <v>7.2780901769244604E-3</v>
      </c>
      <c r="C309" s="4">
        <f t="shared" si="73"/>
        <v>1.0454035644022142E-2</v>
      </c>
      <c r="D309" s="4">
        <f t="shared" si="81"/>
        <v>3.6390450884622304E-4</v>
      </c>
      <c r="E309" s="4">
        <f t="shared" si="82"/>
        <v>7.2780901769244608E-4</v>
      </c>
      <c r="F309" s="4">
        <f t="shared" si="83"/>
        <v>1.0454035644022142E-2</v>
      </c>
      <c r="G309" s="4">
        <f t="shared" si="83"/>
        <v>3.6390450884622304E-4</v>
      </c>
      <c r="H309" s="4">
        <f t="shared" si="84"/>
        <v>1.2544842772826569E-2</v>
      </c>
      <c r="I309" s="4">
        <f t="shared" si="85"/>
        <v>0.8442127647426122</v>
      </c>
      <c r="J309" s="4">
        <f t="shared" si="86"/>
        <v>4.9275213196694145E-2</v>
      </c>
      <c r="K309" s="4">
        <f t="shared" si="87"/>
        <v>0.10399174873104719</v>
      </c>
      <c r="L309" s="4">
        <f t="shared" si="88"/>
        <v>2.5202733296470141E-3</v>
      </c>
      <c r="N309" s="10">
        <f t="shared" si="75"/>
        <v>0.25964333989900434</v>
      </c>
      <c r="O309" s="66">
        <v>2</v>
      </c>
      <c r="P309" s="10">
        <f t="shared" si="76"/>
        <v>5.7455017072598836E-3</v>
      </c>
      <c r="Q309" s="10">
        <f t="shared" si="77"/>
        <v>2.0000065506292015E-4</v>
      </c>
      <c r="R309" s="10">
        <f t="shared" si="78"/>
        <v>3.0309849514123032E-2</v>
      </c>
      <c r="S309" s="66"/>
      <c r="T309" s="5">
        <f t="shared" si="89"/>
        <v>24.166666666666593</v>
      </c>
      <c r="U309" s="12">
        <f t="shared" si="79"/>
        <v>27399.86199067812</v>
      </c>
      <c r="V309" s="12">
        <f t="shared" si="74"/>
        <v>597856.70927684766</v>
      </c>
    </row>
    <row r="310" spans="1:22">
      <c r="A310" s="5">
        <f t="shared" si="80"/>
        <v>24.249999999999925</v>
      </c>
      <c r="B310" s="4">
        <f t="shared" si="72"/>
        <v>7.3588044802505989E-3</v>
      </c>
      <c r="C310" s="4">
        <f t="shared" si="73"/>
        <v>1.0528971569812201E-2</v>
      </c>
      <c r="D310" s="4">
        <f t="shared" si="81"/>
        <v>3.6794022401252997E-4</v>
      </c>
      <c r="E310" s="4">
        <f t="shared" si="82"/>
        <v>7.3588044802505993E-4</v>
      </c>
      <c r="F310" s="4">
        <f t="shared" si="83"/>
        <v>1.0528971569812201E-2</v>
      </c>
      <c r="G310" s="4">
        <f t="shared" si="83"/>
        <v>3.6794022401252997E-4</v>
      </c>
      <c r="H310" s="4">
        <f t="shared" si="84"/>
        <v>1.2634765883774641E-2</v>
      </c>
      <c r="I310" s="4">
        <f t="shared" si="85"/>
        <v>0.84294267833835657</v>
      </c>
      <c r="J310" s="4">
        <f t="shared" si="86"/>
        <v>4.9739824644895188E-2</v>
      </c>
      <c r="K310" s="4">
        <f t="shared" si="87"/>
        <v>0.10477276303117618</v>
      </c>
      <c r="L310" s="4">
        <f t="shared" si="88"/>
        <v>2.5447339855726009E-3</v>
      </c>
      <c r="N310" s="10">
        <f t="shared" si="75"/>
        <v>0.25820077432812105</v>
      </c>
      <c r="O310" s="66">
        <v>4</v>
      </c>
      <c r="P310" s="10">
        <f t="shared" si="76"/>
        <v>1.1516021429633453E-2</v>
      </c>
      <c r="Q310" s="10">
        <f t="shared" si="77"/>
        <v>4.0243317939056848E-4</v>
      </c>
      <c r="R310" s="10">
        <f t="shared" si="78"/>
        <v>6.0942987314740182E-2</v>
      </c>
      <c r="S310" s="66"/>
      <c r="T310" s="5">
        <f t="shared" si="89"/>
        <v>24.249999999999925</v>
      </c>
      <c r="U310" s="12">
        <f t="shared" si="79"/>
        <v>27305.213125742317</v>
      </c>
      <c r="V310" s="12">
        <f t="shared" si="74"/>
        <v>594507.72006885102</v>
      </c>
    </row>
    <row r="311" spans="1:22">
      <c r="A311" s="5">
        <f t="shared" si="80"/>
        <v>24.333333333333258</v>
      </c>
      <c r="B311" s="4">
        <f t="shared" si="72"/>
        <v>7.4404659649299635E-3</v>
      </c>
      <c r="C311" s="4">
        <f t="shared" si="73"/>
        <v>1.0604471627897417E-2</v>
      </c>
      <c r="D311" s="4">
        <f t="shared" si="81"/>
        <v>3.7202329824649822E-4</v>
      </c>
      <c r="E311" s="4">
        <f t="shared" si="82"/>
        <v>7.4404659649299643E-4</v>
      </c>
      <c r="F311" s="4">
        <f t="shared" si="83"/>
        <v>1.0604471627897417E-2</v>
      </c>
      <c r="G311" s="4">
        <f t="shared" si="83"/>
        <v>3.7202329824649822E-4</v>
      </c>
      <c r="H311" s="4">
        <f t="shared" si="84"/>
        <v>1.27253659534769E-2</v>
      </c>
      <c r="I311" s="4">
        <f t="shared" si="85"/>
        <v>0.84166335168780582</v>
      </c>
      <c r="J311" s="4">
        <f t="shared" si="86"/>
        <v>5.0208527754204403E-2</v>
      </c>
      <c r="K311" s="4">
        <f t="shared" si="87"/>
        <v>0.10555869476558649</v>
      </c>
      <c r="L311" s="4">
        <f t="shared" si="88"/>
        <v>2.5694257924038953E-3</v>
      </c>
      <c r="N311" s="10">
        <f t="shared" si="75"/>
        <v>0.25676282177669074</v>
      </c>
      <c r="O311" s="66">
        <v>2</v>
      </c>
      <c r="P311" s="10">
        <f t="shared" si="76"/>
        <v>5.7705236289761538E-3</v>
      </c>
      <c r="Q311" s="10">
        <f t="shared" si="77"/>
        <v>2.0243999968970705E-4</v>
      </c>
      <c r="R311" s="10">
        <f t="shared" si="78"/>
        <v>3.0633823458205332E-2</v>
      </c>
      <c r="S311" s="66"/>
      <c r="T311" s="5">
        <f t="shared" si="89"/>
        <v>24.333333333333258</v>
      </c>
      <c r="U311" s="12">
        <f t="shared" si="79"/>
        <v>27207.761221731173</v>
      </c>
      <c r="V311" s="12">
        <f t="shared" si="74"/>
        <v>591145.44797626336</v>
      </c>
    </row>
    <row r="312" spans="1:22">
      <c r="A312" s="5">
        <f t="shared" si="80"/>
        <v>24.41666666666659</v>
      </c>
      <c r="B312" s="4">
        <f t="shared" si="72"/>
        <v>7.5230857461240468E-3</v>
      </c>
      <c r="C312" s="4">
        <f t="shared" si="73"/>
        <v>1.068054006517598E-2</v>
      </c>
      <c r="D312" s="4">
        <f t="shared" si="81"/>
        <v>3.7615428730620234E-4</v>
      </c>
      <c r="E312" s="4">
        <f t="shared" si="82"/>
        <v>7.5230857461240468E-4</v>
      </c>
      <c r="F312" s="4">
        <f t="shared" si="83"/>
        <v>1.068054006517598E-2</v>
      </c>
      <c r="G312" s="4">
        <f t="shared" si="83"/>
        <v>3.7615428730620234E-4</v>
      </c>
      <c r="H312" s="4">
        <f t="shared" si="84"/>
        <v>1.2816648078211175E-2</v>
      </c>
      <c r="I312" s="4">
        <f t="shared" si="85"/>
        <v>0.84037472472553132</v>
      </c>
      <c r="J312" s="4">
        <f t="shared" si="86"/>
        <v>5.0681352453190096E-2</v>
      </c>
      <c r="K312" s="4">
        <f t="shared" si="87"/>
        <v>0.10634957200931658</v>
      </c>
      <c r="L312" s="4">
        <f t="shared" si="88"/>
        <v>2.5943508119626183E-3</v>
      </c>
      <c r="N312" s="10">
        <f t="shared" si="75"/>
        <v>0.25532946174800852</v>
      </c>
      <c r="O312" s="66">
        <v>4</v>
      </c>
      <c r="P312" s="10">
        <f t="shared" si="76"/>
        <v>1.1566079924330194E-2</v>
      </c>
      <c r="Q312" s="10">
        <f t="shared" si="77"/>
        <v>4.073418127092916E-4</v>
      </c>
      <c r="R312" s="10">
        <f t="shared" si="78"/>
        <v>6.1593677495526883E-2</v>
      </c>
      <c r="S312" s="66"/>
      <c r="T312" s="5">
        <f t="shared" si="89"/>
        <v>24.41666666666659</v>
      </c>
      <c r="U312" s="12">
        <f t="shared" si="79"/>
        <v>27107.493476590094</v>
      </c>
      <c r="V312" s="12">
        <f t="shared" si="74"/>
        <v>587769.8061480996</v>
      </c>
    </row>
    <row r="313" spans="1:22">
      <c r="A313" s="5">
        <f t="shared" si="80"/>
        <v>24.499999999999922</v>
      </c>
      <c r="B313" s="4">
        <f t="shared" si="72"/>
        <v>7.6066750694306334E-3</v>
      </c>
      <c r="C313" s="4">
        <f t="shared" si="73"/>
        <v>1.0757181160517534E-2</v>
      </c>
      <c r="D313" s="4">
        <f t="shared" si="81"/>
        <v>3.803337534715317E-4</v>
      </c>
      <c r="E313" s="4">
        <f t="shared" si="82"/>
        <v>7.606675069430634E-4</v>
      </c>
      <c r="F313" s="4">
        <f t="shared" si="83"/>
        <v>1.0757181160517534E-2</v>
      </c>
      <c r="G313" s="4">
        <f t="shared" si="83"/>
        <v>3.803337534715317E-4</v>
      </c>
      <c r="H313" s="4">
        <f t="shared" si="84"/>
        <v>1.2908617392621041E-2</v>
      </c>
      <c r="I313" s="4">
        <f t="shared" si="85"/>
        <v>0.8390767372613811</v>
      </c>
      <c r="J313" s="4">
        <f t="shared" si="86"/>
        <v>5.1158328692649822E-2</v>
      </c>
      <c r="K313" s="4">
        <f t="shared" si="87"/>
        <v>0.10714542292714775</v>
      </c>
      <c r="L313" s="4">
        <f t="shared" si="88"/>
        <v>2.6195111188220079E-3</v>
      </c>
      <c r="N313" s="10">
        <f t="shared" si="75"/>
        <v>0.25390067389970256</v>
      </c>
      <c r="O313" s="66">
        <v>2</v>
      </c>
      <c r="P313" s="10">
        <f t="shared" si="76"/>
        <v>5.7955592214182436E-3</v>
      </c>
      <c r="Q313" s="10">
        <f t="shared" si="77"/>
        <v>2.0490933073051462E-4</v>
      </c>
      <c r="R313" s="10">
        <f t="shared" si="78"/>
        <v>3.0960539254230403E-2</v>
      </c>
      <c r="S313" s="66"/>
      <c r="T313" s="5">
        <f t="shared" si="89"/>
        <v>24.499999999999922</v>
      </c>
      <c r="U313" s="12">
        <f t="shared" si="79"/>
        <v>27004.397453005273</v>
      </c>
      <c r="V313" s="12">
        <f t="shared" si="74"/>
        <v>584380.70664866047</v>
      </c>
    </row>
    <row r="314" spans="1:22">
      <c r="A314" s="5">
        <f t="shared" si="80"/>
        <v>24.583333333333254</v>
      </c>
      <c r="B314" s="4">
        <f t="shared" si="72"/>
        <v>7.6912453124144279E-3</v>
      </c>
      <c r="C314" s="4">
        <f t="shared" si="73"/>
        <v>1.0834399225003904E-2</v>
      </c>
      <c r="D314" s="4">
        <f t="shared" si="81"/>
        <v>3.845622656207214E-4</v>
      </c>
      <c r="E314" s="4">
        <f t="shared" si="82"/>
        <v>7.6912453124144281E-4</v>
      </c>
      <c r="F314" s="4">
        <f t="shared" si="83"/>
        <v>1.0834399225003904E-2</v>
      </c>
      <c r="G314" s="4">
        <f t="shared" si="83"/>
        <v>3.845622656207214E-4</v>
      </c>
      <c r="H314" s="4">
        <f t="shared" si="84"/>
        <v>1.3001279070004685E-2</v>
      </c>
      <c r="I314" s="4">
        <f t="shared" si="85"/>
        <v>0.83776932898675194</v>
      </c>
      <c r="J314" s="4">
        <f t="shared" si="86"/>
        <v>5.1639486440277341E-2</v>
      </c>
      <c r="K314" s="4">
        <f t="shared" si="87"/>
        <v>0.10794627577270621</v>
      </c>
      <c r="L314" s="4">
        <f t="shared" si="88"/>
        <v>2.6449088002651481E-3</v>
      </c>
      <c r="N314" s="10">
        <f t="shared" si="75"/>
        <v>0.25247643804445563</v>
      </c>
      <c r="O314" s="66">
        <v>4</v>
      </c>
      <c r="P314" s="10">
        <f t="shared" si="76"/>
        <v>1.1616161816673904E-2</v>
      </c>
      <c r="Q314" s="10">
        <f t="shared" si="77"/>
        <v>4.1231058716459856E-4</v>
      </c>
      <c r="R314" s="10">
        <f t="shared" si="78"/>
        <v>6.2249849202070093E-2</v>
      </c>
      <c r="S314" s="66"/>
      <c r="T314" s="5">
        <f t="shared" si="89"/>
        <v>24.583333333333254</v>
      </c>
      <c r="U314" s="12">
        <f t="shared" si="79"/>
        <v>26898.461093086797</v>
      </c>
      <c r="V314" s="12">
        <f t="shared" si="74"/>
        <v>580978.06044013915</v>
      </c>
    </row>
    <row r="315" spans="1:22">
      <c r="A315" s="5">
        <f t="shared" si="80"/>
        <v>24.666666666666586</v>
      </c>
      <c r="B315" s="4">
        <f t="shared" si="72"/>
        <v>7.7768079861557336E-3</v>
      </c>
      <c r="C315" s="4">
        <f t="shared" si="73"/>
        <v>1.0912198602171568E-2</v>
      </c>
      <c r="D315" s="4">
        <f t="shared" si="81"/>
        <v>3.888403993077867E-4</v>
      </c>
      <c r="E315" s="4">
        <f t="shared" si="82"/>
        <v>7.7768079861557341E-4</v>
      </c>
      <c r="F315" s="4">
        <f t="shared" si="83"/>
        <v>1.0912198602171568E-2</v>
      </c>
      <c r="G315" s="4">
        <f t="shared" si="83"/>
        <v>3.888403993077867E-4</v>
      </c>
      <c r="H315" s="4">
        <f t="shared" si="84"/>
        <v>1.309463832260588E-2</v>
      </c>
      <c r="I315" s="4">
        <f t="shared" si="85"/>
        <v>0.83645243948103687</v>
      </c>
      <c r="J315" s="4">
        <f t="shared" si="86"/>
        <v>5.2124855675184253E-2</v>
      </c>
      <c r="K315" s="4">
        <f t="shared" si="87"/>
        <v>0.10875215888753964</v>
      </c>
      <c r="L315" s="4">
        <f t="shared" si="88"/>
        <v>2.6705459562398732E-3</v>
      </c>
      <c r="N315" s="10">
        <f t="shared" si="75"/>
        <v>0.25105673415074098</v>
      </c>
      <c r="O315" s="66">
        <v>2</v>
      </c>
      <c r="P315" s="10">
        <f t="shared" si="76"/>
        <v>5.8206045190481344E-3</v>
      </c>
      <c r="Q315" s="10">
        <f t="shared" si="77"/>
        <v>2.0740881539206793E-4</v>
      </c>
      <c r="R315" s="10">
        <f t="shared" si="78"/>
        <v>3.1289994305019067E-2</v>
      </c>
      <c r="S315" s="66"/>
      <c r="T315" s="5">
        <f t="shared" si="89"/>
        <v>24.666666666666586</v>
      </c>
      <c r="U315" s="12">
        <f t="shared" si="79"/>
        <v>26789.6727334649</v>
      </c>
      <c r="V315" s="12">
        <f t="shared" si="74"/>
        <v>577561.77736492455</v>
      </c>
    </row>
    <row r="316" spans="1:22">
      <c r="A316" s="5">
        <f t="shared" si="80"/>
        <v>24.749999999999918</v>
      </c>
      <c r="B316" s="4">
        <f t="shared" si="72"/>
        <v>7.8633747368172455E-3</v>
      </c>
      <c r="C316" s="4">
        <f t="shared" si="73"/>
        <v>1.0990583668256011E-2</v>
      </c>
      <c r="D316" s="4">
        <f t="shared" si="81"/>
        <v>3.9316873684086231E-4</v>
      </c>
      <c r="E316" s="4">
        <f t="shared" si="82"/>
        <v>7.8633747368172461E-4</v>
      </c>
      <c r="F316" s="4">
        <f t="shared" si="83"/>
        <v>1.0990583668256011E-2</v>
      </c>
      <c r="G316" s="4">
        <f t="shared" si="83"/>
        <v>3.9316873684086231E-4</v>
      </c>
      <c r="H316" s="4">
        <f t="shared" si="84"/>
        <v>1.3188700401907213E-2</v>
      </c>
      <c r="I316" s="4">
        <f t="shared" si="85"/>
        <v>0.83512600821824823</v>
      </c>
      <c r="J316" s="4">
        <f t="shared" si="86"/>
        <v>5.2614466382273808E-2</v>
      </c>
      <c r="K316" s="4">
        <f t="shared" si="87"/>
        <v>0.10956310070016848</v>
      </c>
      <c r="L316" s="4">
        <f t="shared" si="88"/>
        <v>2.6964246993101664E-3</v>
      </c>
      <c r="N316" s="10">
        <f t="shared" si="75"/>
        <v>0.24964154234357044</v>
      </c>
      <c r="O316" s="66">
        <v>4</v>
      </c>
      <c r="P316" s="10">
        <f t="shared" si="76"/>
        <v>1.1666259088326223E-2</v>
      </c>
      <c r="Q316" s="10">
        <f t="shared" si="77"/>
        <v>4.1733983270274191E-4</v>
      </c>
      <c r="R316" s="10">
        <f t="shared" si="78"/>
        <v>6.2911495549170776E-2</v>
      </c>
      <c r="S316" s="66"/>
      <c r="T316" s="5">
        <f t="shared" si="89"/>
        <v>24.749999999999918</v>
      </c>
      <c r="U316" s="12">
        <f t="shared" si="79"/>
        <v>26678.021120810834</v>
      </c>
      <c r="V316" s="12">
        <f t="shared" si="74"/>
        <v>574131.76612759498</v>
      </c>
    </row>
    <row r="317" spans="1:22">
      <c r="A317" s="5">
        <f t="shared" si="80"/>
        <v>24.83333333333325</v>
      </c>
      <c r="B317" s="4">
        <f t="shared" si="72"/>
        <v>7.9509573472292417E-3</v>
      </c>
      <c r="C317" s="4">
        <f t="shared" si="73"/>
        <v>1.1069558832437883E-2</v>
      </c>
      <c r="D317" s="4">
        <f t="shared" si="81"/>
        <v>3.9754786736146211E-4</v>
      </c>
      <c r="E317" s="4">
        <f t="shared" si="82"/>
        <v>7.9509573472292421E-4</v>
      </c>
      <c r="F317" s="4">
        <f t="shared" si="83"/>
        <v>1.1069558832437883E-2</v>
      </c>
      <c r="G317" s="4">
        <f t="shared" si="83"/>
        <v>3.9754786736146211E-4</v>
      </c>
      <c r="H317" s="4">
        <f t="shared" si="84"/>
        <v>1.3283470598925458E-2</v>
      </c>
      <c r="I317" s="4">
        <f t="shared" si="85"/>
        <v>0.83378997457382142</v>
      </c>
      <c r="J317" s="4">
        <f t="shared" si="86"/>
        <v>5.3108348546464325E-2</v>
      </c>
      <c r="K317" s="4">
        <f t="shared" si="87"/>
        <v>0.11037912972511096</v>
      </c>
      <c r="L317" s="4">
        <f t="shared" si="88"/>
        <v>2.7225471546039738E-3</v>
      </c>
      <c r="N317" s="10">
        <f t="shared" si="75"/>
        <v>0.24823084290525743</v>
      </c>
      <c r="O317" s="66">
        <v>2</v>
      </c>
      <c r="P317" s="10">
        <f t="shared" si="76"/>
        <v>5.8456554687364489E-3</v>
      </c>
      <c r="Q317" s="10">
        <f t="shared" si="77"/>
        <v>2.0993861635353338E-4</v>
      </c>
      <c r="R317" s="10">
        <f t="shared" si="78"/>
        <v>3.1622184307824978E-2</v>
      </c>
      <c r="S317" s="66"/>
      <c r="T317" s="5">
        <f t="shared" si="89"/>
        <v>24.83333333333325</v>
      </c>
      <c r="U317" s="12">
        <f t="shared" si="79"/>
        <v>26563.495427794202</v>
      </c>
      <c r="V317" s="12">
        <f t="shared" si="74"/>
        <v>570687.93427659618</v>
      </c>
    </row>
    <row r="318" spans="1:22">
      <c r="A318" s="5">
        <f t="shared" si="80"/>
        <v>24.916666666666583</v>
      </c>
      <c r="B318" s="4">
        <f t="shared" si="72"/>
        <v>8.0395677384933369E-3</v>
      </c>
      <c r="C318" s="4">
        <f t="shared" si="73"/>
        <v>1.1149128537090977E-2</v>
      </c>
      <c r="D318" s="4">
        <f t="shared" si="81"/>
        <v>4.0197838692466689E-4</v>
      </c>
      <c r="E318" s="4">
        <f t="shared" si="82"/>
        <v>8.0395677384933377E-4</v>
      </c>
      <c r="F318" s="4">
        <f t="shared" si="83"/>
        <v>1.1149128537090977E-2</v>
      </c>
      <c r="G318" s="4">
        <f t="shared" si="83"/>
        <v>4.0197838692466689E-4</v>
      </c>
      <c r="H318" s="4">
        <f t="shared" si="84"/>
        <v>1.3378954244509172E-2</v>
      </c>
      <c r="I318" s="4">
        <f t="shared" si="85"/>
        <v>0.83244427783160169</v>
      </c>
      <c r="J318" s="4">
        <f t="shared" si="86"/>
        <v>5.3606532146759651E-2</v>
      </c>
      <c r="K318" s="4">
        <f t="shared" si="87"/>
        <v>0.11120027456188203</v>
      </c>
      <c r="L318" s="4">
        <f t="shared" si="88"/>
        <v>2.7489154597573535E-3</v>
      </c>
      <c r="N318" s="10">
        <f t="shared" si="75"/>
        <v>0.24682461627619268</v>
      </c>
      <c r="O318" s="66">
        <v>4</v>
      </c>
      <c r="P318" s="10">
        <f t="shared" si="76"/>
        <v>1.1716363544449493E-2</v>
      </c>
      <c r="Q318" s="10">
        <f t="shared" si="77"/>
        <v>4.2242986997167032E-4</v>
      </c>
      <c r="R318" s="10">
        <f t="shared" si="78"/>
        <v>6.3578606181243863E-2</v>
      </c>
      <c r="S318" s="66"/>
      <c r="T318" s="5">
        <f t="shared" si="89"/>
        <v>24.916666666666583</v>
      </c>
      <c r="U318" s="12">
        <f t="shared" si="79"/>
        <v>26446.085269488929</v>
      </c>
      <c r="V318" s="12">
        <f t="shared" si="74"/>
        <v>567230.188185598</v>
      </c>
    </row>
    <row r="319" spans="1:22">
      <c r="A319" s="5">
        <f t="shared" si="80"/>
        <v>24.999999999999915</v>
      </c>
      <c r="B319" s="4">
        <f t="shared" si="72"/>
        <v>8.1292179716051412E-3</v>
      </c>
      <c r="C319" s="4">
        <f t="shared" si="73"/>
        <v>1.1229297258032156E-2</v>
      </c>
      <c r="D319" s="4">
        <f t="shared" si="81"/>
        <v>4.0646089858025706E-4</v>
      </c>
      <c r="E319" s="4">
        <f t="shared" si="82"/>
        <v>8.1292179716051412E-4</v>
      </c>
      <c r="F319" s="4">
        <f t="shared" si="83"/>
        <v>1.1229297258032156E-2</v>
      </c>
      <c r="G319" s="4">
        <f t="shared" si="83"/>
        <v>4.0646089858025706E-4</v>
      </c>
      <c r="H319" s="4">
        <f t="shared" si="84"/>
        <v>1.3475156709638586E-2</v>
      </c>
      <c r="I319" s="4">
        <f t="shared" si="85"/>
        <v>0.83108885719101633</v>
      </c>
      <c r="J319" s="4">
        <f t="shared" si="86"/>
        <v>5.4109047150164104E-2</v>
      </c>
      <c r="K319" s="4">
        <f t="shared" si="87"/>
        <v>0.1120265638939654</v>
      </c>
      <c r="L319" s="4">
        <f t="shared" si="88"/>
        <v>2.7755317648548764E-3</v>
      </c>
      <c r="N319" s="10">
        <f t="shared" si="75"/>
        <v>0.24542284305563353</v>
      </c>
      <c r="O319" s="66">
        <v>2</v>
      </c>
      <c r="P319" s="10">
        <f t="shared" si="76"/>
        <v>5.8707079284454717E-3</v>
      </c>
      <c r="Q319" s="10">
        <f t="shared" si="77"/>
        <v>2.1249889152158313E-4</v>
      </c>
      <c r="R319" s="10">
        <f t="shared" si="78"/>
        <v>3.1957103194736818E-2</v>
      </c>
      <c r="S319" s="66"/>
      <c r="T319" s="5">
        <f t="shared" si="89"/>
        <v>24.999999999999915</v>
      </c>
      <c r="U319" s="12">
        <f t="shared" si="79"/>
        <v>26325.780720240415</v>
      </c>
      <c r="V319" s="12">
        <f t="shared" si="74"/>
        <v>563758.43303452362</v>
      </c>
    </row>
    <row r="320" spans="1:22">
      <c r="A320" s="5">
        <f t="shared" si="80"/>
        <v>25.083333333333247</v>
      </c>
      <c r="B320" s="4">
        <f t="shared" si="72"/>
        <v>8.2199202490959092E-3</v>
      </c>
      <c r="C320" s="4">
        <f t="shared" si="73"/>
        <v>1.1310069504773118E-2</v>
      </c>
      <c r="D320" s="4">
        <f t="shared" si="81"/>
        <v>4.109960124547955E-4</v>
      </c>
      <c r="E320" s="4">
        <f t="shared" si="82"/>
        <v>8.21992024909591E-4</v>
      </c>
      <c r="F320" s="4">
        <f t="shared" si="83"/>
        <v>1.1310069504773118E-2</v>
      </c>
      <c r="G320" s="4">
        <f t="shared" si="83"/>
        <v>4.109960124547955E-4</v>
      </c>
      <c r="H320" s="4">
        <f t="shared" si="84"/>
        <v>1.3572083405727742E-2</v>
      </c>
      <c r="I320" s="4">
        <f t="shared" si="85"/>
        <v>0.82972365177443663</v>
      </c>
      <c r="J320" s="4">
        <f t="shared" si="86"/>
        <v>5.4615923505439271E-2</v>
      </c>
      <c r="K320" s="4">
        <f t="shared" si="87"/>
        <v>0.11285802648775858</v>
      </c>
      <c r="L320" s="4">
        <f t="shared" si="88"/>
        <v>2.8023982323661994E-3</v>
      </c>
      <c r="N320" s="10">
        <f t="shared" si="75"/>
        <v>0.24402550400250736</v>
      </c>
      <c r="O320" s="66">
        <v>4</v>
      </c>
      <c r="P320" s="10">
        <f t="shared" si="76"/>
        <v>1.1766466811071534E-2</v>
      </c>
      <c r="Q320" s="10">
        <f t="shared" si="77"/>
        <v>4.2758100982413951E-4</v>
      </c>
      <c r="R320" s="10">
        <f t="shared" si="78"/>
        <v>6.4251167151736843E-2</v>
      </c>
      <c r="S320" s="66"/>
      <c r="T320" s="5">
        <f t="shared" si="89"/>
        <v>25.083333333333247</v>
      </c>
      <c r="U320" s="12">
        <f t="shared" si="79"/>
        <v>26202.572331006795</v>
      </c>
      <c r="V320" s="12">
        <f t="shared" si="74"/>
        <v>560272.57279024401</v>
      </c>
    </row>
    <row r="321" spans="1:22">
      <c r="A321" s="5">
        <f t="shared" si="80"/>
        <v>25.166666666666579</v>
      </c>
      <c r="B321" s="4">
        <f t="shared" si="72"/>
        <v>8.3116869166934594E-3</v>
      </c>
      <c r="C321" s="4">
        <f t="shared" si="73"/>
        <v>1.1391449820774047E-2</v>
      </c>
      <c r="D321" s="4">
        <f t="shared" si="81"/>
        <v>4.15584345834673E-4</v>
      </c>
      <c r="E321" s="4">
        <f t="shared" si="82"/>
        <v>8.3116869166934601E-4</v>
      </c>
      <c r="F321" s="4">
        <f t="shared" si="83"/>
        <v>1.1391449820774047E-2</v>
      </c>
      <c r="G321" s="4">
        <f t="shared" si="83"/>
        <v>4.15584345834673E-4</v>
      </c>
      <c r="H321" s="4">
        <f t="shared" si="84"/>
        <v>1.3669739784928856E-2</v>
      </c>
      <c r="I321" s="4">
        <f t="shared" si="85"/>
        <v>0.82834860063473148</v>
      </c>
      <c r="J321" s="4">
        <f t="shared" si="86"/>
        <v>5.5127191136700004E-2</v>
      </c>
      <c r="K321" s="4">
        <f t="shared" si="87"/>
        <v>0.11369469119149048</v>
      </c>
      <c r="L321" s="4">
        <f t="shared" si="88"/>
        <v>2.8295170370787213E-3</v>
      </c>
      <c r="N321" s="10">
        <f t="shared" si="75"/>
        <v>0.24263258003622828</v>
      </c>
      <c r="O321" s="66">
        <v>2</v>
      </c>
      <c r="P321" s="10">
        <f t="shared" si="76"/>
        <v>5.8957576659112634E-3</v>
      </c>
      <c r="Q321" s="10">
        <f t="shared" si="77"/>
        <v>2.1508979377841839E-4</v>
      </c>
      <c r="R321" s="10">
        <f t="shared" si="78"/>
        <v>3.2294743071693666E-2</v>
      </c>
      <c r="S321" s="66"/>
      <c r="T321" s="5">
        <f t="shared" si="89"/>
        <v>25.166666666666579</v>
      </c>
      <c r="U321" s="12">
        <f t="shared" si="79"/>
        <v>26076.451147187625</v>
      </c>
      <c r="V321" s="12">
        <f t="shared" si="74"/>
        <v>556772.51018693217</v>
      </c>
    </row>
    <row r="322" spans="1:22">
      <c r="A322" s="5">
        <f t="shared" si="80"/>
        <v>25.249999999999911</v>
      </c>
      <c r="B322" s="4">
        <f t="shared" si="72"/>
        <v>8.4045304650025316E-3</v>
      </c>
      <c r="C322" s="4">
        <f t="shared" si="73"/>
        <v>1.1473442783699174E-2</v>
      </c>
      <c r="D322" s="4">
        <f t="shared" si="81"/>
        <v>4.202265232501266E-4</v>
      </c>
      <c r="E322" s="4">
        <f t="shared" si="82"/>
        <v>8.404530465002532E-4</v>
      </c>
      <c r="F322" s="4">
        <f t="shared" si="83"/>
        <v>1.1473442783699174E-2</v>
      </c>
      <c r="G322" s="4">
        <f t="shared" si="83"/>
        <v>4.202265232501266E-4</v>
      </c>
      <c r="H322" s="4">
        <f t="shared" si="84"/>
        <v>1.3768131340439008E-2</v>
      </c>
      <c r="I322" s="4">
        <f t="shared" si="85"/>
        <v>0.82696364276301637</v>
      </c>
      <c r="J322" s="4">
        <f t="shared" si="86"/>
        <v>5.5642879936847037E-2</v>
      </c>
      <c r="K322" s="4">
        <f t="shared" si="87"/>
        <v>0.11453658693411105</v>
      </c>
      <c r="L322" s="4">
        <f t="shared" si="88"/>
        <v>2.8568903660262388E-3</v>
      </c>
      <c r="N322" s="10">
        <f t="shared" si="75"/>
        <v>0.24124405223752726</v>
      </c>
      <c r="O322" s="66">
        <v>4</v>
      </c>
      <c r="P322" s="10">
        <f t="shared" si="76"/>
        <v>1.1816560332449797E-2</v>
      </c>
      <c r="Q322" s="10">
        <f t="shared" si="77"/>
        <v>4.3279355280662844E-4</v>
      </c>
      <c r="R322" s="10">
        <f t="shared" si="78"/>
        <v>6.4929160799771568E-2</v>
      </c>
      <c r="S322" s="66"/>
      <c r="T322" s="5">
        <f t="shared" si="89"/>
        <v>25.249999999999911</v>
      </c>
      <c r="U322" s="12">
        <f t="shared" si="79"/>
        <v>25947.408726953683</v>
      </c>
      <c r="V322" s="12">
        <f t="shared" si="74"/>
        <v>553258.14670607005</v>
      </c>
    </row>
    <row r="323" spans="1:22">
      <c r="A323" s="5">
        <f t="shared" si="80"/>
        <v>25.333333333333243</v>
      </c>
      <c r="B323" s="4">
        <f t="shared" si="72"/>
        <v>8.4984635312049858E-3</v>
      </c>
      <c r="C323" s="4">
        <f t="shared" si="73"/>
        <v>1.1556053005674265E-2</v>
      </c>
      <c r="D323" s="4">
        <f t="shared" si="81"/>
        <v>4.2492317656024929E-4</v>
      </c>
      <c r="E323" s="4">
        <f t="shared" si="82"/>
        <v>8.4984635312049858E-4</v>
      </c>
      <c r="F323" s="4">
        <f t="shared" si="83"/>
        <v>1.1556053005674265E-2</v>
      </c>
      <c r="G323" s="4">
        <f t="shared" si="83"/>
        <v>4.2492317656024929E-4</v>
      </c>
      <c r="H323" s="4">
        <f t="shared" si="84"/>
        <v>1.3867263606809118E-2</v>
      </c>
      <c r="I323" s="4">
        <f t="shared" si="85"/>
        <v>0.82556871709660085</v>
      </c>
      <c r="J323" s="4">
        <f t="shared" si="86"/>
        <v>5.6163019760833467E-2</v>
      </c>
      <c r="K323" s="4">
        <f t="shared" si="87"/>
        <v>0.11538374272415282</v>
      </c>
      <c r="L323" s="4">
        <f t="shared" si="88"/>
        <v>2.8845204184135193E-3</v>
      </c>
      <c r="N323" s="10">
        <f t="shared" si="75"/>
        <v>0.23985990184929593</v>
      </c>
      <c r="O323" s="66">
        <v>2</v>
      </c>
      <c r="P323" s="10">
        <f t="shared" si="76"/>
        <v>5.9208003573257674E-3</v>
      </c>
      <c r="Q323" s="10">
        <f t="shared" si="77"/>
        <v>2.1771147072262233E-4</v>
      </c>
      <c r="R323" s="10">
        <f t="shared" si="78"/>
        <v>3.2635094156110794E-2</v>
      </c>
      <c r="S323" s="66"/>
      <c r="T323" s="5">
        <f t="shared" si="89"/>
        <v>25.333333333333243</v>
      </c>
      <c r="U323" s="12">
        <f t="shared" si="79"/>
        <v>25815.437160092057</v>
      </c>
      <c r="V323" s="12">
        <f t="shared" si="74"/>
        <v>549729.38255610107</v>
      </c>
    </row>
    <row r="324" spans="1:22">
      <c r="A324" s="5">
        <f t="shared" si="80"/>
        <v>25.416666666666575</v>
      </c>
      <c r="B324" s="4">
        <f t="shared" si="72"/>
        <v>8.5934989007798567E-3</v>
      </c>
      <c r="C324" s="4">
        <f t="shared" si="73"/>
        <v>1.16392851335461E-2</v>
      </c>
      <c r="D324" s="4">
        <f t="shared" si="81"/>
        <v>4.2967494503899287E-4</v>
      </c>
      <c r="E324" s="4">
        <f t="shared" si="82"/>
        <v>8.5934989007798574E-4</v>
      </c>
      <c r="F324" s="4">
        <f t="shared" si="83"/>
        <v>1.16392851335461E-2</v>
      </c>
      <c r="G324" s="4">
        <f t="shared" si="83"/>
        <v>4.2967494503899287E-4</v>
      </c>
      <c r="H324" s="4">
        <f t="shared" si="84"/>
        <v>1.396714216025532E-2</v>
      </c>
      <c r="I324" s="4">
        <f t="shared" si="85"/>
        <v>0.82416376252713774</v>
      </c>
      <c r="J324" s="4">
        <f t="shared" si="86"/>
        <v>5.6687640418762487E-2</v>
      </c>
      <c r="K324" s="4">
        <f t="shared" si="87"/>
        <v>0.11623618764856375</v>
      </c>
      <c r="L324" s="4">
        <f t="shared" si="88"/>
        <v>2.9124094055366931E-3</v>
      </c>
      <c r="N324" s="10">
        <f t="shared" si="75"/>
        <v>0.2384801102774444</v>
      </c>
      <c r="O324" s="66">
        <v>4</v>
      </c>
      <c r="P324" s="10">
        <f t="shared" si="76"/>
        <v>1.1866635368436065E-2</v>
      </c>
      <c r="Q324" s="10">
        <f t="shared" si="77"/>
        <v>4.3806778863377704E-4</v>
      </c>
      <c r="R324" s="10">
        <f t="shared" si="78"/>
        <v>6.5612565624004596E-2</v>
      </c>
      <c r="S324" s="66"/>
      <c r="T324" s="5">
        <f t="shared" si="89"/>
        <v>25.416666666666575</v>
      </c>
      <c r="U324" s="12">
        <f t="shared" si="79"/>
        <v>25680.529087381001</v>
      </c>
      <c r="V324" s="12">
        <f t="shared" si="74"/>
        <v>546186.11665172188</v>
      </c>
    </row>
    <row r="325" spans="1:22">
      <c r="A325" s="5">
        <f t="shared" si="80"/>
        <v>25.499999999999908</v>
      </c>
      <c r="B325" s="4">
        <f t="shared" si="72"/>
        <v>8.6896495092436288E-3</v>
      </c>
      <c r="C325" s="4">
        <f t="shared" si="73"/>
        <v>1.1723143849143828E-2</v>
      </c>
      <c r="D325" s="4">
        <f t="shared" si="81"/>
        <v>4.3448247546218149E-4</v>
      </c>
      <c r="E325" s="4">
        <f t="shared" si="82"/>
        <v>8.6896495092436297E-4</v>
      </c>
      <c r="F325" s="4">
        <f t="shared" si="83"/>
        <v>1.1723143849143828E-2</v>
      </c>
      <c r="G325" s="4">
        <f t="shared" si="83"/>
        <v>4.3448247546218149E-4</v>
      </c>
      <c r="H325" s="4">
        <f t="shared" si="84"/>
        <v>1.4067772618972593E-2</v>
      </c>
      <c r="I325" s="4">
        <f t="shared" si="85"/>
        <v>0.82274871790897663</v>
      </c>
      <c r="J325" s="4">
        <f t="shared" si="86"/>
        <v>5.7216771668813622E-2</v>
      </c>
      <c r="K325" s="4">
        <f t="shared" si="87"/>
        <v>0.11709395087151103</v>
      </c>
      <c r="L325" s="4">
        <f t="shared" si="88"/>
        <v>2.9405595506993847E-3</v>
      </c>
      <c r="N325" s="10">
        <f t="shared" si="75"/>
        <v>0.23710465909177164</v>
      </c>
      <c r="O325" s="66">
        <v>2</v>
      </c>
      <c r="P325" s="10">
        <f t="shared" si="76"/>
        <v>5.9458315860198173E-3</v>
      </c>
      <c r="Q325" s="10">
        <f t="shared" si="77"/>
        <v>2.2036406440272316E-4</v>
      </c>
      <c r="R325" s="10">
        <f t="shared" si="78"/>
        <v>3.2978144713114423E-2</v>
      </c>
      <c r="S325" s="66"/>
      <c r="T325" s="5">
        <f t="shared" si="89"/>
        <v>25.499999999999908</v>
      </c>
      <c r="U325" s="12">
        <f t="shared" si="79"/>
        <v>25542.67772050964</v>
      </c>
      <c r="V325" s="12">
        <f t="shared" si="74"/>
        <v>542628.24659280549</v>
      </c>
    </row>
    <row r="326" spans="1:22">
      <c r="A326" s="5">
        <f t="shared" si="80"/>
        <v>25.58333333333324</v>
      </c>
      <c r="B326" s="4">
        <f t="shared" si="72"/>
        <v>8.7869284439108762E-3</v>
      </c>
      <c r="C326" s="4">
        <f t="shared" si="73"/>
        <v>1.1807633869542308E-2</v>
      </c>
      <c r="D326" s="4">
        <f t="shared" si="81"/>
        <v>4.3934642219554384E-4</v>
      </c>
      <c r="E326" s="4">
        <f t="shared" si="82"/>
        <v>8.7869284439108769E-4</v>
      </c>
      <c r="F326" s="4">
        <f t="shared" si="83"/>
        <v>1.1807633869542308E-2</v>
      </c>
      <c r="G326" s="4">
        <f t="shared" si="83"/>
        <v>4.3934642219554384E-4</v>
      </c>
      <c r="H326" s="4">
        <f t="shared" si="84"/>
        <v>1.4169160643450768E-2</v>
      </c>
      <c r="I326" s="4">
        <f t="shared" si="85"/>
        <v>0.82132352206772585</v>
      </c>
      <c r="J326" s="4">
        <f t="shared" si="86"/>
        <v>5.7750443209994749E-2</v>
      </c>
      <c r="K326" s="4">
        <f t="shared" si="87"/>
        <v>0.11795706163315557</v>
      </c>
      <c r="L326" s="4">
        <f t="shared" si="88"/>
        <v>2.9689730891244901E-3</v>
      </c>
      <c r="N326" s="10">
        <f t="shared" si="75"/>
        <v>0.23573353002685038</v>
      </c>
      <c r="O326" s="66">
        <v>4</v>
      </c>
      <c r="P326" s="10">
        <f t="shared" si="76"/>
        <v>1.1916682991844318E-2</v>
      </c>
      <c r="Q326" s="10">
        <f t="shared" si="77"/>
        <v>4.4340399564813353E-4</v>
      </c>
      <c r="R326" s="10">
        <f t="shared" si="78"/>
        <v>6.6301356153706442E-2</v>
      </c>
      <c r="S326" s="66"/>
      <c r="T326" s="5">
        <f t="shared" si="89"/>
        <v>25.58333333333324</v>
      </c>
      <c r="U326" s="12">
        <f t="shared" si="79"/>
        <v>25401.87686255791</v>
      </c>
      <c r="V326" s="12">
        <f t="shared" si="74"/>
        <v>539055.66864294966</v>
      </c>
    </row>
    <row r="327" spans="1:22">
      <c r="A327" s="5">
        <f t="shared" si="80"/>
        <v>25.666666666666572</v>
      </c>
      <c r="B327" s="4">
        <f t="shared" si="72"/>
        <v>8.8853489456756692E-3</v>
      </c>
      <c r="C327" s="4">
        <f t="shared" si="73"/>
        <v>1.1892759947327447E-2</v>
      </c>
      <c r="D327" s="4">
        <f t="shared" si="81"/>
        <v>4.442674472837835E-4</v>
      </c>
      <c r="E327" s="4">
        <f t="shared" si="82"/>
        <v>8.8853489456756701E-4</v>
      </c>
      <c r="F327" s="4">
        <f t="shared" si="83"/>
        <v>1.1892759947327447E-2</v>
      </c>
      <c r="G327" s="4">
        <f t="shared" si="83"/>
        <v>4.442674472837835E-4</v>
      </c>
      <c r="H327" s="4">
        <f t="shared" si="84"/>
        <v>1.4271311936792935E-2</v>
      </c>
      <c r="I327" s="4">
        <f t="shared" si="85"/>
        <v>0.81988811380902549</v>
      </c>
      <c r="J327" s="4">
        <f t="shared" si="86"/>
        <v>5.8288684674717164E-2</v>
      </c>
      <c r="K327" s="4">
        <f t="shared" si="87"/>
        <v>0.11882554924839657</v>
      </c>
      <c r="L327" s="4">
        <f t="shared" si="88"/>
        <v>2.9976522678615007E-3</v>
      </c>
      <c r="N327" s="10">
        <f t="shared" si="75"/>
        <v>0.234366704982925</v>
      </c>
      <c r="O327" s="66">
        <v>2</v>
      </c>
      <c r="P327" s="10">
        <f t="shared" si="76"/>
        <v>5.9708468411480515E-3</v>
      </c>
      <c r="Q327" s="10">
        <f t="shared" si="77"/>
        <v>2.2304771104333888E-4</v>
      </c>
      <c r="R327" s="10">
        <f t="shared" si="78"/>
        <v>3.3323880990386419E-2</v>
      </c>
      <c r="S327" s="66"/>
      <c r="T327" s="5">
        <f t="shared" si="89"/>
        <v>25.666666666666572</v>
      </c>
      <c r="U327" s="12">
        <f t="shared" si="79"/>
        <v>25258.120929052679</v>
      </c>
      <c r="V327" s="12">
        <f t="shared" si="74"/>
        <v>535468.2777076416</v>
      </c>
    </row>
    <row r="328" spans="1:22">
      <c r="A328" s="5">
        <f t="shared" si="80"/>
        <v>25.749999999999904</v>
      </c>
      <c r="B328" s="4">
        <f t="shared" si="72"/>
        <v>8.9849244108138136E-3</v>
      </c>
      <c r="C328" s="4">
        <f t="shared" si="73"/>
        <v>1.1978526870863589E-2</v>
      </c>
      <c r="D328" s="4">
        <f t="shared" si="81"/>
        <v>4.4924622054069068E-4</v>
      </c>
      <c r="E328" s="4">
        <f t="shared" si="82"/>
        <v>8.9849244108138136E-4</v>
      </c>
      <c r="F328" s="4">
        <f t="shared" si="83"/>
        <v>1.1978526870863589E-2</v>
      </c>
      <c r="G328" s="4">
        <f t="shared" si="83"/>
        <v>4.4924622054069068E-4</v>
      </c>
      <c r="H328" s="4">
        <f t="shared" si="84"/>
        <v>1.4374232245036306E-2</v>
      </c>
      <c r="I328" s="4">
        <f t="shared" si="85"/>
        <v>0.81844243192753452</v>
      </c>
      <c r="J328" s="4">
        <f t="shared" si="86"/>
        <v>5.8831525621190935E-2</v>
      </c>
      <c r="K328" s="4">
        <f t="shared" si="87"/>
        <v>0.11969944310558593</v>
      </c>
      <c r="L328" s="4">
        <f t="shared" si="88"/>
        <v>3.0265993456892949E-3</v>
      </c>
      <c r="N328" s="10">
        <f t="shared" si="75"/>
        <v>0.23300416602682267</v>
      </c>
      <c r="O328" s="66">
        <v>4</v>
      </c>
      <c r="P328" s="10">
        <f t="shared" si="76"/>
        <v>1.1966694085823029E-2</v>
      </c>
      <c r="Q328" s="10">
        <f t="shared" si="77"/>
        <v>4.4880244026493138E-4</v>
      </c>
      <c r="R328" s="10">
        <f t="shared" si="78"/>
        <v>6.699550281706293E-2</v>
      </c>
      <c r="S328" s="66"/>
      <c r="T328" s="5">
        <f t="shared" si="89"/>
        <v>25.749999999999904</v>
      </c>
      <c r="U328" s="12">
        <f t="shared" si="79"/>
        <v>25111.404969616462</v>
      </c>
      <c r="V328" s="12">
        <f t="shared" si="74"/>
        <v>531865.96731203236</v>
      </c>
    </row>
    <row r="329" spans="1:22">
      <c r="A329" s="5">
        <f t="shared" si="80"/>
        <v>25.833333333333236</v>
      </c>
      <c r="B329" s="4">
        <f t="shared" si="72"/>
        <v>9.0856683928062544E-3</v>
      </c>
      <c r="C329" s="4">
        <f t="shared" si="73"/>
        <v>1.2064939464562786E-2</v>
      </c>
      <c r="D329" s="4">
        <f t="shared" si="81"/>
        <v>4.5428341964031272E-4</v>
      </c>
      <c r="E329" s="4">
        <f t="shared" si="82"/>
        <v>9.0856683928062544E-4</v>
      </c>
      <c r="F329" s="4">
        <f t="shared" si="83"/>
        <v>1.2064939464562786E-2</v>
      </c>
      <c r="G329" s="4">
        <f t="shared" si="83"/>
        <v>4.5428341964031272E-4</v>
      </c>
      <c r="H329" s="4">
        <f t="shared" si="84"/>
        <v>1.4477927357475343E-2</v>
      </c>
      <c r="I329" s="4">
        <f t="shared" si="85"/>
        <v>0.81698641521613646</v>
      </c>
      <c r="J329" s="4">
        <f t="shared" si="86"/>
        <v>5.9378995525637787E-2</v>
      </c>
      <c r="K329" s="4">
        <f t="shared" si="87"/>
        <v>0.12057877266521208</v>
      </c>
      <c r="L329" s="4">
        <f t="shared" si="88"/>
        <v>3.055816593014289E-3</v>
      </c>
      <c r="N329" s="10">
        <f t="shared" si="75"/>
        <v>0.23164589539287869</v>
      </c>
      <c r="O329" s="66">
        <v>2</v>
      </c>
      <c r="P329" s="10">
        <f t="shared" si="76"/>
        <v>5.9958415163767469E-3</v>
      </c>
      <c r="Q329" s="10">
        <f t="shared" si="77"/>
        <v>2.2576254076378768E-4</v>
      </c>
      <c r="R329" s="10">
        <f t="shared" si="78"/>
        <v>3.3672287151622217E-2</v>
      </c>
      <c r="S329" s="66"/>
      <c r="T329" s="5">
        <f t="shared" si="89"/>
        <v>25.833333333333236</v>
      </c>
      <c r="U329" s="12">
        <f t="shared" si="79"/>
        <v>24961.724690225634</v>
      </c>
      <c r="V329" s="12">
        <f t="shared" si="74"/>
        <v>528248.62957831356</v>
      </c>
    </row>
    <row r="330" spans="1:22">
      <c r="A330" s="5">
        <f t="shared" si="80"/>
        <v>25.916666666666568</v>
      </c>
      <c r="B330" s="4">
        <f t="shared" si="72"/>
        <v>9.1875946041838283E-3</v>
      </c>
      <c r="C330" s="4">
        <f t="shared" si="73"/>
        <v>1.2152002589156212E-2</v>
      </c>
      <c r="D330" s="4">
        <f t="shared" si="81"/>
        <v>4.5937973020919145E-4</v>
      </c>
      <c r="E330" s="4">
        <f t="shared" si="82"/>
        <v>9.1875946041838289E-4</v>
      </c>
      <c r="F330" s="4">
        <f t="shared" si="83"/>
        <v>1.2152002589156212E-2</v>
      </c>
      <c r="G330" s="4">
        <f t="shared" si="83"/>
        <v>4.5937973020919145E-4</v>
      </c>
      <c r="H330" s="4">
        <f t="shared" si="84"/>
        <v>1.4582403106987454E-2</v>
      </c>
      <c r="I330" s="4">
        <f t="shared" si="85"/>
        <v>0.81552000247536527</v>
      </c>
      <c r="J330" s="4">
        <f t="shared" si="86"/>
        <v>5.9931123774318737E-2</v>
      </c>
      <c r="K330" s="4">
        <f t="shared" si="87"/>
        <v>0.12146356745855273</v>
      </c>
      <c r="L330" s="4">
        <f t="shared" si="88"/>
        <v>3.0853062917638582E-3</v>
      </c>
      <c r="N330" s="10">
        <f t="shared" si="75"/>
        <v>0.23029187548387436</v>
      </c>
      <c r="O330" s="66">
        <v>4</v>
      </c>
      <c r="P330" s="10">
        <f t="shared" si="76"/>
        <v>1.2016659341234696E-2</v>
      </c>
      <c r="Q330" s="10">
        <f t="shared" si="77"/>
        <v>4.5426337640168803E-4</v>
      </c>
      <c r="R330" s="10">
        <f t="shared" si="78"/>
        <v>6.7694971806707999E-2</v>
      </c>
      <c r="S330" s="66"/>
      <c r="T330" s="5">
        <f t="shared" si="89"/>
        <v>25.916666666666568</v>
      </c>
      <c r="U330" s="12">
        <f t="shared" si="79"/>
        <v>24809.076476095575</v>
      </c>
      <c r="V330" s="12">
        <f t="shared" si="74"/>
        <v>524616.1552026869</v>
      </c>
    </row>
    <row r="331" spans="1:22">
      <c r="A331" s="5">
        <f t="shared" si="80"/>
        <v>25.999999999999901</v>
      </c>
      <c r="B331" s="4">
        <f t="shared" si="72"/>
        <v>9.2907169183937804E-3</v>
      </c>
      <c r="C331" s="4">
        <f t="shared" si="73"/>
        <v>1.2239721141967598E-2</v>
      </c>
      <c r="D331" s="4">
        <f t="shared" si="81"/>
        <v>4.6453584591968903E-4</v>
      </c>
      <c r="E331" s="4">
        <f t="shared" si="82"/>
        <v>9.2907169183937806E-4</v>
      </c>
      <c r="F331" s="4">
        <f t="shared" si="83"/>
        <v>1.2239721141967598E-2</v>
      </c>
      <c r="G331" s="4">
        <f t="shared" si="83"/>
        <v>4.6453584591968903E-4</v>
      </c>
      <c r="H331" s="4">
        <f t="shared" si="84"/>
        <v>1.4687665370361116E-2</v>
      </c>
      <c r="I331" s="4">
        <f t="shared" si="85"/>
        <v>0.81404313252305593</v>
      </c>
      <c r="J331" s="4">
        <f t="shared" si="86"/>
        <v>6.04879396553736E-2</v>
      </c>
      <c r="K331" s="4">
        <f t="shared" si="87"/>
        <v>0.12235385708629615</v>
      </c>
      <c r="L331" s="4">
        <f t="shared" si="88"/>
        <v>3.1150707352749323E-3</v>
      </c>
      <c r="N331" s="10">
        <f t="shared" si="75"/>
        <v>0.22894208887198864</v>
      </c>
      <c r="O331" s="66">
        <v>2</v>
      </c>
      <c r="P331" s="10">
        <f t="shared" si="76"/>
        <v>6.0208109085756615E-3</v>
      </c>
      <c r="Q331" s="10">
        <f t="shared" si="77"/>
        <v>2.2850867728903775E-4</v>
      </c>
      <c r="R331" s="10">
        <f t="shared" si="78"/>
        <v>3.4023345208607378E-2</v>
      </c>
      <c r="S331" s="66"/>
      <c r="T331" s="5">
        <f t="shared" si="89"/>
        <v>25.999999999999901</v>
      </c>
      <c r="U331" s="12">
        <f t="shared" si="79"/>
        <v>24653.457415210716</v>
      </c>
      <c r="V331" s="12">
        <f t="shared" si="74"/>
        <v>520968.43343191984</v>
      </c>
    </row>
    <row r="332" spans="1:22">
      <c r="A332" s="5">
        <f t="shared" si="80"/>
        <v>26.083333333333233</v>
      </c>
      <c r="B332" s="4">
        <f t="shared" si="72"/>
        <v>9.395049371688096E-3</v>
      </c>
      <c r="C332" s="4">
        <f t="shared" si="73"/>
        <v>1.2328100057188651E-2</v>
      </c>
      <c r="D332" s="4">
        <f t="shared" si="81"/>
        <v>4.6975246858440482E-4</v>
      </c>
      <c r="E332" s="4">
        <f t="shared" si="82"/>
        <v>9.3950493716880965E-4</v>
      </c>
      <c r="F332" s="4">
        <f t="shared" si="83"/>
        <v>1.2328100057188651E-2</v>
      </c>
      <c r="G332" s="4">
        <f t="shared" si="83"/>
        <v>4.6975246858440482E-4</v>
      </c>
      <c r="H332" s="4">
        <f t="shared" si="84"/>
        <v>1.479372006862638E-2</v>
      </c>
      <c r="I332" s="4">
        <f t="shared" si="85"/>
        <v>0.8125557442042225</v>
      </c>
      <c r="J332" s="4">
        <f t="shared" si="86"/>
        <v>6.1049472350469688E-2</v>
      </c>
      <c r="K332" s="4">
        <f t="shared" si="87"/>
        <v>0.12324967121713069</v>
      </c>
      <c r="L332" s="4">
        <f t="shared" si="88"/>
        <v>3.1451122281776602E-3</v>
      </c>
      <c r="N332" s="10">
        <f t="shared" si="75"/>
        <v>0.22759651829976288</v>
      </c>
      <c r="O332" s="66">
        <v>4</v>
      </c>
      <c r="P332" s="10">
        <f t="shared" si="76"/>
        <v>1.2066569254044316E-2</v>
      </c>
      <c r="Q332" s="10">
        <f t="shared" si="77"/>
        <v>4.5978704489235136E-4</v>
      </c>
      <c r="R332" s="10">
        <f t="shared" si="78"/>
        <v>6.8399724942501183E-2</v>
      </c>
      <c r="S332" s="66"/>
      <c r="T332" s="5">
        <f t="shared" si="89"/>
        <v>26.083333333333233</v>
      </c>
      <c r="U332" s="12">
        <f t="shared" si="79"/>
        <v>24494.865322517988</v>
      </c>
      <c r="V332" s="12">
        <f t="shared" si="74"/>
        <v>517305.35203947884</v>
      </c>
    </row>
    <row r="333" spans="1:22">
      <c r="A333" s="5">
        <f t="shared" si="80"/>
        <v>26.166666666666565</v>
      </c>
      <c r="B333" s="4">
        <f t="shared" si="72"/>
        <v>9.5006061650339899E-3</v>
      </c>
      <c r="C333" s="4">
        <f t="shared" si="73"/>
        <v>1.2417144306156674E-2</v>
      </c>
      <c r="D333" s="4">
        <f t="shared" si="81"/>
        <v>4.7503030825169954E-4</v>
      </c>
      <c r="E333" s="4">
        <f t="shared" si="82"/>
        <v>9.5006061650339908E-4</v>
      </c>
      <c r="F333" s="4">
        <f t="shared" si="83"/>
        <v>1.2417144306156674E-2</v>
      </c>
      <c r="G333" s="4">
        <f t="shared" si="83"/>
        <v>4.7503030825169954E-4</v>
      </c>
      <c r="H333" s="4">
        <f t="shared" si="84"/>
        <v>1.4900573167388008E-2</v>
      </c>
      <c r="I333" s="4">
        <f t="shared" si="85"/>
        <v>0.81105777640116772</v>
      </c>
      <c r="J333" s="4">
        <f t="shared" si="86"/>
        <v>6.1615750926256777E-2</v>
      </c>
      <c r="K333" s="4">
        <f t="shared" si="87"/>
        <v>0.12415103958630205</v>
      </c>
      <c r="L333" s="4">
        <f t="shared" si="88"/>
        <v>3.1754330862740522E-3</v>
      </c>
      <c r="N333" s="10">
        <f t="shared" si="75"/>
        <v>0.22625514668107927</v>
      </c>
      <c r="O333" s="66">
        <v>2</v>
      </c>
      <c r="P333" s="10">
        <f t="shared" si="76"/>
        <v>6.0457502165150055E-3</v>
      </c>
      <c r="Q333" s="10">
        <f t="shared" si="77"/>
        <v>2.3128623765288357E-4</v>
      </c>
      <c r="R333" s="10">
        <f t="shared" si="78"/>
        <v>3.4377034951920848E-2</v>
      </c>
      <c r="S333" s="66"/>
      <c r="T333" s="5">
        <f t="shared" si="89"/>
        <v>26.166666666666565</v>
      </c>
      <c r="U333" s="12">
        <f t="shared" si="79"/>
        <v>24333.298764802814</v>
      </c>
      <c r="V333" s="12">
        <f t="shared" si="74"/>
        <v>513626.79730123078</v>
      </c>
    </row>
    <row r="334" spans="1:22">
      <c r="A334" s="5">
        <f t="shared" si="80"/>
        <v>26.249999999999897</v>
      </c>
      <c r="B334" s="4">
        <f t="shared" si="72"/>
        <v>9.6074016660468511E-3</v>
      </c>
      <c r="C334" s="4">
        <f t="shared" si="73"/>
        <v>1.250685889763414E-2</v>
      </c>
      <c r="D334" s="4">
        <f t="shared" si="81"/>
        <v>4.803700833023426E-4</v>
      </c>
      <c r="E334" s="4">
        <f t="shared" si="82"/>
        <v>9.607401666046852E-4</v>
      </c>
      <c r="F334" s="4">
        <f t="shared" si="83"/>
        <v>1.250685889763414E-2</v>
      </c>
      <c r="G334" s="4">
        <f t="shared" si="83"/>
        <v>4.803700833023426E-4</v>
      </c>
      <c r="H334" s="4">
        <f t="shared" si="84"/>
        <v>1.5008230677160967E-2</v>
      </c>
      <c r="I334" s="4">
        <f t="shared" si="85"/>
        <v>0.80954916804382593</v>
      </c>
      <c r="J334" s="4">
        <f t="shared" si="86"/>
        <v>6.2186804325625546E-2</v>
      </c>
      <c r="K334" s="4">
        <f t="shared" si="87"/>
        <v>0.1250579919941377</v>
      </c>
      <c r="L334" s="4">
        <f t="shared" si="88"/>
        <v>3.206035636411492E-3</v>
      </c>
      <c r="N334" s="10">
        <f t="shared" si="75"/>
        <v>0.22491795710215148</v>
      </c>
      <c r="O334" s="66">
        <v>4</v>
      </c>
      <c r="P334" s="10">
        <f t="shared" si="76"/>
        <v>1.2116414122719351E-2</v>
      </c>
      <c r="Q334" s="10">
        <f t="shared" si="77"/>
        <v>4.6537367288579428E-4</v>
      </c>
      <c r="R334" s="10">
        <f t="shared" si="78"/>
        <v>6.9109719531568886E-2</v>
      </c>
      <c r="S334" s="66"/>
      <c r="T334" s="5">
        <f t="shared" si="89"/>
        <v>26.249999999999897</v>
      </c>
      <c r="U334" s="12">
        <f t="shared" si="79"/>
        <v>24168.757086267273</v>
      </c>
      <c r="V334" s="12">
        <f t="shared" si="74"/>
        <v>509932.65397070482</v>
      </c>
    </row>
    <row r="335" spans="1:22">
      <c r="A335" s="5">
        <f t="shared" si="80"/>
        <v>26.333333333333229</v>
      </c>
      <c r="B335" s="4">
        <f t="shared" si="72"/>
        <v>9.7154504109458559E-3</v>
      </c>
      <c r="C335" s="4">
        <f t="shared" si="73"/>
        <v>1.2597248878090463E-2</v>
      </c>
      <c r="D335" s="4">
        <f t="shared" si="81"/>
        <v>4.8577252054729281E-4</v>
      </c>
      <c r="E335" s="4">
        <f t="shared" si="82"/>
        <v>9.7154504109458562E-4</v>
      </c>
      <c r="F335" s="4">
        <f t="shared" si="83"/>
        <v>1.2597248878090463E-2</v>
      </c>
      <c r="G335" s="4">
        <f t="shared" si="83"/>
        <v>4.8577252054729281E-4</v>
      </c>
      <c r="H335" s="4">
        <f t="shared" si="84"/>
        <v>1.5116698653708556E-2</v>
      </c>
      <c r="I335" s="4">
        <f t="shared" si="85"/>
        <v>0.80802985812034478</v>
      </c>
      <c r="J335" s="4">
        <f t="shared" si="86"/>
        <v>6.2762661358766639E-2</v>
      </c>
      <c r="K335" s="4">
        <f t="shared" si="87"/>
        <v>0.12597055830453829</v>
      </c>
      <c r="L335" s="4">
        <f t="shared" si="88"/>
        <v>3.2369222163510171E-3</v>
      </c>
      <c r="N335" s="10">
        <f t="shared" si="75"/>
        <v>0.22358493282252945</v>
      </c>
      <c r="O335" s="66">
        <v>2</v>
      </c>
      <c r="P335" s="10">
        <f t="shared" si="76"/>
        <v>6.07065453956873E-3</v>
      </c>
      <c r="Q335" s="10">
        <f t="shared" si="77"/>
        <v>2.3409533189322691E-4</v>
      </c>
      <c r="R335" s="10">
        <f t="shared" si="78"/>
        <v>3.4733333880276031E-2</v>
      </c>
      <c r="S335" s="66"/>
      <c r="T335" s="5">
        <f t="shared" si="89"/>
        <v>26.333333333333229</v>
      </c>
      <c r="U335" s="12">
        <f t="shared" si="79"/>
        <v>24001.240434830772</v>
      </c>
      <c r="V335" s="12">
        <f t="shared" si="74"/>
        <v>506222.80525390554</v>
      </c>
    </row>
    <row r="336" spans="1:22">
      <c r="A336" s="5">
        <f t="shared" si="80"/>
        <v>26.416666666666561</v>
      </c>
      <c r="B336" s="4">
        <f t="shared" si="72"/>
        <v>9.82476710653255E-3</v>
      </c>
      <c r="C336" s="4">
        <f t="shared" si="73"/>
        <v>1.268831933198589E-2</v>
      </c>
      <c r="D336" s="4">
        <f t="shared" si="81"/>
        <v>4.9123835532662757E-4</v>
      </c>
      <c r="E336" s="4">
        <f t="shared" si="82"/>
        <v>9.8247671065325513E-4</v>
      </c>
      <c r="F336" s="4">
        <f t="shared" si="83"/>
        <v>1.268831933198589E-2</v>
      </c>
      <c r="G336" s="4">
        <f t="shared" si="83"/>
        <v>4.9123835532662757E-4</v>
      </c>
      <c r="H336" s="4">
        <f t="shared" si="84"/>
        <v>1.5225983198383067E-2</v>
      </c>
      <c r="I336" s="4">
        <f t="shared" si="85"/>
        <v>0.80649978568790737</v>
      </c>
      <c r="J336" s="4">
        <f t="shared" si="86"/>
        <v>6.3343350694027523E-2</v>
      </c>
      <c r="K336" s="4">
        <f t="shared" si="87"/>
        <v>0.12688876844343561</v>
      </c>
      <c r="L336" s="4">
        <f t="shared" si="88"/>
        <v>3.268095174630269E-3</v>
      </c>
      <c r="N336" s="10">
        <f t="shared" si="75"/>
        <v>0.22225605727611628</v>
      </c>
      <c r="O336" s="66">
        <v>4</v>
      </c>
      <c r="P336" s="10">
        <f t="shared" si="76"/>
        <v>1.2166184045643491E-2</v>
      </c>
      <c r="Q336" s="10">
        <f t="shared" si="77"/>
        <v>4.7102347322839353E-4</v>
      </c>
      <c r="R336" s="10">
        <f t="shared" si="78"/>
        <v>6.9824908225633975E-2</v>
      </c>
      <c r="S336" s="66"/>
      <c r="T336" s="5">
        <f t="shared" si="89"/>
        <v>26.416666666666561</v>
      </c>
      <c r="U336" s="12">
        <f t="shared" si="79"/>
        <v>23830.749789174137</v>
      </c>
      <c r="V336" s="12">
        <f t="shared" si="74"/>
        <v>502497.13278366794</v>
      </c>
    </row>
    <row r="337" spans="1:22">
      <c r="A337" s="5">
        <f t="shared" si="80"/>
        <v>26.499999999999893</v>
      </c>
      <c r="B337" s="4">
        <f t="shared" si="72"/>
        <v>9.9353666321925996E-3</v>
      </c>
      <c r="C337" s="4">
        <f t="shared" si="73"/>
        <v>1.2780075382057474E-2</v>
      </c>
      <c r="D337" s="4">
        <f t="shared" si="81"/>
        <v>4.9676833160963003E-4</v>
      </c>
      <c r="E337" s="4">
        <f t="shared" si="82"/>
        <v>9.9353666321926005E-4</v>
      </c>
      <c r="F337" s="4">
        <f t="shared" si="83"/>
        <v>1.2780075382057474E-2</v>
      </c>
      <c r="G337" s="4">
        <f t="shared" si="83"/>
        <v>4.9676833160963003E-4</v>
      </c>
      <c r="H337" s="4">
        <f t="shared" si="84"/>
        <v>1.5336090458468968E-2</v>
      </c>
      <c r="I337" s="4">
        <f t="shared" si="85"/>
        <v>0.80495888988379904</v>
      </c>
      <c r="J337" s="4">
        <f t="shared" si="86"/>
        <v>6.3928900848564271E-2</v>
      </c>
      <c r="K337" s="4">
        <f t="shared" si="87"/>
        <v>0.12781265239721643</v>
      </c>
      <c r="L337" s="4">
        <f t="shared" si="88"/>
        <v>3.2995568704210004E-3</v>
      </c>
      <c r="N337" s="10">
        <f t="shared" si="75"/>
        <v>0.22093131407219868</v>
      </c>
      <c r="O337" s="66">
        <v>2</v>
      </c>
      <c r="P337" s="10">
        <f t="shared" si="76"/>
        <v>6.0955188764253553E-3</v>
      </c>
      <c r="Q337" s="10">
        <f t="shared" si="77"/>
        <v>2.3693606273935303E-4</v>
      </c>
      <c r="R337" s="10">
        <f t="shared" si="78"/>
        <v>3.5092217128513174E-2</v>
      </c>
      <c r="S337" s="66"/>
      <c r="T337" s="5">
        <f t="shared" si="89"/>
        <v>26.499999999999893</v>
      </c>
      <c r="U337" s="12">
        <f t="shared" si="79"/>
        <v>23657.286986548723</v>
      </c>
      <c r="V337" s="12">
        <f t="shared" si="74"/>
        <v>498755.51659354538</v>
      </c>
    </row>
    <row r="338" spans="1:22">
      <c r="A338" s="5">
        <f t="shared" si="80"/>
        <v>26.583333333333226</v>
      </c>
      <c r="B338" s="4">
        <f t="shared" si="72"/>
        <v>1.0047264041921078E-2</v>
      </c>
      <c r="C338" s="4">
        <f t="shared" si="73"/>
        <v>1.2872522189607218E-2</v>
      </c>
      <c r="D338" s="4">
        <f t="shared" si="81"/>
        <v>5.023632020960539E-4</v>
      </c>
      <c r="E338" s="4">
        <f t="shared" si="82"/>
        <v>1.0047264041921078E-3</v>
      </c>
      <c r="F338" s="4">
        <f t="shared" si="83"/>
        <v>1.2872522189607218E-2</v>
      </c>
      <c r="G338" s="4">
        <f t="shared" si="83"/>
        <v>5.023632020960539E-4</v>
      </c>
      <c r="H338" s="4">
        <f t="shared" si="84"/>
        <v>1.544702662752866E-2</v>
      </c>
      <c r="I338" s="4">
        <f t="shared" si="85"/>
        <v>0.80340710993672237</v>
      </c>
      <c r="J338" s="4">
        <f t="shared" si="86"/>
        <v>6.4519340178785356E-2</v>
      </c>
      <c r="K338" s="4">
        <f t="shared" si="87"/>
        <v>0.128742240211112</v>
      </c>
      <c r="L338" s="4">
        <f t="shared" si="88"/>
        <v>3.3313096733810382E-3</v>
      </c>
      <c r="N338" s="10">
        <f t="shared" si="75"/>
        <v>0.21961068699649</v>
      </c>
      <c r="O338" s="66">
        <v>4</v>
      </c>
      <c r="P338" s="10">
        <f t="shared" si="76"/>
        <v>1.2215868918546941E-2</v>
      </c>
      <c r="Q338" s="10">
        <f t="shared" si="77"/>
        <v>4.7673664383049349E-4</v>
      </c>
      <c r="R338" s="10">
        <f t="shared" si="78"/>
        <v>7.0545238875664301E-2</v>
      </c>
      <c r="S338" s="66"/>
      <c r="T338" s="5">
        <f t="shared" si="89"/>
        <v>26.583333333333226</v>
      </c>
      <c r="U338" s="12">
        <f t="shared" si="79"/>
        <v>23480.854751372794</v>
      </c>
      <c r="V338" s="12">
        <f t="shared" si="74"/>
        <v>494997.83509122056</v>
      </c>
    </row>
    <row r="339" spans="1:22">
      <c r="A339" s="5">
        <f t="shared" si="80"/>
        <v>26.666666666666558</v>
      </c>
      <c r="B339" s="4">
        <f t="shared" ref="B339:B402" si="90">B$3+B$4*EXP(B$5*(B$12+A339))</f>
        <v>1.0160474566371499E-2</v>
      </c>
      <c r="C339" s="4">
        <f t="shared" ref="C339:C402" si="91">B$6+B$7*EXP(B$8*(B$12+A339))</f>
        <v>1.2965664954792405E-2</v>
      </c>
      <c r="D339" s="4">
        <f t="shared" si="81"/>
        <v>5.0802372831857496E-4</v>
      </c>
      <c r="E339" s="4">
        <f t="shared" si="82"/>
        <v>1.0160474566371499E-3</v>
      </c>
      <c r="F339" s="4">
        <f t="shared" si="83"/>
        <v>1.2965664954792405E-2</v>
      </c>
      <c r="G339" s="4">
        <f t="shared" si="83"/>
        <v>5.0802372831857496E-4</v>
      </c>
      <c r="H339" s="4">
        <f t="shared" si="84"/>
        <v>1.5558797945750885E-2</v>
      </c>
      <c r="I339" s="4">
        <f t="shared" si="85"/>
        <v>0.80184438517836276</v>
      </c>
      <c r="J339" s="4">
        <f t="shared" si="86"/>
        <v>6.5114696870584743E-2</v>
      </c>
      <c r="K339" s="4">
        <f t="shared" si="87"/>
        <v>0.12967756198755268</v>
      </c>
      <c r="L339" s="4">
        <f t="shared" si="88"/>
        <v>3.3633559635005907E-3</v>
      </c>
      <c r="N339" s="10">
        <f t="shared" si="75"/>
        <v>0.21829416001218568</v>
      </c>
      <c r="O339" s="66">
        <v>2</v>
      </c>
      <c r="P339" s="10">
        <f t="shared" si="76"/>
        <v>6.120338123807658E-3</v>
      </c>
      <c r="Q339" s="10">
        <f t="shared" si="77"/>
        <v>2.3980852529108574E-4</v>
      </c>
      <c r="R339" s="10">
        <f t="shared" si="78"/>
        <v>3.5453657394260076E-2</v>
      </c>
      <c r="S339" s="66"/>
      <c r="T339" s="5">
        <f t="shared" si="89"/>
        <v>26.666666666666558</v>
      </c>
      <c r="U339" s="12">
        <f t="shared" si="79"/>
        <v>23301.456724638108</v>
      </c>
      <c r="V339" s="12">
        <f t="shared" ref="V339:V402" si="92">V340-B$13*(B$15*V340-B$10-E340*(U340-V340)-(F340+G340)*(B$11-V340))</f>
        <v>491223.9650314303</v>
      </c>
    </row>
    <row r="340" spans="1:22">
      <c r="A340" s="5">
        <f t="shared" si="80"/>
        <v>26.74999999999989</v>
      </c>
      <c r="B340" s="4">
        <f t="shared" si="90"/>
        <v>1.0275013614928937E-2</v>
      </c>
      <c r="C340" s="4">
        <f t="shared" si="91"/>
        <v>1.3059508916918152E-2</v>
      </c>
      <c r="D340" s="4">
        <f t="shared" si="81"/>
        <v>5.1375068074644684E-4</v>
      </c>
      <c r="E340" s="4">
        <f t="shared" si="82"/>
        <v>1.0275013614928937E-3</v>
      </c>
      <c r="F340" s="4">
        <f t="shared" si="83"/>
        <v>1.3059508916918152E-2</v>
      </c>
      <c r="G340" s="4">
        <f t="shared" si="83"/>
        <v>5.1375068074644684E-4</v>
      </c>
      <c r="H340" s="4">
        <f t="shared" si="84"/>
        <v>1.5671410700301782E-2</v>
      </c>
      <c r="I340" s="4">
        <f t="shared" si="85"/>
        <v>0.80027065505520933</v>
      </c>
      <c r="J340" s="4">
        <f t="shared" si="86"/>
        <v>6.5714998929361237E-2</v>
      </c>
      <c r="K340" s="4">
        <f t="shared" si="87"/>
        <v>0.13061864788448743</v>
      </c>
      <c r="L340" s="4">
        <f t="shared" si="88"/>
        <v>3.3956981309427917E-3</v>
      </c>
      <c r="N340" s="10">
        <f t="shared" ref="N340:N403" si="93">((1+B$9)^-A340)*I340</f>
        <v>0.21698171726103194</v>
      </c>
      <c r="O340" s="66">
        <v>4</v>
      </c>
      <c r="P340" s="10">
        <f t="shared" ref="P340:P403" si="94">((1+B$9)^-A340)*(I340*C340+J340*F340)*O340</f>
        <v>1.2265458431955473E-2</v>
      </c>
      <c r="Q340" s="10">
        <f t="shared" ref="Q340:Q403" si="95">((1+B$9)^-A340)*(I340*D340+J340*G340)*O340</f>
        <v>4.8251336701651441E-4</v>
      </c>
      <c r="R340" s="10">
        <f t="shared" ref="R340:R403" si="96">((1+B$9)^-A340)*J340*O340</f>
        <v>7.1270654383877044E-2</v>
      </c>
      <c r="S340" s="66"/>
      <c r="T340" s="5">
        <f t="shared" si="89"/>
        <v>26.74999999999989</v>
      </c>
      <c r="U340" s="12">
        <f t="shared" ref="U340:U403" si="97">U341-B$13*(B$15*U341+V$10-B341*(V341-U341)-(C341+D341)*(B$11-U341))</f>
        <v>23119.097494150428</v>
      </c>
      <c r="V340" s="12">
        <f t="shared" si="92"/>
        <v>487433.78148839343</v>
      </c>
    </row>
    <row r="341" spans="1:22">
      <c r="A341" s="5">
        <f t="shared" ref="A341:A404" si="98">A340+1/12</f>
        <v>26.833333333333222</v>
      </c>
      <c r="B341" s="4">
        <f t="shared" si="90"/>
        <v>1.0390896777807376E-2</v>
      </c>
      <c r="C341" s="4">
        <f t="shared" si="91"/>
        <v>1.3154059354732083E-2</v>
      </c>
      <c r="D341" s="4">
        <f t="shared" ref="D341:D404" si="99">0.05*B341</f>
        <v>5.1954483889036878E-4</v>
      </c>
      <c r="E341" s="4">
        <f t="shared" ref="E341:E404" si="100">0.1*B341</f>
        <v>1.0390896777807376E-3</v>
      </c>
      <c r="F341" s="4">
        <f t="shared" ref="F341:G404" si="101">C341</f>
        <v>1.3154059354732083E-2</v>
      </c>
      <c r="G341" s="4">
        <f t="shared" si="101"/>
        <v>5.1954483889036878E-4</v>
      </c>
      <c r="H341" s="4">
        <f t="shared" ref="H341:H404" si="102">1.2*C341</f>
        <v>1.5784871225678499E-2</v>
      </c>
      <c r="I341" s="4">
        <f t="shared" ref="I341:I404" si="103">I340-B$13*(I340*B340-J340*E340)-B$13*I340*(C340+D340)</f>
        <v>0.79868585914063372</v>
      </c>
      <c r="J341" s="4">
        <f t="shared" ref="J341:J404" si="104">J340-B$13*(J340*E340-I340*B340)-B$13*J340*F340-B$13*J340*G340</f>
        <v>6.632027416982135E-2</v>
      </c>
      <c r="K341" s="4">
        <f t="shared" ref="K341:K404" si="105">K340+B$13*I340*C340+B$13*J340*F340+B$13*L340*H340</f>
        <v>0.13156552811366734</v>
      </c>
      <c r="L341" s="4">
        <f t="shared" ref="L341:L404" si="106">L340+B$13*I340*D340+B$13*J340*G340-B$13*L340*H340</f>
        <v>3.4283385758783732E-3</v>
      </c>
      <c r="N341" s="10">
        <f t="shared" si="93"/>
        <v>0.21567334306440641</v>
      </c>
      <c r="O341" s="66">
        <v>2</v>
      </c>
      <c r="P341" s="10">
        <f t="shared" si="94"/>
        <v>6.1451070752025242E-3</v>
      </c>
      <c r="Q341" s="10">
        <f t="shared" si="95"/>
        <v>2.4271280668971767E-4</v>
      </c>
      <c r="R341" s="10">
        <f t="shared" si="96"/>
        <v>3.5817624863281293E-2</v>
      </c>
      <c r="S341" s="66"/>
      <c r="T341" s="5">
        <f t="shared" ref="T341:T404" si="107">T340+1/12</f>
        <v>26.833333333333222</v>
      </c>
      <c r="U341" s="12">
        <f t="shared" si="97"/>
        <v>22933.782625628341</v>
      </c>
      <c r="V341" s="12">
        <f t="shared" si="92"/>
        <v>483627.15782773227</v>
      </c>
    </row>
    <row r="342" spans="1:22">
      <c r="A342" s="5">
        <f t="shared" si="98"/>
        <v>26.916666666666554</v>
      </c>
      <c r="B342" s="4">
        <f t="shared" si="90"/>
        <v>1.0508139828171783E-2</v>
      </c>
      <c r="C342" s="4">
        <f t="shared" si="91"/>
        <v>1.3249321586721242E-2</v>
      </c>
      <c r="D342" s="4">
        <f t="shared" si="99"/>
        <v>5.2540699140858919E-4</v>
      </c>
      <c r="E342" s="4">
        <f t="shared" si="100"/>
        <v>1.0508139828171784E-3</v>
      </c>
      <c r="F342" s="4">
        <f t="shared" si="101"/>
        <v>1.3249321586721242E-2</v>
      </c>
      <c r="G342" s="4">
        <f t="shared" si="101"/>
        <v>5.2540699140858919E-4</v>
      </c>
      <c r="H342" s="4">
        <f t="shared" si="102"/>
        <v>1.5899185904065489E-2</v>
      </c>
      <c r="I342" s="4">
        <f t="shared" si="103"/>
        <v>0.79708993714723042</v>
      </c>
      <c r="J342" s="4">
        <f t="shared" si="104"/>
        <v>6.6930550205562739E-2</v>
      </c>
      <c r="K342" s="4">
        <f t="shared" si="105"/>
        <v>0.13251823293889325</v>
      </c>
      <c r="L342" s="4">
        <f t="shared" si="106"/>
        <v>3.4612797083143475E-3</v>
      </c>
      <c r="N342" s="10">
        <f t="shared" si="93"/>
        <v>0.21436902192441126</v>
      </c>
      <c r="O342" s="66">
        <v>4</v>
      </c>
      <c r="P342" s="10">
        <f t="shared" si="94"/>
        <v>1.2314942068661558E-2</v>
      </c>
      <c r="Q342" s="10">
        <f t="shared" si="95"/>
        <v>4.8835380885850553E-4</v>
      </c>
      <c r="R342" s="10">
        <f t="shared" si="96"/>
        <v>7.200109255314309E-2</v>
      </c>
      <c r="S342" s="66"/>
      <c r="T342" s="5">
        <f t="shared" si="107"/>
        <v>26.916666666666554</v>
      </c>
      <c r="U342" s="12">
        <f t="shared" si="97"/>
        <v>22745.518694685616</v>
      </c>
      <c r="V342" s="12">
        <f t="shared" si="92"/>
        <v>479803.96567787667</v>
      </c>
    </row>
    <row r="343" spans="1:22">
      <c r="A343" s="5">
        <f t="shared" si="98"/>
        <v>26.999999999999886</v>
      </c>
      <c r="B343" s="4">
        <f t="shared" si="90"/>
        <v>1.0626758724285012E-2</v>
      </c>
      <c r="C343" s="4">
        <f t="shared" si="91"/>
        <v>1.3345300971411287E-2</v>
      </c>
      <c r="D343" s="4">
        <f t="shared" si="99"/>
        <v>5.3133793621425065E-4</v>
      </c>
      <c r="E343" s="4">
        <f t="shared" si="100"/>
        <v>1.0626758724285013E-3</v>
      </c>
      <c r="F343" s="4">
        <f t="shared" si="101"/>
        <v>1.3345300971411287E-2</v>
      </c>
      <c r="G343" s="4">
        <f t="shared" si="101"/>
        <v>5.3133793621425065E-4</v>
      </c>
      <c r="H343" s="4">
        <f t="shared" si="102"/>
        <v>1.6014361165693543E-2</v>
      </c>
      <c r="I343" s="4">
        <f t="shared" si="103"/>
        <v>0.79548282893942213</v>
      </c>
      <c r="J343" s="4">
        <f t="shared" si="104"/>
        <v>6.7545854438435388E-2</v>
      </c>
      <c r="K343" s="4">
        <f t="shared" si="105"/>
        <v>0.13347679267422669</v>
      </c>
      <c r="L343" s="4">
        <f t="shared" si="106"/>
        <v>3.494523947916594E-3</v>
      </c>
      <c r="N343" s="10">
        <f t="shared" si="93"/>
        <v>0.21306873852497882</v>
      </c>
      <c r="O343" s="66">
        <v>2</v>
      </c>
      <c r="P343" s="10">
        <f t="shared" si="94"/>
        <v>6.1698204196024096E-3</v>
      </c>
      <c r="Q343" s="10">
        <f t="shared" si="95"/>
        <v>2.4564898578060358E-4</v>
      </c>
      <c r="R343" s="10">
        <f t="shared" si="96"/>
        <v>3.6184087133539489E-2</v>
      </c>
      <c r="S343" s="66"/>
      <c r="T343" s="5">
        <f t="shared" si="107"/>
        <v>26.999999999999886</v>
      </c>
      <c r="U343" s="12">
        <f t="shared" si="97"/>
        <v>22554.313319723085</v>
      </c>
      <c r="V343" s="12">
        <f t="shared" si="92"/>
        <v>475964.07490094035</v>
      </c>
    </row>
    <row r="344" spans="1:22">
      <c r="A344" s="5">
        <f t="shared" si="98"/>
        <v>27.083333333333218</v>
      </c>
      <c r="B344" s="4">
        <f t="shared" si="90"/>
        <v>1.0746769611679962E-2</v>
      </c>
      <c r="C344" s="4">
        <f t="shared" si="91"/>
        <v>1.3442002907667937E-2</v>
      </c>
      <c r="D344" s="4">
        <f t="shared" si="99"/>
        <v>5.373384805839981E-4</v>
      </c>
      <c r="E344" s="4">
        <f t="shared" si="100"/>
        <v>1.0746769611679962E-3</v>
      </c>
      <c r="F344" s="4">
        <f t="shared" si="101"/>
        <v>1.3442002907667937E-2</v>
      </c>
      <c r="G344" s="4">
        <f t="shared" si="101"/>
        <v>5.373384805839981E-4</v>
      </c>
      <c r="H344" s="4">
        <f t="shared" si="102"/>
        <v>1.6130403489201525E-2</v>
      </c>
      <c r="I344" s="4">
        <f t="shared" si="103"/>
        <v>0.79386447454633335</v>
      </c>
      <c r="J344" s="4">
        <f t="shared" si="104"/>
        <v>6.8166214047677684E-2</v>
      </c>
      <c r="K344" s="4">
        <f t="shared" si="105"/>
        <v>0.13444123768216357</v>
      </c>
      <c r="L344" s="4">
        <f t="shared" si="106"/>
        <v>3.5280737238262264E-3</v>
      </c>
      <c r="N344" s="10">
        <f t="shared" si="93"/>
        <v>0.21177247773298927</v>
      </c>
      <c r="O344" s="66">
        <v>4</v>
      </c>
      <c r="P344" s="10">
        <f t="shared" si="94"/>
        <v>1.236430910121979E-2</v>
      </c>
      <c r="Q344" s="10">
        <f t="shared" si="95"/>
        <v>4.9425811849292199E-4</v>
      </c>
      <c r="R344" s="10">
        <f t="shared" si="96"/>
        <v>7.2736485933841702E-2</v>
      </c>
      <c r="S344" s="66"/>
      <c r="T344" s="5">
        <f t="shared" si="107"/>
        <v>27.083333333333218</v>
      </c>
      <c r="U344" s="12">
        <f t="shared" si="97"/>
        <v>22360.175195756849</v>
      </c>
      <c r="V344" s="12">
        <f t="shared" si="92"/>
        <v>472107.35356305836</v>
      </c>
    </row>
    <row r="345" spans="1:22">
      <c r="A345" s="5">
        <f t="shared" si="98"/>
        <v>27.166666666666551</v>
      </c>
      <c r="B345" s="4">
        <f t="shared" si="90"/>
        <v>1.0868188825357129E-2</v>
      </c>
      <c r="C345" s="4">
        <f t="shared" si="91"/>
        <v>1.3539432835000592E-2</v>
      </c>
      <c r="D345" s="4">
        <f t="shared" si="99"/>
        <v>5.4340944126785647E-4</v>
      </c>
      <c r="E345" s="4">
        <f t="shared" si="100"/>
        <v>1.0868188825357129E-3</v>
      </c>
      <c r="F345" s="4">
        <f t="shared" si="101"/>
        <v>1.3539432835000592E-2</v>
      </c>
      <c r="G345" s="4">
        <f t="shared" si="101"/>
        <v>5.4340944126785647E-4</v>
      </c>
      <c r="H345" s="4">
        <f t="shared" si="102"/>
        <v>1.624731940200071E-2</v>
      </c>
      <c r="I345" s="4">
        <f t="shared" si="103"/>
        <v>0.79223481417493602</v>
      </c>
      <c r="J345" s="4">
        <f t="shared" si="104"/>
        <v>6.879165597882457E-2</v>
      </c>
      <c r="K345" s="4">
        <f t="shared" si="105"/>
        <v>0.13541159837177061</v>
      </c>
      <c r="L345" s="4">
        <f t="shared" si="106"/>
        <v>3.5619314744696363E-3</v>
      </c>
      <c r="N345" s="10">
        <f t="shared" si="93"/>
        <v>0.21048022459939966</v>
      </c>
      <c r="O345" s="66">
        <v>2</v>
      </c>
      <c r="P345" s="10">
        <f t="shared" si="94"/>
        <v>6.1944727402598859E-3</v>
      </c>
      <c r="Q345" s="10">
        <f t="shared" si="95"/>
        <v>2.4861713276732287E-4</v>
      </c>
      <c r="R345" s="10">
        <f t="shared" si="96"/>
        <v>3.6553009137996327E-2</v>
      </c>
      <c r="S345" s="66"/>
      <c r="T345" s="5">
        <f t="shared" si="107"/>
        <v>27.166666666666551</v>
      </c>
      <c r="U345" s="12">
        <f t="shared" si="97"/>
        <v>22163.114129210509</v>
      </c>
      <c r="V345" s="12">
        <f t="shared" si="92"/>
        <v>468233.66790417436</v>
      </c>
    </row>
    <row r="346" spans="1:22">
      <c r="A346" s="5">
        <f t="shared" si="98"/>
        <v>27.249999999999883</v>
      </c>
      <c r="B346" s="4">
        <f t="shared" si="90"/>
        <v>1.0991032892008054E-2</v>
      </c>
      <c r="C346" s="4">
        <f t="shared" si="91"/>
        <v>1.363759623386834E-2</v>
      </c>
      <c r="D346" s="4">
        <f t="shared" si="99"/>
        <v>5.4955164460040269E-4</v>
      </c>
      <c r="E346" s="4">
        <f t="shared" si="100"/>
        <v>1.0991032892008054E-3</v>
      </c>
      <c r="F346" s="4">
        <f t="shared" si="101"/>
        <v>1.363759623386834E-2</v>
      </c>
      <c r="G346" s="4">
        <f t="shared" si="101"/>
        <v>5.4955164460040269E-4</v>
      </c>
      <c r="H346" s="4">
        <f t="shared" si="102"/>
        <v>1.6365115480642008E-2</v>
      </c>
      <c r="I346" s="4">
        <f t="shared" si="103"/>
        <v>0.79059378822347004</v>
      </c>
      <c r="J346" s="4">
        <f t="shared" si="104"/>
        <v>6.9422206932384822E-2</v>
      </c>
      <c r="K346" s="4">
        <f t="shared" si="105"/>
        <v>0.13638790519678379</v>
      </c>
      <c r="L346" s="4">
        <f t="shared" si="106"/>
        <v>3.5960996473620816E-3</v>
      </c>
      <c r="N346" s="10">
        <f t="shared" si="93"/>
        <v>0.20919196436038553</v>
      </c>
      <c r="O346" s="66">
        <v>4</v>
      </c>
      <c r="P346" s="10">
        <f t="shared" si="94"/>
        <v>1.241354858947028E-2</v>
      </c>
      <c r="Q346" s="10">
        <f t="shared" si="95"/>
        <v>5.0022642742043964E-4</v>
      </c>
      <c r="R346" s="10">
        <f t="shared" si="96"/>
        <v>7.3476761668224963E-2</v>
      </c>
      <c r="S346" s="66"/>
      <c r="T346" s="5">
        <f t="shared" si="107"/>
        <v>27.249999999999883</v>
      </c>
      <c r="U346" s="12">
        <f t="shared" si="97"/>
        <v>21963.141073699968</v>
      </c>
      <c r="V346" s="12">
        <f t="shared" si="92"/>
        <v>464342.88230726647</v>
      </c>
    </row>
    <row r="347" spans="1:22">
      <c r="A347" s="5">
        <f t="shared" si="98"/>
        <v>27.333333333333215</v>
      </c>
      <c r="B347" s="4">
        <f t="shared" si="90"/>
        <v>1.1115318532264794E-2</v>
      </c>
      <c r="C347" s="4">
        <f t="shared" si="91"/>
        <v>1.3736498625988278E-2</v>
      </c>
      <c r="D347" s="4">
        <f t="shared" si="99"/>
        <v>5.5576592661323975E-4</v>
      </c>
      <c r="E347" s="4">
        <f t="shared" si="100"/>
        <v>1.1115318532264795E-3</v>
      </c>
      <c r="F347" s="4">
        <f t="shared" si="101"/>
        <v>1.3736498625988278E-2</v>
      </c>
      <c r="G347" s="4">
        <f t="shared" si="101"/>
        <v>5.5576592661323975E-4</v>
      </c>
      <c r="H347" s="4">
        <f t="shared" si="102"/>
        <v>1.6483798351185932E-2</v>
      </c>
      <c r="I347" s="4">
        <f t="shared" si="103"/>
        <v>0.78894133729514315</v>
      </c>
      <c r="J347" s="4">
        <f t="shared" si="104"/>
        <v>7.0057893352284753E-2</v>
      </c>
      <c r="K347" s="4">
        <f t="shared" si="105"/>
        <v>0.13737018865366821</v>
      </c>
      <c r="L347" s="4">
        <f t="shared" si="106"/>
        <v>3.6305806989047132E-3</v>
      </c>
      <c r="N347" s="10">
        <f t="shared" si="93"/>
        <v>0.20790768243849386</v>
      </c>
      <c r="O347" s="66">
        <v>2</v>
      </c>
      <c r="P347" s="10">
        <f t="shared" si="94"/>
        <v>6.219058513456702E-3</v>
      </c>
      <c r="Q347" s="10">
        <f t="shared" si="95"/>
        <v>2.5161730885730376E-4</v>
      </c>
      <c r="R347" s="10">
        <f t="shared" si="96"/>
        <v>3.6924353066184197E-2</v>
      </c>
      <c r="S347" s="66"/>
      <c r="T347" s="5">
        <f t="shared" si="107"/>
        <v>27.333333333333215</v>
      </c>
      <c r="U347" s="12">
        <f t="shared" si="97"/>
        <v>21760.268166840269</v>
      </c>
      <c r="V347" s="12">
        <f t="shared" si="92"/>
        <v>460434.8592669997</v>
      </c>
    </row>
    <row r="348" spans="1:22">
      <c r="A348" s="5">
        <f t="shared" si="98"/>
        <v>27.416666666666547</v>
      </c>
      <c r="B348" s="4">
        <f t="shared" si="90"/>
        <v>1.1241062662975802E-2</v>
      </c>
      <c r="C348" s="4">
        <f t="shared" si="91"/>
        <v>1.3836145574646016E-2</v>
      </c>
      <c r="D348" s="4">
        <f t="shared" si="99"/>
        <v>5.6205313314879014E-4</v>
      </c>
      <c r="E348" s="4">
        <f t="shared" si="100"/>
        <v>1.1241062662975803E-3</v>
      </c>
      <c r="F348" s="4">
        <f t="shared" si="101"/>
        <v>1.3836145574646016E-2</v>
      </c>
      <c r="G348" s="4">
        <f t="shared" si="101"/>
        <v>5.6205313314879014E-4</v>
      </c>
      <c r="H348" s="4">
        <f t="shared" si="102"/>
        <v>1.6603374689575217E-2</v>
      </c>
      <c r="I348" s="4">
        <f t="shared" si="103"/>
        <v>0.78727740221211151</v>
      </c>
      <c r="J348" s="4">
        <f t="shared" si="104"/>
        <v>7.0698741414075311E-2</v>
      </c>
      <c r="K348" s="4">
        <f t="shared" si="105"/>
        <v>0.13835847927963921</v>
      </c>
      <c r="L348" s="4">
        <f t="shared" si="106"/>
        <v>3.6653770941749114E-3</v>
      </c>
      <c r="N348" s="10">
        <f t="shared" si="93"/>
        <v>0.20662736444380739</v>
      </c>
      <c r="O348" s="66">
        <v>4</v>
      </c>
      <c r="P348" s="10">
        <f t="shared" si="94"/>
        <v>1.2462649378092607E-2</v>
      </c>
      <c r="Q348" s="10">
        <f t="shared" si="95"/>
        <v>5.0625884878859983E-4</v>
      </c>
      <c r="R348" s="10">
        <f t="shared" si="96"/>
        <v>7.4221841332358277E-2</v>
      </c>
      <c r="S348" s="66"/>
      <c r="T348" s="5">
        <f t="shared" si="107"/>
        <v>27.416666666666547</v>
      </c>
      <c r="U348" s="12">
        <f t="shared" si="97"/>
        <v>21554.508768104912</v>
      </c>
      <c r="V348" s="12">
        <f t="shared" si="92"/>
        <v>456509.45935779321</v>
      </c>
    </row>
    <row r="349" spans="1:22">
      <c r="A349" s="5">
        <f t="shared" si="98"/>
        <v>27.499999999999879</v>
      </c>
      <c r="B349" s="4">
        <f t="shared" si="90"/>
        <v>1.1368282399508614E-2</v>
      </c>
      <c r="C349" s="4">
        <f t="shared" si="91"/>
        <v>1.3936542685008711E-2</v>
      </c>
      <c r="D349" s="4">
        <f t="shared" si="99"/>
        <v>5.6841411997543068E-4</v>
      </c>
      <c r="E349" s="4">
        <f t="shared" si="100"/>
        <v>1.1368282399508614E-3</v>
      </c>
      <c r="F349" s="4">
        <f t="shared" si="101"/>
        <v>1.3936542685008711E-2</v>
      </c>
      <c r="G349" s="4">
        <f t="shared" si="101"/>
        <v>5.6841411997543068E-4</v>
      </c>
      <c r="H349" s="4">
        <f t="shared" si="102"/>
        <v>1.6723851222010453E-2</v>
      </c>
      <c r="I349" s="4">
        <f t="shared" si="103"/>
        <v>0.78560192402974705</v>
      </c>
      <c r="J349" s="4">
        <f t="shared" si="104"/>
        <v>7.1344777012900096E-2</v>
      </c>
      <c r="K349" s="4">
        <f t="shared" si="105"/>
        <v>0.13935280765064409</v>
      </c>
      <c r="L349" s="4">
        <f t="shared" si="106"/>
        <v>3.7004913067098149E-3</v>
      </c>
      <c r="N349" s="10">
        <f t="shared" si="93"/>
        <v>0.20535099617512001</v>
      </c>
      <c r="O349" s="66">
        <v>2</v>
      </c>
      <c r="P349" s="10">
        <f t="shared" si="94"/>
        <v>6.2435721072891482E-3</v>
      </c>
      <c r="Q349" s="10">
        <f t="shared" si="95"/>
        <v>2.5464956589882451E-4</v>
      </c>
      <c r="R349" s="10">
        <f t="shared" si="96"/>
        <v>3.7298078284584452E-2</v>
      </c>
      <c r="S349" s="66"/>
      <c r="T349" s="5">
        <f t="shared" si="107"/>
        <v>27.499999999999879</v>
      </c>
      <c r="U349" s="12">
        <f t="shared" si="97"/>
        <v>21345.877497768979</v>
      </c>
      <c r="V349" s="12">
        <f t="shared" si="92"/>
        <v>452566.5412012898</v>
      </c>
    </row>
    <row r="350" spans="1:22">
      <c r="A350" s="5">
        <f t="shared" si="98"/>
        <v>27.583333333333211</v>
      </c>
      <c r="B350" s="4">
        <f t="shared" si="90"/>
        <v>1.1496995058079273E-2</v>
      </c>
      <c r="C350" s="4">
        <f t="shared" si="91"/>
        <v>1.4037695604440284E-2</v>
      </c>
      <c r="D350" s="4">
        <f t="shared" si="99"/>
        <v>5.7484975290396367E-4</v>
      </c>
      <c r="E350" s="4">
        <f t="shared" si="100"/>
        <v>1.1496995058079273E-3</v>
      </c>
      <c r="F350" s="4">
        <f t="shared" si="101"/>
        <v>1.4037695604440284E-2</v>
      </c>
      <c r="G350" s="4">
        <f t="shared" si="101"/>
        <v>5.7484975290396367E-4</v>
      </c>
      <c r="H350" s="4">
        <f t="shared" si="102"/>
        <v>1.684523472532834E-2</v>
      </c>
      <c r="I350" s="4">
        <f t="shared" si="103"/>
        <v>0.78391484405119294</v>
      </c>
      <c r="J350" s="4">
        <f t="shared" si="104"/>
        <v>7.199602575122116E-2</v>
      </c>
      <c r="K350" s="4">
        <f t="shared" si="105"/>
        <v>0.1403532043793041</v>
      </c>
      <c r="L350" s="4">
        <f t="shared" si="106"/>
        <v>3.735925818282919E-3</v>
      </c>
      <c r="N350" s="10">
        <f t="shared" si="93"/>
        <v>0.20407856362112384</v>
      </c>
      <c r="O350" s="66">
        <v>4</v>
      </c>
      <c r="P350" s="10">
        <f t="shared" si="94"/>
        <v>1.2511600094193841E-2</v>
      </c>
      <c r="Q350" s="10">
        <f t="shared" si="95"/>
        <v>5.1235547665711843E-4</v>
      </c>
      <c r="R350" s="10">
        <f t="shared" si="96"/>
        <v>7.4971640775712389E-2</v>
      </c>
      <c r="S350" s="66"/>
      <c r="T350" s="5">
        <f t="shared" si="107"/>
        <v>27.583333333333211</v>
      </c>
      <c r="U350" s="12">
        <f t="shared" si="97"/>
        <v>21134.390276968566</v>
      </c>
      <c r="V350" s="12">
        <f t="shared" si="92"/>
        <v>448605.96143321489</v>
      </c>
    </row>
    <row r="351" spans="1:22">
      <c r="A351" s="5">
        <f t="shared" si="98"/>
        <v>27.666666666666544</v>
      </c>
      <c r="B351" s="4">
        <f t="shared" si="90"/>
        <v>1.162721815810947E-2</v>
      </c>
      <c r="C351" s="4">
        <f t="shared" si="91"/>
        <v>1.413961002281911E-2</v>
      </c>
      <c r="D351" s="4">
        <f t="shared" si="99"/>
        <v>5.8136090790547352E-4</v>
      </c>
      <c r="E351" s="4">
        <f t="shared" si="100"/>
        <v>1.162721815810947E-3</v>
      </c>
      <c r="F351" s="4">
        <f t="shared" si="101"/>
        <v>1.413961002281911E-2</v>
      </c>
      <c r="G351" s="4">
        <f t="shared" si="101"/>
        <v>5.8136090790547352E-4</v>
      </c>
      <c r="H351" s="4">
        <f t="shared" si="102"/>
        <v>1.696753202738293E-2</v>
      </c>
      <c r="I351" s="4">
        <f t="shared" si="103"/>
        <v>0.78221610384221141</v>
      </c>
      <c r="J351" s="4">
        <f t="shared" si="104"/>
        <v>7.2652512926300081E-2</v>
      </c>
      <c r="K351" s="4">
        <f t="shared" si="105"/>
        <v>0.14135970011281604</v>
      </c>
      <c r="L351" s="4">
        <f t="shared" si="106"/>
        <v>3.7716831186736144E-3</v>
      </c>
      <c r="N351" s="10">
        <f t="shared" si="93"/>
        <v>0.20281005296160667</v>
      </c>
      <c r="O351" s="66">
        <v>2</v>
      </c>
      <c r="P351" s="10">
        <f t="shared" si="94"/>
        <v>6.2680077804711607E-3</v>
      </c>
      <c r="Q351" s="10">
        <f t="shared" si="95"/>
        <v>2.5771394600929468E-4</v>
      </c>
      <c r="R351" s="10">
        <f t="shared" si="96"/>
        <v>3.7674141255851737E-2</v>
      </c>
      <c r="S351" s="66"/>
      <c r="T351" s="5">
        <f t="shared" si="107"/>
        <v>27.666666666666544</v>
      </c>
      <c r="U351" s="12">
        <f t="shared" si="97"/>
        <v>20920.064368909876</v>
      </c>
      <c r="V351" s="12">
        <f t="shared" si="92"/>
        <v>444627.57466961269</v>
      </c>
    </row>
    <row r="352" spans="1:22">
      <c r="A352" s="5">
        <f t="shared" si="98"/>
        <v>27.749999999999876</v>
      </c>
      <c r="B352" s="4">
        <f t="shared" si="90"/>
        <v>1.1758969424611125E-2</v>
      </c>
      <c r="C352" s="4">
        <f t="shared" si="91"/>
        <v>1.4242291672858108E-2</v>
      </c>
      <c r="D352" s="4">
        <f t="shared" si="99"/>
        <v>5.8794847123055634E-4</v>
      </c>
      <c r="E352" s="4">
        <f t="shared" si="100"/>
        <v>1.1758969424611127E-3</v>
      </c>
      <c r="F352" s="4">
        <f t="shared" si="101"/>
        <v>1.4242291672858108E-2</v>
      </c>
      <c r="G352" s="4">
        <f t="shared" si="101"/>
        <v>5.8794847123055634E-4</v>
      </c>
      <c r="H352" s="4">
        <f t="shared" si="102"/>
        <v>1.7090750007429729E-2</v>
      </c>
      <c r="I352" s="4">
        <f t="shared" si="103"/>
        <v>0.78050564524632704</v>
      </c>
      <c r="J352" s="4">
        <f t="shared" si="104"/>
        <v>7.3314263517431297E-2</v>
      </c>
      <c r="K352" s="4">
        <f t="shared" si="105"/>
        <v>0.14237232553081328</v>
      </c>
      <c r="L352" s="4">
        <f t="shared" si="106"/>
        <v>3.807765705429548E-3</v>
      </c>
      <c r="N352" s="10">
        <f t="shared" si="93"/>
        <v>0.20154545056866016</v>
      </c>
      <c r="O352" s="66">
        <v>4</v>
      </c>
      <c r="P352" s="10">
        <f t="shared" si="94"/>
        <v>1.2560389144933948E-2</v>
      </c>
      <c r="Q352" s="10">
        <f t="shared" si="95"/>
        <v>5.1851638524566274E-4</v>
      </c>
      <c r="R352" s="10">
        <f t="shared" si="96"/>
        <v>7.5726069958491224E-2</v>
      </c>
      <c r="S352" s="66"/>
      <c r="T352" s="5">
        <f t="shared" si="107"/>
        <v>27.749999999999876</v>
      </c>
      <c r="U352" s="12">
        <f t="shared" si="97"/>
        <v>20702.918421262577</v>
      </c>
      <c r="V352" s="12">
        <f t="shared" si="92"/>
        <v>440631.23347244563</v>
      </c>
    </row>
    <row r="353" spans="1:22">
      <c r="A353" s="5">
        <f t="shared" si="98"/>
        <v>27.833333333333208</v>
      </c>
      <c r="B353" s="4">
        <f t="shared" si="90"/>
        <v>1.1892266790598897E-2</v>
      </c>
      <c r="C353" s="4">
        <f t="shared" si="91"/>
        <v>1.4345746330427178E-2</v>
      </c>
      <c r="D353" s="4">
        <f t="shared" si="99"/>
        <v>5.9461333952994487E-4</v>
      </c>
      <c r="E353" s="4">
        <f t="shared" si="100"/>
        <v>1.1892266790598897E-3</v>
      </c>
      <c r="F353" s="4">
        <f t="shared" si="101"/>
        <v>1.4345746330427178E-2</v>
      </c>
      <c r="G353" s="4">
        <f t="shared" si="101"/>
        <v>5.9461333952994487E-4</v>
      </c>
      <c r="H353" s="4">
        <f t="shared" si="102"/>
        <v>1.7214895596512615E-2</v>
      </c>
      <c r="I353" s="4">
        <f t="shared" si="103"/>
        <v>0.77878341040026877</v>
      </c>
      <c r="J353" s="4">
        <f t="shared" si="104"/>
        <v>7.3981302172925339E-2</v>
      </c>
      <c r="K353" s="4">
        <f t="shared" si="105"/>
        <v>0.14339111134318536</v>
      </c>
      <c r="L353" s="4">
        <f t="shared" si="106"/>
        <v>3.8441760836216738E-3</v>
      </c>
      <c r="N353" s="10">
        <f t="shared" si="93"/>
        <v>0.20028474300789847</v>
      </c>
      <c r="O353" s="66">
        <v>2</v>
      </c>
      <c r="P353" s="10">
        <f t="shared" si="94"/>
        <v>6.2923596811570595E-3</v>
      </c>
      <c r="Q353" s="10">
        <f t="shared" si="95"/>
        <v>2.6081048119473932E-4</v>
      </c>
      <c r="R353" s="10">
        <f t="shared" si="96"/>
        <v>3.8052495456929215E-2</v>
      </c>
      <c r="S353" s="66"/>
      <c r="T353" s="5">
        <f t="shared" si="107"/>
        <v>27.833333333333208</v>
      </c>
      <c r="U353" s="12">
        <f t="shared" si="97"/>
        <v>20482.972509773052</v>
      </c>
      <c r="V353" s="12">
        <f t="shared" si="92"/>
        <v>436616.78831454361</v>
      </c>
    </row>
    <row r="354" spans="1:22">
      <c r="A354" s="5">
        <f t="shared" si="98"/>
        <v>27.91666666666654</v>
      </c>
      <c r="B354" s="4">
        <f t="shared" si="90"/>
        <v>1.2027128399531174E-2</v>
      </c>
      <c r="C354" s="4">
        <f t="shared" si="91"/>
        <v>1.4449979814878076E-2</v>
      </c>
      <c r="D354" s="4">
        <f t="shared" si="99"/>
        <v>6.0135641997655868E-4</v>
      </c>
      <c r="E354" s="4">
        <f t="shared" si="100"/>
        <v>1.2027128399531174E-3</v>
      </c>
      <c r="F354" s="4">
        <f t="shared" si="101"/>
        <v>1.4449979814878076E-2</v>
      </c>
      <c r="G354" s="4">
        <f t="shared" si="101"/>
        <v>6.0135641997655868E-4</v>
      </c>
      <c r="H354" s="4">
        <f t="shared" si="102"/>
        <v>1.7339975777853692E-2</v>
      </c>
      <c r="I354" s="4">
        <f t="shared" si="103"/>
        <v>0.77704934174971441</v>
      </c>
      <c r="J354" s="4">
        <f t="shared" si="104"/>
        <v>7.4653653196838796E-2</v>
      </c>
      <c r="K354" s="4">
        <f t="shared" si="105"/>
        <v>0.1444160882878561</v>
      </c>
      <c r="L354" s="4">
        <f t="shared" si="106"/>
        <v>3.8809167655918641E-3</v>
      </c>
      <c r="N354" s="10">
        <f t="shared" si="93"/>
        <v>0.19902791703968728</v>
      </c>
      <c r="O354" s="66">
        <v>4</v>
      </c>
      <c r="P354" s="10">
        <f t="shared" si="94"/>
        <v>1.2609004715192234E-2</v>
      </c>
      <c r="Q354" s="10">
        <f t="shared" si="95"/>
        <v>5.2474162816396486E-4</v>
      </c>
      <c r="R354" s="10">
        <f t="shared" si="96"/>
        <v>7.6485032786789448E-2</v>
      </c>
      <c r="S354" s="66"/>
      <c r="T354" s="5">
        <f t="shared" si="107"/>
        <v>27.91666666666654</v>
      </c>
      <c r="U354" s="12">
        <f t="shared" si="97"/>
        <v>20260.248183134354</v>
      </c>
      <c r="V354" s="12">
        <f t="shared" si="92"/>
        <v>432584.08754388976</v>
      </c>
    </row>
    <row r="355" spans="1:22">
      <c r="A355" s="5">
        <f t="shared" si="98"/>
        <v>27.999999999999872</v>
      </c>
      <c r="B355" s="4">
        <f t="shared" si="90"/>
        <v>1.2163572607779598E-2</v>
      </c>
      <c r="C355" s="4">
        <f t="shared" si="91"/>
        <v>1.4554997989371774E-2</v>
      </c>
      <c r="D355" s="4">
        <f t="shared" si="99"/>
        <v>6.0817863038897997E-4</v>
      </c>
      <c r="E355" s="4">
        <f t="shared" si="100"/>
        <v>1.2163572607779599E-3</v>
      </c>
      <c r="F355" s="4">
        <f t="shared" si="101"/>
        <v>1.4554997989371774E-2</v>
      </c>
      <c r="G355" s="4">
        <f t="shared" si="101"/>
        <v>6.0817863038897997E-4</v>
      </c>
      <c r="H355" s="4">
        <f t="shared" si="102"/>
        <v>1.7465997587246127E-2</v>
      </c>
      <c r="I355" s="4">
        <f t="shared" si="103"/>
        <v>0.77530338206533989</v>
      </c>
      <c r="J355" s="4">
        <f t="shared" si="104"/>
        <v>7.5331340535448793E-2</v>
      </c>
      <c r="K355" s="4">
        <f t="shared" si="105"/>
        <v>0.14544728712851945</v>
      </c>
      <c r="L355" s="4">
        <f t="shared" si="106"/>
        <v>3.9179902706929599E-3</v>
      </c>
      <c r="N355" s="10">
        <f t="shared" si="93"/>
        <v>0.19777495962038236</v>
      </c>
      <c r="O355" s="66">
        <v>2</v>
      </c>
      <c r="P355" s="10">
        <f t="shared" si="94"/>
        <v>6.3166218457856322E-3</v>
      </c>
      <c r="Q355" s="10">
        <f t="shared" si="95"/>
        <v>2.63939192960399E-4</v>
      </c>
      <c r="R355" s="10">
        <f t="shared" si="96"/>
        <v>3.843309129610388E-2</v>
      </c>
      <c r="S355" s="66"/>
      <c r="T355" s="5">
        <f t="shared" si="107"/>
        <v>27.999999999999872</v>
      </c>
      <c r="U355" s="12">
        <f t="shared" si="97"/>
        <v>20034.76850915089</v>
      </c>
      <c r="V355" s="12">
        <f t="shared" si="92"/>
        <v>428532.97734722757</v>
      </c>
    </row>
    <row r="356" spans="1:22">
      <c r="A356" s="5">
        <f t="shared" si="98"/>
        <v>28.083333333333204</v>
      </c>
      <c r="B356" s="4">
        <f t="shared" si="90"/>
        <v>1.2301617987127592E-2</v>
      </c>
      <c r="C356" s="4">
        <f t="shared" si="91"/>
        <v>1.4660806761208288E-2</v>
      </c>
      <c r="D356" s="4">
        <f t="shared" si="99"/>
        <v>6.1508089935637968E-4</v>
      </c>
      <c r="E356" s="4">
        <f t="shared" si="100"/>
        <v>1.2301617987127594E-3</v>
      </c>
      <c r="F356" s="4">
        <f t="shared" si="101"/>
        <v>1.4660806761208288E-2</v>
      </c>
      <c r="G356" s="4">
        <f t="shared" si="101"/>
        <v>6.1508089935637968E-4</v>
      </c>
      <c r="H356" s="4">
        <f t="shared" si="102"/>
        <v>1.7592968113449944E-2</v>
      </c>
      <c r="I356" s="4">
        <f t="shared" si="103"/>
        <v>0.77354547445917832</v>
      </c>
      <c r="J356" s="4">
        <f t="shared" si="104"/>
        <v>7.6014387763468957E-2</v>
      </c>
      <c r="K356" s="4">
        <f t="shared" si="105"/>
        <v>0.14648473865233269</v>
      </c>
      <c r="L356" s="4">
        <f t="shared" si="106"/>
        <v>3.9553991250211159E-3</v>
      </c>
      <c r="N356" s="10">
        <f t="shared" si="93"/>
        <v>0.19652585790357821</v>
      </c>
      <c r="O356" s="66">
        <v>4</v>
      </c>
      <c r="P356" s="10">
        <f t="shared" si="94"/>
        <v>1.2657434765278138E-2</v>
      </c>
      <c r="Q356" s="10">
        <f t="shared" si="95"/>
        <v>5.3103123762408442E-4</v>
      </c>
      <c r="R356" s="10">
        <f t="shared" si="96"/>
        <v>7.7248426945683582E-2</v>
      </c>
      <c r="S356" s="66"/>
      <c r="T356" s="5">
        <f t="shared" si="107"/>
        <v>28.083333333333204</v>
      </c>
      <c r="U356" s="12">
        <f t="shared" si="97"/>
        <v>19806.558122237086</v>
      </c>
      <c r="V356" s="12">
        <f t="shared" si="92"/>
        <v>424463.30171297555</v>
      </c>
    </row>
    <row r="357" spans="1:22">
      <c r="A357" s="5">
        <f t="shared" si="98"/>
        <v>28.166666666666536</v>
      </c>
      <c r="B357" s="4">
        <f t="shared" si="90"/>
        <v>1.2441283327298306E-2</v>
      </c>
      <c r="C357" s="4">
        <f t="shared" si="91"/>
        <v>1.4767412082158943E-2</v>
      </c>
      <c r="D357" s="4">
        <f t="shared" si="99"/>
        <v>6.2206416636491531E-4</v>
      </c>
      <c r="E357" s="4">
        <f t="shared" si="100"/>
        <v>1.2441283327298306E-3</v>
      </c>
      <c r="F357" s="4">
        <f t="shared" si="101"/>
        <v>1.4767412082158943E-2</v>
      </c>
      <c r="G357" s="4">
        <f t="shared" si="101"/>
        <v>6.2206416636491531E-4</v>
      </c>
      <c r="H357" s="4">
        <f t="shared" si="102"/>
        <v>1.7720894498590732E-2</v>
      </c>
      <c r="I357" s="4">
        <f t="shared" si="103"/>
        <v>0.77177556240128953</v>
      </c>
      <c r="J357" s="4">
        <f t="shared" si="104"/>
        <v>7.6702818070004605E-2</v>
      </c>
      <c r="K357" s="4">
        <f t="shared" si="105"/>
        <v>0.14752847366756666</v>
      </c>
      <c r="L357" s="4">
        <f t="shared" si="106"/>
        <v>3.9931458611403266E-3</v>
      </c>
      <c r="N357" s="10">
        <f t="shared" si="93"/>
        <v>0.19528059924136609</v>
      </c>
      <c r="O357" s="66">
        <v>2</v>
      </c>
      <c r="P357" s="10">
        <f t="shared" si="94"/>
        <v>6.3407881979474518E-3</v>
      </c>
      <c r="Q357" s="10">
        <f t="shared" si="95"/>
        <v>2.6710009191238204E-4</v>
      </c>
      <c r="R357" s="10">
        <f t="shared" si="96"/>
        <v>3.8815876029056694E-2</v>
      </c>
      <c r="S357" s="66"/>
      <c r="T357" s="5">
        <f t="shared" si="107"/>
        <v>28.166666666666536</v>
      </c>
      <c r="U357" s="12">
        <f t="shared" si="97"/>
        <v>19575.643272290588</v>
      </c>
      <c r="V357" s="12">
        <f t="shared" si="92"/>
        <v>420374.90239343396</v>
      </c>
    </row>
    <row r="358" spans="1:22">
      <c r="A358" s="5">
        <f t="shared" si="98"/>
        <v>28.249999999999869</v>
      </c>
      <c r="B358" s="4">
        <f t="shared" si="90"/>
        <v>1.2582587638511934E-2</v>
      </c>
      <c r="C358" s="4">
        <f t="shared" si="91"/>
        <v>1.4874819948801146E-2</v>
      </c>
      <c r="D358" s="4">
        <f t="shared" si="99"/>
        <v>6.291293819255967E-4</v>
      </c>
      <c r="E358" s="4">
        <f t="shared" si="100"/>
        <v>1.2582587638511934E-3</v>
      </c>
      <c r="F358" s="4">
        <f t="shared" si="101"/>
        <v>1.4874819948801146E-2</v>
      </c>
      <c r="G358" s="4">
        <f t="shared" si="101"/>
        <v>6.291293819255967E-4</v>
      </c>
      <c r="H358" s="4">
        <f t="shared" si="102"/>
        <v>1.7849783938561375E-2</v>
      </c>
      <c r="I358" s="4">
        <f t="shared" si="103"/>
        <v>0.76999358973674581</v>
      </c>
      <c r="J358" s="4">
        <f t="shared" si="104"/>
        <v>7.7396654244244203E-2</v>
      </c>
      <c r="K358" s="4">
        <f t="shared" si="105"/>
        <v>0.1485785230012121</v>
      </c>
      <c r="L358" s="4">
        <f t="shared" si="106"/>
        <v>4.0312330177989745E-3</v>
      </c>
      <c r="N358" s="10">
        <f t="shared" si="93"/>
        <v>0.19403917118560066</v>
      </c>
      <c r="O358" s="66">
        <v>4</v>
      </c>
      <c r="P358" s="10">
        <f t="shared" si="94"/>
        <v>1.2705667028690719E-2</v>
      </c>
      <c r="Q358" s="10">
        <f t="shared" si="95"/>
        <v>5.3738522363471505E-4</v>
      </c>
      <c r="R358" s="10">
        <f t="shared" si="96"/>
        <v>7.8016143730371398E-2</v>
      </c>
      <c r="S358" s="66"/>
      <c r="T358" s="5">
        <f t="shared" si="107"/>
        <v>28.249999999999869</v>
      </c>
      <c r="U358" s="12">
        <f t="shared" si="97"/>
        <v>19342.05187498188</v>
      </c>
      <c r="V358" s="12">
        <f t="shared" si="92"/>
        <v>416267.61886626889</v>
      </c>
    </row>
    <row r="359" spans="1:22">
      <c r="A359" s="5">
        <f t="shared" si="98"/>
        <v>28.333333333333201</v>
      </c>
      <c r="B359" s="4">
        <f t="shared" si="90"/>
        <v>1.2725550154073437E-2</v>
      </c>
      <c r="C359" s="4">
        <f t="shared" si="91"/>
        <v>1.4983036402855698E-2</v>
      </c>
      <c r="D359" s="4">
        <f t="shared" si="99"/>
        <v>6.3627750770367184E-4</v>
      </c>
      <c r="E359" s="4">
        <f t="shared" si="100"/>
        <v>1.2725550154073437E-3</v>
      </c>
      <c r="F359" s="4">
        <f t="shared" si="101"/>
        <v>1.4983036402855698E-2</v>
      </c>
      <c r="G359" s="4">
        <f t="shared" si="101"/>
        <v>6.3627750770367184E-4</v>
      </c>
      <c r="H359" s="4">
        <f t="shared" si="102"/>
        <v>1.7979643683426836E-2</v>
      </c>
      <c r="I359" s="4">
        <f t="shared" si="103"/>
        <v>0.76819950070293563</v>
      </c>
      <c r="J359" s="4">
        <f t="shared" si="104"/>
        <v>7.8095918660884944E-2</v>
      </c>
      <c r="K359" s="4">
        <f t="shared" si="105"/>
        <v>0.14963491749654226</v>
      </c>
      <c r="L359" s="4">
        <f t="shared" si="106"/>
        <v>4.0696631396382934E-3</v>
      </c>
      <c r="N359" s="10">
        <f t="shared" si="93"/>
        <v>0.19280156148917627</v>
      </c>
      <c r="O359" s="66">
        <v>2</v>
      </c>
      <c r="P359" s="10">
        <f t="shared" si="94"/>
        <v>6.364852547277389E-3</v>
      </c>
      <c r="Q359" s="10">
        <f t="shared" si="95"/>
        <v>2.7029317735029651E-4</v>
      </c>
      <c r="R359" s="10">
        <f t="shared" si="96"/>
        <v>3.9200793673967504E-2</v>
      </c>
      <c r="S359" s="66"/>
      <c r="T359" s="5">
        <f t="shared" si="107"/>
        <v>28.333333333333201</v>
      </c>
      <c r="U359" s="12">
        <f t="shared" si="97"/>
        <v>19105.813563503547</v>
      </c>
      <c r="V359" s="12">
        <f t="shared" si="92"/>
        <v>412141.2882952572</v>
      </c>
    </row>
    <row r="360" spans="1:22">
      <c r="A360" s="5">
        <f t="shared" si="98"/>
        <v>28.416666666666533</v>
      </c>
      <c r="B360" s="4">
        <f t="shared" si="90"/>
        <v>1.287019033299041E-2</v>
      </c>
      <c r="C360" s="4">
        <f t="shared" si="91"/>
        <v>1.50920675315267E-2</v>
      </c>
      <c r="D360" s="4">
        <f t="shared" si="99"/>
        <v>6.4350951664952048E-4</v>
      </c>
      <c r="E360" s="4">
        <f t="shared" si="100"/>
        <v>1.287019033299041E-3</v>
      </c>
      <c r="F360" s="4">
        <f t="shared" si="101"/>
        <v>1.50920675315267E-2</v>
      </c>
      <c r="G360" s="4">
        <f t="shared" si="101"/>
        <v>6.4350951664952048E-4</v>
      </c>
      <c r="H360" s="4">
        <f t="shared" si="102"/>
        <v>1.8110481037832041E-2</v>
      </c>
      <c r="I360" s="4">
        <f t="shared" si="103"/>
        <v>0.76639323994718822</v>
      </c>
      <c r="J360" s="4">
        <f t="shared" si="104"/>
        <v>7.8800633265289674E-2</v>
      </c>
      <c r="K360" s="4">
        <f t="shared" si="105"/>
        <v>0.1506976880106306</v>
      </c>
      <c r="L360" s="4">
        <f t="shared" si="106"/>
        <v>4.1084387768925909E-3</v>
      </c>
      <c r="N360" s="10">
        <f t="shared" si="93"/>
        <v>0.19156775810731105</v>
      </c>
      <c r="O360" s="66">
        <v>4</v>
      </c>
      <c r="P360" s="10">
        <f t="shared" si="94"/>
        <v>1.2753689009930166E-2</v>
      </c>
      <c r="Q360" s="10">
        <f t="shared" si="95"/>
        <v>5.4380357317737485E-4</v>
      </c>
      <c r="R360" s="10">
        <f t="shared" si="96"/>
        <v>7.8788067875484785E-2</v>
      </c>
      <c r="S360" s="66"/>
      <c r="T360" s="5">
        <f t="shared" si="107"/>
        <v>28.416666666666533</v>
      </c>
      <c r="U360" s="12">
        <f t="shared" si="97"/>
        <v>18866.95974182391</v>
      </c>
      <c r="V360" s="12">
        <f t="shared" si="92"/>
        <v>407995.74549027684</v>
      </c>
    </row>
    <row r="361" spans="1:22">
      <c r="A361" s="5">
        <f t="shared" si="98"/>
        <v>28.499999999999865</v>
      </c>
      <c r="B361" s="4">
        <f t="shared" si="90"/>
        <v>1.3016527862621599E-2</v>
      </c>
      <c r="C361" s="4">
        <f t="shared" si="91"/>
        <v>1.520191946784386E-2</v>
      </c>
      <c r="D361" s="4">
        <f t="shared" si="99"/>
        <v>6.5082639313107996E-4</v>
      </c>
      <c r="E361" s="4">
        <f t="shared" si="100"/>
        <v>1.3016527862621599E-3</v>
      </c>
      <c r="F361" s="4">
        <f t="shared" si="101"/>
        <v>1.520191946784386E-2</v>
      </c>
      <c r="G361" s="4">
        <f t="shared" si="101"/>
        <v>6.5082639313107996E-4</v>
      </c>
      <c r="H361" s="4">
        <f t="shared" si="102"/>
        <v>1.824230336141263E-2</v>
      </c>
      <c r="I361" s="4">
        <f t="shared" si="103"/>
        <v>0.76457475254472318</v>
      </c>
      <c r="J361" s="4">
        <f t="shared" si="104"/>
        <v>7.9510819558372831E-2</v>
      </c>
      <c r="K361" s="4">
        <f t="shared" si="105"/>
        <v>0.15176686541182388</v>
      </c>
      <c r="L361" s="4">
        <f t="shared" si="106"/>
        <v>4.1475624850810982E-3</v>
      </c>
      <c r="N361" s="10">
        <f t="shared" si="93"/>
        <v>0.19033774919883967</v>
      </c>
      <c r="O361" s="66">
        <v>2</v>
      </c>
      <c r="P361" s="10">
        <f t="shared" si="94"/>
        <v>6.3888085883742713E-3</v>
      </c>
      <c r="Q361" s="10">
        <f t="shared" si="95"/>
        <v>2.7351843685080628E-4</v>
      </c>
      <c r="R361" s="10">
        <f t="shared" si="96"/>
        <v>3.9587784925740194E-2</v>
      </c>
      <c r="S361" s="66"/>
      <c r="T361" s="5">
        <f t="shared" si="107"/>
        <v>28.499999999999865</v>
      </c>
      <c r="U361" s="12">
        <f t="shared" si="97"/>
        <v>18625.523639491177</v>
      </c>
      <c r="V361" s="12">
        <f t="shared" si="92"/>
        <v>403830.82286652602</v>
      </c>
    </row>
    <row r="362" spans="1:22">
      <c r="A362" s="5">
        <f t="shared" si="98"/>
        <v>28.583333333333197</v>
      </c>
      <c r="B362" s="4">
        <f t="shared" si="90"/>
        <v>1.3164582661356686E-2</v>
      </c>
      <c r="C362" s="4">
        <f t="shared" si="91"/>
        <v>1.5312598391007595E-2</v>
      </c>
      <c r="D362" s="4">
        <f t="shared" si="99"/>
        <v>6.5822913306783429E-4</v>
      </c>
      <c r="E362" s="4">
        <f t="shared" si="100"/>
        <v>1.3164582661356686E-3</v>
      </c>
      <c r="F362" s="4">
        <f t="shared" si="101"/>
        <v>1.5312598391007595E-2</v>
      </c>
      <c r="G362" s="4">
        <f t="shared" si="101"/>
        <v>6.5822913306783429E-4</v>
      </c>
      <c r="H362" s="4">
        <f t="shared" si="102"/>
        <v>1.8375118069209113E-2</v>
      </c>
      <c r="I362" s="4">
        <f t="shared" si="103"/>
        <v>0.76274398401692745</v>
      </c>
      <c r="J362" s="4">
        <f t="shared" si="104"/>
        <v>8.0226498581213043E-2</v>
      </c>
      <c r="K362" s="4">
        <f t="shared" si="105"/>
        <v>0.15284248057716918</v>
      </c>
      <c r="L362" s="4">
        <f t="shared" si="106"/>
        <v>4.1870368246913134E-3</v>
      </c>
      <c r="N362" s="10">
        <f t="shared" si="93"/>
        <v>0.18911152312751398</v>
      </c>
      <c r="O362" s="66">
        <v>4</v>
      </c>
      <c r="P362" s="10">
        <f t="shared" si="94"/>
        <v>1.2801487982366008E-2</v>
      </c>
      <c r="Q362" s="10">
        <f t="shared" si="95"/>
        <v>5.5028624936441061E-4</v>
      </c>
      <c r="R362" s="10">
        <f t="shared" si="96"/>
        <v>7.9564077382713691E-2</v>
      </c>
      <c r="S362" s="66"/>
      <c r="T362" s="5">
        <f t="shared" si="107"/>
        <v>28.583333333333197</v>
      </c>
      <c r="U362" s="12">
        <f t="shared" si="97"/>
        <v>18381.54036803581</v>
      </c>
      <c r="V362" s="12">
        <f t="shared" si="92"/>
        <v>399646.35040295403</v>
      </c>
    </row>
    <row r="363" spans="1:22">
      <c r="A363" s="5">
        <f t="shared" si="98"/>
        <v>28.666666666666529</v>
      </c>
      <c r="B363" s="4">
        <f t="shared" si="90"/>
        <v>1.3314374881327406E-2</v>
      </c>
      <c r="C363" s="4">
        <f t="shared" si="91"/>
        <v>1.5424110526736493E-2</v>
      </c>
      <c r="D363" s="4">
        <f t="shared" si="99"/>
        <v>6.657187440663703E-4</v>
      </c>
      <c r="E363" s="4">
        <f t="shared" si="100"/>
        <v>1.3314374881327406E-3</v>
      </c>
      <c r="F363" s="4">
        <f t="shared" si="101"/>
        <v>1.5424110526736493E-2</v>
      </c>
      <c r="G363" s="4">
        <f t="shared" si="101"/>
        <v>6.657187440663703E-4</v>
      </c>
      <c r="H363" s="4">
        <f t="shared" si="102"/>
        <v>1.850893263208379E-2</v>
      </c>
      <c r="I363" s="4">
        <f t="shared" si="103"/>
        <v>0.76090088034996217</v>
      </c>
      <c r="J363" s="4">
        <f t="shared" si="104"/>
        <v>8.0947690899389871E-2</v>
      </c>
      <c r="K363" s="4">
        <f t="shared" si="105"/>
        <v>0.15392456438979524</v>
      </c>
      <c r="L363" s="4">
        <f t="shared" si="106"/>
        <v>4.2268643608536901E-3</v>
      </c>
      <c r="N363" s="10">
        <f t="shared" si="93"/>
        <v>0.18788906846331072</v>
      </c>
      <c r="O363" s="66">
        <v>2</v>
      </c>
      <c r="P363" s="10">
        <f t="shared" si="94"/>
        <v>6.4126498997498747E-3</v>
      </c>
      <c r="Q363" s="10">
        <f t="shared" si="95"/>
        <v>2.76775845842054E-4</v>
      </c>
      <c r="R363" s="10">
        <f t="shared" si="96"/>
        <v>3.9976787069420122E-2</v>
      </c>
      <c r="S363" s="66"/>
      <c r="T363" s="5">
        <f t="shared" si="107"/>
        <v>28.666666666666529</v>
      </c>
      <c r="U363" s="12">
        <f t="shared" si="97"/>
        <v>18135.046979020393</v>
      </c>
      <c r="V363" s="12">
        <f t="shared" si="92"/>
        <v>395442.15559988649</v>
      </c>
    </row>
    <row r="364" spans="1:22">
      <c r="A364" s="5">
        <f t="shared" si="98"/>
        <v>28.749999999999861</v>
      </c>
      <c r="B364" s="4">
        <f t="shared" si="90"/>
        <v>1.3465924911150493E-2</v>
      </c>
      <c r="C364" s="4">
        <f t="shared" si="91"/>
        <v>1.5536462147617581E-2</v>
      </c>
      <c r="D364" s="4">
        <f t="shared" si="99"/>
        <v>6.7329624555752471E-4</v>
      </c>
      <c r="E364" s="4">
        <f t="shared" si="100"/>
        <v>1.3465924911150494E-3</v>
      </c>
      <c r="F364" s="4">
        <f t="shared" si="101"/>
        <v>1.5536462147617581E-2</v>
      </c>
      <c r="G364" s="4">
        <f t="shared" si="101"/>
        <v>6.7329624555752471E-4</v>
      </c>
      <c r="H364" s="4">
        <f t="shared" si="102"/>
        <v>1.8643754577141097E-2</v>
      </c>
      <c r="I364" s="4">
        <f t="shared" si="103"/>
        <v>0.75904538801370347</v>
      </c>
      <c r="J364" s="4">
        <f t="shared" si="104"/>
        <v>8.167441658704265E-2</v>
      </c>
      <c r="K364" s="4">
        <f t="shared" si="105"/>
        <v>0.15501314773624733</v>
      </c>
      <c r="L364" s="4">
        <f t="shared" si="106"/>
        <v>4.2670476630075399E-3</v>
      </c>
      <c r="N364" s="10">
        <f t="shared" si="93"/>
        <v>0.18667037398374695</v>
      </c>
      <c r="O364" s="66">
        <v>4</v>
      </c>
      <c r="P364" s="10">
        <f t="shared" si="94"/>
        <v>1.2849050986165921E-2</v>
      </c>
      <c r="Q364" s="10">
        <f t="shared" si="95"/>
        <v>5.5683319057867585E-4</v>
      </c>
      <c r="R364" s="10">
        <f t="shared" si="96"/>
        <v>8.0344043346890603E-2</v>
      </c>
      <c r="S364" s="66"/>
      <c r="T364" s="5">
        <f t="shared" si="107"/>
        <v>28.749999999999861</v>
      </c>
      <c r="U364" s="12">
        <f t="shared" si="97"/>
        <v>17886.08252378794</v>
      </c>
      <c r="V364" s="12">
        <f t="shared" si="92"/>
        <v>391218.06343582761</v>
      </c>
    </row>
    <row r="365" spans="1:22">
      <c r="A365" s="5">
        <f t="shared" si="98"/>
        <v>28.833333333333194</v>
      </c>
      <c r="B365" s="4">
        <f t="shared" si="90"/>
        <v>1.3619253378702933E-2</v>
      </c>
      <c r="C365" s="4">
        <f t="shared" si="91"/>
        <v>1.5649659573459186E-2</v>
      </c>
      <c r="D365" s="4">
        <f t="shared" si="99"/>
        <v>6.8096266893514666E-4</v>
      </c>
      <c r="E365" s="4">
        <f t="shared" si="100"/>
        <v>1.3619253378702933E-3</v>
      </c>
      <c r="F365" s="4">
        <f t="shared" si="101"/>
        <v>1.5649659573459186E-2</v>
      </c>
      <c r="G365" s="4">
        <f t="shared" si="101"/>
        <v>6.8096266893514666E-4</v>
      </c>
      <c r="H365" s="4">
        <f t="shared" si="102"/>
        <v>1.8779591488151021E-2</v>
      </c>
      <c r="I365" s="4">
        <f t="shared" si="103"/>
        <v>0.75717745398101921</v>
      </c>
      <c r="J365" s="4">
        <f t="shared" si="104"/>
        <v>8.2406695210648973E-2</v>
      </c>
      <c r="K365" s="4">
        <f t="shared" si="105"/>
        <v>0.15610826150377485</v>
      </c>
      <c r="L365" s="4">
        <f t="shared" si="106"/>
        <v>4.3075893045579948E-3</v>
      </c>
      <c r="N365" s="10">
        <f t="shared" si="93"/>
        <v>0.1854554286752019</v>
      </c>
      <c r="O365" s="66">
        <v>2</v>
      </c>
      <c r="P365" s="10">
        <f t="shared" si="94"/>
        <v>6.4363699428092846E-3</v>
      </c>
      <c r="Q365" s="10">
        <f t="shared" si="95"/>
        <v>2.8006536716891471E-4</v>
      </c>
      <c r="R365" s="10">
        <f t="shared" si="96"/>
        <v>4.0367733892881383E-2</v>
      </c>
      <c r="S365" s="66"/>
      <c r="T365" s="5">
        <f t="shared" si="107"/>
        <v>28.833333333333194</v>
      </c>
      <c r="U365" s="12">
        <f t="shared" si="97"/>
        <v>17634.688114961242</v>
      </c>
      <c r="V365" s="12">
        <f t="shared" si="92"/>
        <v>386973.89632342081</v>
      </c>
    </row>
    <row r="366" spans="1:22">
      <c r="A366" s="5">
        <f t="shared" si="98"/>
        <v>28.916666666666526</v>
      </c>
      <c r="B366" s="4">
        <f t="shared" si="90"/>
        <v>1.377438115392946E-2</v>
      </c>
      <c r="C366" s="4">
        <f t="shared" si="91"/>
        <v>1.5763709171646347E-2</v>
      </c>
      <c r="D366" s="4">
        <f t="shared" si="99"/>
        <v>6.88719057696473E-4</v>
      </c>
      <c r="E366" s="4">
        <f t="shared" si="100"/>
        <v>1.377438115392946E-3</v>
      </c>
      <c r="F366" s="4">
        <f t="shared" si="101"/>
        <v>1.5763709171646347E-2</v>
      </c>
      <c r="G366" s="4">
        <f t="shared" si="101"/>
        <v>6.88719057696473E-4</v>
      </c>
      <c r="H366" s="4">
        <f t="shared" si="102"/>
        <v>1.8916451005975617E-2</v>
      </c>
      <c r="I366" s="4">
        <f t="shared" si="103"/>
        <v>0.75529702574738478</v>
      </c>
      <c r="J366" s="4">
        <f t="shared" si="104"/>
        <v>8.3144545812520801E-2</v>
      </c>
      <c r="K366" s="4">
        <f t="shared" si="105"/>
        <v>0.15720993657757154</v>
      </c>
      <c r="L366" s="4">
        <f t="shared" si="106"/>
        <v>4.3484918625239016E-3</v>
      </c>
      <c r="N366" s="10">
        <f t="shared" si="93"/>
        <v>0.18424422173424559</v>
      </c>
      <c r="O366" s="66">
        <v>4</v>
      </c>
      <c r="P366" s="10">
        <f t="shared" si="94"/>
        <v>1.2896364826289627E-2</v>
      </c>
      <c r="Q366" s="10">
        <f t="shared" si="95"/>
        <v>5.6344430959484051E-4</v>
      </c>
      <c r="R366" s="10">
        <f t="shared" si="96"/>
        <v>8.112782978069745E-2</v>
      </c>
      <c r="S366" s="66"/>
      <c r="T366" s="5">
        <f t="shared" si="107"/>
        <v>28.916666666666526</v>
      </c>
      <c r="U366" s="12">
        <f t="shared" si="97"/>
        <v>17380.906989747717</v>
      </c>
      <c r="V366" s="12">
        <f t="shared" si="92"/>
        <v>382709.47406454908</v>
      </c>
    </row>
    <row r="367" spans="1:22">
      <c r="A367" s="5">
        <f t="shared" si="98"/>
        <v>28.999999999999858</v>
      </c>
      <c r="B367" s="4">
        <f t="shared" si="90"/>
        <v>1.3931329351683418E-2</v>
      </c>
      <c r="C367" s="4">
        <f t="shared" si="91"/>
        <v>1.5878617357499018E-2</v>
      </c>
      <c r="D367" s="4">
        <f t="shared" si="99"/>
        <v>6.9656646758417095E-4</v>
      </c>
      <c r="E367" s="4">
        <f t="shared" si="100"/>
        <v>1.3931329351683419E-3</v>
      </c>
      <c r="F367" s="4">
        <f t="shared" si="101"/>
        <v>1.5878617357499018E-2</v>
      </c>
      <c r="G367" s="4">
        <f t="shared" si="101"/>
        <v>6.9656646758417095E-4</v>
      </c>
      <c r="H367" s="4">
        <f t="shared" si="102"/>
        <v>1.905434082899882E-2</v>
      </c>
      <c r="I367" s="4">
        <f t="shared" si="103"/>
        <v>0.75340405135084065</v>
      </c>
      <c r="J367" s="4">
        <f t="shared" si="104"/>
        <v>8.3887986894016026E-2</v>
      </c>
      <c r="K367" s="4">
        <f t="shared" si="105"/>
        <v>0.15831820383796785</v>
      </c>
      <c r="L367" s="4">
        <f t="shared" si="106"/>
        <v>4.3897579171764825E-3</v>
      </c>
      <c r="N367" s="10">
        <f t="shared" si="93"/>
        <v>0.18303674256897293</v>
      </c>
      <c r="O367" s="66">
        <v>2</v>
      </c>
      <c r="P367" s="10">
        <f t="shared" si="94"/>
        <v>6.4599620608650444E-3</v>
      </c>
      <c r="Q367" s="10">
        <f t="shared" si="95"/>
        <v>2.8338695064903752E-4</v>
      </c>
      <c r="R367" s="10">
        <f t="shared" si="96"/>
        <v>4.076055559886857E-2</v>
      </c>
      <c r="S367" s="66"/>
      <c r="T367" s="5">
        <f t="shared" si="107"/>
        <v>28.999999999999858</v>
      </c>
      <c r="U367" s="12">
        <f t="shared" si="97"/>
        <v>17124.784575105896</v>
      </c>
      <c r="V367" s="12">
        <f t="shared" si="92"/>
        <v>378424.61380455631</v>
      </c>
    </row>
    <row r="368" spans="1:22">
      <c r="A368" s="5">
        <f t="shared" si="98"/>
        <v>29.08333333333319</v>
      </c>
      <c r="B368" s="4">
        <f t="shared" si="90"/>
        <v>1.4090119334600745E-2</v>
      </c>
      <c r="C368" s="4">
        <f t="shared" si="91"/>
        <v>1.5994390594632962E-2</v>
      </c>
      <c r="D368" s="4">
        <f t="shared" si="99"/>
        <v>7.0450596673003729E-4</v>
      </c>
      <c r="E368" s="4">
        <f t="shared" si="100"/>
        <v>1.4090119334600746E-3</v>
      </c>
      <c r="F368" s="4">
        <f t="shared" si="101"/>
        <v>1.5994390594632962E-2</v>
      </c>
      <c r="G368" s="4">
        <f t="shared" si="101"/>
        <v>7.0450596673003729E-4</v>
      </c>
      <c r="H368" s="4">
        <f t="shared" si="102"/>
        <v>1.9193268713559555E-2</v>
      </c>
      <c r="I368" s="4">
        <f t="shared" si="103"/>
        <v>0.75149847939229431</v>
      </c>
      <c r="J368" s="4">
        <f t="shared" si="104"/>
        <v>8.4637036398463497E-2</v>
      </c>
      <c r="K368" s="4">
        <f t="shared" si="105"/>
        <v>0.15943309415757462</v>
      </c>
      <c r="L368" s="4">
        <f t="shared" si="106"/>
        <v>4.4313900516686402E-3</v>
      </c>
      <c r="N368" s="10">
        <f t="shared" si="93"/>
        <v>0.18183298080034407</v>
      </c>
      <c r="O368" s="66">
        <v>4</v>
      </c>
      <c r="P368" s="10">
        <f t="shared" si="94"/>
        <v>1.2943416070552483E-2</v>
      </c>
      <c r="Q368" s="10">
        <f t="shared" si="95"/>
        <v>5.7011949268223649E-4</v>
      </c>
      <c r="R368" s="10">
        <f t="shared" si="96"/>
        <v>8.1915293438171333E-2</v>
      </c>
      <c r="S368" s="66"/>
      <c r="T368" s="5">
        <f t="shared" si="107"/>
        <v>29.08333333333319</v>
      </c>
      <c r="U368" s="12">
        <f t="shared" si="97"/>
        <v>16866.368554831759</v>
      </c>
      <c r="V368" s="12">
        <f t="shared" si="92"/>
        <v>374119.12998556951</v>
      </c>
    </row>
    <row r="369" spans="1:22">
      <c r="A369" s="5">
        <f t="shared" si="98"/>
        <v>29.166666666666522</v>
      </c>
      <c r="B369" s="4">
        <f t="shared" si="90"/>
        <v>1.4250772716007575E-2</v>
      </c>
      <c r="C369" s="4">
        <f t="shared" si="91"/>
        <v>1.6111035395323312E-2</v>
      </c>
      <c r="D369" s="4">
        <f t="shared" si="99"/>
        <v>7.1253863580037879E-4</v>
      </c>
      <c r="E369" s="4">
        <f t="shared" si="100"/>
        <v>1.4250772716007576E-3</v>
      </c>
      <c r="F369" s="4">
        <f t="shared" si="101"/>
        <v>1.6111035395323312E-2</v>
      </c>
      <c r="G369" s="4">
        <f t="shared" si="101"/>
        <v>7.1253863580037879E-4</v>
      </c>
      <c r="H369" s="4">
        <f t="shared" si="102"/>
        <v>1.9333242474387974E-2</v>
      </c>
      <c r="I369" s="4">
        <f t="shared" si="103"/>
        <v>0.74958025905616898</v>
      </c>
      <c r="J369" s="4">
        <f t="shared" si="104"/>
        <v>8.5391711693799485E-2</v>
      </c>
      <c r="K369" s="4">
        <f t="shared" si="105"/>
        <v>0.16055463839837783</v>
      </c>
      <c r="L369" s="4">
        <f t="shared" si="106"/>
        <v>4.4733908516547414E-3</v>
      </c>
      <c r="N369" s="10">
        <f t="shared" si="93"/>
        <v>0.18063292626352923</v>
      </c>
      <c r="O369" s="66">
        <v>2</v>
      </c>
      <c r="P369" s="10">
        <f t="shared" si="94"/>
        <v>6.4834194781872257E-3</v>
      </c>
      <c r="Q369" s="10">
        <f t="shared" si="95"/>
        <v>2.8674053261965553E-4</v>
      </c>
      <c r="R369" s="10">
        <f t="shared" si="96"/>
        <v>4.1155178716484331E-2</v>
      </c>
      <c r="S369" s="66"/>
      <c r="T369" s="5">
        <f t="shared" si="107"/>
        <v>29.166666666666522</v>
      </c>
      <c r="U369" s="12">
        <f t="shared" si="97"/>
        <v>16605.708938624914</v>
      </c>
      <c r="V369" s="12">
        <f t="shared" si="92"/>
        <v>369792.83429890202</v>
      </c>
    </row>
    <row r="370" spans="1:22">
      <c r="A370" s="5">
        <f t="shared" si="98"/>
        <v>29.249999999999854</v>
      </c>
      <c r="B370" s="4">
        <f t="shared" si="90"/>
        <v>1.4413311362862178E-2</v>
      </c>
      <c r="C370" s="4">
        <f t="shared" si="91"/>
        <v>1.6228558320870848E-2</v>
      </c>
      <c r="D370" s="4">
        <f t="shared" si="99"/>
        <v>7.2066556814310895E-4</v>
      </c>
      <c r="E370" s="4">
        <f t="shared" si="100"/>
        <v>1.4413311362862179E-3</v>
      </c>
      <c r="F370" s="4">
        <f t="shared" si="101"/>
        <v>1.6228558320870848E-2</v>
      </c>
      <c r="G370" s="4">
        <f t="shared" si="101"/>
        <v>7.2066556814310895E-4</v>
      </c>
      <c r="H370" s="4">
        <f t="shared" si="102"/>
        <v>1.9474269985045017E-2</v>
      </c>
      <c r="I370" s="4">
        <f t="shared" si="103"/>
        <v>0.7476493401314025</v>
      </c>
      <c r="J370" s="4">
        <f t="shared" si="104"/>
        <v>8.615202955491387E-2</v>
      </c>
      <c r="K370" s="4">
        <f t="shared" si="105"/>
        <v>0.16168286740878396</v>
      </c>
      <c r="L370" s="4">
        <f t="shared" si="106"/>
        <v>4.5157629049007407E-3</v>
      </c>
      <c r="N370" s="10">
        <f t="shared" si="93"/>
        <v>0.17943656900925875</v>
      </c>
      <c r="O370" s="66">
        <v>4</v>
      </c>
      <c r="P370" s="10">
        <f t="shared" si="94"/>
        <v>1.2990191047763651E-2</v>
      </c>
      <c r="Q370" s="10">
        <f t="shared" si="95"/>
        <v>5.7685859868923726E-4</v>
      </c>
      <c r="R370" s="10">
        <f t="shared" si="96"/>
        <v>8.2706283637198424E-2</v>
      </c>
      <c r="S370" s="66"/>
      <c r="T370" s="5">
        <f t="shared" si="107"/>
        <v>29.249999999999854</v>
      </c>
      <c r="U370" s="12">
        <f t="shared" si="97"/>
        <v>16342.858133196813</v>
      </c>
      <c r="V370" s="12">
        <f t="shared" si="92"/>
        <v>365445.5356365171</v>
      </c>
    </row>
    <row r="371" spans="1:22">
      <c r="A371" s="5">
        <f t="shared" si="98"/>
        <v>29.333333333333186</v>
      </c>
      <c r="B371" s="4">
        <f t="shared" si="90"/>
        <v>1.4577757398731317E-2</v>
      </c>
      <c r="C371" s="4">
        <f t="shared" si="91"/>
        <v>1.6346965981971103E-2</v>
      </c>
      <c r="D371" s="4">
        <f t="shared" si="99"/>
        <v>7.2888786993656593E-4</v>
      </c>
      <c r="E371" s="4">
        <f t="shared" si="100"/>
        <v>1.4577757398731319E-3</v>
      </c>
      <c r="F371" s="4">
        <f t="shared" si="101"/>
        <v>1.6346965981971103E-2</v>
      </c>
      <c r="G371" s="4">
        <f t="shared" si="101"/>
        <v>7.2888786993656593E-4</v>
      </c>
      <c r="H371" s="4">
        <f t="shared" si="102"/>
        <v>1.9616359178365322E-2</v>
      </c>
      <c r="I371" s="4">
        <f t="shared" si="103"/>
        <v>0.74570567303279744</v>
      </c>
      <c r="J371" s="4">
        <f t="shared" si="104"/>
        <v>8.6918006145703997E-2</v>
      </c>
      <c r="K371" s="4">
        <f t="shared" si="105"/>
        <v>0.16281781202061521</v>
      </c>
      <c r="L371" s="4">
        <f t="shared" si="106"/>
        <v>4.5585088008844908E-3</v>
      </c>
      <c r="N371" s="10">
        <f t="shared" si="93"/>
        <v>0.17824389930517723</v>
      </c>
      <c r="O371" s="66">
        <v>2</v>
      </c>
      <c r="P371" s="10">
        <f t="shared" si="94"/>
        <v>6.5067352990919982E-3</v>
      </c>
      <c r="Q371" s="10">
        <f t="shared" si="95"/>
        <v>2.9012603547513849E-4</v>
      </c>
      <c r="R371" s="10">
        <f t="shared" si="96"/>
        <v>4.1551526012221299E-2</v>
      </c>
      <c r="S371" s="66"/>
      <c r="T371" s="5">
        <f t="shared" si="107"/>
        <v>29.333333333333186</v>
      </c>
      <c r="U371" s="12">
        <f t="shared" si="97"/>
        <v>16077.87101548518</v>
      </c>
      <c r="V371" s="12">
        <f t="shared" si="92"/>
        <v>361077.04004153039</v>
      </c>
    </row>
    <row r="372" spans="1:22">
      <c r="A372" s="5">
        <f t="shared" si="98"/>
        <v>29.416666666666519</v>
      </c>
      <c r="B372" s="4">
        <f t="shared" si="90"/>
        <v>1.4744133206801508E-2</v>
      </c>
      <c r="C372" s="4">
        <f t="shared" si="91"/>
        <v>1.6466265039086252E-2</v>
      </c>
      <c r="D372" s="4">
        <f t="shared" si="99"/>
        <v>7.3720666034007539E-4</v>
      </c>
      <c r="E372" s="4">
        <f t="shared" si="100"/>
        <v>1.4744133206801508E-3</v>
      </c>
      <c r="F372" s="4">
        <f t="shared" si="101"/>
        <v>1.6466265039086252E-2</v>
      </c>
      <c r="G372" s="4">
        <f t="shared" si="101"/>
        <v>7.3720666034007539E-4</v>
      </c>
      <c r="H372" s="4">
        <f t="shared" si="102"/>
        <v>1.9759518046903502E-2</v>
      </c>
      <c r="I372" s="4">
        <f t="shared" si="103"/>
        <v>0.74374920882272588</v>
      </c>
      <c r="J372" s="4">
        <f t="shared" si="104"/>
        <v>8.7689657000834767E-2</v>
      </c>
      <c r="K372" s="4">
        <f t="shared" si="105"/>
        <v>0.16395950304605442</v>
      </c>
      <c r="L372" s="4">
        <f t="shared" si="106"/>
        <v>4.601631130386097E-3</v>
      </c>
      <c r="N372" s="10">
        <f t="shared" si="93"/>
        <v>0.17705490763720119</v>
      </c>
      <c r="O372" s="66">
        <v>4</v>
      </c>
      <c r="P372" s="10">
        <f t="shared" si="94"/>
        <v>1.3036675845943294E-2</v>
      </c>
      <c r="Q372" s="10">
        <f t="shared" si="95"/>
        <v>5.8366145810910021E-4</v>
      </c>
      <c r="R372" s="10">
        <f t="shared" si="96"/>
        <v>8.3500642081200671E-2</v>
      </c>
      <c r="S372" s="66"/>
      <c r="T372" s="5">
        <f t="shared" si="107"/>
        <v>29.416666666666519</v>
      </c>
      <c r="U372" s="12">
        <f t="shared" si="97"/>
        <v>15810.805008041085</v>
      </c>
      <c r="V372" s="12">
        <f t="shared" si="92"/>
        <v>356687.15065772994</v>
      </c>
    </row>
    <row r="373" spans="1:22">
      <c r="A373" s="5">
        <f t="shared" si="98"/>
        <v>29.499999999999851</v>
      </c>
      <c r="B373" s="4">
        <f t="shared" si="90"/>
        <v>1.4912461432925784E-2</v>
      </c>
      <c r="C373" s="4">
        <f t="shared" si="91"/>
        <v>1.6586462202819729E-2</v>
      </c>
      <c r="D373" s="4">
        <f t="shared" si="99"/>
        <v>7.4562307164628922E-4</v>
      </c>
      <c r="E373" s="4">
        <f t="shared" si="100"/>
        <v>1.4912461432925784E-3</v>
      </c>
      <c r="F373" s="4">
        <f t="shared" si="101"/>
        <v>1.6586462202819729E-2</v>
      </c>
      <c r="G373" s="4">
        <f t="shared" si="101"/>
        <v>7.4562307164628922E-4</v>
      </c>
      <c r="H373" s="4">
        <f t="shared" si="102"/>
        <v>1.9903754643383675E-2</v>
      </c>
      <c r="I373" s="4">
        <f t="shared" si="103"/>
        <v>0.74177989923319088</v>
      </c>
      <c r="J373" s="4">
        <f t="shared" si="104"/>
        <v>8.8466997007203216E-2</v>
      </c>
      <c r="K373" s="4">
        <f t="shared" si="105"/>
        <v>0.16510797127453891</v>
      </c>
      <c r="L373" s="4">
        <f t="shared" si="106"/>
        <v>4.6451324850681529E-3</v>
      </c>
      <c r="N373" s="10">
        <f t="shared" si="93"/>
        <v>0.17586958471088029</v>
      </c>
      <c r="O373" s="66">
        <v>2</v>
      </c>
      <c r="P373" s="10">
        <f t="shared" si="94"/>
        <v>6.5299025070710906E-3</v>
      </c>
      <c r="Q373" s="10">
        <f t="shared" si="95"/>
        <v>2.9354336719529246E-4</v>
      </c>
      <c r="R373" s="10">
        <f t="shared" si="96"/>
        <v>4.1949516400644329E-2</v>
      </c>
      <c r="S373" s="66"/>
      <c r="T373" s="5">
        <f t="shared" si="107"/>
        <v>29.499999999999851</v>
      </c>
      <c r="U373" s="12">
        <f t="shared" si="97"/>
        <v>15541.720156657331</v>
      </c>
      <c r="V373" s="12">
        <f t="shared" si="92"/>
        <v>352275.66767809138</v>
      </c>
    </row>
    <row r="374" spans="1:22">
      <c r="A374" s="5">
        <f t="shared" si="98"/>
        <v>29.583333333333183</v>
      </c>
      <c r="B374" s="4">
        <f t="shared" si="90"/>
        <v>1.5082764988705834E-2</v>
      </c>
      <c r="C374" s="4">
        <f t="shared" si="91"/>
        <v>1.6707564234293669E-2</v>
      </c>
      <c r="D374" s="4">
        <f t="shared" si="99"/>
        <v>7.5413824943529177E-4</v>
      </c>
      <c r="E374" s="4">
        <f t="shared" si="100"/>
        <v>1.5082764988705835E-3</v>
      </c>
      <c r="F374" s="4">
        <f t="shared" si="101"/>
        <v>1.6707564234293669E-2</v>
      </c>
      <c r="G374" s="4">
        <f t="shared" si="101"/>
        <v>7.5413824943529177E-4</v>
      </c>
      <c r="H374" s="4">
        <f t="shared" si="102"/>
        <v>2.0049077081152403E-2</v>
      </c>
      <c r="I374" s="4">
        <f t="shared" si="103"/>
        <v>0.73979769668824646</v>
      </c>
      <c r="J374" s="4">
        <f t="shared" si="104"/>
        <v>8.9250040385106061E-2</v>
      </c>
      <c r="K374" s="4">
        <f t="shared" si="105"/>
        <v>0.16626324746960294</v>
      </c>
      <c r="L374" s="4">
        <f t="shared" si="106"/>
        <v>4.689015457045715E-3</v>
      </c>
      <c r="N374" s="10">
        <f t="shared" si="93"/>
        <v>0.1746879214527613</v>
      </c>
      <c r="O374" s="66">
        <v>4</v>
      </c>
      <c r="P374" s="10">
        <f t="shared" si="94"/>
        <v>1.3082856310624556E-2</v>
      </c>
      <c r="Q374" s="10">
        <f t="shared" si="95"/>
        <v>5.9052787212731436E-4</v>
      </c>
      <c r="R374" s="10">
        <f t="shared" si="96"/>
        <v>8.4298202680234871E-2</v>
      </c>
      <c r="S374" s="66"/>
      <c r="T374" s="5">
        <f t="shared" si="107"/>
        <v>29.583333333333183</v>
      </c>
      <c r="U374" s="12">
        <f t="shared" si="97"/>
        <v>15270.679210309194</v>
      </c>
      <c r="V374" s="12">
        <f t="shared" si="92"/>
        <v>347842.38829226478</v>
      </c>
    </row>
    <row r="375" spans="1:22">
      <c r="A375" s="5">
        <f t="shared" si="98"/>
        <v>29.666666666666515</v>
      </c>
      <c r="B375" s="4">
        <f t="shared" si="90"/>
        <v>1.5255067054610785E-2</v>
      </c>
      <c r="C375" s="4">
        <f t="shared" si="91"/>
        <v>1.6829577945529261E-2</v>
      </c>
      <c r="D375" s="4">
        <f t="shared" si="99"/>
        <v>7.6275335273053935E-4</v>
      </c>
      <c r="E375" s="4">
        <f t="shared" si="100"/>
        <v>1.5255067054610787E-3</v>
      </c>
      <c r="F375" s="4">
        <f t="shared" si="101"/>
        <v>1.6829577945529261E-2</v>
      </c>
      <c r="G375" s="4">
        <f t="shared" si="101"/>
        <v>7.6275335273053935E-4</v>
      </c>
      <c r="H375" s="4">
        <f t="shared" si="102"/>
        <v>2.0195493534635112E-2</v>
      </c>
      <c r="I375" s="4">
        <f t="shared" si="103"/>
        <v>0.73780255432677844</v>
      </c>
      <c r="J375" s="4">
        <f t="shared" si="104"/>
        <v>9.0038800669108812E-2</v>
      </c>
      <c r="K375" s="4">
        <f t="shared" si="105"/>
        <v>0.16742536236566813</v>
      </c>
      <c r="L375" s="4">
        <f t="shared" si="106"/>
        <v>4.7332826384458623E-3</v>
      </c>
      <c r="N375" s="10">
        <f t="shared" si="93"/>
        <v>0.17350990901175392</v>
      </c>
      <c r="O375" s="66">
        <v>2</v>
      </c>
      <c r="P375" s="10">
        <f t="shared" si="94"/>
        <v>6.5529139639647557E-3</v>
      </c>
      <c r="Q375" s="10">
        <f t="shared" si="95"/>
        <v>2.9699242086440213E-4</v>
      </c>
      <c r="R375" s="10">
        <f t="shared" si="96"/>
        <v>4.234906485483686E-2</v>
      </c>
      <c r="S375" s="66"/>
      <c r="T375" s="5">
        <f t="shared" si="107"/>
        <v>29.666666666666515</v>
      </c>
      <c r="U375" s="12">
        <f t="shared" si="97"/>
        <v>14997.747703480973</v>
      </c>
      <c r="V375" s="12">
        <f t="shared" si="92"/>
        <v>343387.10663301084</v>
      </c>
    </row>
    <row r="376" spans="1:22">
      <c r="A376" s="5">
        <f t="shared" si="98"/>
        <v>29.749999999999847</v>
      </c>
      <c r="B376" s="4">
        <f t="shared" si="90"/>
        <v>1.5429391083132337E-2</v>
      </c>
      <c r="C376" s="4">
        <f t="shared" si="91"/>
        <v>1.6952510199829945E-2</v>
      </c>
      <c r="D376" s="4">
        <f t="shared" si="99"/>
        <v>7.7146955415661686E-4</v>
      </c>
      <c r="E376" s="4">
        <f t="shared" si="100"/>
        <v>1.5429391083132337E-3</v>
      </c>
      <c r="F376" s="4">
        <f t="shared" si="101"/>
        <v>1.6952510199829945E-2</v>
      </c>
      <c r="G376" s="4">
        <f t="shared" si="101"/>
        <v>7.7146955415661686E-4</v>
      </c>
      <c r="H376" s="4">
        <f t="shared" si="102"/>
        <v>2.0343012239795934E-2</v>
      </c>
      <c r="I376" s="4">
        <f t="shared" si="103"/>
        <v>0.73579442602564804</v>
      </c>
      <c r="J376" s="4">
        <f t="shared" si="104"/>
        <v>9.0833290688615217E-2</v>
      </c>
      <c r="K376" s="4">
        <f t="shared" si="105"/>
        <v>0.16859434666478132</v>
      </c>
      <c r="L376" s="4">
        <f t="shared" si="106"/>
        <v>4.7779366209566758E-3</v>
      </c>
      <c r="N376" s="10">
        <f t="shared" si="93"/>
        <v>0.17233553876049892</v>
      </c>
      <c r="O376" s="66">
        <v>4</v>
      </c>
      <c r="P376" s="10">
        <f t="shared" si="94"/>
        <v>1.3128718043244815E-2</v>
      </c>
      <c r="Q376" s="10">
        <f t="shared" si="95"/>
        <v>5.9745761165043334E-4</v>
      </c>
      <c r="R376" s="10">
        <f t="shared" si="96"/>
        <v>8.509879137174034E-2</v>
      </c>
      <c r="S376" s="66"/>
      <c r="T376" s="5">
        <f t="shared" si="107"/>
        <v>29.749999999999847</v>
      </c>
      <c r="U376" s="12">
        <f t="shared" si="97"/>
        <v>14722.994040954329</v>
      </c>
      <c r="V376" s="12">
        <f t="shared" si="92"/>
        <v>338909.61372156121</v>
      </c>
    </row>
    <row r="377" spans="1:22">
      <c r="A377" s="5">
        <f t="shared" si="98"/>
        <v>29.833333333333179</v>
      </c>
      <c r="B377" s="4">
        <f t="shared" si="90"/>
        <v>1.5605760801976815E-2</v>
      </c>
      <c r="C377" s="4">
        <f t="shared" si="91"/>
        <v>1.7076367912167458E-2</v>
      </c>
      <c r="D377" s="4">
        <f t="shared" si="99"/>
        <v>7.8028804009884077E-4</v>
      </c>
      <c r="E377" s="4">
        <f t="shared" si="100"/>
        <v>1.5605760801976815E-3</v>
      </c>
      <c r="F377" s="4">
        <f t="shared" si="101"/>
        <v>1.7076367912167458E-2</v>
      </c>
      <c r="G377" s="4">
        <f t="shared" si="101"/>
        <v>7.8028804009884077E-4</v>
      </c>
      <c r="H377" s="4">
        <f t="shared" si="102"/>
        <v>2.0491641494600948E-2</v>
      </c>
      <c r="I377" s="4">
        <f t="shared" si="103"/>
        <v>0.73377326642320029</v>
      </c>
      <c r="J377" s="4">
        <f t="shared" si="104"/>
        <v>9.1633522548135671E-2</v>
      </c>
      <c r="K377" s="4">
        <f t="shared" si="105"/>
        <v>0.1697702310332998</v>
      </c>
      <c r="L377" s="4">
        <f t="shared" si="106"/>
        <v>4.822979995365506E-3</v>
      </c>
      <c r="N377" s="10">
        <f t="shared" si="93"/>
        <v>0.17116480229673647</v>
      </c>
      <c r="O377" s="66">
        <v>2</v>
      </c>
      <c r="P377" s="10">
        <f t="shared" si="94"/>
        <v>6.5757624091809441E-3</v>
      </c>
      <c r="Q377" s="10">
        <f t="shared" si="95"/>
        <v>3.0047307418104037E-4</v>
      </c>
      <c r="R377" s="10">
        <f t="shared" si="96"/>
        <v>4.275008231673369E-2</v>
      </c>
      <c r="S377" s="66"/>
      <c r="T377" s="5">
        <f t="shared" si="107"/>
        <v>29.833333333333179</v>
      </c>
      <c r="U377" s="12">
        <f t="shared" si="97"/>
        <v>14446.489585137053</v>
      </c>
      <c r="V377" s="12">
        <f t="shared" si="92"/>
        <v>334409.69741187891</v>
      </c>
    </row>
    <row r="378" spans="1:22">
      <c r="A378" s="5">
        <f t="shared" si="98"/>
        <v>29.916666666666512</v>
      </c>
      <c r="B378" s="4">
        <f t="shared" si="90"/>
        <v>1.5784200217294903E-2</v>
      </c>
      <c r="C378" s="4">
        <f t="shared" si="91"/>
        <v>1.7201158049570762E-2</v>
      </c>
      <c r="D378" s="4">
        <f t="shared" si="99"/>
        <v>7.8921001086474513E-4</v>
      </c>
      <c r="E378" s="4">
        <f t="shared" si="100"/>
        <v>1.5784200217294903E-3</v>
      </c>
      <c r="F378" s="4">
        <f t="shared" si="101"/>
        <v>1.7201158049570762E-2</v>
      </c>
      <c r="G378" s="4">
        <f t="shared" si="101"/>
        <v>7.8921001086474513E-4</v>
      </c>
      <c r="H378" s="4">
        <f t="shared" si="102"/>
        <v>2.0641389659484914E-2</v>
      </c>
      <c r="I378" s="4">
        <f t="shared" si="103"/>
        <v>0.73173903094313841</v>
      </c>
      <c r="J378" s="4">
        <f t="shared" si="104"/>
        <v>9.243950760725371E-2</v>
      </c>
      <c r="K378" s="4">
        <f t="shared" si="105"/>
        <v>0.17095304609852277</v>
      </c>
      <c r="L378" s="4">
        <f t="shared" si="106"/>
        <v>4.8684153510863441E-3</v>
      </c>
      <c r="N378" s="10">
        <f t="shared" si="93"/>
        <v>0.16999769144467597</v>
      </c>
      <c r="O378" s="66">
        <v>4</v>
      </c>
      <c r="P378" s="10">
        <f t="shared" si="94"/>
        <v>1.3174246399632434E-2</v>
      </c>
      <c r="Q378" s="10">
        <f t="shared" si="95"/>
        <v>6.0445041631648723E-4</v>
      </c>
      <c r="R378" s="10">
        <f t="shared" si="96"/>
        <v>8.5902225941187085E-2</v>
      </c>
      <c r="S378" s="66"/>
      <c r="T378" s="5">
        <f t="shared" si="107"/>
        <v>29.916666666666512</v>
      </c>
      <c r="U378" s="12">
        <f t="shared" si="97"/>
        <v>14168.308746013556</v>
      </c>
      <c r="V378" s="12">
        <f t="shared" si="92"/>
        <v>329887.14233379299</v>
      </c>
    </row>
    <row r="379" spans="1:22">
      <c r="A379" s="5">
        <f t="shared" si="98"/>
        <v>29.999999999999844</v>
      </c>
      <c r="B379" s="4">
        <f t="shared" si="90"/>
        <v>1.5964733616949171E-2</v>
      </c>
      <c r="C379" s="4">
        <f t="shared" si="91"/>
        <v>1.7326887631517983E-2</v>
      </c>
      <c r="D379" s="4">
        <f t="shared" si="99"/>
        <v>7.9823668084745862E-4</v>
      </c>
      <c r="E379" s="4">
        <f t="shared" si="100"/>
        <v>1.5964733616949172E-3</v>
      </c>
      <c r="F379" s="4">
        <f t="shared" si="101"/>
        <v>1.7326887631517983E-2</v>
      </c>
      <c r="G379" s="4">
        <f t="shared" si="101"/>
        <v>7.9823668084745862E-4</v>
      </c>
      <c r="H379" s="4">
        <f t="shared" si="102"/>
        <v>2.0792265157821579E-2</v>
      </c>
      <c r="I379" s="4">
        <f t="shared" si="103"/>
        <v>0.72969167581876648</v>
      </c>
      <c r="J379" s="4">
        <f t="shared" si="104"/>
        <v>9.3251256460289533E-2</v>
      </c>
      <c r="K379" s="4">
        <f t="shared" si="105"/>
        <v>0.17214282244526907</v>
      </c>
      <c r="L379" s="4">
        <f t="shared" si="106"/>
        <v>4.9142452756761653E-3</v>
      </c>
      <c r="N379" s="10">
        <f t="shared" si="93"/>
        <v>0.16883419825636481</v>
      </c>
      <c r="O379" s="66">
        <v>2</v>
      </c>
      <c r="P379" s="10">
        <f t="shared" si="94"/>
        <v>6.59844045896338E-3</v>
      </c>
      <c r="Q379" s="10">
        <f t="shared" si="95"/>
        <v>3.0398518895866268E-4</v>
      </c>
      <c r="R379" s="10">
        <f t="shared" si="96"/>
        <v>4.3152475607470077E-2</v>
      </c>
      <c r="S379" s="66"/>
      <c r="T379" s="5">
        <f t="shared" si="107"/>
        <v>29.999999999999844</v>
      </c>
      <c r="U379" s="12">
        <f t="shared" si="97"/>
        <v>13888.529073801246</v>
      </c>
      <c r="V379" s="12">
        <f t="shared" si="92"/>
        <v>325341.72983498202</v>
      </c>
    </row>
    <row r="380" spans="1:22">
      <c r="A380" s="5">
        <f t="shared" si="98"/>
        <v>30.083333333333176</v>
      </c>
      <c r="B380" s="4">
        <f t="shared" si="90"/>
        <v>1.6147385573819957E-2</v>
      </c>
      <c r="C380" s="4">
        <f t="shared" si="91"/>
        <v>1.7453563730331252E-2</v>
      </c>
      <c r="D380" s="4">
        <f t="shared" si="99"/>
        <v>8.0736927869099785E-4</v>
      </c>
      <c r="E380" s="4">
        <f t="shared" si="100"/>
        <v>1.6147385573819957E-3</v>
      </c>
      <c r="F380" s="4">
        <f t="shared" si="101"/>
        <v>1.7453563730331252E-2</v>
      </c>
      <c r="G380" s="4">
        <f t="shared" si="101"/>
        <v>8.0736927869099785E-4</v>
      </c>
      <c r="H380" s="4">
        <f t="shared" si="102"/>
        <v>2.0944276476397503E-2</v>
      </c>
      <c r="I380" s="4">
        <f t="shared" si="103"/>
        <v>0.72763115811760137</v>
      </c>
      <c r="J380" s="4">
        <f t="shared" si="104"/>
        <v>9.4068778915659651E-2</v>
      </c>
      <c r="K380" s="4">
        <f t="shared" si="105"/>
        <v>0.1733395906124002</v>
      </c>
      <c r="L380" s="4">
        <f t="shared" si="106"/>
        <v>4.9604723543400725E-3</v>
      </c>
      <c r="N380" s="10">
        <f t="shared" si="93"/>
        <v>0.16767431501305735</v>
      </c>
      <c r="O380" s="66">
        <v>4</v>
      </c>
      <c r="P380" s="10">
        <f t="shared" si="94"/>
        <v>1.3219426488593785E-2</v>
      </c>
      <c r="Q380" s="10">
        <f t="shared" si="95"/>
        <v>6.1150599348698586E-4</v>
      </c>
      <c r="R380" s="10">
        <f t="shared" si="96"/>
        <v>8.6708315842894179E-2</v>
      </c>
      <c r="S380" s="66"/>
      <c r="T380" s="5">
        <f t="shared" si="107"/>
        <v>30.083333333333176</v>
      </c>
      <c r="U380" s="12">
        <f t="shared" si="97"/>
        <v>13607.231354399864</v>
      </c>
      <c r="V380" s="12">
        <f t="shared" si="92"/>
        <v>320773.23792177869</v>
      </c>
    </row>
    <row r="381" spans="1:22">
      <c r="A381" s="5">
        <f t="shared" si="98"/>
        <v>30.166666666666508</v>
      </c>
      <c r="B381" s="4">
        <f t="shared" si="90"/>
        <v>1.6332180949150048E-2</v>
      </c>
      <c r="C381" s="4">
        <f t="shared" si="91"/>
        <v>1.7581193471574552E-2</v>
      </c>
      <c r="D381" s="4">
        <f t="shared" si="99"/>
        <v>8.1660904745750249E-4</v>
      </c>
      <c r="E381" s="4">
        <f t="shared" si="100"/>
        <v>1.633218094915005E-3</v>
      </c>
      <c r="F381" s="4">
        <f t="shared" si="101"/>
        <v>1.7581193471574552E-2</v>
      </c>
      <c r="G381" s="4">
        <f t="shared" si="101"/>
        <v>8.1660904745750249E-4</v>
      </c>
      <c r="H381" s="4">
        <f t="shared" si="102"/>
        <v>2.1097432165889461E-2</v>
      </c>
      <c r="I381" s="4">
        <f t="shared" si="103"/>
        <v>0.72555743576635545</v>
      </c>
      <c r="J381" s="4">
        <f t="shared" si="104"/>
        <v>9.4892083974932123E-2</v>
      </c>
      <c r="K381" s="4">
        <f t="shared" si="105"/>
        <v>0.17454338108928869</v>
      </c>
      <c r="L381" s="4">
        <f t="shared" si="106"/>
        <v>5.007099169425086E-3</v>
      </c>
      <c r="N381" s="10">
        <f t="shared" si="93"/>
        <v>0.16651803422658185</v>
      </c>
      <c r="O381" s="66">
        <v>2</v>
      </c>
      <c r="P381" s="10">
        <f t="shared" si="94"/>
        <v>6.6209406057114147E-3</v>
      </c>
      <c r="Q381" s="10">
        <f t="shared" si="95"/>
        <v>3.0752861061704011E-4</v>
      </c>
      <c r="R381" s="10">
        <f t="shared" si="96"/>
        <v>4.3556147337886986E-2</v>
      </c>
      <c r="S381" s="66"/>
      <c r="T381" s="5">
        <f t="shared" si="107"/>
        <v>30.166666666666508</v>
      </c>
      <c r="U381" s="12">
        <f t="shared" si="97"/>
        <v>13324.499707723859</v>
      </c>
      <c r="V381" s="12">
        <f t="shared" si="92"/>
        <v>316181.44119876903</v>
      </c>
    </row>
    <row r="382" spans="1:22">
      <c r="A382" s="5">
        <f t="shared" si="98"/>
        <v>30.24999999999984</v>
      </c>
      <c r="B382" s="4">
        <f t="shared" si="90"/>
        <v>1.6519144895928609E-2</v>
      </c>
      <c r="C382" s="4">
        <f t="shared" si="91"/>
        <v>1.7709784034454466E-2</v>
      </c>
      <c r="D382" s="4">
        <f t="shared" si="99"/>
        <v>8.2595724479643052E-4</v>
      </c>
      <c r="E382" s="4">
        <f t="shared" si="100"/>
        <v>1.651914489592861E-3</v>
      </c>
      <c r="F382" s="4">
        <f t="shared" si="101"/>
        <v>1.7709784034454466E-2</v>
      </c>
      <c r="G382" s="4">
        <f t="shared" si="101"/>
        <v>8.2595724479643052E-4</v>
      </c>
      <c r="H382" s="4">
        <f t="shared" si="102"/>
        <v>2.125174084134536E-2</v>
      </c>
      <c r="I382" s="4">
        <f t="shared" si="103"/>
        <v>0.72347046757629119</v>
      </c>
      <c r="J382" s="4">
        <f t="shared" si="104"/>
        <v>9.5721179811576712E-2</v>
      </c>
      <c r="K382" s="4">
        <f t="shared" si="105"/>
        <v>0.17575422431223089</v>
      </c>
      <c r="L382" s="4">
        <f t="shared" si="106"/>
        <v>5.0541282999024247E-3</v>
      </c>
      <c r="N382" s="10">
        <f t="shared" si="93"/>
        <v>0.16536534864070554</v>
      </c>
      <c r="O382" s="66">
        <v>4</v>
      </c>
      <c r="P382" s="10">
        <f t="shared" si="94"/>
        <v>1.3264243170607138E-2</v>
      </c>
      <c r="Q382" s="10">
        <f t="shared" si="95"/>
        <v>6.1862401722066068E-4</v>
      </c>
      <c r="R382" s="10">
        <f t="shared" si="96"/>
        <v>8.7516862021306249E-2</v>
      </c>
      <c r="S382" s="66"/>
      <c r="T382" s="5">
        <f t="shared" si="107"/>
        <v>30.24999999999984</v>
      </c>
      <c r="U382" s="12">
        <f t="shared" si="97"/>
        <v>13040.42168901108</v>
      </c>
      <c r="V382" s="12">
        <f t="shared" si="92"/>
        <v>311566.11080715747</v>
      </c>
    </row>
    <row r="383" spans="1:22">
      <c r="A383" s="5">
        <f t="shared" si="98"/>
        <v>30.333333333333172</v>
      </c>
      <c r="B383" s="4">
        <f t="shared" si="90"/>
        <v>1.6708302862314787E-2</v>
      </c>
      <c r="C383" s="4">
        <f t="shared" si="91"/>
        <v>1.783934265222405E-2</v>
      </c>
      <c r="D383" s="4">
        <f t="shared" si="99"/>
        <v>8.3541514311573936E-4</v>
      </c>
      <c r="E383" s="4">
        <f t="shared" si="100"/>
        <v>1.6708302862314787E-3</v>
      </c>
      <c r="F383" s="4">
        <f t="shared" si="101"/>
        <v>1.783934265222405E-2</v>
      </c>
      <c r="G383" s="4">
        <f t="shared" si="101"/>
        <v>8.3541514311573936E-4</v>
      </c>
      <c r="H383" s="4">
        <f t="shared" si="102"/>
        <v>2.1407211182668858E-2</v>
      </c>
      <c r="I383" s="4">
        <f t="shared" si="103"/>
        <v>0.72137021326894957</v>
      </c>
      <c r="J383" s="4">
        <f t="shared" si="104"/>
        <v>9.6556073749409568E-2</v>
      </c>
      <c r="K383" s="4">
        <f t="shared" si="105"/>
        <v>0.17697215066080393</v>
      </c>
      <c r="L383" s="4">
        <f t="shared" si="106"/>
        <v>5.1015623208381161E-3</v>
      </c>
      <c r="N383" s="10">
        <f t="shared" si="93"/>
        <v>0.16421625123249728</v>
      </c>
      <c r="O383" s="66">
        <v>2</v>
      </c>
      <c r="P383" s="10">
        <f t="shared" si="94"/>
        <v>6.6432552173546636E-3</v>
      </c>
      <c r="Q383" s="10">
        <f t="shared" si="95"/>
        <v>3.1110316766457869E-4</v>
      </c>
      <c r="R383" s="10">
        <f t="shared" si="96"/>
        <v>4.3960995819340633E-2</v>
      </c>
      <c r="S383" s="66"/>
      <c r="T383" s="5">
        <f t="shared" si="107"/>
        <v>30.333333333333172</v>
      </c>
      <c r="U383" s="12">
        <f t="shared" si="97"/>
        <v>12755.088393204285</v>
      </c>
      <c r="V383" s="12">
        <f t="shared" si="92"/>
        <v>306927.0143618689</v>
      </c>
    </row>
    <row r="384" spans="1:22">
      <c r="A384" s="5">
        <f t="shared" si="98"/>
        <v>30.416666666666504</v>
      </c>
      <c r="B384" s="4">
        <f t="shared" si="90"/>
        <v>1.6899680595101652E-2</v>
      </c>
      <c r="C384" s="4">
        <f t="shared" si="91"/>
        <v>1.7969876612589725E-2</v>
      </c>
      <c r="D384" s="4">
        <f t="shared" si="99"/>
        <v>8.4498402975508263E-4</v>
      </c>
      <c r="E384" s="4">
        <f t="shared" si="100"/>
        <v>1.6899680595101653E-3</v>
      </c>
      <c r="F384" s="4">
        <f t="shared" si="101"/>
        <v>1.7969876612589725E-2</v>
      </c>
      <c r="G384" s="4">
        <f t="shared" si="101"/>
        <v>8.4498402975508263E-4</v>
      </c>
      <c r="H384" s="4">
        <f t="shared" si="102"/>
        <v>2.156385193510767E-2</v>
      </c>
      <c r="I384" s="4">
        <f t="shared" si="103"/>
        <v>0.71925663350225122</v>
      </c>
      <c r="J384" s="4">
        <f t="shared" si="104"/>
        <v>9.7396772240732149E-2</v>
      </c>
      <c r="K384" s="4">
        <f t="shared" si="105"/>
        <v>0.17819719045416607</v>
      </c>
      <c r="L384" s="4">
        <f t="shared" si="106"/>
        <v>5.1494038028517689E-3</v>
      </c>
      <c r="N384" s="10">
        <f t="shared" si="93"/>
        <v>0.16307073521368634</v>
      </c>
      <c r="O384" s="66">
        <v>4</v>
      </c>
      <c r="P384" s="10">
        <f t="shared" si="94"/>
        <v>1.3308681056628739E-2</v>
      </c>
      <c r="Q384" s="10">
        <f t="shared" si="95"/>
        <v>6.2580412722904185E-4</v>
      </c>
      <c r="R384" s="10">
        <f t="shared" si="96"/>
        <v>8.8327656733034152E-2</v>
      </c>
      <c r="S384" s="66"/>
      <c r="T384" s="5">
        <f t="shared" si="107"/>
        <v>30.416666666666504</v>
      </c>
      <c r="U384" s="12">
        <f t="shared" si="97"/>
        <v>12468.594562505357</v>
      </c>
      <c r="V384" s="12">
        <f t="shared" si="92"/>
        <v>302263.91588735802</v>
      </c>
    </row>
    <row r="385" spans="1:22">
      <c r="A385" s="5">
        <f t="shared" si="98"/>
        <v>30.499999999999837</v>
      </c>
      <c r="B385" s="4">
        <f t="shared" si="90"/>
        <v>1.7093304143220491E-2</v>
      </c>
      <c r="C385" s="4">
        <f t="shared" si="91"/>
        <v>1.8101393258121198E-2</v>
      </c>
      <c r="D385" s="4">
        <f t="shared" si="99"/>
        <v>8.5466520716102456E-4</v>
      </c>
      <c r="E385" s="4">
        <f t="shared" si="100"/>
        <v>1.7093304143220491E-3</v>
      </c>
      <c r="F385" s="4">
        <f t="shared" si="101"/>
        <v>1.8101393258121198E-2</v>
      </c>
      <c r="G385" s="4">
        <f t="shared" si="101"/>
        <v>8.5466520716102456E-4</v>
      </c>
      <c r="H385" s="4">
        <f t="shared" si="102"/>
        <v>2.1721671909745437E-2</v>
      </c>
      <c r="I385" s="4">
        <f t="shared" si="103"/>
        <v>0.71712968989697323</v>
      </c>
      <c r="J385" s="4">
        <f t="shared" si="104"/>
        <v>9.8243280844164352E-2</v>
      </c>
      <c r="K385" s="4">
        <f t="shared" si="105"/>
        <v>0.17942937394730032</v>
      </c>
      <c r="L385" s="4">
        <f t="shared" si="106"/>
        <v>5.1976553115633643E-3</v>
      </c>
      <c r="N385" s="10">
        <f t="shared" si="93"/>
        <v>0.16192879403201743</v>
      </c>
      <c r="O385" s="66">
        <v>2</v>
      </c>
      <c r="P385" s="10">
        <f t="shared" si="94"/>
        <v>6.6653765367853477E-3</v>
      </c>
      <c r="Q385" s="10">
        <f t="shared" si="95"/>
        <v>3.1470867117160004E-4</v>
      </c>
      <c r="R385" s="10">
        <f t="shared" si="96"/>
        <v>4.4366914974974254E-2</v>
      </c>
      <c r="S385" s="66"/>
      <c r="T385" s="5">
        <f t="shared" si="107"/>
        <v>30.499999999999837</v>
      </c>
      <c r="U385" s="12">
        <f t="shared" si="97"/>
        <v>12181.038697205673</v>
      </c>
      <c r="V385" s="12">
        <f t="shared" si="92"/>
        <v>297576.57575209544</v>
      </c>
    </row>
    <row r="386" spans="1:22">
      <c r="A386" s="5">
        <f t="shared" si="98"/>
        <v>30.583333333333169</v>
      </c>
      <c r="B386" s="4">
        <f t="shared" si="90"/>
        <v>1.7289199861286506E-2</v>
      </c>
      <c r="C386" s="4">
        <f t="shared" si="91"/>
        <v>1.8233899986664442E-2</v>
      </c>
      <c r="D386" s="4">
        <f t="shared" si="99"/>
        <v>8.6445999306432536E-4</v>
      </c>
      <c r="E386" s="4">
        <f t="shared" si="100"/>
        <v>1.7289199861286507E-3</v>
      </c>
      <c r="F386" s="4">
        <f t="shared" si="101"/>
        <v>1.8233899986664442E-2</v>
      </c>
      <c r="G386" s="4">
        <f t="shared" si="101"/>
        <v>8.6445999306432536E-4</v>
      </c>
      <c r="H386" s="4">
        <f t="shared" si="102"/>
        <v>2.1880679983997332E-2</v>
      </c>
      <c r="I386" s="4">
        <f t="shared" si="103"/>
        <v>0.71498934506360079</v>
      </c>
      <c r="J386" s="4">
        <f t="shared" si="104"/>
        <v>9.9095604202171811E-2</v>
      </c>
      <c r="K386" s="4">
        <f t="shared" si="105"/>
        <v>0.18066873132720079</v>
      </c>
      <c r="L386" s="4">
        <f t="shared" si="106"/>
        <v>5.2463194070278855E-3</v>
      </c>
      <c r="N386" s="10">
        <f t="shared" si="93"/>
        <v>0.16079042137260052</v>
      </c>
      <c r="O386" s="66">
        <v>4</v>
      </c>
      <c r="P386" s="10">
        <f t="shared" si="94"/>
        <v>1.3352724507017761E-2</v>
      </c>
      <c r="Q386" s="10">
        <f t="shared" si="95"/>
        <v>6.3304592781404092E-4</v>
      </c>
      <c r="R386" s="10">
        <f t="shared" si="96"/>
        <v>8.9140483369985313E-2</v>
      </c>
      <c r="S386" s="66"/>
      <c r="T386" s="5">
        <f t="shared" si="107"/>
        <v>30.583333333333169</v>
      </c>
      <c r="U386" s="12">
        <f t="shared" si="97"/>
        <v>11892.523169899683</v>
      </c>
      <c r="V386" s="12">
        <f t="shared" si="92"/>
        <v>292864.75060169899</v>
      </c>
    </row>
    <row r="387" spans="1:22">
      <c r="A387" s="5">
        <f t="shared" si="98"/>
        <v>30.666666666666501</v>
      </c>
      <c r="B387" s="4">
        <f t="shared" si="90"/>
        <v>1.7487394413185971E-2</v>
      </c>
      <c r="C387" s="4">
        <f t="shared" si="91"/>
        <v>1.8367404251757858E-2</v>
      </c>
      <c r="D387" s="4">
        <f t="shared" si="99"/>
        <v>8.7436972065929857E-4</v>
      </c>
      <c r="E387" s="4">
        <f t="shared" si="100"/>
        <v>1.7487394413185971E-3</v>
      </c>
      <c r="F387" s="4">
        <f t="shared" si="101"/>
        <v>1.8367404251757858E-2</v>
      </c>
      <c r="G387" s="4">
        <f t="shared" si="101"/>
        <v>8.7436972065929857E-4</v>
      </c>
      <c r="H387" s="4">
        <f t="shared" si="102"/>
        <v>2.2040885102109428E-2</v>
      </c>
      <c r="I387" s="4">
        <f t="shared" si="103"/>
        <v>0.71283556262955516</v>
      </c>
      <c r="J387" s="4">
        <f t="shared" si="104"/>
        <v>9.9953746018287687E-2</v>
      </c>
      <c r="K387" s="4">
        <f t="shared" si="105"/>
        <v>0.18191529270900081</v>
      </c>
      <c r="L387" s="4">
        <f t="shared" si="106"/>
        <v>5.2953986431576389E-3</v>
      </c>
      <c r="N387" s="10">
        <f t="shared" si="93"/>
        <v>0.15965561115925539</v>
      </c>
      <c r="O387" s="66">
        <v>2</v>
      </c>
      <c r="P387" s="10">
        <f t="shared" si="94"/>
        <v>6.6872966813515487E-3</v>
      </c>
      <c r="Q387" s="10">
        <f t="shared" si="95"/>
        <v>3.1834491423466126E-4</v>
      </c>
      <c r="R387" s="10">
        <f t="shared" si="96"/>
        <v>4.4773794251619911E-2</v>
      </c>
      <c r="S387" s="66"/>
      <c r="T387" s="5">
        <f t="shared" si="107"/>
        <v>30.666666666666501</v>
      </c>
      <c r="U387" s="12">
        <f t="shared" si="97"/>
        <v>11603.154343192553</v>
      </c>
      <c r="V387" s="12">
        <f t="shared" si="92"/>
        <v>288128.19329067832</v>
      </c>
    </row>
    <row r="388" spans="1:22">
      <c r="A388" s="5">
        <f t="shared" si="98"/>
        <v>30.749999999999833</v>
      </c>
      <c r="B388" s="4">
        <f t="shared" si="90"/>
        <v>1.7687914775705554E-2</v>
      </c>
      <c r="C388" s="4">
        <f t="shared" si="91"/>
        <v>1.8501913563051579E-2</v>
      </c>
      <c r="D388" s="4">
        <f t="shared" si="99"/>
        <v>8.8439573878527781E-4</v>
      </c>
      <c r="E388" s="4">
        <f t="shared" si="100"/>
        <v>1.7687914775705556E-3</v>
      </c>
      <c r="F388" s="4">
        <f t="shared" si="101"/>
        <v>1.8501913563051579E-2</v>
      </c>
      <c r="G388" s="4">
        <f t="shared" si="101"/>
        <v>8.8439573878527781E-4</v>
      </c>
      <c r="H388" s="4">
        <f t="shared" si="102"/>
        <v>2.2202296275661896E-2</v>
      </c>
      <c r="I388" s="4">
        <f t="shared" si="103"/>
        <v>0.71066830726679697</v>
      </c>
      <c r="J388" s="4">
        <f t="shared" si="104"/>
        <v>0.10081770903402922</v>
      </c>
      <c r="K388" s="4">
        <f t="shared" si="105"/>
        <v>0.18316908813204294</v>
      </c>
      <c r="L388" s="4">
        <f t="shared" si="106"/>
        <v>5.3448955671321031E-3</v>
      </c>
      <c r="N388" s="10">
        <f t="shared" si="93"/>
        <v>0.15852435755584937</v>
      </c>
      <c r="O388" s="66">
        <v>4</v>
      </c>
      <c r="P388" s="10">
        <f t="shared" si="94"/>
        <v>1.3396357630585951E-2</v>
      </c>
      <c r="Q388" s="10">
        <f t="shared" si="95"/>
        <v>6.4034898678770927E-4</v>
      </c>
      <c r="R388" s="10">
        <f t="shared" si="96"/>
        <v>8.9955116283929604E-2</v>
      </c>
      <c r="S388" s="66"/>
      <c r="T388" s="5">
        <f t="shared" si="107"/>
        <v>30.749999999999833</v>
      </c>
      <c r="U388" s="12">
        <f t="shared" si="97"/>
        <v>11313.042691016668</v>
      </c>
      <c r="V388" s="12">
        <f t="shared" si="92"/>
        <v>283366.65281275945</v>
      </c>
    </row>
    <row r="389" spans="1:22">
      <c r="A389" s="5">
        <f t="shared" si="98"/>
        <v>30.833333333333165</v>
      </c>
      <c r="B389" s="4">
        <f t="shared" si="90"/>
        <v>1.7890788242204171E-2</v>
      </c>
      <c r="C389" s="4">
        <f t="shared" si="91"/>
        <v>1.8637435486729841E-2</v>
      </c>
      <c r="D389" s="4">
        <f t="shared" si="99"/>
        <v>8.9453941211020856E-4</v>
      </c>
      <c r="E389" s="4">
        <f t="shared" si="100"/>
        <v>1.7890788242204171E-3</v>
      </c>
      <c r="F389" s="4">
        <f t="shared" si="101"/>
        <v>1.8637435486729841E-2</v>
      </c>
      <c r="G389" s="4">
        <f t="shared" si="101"/>
        <v>8.9453941211020856E-4</v>
      </c>
      <c r="H389" s="4">
        <f t="shared" si="102"/>
        <v>2.2364922584075807E-2</v>
      </c>
      <c r="I389" s="4">
        <f t="shared" si="103"/>
        <v>0.70848754471980613</v>
      </c>
      <c r="J389" s="4">
        <f t="shared" si="104"/>
        <v>0.10168749500550972</v>
      </c>
      <c r="K389" s="4">
        <f t="shared" si="105"/>
        <v>0.18443014755589018</v>
      </c>
      <c r="L389" s="4">
        <f t="shared" si="106"/>
        <v>5.3948127187951334E-3</v>
      </c>
      <c r="N389" s="10">
        <f t="shared" si="93"/>
        <v>0.15739665496762803</v>
      </c>
      <c r="O389" s="66">
        <v>2</v>
      </c>
      <c r="P389" s="10">
        <f t="shared" si="94"/>
        <v>6.7090076424146002E-3</v>
      </c>
      <c r="Q389" s="10">
        <f t="shared" si="95"/>
        <v>3.2201167143202714E-4</v>
      </c>
      <c r="R389" s="10">
        <f t="shared" si="96"/>
        <v>4.5181518532508305E-2</v>
      </c>
      <c r="S389" s="66"/>
      <c r="T389" s="5">
        <f t="shared" si="107"/>
        <v>30.833333333333165</v>
      </c>
      <c r="U389" s="12">
        <f t="shared" si="97"/>
        <v>11022.302923675879</v>
      </c>
      <c r="V389" s="12">
        <f t="shared" si="92"/>
        <v>278579.87422975502</v>
      </c>
    </row>
    <row r="390" spans="1:22">
      <c r="A390" s="5">
        <f t="shared" si="98"/>
        <v>30.916666666666497</v>
      </c>
      <c r="B390" s="4">
        <f t="shared" si="90"/>
        <v>1.8096042426327966E-2</v>
      </c>
      <c r="C390" s="4">
        <f t="shared" si="91"/>
        <v>1.8773977645936576E-2</v>
      </c>
      <c r="D390" s="4">
        <f t="shared" si="99"/>
        <v>9.0480212131639835E-4</v>
      </c>
      <c r="E390" s="4">
        <f t="shared" si="100"/>
        <v>1.8096042426327967E-3</v>
      </c>
      <c r="F390" s="4">
        <f t="shared" si="101"/>
        <v>1.8773977645936576E-2</v>
      </c>
      <c r="G390" s="4">
        <f t="shared" si="101"/>
        <v>9.0480212131639835E-4</v>
      </c>
      <c r="H390" s="4">
        <f t="shared" si="102"/>
        <v>2.252877317512389E-2</v>
      </c>
      <c r="I390" s="4">
        <f t="shared" si="103"/>
        <v>0.70629324183393727</v>
      </c>
      <c r="J390" s="4">
        <f t="shared" si="104"/>
        <v>0.10256310467974683</v>
      </c>
      <c r="K390" s="4">
        <f t="shared" si="105"/>
        <v>0.18569850085627776</v>
      </c>
      <c r="L390" s="4">
        <f t="shared" si="106"/>
        <v>5.445152630039367E-3</v>
      </c>
      <c r="N390" s="10">
        <f t="shared" si="93"/>
        <v>0.15627249804253784</v>
      </c>
      <c r="O390" s="66">
        <v>4</v>
      </c>
      <c r="P390" s="10">
        <f t="shared" si="94"/>
        <v>1.3439564283779192E-2</v>
      </c>
      <c r="Q390" s="10">
        <f t="shared" si="95"/>
        <v>6.477128343744165E-4</v>
      </c>
      <c r="R390" s="10">
        <f t="shared" si="96"/>
        <v>9.077132061286676E-2</v>
      </c>
      <c r="S390" s="66"/>
      <c r="T390" s="5">
        <f t="shared" si="107"/>
        <v>30.916666666666497</v>
      </c>
      <c r="U390" s="12">
        <f t="shared" si="97"/>
        <v>10731.054116740605</v>
      </c>
      <c r="V390" s="12">
        <f t="shared" si="92"/>
        <v>273767.59859894577</v>
      </c>
    </row>
    <row r="391" spans="1:22">
      <c r="A391" s="5">
        <f t="shared" si="98"/>
        <v>30.999999999999829</v>
      </c>
      <c r="B391" s="4">
        <f t="shared" si="90"/>
        <v>1.8303705265768858E-2</v>
      </c>
      <c r="C391" s="4">
        <f t="shared" si="91"/>
        <v>1.8911547721204219E-2</v>
      </c>
      <c r="D391" s="4">
        <f t="shared" si="99"/>
        <v>9.1518526328844291E-4</v>
      </c>
      <c r="E391" s="4">
        <f t="shared" si="100"/>
        <v>1.8303705265768858E-3</v>
      </c>
      <c r="F391" s="4">
        <f t="shared" si="101"/>
        <v>1.8911547721204219E-2</v>
      </c>
      <c r="G391" s="4">
        <f t="shared" si="101"/>
        <v>9.1518526328844291E-4</v>
      </c>
      <c r="H391" s="4">
        <f t="shared" si="102"/>
        <v>2.2693857265445063E-2</v>
      </c>
      <c r="I391" s="4">
        <f t="shared" si="103"/>
        <v>0.70408536658415066</v>
      </c>
      <c r="J391" s="4">
        <f t="shared" si="104"/>
        <v>0.10344453777066775</v>
      </c>
      <c r="K391" s="4">
        <f t="shared" si="105"/>
        <v>0.18697417782100509</v>
      </c>
      <c r="L391" s="4">
        <f t="shared" si="106"/>
        <v>5.4959178241776778E-3</v>
      </c>
      <c r="N391" s="10">
        <f t="shared" si="93"/>
        <v>0.15515188167253954</v>
      </c>
      <c r="O391" s="66">
        <v>2</v>
      </c>
      <c r="P391" s="10">
        <f t="shared" si="94"/>
        <v>6.7305012849739106E-3</v>
      </c>
      <c r="Q391" s="10">
        <f t="shared" si="95"/>
        <v>3.2570869827040408E-4</v>
      </c>
      <c r="R391" s="10">
        <f t="shared" si="96"/>
        <v>4.5589968050974906E-2</v>
      </c>
      <c r="S391" s="66"/>
      <c r="T391" s="5">
        <f t="shared" si="107"/>
        <v>30.999999999999829</v>
      </c>
      <c r="U391" s="12">
        <f t="shared" si="97"/>
        <v>10439.419843921298</v>
      </c>
      <c r="V391" s="12">
        <f t="shared" si="92"/>
        <v>268929.56289893709</v>
      </c>
    </row>
    <row r="392" spans="1:22">
      <c r="A392" s="5">
        <f t="shared" si="98"/>
        <v>31.083333333333162</v>
      </c>
      <c r="B392" s="4">
        <f t="shared" si="90"/>
        <v>1.8513805026067327E-2</v>
      </c>
      <c r="C392" s="4">
        <f t="shared" si="91"/>
        <v>1.9050153450885794E-2</v>
      </c>
      <c r="D392" s="4">
        <f t="shared" si="99"/>
        <v>9.2569025130336642E-4</v>
      </c>
      <c r="E392" s="4">
        <f t="shared" si="100"/>
        <v>1.8513805026067328E-3</v>
      </c>
      <c r="F392" s="4">
        <f t="shared" si="101"/>
        <v>1.9050153450885794E-2</v>
      </c>
      <c r="G392" s="4">
        <f t="shared" si="101"/>
        <v>9.2569025130336642E-4</v>
      </c>
      <c r="H392" s="4">
        <f t="shared" si="102"/>
        <v>2.2860184141062952E-2</v>
      </c>
      <c r="I392" s="4">
        <f t="shared" si="103"/>
        <v>0.70186388810411904</v>
      </c>
      <c r="J392" s="4">
        <f t="shared" si="104"/>
        <v>0.104331792934813</v>
      </c>
      <c r="K392" s="4">
        <f t="shared" si="105"/>
        <v>0.1882572081457676</v>
      </c>
      <c r="L392" s="4">
        <f t="shared" si="106"/>
        <v>5.5471108153014904E-3</v>
      </c>
      <c r="N392" s="10">
        <f t="shared" si="93"/>
        <v>0.15403480099491226</v>
      </c>
      <c r="O392" s="66">
        <v>4</v>
      </c>
      <c r="P392" s="10">
        <f t="shared" si="94"/>
        <v>1.3482328069996984E-2</v>
      </c>
      <c r="Q392" s="10">
        <f t="shared" si="95"/>
        <v>6.5513696209568443E-4</v>
      </c>
      <c r="R392" s="10">
        <f t="shared" si="96"/>
        <v>9.1588852109583258E-2</v>
      </c>
      <c r="S392" s="66"/>
      <c r="T392" s="5">
        <f t="shared" si="107"/>
        <v>31.083333333333162</v>
      </c>
      <c r="U392" s="12">
        <f t="shared" si="97"/>
        <v>10147.528314052392</v>
      </c>
      <c r="V392" s="12">
        <f t="shared" si="92"/>
        <v>264065.49995395326</v>
      </c>
    </row>
    <row r="393" spans="1:22">
      <c r="A393" s="5">
        <f t="shared" si="98"/>
        <v>31.166666666666494</v>
      </c>
      <c r="B393" s="4">
        <f t="shared" si="90"/>
        <v>1.8726370304459519E-2</v>
      </c>
      <c r="C393" s="4">
        <f t="shared" si="91"/>
        <v>1.9189802631590164E-2</v>
      </c>
      <c r="D393" s="4">
        <f t="shared" si="99"/>
        <v>9.3631851522297605E-4</v>
      </c>
      <c r="E393" s="4">
        <f t="shared" si="100"/>
        <v>1.8726370304459521E-3</v>
      </c>
      <c r="F393" s="4">
        <f t="shared" si="101"/>
        <v>1.9189802631590164E-2</v>
      </c>
      <c r="G393" s="4">
        <f t="shared" si="101"/>
        <v>9.3631851522297605E-4</v>
      </c>
      <c r="H393" s="4">
        <f t="shared" si="102"/>
        <v>2.3027763157908197E-2</v>
      </c>
      <c r="I393" s="4">
        <f t="shared" si="103"/>
        <v>0.69962877671570789</v>
      </c>
      <c r="J393" s="4">
        <f t="shared" si="104"/>
        <v>0.10522486774673971</v>
      </c>
      <c r="K393" s="4">
        <f t="shared" si="105"/>
        <v>0.18954762142992776</v>
      </c>
      <c r="L393" s="4">
        <f t="shared" si="106"/>
        <v>5.5987341076258182E-3</v>
      </c>
      <c r="N393" s="10">
        <f t="shared" si="93"/>
        <v>0.15292125139354637</v>
      </c>
      <c r="O393" s="66">
        <v>2</v>
      </c>
      <c r="P393" s="10">
        <f t="shared" si="94"/>
        <v>6.7517693473626711E-3</v>
      </c>
      <c r="Q393" s="10">
        <f t="shared" si="95"/>
        <v>3.2943573062308042E-4</v>
      </c>
      <c r="R393" s="10">
        <f t="shared" si="96"/>
        <v>4.5999018305361766E-2</v>
      </c>
      <c r="S393" s="66"/>
      <c r="T393" s="5">
        <f t="shared" si="107"/>
        <v>31.166666666666494</v>
      </c>
      <c r="U393" s="12">
        <f t="shared" si="97"/>
        <v>9855.5125123235484</v>
      </c>
      <c r="V393" s="12">
        <f t="shared" si="92"/>
        <v>259175.13835653223</v>
      </c>
    </row>
    <row r="394" spans="1:22">
      <c r="A394" s="5">
        <f t="shared" si="98"/>
        <v>31.249999999999826</v>
      </c>
      <c r="B394" s="4">
        <f t="shared" si="90"/>
        <v>1.8941430033769833E-2</v>
      </c>
      <c r="C394" s="4">
        <f t="shared" si="91"/>
        <v>1.9330503118620546E-2</v>
      </c>
      <c r="D394" s="4">
        <f t="shared" si="99"/>
        <v>9.4707150168849171E-4</v>
      </c>
      <c r="E394" s="4">
        <f t="shared" si="100"/>
        <v>1.8941430033769834E-3</v>
      </c>
      <c r="F394" s="4">
        <f t="shared" si="101"/>
        <v>1.9330503118620546E-2</v>
      </c>
      <c r="G394" s="4">
        <f t="shared" si="101"/>
        <v>9.4707150168849171E-4</v>
      </c>
      <c r="H394" s="4">
        <f t="shared" si="102"/>
        <v>2.3196603742344654E-2</v>
      </c>
      <c r="I394" s="4">
        <f t="shared" si="103"/>
        <v>0.69738000395882915</v>
      </c>
      <c r="J394" s="4">
        <f t="shared" si="104"/>
        <v>0.10612375867412635</v>
      </c>
      <c r="K394" s="4">
        <f t="shared" si="105"/>
        <v>0.19084544717222485</v>
      </c>
      <c r="L394" s="4">
        <f t="shared" si="106"/>
        <v>5.650790194820848E-3</v>
      </c>
      <c r="N394" s="10">
        <f t="shared" si="93"/>
        <v>0.15181122850022508</v>
      </c>
      <c r="O394" s="66">
        <v>4</v>
      </c>
      <c r="P394" s="10">
        <f t="shared" si="94"/>
        <v>1.3524632339057527E-2</v>
      </c>
      <c r="Q394" s="10">
        <f t="shared" si="95"/>
        <v>6.6262082163798361E-4</v>
      </c>
      <c r="R394" s="10">
        <f t="shared" si="96"/>
        <v>9.2407456972807972E-2</v>
      </c>
      <c r="S394" s="66"/>
      <c r="T394" s="5">
        <f t="shared" si="107"/>
        <v>31.249999999999826</v>
      </c>
      <c r="U394" s="12">
        <f t="shared" si="97"/>
        <v>9563.510345900002</v>
      </c>
      <c r="V394" s="12">
        <f t="shared" si="92"/>
        <v>254258.2023885813</v>
      </c>
    </row>
    <row r="395" spans="1:22">
      <c r="A395" s="5">
        <f t="shared" si="98"/>
        <v>31.333333333333158</v>
      </c>
      <c r="B395" s="4">
        <f t="shared" si="90"/>
        <v>1.9159013486348998E-2</v>
      </c>
      <c r="C395" s="4">
        <f t="shared" si="91"/>
        <v>1.9472262826416415E-2</v>
      </c>
      <c r="D395" s="4">
        <f t="shared" si="99"/>
        <v>9.5795067431744992E-4</v>
      </c>
      <c r="E395" s="4">
        <f t="shared" si="100"/>
        <v>1.9159013486348998E-3</v>
      </c>
      <c r="F395" s="4">
        <f t="shared" si="101"/>
        <v>1.9472262826416415E-2</v>
      </c>
      <c r="G395" s="4">
        <f t="shared" si="101"/>
        <v>9.5795067431744992E-4</v>
      </c>
      <c r="H395" s="4">
        <f t="shared" si="102"/>
        <v>2.3366715391699697E-2</v>
      </c>
      <c r="I395" s="4">
        <f t="shared" si="103"/>
        <v>0.69511754262166758</v>
      </c>
      <c r="J395" s="4">
        <f t="shared" si="104"/>
        <v>0.10702846105258047</v>
      </c>
      <c r="K395" s="4">
        <f t="shared" si="105"/>
        <v>0.1921507147664232</v>
      </c>
      <c r="L395" s="4">
        <f t="shared" si="106"/>
        <v>5.7032815593299115E-3</v>
      </c>
      <c r="N395" s="10">
        <f t="shared" si="93"/>
        <v>0.15070472819589306</v>
      </c>
      <c r="O395" s="66">
        <v>2</v>
      </c>
      <c r="P395" s="10">
        <f t="shared" si="94"/>
        <v>6.7728034410179487E-3</v>
      </c>
      <c r="Q395" s="10">
        <f t="shared" si="95"/>
        <v>3.3319248415961898E-4</v>
      </c>
      <c r="R395" s="10">
        <f t="shared" si="96"/>
        <v>4.6408539975325569E-2</v>
      </c>
      <c r="S395" s="66"/>
      <c r="T395" s="5">
        <f t="shared" si="107"/>
        <v>31.333333333333158</v>
      </c>
      <c r="U395" s="12">
        <f t="shared" si="97"/>
        <v>9271.6647940788826</v>
      </c>
      <c r="V395" s="12">
        <f t="shared" si="92"/>
        <v>249314.41194075372</v>
      </c>
    </row>
    <row r="396" spans="1:22">
      <c r="A396" s="5">
        <f t="shared" si="98"/>
        <v>31.41666666666649</v>
      </c>
      <c r="B396" s="4">
        <f t="shared" si="90"/>
        <v>1.9379150278058432E-2</v>
      </c>
      <c r="C396" s="4">
        <f t="shared" si="91"/>
        <v>1.9615089728998749E-2</v>
      </c>
      <c r="D396" s="4">
        <f t="shared" si="99"/>
        <v>9.6895751390292163E-4</v>
      </c>
      <c r="E396" s="4">
        <f t="shared" si="100"/>
        <v>1.9379150278058433E-3</v>
      </c>
      <c r="F396" s="4">
        <f t="shared" si="101"/>
        <v>1.9615089728998749E-2</v>
      </c>
      <c r="G396" s="4">
        <f t="shared" si="101"/>
        <v>9.6895751390292163E-4</v>
      </c>
      <c r="H396" s="4">
        <f t="shared" si="102"/>
        <v>2.3538107674798497E-2</v>
      </c>
      <c r="I396" s="4">
        <f t="shared" si="103"/>
        <v>0.69284136677127761</v>
      </c>
      <c r="J396" s="4">
        <f t="shared" si="104"/>
        <v>0.10793896906015166</v>
      </c>
      <c r="K396" s="4">
        <f t="shared" si="105"/>
        <v>0.19346345349689822</v>
      </c>
      <c r="L396" s="4">
        <f t="shared" si="106"/>
        <v>5.7562106716736779E-3</v>
      </c>
      <c r="N396" s="10">
        <f t="shared" si="93"/>
        <v>0.14960174661191195</v>
      </c>
      <c r="O396" s="66">
        <v>4</v>
      </c>
      <c r="P396" s="10">
        <f t="shared" si="94"/>
        <v>1.3566460186814851E-2</v>
      </c>
      <c r="Q396" s="10">
        <f t="shared" si="95"/>
        <v>6.7016382370380751E-4</v>
      </c>
      <c r="R396" s="10">
        <f t="shared" si="96"/>
        <v>9.3226871681399356E-2</v>
      </c>
      <c r="S396" s="66"/>
      <c r="T396" s="5">
        <f t="shared" si="107"/>
        <v>31.41666666666649</v>
      </c>
      <c r="U396" s="12">
        <f t="shared" si="97"/>
        <v>8980.1240631337696</v>
      </c>
      <c r="V396" s="12">
        <f t="shared" si="92"/>
        <v>244343.48243010507</v>
      </c>
    </row>
    <row r="397" spans="1:22">
      <c r="A397" s="5">
        <f t="shared" si="98"/>
        <v>31.499999999999822</v>
      </c>
      <c r="B397" s="4">
        <f t="shared" si="90"/>
        <v>1.9601870372301305E-2</v>
      </c>
      <c r="C397" s="4">
        <f t="shared" si="91"/>
        <v>1.9758991860418462E-2</v>
      </c>
      <c r="D397" s="4">
        <f t="shared" si="99"/>
        <v>9.800935186150652E-4</v>
      </c>
      <c r="E397" s="4">
        <f t="shared" si="100"/>
        <v>1.9601870372301304E-3</v>
      </c>
      <c r="F397" s="4">
        <f t="shared" si="101"/>
        <v>1.9758991860418462E-2</v>
      </c>
      <c r="G397" s="4">
        <f t="shared" si="101"/>
        <v>9.800935186150652E-4</v>
      </c>
      <c r="H397" s="4">
        <f t="shared" si="102"/>
        <v>2.3710790232502155E-2</v>
      </c>
      <c r="I397" s="4">
        <f t="shared" si="103"/>
        <v>0.6905514517845488</v>
      </c>
      <c r="J397" s="4">
        <f t="shared" si="104"/>
        <v>0.108855275691552</v>
      </c>
      <c r="K397" s="4">
        <f t="shared" si="105"/>
        <v>0.19478369253415986</v>
      </c>
      <c r="L397" s="4">
        <f t="shared" si="106"/>
        <v>5.8095799897404177E-3</v>
      </c>
      <c r="N397" s="10">
        <f t="shared" si="93"/>
        <v>0.14850228013130085</v>
      </c>
      <c r="O397" s="66">
        <v>2</v>
      </c>
      <c r="P397" s="10">
        <f t="shared" si="94"/>
        <v>6.7935950503288239E-3</v>
      </c>
      <c r="Q397" s="10">
        <f t="shared" si="95"/>
        <v>3.3697865376729061E-4</v>
      </c>
      <c r="R397" s="10">
        <f t="shared" si="96"/>
        <v>4.6818398839773574E-2</v>
      </c>
      <c r="S397" s="66"/>
      <c r="T397" s="5">
        <f t="shared" si="107"/>
        <v>31.499999999999822</v>
      </c>
      <c r="U397" s="12">
        <f t="shared" si="97"/>
        <v>8689.0417460052158</v>
      </c>
      <c r="V397" s="12">
        <f t="shared" si="92"/>
        <v>239345.12471598666</v>
      </c>
    </row>
    <row r="398" spans="1:22">
      <c r="A398" s="5">
        <f t="shared" si="98"/>
        <v>31.583333333333155</v>
      </c>
      <c r="B398" s="4">
        <f t="shared" si="90"/>
        <v>1.982720408410096E-2</v>
      </c>
      <c r="C398" s="4">
        <f t="shared" si="91"/>
        <v>1.9903977315208387E-2</v>
      </c>
      <c r="D398" s="4">
        <f t="shared" si="99"/>
        <v>9.9136020420504799E-4</v>
      </c>
      <c r="E398" s="4">
        <f t="shared" si="100"/>
        <v>1.982720408410096E-3</v>
      </c>
      <c r="F398" s="4">
        <f t="shared" si="101"/>
        <v>1.9903977315208387E-2</v>
      </c>
      <c r="G398" s="4">
        <f t="shared" si="101"/>
        <v>9.9136020420504799E-4</v>
      </c>
      <c r="H398" s="4">
        <f t="shared" si="102"/>
        <v>2.3884772778250064E-2</v>
      </c>
      <c r="I398" s="4">
        <f t="shared" si="103"/>
        <v>0.6882477743795391</v>
      </c>
      <c r="J398" s="4">
        <f t="shared" si="104"/>
        <v>0.1097773727320866</v>
      </c>
      <c r="K398" s="4">
        <f t="shared" si="105"/>
        <v>0.19611146093031318</v>
      </c>
      <c r="L398" s="4">
        <f t="shared" si="106"/>
        <v>5.8633919580621625E-3</v>
      </c>
      <c r="N398" s="10">
        <f t="shared" si="93"/>
        <v>0.14740632538996157</v>
      </c>
      <c r="O398" s="66">
        <v>4</v>
      </c>
      <c r="P398" s="10">
        <f t="shared" si="94"/>
        <v>1.3607794454936021E-2</v>
      </c>
      <c r="Q398" s="10">
        <f t="shared" si="95"/>
        <v>6.7776533684641891E-4</v>
      </c>
      <c r="R398" s="10">
        <f t="shared" si="96"/>
        <v>9.4046822832019442E-2</v>
      </c>
      <c r="S398" s="66"/>
      <c r="T398" s="5">
        <f t="shared" si="107"/>
        <v>31.583333333333155</v>
      </c>
      <c r="U398" s="12">
        <f t="shared" si="97"/>
        <v>8398.5769870007716</v>
      </c>
      <c r="V398" s="12">
        <f t="shared" si="92"/>
        <v>234319.04501413289</v>
      </c>
    </row>
    <row r="399" spans="1:22">
      <c r="A399" s="5">
        <f t="shared" si="98"/>
        <v>31.666666666666487</v>
      </c>
      <c r="B399" s="4">
        <f t="shared" si="90"/>
        <v>2.0055182084227165E-2</v>
      </c>
      <c r="C399" s="4">
        <f t="shared" si="91"/>
        <v>2.0050054248838562E-2</v>
      </c>
      <c r="D399" s="4">
        <f t="shared" si="99"/>
        <v>1.0027591042113583E-3</v>
      </c>
      <c r="E399" s="4">
        <f t="shared" si="100"/>
        <v>2.0055182084227166E-3</v>
      </c>
      <c r="F399" s="4">
        <f t="shared" si="101"/>
        <v>2.0050054248838562E-2</v>
      </c>
      <c r="G399" s="4">
        <f t="shared" si="101"/>
        <v>1.0027591042113583E-3</v>
      </c>
      <c r="H399" s="4">
        <f t="shared" si="102"/>
        <v>2.4060065098606274E-2</v>
      </c>
      <c r="I399" s="4">
        <f t="shared" si="103"/>
        <v>0.68593031264717252</v>
      </c>
      <c r="J399" s="4">
        <f t="shared" si="104"/>
        <v>0.11070525073129681</v>
      </c>
      <c r="K399" s="4">
        <f t="shared" si="105"/>
        <v>0.19744678761445514</v>
      </c>
      <c r="L399" s="4">
        <f t="shared" si="106"/>
        <v>5.9176490070765968E-3</v>
      </c>
      <c r="N399" s="10">
        <f t="shared" si="93"/>
        <v>0.14631387927788683</v>
      </c>
      <c r="O399" s="66">
        <v>2</v>
      </c>
      <c r="P399" s="10">
        <f t="shared" si="94"/>
        <v>6.8141355325662296E-3</v>
      </c>
      <c r="Q399" s="10">
        <f t="shared" si="95"/>
        <v>3.4079391296443554E-4</v>
      </c>
      <c r="R399" s="10">
        <f t="shared" si="96"/>
        <v>4.7228455696661717E-2</v>
      </c>
      <c r="S399" s="66"/>
      <c r="T399" s="5">
        <f t="shared" si="107"/>
        <v>31.666666666666487</v>
      </c>
      <c r="U399" s="12">
        <f t="shared" si="97"/>
        <v>8108.8946516739798</v>
      </c>
      <c r="V399" s="12">
        <f t="shared" si="92"/>
        <v>229264.94480889698</v>
      </c>
    </row>
    <row r="400" spans="1:22">
      <c r="A400" s="5">
        <f t="shared" si="98"/>
        <v>31.749999999999819</v>
      </c>
      <c r="B400" s="4">
        <f t="shared" si="90"/>
        <v>2.0285835403370756E-2</v>
      </c>
      <c r="C400" s="4">
        <f t="shared" si="91"/>
        <v>2.019723087817505E-2</v>
      </c>
      <c r="D400" s="4">
        <f t="shared" si="99"/>
        <v>1.0142917701685377E-3</v>
      </c>
      <c r="E400" s="4">
        <f t="shared" si="100"/>
        <v>2.0285835403370755E-3</v>
      </c>
      <c r="F400" s="4">
        <f t="shared" si="101"/>
        <v>2.019723087817505E-2</v>
      </c>
      <c r="G400" s="4">
        <f t="shared" si="101"/>
        <v>1.0142917701685377E-3</v>
      </c>
      <c r="H400" s="4">
        <f t="shared" si="102"/>
        <v>2.4236677053810059E-2</v>
      </c>
      <c r="I400" s="4">
        <f t="shared" si="103"/>
        <v>0.68359904608329913</v>
      </c>
      <c r="J400" s="4">
        <f t="shared" si="104"/>
        <v>0.11163889897631946</v>
      </c>
      <c r="K400" s="4">
        <f t="shared" si="105"/>
        <v>0.19878970138800792</v>
      </c>
      <c r="L400" s="4">
        <f t="shared" si="106"/>
        <v>5.9723535523745416E-3</v>
      </c>
      <c r="N400" s="10">
        <f t="shared" si="93"/>
        <v>0.14522493894035127</v>
      </c>
      <c r="O400" s="66">
        <v>4</v>
      </c>
      <c r="P400" s="10">
        <f t="shared" si="94"/>
        <v>1.3648617730845362E-2</v>
      </c>
      <c r="Q400" s="10">
        <f t="shared" si="95"/>
        <v>6.8542468628866307E-4</v>
      </c>
      <c r="R400" s="10">
        <f t="shared" si="96"/>
        <v>9.4867026980774635E-2</v>
      </c>
      <c r="S400" s="66"/>
      <c r="T400" s="5">
        <f t="shared" si="107"/>
        <v>31.749999999999819</v>
      </c>
      <c r="U400" s="12">
        <f t="shared" si="97"/>
        <v>7820.165502058052</v>
      </c>
      <c r="V400" s="12">
        <f t="shared" si="92"/>
        <v>224182.52076358948</v>
      </c>
    </row>
    <row r="401" spans="1:22">
      <c r="A401" s="5">
        <f t="shared" si="98"/>
        <v>31.833333333333151</v>
      </c>
      <c r="B401" s="4">
        <f t="shared" si="90"/>
        <v>2.0519195436367453E-2</v>
      </c>
      <c r="C401" s="4">
        <f t="shared" si="91"/>
        <v>2.0345515481942068E-2</v>
      </c>
      <c r="D401" s="4">
        <f t="shared" si="99"/>
        <v>1.0259597718183728E-3</v>
      </c>
      <c r="E401" s="4">
        <f t="shared" si="100"/>
        <v>2.0519195436367456E-3</v>
      </c>
      <c r="F401" s="4">
        <f t="shared" si="101"/>
        <v>2.0345515481942068E-2</v>
      </c>
      <c r="G401" s="4">
        <f t="shared" si="101"/>
        <v>1.0259597718183728E-3</v>
      </c>
      <c r="H401" s="4">
        <f t="shared" si="102"/>
        <v>2.441461857833048E-2</v>
      </c>
      <c r="I401" s="4">
        <f t="shared" si="103"/>
        <v>0.68125395562111546</v>
      </c>
      <c r="J401" s="4">
        <f t="shared" si="104"/>
        <v>0.11257830546496528</v>
      </c>
      <c r="K401" s="4">
        <f t="shared" si="105"/>
        <v>0.20014023091998748</v>
      </c>
      <c r="L401" s="4">
        <f t="shared" si="106"/>
        <v>6.0275079939328445E-3</v>
      </c>
      <c r="N401" s="10">
        <f t="shared" si="93"/>
        <v>0.144139501779083</v>
      </c>
      <c r="O401" s="66">
        <v>2</v>
      </c>
      <c r="P401" s="10">
        <f t="shared" si="94"/>
        <v>6.8344161178984604E-3</v>
      </c>
      <c r="Q401" s="10">
        <f t="shared" si="95"/>
        <v>3.4463791330597459E-4</v>
      </c>
      <c r="R401" s="10">
        <f t="shared" si="96"/>
        <v>4.7638566284900284E-2</v>
      </c>
      <c r="S401" s="66"/>
      <c r="T401" s="5">
        <f t="shared" si="107"/>
        <v>31.833333333333151</v>
      </c>
      <c r="U401" s="12">
        <f t="shared" si="97"/>
        <v>7532.5663774363766</v>
      </c>
      <c r="V401" s="12">
        <f t="shared" si="92"/>
        <v>219071.46462887173</v>
      </c>
    </row>
    <row r="402" spans="1:22">
      <c r="A402" s="5">
        <f t="shared" si="98"/>
        <v>31.916666666666483</v>
      </c>
      <c r="B402" s="4">
        <f t="shared" si="90"/>
        <v>2.0755293946470875E-2</v>
      </c>
      <c r="C402" s="4">
        <f t="shared" si="91"/>
        <v>2.0494916401187654E-2</v>
      </c>
      <c r="D402" s="4">
        <f t="shared" si="99"/>
        <v>1.0377646973235438E-3</v>
      </c>
      <c r="E402" s="4">
        <f t="shared" si="100"/>
        <v>2.0755293946470876E-3</v>
      </c>
      <c r="F402" s="4">
        <f t="shared" si="101"/>
        <v>2.0494916401187654E-2</v>
      </c>
      <c r="G402" s="4">
        <f t="shared" si="101"/>
        <v>1.0377646973235438E-3</v>
      </c>
      <c r="H402" s="4">
        <f t="shared" si="102"/>
        <v>2.4593899681425186E-2</v>
      </c>
      <c r="I402" s="4">
        <f t="shared" si="103"/>
        <v>0.67889502366394061</v>
      </c>
      <c r="J402" s="4">
        <f t="shared" si="104"/>
        <v>0.11352345687852029</v>
      </c>
      <c r="K402" s="4">
        <f t="shared" si="105"/>
        <v>0.20149840474220762</v>
      </c>
      <c r="L402" s="4">
        <f t="shared" si="106"/>
        <v>6.0831147153325299E-3</v>
      </c>
      <c r="N402" s="10">
        <f t="shared" si="93"/>
        <v>0.1430575654534158</v>
      </c>
      <c r="O402" s="66">
        <v>4</v>
      </c>
      <c r="P402" s="10">
        <f t="shared" si="94"/>
        <v>1.3688912347844031E-2</v>
      </c>
      <c r="Q402" s="10">
        <f t="shared" si="95"/>
        <v>6.9314115272632538E-4</v>
      </c>
      <c r="R402" s="10">
        <f t="shared" si="96"/>
        <v>9.5687190489327195E-2</v>
      </c>
      <c r="S402" s="66"/>
      <c r="T402" s="5">
        <f t="shared" si="107"/>
        <v>31.916666666666483</v>
      </c>
      <c r="U402" s="12">
        <f t="shared" si="97"/>
        <v>7246.2803808387353</v>
      </c>
      <c r="V402" s="12">
        <f t="shared" si="92"/>
        <v>213931.46314915552</v>
      </c>
    </row>
    <row r="403" spans="1:22">
      <c r="A403" s="5">
        <f t="shared" si="98"/>
        <v>31.999999999999815</v>
      </c>
      <c r="B403" s="4">
        <f t="shared" ref="B403:B439" si="108">B$3+B$4*EXP(B$5*(B$12+A403))</f>
        <v>2.0994163069676067E-2</v>
      </c>
      <c r="C403" s="4">
        <f t="shared" ref="C403:C439" si="109">B$6+B$7*EXP(B$8*(B$12+A403))</f>
        <v>2.0645442039752906E-2</v>
      </c>
      <c r="D403" s="4">
        <f t="shared" si="99"/>
        <v>1.0497081534838035E-3</v>
      </c>
      <c r="E403" s="4">
        <f t="shared" si="100"/>
        <v>2.0994163069676069E-3</v>
      </c>
      <c r="F403" s="4">
        <f t="shared" si="101"/>
        <v>2.0645442039752906E-2</v>
      </c>
      <c r="G403" s="4">
        <f t="shared" si="101"/>
        <v>1.0497081534838035E-3</v>
      </c>
      <c r="H403" s="4">
        <f t="shared" si="102"/>
        <v>2.4774530447703485E-2</v>
      </c>
      <c r="I403" s="4">
        <f t="shared" si="103"/>
        <v>0.67652223411834644</v>
      </c>
      <c r="J403" s="4">
        <f t="shared" si="104"/>
        <v>0.11447433855427383</v>
      </c>
      <c r="K403" s="4">
        <f t="shared" si="105"/>
        <v>0.20286425124441873</v>
      </c>
      <c r="L403" s="4">
        <f t="shared" si="106"/>
        <v>6.1391760829620501E-3</v>
      </c>
      <c r="N403" s="10">
        <f t="shared" si="93"/>
        <v>0.14197912788141984</v>
      </c>
      <c r="O403" s="66">
        <v>2</v>
      </c>
      <c r="P403" s="10">
        <f t="shared" si="94"/>
        <v>6.8544279094960832E-3</v>
      </c>
      <c r="Q403" s="10">
        <f t="shared" si="95"/>
        <v>3.4851028378131524E-4</v>
      </c>
      <c r="R403" s="10">
        <f t="shared" si="96"/>
        <v>4.8048581208625887E-2</v>
      </c>
      <c r="S403" s="66"/>
      <c r="T403" s="5">
        <f t="shared" si="107"/>
        <v>31.999999999999815</v>
      </c>
      <c r="U403" s="12">
        <f t="shared" si="97"/>
        <v>6961.4970714590618</v>
      </c>
      <c r="V403" s="12">
        <f t="shared" ref="V403:V438" si="110">V404-B$13*(B$15*V404-B$10-E404*(U404-V404)-(F404+G404)*(B$11-V404))</f>
        <v>208762.19796695857</v>
      </c>
    </row>
    <row r="404" spans="1:22">
      <c r="A404" s="5">
        <f t="shared" si="98"/>
        <v>32.083333333333151</v>
      </c>
      <c r="B404" s="4">
        <f t="shared" si="108"/>
        <v>2.1235835319093573E-2</v>
      </c>
      <c r="C404" s="4">
        <f t="shared" si="109"/>
        <v>2.0797100864744698E-2</v>
      </c>
      <c r="D404" s="4">
        <f t="shared" si="99"/>
        <v>1.0617917659546787E-3</v>
      </c>
      <c r="E404" s="4">
        <f t="shared" si="100"/>
        <v>2.1235835319093573E-3</v>
      </c>
      <c r="F404" s="4">
        <f t="shared" si="101"/>
        <v>2.0797100864744698E-2</v>
      </c>
      <c r="G404" s="4">
        <f t="shared" si="101"/>
        <v>1.0617917659546787E-3</v>
      </c>
      <c r="H404" s="4">
        <f t="shared" si="102"/>
        <v>2.4956521037693639E-2</v>
      </c>
      <c r="I404" s="4">
        <f t="shared" si="103"/>
        <v>0.674135572427637</v>
      </c>
      <c r="J404" s="4">
        <f t="shared" si="104"/>
        <v>0.11543093445777763</v>
      </c>
      <c r="K404" s="4">
        <f t="shared" si="105"/>
        <v>0.20423779866938099</v>
      </c>
      <c r="L404" s="4">
        <f t="shared" si="106"/>
        <v>6.1956944452054704E-3</v>
      </c>
      <c r="N404" s="10">
        <f t="shared" ref="N404:N439" si="111">((1+B$9)^-A404)*I404</f>
        <v>0.14090418724100998</v>
      </c>
      <c r="O404" s="66">
        <v>4</v>
      </c>
      <c r="P404" s="10">
        <f t="shared" ref="P404:P424" si="112">((1+B$9)^-A404)*(I404*C404+J404*F404)*O404</f>
        <v>1.372866038541231E-2</v>
      </c>
      <c r="Q404" s="10">
        <f t="shared" ref="Q404:Q424" si="113">((1+B$9)^-A404)*(I404*D404+J404*G404)*O404</f>
        <v>7.0091397111651799E-4</v>
      </c>
      <c r="R404" s="10">
        <f t="shared" ref="R404:R424" si="114">((1+B$9)^-A404)*J404*O404</f>
        <v>9.6507009376006994E-2</v>
      </c>
      <c r="S404" s="66"/>
      <c r="T404" s="5">
        <f t="shared" si="107"/>
        <v>32.083333333333151</v>
      </c>
      <c r="U404" s="12">
        <f t="shared" ref="U404:U438" si="115">U405-B$13*(B$15*U405+V$10-B405*(V405-U405)-(C405+D405)*(B$11-U405))</f>
        <v>6678.4126631978588</v>
      </c>
      <c r="V404" s="12">
        <f t="shared" si="110"/>
        <v>203563.3455251643</v>
      </c>
    </row>
    <row r="405" spans="1:22">
      <c r="A405" s="5">
        <f t="shared" ref="A405:A439" si="116">A404+1/12</f>
        <v>32.166666666666487</v>
      </c>
      <c r="B405" s="4">
        <f t="shared" si="108"/>
        <v>2.1480343589374905E-2</v>
      </c>
      <c r="C405" s="4">
        <f t="shared" si="109"/>
        <v>2.0949901407011921E-2</v>
      </c>
      <c r="D405" s="4">
        <f t="shared" ref="D405:D439" si="117">0.05*B405</f>
        <v>1.0740171794687452E-3</v>
      </c>
      <c r="E405" s="4">
        <f t="shared" ref="E405:E439" si="118">0.1*B405</f>
        <v>2.1480343589374905E-3</v>
      </c>
      <c r="F405" s="4">
        <f t="shared" ref="F405:G439" si="119">C405</f>
        <v>2.0949901407011921E-2</v>
      </c>
      <c r="G405" s="4">
        <f t="shared" si="119"/>
        <v>1.0740171794687452E-3</v>
      </c>
      <c r="H405" s="4">
        <f t="shared" ref="H405:H439" si="120">1.2*C405</f>
        <v>2.5139881688414304E-2</v>
      </c>
      <c r="I405" s="4">
        <f t="shared" ref="I405:I439" si="121">I404-B$13*(I404*B404-J404*E404)-B$13*I404*(C404+D404)</f>
        <v>0.67173502560567366</v>
      </c>
      <c r="J405" s="4">
        <f t="shared" ref="J405:J439" si="122">J404-B$13*(J404*E404-I404*B404)-B$13*J404*F404-B$13*J404*G404</f>
        <v>0.11639322715484055</v>
      </c>
      <c r="K405" s="4">
        <f t="shared" ref="K405:K439" si="123">K404+B$13*I404*C404+B$13*J404*F404+B$13*L404*H404</f>
        <v>0.20561907510787139</v>
      </c>
      <c r="L405" s="4">
        <f t="shared" ref="L405:L439" si="124">L404+B$13*I404*D404+B$13*J404*G404-B$13*L404*H404</f>
        <v>6.2526721316154407E-3</v>
      </c>
      <c r="N405" s="10">
        <f t="shared" si="111"/>
        <v>0.13983274197103121</v>
      </c>
      <c r="O405" s="66">
        <v>2</v>
      </c>
      <c r="P405" s="10">
        <f t="shared" si="112"/>
        <v>6.874161883730483E-3</v>
      </c>
      <c r="Q405" s="10">
        <f t="shared" si="113"/>
        <v>3.5241063020490849E-4</v>
      </c>
      <c r="R405" s="10">
        <f t="shared" si="114"/>
        <v>4.845834586411054E-2</v>
      </c>
      <c r="S405" s="66"/>
      <c r="T405" s="5">
        <f t="shared" ref="T405:T439" si="125">T404+1/12</f>
        <v>32.166666666666487</v>
      </c>
      <c r="U405" s="12">
        <f t="shared" si="115"/>
        <v>6397.2302295399222</v>
      </c>
      <c r="V405" s="12">
        <f t="shared" si="110"/>
        <v>198334.57696713239</v>
      </c>
    </row>
    <row r="406" spans="1:22">
      <c r="A406" s="5">
        <f t="shared" si="116"/>
        <v>32.249999999999822</v>
      </c>
      <c r="B406" s="4">
        <f t="shared" si="108"/>
        <v>2.1727721161189924E-2</v>
      </c>
      <c r="C406" s="4">
        <f t="shared" si="109"/>
        <v>2.1103852261625363E-2</v>
      </c>
      <c r="D406" s="4">
        <f t="shared" si="117"/>
        <v>1.0863860580594962E-3</v>
      </c>
      <c r="E406" s="4">
        <f t="shared" si="118"/>
        <v>2.1727721161189924E-3</v>
      </c>
      <c r="F406" s="4">
        <f t="shared" si="119"/>
        <v>2.1103852261625363E-2</v>
      </c>
      <c r="G406" s="4">
        <f t="shared" si="119"/>
        <v>1.0863860580594962E-3</v>
      </c>
      <c r="H406" s="4">
        <f t="shared" si="120"/>
        <v>2.5324622713950435E-2</v>
      </c>
      <c r="I406" s="4">
        <f t="shared" si="121"/>
        <v>0.66932058227104207</v>
      </c>
      <c r="J406" s="4">
        <f t="shared" si="122"/>
        <v>0.11736119778326348</v>
      </c>
      <c r="K406" s="4">
        <f t="shared" si="123"/>
        <v>0.20700810849362461</v>
      </c>
      <c r="L406" s="4">
        <f t="shared" si="124"/>
        <v>6.3101114520707925E-3</v>
      </c>
      <c r="N406" s="10">
        <f t="shared" si="111"/>
        <v>0.13876479077231851</v>
      </c>
      <c r="O406" s="66">
        <v>4</v>
      </c>
      <c r="P406" s="10">
        <f t="shared" si="112"/>
        <v>1.3767843669703394E-2</v>
      </c>
      <c r="Q406" s="10">
        <f t="shared" si="113"/>
        <v>7.0874232945167964E-4</v>
      </c>
      <c r="R406" s="10">
        <f t="shared" si="114"/>
        <v>9.7326169172478119E-2</v>
      </c>
      <c r="S406" s="66"/>
      <c r="T406" s="5">
        <f t="shared" si="125"/>
        <v>32.249999999999822</v>
      </c>
      <c r="U406" s="12">
        <f t="shared" si="115"/>
        <v>6118.1599149858694</v>
      </c>
      <c r="V406" s="12">
        <f t="shared" si="110"/>
        <v>193075.55803460532</v>
      </c>
    </row>
    <row r="407" spans="1:22">
      <c r="A407" s="5">
        <f t="shared" si="116"/>
        <v>32.333333333333158</v>
      </c>
      <c r="B407" s="4">
        <f t="shared" si="108"/>
        <v>2.1978001705756634E-2</v>
      </c>
      <c r="C407" s="4">
        <f t="shared" si="109"/>
        <v>2.1258962088361186E-2</v>
      </c>
      <c r="D407" s="4">
        <f t="shared" si="117"/>
        <v>1.0989000852878318E-3</v>
      </c>
      <c r="E407" s="4">
        <f t="shared" si="118"/>
        <v>2.1978001705756636E-3</v>
      </c>
      <c r="F407" s="4">
        <f t="shared" si="119"/>
        <v>2.1258962088361186E-2</v>
      </c>
      <c r="G407" s="4">
        <f t="shared" si="119"/>
        <v>1.0989000852878318E-3</v>
      </c>
      <c r="H407" s="4">
        <f t="shared" si="120"/>
        <v>2.5510754506033424E-2</v>
      </c>
      <c r="I407" s="4">
        <f t="shared" si="121"/>
        <v>0.66689223268155562</v>
      </c>
      <c r="J407" s="4">
        <f t="shared" si="122"/>
        <v>0.11833482602432002</v>
      </c>
      <c r="K407" s="4">
        <f t="shared" si="123"/>
        <v>0.20840492659820672</v>
      </c>
      <c r="L407" s="4">
        <f t="shared" si="124"/>
        <v>6.3680146959186048E-3</v>
      </c>
      <c r="N407" s="10">
        <f t="shared" si="111"/>
        <v>0.13770033260873149</v>
      </c>
      <c r="O407" s="66">
        <v>2</v>
      </c>
      <c r="P407" s="10">
        <f t="shared" si="112"/>
        <v>6.8936088904700465E-3</v>
      </c>
      <c r="Q407" s="10">
        <f t="shared" si="113"/>
        <v>3.563385345997605E-4</v>
      </c>
      <c r="R407" s="10">
        <f t="shared" si="114"/>
        <v>4.8867700369591989E-2</v>
      </c>
      <c r="S407" s="66"/>
      <c r="T407" s="5">
        <f t="shared" si="125"/>
        <v>32.333333333333158</v>
      </c>
      <c r="U407" s="12">
        <f t="shared" si="115"/>
        <v>5841.4191532641435</v>
      </c>
      <c r="V407" s="12">
        <f t="shared" si="110"/>
        <v>187785.94896335466</v>
      </c>
    </row>
    <row r="408" spans="1:22">
      <c r="A408" s="5">
        <f t="shared" si="116"/>
        <v>32.416666666666494</v>
      </c>
      <c r="B408" s="4">
        <f t="shared" si="108"/>
        <v>2.2231219289424488E-2</v>
      </c>
      <c r="C408" s="4">
        <f t="shared" si="109"/>
        <v>2.1415239612188046E-2</v>
      </c>
      <c r="D408" s="4">
        <f t="shared" si="117"/>
        <v>1.1115609644712244E-3</v>
      </c>
      <c r="E408" s="4">
        <f t="shared" si="118"/>
        <v>2.2231219289424488E-3</v>
      </c>
      <c r="F408" s="4">
        <f t="shared" si="119"/>
        <v>2.1415239612188046E-2</v>
      </c>
      <c r="G408" s="4">
        <f t="shared" si="119"/>
        <v>1.1115609644712244E-3</v>
      </c>
      <c r="H408" s="4">
        <f t="shared" si="120"/>
        <v>2.5698287534625653E-2</v>
      </c>
      <c r="I408" s="4">
        <f t="shared" si="121"/>
        <v>0.66444996876909057</v>
      </c>
      <c r="J408" s="4">
        <f t="shared" si="122"/>
        <v>0.11931409007398797</v>
      </c>
      <c r="K408" s="4">
        <f t="shared" si="123"/>
        <v>0.20980955702582191</v>
      </c>
      <c r="L408" s="4">
        <f t="shared" si="124"/>
        <v>6.426384131100589E-3</v>
      </c>
      <c r="N408" s="10">
        <f t="shared" si="111"/>
        <v>0.13663936670816101</v>
      </c>
      <c r="O408" s="66">
        <v>4</v>
      </c>
      <c r="P408" s="10">
        <f t="shared" si="112"/>
        <v>1.3806443774236591E-2</v>
      </c>
      <c r="Q408" s="10">
        <f t="shared" si="113"/>
        <v>7.1662536751976812E-4</v>
      </c>
      <c r="R408" s="10">
        <f t="shared" si="114"/>
        <v>9.8144344786542131E-2</v>
      </c>
      <c r="S408" s="66"/>
      <c r="T408" s="5">
        <f t="shared" si="125"/>
        <v>32.416666666666494</v>
      </c>
      <c r="U408" s="12">
        <f t="shared" si="115"/>
        <v>5567.2328925586498</v>
      </c>
      <c r="V408" s="12">
        <f t="shared" si="110"/>
        <v>182465.40437650887</v>
      </c>
    </row>
    <row r="409" spans="1:22">
      <c r="A409" s="5">
        <f t="shared" si="116"/>
        <v>32.499999999999829</v>
      </c>
      <c r="B409" s="4">
        <f t="shared" si="108"/>
        <v>2.2487408378311074E-2</v>
      </c>
      <c r="C409" s="4">
        <f t="shared" si="109"/>
        <v>2.1572693623757844E-2</v>
      </c>
      <c r="D409" s="4">
        <f t="shared" si="117"/>
        <v>1.1243704189155537E-3</v>
      </c>
      <c r="E409" s="4">
        <f t="shared" si="118"/>
        <v>2.2487408378311074E-3</v>
      </c>
      <c r="F409" s="4">
        <f t="shared" si="119"/>
        <v>2.1572693623757844E-2</v>
      </c>
      <c r="G409" s="4">
        <f t="shared" si="119"/>
        <v>1.1243704189155537E-3</v>
      </c>
      <c r="H409" s="4">
        <f t="shared" si="120"/>
        <v>2.5887232348509412E-2</v>
      </c>
      <c r="I409" s="4">
        <f t="shared" si="121"/>
        <v>0.66199378417474808</v>
      </c>
      <c r="J409" s="4">
        <f t="shared" si="122"/>
        <v>0.12029896661393791</v>
      </c>
      <c r="K409" s="4">
        <f t="shared" si="123"/>
        <v>0.21122202720805144</v>
      </c>
      <c r="L409" s="4">
        <f t="shared" si="124"/>
        <v>6.4852220032636312E-3</v>
      </c>
      <c r="N409" s="10">
        <f t="shared" si="111"/>
        <v>0.13558189256350772</v>
      </c>
      <c r="O409" s="66">
        <v>2</v>
      </c>
      <c r="P409" s="10">
        <f t="shared" si="112"/>
        <v>6.9127596534783037E-3</v>
      </c>
      <c r="Q409" s="10">
        <f t="shared" si="113"/>
        <v>3.6029355457420207E-4</v>
      </c>
      <c r="R409" s="10">
        <f t="shared" si="114"/>
        <v>4.9276479498322444E-2</v>
      </c>
      <c r="S409" s="66"/>
      <c r="T409" s="5">
        <f t="shared" si="125"/>
        <v>32.499999999999829</v>
      </c>
      <c r="U409" s="12">
        <f t="shared" si="115"/>
        <v>5295.8338279960199</v>
      </c>
      <c r="V409" s="12">
        <f t="shared" si="110"/>
        <v>177113.57317550268</v>
      </c>
    </row>
    <row r="410" spans="1:22">
      <c r="A410" s="5">
        <f t="shared" si="116"/>
        <v>32.583333333333165</v>
      </c>
      <c r="B410" s="4">
        <f t="shared" si="108"/>
        <v>2.2746603842993464E-2</v>
      </c>
      <c r="C410" s="4">
        <f t="shared" si="109"/>
        <v>2.1731332979900281E-2</v>
      </c>
      <c r="D410" s="4">
        <f t="shared" si="117"/>
        <v>1.1373301921496733E-3</v>
      </c>
      <c r="E410" s="4">
        <f t="shared" si="118"/>
        <v>2.2746603842993466E-3</v>
      </c>
      <c r="F410" s="4">
        <f t="shared" si="119"/>
        <v>2.1731332979900281E-2</v>
      </c>
      <c r="G410" s="4">
        <f t="shared" si="119"/>
        <v>1.1373301921496733E-3</v>
      </c>
      <c r="H410" s="4">
        <f t="shared" si="120"/>
        <v>2.6077599575880336E-2</v>
      </c>
      <c r="I410" s="4">
        <f t="shared" si="121"/>
        <v>0.65952367428433689</v>
      </c>
      <c r="J410" s="4">
        <f t="shared" si="122"/>
        <v>0.12128943078228487</v>
      </c>
      <c r="K410" s="4">
        <f t="shared" si="123"/>
        <v>0.21264236439852491</v>
      </c>
      <c r="L410" s="4">
        <f t="shared" si="124"/>
        <v>6.5445305348543585E-3</v>
      </c>
      <c r="N410" s="10">
        <f t="shared" si="111"/>
        <v>0.13452790993363056</v>
      </c>
      <c r="O410" s="66">
        <v>4</v>
      </c>
      <c r="P410" s="10">
        <f t="shared" si="112"/>
        <v>1.3844442020798757E-2</v>
      </c>
      <c r="Q410" s="10">
        <f t="shared" si="113"/>
        <v>7.2456217565133071E-4</v>
      </c>
      <c r="R410" s="10">
        <f t="shared" si="114"/>
        <v>9.8961200371684946E-2</v>
      </c>
      <c r="S410" s="66"/>
      <c r="T410" s="5">
        <f t="shared" si="125"/>
        <v>32.583333333333165</v>
      </c>
      <c r="U410" s="12">
        <f t="shared" si="115"/>
        <v>5027.4626416456958</v>
      </c>
      <c r="V410" s="12">
        <f t="shared" si="110"/>
        <v>171730.09842858664</v>
      </c>
    </row>
    <row r="411" spans="1:22">
      <c r="A411" s="5">
        <f t="shared" si="116"/>
        <v>32.666666666666501</v>
      </c>
      <c r="B411" s="4">
        <f t="shared" si="108"/>
        <v>2.3008840963254507E-2</v>
      </c>
      <c r="C411" s="4">
        <f t="shared" si="109"/>
        <v>2.1891166604120958E-2</v>
      </c>
      <c r="D411" s="4">
        <f t="shared" si="117"/>
        <v>1.1504420481627253E-3</v>
      </c>
      <c r="E411" s="4">
        <f t="shared" si="118"/>
        <v>2.3008840963254507E-3</v>
      </c>
      <c r="F411" s="4">
        <f t="shared" si="119"/>
        <v>2.1891166604120958E-2</v>
      </c>
      <c r="G411" s="4">
        <f t="shared" si="119"/>
        <v>1.1504420481627253E-3</v>
      </c>
      <c r="H411" s="4">
        <f t="shared" si="120"/>
        <v>2.6269399924945151E-2</v>
      </c>
      <c r="I411" s="4">
        <f t="shared" si="121"/>
        <v>0.65703963626417128</v>
      </c>
      <c r="J411" s="4">
        <f t="shared" si="122"/>
        <v>0.1222854561441096</v>
      </c>
      <c r="K411" s="4">
        <f t="shared" si="123"/>
        <v>0.21407059566752265</v>
      </c>
      <c r="L411" s="4">
        <f t="shared" si="124"/>
        <v>6.6043119241975543E-3</v>
      </c>
      <c r="N411" s="10">
        <f t="shared" si="111"/>
        <v>0.1334774188442637</v>
      </c>
      <c r="O411" s="66">
        <v>2</v>
      </c>
      <c r="P411" s="10">
        <f t="shared" si="112"/>
        <v>6.9316047709183379E-3</v>
      </c>
      <c r="Q411" s="10">
        <f t="shared" si="113"/>
        <v>3.6427522269227294E-4</v>
      </c>
      <c r="R411" s="10">
        <f t="shared" si="114"/>
        <v>4.968451261514624E-2</v>
      </c>
      <c r="S411" s="66"/>
      <c r="T411" s="5">
        <f t="shared" si="125"/>
        <v>32.666666666666501</v>
      </c>
      <c r="U411" s="12">
        <f t="shared" si="115"/>
        <v>4762.3682502955908</v>
      </c>
      <c r="V411" s="12">
        <f t="shared" si="110"/>
        <v>166314.6172568333</v>
      </c>
    </row>
    <row r="412" spans="1:22">
      <c r="A412" s="5">
        <f t="shared" si="116"/>
        <v>32.749999999999837</v>
      </c>
      <c r="B412" s="4">
        <f t="shared" si="108"/>
        <v>2.3274155432884917E-2</v>
      </c>
      <c r="C412" s="4">
        <f t="shared" si="109"/>
        <v>2.2052203487103374E-2</v>
      </c>
      <c r="D412" s="4">
        <f t="shared" si="117"/>
        <v>1.1637077716442458E-3</v>
      </c>
      <c r="E412" s="4">
        <f t="shared" si="118"/>
        <v>2.3274155432884917E-3</v>
      </c>
      <c r="F412" s="4">
        <f t="shared" si="119"/>
        <v>2.2052203487103374E-2</v>
      </c>
      <c r="G412" s="4">
        <f t="shared" si="119"/>
        <v>1.1637077716442458E-3</v>
      </c>
      <c r="H412" s="4">
        <f t="shared" si="120"/>
        <v>2.6462644184524049E-2</v>
      </c>
      <c r="I412" s="4">
        <f t="shared" si="121"/>
        <v>0.65454166909717626</v>
      </c>
      <c r="J412" s="4">
        <f t="shared" si="122"/>
        <v>0.12328701466175664</v>
      </c>
      <c r="K412" s="4">
        <f t="shared" si="123"/>
        <v>0.21550674789650995</v>
      </c>
      <c r="L412" s="4">
        <f t="shared" si="124"/>
        <v>6.6645683445583003E-3</v>
      </c>
      <c r="N412" s="10">
        <f t="shared" si="111"/>
        <v>0.13243041958890095</v>
      </c>
      <c r="O412" s="66">
        <v>4</v>
      </c>
      <c r="P412" s="10">
        <f t="shared" si="112"/>
        <v>1.3881819480562798E-2</v>
      </c>
      <c r="Q412" s="10">
        <f t="shared" si="113"/>
        <v>7.3255179345414897E-4</v>
      </c>
      <c r="R412" s="10">
        <f t="shared" si="114"/>
        <v>9.9776389204003085E-2</v>
      </c>
      <c r="S412" s="66"/>
      <c r="T412" s="5">
        <f t="shared" si="125"/>
        <v>32.749999999999837</v>
      </c>
      <c r="U412" s="12">
        <f t="shared" si="115"/>
        <v>4500.8080612760459</v>
      </c>
      <c r="V412" s="12">
        <f t="shared" si="110"/>
        <v>160866.76071757457</v>
      </c>
    </row>
    <row r="413" spans="1:22">
      <c r="A413" s="5">
        <f t="shared" si="116"/>
        <v>32.833333333333172</v>
      </c>
      <c r="B413" s="4">
        <f t="shared" si="108"/>
        <v>2.3542583364541479E-2</v>
      </c>
      <c r="C413" s="4">
        <f t="shared" si="109"/>
        <v>2.2214452687214663E-2</v>
      </c>
      <c r="D413" s="4">
        <f t="shared" si="117"/>
        <v>1.177129168227074E-3</v>
      </c>
      <c r="E413" s="4">
        <f t="shared" si="118"/>
        <v>2.3542583364541481E-3</v>
      </c>
      <c r="F413" s="4">
        <f t="shared" si="119"/>
        <v>2.2214452687214663E-2</v>
      </c>
      <c r="G413" s="4">
        <f t="shared" si="119"/>
        <v>1.177129168227074E-3</v>
      </c>
      <c r="H413" s="4">
        <f t="shared" si="120"/>
        <v>2.6657343224657595E-2</v>
      </c>
      <c r="I413" s="4">
        <f t="shared" si="121"/>
        <v>0.65202977361929537</v>
      </c>
      <c r="J413" s="4">
        <f t="shared" si="122"/>
        <v>0.12429407666491622</v>
      </c>
      <c r="K413" s="4">
        <f t="shared" si="123"/>
        <v>0.21695084777260187</v>
      </c>
      <c r="L413" s="4">
        <f t="shared" si="124"/>
        <v>6.7253019431876837E-3</v>
      </c>
      <c r="N413" s="10">
        <f t="shared" si="111"/>
        <v>0.13138691272964584</v>
      </c>
      <c r="O413" s="66">
        <v>2</v>
      </c>
      <c r="P413" s="10">
        <f t="shared" si="112"/>
        <v>6.9501347159679197E-3</v>
      </c>
      <c r="Q413" s="10">
        <f t="shared" si="113"/>
        <v>3.682830458380841E-4</v>
      </c>
      <c r="R413" s="10">
        <f t="shared" si="114"/>
        <v>5.0091623616931071E-2</v>
      </c>
      <c r="S413" s="66"/>
      <c r="T413" s="5">
        <f t="shared" si="125"/>
        <v>32.833333333333172</v>
      </c>
      <c r="U413" s="12">
        <f t="shared" si="115"/>
        <v>4243.0482366151664</v>
      </c>
      <c r="V413" s="12">
        <f t="shared" si="110"/>
        <v>155386.15368520314</v>
      </c>
    </row>
    <row r="414" spans="1:22">
      <c r="A414" s="5">
        <f t="shared" si="116"/>
        <v>32.916666666666508</v>
      </c>
      <c r="B414" s="4">
        <f t="shared" si="108"/>
        <v>2.3814161294662673E-2</v>
      </c>
      <c r="C414" s="4">
        <f t="shared" si="109"/>
        <v>2.2377923331015102E-2</v>
      </c>
      <c r="D414" s="4">
        <f t="shared" si="117"/>
        <v>1.1907080647331337E-3</v>
      </c>
      <c r="E414" s="4">
        <f t="shared" si="118"/>
        <v>2.3814161294662675E-3</v>
      </c>
      <c r="F414" s="4">
        <f t="shared" si="119"/>
        <v>2.2377923331015102E-2</v>
      </c>
      <c r="G414" s="4">
        <f t="shared" si="119"/>
        <v>1.1907080647331337E-3</v>
      </c>
      <c r="H414" s="4">
        <f t="shared" si="120"/>
        <v>2.6853507997218123E-2</v>
      </c>
      <c r="I414" s="4">
        <f t="shared" si="121"/>
        <v>0.64950395255619242</v>
      </c>
      <c r="J414" s="4">
        <f t="shared" si="122"/>
        <v>0.12530661082049799</v>
      </c>
      <c r="K414" s="4">
        <f t="shared" si="123"/>
        <v>0.21840292178295889</v>
      </c>
      <c r="L414" s="4">
        <f t="shared" si="124"/>
        <v>6.7865148403519239E-3</v>
      </c>
      <c r="N414" s="10">
        <f t="shared" si="111"/>
        <v>0.13034689909802635</v>
      </c>
      <c r="O414" s="66">
        <v>4</v>
      </c>
      <c r="P414" s="10">
        <f t="shared" si="112"/>
        <v>1.3918556975431972E-2</v>
      </c>
      <c r="Q414" s="10">
        <f t="shared" si="113"/>
        <v>7.4059320853624014E-4</v>
      </c>
      <c r="R414" s="10">
        <f t="shared" si="114"/>
        <v>0.10058955356717103</v>
      </c>
      <c r="S414" s="66"/>
      <c r="T414" s="5">
        <f t="shared" si="125"/>
        <v>32.916666666666508</v>
      </c>
      <c r="U414" s="12">
        <f t="shared" si="115"/>
        <v>3989.3639658193993</v>
      </c>
      <c r="V414" s="12">
        <f t="shared" si="110"/>
        <v>149872.41472926849</v>
      </c>
    </row>
    <row r="415" spans="1:22">
      <c r="A415" s="5">
        <f t="shared" si="116"/>
        <v>32.999999999999844</v>
      </c>
      <c r="B415" s="4">
        <f t="shared" si="108"/>
        <v>2.4088926188441603E-2</v>
      </c>
      <c r="C415" s="4">
        <f t="shared" si="109"/>
        <v>2.254262461377152E-2</v>
      </c>
      <c r="D415" s="4">
        <f t="shared" si="117"/>
        <v>1.2044463094220803E-3</v>
      </c>
      <c r="E415" s="4">
        <f t="shared" si="118"/>
        <v>2.4088926188441605E-3</v>
      </c>
      <c r="F415" s="4">
        <f t="shared" si="119"/>
        <v>2.254262461377152E-2</v>
      </c>
      <c r="G415" s="4">
        <f t="shared" si="119"/>
        <v>1.2044463094220803E-3</v>
      </c>
      <c r="H415" s="4">
        <f t="shared" si="120"/>
        <v>2.7051149536525824E-2</v>
      </c>
      <c r="I415" s="4">
        <f t="shared" si="121"/>
        <v>0.64696421056023934</v>
      </c>
      <c r="J415" s="4">
        <f t="shared" si="122"/>
        <v>0.12632458410230454</v>
      </c>
      <c r="K415" s="4">
        <f t="shared" si="123"/>
        <v>0.21986299620911248</v>
      </c>
      <c r="L415" s="4">
        <f t="shared" si="124"/>
        <v>6.8482091283447915E-3</v>
      </c>
      <c r="N415" s="10">
        <f t="shared" si="111"/>
        <v>0.12931037979577195</v>
      </c>
      <c r="O415" s="66">
        <v>2</v>
      </c>
      <c r="P415" s="10">
        <f t="shared" si="112"/>
        <v>6.9683398375499257E-3</v>
      </c>
      <c r="Q415" s="10">
        <f t="shared" si="113"/>
        <v>3.723165045745606E-4</v>
      </c>
      <c r="R415" s="10">
        <f t="shared" si="114"/>
        <v>5.0497630877190426E-2</v>
      </c>
      <c r="S415" s="66"/>
      <c r="T415" s="5">
        <f t="shared" si="125"/>
        <v>32.999999999999844</v>
      </c>
      <c r="U415" s="12">
        <f t="shared" si="115"/>
        <v>3740.0397475844711</v>
      </c>
      <c r="V415" s="12">
        <f t="shared" si="110"/>
        <v>144325.15598979578</v>
      </c>
    </row>
    <row r="416" spans="1:22">
      <c r="A416" s="5">
        <f t="shared" si="116"/>
        <v>33.083333333333179</v>
      </c>
      <c r="B416" s="4">
        <f t="shared" si="108"/>
        <v>2.4366915444857456E-2</v>
      </c>
      <c r="C416" s="4">
        <f t="shared" si="109"/>
        <v>2.2708565799974493E-2</v>
      </c>
      <c r="D416" s="4">
        <f t="shared" si="117"/>
        <v>1.218345772242873E-3</v>
      </c>
      <c r="E416" s="4">
        <f t="shared" si="118"/>
        <v>2.4366915444857459E-3</v>
      </c>
      <c r="F416" s="4">
        <f t="shared" si="119"/>
        <v>2.2708565799974493E-2</v>
      </c>
      <c r="G416" s="4">
        <f t="shared" si="119"/>
        <v>1.218345772242873E-3</v>
      </c>
      <c r="H416" s="4">
        <f t="shared" si="120"/>
        <v>2.7250278959969391E-2</v>
      </c>
      <c r="I416" s="4">
        <f t="shared" si="121"/>
        <v>0.6444105542477836</v>
      </c>
      <c r="J416" s="4">
        <f t="shared" si="122"/>
        <v>0.12734796176051338</v>
      </c>
      <c r="K416" s="4">
        <f t="shared" si="123"/>
        <v>0.22133109712122098</v>
      </c>
      <c r="L416" s="4">
        <f t="shared" si="124"/>
        <v>6.9103868704831657E-3</v>
      </c>
      <c r="N416" s="10">
        <f t="shared" si="111"/>
        <v>0.12827735619555292</v>
      </c>
      <c r="O416" s="66">
        <v>4</v>
      </c>
      <c r="P416" s="10">
        <f t="shared" si="112"/>
        <v>1.3954635079619554E-2</v>
      </c>
      <c r="Q416" s="10">
        <f t="shared" si="113"/>
        <v>7.4868535521805909E-4</v>
      </c>
      <c r="R416" s="10">
        <f t="shared" si="114"/>
        <v>0.10140032464613974</v>
      </c>
      <c r="S416" s="66"/>
      <c r="T416" s="5">
        <f t="shared" si="125"/>
        <v>33.083333333333179</v>
      </c>
      <c r="U416" s="12">
        <f t="shared" si="115"/>
        <v>3495.3696807534752</v>
      </c>
      <c r="V416" s="12">
        <f t="shared" si="110"/>
        <v>138743.98304975452</v>
      </c>
    </row>
    <row r="417" spans="1:22">
      <c r="A417" s="5">
        <f t="shared" si="116"/>
        <v>33.166666666666515</v>
      </c>
      <c r="B417" s="4">
        <f t="shared" si="108"/>
        <v>2.464816690176597E-2</v>
      </c>
      <c r="C417" s="4">
        <f t="shared" si="109"/>
        <v>2.2875756223859497E-2</v>
      </c>
      <c r="D417" s="4">
        <f t="shared" si="117"/>
        <v>1.2324083450882986E-3</v>
      </c>
      <c r="E417" s="4">
        <f t="shared" si="118"/>
        <v>2.4648166901765972E-3</v>
      </c>
      <c r="F417" s="4">
        <f t="shared" si="119"/>
        <v>2.2875756223859497E-2</v>
      </c>
      <c r="G417" s="4">
        <f t="shared" si="119"/>
        <v>1.2324083450882986E-3</v>
      </c>
      <c r="H417" s="4">
        <f t="shared" si="120"/>
        <v>2.7450907468631398E-2</v>
      </c>
      <c r="I417" s="4">
        <f t="shared" si="121"/>
        <v>0.6418429922366844</v>
      </c>
      <c r="J417" s="4">
        <f t="shared" si="122"/>
        <v>0.12837670729097625</v>
      </c>
      <c r="K417" s="4">
        <f t="shared" si="123"/>
        <v>0.22280725037225491</v>
      </c>
      <c r="L417" s="4">
        <f t="shared" si="124"/>
        <v>6.9730501000855967E-3</v>
      </c>
      <c r="N417" s="10">
        <f t="shared" si="111"/>
        <v>0.12724782994167841</v>
      </c>
      <c r="O417" s="66">
        <v>2</v>
      </c>
      <c r="P417" s="10">
        <f t="shared" si="112"/>
        <v>6.9862103611827145E-3</v>
      </c>
      <c r="Q417" s="10">
        <f t="shared" si="113"/>
        <v>3.763750524970097E-4</v>
      </c>
      <c r="R417" s="10">
        <f t="shared" si="114"/>
        <v>5.0902347195249505E-2</v>
      </c>
      <c r="S417" s="66"/>
      <c r="T417" s="5">
        <f t="shared" si="125"/>
        <v>33.166666666666515</v>
      </c>
      <c r="U417" s="12">
        <f t="shared" si="115"/>
        <v>3255.6577648510947</v>
      </c>
      <c r="V417" s="12">
        <f t="shared" si="110"/>
        <v>133128.4948046006</v>
      </c>
    </row>
    <row r="418" spans="1:22">
      <c r="A418" s="5">
        <f t="shared" si="116"/>
        <v>33.249999999999851</v>
      </c>
      <c r="B418" s="4">
        <f t="shared" si="108"/>
        <v>2.4932718841049667E-2</v>
      </c>
      <c r="C418" s="4">
        <f t="shared" si="109"/>
        <v>2.3044205289931965E-2</v>
      </c>
      <c r="D418" s="4">
        <f t="shared" si="117"/>
        <v>1.2466359420524834E-3</v>
      </c>
      <c r="E418" s="4">
        <f t="shared" si="118"/>
        <v>2.4932718841049668E-3</v>
      </c>
      <c r="F418" s="4">
        <f t="shared" si="119"/>
        <v>2.3044205289931965E-2</v>
      </c>
      <c r="G418" s="4">
        <f t="shared" si="119"/>
        <v>1.2466359420524834E-3</v>
      </c>
      <c r="H418" s="4">
        <f t="shared" si="120"/>
        <v>2.7653046347918358E-2</v>
      </c>
      <c r="I418" s="4">
        <f t="shared" si="121"/>
        <v>0.63926153518411066</v>
      </c>
      <c r="J418" s="4">
        <f t="shared" si="122"/>
        <v>0.1294107824043452</v>
      </c>
      <c r="K418" s="4">
        <f t="shared" si="123"/>
        <v>0.22429148159211162</v>
      </c>
      <c r="L418" s="4">
        <f t="shared" si="124"/>
        <v>7.036200819433739E-3</v>
      </c>
      <c r="N418" s="10">
        <f t="shared" si="111"/>
        <v>0.12622180295075364</v>
      </c>
      <c r="O418" s="66">
        <v>4</v>
      </c>
      <c r="P418" s="10">
        <f t="shared" si="112"/>
        <v>1.399003412147307E-2</v>
      </c>
      <c r="Q418" s="10">
        <f t="shared" si="113"/>
        <v>7.5682711323478489E-4</v>
      </c>
      <c r="R418" s="10">
        <f t="shared" si="114"/>
        <v>0.10220832243028484</v>
      </c>
      <c r="S418" s="66"/>
      <c r="T418" s="5">
        <f t="shared" si="125"/>
        <v>33.249999999999851</v>
      </c>
      <c r="U418" s="12">
        <f t="shared" si="115"/>
        <v>3021.2182105356255</v>
      </c>
      <c r="V418" s="12">
        <f t="shared" si="110"/>
        <v>127478.28332881357</v>
      </c>
    </row>
    <row r="419" spans="1:22">
      <c r="A419" s="5">
        <f t="shared" si="116"/>
        <v>33.333333333333186</v>
      </c>
      <c r="B419" s="4">
        <f t="shared" si="108"/>
        <v>2.5220609993828517E-2</v>
      </c>
      <c r="C419" s="4">
        <f t="shared" si="109"/>
        <v>2.3213922473496278E-2</v>
      </c>
      <c r="D419" s="4">
        <f t="shared" si="117"/>
        <v>1.261030499691426E-3</v>
      </c>
      <c r="E419" s="4">
        <f t="shared" si="118"/>
        <v>2.5220609993828521E-3</v>
      </c>
      <c r="F419" s="4">
        <f t="shared" si="119"/>
        <v>2.3213922473496278E-2</v>
      </c>
      <c r="G419" s="4">
        <f t="shared" si="119"/>
        <v>1.261030499691426E-3</v>
      </c>
      <c r="H419" s="4">
        <f t="shared" si="120"/>
        <v>2.7856706968195533E-2</v>
      </c>
      <c r="I419" s="4">
        <f t="shared" si="121"/>
        <v>0.63666619582459016</v>
      </c>
      <c r="J419" s="4">
        <f t="shared" si="122"/>
        <v>0.13045014699503552</v>
      </c>
      <c r="K419" s="4">
        <f t="shared" si="123"/>
        <v>0.22578381618165905</v>
      </c>
      <c r="L419" s="4">
        <f t="shared" si="124"/>
        <v>7.0998409987165292E-3</v>
      </c>
      <c r="N419" s="10">
        <f t="shared" si="111"/>
        <v>0.12519927741229314</v>
      </c>
      <c r="O419" s="66">
        <v>2</v>
      </c>
      <c r="P419" s="10">
        <f t="shared" si="112"/>
        <v>7.0037363899551766E-3</v>
      </c>
      <c r="Q419" s="10">
        <f t="shared" si="113"/>
        <v>3.8045811558196411E-4</v>
      </c>
      <c r="R419" s="10">
        <f t="shared" si="114"/>
        <v>5.1305579750320594E-2</v>
      </c>
      <c r="S419" s="66"/>
      <c r="T419" s="5">
        <f t="shared" si="125"/>
        <v>33.333333333333186</v>
      </c>
      <c r="U419" s="12">
        <f t="shared" si="115"/>
        <v>2792.3757603236772</v>
      </c>
      <c r="V419" s="12">
        <f t="shared" si="110"/>
        <v>121792.93373934871</v>
      </c>
    </row>
    <row r="420" spans="1:22">
      <c r="A420" s="5">
        <f t="shared" si="116"/>
        <v>33.416666666666522</v>
      </c>
      <c r="B420" s="4">
        <f t="shared" si="108"/>
        <v>2.5511879545731586E-2</v>
      </c>
      <c r="C420" s="4">
        <f t="shared" si="109"/>
        <v>2.3384917321188754E-2</v>
      </c>
      <c r="D420" s="4">
        <f t="shared" si="117"/>
        <v>1.2755939772865793E-3</v>
      </c>
      <c r="E420" s="4">
        <f t="shared" si="118"/>
        <v>2.5511879545731587E-3</v>
      </c>
      <c r="F420" s="4">
        <f t="shared" si="119"/>
        <v>2.3384917321188754E-2</v>
      </c>
      <c r="G420" s="4">
        <f t="shared" si="119"/>
        <v>1.2755939772865793E-3</v>
      </c>
      <c r="H420" s="4">
        <f t="shared" si="120"/>
        <v>2.8061900785426506E-2</v>
      </c>
      <c r="I420" s="4">
        <f t="shared" si="121"/>
        <v>0.63405698900830088</v>
      </c>
      <c r="J420" s="4">
        <f t="shared" si="122"/>
        <v>0.13149475911003533</v>
      </c>
      <c r="K420" s="4">
        <f t="shared" si="123"/>
        <v>0.22728427930670811</v>
      </c>
      <c r="L420" s="4">
        <f t="shared" si="124"/>
        <v>7.1639725749569677E-3</v>
      </c>
      <c r="N420" s="10">
        <f t="shared" si="111"/>
        <v>0.1241802557892893</v>
      </c>
      <c r="O420" s="66">
        <v>4</v>
      </c>
      <c r="P420" s="10">
        <f t="shared" si="112"/>
        <v>1.4024734185552706E-2</v>
      </c>
      <c r="Q420" s="10">
        <f t="shared" si="113"/>
        <v>7.6501730642966473E-4</v>
      </c>
      <c r="R420" s="10">
        <f t="shared" si="114"/>
        <v>0.10301315562675009</v>
      </c>
      <c r="S420" s="66"/>
      <c r="T420" s="5">
        <f t="shared" si="125"/>
        <v>33.416666666666522</v>
      </c>
      <c r="U420" s="12">
        <f t="shared" si="115"/>
        <v>2569.4660199561931</v>
      </c>
      <c r="V420" s="12">
        <f t="shared" si="110"/>
        <v>116072.02405592051</v>
      </c>
    </row>
    <row r="421" spans="1:22">
      <c r="A421" s="5">
        <f t="shared" si="116"/>
        <v>33.499999999999858</v>
      </c>
      <c r="B421" s="4">
        <f t="shared" si="108"/>
        <v>2.5806567142230934E-2</v>
      </c>
      <c r="C421" s="4">
        <f t="shared" si="109"/>
        <v>2.355719945151467E-2</v>
      </c>
      <c r="D421" s="4">
        <f t="shared" si="117"/>
        <v>1.2903283571115468E-3</v>
      </c>
      <c r="E421" s="4">
        <f t="shared" si="118"/>
        <v>2.5806567142230936E-3</v>
      </c>
      <c r="F421" s="4">
        <f t="shared" si="119"/>
        <v>2.355719945151467E-2</v>
      </c>
      <c r="G421" s="4">
        <f t="shared" si="119"/>
        <v>1.2903283571115468E-3</v>
      </c>
      <c r="H421" s="4">
        <f t="shared" si="120"/>
        <v>2.8268639341817604E-2</v>
      </c>
      <c r="I421" s="4">
        <f t="shared" si="121"/>
        <v>0.63143393173959306</v>
      </c>
      <c r="J421" s="4">
        <f t="shared" si="122"/>
        <v>0.13254457491757321</v>
      </c>
      <c r="K421" s="4">
        <f t="shared" si="123"/>
        <v>0.22879289589191365</v>
      </c>
      <c r="L421" s="4">
        <f t="shared" si="124"/>
        <v>7.2285974509213842E-3</v>
      </c>
      <c r="N421" s="10">
        <f t="shared" si="111"/>
        <v>0.1231647408187341</v>
      </c>
      <c r="O421" s="66">
        <v>2</v>
      </c>
      <c r="P421" s="10">
        <f t="shared" si="112"/>
        <v>7.0209079056313363E-3</v>
      </c>
      <c r="Q421" s="10">
        <f t="shared" si="113"/>
        <v>3.8456509153180613E-4</v>
      </c>
      <c r="R421" s="10">
        <f t="shared" si="114"/>
        <v>5.1707130060867988E-2</v>
      </c>
      <c r="S421" s="66"/>
      <c r="T421" s="5">
        <f t="shared" si="125"/>
        <v>33.499999999999858</v>
      </c>
      <c r="U421" s="12">
        <f t="shared" si="115"/>
        <v>2352.8358007887632</v>
      </c>
      <c r="V421" s="12">
        <f t="shared" si="110"/>
        <v>110315.12505803187</v>
      </c>
    </row>
    <row r="422" spans="1:22">
      <c r="A422" s="5">
        <f t="shared" si="116"/>
        <v>33.583333333333194</v>
      </c>
      <c r="B422" s="4">
        <f t="shared" si="108"/>
        <v>2.6104712894037714E-2</v>
      </c>
      <c r="C422" s="4">
        <f t="shared" si="109"/>
        <v>2.373077855538926E-2</v>
      </c>
      <c r="D422" s="4">
        <f t="shared" si="117"/>
        <v>1.3052356447018857E-3</v>
      </c>
      <c r="E422" s="4">
        <f t="shared" si="118"/>
        <v>2.6104712894037714E-3</v>
      </c>
      <c r="F422" s="4">
        <f t="shared" si="119"/>
        <v>2.373077855538926E-2</v>
      </c>
      <c r="G422" s="4">
        <f t="shared" si="119"/>
        <v>1.3052356447018857E-3</v>
      </c>
      <c r="H422" s="4">
        <f t="shared" si="120"/>
        <v>2.8476934266467111E-2</v>
      </c>
      <c r="I422" s="4">
        <f t="shared" si="121"/>
        <v>0.62879704321573171</v>
      </c>
      <c r="J422" s="4">
        <f t="shared" si="122"/>
        <v>0.13359954867565479</v>
      </c>
      <c r="K422" s="4">
        <f t="shared" si="123"/>
        <v>0.23030969061460368</v>
      </c>
      <c r="L422" s="4">
        <f t="shared" si="124"/>
        <v>7.2937174940110672E-3</v>
      </c>
      <c r="N422" s="10">
        <f t="shared" si="111"/>
        <v>0.1221527355120926</v>
      </c>
      <c r="O422" s="66">
        <v>4</v>
      </c>
      <c r="P422" s="10">
        <f t="shared" si="112"/>
        <v>1.4058715114973787E-2</v>
      </c>
      <c r="Q422" s="10">
        <f t="shared" si="113"/>
        <v>7.7325470143943856E-4</v>
      </c>
      <c r="R422" s="10">
        <f t="shared" si="114"/>
        <v>0.10381442158476045</v>
      </c>
      <c r="S422" s="66"/>
      <c r="T422" s="5">
        <f t="shared" si="125"/>
        <v>33.583333333333194</v>
      </c>
      <c r="U422" s="12">
        <f t="shared" si="115"/>
        <v>2142.8434736041604</v>
      </c>
      <c r="V422" s="12">
        <f t="shared" si="110"/>
        <v>104521.80013866059</v>
      </c>
    </row>
    <row r="423" spans="1:22">
      <c r="A423" s="5">
        <f t="shared" si="116"/>
        <v>33.666666666666529</v>
      </c>
      <c r="B423" s="4">
        <f t="shared" si="108"/>
        <v>2.6406357382561765E-2</v>
      </c>
      <c r="C423" s="4">
        <f t="shared" si="109"/>
        <v>2.3905664396682926E-2</v>
      </c>
      <c r="D423" s="4">
        <f t="shared" si="117"/>
        <v>1.3203178691280884E-3</v>
      </c>
      <c r="E423" s="4">
        <f t="shared" si="118"/>
        <v>2.6406357382561768E-3</v>
      </c>
      <c r="F423" s="4">
        <f t="shared" si="119"/>
        <v>2.3905664396682926E-2</v>
      </c>
      <c r="G423" s="4">
        <f t="shared" si="119"/>
        <v>1.3203178691280884E-3</v>
      </c>
      <c r="H423" s="4">
        <f t="shared" si="120"/>
        <v>2.8686797276019509E-2</v>
      </c>
      <c r="I423" s="4">
        <f t="shared" si="121"/>
        <v>0.62614634486584875</v>
      </c>
      <c r="J423" s="4">
        <f t="shared" si="122"/>
        <v>0.13465963270047995</v>
      </c>
      <c r="K423" s="4">
        <f t="shared" si="123"/>
        <v>0.23183468789853645</v>
      </c>
      <c r="L423" s="4">
        <f t="shared" si="124"/>
        <v>7.3593345351361285E-3</v>
      </c>
      <c r="N423" s="10">
        <f t="shared" si="111"/>
        <v>0.12114424315572628</v>
      </c>
      <c r="O423" s="66">
        <v>2</v>
      </c>
      <c r="P423" s="10">
        <f t="shared" si="112"/>
        <v>7.0377147698894912E-3</v>
      </c>
      <c r="Q423" s="10">
        <f t="shared" si="113"/>
        <v>3.8869534911571414E-4</v>
      </c>
      <c r="R423" s="10">
        <f t="shared" si="114"/>
        <v>5.2106793949656699E-2</v>
      </c>
      <c r="S423" s="66"/>
      <c r="T423" s="5">
        <f t="shared" si="125"/>
        <v>33.666666666666529</v>
      </c>
      <c r="U423" s="12">
        <f t="shared" si="115"/>
        <v>1939.8593342605775</v>
      </c>
      <c r="V423" s="12">
        <f t="shared" si="110"/>
        <v>98691.605154511926</v>
      </c>
    </row>
    <row r="424" spans="1:22">
      <c r="A424" s="5">
        <f t="shared" si="116"/>
        <v>33.749999999999865</v>
      </c>
      <c r="B424" s="4">
        <f t="shared" si="108"/>
        <v>2.6711541665435282E-2</v>
      </c>
      <c r="C424" s="4">
        <f t="shared" si="109"/>
        <v>2.4081866812770331E-2</v>
      </c>
      <c r="D424" s="4">
        <f t="shared" si="117"/>
        <v>1.3355770832717642E-3</v>
      </c>
      <c r="E424" s="4">
        <f t="shared" si="118"/>
        <v>2.6711541665435283E-3</v>
      </c>
      <c r="F424" s="4">
        <f t="shared" si="119"/>
        <v>2.4081866812770331E-2</v>
      </c>
      <c r="G424" s="4">
        <f t="shared" si="119"/>
        <v>1.3355770832717642E-3</v>
      </c>
      <c r="H424" s="4">
        <f t="shared" si="120"/>
        <v>2.8898240175324396E-2</v>
      </c>
      <c r="I424" s="4">
        <f t="shared" si="121"/>
        <v>0.62348186039009112</v>
      </c>
      <c r="J424" s="4">
        <f t="shared" si="122"/>
        <v>0.1357247773347533</v>
      </c>
      <c r="K424" s="4">
        <f t="shared" si="123"/>
        <v>0.23336791190758535</v>
      </c>
      <c r="L424" s="4">
        <f t="shared" si="124"/>
        <v>7.4254503675714977E-3</v>
      </c>
      <c r="N424" s="10">
        <f t="shared" si="111"/>
        <v>0.12013926731126447</v>
      </c>
      <c r="O424" s="66">
        <v>4</v>
      </c>
      <c r="P424" s="10">
        <f t="shared" si="112"/>
        <v>1.4091956514023386E-2</v>
      </c>
      <c r="Q424" s="10">
        <f t="shared" si="113"/>
        <v>7.8153800637296902E-4</v>
      </c>
      <c r="R424" s="10">
        <f t="shared" si="114"/>
        <v>0.10461170623170817</v>
      </c>
      <c r="S424" s="66"/>
      <c r="T424" s="5">
        <f t="shared" si="125"/>
        <v>33.749999999999865</v>
      </c>
      <c r="U424" s="12">
        <f t="shared" si="115"/>
        <v>1744.2659816052908</v>
      </c>
      <c r="V424" s="12">
        <f t="shared" si="110"/>
        <v>92824.088272743218</v>
      </c>
    </row>
    <row r="425" spans="1:22">
      <c r="A425" s="5">
        <f t="shared" si="116"/>
        <v>33.833333333333201</v>
      </c>
      <c r="B425" s="4">
        <f t="shared" si="108"/>
        <v>2.7020307282101308E-2</v>
      </c>
      <c r="C425" s="4">
        <f t="shared" si="109"/>
        <v>2.4259395715083839E-2</v>
      </c>
      <c r="D425" s="4">
        <f t="shared" si="117"/>
        <v>1.3510153641050654E-3</v>
      </c>
      <c r="E425" s="4">
        <f t="shared" si="118"/>
        <v>2.7020307282101309E-3</v>
      </c>
      <c r="F425" s="4">
        <f t="shared" si="119"/>
        <v>2.4259395715083839E-2</v>
      </c>
      <c r="G425" s="4">
        <f t="shared" si="119"/>
        <v>1.3510153641050654E-3</v>
      </c>
      <c r="H425" s="4">
        <f t="shared" si="120"/>
        <v>2.9111274858100604E-2</v>
      </c>
      <c r="I425" s="4">
        <f t="shared" si="121"/>
        <v>0.6208036157989546</v>
      </c>
      <c r="J425" s="4">
        <f t="shared" si="122"/>
        <v>0.13679493091590025</v>
      </c>
      <c r="K425" s="4">
        <f t="shared" si="123"/>
        <v>0.23490938653935142</v>
      </c>
      <c r="L425" s="4">
        <f t="shared" si="124"/>
        <v>7.492066745794921E-3</v>
      </c>
      <c r="N425" s="10">
        <f t="shared" si="111"/>
        <v>0.1191378118159223</v>
      </c>
      <c r="O425" s="66">
        <v>2</v>
      </c>
      <c r="P425" s="10">
        <f t="shared" ref="P425:P439" si="126">((1+B$9)^-A425)*(I425*C425+J425*F425)*O425</f>
        <v>7.0541467257009159E-3</v>
      </c>
      <c r="Q425" s="10">
        <f t="shared" ref="Q425:Q439" si="127">((1+B$9)^-A425)*(I425*D425+J425*G425)*O425</f>
        <v>3.9284822750748562E-4</v>
      </c>
      <c r="R425" s="10">
        <f t="shared" ref="R425:R439" si="128">((1+B$9)^-A425)*J425*O425</f>
        <v>5.2504361514893287E-2</v>
      </c>
      <c r="S425" s="66"/>
      <c r="T425" s="5">
        <f t="shared" si="125"/>
        <v>33.833333333333201</v>
      </c>
      <c r="U425" s="12">
        <f t="shared" si="115"/>
        <v>1556.4587081003694</v>
      </c>
      <c r="V425" s="12">
        <f t="shared" si="110"/>
        <v>86918.789814063333</v>
      </c>
    </row>
    <row r="426" spans="1:22">
      <c r="A426" s="5">
        <f t="shared" si="116"/>
        <v>33.916666666666536</v>
      </c>
      <c r="B426" s="4">
        <f t="shared" si="108"/>
        <v>2.73326962594676E-2</v>
      </c>
      <c r="C426" s="4">
        <f t="shared" si="109"/>
        <v>2.443826108967102E-2</v>
      </c>
      <c r="D426" s="4">
        <f t="shared" si="117"/>
        <v>1.3666348129733801E-3</v>
      </c>
      <c r="E426" s="4">
        <f t="shared" si="118"/>
        <v>2.7332696259467601E-3</v>
      </c>
      <c r="F426" s="4">
        <f t="shared" si="119"/>
        <v>2.443826108967102E-2</v>
      </c>
      <c r="G426" s="4">
        <f t="shared" si="119"/>
        <v>1.3666348129733801E-3</v>
      </c>
      <c r="H426" s="4">
        <f t="shared" si="120"/>
        <v>2.9325913307605221E-2</v>
      </c>
      <c r="I426" s="4">
        <f t="shared" si="121"/>
        <v>0.61811163945278902</v>
      </c>
      <c r="J426" s="4">
        <f t="shared" si="122"/>
        <v>0.13787003974420226</v>
      </c>
      <c r="K426" s="4">
        <f t="shared" si="123"/>
        <v>0.23645913541870309</v>
      </c>
      <c r="L426" s="4">
        <f t="shared" si="124"/>
        <v>7.5591853843068688E-3</v>
      </c>
      <c r="N426" s="10">
        <f t="shared" si="111"/>
        <v>0.11813988078276327</v>
      </c>
      <c r="O426" s="66">
        <v>4</v>
      </c>
      <c r="P426" s="10">
        <f t="shared" si="126"/>
        <v>1.4124437751061029E-2</v>
      </c>
      <c r="Q426" s="10">
        <f t="shared" si="127"/>
        <v>7.8986586948422231E-4</v>
      </c>
      <c r="R426" s="10">
        <f t="shared" si="128"/>
        <v>0.10540458402184126</v>
      </c>
      <c r="S426" s="66"/>
      <c r="T426" s="5">
        <f t="shared" si="125"/>
        <v>33.916666666666536</v>
      </c>
      <c r="U426" s="12">
        <f t="shared" si="115"/>
        <v>1376.8459036246963</v>
      </c>
      <c r="V426" s="12">
        <f t="shared" si="110"/>
        <v>80975.242092106942</v>
      </c>
    </row>
    <row r="427" spans="1:22">
      <c r="A427" s="5">
        <f t="shared" si="116"/>
        <v>33.999999999999872</v>
      </c>
      <c r="B427" s="4">
        <f t="shared" si="108"/>
        <v>2.7648751117627293E-2</v>
      </c>
      <c r="C427" s="4">
        <f t="shared" si="109"/>
        <v>2.4618472997756356E-2</v>
      </c>
      <c r="D427" s="4">
        <f t="shared" si="117"/>
        <v>1.3824375558813646E-3</v>
      </c>
      <c r="E427" s="4">
        <f t="shared" si="118"/>
        <v>2.7648751117627293E-3</v>
      </c>
      <c r="F427" s="4">
        <f t="shared" si="119"/>
        <v>2.4618472997756356E-2</v>
      </c>
      <c r="G427" s="4">
        <f t="shared" si="119"/>
        <v>1.3824375558813646E-3</v>
      </c>
      <c r="H427" s="4">
        <f t="shared" si="120"/>
        <v>2.9542167597307625E-2</v>
      </c>
      <c r="I427" s="4">
        <f t="shared" si="121"/>
        <v>0.61540596210146103</v>
      </c>
      <c r="J427" s="4">
        <f t="shared" si="122"/>
        <v>0.13895004805086483</v>
      </c>
      <c r="K427" s="4">
        <f t="shared" si="123"/>
        <v>0.23801718189124313</v>
      </c>
      <c r="L427" s="4">
        <f t="shared" si="124"/>
        <v>7.626807956432234E-3</v>
      </c>
      <c r="N427" s="10">
        <f t="shared" si="111"/>
        <v>0.11714547860090432</v>
      </c>
      <c r="O427" s="66">
        <v>2</v>
      </c>
      <c r="P427" s="10">
        <f t="shared" si="126"/>
        <v>7.0701933988532358E-3</v>
      </c>
      <c r="Q427" s="10">
        <f t="shared" si="127"/>
        <v>3.9702303562085288E-4</v>
      </c>
      <c r="R427" s="10">
        <f t="shared" si="128"/>
        <v>5.2899617107881027E-2</v>
      </c>
      <c r="S427" s="66"/>
      <c r="T427" s="5">
        <f t="shared" si="125"/>
        <v>33.999999999999872</v>
      </c>
      <c r="U427" s="12">
        <f t="shared" si="115"/>
        <v>1205.8494729349368</v>
      </c>
      <c r="V427" s="12">
        <f t="shared" si="110"/>
        <v>74992.969248980196</v>
      </c>
    </row>
    <row r="428" spans="1:22">
      <c r="A428" s="5">
        <f t="shared" si="116"/>
        <v>34.083333333333208</v>
      </c>
      <c r="B428" s="4">
        <f t="shared" si="108"/>
        <v>2.796851487564625E-2</v>
      </c>
      <c r="C428" s="4">
        <f t="shared" si="109"/>
        <v>2.4800041576307164E-2</v>
      </c>
      <c r="D428" s="4">
        <f t="shared" si="117"/>
        <v>1.3984257437823127E-3</v>
      </c>
      <c r="E428" s="4">
        <f t="shared" si="118"/>
        <v>2.7968514875646253E-3</v>
      </c>
      <c r="F428" s="4">
        <f t="shared" si="119"/>
        <v>2.4800041576307164E-2</v>
      </c>
      <c r="G428" s="4">
        <f t="shared" si="119"/>
        <v>1.3984257437823127E-3</v>
      </c>
      <c r="H428" s="4">
        <f t="shared" si="120"/>
        <v>2.9760049891568593E-2</v>
      </c>
      <c r="I428" s="4">
        <f t="shared" si="121"/>
        <v>0.61268661692416193</v>
      </c>
      <c r="J428" s="4">
        <f t="shared" si="122"/>
        <v>0.14003489796603308</v>
      </c>
      <c r="K428" s="4">
        <f t="shared" si="123"/>
        <v>0.23958354901670242</v>
      </c>
      <c r="L428" s="4">
        <f t="shared" si="124"/>
        <v>7.6949360931037334E-3</v>
      </c>
      <c r="N428" s="10">
        <f t="shared" si="111"/>
        <v>0.11615460993566208</v>
      </c>
      <c r="O428" s="66">
        <v>4</v>
      </c>
      <c r="P428" s="10">
        <f t="shared" si="126"/>
        <v>1.4156137961714201E-2</v>
      </c>
      <c r="Q428" s="10">
        <f t="shared" si="127"/>
        <v>7.9823687784087054E-4</v>
      </c>
      <c r="R428" s="10">
        <f t="shared" si="128"/>
        <v>0.10619261789841362</v>
      </c>
      <c r="S428" s="66"/>
      <c r="T428" s="5">
        <f t="shared" si="125"/>
        <v>34.083333333333208</v>
      </c>
      <c r="U428" s="12">
        <f t="shared" si="115"/>
        <v>1043.9052672872663</v>
      </c>
      <c r="V428" s="12">
        <f t="shared" si="110"/>
        <v>68971.487086871159</v>
      </c>
    </row>
    <row r="429" spans="1:22">
      <c r="A429" s="5">
        <f t="shared" si="116"/>
        <v>34.166666666666544</v>
      </c>
      <c r="B429" s="4">
        <f t="shared" si="108"/>
        <v>2.8292031057418537E-2</v>
      </c>
      <c r="C429" s="4">
        <f t="shared" si="109"/>
        <v>2.4982977038603933E-2</v>
      </c>
      <c r="D429" s="4">
        <f t="shared" si="117"/>
        <v>1.4146015528709269E-3</v>
      </c>
      <c r="E429" s="4">
        <f t="shared" si="118"/>
        <v>2.8292031057418538E-3</v>
      </c>
      <c r="F429" s="4">
        <f t="shared" si="119"/>
        <v>2.4982977038603933E-2</v>
      </c>
      <c r="G429" s="4">
        <f t="shared" si="119"/>
        <v>1.4146015528709269E-3</v>
      </c>
      <c r="H429" s="4">
        <f t="shared" si="120"/>
        <v>2.9979572446324716E-2</v>
      </c>
      <c r="I429" s="4">
        <f t="shared" si="121"/>
        <v>0.60995363956934456</v>
      </c>
      <c r="J429" s="4">
        <f t="shared" si="122"/>
        <v>0.14112452948676896</v>
      </c>
      <c r="K429" s="4">
        <f t="shared" si="123"/>
        <v>0.24115825956226083</v>
      </c>
      <c r="L429" s="4">
        <f t="shared" si="124"/>
        <v>7.7635713816269067E-3</v>
      </c>
      <c r="N429" s="10">
        <f t="shared" si="111"/>
        <v>0.11516727972863797</v>
      </c>
      <c r="O429" s="66">
        <v>2</v>
      </c>
      <c r="P429" s="10">
        <f t="shared" si="126"/>
        <v>7.0858442996238093E-3</v>
      </c>
      <c r="Q429" s="10">
        <f t="shared" si="127"/>
        <v>4.0121905144294108E-4</v>
      </c>
      <c r="R429" s="10">
        <f t="shared" si="128"/>
        <v>5.3292339317625698E-2</v>
      </c>
      <c r="S429" s="66"/>
      <c r="T429" s="5">
        <f t="shared" si="125"/>
        <v>34.166666666666544</v>
      </c>
      <c r="U429" s="12">
        <f t="shared" si="115"/>
        <v>891.46353074165279</v>
      </c>
      <c r="V429" s="12">
        <f t="shared" si="110"/>
        <v>62910.302895614856</v>
      </c>
    </row>
    <row r="430" spans="1:22">
      <c r="A430" s="5">
        <f t="shared" si="116"/>
        <v>34.249999999999879</v>
      </c>
      <c r="B430" s="4">
        <f t="shared" si="108"/>
        <v>2.861934369759064E-2</v>
      </c>
      <c r="C430" s="4">
        <f t="shared" si="109"/>
        <v>2.5167289674814609E-2</v>
      </c>
      <c r="D430" s="4">
        <f t="shared" si="117"/>
        <v>1.430967184879532E-3</v>
      </c>
      <c r="E430" s="4">
        <f t="shared" si="118"/>
        <v>2.8619343697590641E-3</v>
      </c>
      <c r="F430" s="4">
        <f t="shared" si="119"/>
        <v>2.5167289674814609E-2</v>
      </c>
      <c r="G430" s="4">
        <f t="shared" si="119"/>
        <v>1.430967184879532E-3</v>
      </c>
      <c r="H430" s="4">
        <f t="shared" si="120"/>
        <v>3.0200747609777531E-2</v>
      </c>
      <c r="I430" s="4">
        <f t="shared" si="121"/>
        <v>0.60720706819477377</v>
      </c>
      <c r="J430" s="4">
        <f t="shared" si="122"/>
        <v>0.14221888044500636</v>
      </c>
      <c r="K430" s="4">
        <f t="shared" si="123"/>
        <v>0.24274133599579445</v>
      </c>
      <c r="L430" s="4">
        <f t="shared" si="124"/>
        <v>7.8327153644266179E-3</v>
      </c>
      <c r="N430" s="10">
        <f t="shared" si="111"/>
        <v>0.11418349319774022</v>
      </c>
      <c r="O430" s="66">
        <v>4</v>
      </c>
      <c r="P430" s="10">
        <f t="shared" si="126"/>
        <v>1.4187036052379066E-2</v>
      </c>
      <c r="Q430" s="10">
        <f t="shared" si="127"/>
        <v>8.0664955598985636E-4</v>
      </c>
      <c r="R430" s="10">
        <f t="shared" si="128"/>
        <v>0.10697535927018303</v>
      </c>
      <c r="S430" s="66"/>
      <c r="T430" s="5">
        <f t="shared" si="125"/>
        <v>34.249999999999879</v>
      </c>
      <c r="U430" s="12">
        <f t="shared" si="115"/>
        <v>748.98936169133901</v>
      </c>
      <c r="V430" s="12">
        <f t="shared" si="110"/>
        <v>56808.915276099331</v>
      </c>
    </row>
    <row r="431" spans="1:22">
      <c r="A431" s="5">
        <f t="shared" si="116"/>
        <v>34.333333333333215</v>
      </c>
      <c r="B431" s="4">
        <f t="shared" si="108"/>
        <v>2.8950497347554907E-2</v>
      </c>
      <c r="C431" s="4">
        <f t="shared" si="109"/>
        <v>2.5352989852573532E-2</v>
      </c>
      <c r="D431" s="4">
        <f t="shared" si="117"/>
        <v>1.4475248673777455E-3</v>
      </c>
      <c r="E431" s="4">
        <f t="shared" si="118"/>
        <v>2.8950497347554911E-3</v>
      </c>
      <c r="F431" s="4">
        <f t="shared" si="119"/>
        <v>2.5352989852573532E-2</v>
      </c>
      <c r="G431" s="4">
        <f t="shared" si="119"/>
        <v>1.4475248673777455E-3</v>
      </c>
      <c r="H431" s="4">
        <f t="shared" si="120"/>
        <v>3.0423587823088238E-2</v>
      </c>
      <c r="I431" s="4">
        <f t="shared" si="121"/>
        <v>0.60444694350767669</v>
      </c>
      <c r="J431" s="4">
        <f t="shared" si="122"/>
        <v>0.14331788647550001</v>
      </c>
      <c r="K431" s="4">
        <f t="shared" si="123"/>
        <v>0.24433280047904948</v>
      </c>
      <c r="L431" s="4">
        <f t="shared" si="124"/>
        <v>7.9023695377749906E-3</v>
      </c>
      <c r="N431" s="10">
        <f t="shared" si="111"/>
        <v>0.11320325583714143</v>
      </c>
      <c r="O431" s="66">
        <v>2</v>
      </c>
      <c r="P431" s="10">
        <f t="shared" si="126"/>
        <v>7.101088824608387E-3</v>
      </c>
      <c r="Q431" s="10">
        <f t="shared" si="127"/>
        <v>4.0543552136654385E-4</v>
      </c>
      <c r="R431" s="10">
        <f t="shared" si="128"/>
        <v>5.3682300962841642E-2</v>
      </c>
      <c r="S431" s="66"/>
      <c r="T431" s="5">
        <f t="shared" si="125"/>
        <v>34.333333333333215</v>
      </c>
      <c r="U431" s="12">
        <f t="shared" si="115"/>
        <v>616.96319018191298</v>
      </c>
      <c r="V431" s="12">
        <f t="shared" si="110"/>
        <v>50666.813959395302</v>
      </c>
    </row>
    <row r="432" spans="1:22">
      <c r="A432" s="5">
        <f t="shared" si="116"/>
        <v>34.416666666666551</v>
      </c>
      <c r="B432" s="4">
        <f t="shared" si="108"/>
        <v>2.9285537081513841E-2</v>
      </c>
      <c r="C432" s="4">
        <f t="shared" si="109"/>
        <v>2.5540088017564709E-2</v>
      </c>
      <c r="D432" s="4">
        <f t="shared" si="117"/>
        <v>1.4642768540756921E-3</v>
      </c>
      <c r="E432" s="4">
        <f t="shared" si="118"/>
        <v>2.9285537081513843E-3</v>
      </c>
      <c r="F432" s="4">
        <f t="shared" si="119"/>
        <v>2.5540088017564709E-2</v>
      </c>
      <c r="G432" s="4">
        <f t="shared" si="119"/>
        <v>1.4642768540756921E-3</v>
      </c>
      <c r="H432" s="4">
        <f t="shared" si="120"/>
        <v>3.064810562107765E-2</v>
      </c>
      <c r="I432" s="4">
        <f t="shared" si="121"/>
        <v>0.60167330880497361</v>
      </c>
      <c r="J432" s="4">
        <f t="shared" si="122"/>
        <v>0.14442148098378427</v>
      </c>
      <c r="K432" s="4">
        <f t="shared" si="123"/>
        <v>0.24593267486074263</v>
      </c>
      <c r="L432" s="4">
        <f t="shared" si="124"/>
        <v>7.9725353505006695E-3</v>
      </c>
      <c r="N432" s="10">
        <f t="shared" si="111"/>
        <v>0.11222657341716887</v>
      </c>
      <c r="O432" s="66">
        <v>4</v>
      </c>
      <c r="P432" s="10">
        <f t="shared" si="126"/>
        <v>1.4217110704036924E-2</v>
      </c>
      <c r="Q432" s="10">
        <f t="shared" si="127"/>
        <v>8.1510236462129654E-4</v>
      </c>
      <c r="R432" s="10">
        <f t="shared" si="128"/>
        <v>0.10775234800316902</v>
      </c>
      <c r="S432" s="66"/>
      <c r="T432" s="5">
        <f t="shared" si="125"/>
        <v>34.416666666666551</v>
      </c>
      <c r="U432" s="12">
        <f t="shared" si="115"/>
        <v>495.88127160704278</v>
      </c>
      <c r="V432" s="12">
        <f t="shared" si="110"/>
        <v>44483.479621488223</v>
      </c>
    </row>
    <row r="433" spans="1:22">
      <c r="A433" s="5">
        <f t="shared" si="116"/>
        <v>34.499999999999886</v>
      </c>
      <c r="B433" s="4">
        <f t="shared" si="108"/>
        <v>2.9624508502615304E-2</v>
      </c>
      <c r="C433" s="4">
        <f t="shared" si="109"/>
        <v>2.5728594694109298E-2</v>
      </c>
      <c r="D433" s="4">
        <f t="shared" si="117"/>
        <v>1.4812254251307653E-3</v>
      </c>
      <c r="E433" s="4">
        <f t="shared" si="118"/>
        <v>2.9624508502615306E-3</v>
      </c>
      <c r="F433" s="4">
        <f t="shared" si="119"/>
        <v>2.5728594694109298E-2</v>
      </c>
      <c r="G433" s="4">
        <f t="shared" si="119"/>
        <v>1.4812254251307653E-3</v>
      </c>
      <c r="H433" s="4">
        <f t="shared" si="120"/>
        <v>3.0874313632931156E-2</v>
      </c>
      <c r="I433" s="4">
        <f t="shared" si="121"/>
        <v>0.59888621001357434</v>
      </c>
      <c r="J433" s="4">
        <f t="shared" si="122"/>
        <v>0.14552959511415964</v>
      </c>
      <c r="K433" s="4">
        <f t="shared" si="123"/>
        <v>0.24754098066958774</v>
      </c>
      <c r="L433" s="4">
        <f t="shared" si="124"/>
        <v>8.0432142026793541E-3</v>
      </c>
      <c r="N433" s="10">
        <f t="shared" si="111"/>
        <v>0.11125345198412613</v>
      </c>
      <c r="O433" s="66">
        <v>2</v>
      </c>
      <c r="P433" s="10">
        <f t="shared" si="126"/>
        <v>7.1159162587104636E-3</v>
      </c>
      <c r="Q433" s="10">
        <f t="shared" si="127"/>
        <v>4.096716595219476E-4</v>
      </c>
      <c r="R433" s="10">
        <f t="shared" si="128"/>
        <v>5.4069269091821297E-2</v>
      </c>
      <c r="S433" s="66"/>
      <c r="T433" s="5">
        <f t="shared" si="125"/>
        <v>34.499999999999886</v>
      </c>
      <c r="U433" s="12">
        <f t="shared" si="115"/>
        <v>386.2561973916234</v>
      </c>
      <c r="V433" s="12">
        <f t="shared" si="110"/>
        <v>38258.383693487645</v>
      </c>
    </row>
    <row r="434" spans="1:22">
      <c r="A434" s="5">
        <f t="shared" si="116"/>
        <v>34.583333333333222</v>
      </c>
      <c r="B434" s="4">
        <f t="shared" si="108"/>
        <v>2.9967457749159286E-2</v>
      </c>
      <c r="C434" s="4">
        <f t="shared" si="109"/>
        <v>2.591852048575749E-2</v>
      </c>
      <c r="D434" s="4">
        <f t="shared" si="117"/>
        <v>1.4983728874579643E-3</v>
      </c>
      <c r="E434" s="4">
        <f t="shared" si="118"/>
        <v>2.9967457749159286E-3</v>
      </c>
      <c r="F434" s="4">
        <f t="shared" si="119"/>
        <v>2.591852048575749E-2</v>
      </c>
      <c r="G434" s="4">
        <f t="shared" si="119"/>
        <v>1.4983728874579643E-3</v>
      </c>
      <c r="H434" s="4">
        <f t="shared" si="120"/>
        <v>3.1102224582908986E-2</v>
      </c>
      <c r="I434" s="4">
        <f t="shared" si="121"/>
        <v>0.59608569573072223</v>
      </c>
      <c r="J434" s="4">
        <f t="shared" si="122"/>
        <v>0.14664215771772462</v>
      </c>
      <c r="K434" s="4">
        <f t="shared" si="123"/>
        <v>0.24915773910724864</v>
      </c>
      <c r="L434" s="4">
        <f t="shared" si="124"/>
        <v>8.1144074443055218E-3</v>
      </c>
      <c r="N434" s="10">
        <f t="shared" si="111"/>
        <v>0.11028389786004401</v>
      </c>
      <c r="O434" s="66">
        <v>4</v>
      </c>
      <c r="P434" s="10">
        <f t="shared" si="126"/>
        <v>1.4246340376398069E-2</v>
      </c>
      <c r="Q434" s="10">
        <f t="shared" si="127"/>
        <v>8.2359369923227675E-4</v>
      </c>
      <c r="R434" s="10">
        <f t="shared" si="128"/>
        <v>0.1085231124286111</v>
      </c>
      <c r="S434" s="66"/>
      <c r="T434" s="5">
        <f t="shared" si="125"/>
        <v>34.583333333333222</v>
      </c>
      <c r="U434" s="12">
        <f t="shared" si="115"/>
        <v>288.61742329778554</v>
      </c>
      <c r="V434" s="12">
        <f t="shared" si="110"/>
        <v>31990.988167184547</v>
      </c>
    </row>
    <row r="435" spans="1:22">
      <c r="A435" s="5">
        <f t="shared" si="116"/>
        <v>34.666666666666558</v>
      </c>
      <c r="B435" s="4">
        <f t="shared" si="108"/>
        <v>3.031443150087814E-2</v>
      </c>
      <c r="C435" s="4">
        <f t="shared" si="109"/>
        <v>2.6109876075885146E-2</v>
      </c>
      <c r="D435" s="4">
        <f t="shared" si="117"/>
        <v>1.5157215750439071E-3</v>
      </c>
      <c r="E435" s="4">
        <f t="shared" si="118"/>
        <v>3.0314431500878141E-3</v>
      </c>
      <c r="F435" s="4">
        <f t="shared" si="119"/>
        <v>2.6109876075885146E-2</v>
      </c>
      <c r="G435" s="4">
        <f t="shared" si="119"/>
        <v>1.5157215750439071E-3</v>
      </c>
      <c r="H435" s="4">
        <f t="shared" si="120"/>
        <v>3.1331851291062175E-2</v>
      </c>
      <c r="I435" s="4">
        <f t="shared" si="121"/>
        <v>0.59327181726436629</v>
      </c>
      <c r="J435" s="4">
        <f t="shared" si="122"/>
        <v>0.14775909532047116</v>
      </c>
      <c r="K435" s="4">
        <f t="shared" si="123"/>
        <v>0.25078297104121833</v>
      </c>
      <c r="L435" s="4">
        <f t="shared" si="124"/>
        <v>8.1861163739452708E-3</v>
      </c>
      <c r="N435" s="10">
        <f t="shared" si="111"/>
        <v>0.10931791764235821</v>
      </c>
      <c r="O435" s="66">
        <v>2</v>
      </c>
      <c r="P435" s="10">
        <f t="shared" si="126"/>
        <v>7.1303157772968648E-3</v>
      </c>
      <c r="Q435" s="10">
        <f t="shared" si="127"/>
        <v>4.1392664710908399E-4</v>
      </c>
      <c r="R435" s="10">
        <f t="shared" si="128"/>
        <v>5.4453004990644455E-2</v>
      </c>
      <c r="S435" s="66"/>
      <c r="T435" s="5">
        <f t="shared" si="125"/>
        <v>34.666666666666558</v>
      </c>
      <c r="U435" s="12">
        <f t="shared" si="115"/>
        <v>203.51181601498527</v>
      </c>
      <c r="V435" s="12">
        <f t="shared" si="110"/>
        <v>25680.745395823076</v>
      </c>
    </row>
    <row r="436" spans="1:22">
      <c r="A436" s="5">
        <f t="shared" si="116"/>
        <v>34.749999999999893</v>
      </c>
      <c r="B436" s="4">
        <f t="shared" si="108"/>
        <v>3.0665476985290582E-2</v>
      </c>
      <c r="C436" s="4">
        <f t="shared" si="109"/>
        <v>2.6302672228294712E-2</v>
      </c>
      <c r="D436" s="4">
        <f t="shared" si="117"/>
        <v>1.5332738492645293E-3</v>
      </c>
      <c r="E436" s="4">
        <f t="shared" si="118"/>
        <v>3.0665476985290586E-3</v>
      </c>
      <c r="F436" s="4">
        <f t="shared" si="119"/>
        <v>2.6302672228294712E-2</v>
      </c>
      <c r="G436" s="4">
        <f t="shared" si="119"/>
        <v>1.5332738492645293E-3</v>
      </c>
      <c r="H436" s="4">
        <f t="shared" si="120"/>
        <v>3.1563206673953653E-2</v>
      </c>
      <c r="I436" s="4">
        <f t="shared" si="121"/>
        <v>0.59044462867354375</v>
      </c>
      <c r="J436" s="4">
        <f t="shared" si="122"/>
        <v>0.14888033209146292</v>
      </c>
      <c r="K436" s="4">
        <f t="shared" si="123"/>
        <v>0.2524166969976242</v>
      </c>
      <c r="L436" s="4">
        <f t="shared" si="124"/>
        <v>8.2583422373702312E-3</v>
      </c>
      <c r="N436" s="10">
        <f t="shared" si="111"/>
        <v>0.10835551820351218</v>
      </c>
      <c r="O436" s="66">
        <v>4</v>
      </c>
      <c r="P436" s="10">
        <f t="shared" si="126"/>
        <v>1.4274703312383062E-2</v>
      </c>
      <c r="Q436" s="10">
        <f t="shared" si="127"/>
        <v>8.3212188879204659E-4</v>
      </c>
      <c r="R436" s="10">
        <f t="shared" si="128"/>
        <v>0.10928716936809205</v>
      </c>
      <c r="S436" s="66"/>
      <c r="T436" s="5">
        <f t="shared" si="125"/>
        <v>34.749999999999893</v>
      </c>
      <c r="U436" s="12">
        <f t="shared" si="115"/>
        <v>131.50421872230928</v>
      </c>
      <c r="V436" s="12">
        <f t="shared" si="110"/>
        <v>19327.097889948749</v>
      </c>
    </row>
    <row r="437" spans="1:22">
      <c r="A437" s="5">
        <f t="shared" si="116"/>
        <v>34.833333333333229</v>
      </c>
      <c r="B437" s="4">
        <f t="shared" si="108"/>
        <v>3.1020641984129505E-2</v>
      </c>
      <c r="C437" s="4">
        <f t="shared" si="109"/>
        <v>2.649691978782057E-2</v>
      </c>
      <c r="D437" s="4">
        <f t="shared" si="117"/>
        <v>1.5510320992064754E-3</v>
      </c>
      <c r="E437" s="4">
        <f t="shared" si="118"/>
        <v>3.1020641984129509E-3</v>
      </c>
      <c r="F437" s="4">
        <f t="shared" si="119"/>
        <v>2.649691978782057E-2</v>
      </c>
      <c r="G437" s="4">
        <f t="shared" si="119"/>
        <v>1.5510320992064754E-3</v>
      </c>
      <c r="H437" s="4">
        <f t="shared" si="120"/>
        <v>3.1796303745384683E-2</v>
      </c>
      <c r="I437" s="4">
        <f t="shared" si="121"/>
        <v>0.58760418680875315</v>
      </c>
      <c r="J437" s="4">
        <f t="shared" si="122"/>
        <v>0.15000578981111615</v>
      </c>
      <c r="K437" s="4">
        <f t="shared" si="123"/>
        <v>0.25405893715395927</v>
      </c>
      <c r="L437" s="4">
        <f t="shared" si="124"/>
        <v>8.3310862261724936E-3</v>
      </c>
      <c r="N437" s="10">
        <f t="shared" si="111"/>
        <v>0.10739670669048296</v>
      </c>
      <c r="O437" s="66">
        <v>2</v>
      </c>
      <c r="P437" s="10">
        <f t="shared" si="126"/>
        <v>7.1442764485251317E-3</v>
      </c>
      <c r="Q437" s="10">
        <f t="shared" si="127"/>
        <v>4.1819963173080792E-4</v>
      </c>
      <c r="R437" s="10">
        <f t="shared" si="128"/>
        <v>5.4833264200215857E-2</v>
      </c>
      <c r="S437" s="66"/>
      <c r="T437" s="5">
        <f t="shared" si="125"/>
        <v>34.833333333333229</v>
      </c>
      <c r="U437" s="12">
        <f t="shared" si="115"/>
        <v>73.178036339218579</v>
      </c>
      <c r="V437" s="12">
        <f t="shared" si="110"/>
        <v>12929.478108190486</v>
      </c>
    </row>
    <row r="438" spans="1:22">
      <c r="A438" s="5">
        <f t="shared" si="116"/>
        <v>34.916666666666565</v>
      </c>
      <c r="B438" s="4">
        <f t="shared" si="108"/>
        <v>3.1379974839845753E-2</v>
      </c>
      <c r="C438" s="4">
        <f t="shared" si="109"/>
        <v>2.6692629680939186E-2</v>
      </c>
      <c r="D438" s="4">
        <f t="shared" si="117"/>
        <v>1.5689987419922878E-3</v>
      </c>
      <c r="E438" s="4">
        <f t="shared" si="118"/>
        <v>3.1379974839845755E-3</v>
      </c>
      <c r="F438" s="4">
        <f t="shared" si="119"/>
        <v>2.6692629680939186E-2</v>
      </c>
      <c r="G438" s="4">
        <f t="shared" si="119"/>
        <v>1.5689987419922878E-3</v>
      </c>
      <c r="H438" s="4">
        <f t="shared" si="120"/>
        <v>3.2031155617127022E-2</v>
      </c>
      <c r="I438" s="4">
        <f t="shared" si="121"/>
        <v>0.58475055135229737</v>
      </c>
      <c r="J438" s="4">
        <f t="shared" si="122"/>
        <v>0.1511353878396032</v>
      </c>
      <c r="K438" s="4">
        <f t="shared" si="123"/>
        <v>0.25570971133173998</v>
      </c>
      <c r="L438" s="4">
        <f t="shared" si="124"/>
        <v>8.4043494763604929E-3</v>
      </c>
      <c r="N438" s="10">
        <f t="shared" si="111"/>
        <v>0.1064414905242278</v>
      </c>
      <c r="O438" s="66">
        <v>4</v>
      </c>
      <c r="P438" s="10">
        <f t="shared" si="126"/>
        <v>1.4302177542953697E-2</v>
      </c>
      <c r="Q438" s="10">
        <f t="shared" si="127"/>
        <v>8.406851944103823E-4</v>
      </c>
      <c r="R438" s="10">
        <f t="shared" si="128"/>
        <v>0.11004402417681561</v>
      </c>
      <c r="S438" s="66"/>
      <c r="T438" s="5">
        <f t="shared" si="125"/>
        <v>34.916666666666565</v>
      </c>
      <c r="U438" s="12">
        <f t="shared" si="115"/>
        <v>29.135841210272019</v>
      </c>
      <c r="V438" s="12">
        <f t="shared" si="110"/>
        <v>6487.3082428291073</v>
      </c>
    </row>
    <row r="439" spans="1:22">
      <c r="A439" s="5">
        <f t="shared" si="116"/>
        <v>34.999999999999901</v>
      </c>
      <c r="B439" s="4">
        <f t="shared" si="108"/>
        <v>3.1743524462188387E-2</v>
      </c>
      <c r="C439" s="4">
        <f t="shared" si="109"/>
        <v>2.6889812916383583E-2</v>
      </c>
      <c r="D439" s="4">
        <f t="shared" si="117"/>
        <v>1.5871762231094194E-3</v>
      </c>
      <c r="E439" s="4">
        <f t="shared" si="118"/>
        <v>3.1743524462188389E-3</v>
      </c>
      <c r="F439" s="4">
        <f t="shared" si="119"/>
        <v>2.6889812916383583E-2</v>
      </c>
      <c r="G439" s="4">
        <f t="shared" si="119"/>
        <v>1.5871762231094194E-3</v>
      </c>
      <c r="H439" s="4">
        <f t="shared" si="120"/>
        <v>3.2267775499660298E-2</v>
      </c>
      <c r="I439" s="103">
        <f t="shared" si="121"/>
        <v>0.5818837848585755</v>
      </c>
      <c r="J439" s="4">
        <f t="shared" si="122"/>
        <v>0.15226904308539993</v>
      </c>
      <c r="K439" s="4">
        <f t="shared" si="123"/>
        <v>0.25736903898908975</v>
      </c>
      <c r="L439" s="4">
        <f t="shared" si="124"/>
        <v>8.4781330669358151E-3</v>
      </c>
      <c r="N439" s="10">
        <f t="shared" si="111"/>
        <v>0.10548987739904915</v>
      </c>
      <c r="O439" s="66">
        <v>1</v>
      </c>
      <c r="P439" s="10">
        <f t="shared" si="126"/>
        <v>3.5788936179241633E-3</v>
      </c>
      <c r="Q439" s="10">
        <f t="shared" si="127"/>
        <v>2.1124486336408579E-4</v>
      </c>
      <c r="R439" s="10">
        <f t="shared" si="128"/>
        <v>2.7604898271316122E-2</v>
      </c>
      <c r="S439" s="66"/>
      <c r="T439" s="5">
        <f t="shared" si="125"/>
        <v>34.999999999999901</v>
      </c>
      <c r="U439" s="12">
        <v>0</v>
      </c>
      <c r="V439" s="12">
        <v>0</v>
      </c>
    </row>
    <row r="440" spans="1:22">
      <c r="N440" s="65">
        <f>SUM(N19:N439)</f>
        <v>187.02522758484918</v>
      </c>
      <c r="O440" s="66"/>
      <c r="P440" s="65">
        <f>SUM(P19:P439)/36</f>
        <v>8.6835005959499861E-2</v>
      </c>
      <c r="Q440" s="65">
        <f>SUM(Q19:Q439)/36</f>
        <v>2.8780263213824737E-3</v>
      </c>
      <c r="R440" s="65">
        <f>SUM(R19:R439)/36</f>
        <v>0.39547915429704961</v>
      </c>
      <c r="S440" s="66"/>
    </row>
    <row r="442" spans="1:22">
      <c r="M442" s="100"/>
      <c r="N442" s="76" t="s">
        <v>231</v>
      </c>
      <c r="O442" s="101">
        <f>(B11*(P440+Q440)+B10*R440)/N440</f>
        <v>206.56165106303837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4"/>
  <sheetViews>
    <sheetView zoomScale="125" zoomScaleNormal="125" zoomScalePageLayoutView="125" workbookViewId="0"/>
  </sheetViews>
  <sheetFormatPr baseColWidth="10" defaultRowHeight="12" x14ac:dyDescent="0"/>
  <cols>
    <col min="1" max="1" width="10.83203125" style="13"/>
  </cols>
  <sheetData>
    <row r="1" spans="1:8" ht="15">
      <c r="A1" s="104" t="s">
        <v>739</v>
      </c>
      <c r="B1" s="14"/>
      <c r="C1" s="4"/>
      <c r="D1" s="66"/>
      <c r="E1" s="4"/>
      <c r="F1" s="66"/>
      <c r="G1" s="66"/>
      <c r="H1" s="66"/>
    </row>
    <row r="2" spans="1:8">
      <c r="B2" s="14"/>
      <c r="C2" s="4"/>
      <c r="D2" s="66"/>
      <c r="E2" s="4"/>
      <c r="F2" s="66"/>
      <c r="G2" s="66"/>
      <c r="H2" s="66"/>
    </row>
    <row r="3" spans="1:8">
      <c r="A3" s="106" t="s">
        <v>9</v>
      </c>
      <c r="B3" s="92">
        <f>10^-4</f>
        <v>1E-4</v>
      </c>
      <c r="C3" s="4"/>
      <c r="D3" s="66"/>
      <c r="E3" s="4"/>
      <c r="F3" s="66"/>
      <c r="G3" s="66"/>
      <c r="H3" s="66"/>
    </row>
    <row r="4" spans="1:8">
      <c r="A4" s="106" t="s">
        <v>10</v>
      </c>
      <c r="B4" s="99">
        <f>0.00035</f>
        <v>3.5E-4</v>
      </c>
      <c r="C4" s="4"/>
      <c r="D4" s="66"/>
      <c r="E4" s="4"/>
      <c r="F4" s="66"/>
      <c r="G4" s="66"/>
      <c r="H4" s="66"/>
    </row>
    <row r="5" spans="1:8">
      <c r="A5" s="106" t="s">
        <v>202</v>
      </c>
      <c r="B5" s="107">
        <v>1.075</v>
      </c>
      <c r="C5" s="4"/>
      <c r="D5" s="66"/>
      <c r="E5" s="4"/>
      <c r="F5" s="66"/>
      <c r="G5" s="66"/>
      <c r="H5" s="66"/>
    </row>
    <row r="6" spans="1:8">
      <c r="A6" s="63" t="s">
        <v>74</v>
      </c>
      <c r="B6" s="98">
        <v>0.04</v>
      </c>
      <c r="C6" s="4"/>
      <c r="D6" s="66"/>
      <c r="E6" s="4"/>
      <c r="F6" s="66"/>
      <c r="G6" s="66"/>
      <c r="H6" s="66"/>
    </row>
    <row r="7" spans="1:8">
      <c r="A7" s="106" t="s">
        <v>82</v>
      </c>
      <c r="B7" s="107">
        <v>30</v>
      </c>
      <c r="C7" s="4"/>
      <c r="D7" s="66"/>
      <c r="E7" s="4"/>
      <c r="F7" s="66"/>
      <c r="G7" s="66"/>
      <c r="H7" s="66"/>
    </row>
    <row r="8" spans="1:8">
      <c r="A8" s="105" t="s">
        <v>27</v>
      </c>
      <c r="B8" s="18">
        <f>EXP(-B3)</f>
        <v>0.99990000499983334</v>
      </c>
      <c r="C8" s="4"/>
      <c r="D8" s="66"/>
      <c r="E8" s="4"/>
      <c r="F8" s="66"/>
      <c r="G8" s="66"/>
      <c r="H8" s="66"/>
    </row>
    <row r="9" spans="1:8">
      <c r="A9" s="105" t="s">
        <v>25</v>
      </c>
      <c r="B9" s="18">
        <f>EXP(-B4/LN(B5))</f>
        <v>0.99517213429186457</v>
      </c>
      <c r="C9" s="4"/>
      <c r="D9" s="66" t="s">
        <v>257</v>
      </c>
      <c r="E9" s="4"/>
      <c r="F9" s="66"/>
      <c r="G9" s="66"/>
      <c r="H9" s="66"/>
    </row>
    <row r="10" spans="1:8">
      <c r="A10" s="105"/>
      <c r="B10" s="18"/>
      <c r="C10" s="4"/>
      <c r="D10" s="66" t="s">
        <v>121</v>
      </c>
      <c r="E10" s="4"/>
      <c r="F10" s="66" t="s">
        <v>75</v>
      </c>
      <c r="G10" s="66" t="s">
        <v>204</v>
      </c>
      <c r="H10" s="66" t="s">
        <v>256</v>
      </c>
    </row>
    <row r="11" spans="1:8" ht="14" customHeight="1">
      <c r="A11" s="5" t="s">
        <v>0</v>
      </c>
      <c r="B11" s="89" t="s">
        <v>213</v>
      </c>
      <c r="C11" s="90" t="s">
        <v>214</v>
      </c>
      <c r="D11" s="66" t="s">
        <v>22</v>
      </c>
      <c r="E11" s="4" t="s">
        <v>85</v>
      </c>
      <c r="F11" s="66" t="s">
        <v>86</v>
      </c>
      <c r="G11" s="66" t="s">
        <v>86</v>
      </c>
      <c r="H11" s="66" t="s">
        <v>86</v>
      </c>
    </row>
    <row r="12" spans="1:8">
      <c r="A12" s="5">
        <v>0</v>
      </c>
      <c r="B12" s="4">
        <f>((B$8^A12)*B$9^((B$5^B$7)*((B$5^A12)-1)))^1.05</f>
        <v>1</v>
      </c>
      <c r="C12" s="4">
        <f>B$3+B$4*(B$5^(B$7+A12))</f>
        <v>3.1642343161391155E-3</v>
      </c>
      <c r="D12" s="66">
        <v>1</v>
      </c>
      <c r="E12" s="4">
        <f>(1+B$6)^-A12</f>
        <v>1</v>
      </c>
      <c r="F12" s="4">
        <f>B12*E12</f>
        <v>1</v>
      </c>
      <c r="G12" s="4">
        <f>B12*C12*D12*E12</f>
        <v>3.1642343161391155E-3</v>
      </c>
      <c r="H12" s="4">
        <f>G12*0.05</f>
        <v>1.5821171580695579E-4</v>
      </c>
    </row>
    <row r="13" spans="1:8">
      <c r="A13" s="5">
        <f>A12+1/12</f>
        <v>8.3333333333333329E-2</v>
      </c>
      <c r="B13" s="4">
        <f t="shared" ref="B13:B76" si="0">((B$8^A13)*B$9^((B$5^B$7)*((B$5^A13)-1)))^1.05</f>
        <v>0.99972235847750923</v>
      </c>
      <c r="C13" s="4">
        <f t="shared" ref="C13:C76" si="1">B$3+B$4*(B$5^(B$7+A13))</f>
        <v>3.1827573644516308E-3</v>
      </c>
      <c r="D13" s="66">
        <v>4</v>
      </c>
      <c r="E13" s="4">
        <f t="shared" ref="E13:E76" si="2">(1+B$6)^-A13</f>
        <v>0.99673694261856227</v>
      </c>
      <c r="F13" s="4">
        <f t="shared" ref="F13:F76" si="3">B13*E13</f>
        <v>0.9964602070562909</v>
      </c>
      <c r="G13" s="4">
        <f t="shared" ref="G13:G76" si="4">B13*C13*D13*E13</f>
        <v>1.2685964249565626E-2</v>
      </c>
      <c r="H13" s="4">
        <f t="shared" ref="H13:H76" si="5">G13*0.05</f>
        <v>6.3429821247828133E-4</v>
      </c>
    </row>
    <row r="14" spans="1:8">
      <c r="A14" s="5">
        <f t="shared" ref="A14:A77" si="6">A13+1/12</f>
        <v>0.16666666666666666</v>
      </c>
      <c r="B14" s="4">
        <f t="shared" si="0"/>
        <v>0.99944316928322174</v>
      </c>
      <c r="C14" s="4">
        <f t="shared" si="1"/>
        <v>3.20139238309128E-3</v>
      </c>
      <c r="D14" s="66">
        <f>IF(D13=4,2,4)</f>
        <v>2</v>
      </c>
      <c r="E14" s="4">
        <f t="shared" si="2"/>
        <v>0.99348453278059923</v>
      </c>
      <c r="F14" s="4">
        <f t="shared" si="3"/>
        <v>0.9929313300761029</v>
      </c>
      <c r="G14" s="4">
        <f t="shared" si="4"/>
        <v>6.3575255940766587E-3</v>
      </c>
      <c r="H14" s="4">
        <f t="shared" si="5"/>
        <v>3.1787627970383293E-4</v>
      </c>
    </row>
    <row r="15" spans="1:8">
      <c r="A15" s="5">
        <f t="shared" si="6"/>
        <v>0.25</v>
      </c>
      <c r="B15" s="4">
        <f t="shared" si="0"/>
        <v>0.99916242393820176</v>
      </c>
      <c r="C15" s="4">
        <f t="shared" si="1"/>
        <v>3.220140048909621E-3</v>
      </c>
      <c r="D15" s="66">
        <f t="shared" ref="D15:D78" si="7">IF(D14=4,2,4)</f>
        <v>4</v>
      </c>
      <c r="E15" s="4">
        <f t="shared" si="2"/>
        <v>0.99024273574256538</v>
      </c>
      <c r="F15" s="4">
        <f t="shared" si="3"/>
        <v>0.98941333213173777</v>
      </c>
      <c r="G15" s="4">
        <f t="shared" si="4"/>
        <v>1.27441979828901E-2</v>
      </c>
      <c r="H15" s="4">
        <f t="shared" si="5"/>
        <v>6.3720989914450507E-4</v>
      </c>
    </row>
    <row r="16" spans="1:8">
      <c r="A16" s="5">
        <f t="shared" si="6"/>
        <v>0.33333333333333331</v>
      </c>
      <c r="B16" s="4">
        <f t="shared" si="0"/>
        <v>0.99888011392243836</v>
      </c>
      <c r="C16" s="4">
        <f t="shared" si="1"/>
        <v>3.2390010428497299E-3</v>
      </c>
      <c r="D16" s="66">
        <f t="shared" si="7"/>
        <v>2</v>
      </c>
      <c r="E16" s="4">
        <f t="shared" si="2"/>
        <v>0.98701151687428557</v>
      </c>
      <c r="F16" s="4">
        <f t="shared" si="3"/>
        <v>0.98590617641814504</v>
      </c>
      <c r="G16" s="4">
        <f t="shared" si="4"/>
        <v>6.3867022671407229E-3</v>
      </c>
      <c r="H16" s="4">
        <f t="shared" si="5"/>
        <v>3.1933511335703618E-4</v>
      </c>
    </row>
    <row r="17" spans="1:8">
      <c r="A17" s="5">
        <f t="shared" si="6"/>
        <v>0.41666666666666663</v>
      </c>
      <c r="B17" s="4">
        <f t="shared" si="0"/>
        <v>0.99859623067471293</v>
      </c>
      <c r="C17" s="4">
        <f t="shared" si="1"/>
        <v>3.2579760499709238E-3</v>
      </c>
      <c r="D17" s="66">
        <f t="shared" si="7"/>
        <v>4</v>
      </c>
      <c r="E17" s="4">
        <f t="shared" si="2"/>
        <v>0.98379084165858499</v>
      </c>
      <c r="F17" s="4">
        <f t="shared" si="3"/>
        <v>0.98240982625256634</v>
      </c>
      <c r="G17" s="4">
        <f t="shared" si="4"/>
        <v>1.280267074074783E-2</v>
      </c>
      <c r="H17" s="4">
        <f t="shared" si="5"/>
        <v>6.4013353703739153E-4</v>
      </c>
    </row>
    <row r="18" spans="1:8">
      <c r="A18" s="5">
        <f t="shared" si="6"/>
        <v>0.49999999999999994</v>
      </c>
      <c r="B18" s="4">
        <f t="shared" si="0"/>
        <v>0.9983107655924689</v>
      </c>
      <c r="C18" s="4">
        <f t="shared" si="1"/>
        <v>3.2770657594736498E-3</v>
      </c>
      <c r="D18" s="66">
        <f t="shared" si="7"/>
        <v>2</v>
      </c>
      <c r="E18" s="4">
        <f t="shared" si="2"/>
        <v>0.98058067569092011</v>
      </c>
      <c r="F18" s="4">
        <f t="shared" si="3"/>
        <v>0.97892424507418296</v>
      </c>
      <c r="G18" s="4">
        <f t="shared" si="4"/>
        <v>6.415998249302393E-3</v>
      </c>
      <c r="H18" s="4">
        <f t="shared" si="5"/>
        <v>3.2079991246511966E-4</v>
      </c>
    </row>
    <row r="19" spans="1:8">
      <c r="A19" s="5">
        <f t="shared" si="6"/>
        <v>0.58333333333333326</v>
      </c>
      <c r="B19" s="4">
        <f t="shared" si="0"/>
        <v>0.99802371003167978</v>
      </c>
      <c r="C19" s="4">
        <f t="shared" si="1"/>
        <v>3.2962708647245186E-3</v>
      </c>
      <c r="D19" s="66">
        <f t="shared" si="7"/>
        <v>4</v>
      </c>
      <c r="E19" s="4">
        <f t="shared" si="2"/>
        <v>0.9773809846790118</v>
      </c>
      <c r="F19" s="4">
        <f t="shared" si="3"/>
        <v>0.97544939644376372</v>
      </c>
      <c r="G19" s="4">
        <f t="shared" si="4"/>
        <v>1.2861381702042778E-2</v>
      </c>
      <c r="H19" s="4">
        <f t="shared" si="5"/>
        <v>6.430690851021389E-4</v>
      </c>
    </row>
    <row r="20" spans="1:8">
      <c r="A20" s="5">
        <f t="shared" si="6"/>
        <v>0.66666666666666663</v>
      </c>
      <c r="B20" s="4">
        <f t="shared" si="0"/>
        <v>0.99773505530671958</v>
      </c>
      <c r="C20" s="4">
        <f t="shared" si="1"/>
        <v>3.3155920632814812E-3</v>
      </c>
      <c r="D20" s="66">
        <f t="shared" si="7"/>
        <v>2</v>
      </c>
      <c r="E20" s="4">
        <f t="shared" si="2"/>
        <v>0.9741917344424782</v>
      </c>
      <c r="F20" s="4">
        <f t="shared" si="3"/>
        <v>0.9719852440433151</v>
      </c>
      <c r="G20" s="4">
        <f t="shared" si="4"/>
        <v>6.4454131215534579E-3</v>
      </c>
      <c r="H20" s="4">
        <f t="shared" si="5"/>
        <v>3.2227065607767292E-4</v>
      </c>
    </row>
    <row r="21" spans="1:8">
      <c r="A21" s="5">
        <f t="shared" si="6"/>
        <v>0.75</v>
      </c>
      <c r="B21" s="4">
        <f t="shared" si="0"/>
        <v>0.99744479269023267</v>
      </c>
      <c r="C21" s="4">
        <f t="shared" si="1"/>
        <v>3.3350300569191717E-3</v>
      </c>
      <c r="D21" s="66">
        <f t="shared" si="7"/>
        <v>4</v>
      </c>
      <c r="E21" s="4">
        <f t="shared" si="2"/>
        <v>0.97101289091247012</v>
      </c>
      <c r="F21" s="4">
        <f t="shared" si="3"/>
        <v>0.96853175167573224</v>
      </c>
      <c r="G21" s="4">
        <f t="shared" si="4"/>
        <v>1.292033001167657E-2</v>
      </c>
      <c r="H21" s="4">
        <f t="shared" si="5"/>
        <v>6.4601650058382853E-4</v>
      </c>
    </row>
    <row r="22" spans="1:8">
      <c r="A22" s="5">
        <f t="shared" si="6"/>
        <v>0.83333333333333337</v>
      </c>
      <c r="B22" s="4">
        <f t="shared" si="0"/>
        <v>0.99715291341300438</v>
      </c>
      <c r="C22" s="4">
        <f t="shared" si="1"/>
        <v>3.3545855516543986E-3</v>
      </c>
      <c r="D22" s="66">
        <f t="shared" si="7"/>
        <v>2</v>
      </c>
      <c r="E22" s="4">
        <f t="shared" si="2"/>
        <v>0.96784442013130689</v>
      </c>
      <c r="F22" s="4">
        <f t="shared" si="3"/>
        <v>0.96508888326445252</v>
      </c>
      <c r="G22" s="4">
        <f t="shared" si="4"/>
        <v>6.4749464477224213E-3</v>
      </c>
      <c r="H22" s="4">
        <f t="shared" si="5"/>
        <v>3.237473223861211E-4</v>
      </c>
    </row>
    <row r="23" spans="1:8">
      <c r="A23" s="5">
        <f t="shared" si="6"/>
        <v>0.91666666666666674</v>
      </c>
      <c r="B23" s="4">
        <f t="shared" si="0"/>
        <v>0.9968594086638326</v>
      </c>
      <c r="C23" s="4">
        <f t="shared" si="1"/>
        <v>3.3742592577717802E-3</v>
      </c>
      <c r="D23" s="66">
        <f t="shared" si="7"/>
        <v>4</v>
      </c>
      <c r="E23" s="4">
        <f t="shared" si="2"/>
        <v>0.96468628825211422</v>
      </c>
      <c r="F23" s="4">
        <f t="shared" si="3"/>
        <v>0.96165660285311017</v>
      </c>
      <c r="G23" s="4">
        <f t="shared" si="4"/>
        <v>1.2979514779897868E-2</v>
      </c>
      <c r="H23" s="4">
        <f t="shared" si="5"/>
        <v>6.4897573899489348E-4</v>
      </c>
    </row>
    <row r="24" spans="1:8">
      <c r="A24" s="5">
        <f t="shared" si="6"/>
        <v>1</v>
      </c>
      <c r="B24" s="4">
        <f t="shared" si="0"/>
        <v>0.9965642695893997</v>
      </c>
      <c r="C24" s="4">
        <f t="shared" si="1"/>
        <v>3.394051889849549E-3</v>
      </c>
      <c r="D24" s="66">
        <f t="shared" si="7"/>
        <v>2</v>
      </c>
      <c r="E24" s="4">
        <f t="shared" si="2"/>
        <v>0.96153846153846145</v>
      </c>
      <c r="F24" s="4">
        <f t="shared" si="3"/>
        <v>0.95823487460519197</v>
      </c>
      <c r="G24" s="4">
        <f t="shared" si="4"/>
        <v>6.5045977741469948E-3</v>
      </c>
      <c r="H24" s="4">
        <f t="shared" si="5"/>
        <v>3.2522988870734975E-4</v>
      </c>
    </row>
    <row r="25" spans="1:8">
      <c r="A25" s="5">
        <f t="shared" si="6"/>
        <v>1.0833333333333333</v>
      </c>
      <c r="B25" s="4">
        <f t="shared" si="0"/>
        <v>0.99626748729414505</v>
      </c>
      <c r="C25" s="4">
        <f t="shared" si="1"/>
        <v>3.4139641667855027E-3</v>
      </c>
      <c r="D25" s="66">
        <f t="shared" si="7"/>
        <v>4</v>
      </c>
      <c r="E25" s="4">
        <f t="shared" si="2"/>
        <v>0.9584009063640021</v>
      </c>
      <c r="F25" s="4">
        <f t="shared" si="3"/>
        <v>0.95482366280369557</v>
      </c>
      <c r="G25" s="4">
        <f t="shared" si="4"/>
        <v>1.3038935081642802E-2</v>
      </c>
      <c r="H25" s="4">
        <f t="shared" si="5"/>
        <v>6.5194675408214008E-4</v>
      </c>
    </row>
    <row r="26" spans="1:8">
      <c r="A26" s="5">
        <f t="shared" si="6"/>
        <v>1.1666666666666665</v>
      </c>
      <c r="B26" s="4">
        <f t="shared" si="0"/>
        <v>0.99596905284013804</v>
      </c>
      <c r="C26" s="4">
        <f t="shared" si="1"/>
        <v>3.433996811823126E-3</v>
      </c>
      <c r="D26" s="66">
        <f t="shared" si="7"/>
        <v>2</v>
      </c>
      <c r="E26" s="4">
        <f t="shared" si="2"/>
        <v>0.95527358921211469</v>
      </c>
      <c r="F26" s="4">
        <f t="shared" si="3"/>
        <v>0.95142293185078897</v>
      </c>
      <c r="G26" s="4">
        <f t="shared" si="4"/>
        <v>6.5343666293420409E-3</v>
      </c>
      <c r="H26" s="4">
        <f t="shared" si="5"/>
        <v>3.2671833146710207E-4</v>
      </c>
    </row>
    <row r="27" spans="1:8">
      <c r="A27" s="5">
        <f t="shared" si="6"/>
        <v>1.2499999999999998</v>
      </c>
      <c r="B27" s="4">
        <f t="shared" si="0"/>
        <v>0.99566895724695204</v>
      </c>
      <c r="C27" s="4">
        <f t="shared" si="1"/>
        <v>3.4541505525778424E-3</v>
      </c>
      <c r="D27" s="66">
        <f t="shared" si="7"/>
        <v>4</v>
      </c>
      <c r="E27" s="4">
        <f t="shared" si="2"/>
        <v>0.95215647667554359</v>
      </c>
      <c r="F27" s="4">
        <f t="shared" si="3"/>
        <v>0.9480326462674703</v>
      </c>
      <c r="G27" s="4">
        <f t="shared" si="4"/>
        <v>1.3098589955866467E-2</v>
      </c>
      <c r="H27" s="4">
        <f t="shared" si="5"/>
        <v>6.5492949779332333E-4</v>
      </c>
    </row>
    <row r="28" spans="1:8">
      <c r="A28" s="5">
        <f t="shared" si="6"/>
        <v>1.333333333333333</v>
      </c>
      <c r="B28" s="4">
        <f t="shared" si="0"/>
        <v>0.99536719149153885</v>
      </c>
      <c r="C28" s="4">
        <f t="shared" si="1"/>
        <v>3.4744261210634597E-3</v>
      </c>
      <c r="D28" s="66">
        <f t="shared" si="7"/>
        <v>2</v>
      </c>
      <c r="E28" s="4">
        <f t="shared" si="2"/>
        <v>0.94904953545604376</v>
      </c>
      <c r="F28" s="4">
        <f t="shared" si="3"/>
        <v>0.94465277069323195</v>
      </c>
      <c r="G28" s="4">
        <f t="shared" si="4"/>
        <v>6.5642525236630708E-3</v>
      </c>
      <c r="H28" s="4">
        <f t="shared" si="5"/>
        <v>3.2821262618315354E-4</v>
      </c>
    </row>
    <row r="29" spans="1:8">
      <c r="A29" s="5">
        <f t="shared" si="6"/>
        <v>1.4166666666666663</v>
      </c>
      <c r="B29" s="4">
        <f t="shared" si="0"/>
        <v>0.99506374650810436</v>
      </c>
      <c r="C29" s="4">
        <f t="shared" si="1"/>
        <v>3.4948242537187436E-3</v>
      </c>
      <c r="D29" s="66">
        <f t="shared" si="7"/>
        <v>4</v>
      </c>
      <c r="E29" s="4">
        <f t="shared" si="2"/>
        <v>0.94595273236402388</v>
      </c>
      <c r="F29" s="4">
        <f t="shared" si="3"/>
        <v>0.94128326988572375</v>
      </c>
      <c r="G29" s="4">
        <f t="shared" si="4"/>
        <v>1.3158478404865254E-2</v>
      </c>
      <c r="H29" s="4">
        <f t="shared" si="5"/>
        <v>6.579239202432627E-4</v>
      </c>
    </row>
    <row r="30" spans="1:8">
      <c r="A30" s="5">
        <f t="shared" si="6"/>
        <v>1.4999999999999996</v>
      </c>
      <c r="B30" s="4">
        <f t="shared" si="0"/>
        <v>0.99475861318798364</v>
      </c>
      <c r="C30" s="4">
        <f t="shared" si="1"/>
        <v>3.5153456914341738E-3</v>
      </c>
      <c r="D30" s="66">
        <f t="shared" si="7"/>
        <v>2</v>
      </c>
      <c r="E30" s="4">
        <f t="shared" si="2"/>
        <v>0.94286603431819238</v>
      </c>
      <c r="F30" s="4">
        <f t="shared" si="3"/>
        <v>0.93792410872041887</v>
      </c>
      <c r="G30" s="4">
        <f t="shared" si="4"/>
        <v>6.5942549489651243E-3</v>
      </c>
      <c r="H30" s="4">
        <f t="shared" si="5"/>
        <v>3.2971274744825625E-4</v>
      </c>
    </row>
    <row r="31" spans="1:8">
      <c r="A31" s="5">
        <f t="shared" si="6"/>
        <v>1.5833333333333328</v>
      </c>
      <c r="B31" s="4">
        <f t="shared" si="0"/>
        <v>0.99445178237951815</v>
      </c>
      <c r="C31" s="4">
        <f t="shared" si="1"/>
        <v>3.5359911795788575E-3</v>
      </c>
      <c r="D31" s="66">
        <f t="shared" si="7"/>
        <v>4</v>
      </c>
      <c r="E31" s="4">
        <f t="shared" si="2"/>
        <v>0.93978940834520364</v>
      </c>
      <c r="F31" s="4">
        <f t="shared" si="3"/>
        <v>0.93457525219028059</v>
      </c>
      <c r="G31" s="4">
        <f t="shared" si="4"/>
        <v>1.3218599393590073E-2</v>
      </c>
      <c r="H31" s="4">
        <f t="shared" si="5"/>
        <v>6.6092996967950367E-4</v>
      </c>
    </row>
    <row r="32" spans="1:8">
      <c r="A32" s="5">
        <f t="shared" si="6"/>
        <v>1.6666666666666661</v>
      </c>
      <c r="B32" s="4">
        <f t="shared" si="0"/>
        <v>0.99414324488793371</v>
      </c>
      <c r="C32" s="4">
        <f t="shared" si="1"/>
        <v>3.5567614680275914E-3</v>
      </c>
      <c r="D32" s="66">
        <f t="shared" si="7"/>
        <v>2</v>
      </c>
      <c r="E32" s="4">
        <f t="shared" si="2"/>
        <v>0.93672282157930586</v>
      </c>
      <c r="F32" s="4">
        <f t="shared" si="3"/>
        <v>0.93123666540543215</v>
      </c>
      <c r="G32" s="4">
        <f t="shared" si="4"/>
        <v>6.6243733782570874E-3</v>
      </c>
      <c r="H32" s="4">
        <f t="shared" si="5"/>
        <v>3.312186689128544E-4</v>
      </c>
    </row>
    <row r="33" spans="1:8">
      <c r="A33" s="5">
        <f t="shared" si="6"/>
        <v>1.7499999999999993</v>
      </c>
      <c r="B33" s="4">
        <f t="shared" si="0"/>
        <v>0.99383299147521675</v>
      </c>
      <c r="C33" s="4">
        <f t="shared" si="1"/>
        <v>3.5776573111881101E-3</v>
      </c>
      <c r="D33" s="66">
        <f t="shared" si="7"/>
        <v>4</v>
      </c>
      <c r="E33" s="4">
        <f t="shared" si="2"/>
        <v>0.93366624126199049</v>
      </c>
      <c r="F33" s="4">
        <f t="shared" si="3"/>
        <v>0.92790831359282544</v>
      </c>
      <c r="G33" s="4">
        <f t="shared" si="4"/>
        <v>1.3278951848950407E-2</v>
      </c>
      <c r="H33" s="4">
        <f t="shared" si="5"/>
        <v>6.6394759244752042E-4</v>
      </c>
    </row>
    <row r="34" spans="1:8">
      <c r="A34" s="5">
        <f t="shared" si="6"/>
        <v>1.8333333333333326</v>
      </c>
      <c r="B34" s="4">
        <f t="shared" si="0"/>
        <v>0.99352101285999539</v>
      </c>
      <c r="C34" s="4">
        <f t="shared" si="1"/>
        <v>3.5986794680284771E-3</v>
      </c>
      <c r="D34" s="66">
        <f t="shared" si="7"/>
        <v>2</v>
      </c>
      <c r="E34" s="4">
        <f t="shared" si="2"/>
        <v>0.93061963474164144</v>
      </c>
      <c r="F34" s="4">
        <f t="shared" si="3"/>
        <v>0.9245901620959146</v>
      </c>
      <c r="G34" s="4">
        <f t="shared" si="4"/>
        <v>6.6546072653513788E-3</v>
      </c>
      <c r="H34" s="4">
        <f t="shared" si="5"/>
        <v>3.3273036326756896E-4</v>
      </c>
    </row>
    <row r="35" spans="1:8">
      <c r="A35" s="5">
        <f t="shared" si="6"/>
        <v>1.9166666666666659</v>
      </c>
      <c r="B35" s="4">
        <f t="shared" si="0"/>
        <v>0.99320729971741839</v>
      </c>
      <c r="C35" s="4">
        <f t="shared" si="1"/>
        <v>3.619828702104662E-3</v>
      </c>
      <c r="D35" s="66">
        <f t="shared" si="7"/>
        <v>4</v>
      </c>
      <c r="E35" s="4">
        <f t="shared" si="2"/>
        <v>0.92758296947318675</v>
      </c>
      <c r="F35" s="4">
        <f t="shared" si="3"/>
        <v>0.9212821763743283</v>
      </c>
      <c r="G35" s="4">
        <f t="shared" si="4"/>
        <v>1.3339534659108972E-2</v>
      </c>
      <c r="H35" s="4">
        <f t="shared" si="5"/>
        <v>6.6697673295544862E-4</v>
      </c>
    </row>
    <row r="36" spans="1:8">
      <c r="A36" s="5">
        <f t="shared" si="6"/>
        <v>1.9999999999999991</v>
      </c>
      <c r="B36" s="4">
        <f t="shared" si="0"/>
        <v>0.9928918426790353</v>
      </c>
      <c r="C36" s="4">
        <f t="shared" si="1"/>
        <v>3.641105781588265E-3</v>
      </c>
      <c r="D36" s="66">
        <f t="shared" si="7"/>
        <v>2</v>
      </c>
      <c r="E36" s="4">
        <f t="shared" si="2"/>
        <v>0.92455621301775137</v>
      </c>
      <c r="F36" s="4">
        <f t="shared" si="3"/>
        <v>0.91798432200354585</v>
      </c>
      <c r="G36" s="4">
        <f t="shared" si="4"/>
        <v>6.6849560445089882E-3</v>
      </c>
      <c r="H36" s="4">
        <f t="shared" si="5"/>
        <v>3.3424780222544945E-4</v>
      </c>
    </row>
    <row r="37" spans="1:8">
      <c r="A37" s="5">
        <f t="shared" si="6"/>
        <v>2.0833333333333326</v>
      </c>
      <c r="B37" s="4">
        <f t="shared" si="0"/>
        <v>0.99257463233267884</v>
      </c>
      <c r="C37" s="4">
        <f t="shared" si="1"/>
        <v>3.662511479294416E-3</v>
      </c>
      <c r="D37" s="66">
        <f t="shared" si="7"/>
        <v>4</v>
      </c>
      <c r="E37" s="4">
        <f t="shared" si="2"/>
        <v>0.92153933304230984</v>
      </c>
      <c r="F37" s="4">
        <f t="shared" si="3"/>
        <v>0.91469656467457272</v>
      </c>
      <c r="G37" s="4">
        <f t="shared" si="4"/>
        <v>1.340034667276716E-2</v>
      </c>
      <c r="H37" s="4">
        <f t="shared" si="5"/>
        <v>6.7001733363835801E-4</v>
      </c>
    </row>
    <row r="38" spans="1:8">
      <c r="A38" s="5">
        <f t="shared" si="6"/>
        <v>2.1666666666666661</v>
      </c>
      <c r="B38" s="4">
        <f t="shared" si="0"/>
        <v>0.99225565922234649</v>
      </c>
      <c r="C38" s="4">
        <f t="shared" si="1"/>
        <v>3.684046572709859E-3</v>
      </c>
      <c r="D38" s="66">
        <f t="shared" si="7"/>
        <v>2</v>
      </c>
      <c r="E38" s="4">
        <f t="shared" si="2"/>
        <v>0.91853229731934094</v>
      </c>
      <c r="F38" s="4">
        <f t="shared" si="3"/>
        <v>0.911418870193619</v>
      </c>
      <c r="G38" s="4">
        <f t="shared" si="4"/>
        <v>6.7154191300797883E-3</v>
      </c>
      <c r="H38" s="4">
        <f t="shared" si="5"/>
        <v>3.3577095650398945E-4</v>
      </c>
    </row>
    <row r="39" spans="1:8">
      <c r="A39" s="5">
        <f t="shared" si="6"/>
        <v>2.2499999999999996</v>
      </c>
      <c r="B39" s="4">
        <f t="shared" si="0"/>
        <v>0.99193491384808374</v>
      </c>
      <c r="C39" s="4">
        <f t="shared" si="1"/>
        <v>3.7057118440211806E-3</v>
      </c>
      <c r="D39" s="66">
        <f t="shared" si="7"/>
        <v>4</v>
      </c>
      <c r="E39" s="4">
        <f t="shared" si="2"/>
        <v>0.91553507372648413</v>
      </c>
      <c r="F39" s="4">
        <f t="shared" si="3"/>
        <v>0.908151204481779</v>
      </c>
      <c r="G39" s="4">
        <f t="shared" si="4"/>
        <v>1.3461386698440918E-2</v>
      </c>
      <c r="H39" s="4">
        <f t="shared" si="5"/>
        <v>6.7306933492204592E-4</v>
      </c>
    </row>
    <row r="40" spans="1:8">
      <c r="A40" s="5">
        <f t="shared" si="6"/>
        <v>2.333333333333333</v>
      </c>
      <c r="B40" s="4">
        <f t="shared" si="0"/>
        <v>0.99161238666586937</v>
      </c>
      <c r="C40" s="4">
        <f t="shared" si="1"/>
        <v>3.7275080801432189E-3</v>
      </c>
      <c r="D40" s="66">
        <f t="shared" si="7"/>
        <v>2</v>
      </c>
      <c r="E40" s="4">
        <f t="shared" si="2"/>
        <v>0.9125476302461959</v>
      </c>
      <c r="F40" s="4">
        <f t="shared" si="3"/>
        <v>0.90489353357471358</v>
      </c>
      <c r="G40" s="4">
        <f t="shared" si="4"/>
        <v>6.7459959161381882E-3</v>
      </c>
      <c r="H40" s="4">
        <f t="shared" si="5"/>
        <v>3.3729979580690941E-4</v>
      </c>
    </row>
    <row r="41" spans="1:8">
      <c r="A41" s="5">
        <f t="shared" si="6"/>
        <v>2.4166666666666665</v>
      </c>
      <c r="B41" s="4">
        <f t="shared" si="0"/>
        <v>0.99128806808749881</v>
      </c>
      <c r="C41" s="4">
        <f t="shared" si="1"/>
        <v>3.7494360727476478E-3</v>
      </c>
      <c r="D41" s="66">
        <f t="shared" si="7"/>
        <v>4</v>
      </c>
      <c r="E41" s="4">
        <f t="shared" si="2"/>
        <v>0.90956993496540761</v>
      </c>
      <c r="F41" s="4">
        <f t="shared" si="3"/>
        <v>0.90164582362233081</v>
      </c>
      <c r="G41" s="4">
        <f t="shared" si="4"/>
        <v>1.3522653503727323E-2</v>
      </c>
      <c r="H41" s="4">
        <f t="shared" si="5"/>
        <v>6.7613267518636621E-4</v>
      </c>
    </row>
    <row r="42" spans="1:8">
      <c r="A42" s="5">
        <f t="shared" si="6"/>
        <v>2.5</v>
      </c>
      <c r="B42" s="4">
        <f t="shared" si="0"/>
        <v>0.99096194848047181</v>
      </c>
      <c r="C42" s="4">
        <f t="shared" si="1"/>
        <v>3.7714966182917373E-3</v>
      </c>
      <c r="D42" s="66">
        <f t="shared" si="7"/>
        <v>2</v>
      </c>
      <c r="E42" s="4">
        <f t="shared" si="2"/>
        <v>0.9066019560751849</v>
      </c>
      <c r="F42" s="4">
        <f t="shared" si="3"/>
        <v>0.89840804088847237</v>
      </c>
      <c r="G42" s="4">
        <f t="shared" si="4"/>
        <v>6.7766857761139563E-3</v>
      </c>
      <c r="H42" s="4">
        <f t="shared" si="5"/>
        <v>3.3883428880569782E-4</v>
      </c>
    </row>
    <row r="43" spans="1:8">
      <c r="A43" s="5">
        <f t="shared" si="6"/>
        <v>2.5833333333333335</v>
      </c>
      <c r="B43" s="4">
        <f t="shared" si="0"/>
        <v>0.99063401816787822</v>
      </c>
      <c r="C43" s="4">
        <f t="shared" si="1"/>
        <v>3.7936905180472719E-3</v>
      </c>
      <c r="D43" s="66">
        <f t="shared" si="7"/>
        <v>4</v>
      </c>
      <c r="E43" s="4">
        <f t="shared" si="2"/>
        <v>0.90364366187038803</v>
      </c>
      <c r="F43" s="4">
        <f t="shared" si="3"/>
        <v>0.89518015175059795</v>
      </c>
      <c r="G43" s="4">
        <f t="shared" si="4"/>
        <v>1.3584145814561447E-2</v>
      </c>
      <c r="H43" s="4">
        <f t="shared" si="5"/>
        <v>6.792072907280724E-4</v>
      </c>
    </row>
    <row r="44" spans="1:8">
      <c r="A44" s="5">
        <f t="shared" si="6"/>
        <v>2.666666666666667</v>
      </c>
      <c r="B44" s="4">
        <f t="shared" si="0"/>
        <v>0.99030426742828714</v>
      </c>
      <c r="C44" s="4">
        <f t="shared" si="1"/>
        <v>3.81601857812966E-3</v>
      </c>
      <c r="D44" s="66">
        <f t="shared" si="7"/>
        <v>2</v>
      </c>
      <c r="E44" s="4">
        <f t="shared" si="2"/>
        <v>0.9006950207493325</v>
      </c>
      <c r="F44" s="4">
        <f t="shared" si="3"/>
        <v>0.89196212269947361</v>
      </c>
      <c r="G44" s="4">
        <f t="shared" si="4"/>
        <v>6.8074880624183175E-3</v>
      </c>
      <c r="H44" s="4">
        <f t="shared" si="5"/>
        <v>3.4037440312091588E-4</v>
      </c>
    </row>
    <row r="45" spans="1:8">
      <c r="A45" s="5">
        <f t="shared" si="6"/>
        <v>2.7500000000000004</v>
      </c>
      <c r="B45" s="4">
        <f t="shared" si="0"/>
        <v>0.98997268649563519</v>
      </c>
      <c r="C45" s="4">
        <f t="shared" si="1"/>
        <v>3.8384816095272181E-3</v>
      </c>
      <c r="D45" s="66">
        <f t="shared" si="7"/>
        <v>4</v>
      </c>
      <c r="E45" s="4">
        <f t="shared" si="2"/>
        <v>0.89775600121345212</v>
      </c>
      <c r="F45" s="4">
        <f t="shared" si="3"/>
        <v>0.88875392033885992</v>
      </c>
      <c r="G45" s="4">
        <f t="shared" si="4"/>
        <v>1.3645862314463729E-2</v>
      </c>
      <c r="H45" s="4">
        <f t="shared" si="5"/>
        <v>6.8229311572318651E-4</v>
      </c>
    </row>
    <row r="46" spans="1:8">
      <c r="A46" s="5">
        <f t="shared" si="6"/>
        <v>2.8333333333333339</v>
      </c>
      <c r="B46" s="4">
        <f t="shared" si="0"/>
        <v>0.98963926555911752</v>
      </c>
      <c r="C46" s="4">
        <f t="shared" si="1"/>
        <v>3.8610804281306145E-3</v>
      </c>
      <c r="D46" s="66">
        <f t="shared" si="7"/>
        <v>2</v>
      </c>
      <c r="E46" s="4">
        <f t="shared" si="2"/>
        <v>0.89482657186696279</v>
      </c>
      <c r="F46" s="4">
        <f t="shared" si="3"/>
        <v>0.88555551138520394</v>
      </c>
      <c r="G46" s="4">
        <f t="shared" si="4"/>
        <v>6.8384021060652169E-3</v>
      </c>
      <c r="H46" s="4">
        <f t="shared" si="5"/>
        <v>3.4192010530326085E-4</v>
      </c>
    </row>
    <row r="47" spans="1:8">
      <c r="A47" s="5">
        <f t="shared" si="6"/>
        <v>2.9166666666666674</v>
      </c>
      <c r="B47" s="4">
        <f t="shared" si="0"/>
        <v>0.98930399476307784</v>
      </c>
      <c r="C47" s="4">
        <f t="shared" si="1"/>
        <v>3.8838158547625117E-3</v>
      </c>
      <c r="D47" s="66">
        <f t="shared" si="7"/>
        <v>4</v>
      </c>
      <c r="E47" s="4">
        <f t="shared" si="2"/>
        <v>0.89190670141652562</v>
      </c>
      <c r="F47" s="4">
        <f t="shared" si="3"/>
        <v>0.88236686266732844</v>
      </c>
      <c r="G47" s="4">
        <f t="shared" si="4"/>
        <v>1.3707801643777705E-2</v>
      </c>
      <c r="H47" s="4">
        <f t="shared" si="5"/>
        <v>6.8539008218888528E-4</v>
      </c>
    </row>
    <row r="48" spans="1:8">
      <c r="A48" s="5">
        <f t="shared" si="6"/>
        <v>3.0000000000000009</v>
      </c>
      <c r="B48" s="4">
        <f t="shared" si="0"/>
        <v>0.98896686420690183</v>
      </c>
      <c r="C48" s="4">
        <f t="shared" si="1"/>
        <v>3.9066887152073848E-3</v>
      </c>
      <c r="D48" s="66">
        <f t="shared" si="7"/>
        <v>2</v>
      </c>
      <c r="E48" s="4">
        <f t="shared" si="2"/>
        <v>0.88899635867091487</v>
      </c>
      <c r="F48" s="4">
        <f t="shared" si="3"/>
        <v>0.87918794112612886</v>
      </c>
      <c r="G48" s="4">
        <f t="shared" si="4"/>
        <v>6.8694272162877247E-3</v>
      </c>
      <c r="H48" s="4">
        <f t="shared" si="5"/>
        <v>3.4347136081438627E-4</v>
      </c>
    </row>
    <row r="49" spans="1:8">
      <c r="A49" s="5">
        <f t="shared" si="6"/>
        <v>3.0833333333333344</v>
      </c>
      <c r="B49" s="4">
        <f t="shared" si="0"/>
        <v>0.98862786394491042</v>
      </c>
      <c r="C49" s="4">
        <f t="shared" si="1"/>
        <v>3.9296998402414971E-3</v>
      </c>
      <c r="D49" s="66">
        <f t="shared" si="7"/>
        <v>4</v>
      </c>
      <c r="E49" s="4">
        <f t="shared" si="2"/>
        <v>0.88609551254068242</v>
      </c>
      <c r="F49" s="4">
        <f t="shared" si="3"/>
        <v>0.87601871381426544</v>
      </c>
      <c r="G49" s="4">
        <f t="shared" si="4"/>
        <v>1.3769962398897922E-2</v>
      </c>
      <c r="H49" s="4">
        <f t="shared" si="5"/>
        <v>6.8849811994489609E-4</v>
      </c>
    </row>
    <row r="50" spans="1:8">
      <c r="A50" s="5">
        <f t="shared" si="6"/>
        <v>3.1666666666666679</v>
      </c>
      <c r="B50" s="4">
        <f t="shared" si="0"/>
        <v>0.98828698398625436</v>
      </c>
      <c r="C50" s="4">
        <f t="shared" si="1"/>
        <v>3.9528500656631008E-3</v>
      </c>
      <c r="D50" s="66">
        <f t="shared" si="7"/>
        <v>2</v>
      </c>
      <c r="E50" s="4">
        <f t="shared" si="2"/>
        <v>0.88320413203782777</v>
      </c>
      <c r="F50" s="4">
        <f t="shared" si="3"/>
        <v>0.87285914789586239</v>
      </c>
      <c r="G50" s="4">
        <f t="shared" si="4"/>
        <v>6.9005626801495962E-3</v>
      </c>
      <c r="H50" s="4">
        <f t="shared" si="5"/>
        <v>3.4502813400747985E-4</v>
      </c>
    </row>
    <row r="51" spans="1:8">
      <c r="A51" s="5">
        <f t="shared" si="6"/>
        <v>3.2500000000000013</v>
      </c>
      <c r="B51" s="4">
        <f t="shared" si="0"/>
        <v>0.98794421429480961</v>
      </c>
      <c r="C51" s="4">
        <f t="shared" si="1"/>
        <v>3.9761402323227699E-3</v>
      </c>
      <c r="D51" s="66">
        <f t="shared" si="7"/>
        <v>4</v>
      </c>
      <c r="E51" s="4">
        <f t="shared" si="2"/>
        <v>0.88032218627546555</v>
      </c>
      <c r="F51" s="4">
        <f t="shared" si="3"/>
        <v>0.86970921064620388</v>
      </c>
      <c r="G51" s="4">
        <f t="shared" si="4"/>
        <v>1.3832343131488199E-2</v>
      </c>
      <c r="H51" s="4">
        <f t="shared" si="5"/>
        <v>6.9161715657440996E-4</v>
      </c>
    </row>
    <row r="52" spans="1:8">
      <c r="A52" s="5">
        <f t="shared" si="6"/>
        <v>3.3333333333333348</v>
      </c>
      <c r="B52" s="4">
        <f t="shared" si="0"/>
        <v>0.98759954478907497</v>
      </c>
      <c r="C52" s="4">
        <f t="shared" si="1"/>
        <v>3.9995711861539607E-3</v>
      </c>
      <c r="D52" s="66">
        <f t="shared" si="7"/>
        <v>2</v>
      </c>
      <c r="E52" s="4">
        <f t="shared" si="2"/>
        <v>0.87744964446749607</v>
      </c>
      <c r="F52" s="4">
        <f t="shared" si="3"/>
        <v>0.86656886945143474</v>
      </c>
      <c r="G52" s="4">
        <f t="shared" si="4"/>
        <v>6.9318077621519439E-3</v>
      </c>
      <c r="H52" s="4">
        <f t="shared" si="5"/>
        <v>3.4659038810759719E-4</v>
      </c>
    </row>
    <row r="53" spans="1:8">
      <c r="A53" s="5">
        <f t="shared" si="6"/>
        <v>3.4166666666666683</v>
      </c>
      <c r="B53" s="4">
        <f t="shared" si="0"/>
        <v>0.98725296534206997</v>
      </c>
      <c r="C53" s="4">
        <f t="shared" si="1"/>
        <v>4.0231437782037235E-3</v>
      </c>
      <c r="D53" s="66">
        <f t="shared" si="7"/>
        <v>4</v>
      </c>
      <c r="E53" s="4">
        <f t="shared" si="2"/>
        <v>0.87458647592827643</v>
      </c>
      <c r="F53" s="4">
        <f t="shared" si="3"/>
        <v>0.86343809180826181</v>
      </c>
      <c r="G53" s="4">
        <f t="shared" si="4"/>
        <v>1.3894942347690016E-2</v>
      </c>
      <c r="H53" s="4">
        <f t="shared" si="5"/>
        <v>6.9474711738450089E-4</v>
      </c>
    </row>
    <row r="54" spans="1:8">
      <c r="A54" s="5">
        <f t="shared" si="6"/>
        <v>3.5000000000000018</v>
      </c>
      <c r="B54" s="4">
        <f t="shared" si="0"/>
        <v>0.98690446578123503</v>
      </c>
      <c r="C54" s="4">
        <f t="shared" si="1"/>
        <v>4.0468588646636171E-3</v>
      </c>
      <c r="D54" s="66">
        <f t="shared" si="7"/>
        <v>2</v>
      </c>
      <c r="E54" s="4">
        <f t="shared" si="2"/>
        <v>0.87173265007229317</v>
      </c>
      <c r="F54" s="4">
        <f t="shared" si="3"/>
        <v>0.86031684532365682</v>
      </c>
      <c r="G54" s="4">
        <f t="shared" si="4"/>
        <v>6.9631617038349572E-3</v>
      </c>
      <c r="H54" s="4">
        <f t="shared" si="5"/>
        <v>3.4815808519174786E-4</v>
      </c>
    </row>
    <row r="55" spans="1:8">
      <c r="A55" s="5">
        <f t="shared" si="6"/>
        <v>3.5833333333333353</v>
      </c>
      <c r="B55" s="4">
        <f t="shared" si="0"/>
        <v>0.98655403588833102</v>
      </c>
      <c r="C55" s="4">
        <f t="shared" si="1"/>
        <v>4.0707173069008179E-3</v>
      </c>
      <c r="D55" s="66">
        <f t="shared" si="7"/>
        <v>4</v>
      </c>
      <c r="E55" s="4">
        <f t="shared" si="2"/>
        <v>0.86888813641383456</v>
      </c>
      <c r="F55" s="4">
        <f t="shared" si="3"/>
        <v>0.85720509771455922</v>
      </c>
      <c r="G55" s="4">
        <f t="shared" si="4"/>
        <v>1.3957758507321052E-2</v>
      </c>
      <c r="H55" s="4">
        <f t="shared" si="5"/>
        <v>6.9788792536605267E-4</v>
      </c>
    </row>
    <row r="56" spans="1:8">
      <c r="A56" s="5">
        <f t="shared" si="6"/>
        <v>3.6666666666666687</v>
      </c>
      <c r="B56" s="4">
        <f t="shared" si="0"/>
        <v>0.98620166539934273</v>
      </c>
      <c r="C56" s="4">
        <f t="shared" si="1"/>
        <v>4.0947199714893873E-3</v>
      </c>
      <c r="D56" s="66">
        <f t="shared" si="7"/>
        <v>2</v>
      </c>
      <c r="E56" s="4">
        <f t="shared" si="2"/>
        <v>0.86605290456666573</v>
      </c>
      <c r="F56" s="4">
        <f t="shared" si="3"/>
        <v>0.85410281680758382</v>
      </c>
      <c r="G56" s="4">
        <f t="shared" si="4"/>
        <v>6.9946237233747093E-3</v>
      </c>
      <c r="H56" s="4">
        <f t="shared" si="5"/>
        <v>3.4973118616873547E-4</v>
      </c>
    </row>
    <row r="57" spans="1:8">
      <c r="A57" s="5">
        <f t="shared" si="6"/>
        <v>3.7500000000000022</v>
      </c>
      <c r="B57" s="4">
        <f t="shared" si="0"/>
        <v>0.98584734400438168</v>
      </c>
      <c r="C57" s="4">
        <f t="shared" si="1"/>
        <v>4.1188677302417603E-3</v>
      </c>
      <c r="D57" s="66">
        <f t="shared" si="7"/>
        <v>4</v>
      </c>
      <c r="E57" s="4">
        <f t="shared" si="2"/>
        <v>0.86322692424370395</v>
      </c>
      <c r="F57" s="4">
        <f t="shared" si="3"/>
        <v>0.85100997053872718</v>
      </c>
      <c r="G57" s="4">
        <f t="shared" si="4"/>
        <v>1.4020790023063816E-2</v>
      </c>
      <c r="H57" s="4">
        <f t="shared" si="5"/>
        <v>7.0103950115319087E-4</v>
      </c>
    </row>
    <row r="58" spans="1:8">
      <c r="A58" s="5">
        <f t="shared" si="6"/>
        <v>3.8333333333333357</v>
      </c>
      <c r="B58" s="4">
        <f t="shared" si="0"/>
        <v>0.9854910613475909</v>
      </c>
      <c r="C58" s="4">
        <f t="shared" si="1"/>
        <v>4.143161460240412E-3</v>
      </c>
      <c r="D58" s="66">
        <f t="shared" si="7"/>
        <v>2</v>
      </c>
      <c r="E58" s="4">
        <f t="shared" si="2"/>
        <v>0.86041016525669478</v>
      </c>
      <c r="F58" s="4">
        <f t="shared" si="3"/>
        <v>0.84792652695307624</v>
      </c>
      <c r="G58" s="4">
        <f t="shared" si="4"/>
        <v>7.0261930151749759E-3</v>
      </c>
      <c r="H58" s="4">
        <f t="shared" si="5"/>
        <v>3.5130965075874882E-4</v>
      </c>
    </row>
    <row r="59" spans="1:8">
      <c r="A59" s="5">
        <f t="shared" si="6"/>
        <v>3.9166666666666692</v>
      </c>
      <c r="B59" s="4">
        <f t="shared" si="0"/>
        <v>0.98513280702705142</v>
      </c>
      <c r="C59" s="4">
        <f t="shared" si="1"/>
        <v>4.1676020438697024E-3</v>
      </c>
      <c r="D59" s="66">
        <f t="shared" si="7"/>
        <v>4</v>
      </c>
      <c r="E59" s="4">
        <f t="shared" si="2"/>
        <v>0.85760259751588996</v>
      </c>
      <c r="F59" s="4">
        <f t="shared" si="3"/>
        <v>0.84485245420451927</v>
      </c>
      <c r="G59" s="4">
        <f t="shared" si="4"/>
        <v>1.4084035259644356E-2</v>
      </c>
      <c r="H59" s="4">
        <f t="shared" si="5"/>
        <v>7.0420176298221788E-4</v>
      </c>
    </row>
    <row r="60" spans="1:8">
      <c r="A60" s="5">
        <f t="shared" si="6"/>
        <v>4.0000000000000027</v>
      </c>
      <c r="B60" s="4">
        <f t="shared" si="0"/>
        <v>0.9847725705946897</v>
      </c>
      <c r="C60" s="4">
        <f t="shared" si="1"/>
        <v>4.1921903688479385E-3</v>
      </c>
      <c r="D60" s="66">
        <f t="shared" si="7"/>
        <v>2</v>
      </c>
      <c r="E60" s="4">
        <f t="shared" si="2"/>
        <v>0.85480419102972571</v>
      </c>
      <c r="F60" s="4">
        <f t="shared" si="3"/>
        <v>0.84178772055545714</v>
      </c>
      <c r="G60" s="4">
        <f t="shared" si="4"/>
        <v>7.0578687494540953E-3</v>
      </c>
      <c r="H60" s="4">
        <f t="shared" si="5"/>
        <v>3.5289343747270477E-4</v>
      </c>
    </row>
    <row r="61" spans="1:8">
      <c r="A61" s="5">
        <f t="shared" si="6"/>
        <v>4.0833333333333357</v>
      </c>
      <c r="B61" s="4">
        <f t="shared" si="0"/>
        <v>0.98441034155618679</v>
      </c>
      <c r="C61" s="4">
        <f t="shared" si="1"/>
        <v>4.2169273282596101E-3</v>
      </c>
      <c r="D61" s="66">
        <f t="shared" si="7"/>
        <v>4</v>
      </c>
      <c r="E61" s="4">
        <f t="shared" si="2"/>
        <v>0.85201491590450229</v>
      </c>
      <c r="F61" s="4">
        <f t="shared" si="3"/>
        <v>0.83873229437651686</v>
      </c>
      <c r="G61" s="4">
        <f t="shared" si="4"/>
        <v>1.4147492533000874E-2</v>
      </c>
      <c r="H61" s="4">
        <f t="shared" si="5"/>
        <v>7.0737462665004368E-4</v>
      </c>
    </row>
    <row r="62" spans="1:8">
      <c r="A62" s="5">
        <f t="shared" si="6"/>
        <v>4.1666666666666687</v>
      </c>
      <c r="B62" s="4">
        <f t="shared" si="0"/>
        <v>0.98404610937088932</v>
      </c>
      <c r="C62" s="4">
        <f t="shared" si="1"/>
        <v>4.2418138205878335E-3</v>
      </c>
      <c r="D62" s="66">
        <f t="shared" si="7"/>
        <v>2</v>
      </c>
      <c r="E62" s="4">
        <f t="shared" si="2"/>
        <v>0.84923474234406515</v>
      </c>
      <c r="F62" s="4">
        <f t="shared" si="3"/>
        <v>0.83568614414626696</v>
      </c>
      <c r="G62" s="4">
        <f t="shared" si="4"/>
        <v>7.0896500718267827E-3</v>
      </c>
      <c r="H62" s="4">
        <f t="shared" si="5"/>
        <v>3.5448250359133913E-4</v>
      </c>
    </row>
    <row r="63" spans="1:8">
      <c r="A63" s="5">
        <f t="shared" si="6"/>
        <v>4.2500000000000018</v>
      </c>
      <c r="B63" s="4">
        <f t="shared" si="0"/>
        <v>0.9836798634517212</v>
      </c>
      <c r="C63" s="4">
        <f t="shared" si="1"/>
        <v>4.266850749746978E-3</v>
      </c>
      <c r="D63" s="66">
        <f t="shared" si="7"/>
        <v>4</v>
      </c>
      <c r="E63" s="4">
        <f t="shared" si="2"/>
        <v>0.84646364064948598</v>
      </c>
      <c r="F63" s="4">
        <f t="shared" si="3"/>
        <v>0.83264923845093319</v>
      </c>
      <c r="G63" s="4">
        <f t="shared" si="4"/>
        <v>1.4211160109442459E-2</v>
      </c>
      <c r="H63" s="4">
        <f t="shared" si="5"/>
        <v>7.1055800547212299E-4</v>
      </c>
    </row>
    <row r="64" spans="1:8">
      <c r="A64" s="5">
        <f t="shared" si="6"/>
        <v>4.3333333333333348</v>
      </c>
      <c r="B64" s="4">
        <f t="shared" si="0"/>
        <v>0.98331159316509698</v>
      </c>
      <c r="C64" s="4">
        <f t="shared" si="1"/>
        <v>4.2920390251155079E-3</v>
      </c>
      <c r="D64" s="66">
        <f t="shared" si="7"/>
        <v>2</v>
      </c>
      <c r="E64" s="4">
        <f t="shared" si="2"/>
        <v>0.84370158121874617</v>
      </c>
      <c r="F64" s="4">
        <f t="shared" si="3"/>
        <v>0.82962154598411675</v>
      </c>
      <c r="G64" s="4">
        <f t="shared" si="4"/>
        <v>7.1215361028809784E-3</v>
      </c>
      <c r="H64" s="4">
        <f t="shared" si="5"/>
        <v>3.5607680514404896E-4</v>
      </c>
    </row>
    <row r="65" spans="1:8">
      <c r="A65" s="5">
        <f t="shared" si="6"/>
        <v>4.4166666666666679</v>
      </c>
      <c r="B65" s="4">
        <f t="shared" si="0"/>
        <v>0.98294128783083778</v>
      </c>
      <c r="C65" s="4">
        <f t="shared" si="1"/>
        <v>4.3173795615690028E-3</v>
      </c>
      <c r="D65" s="66">
        <f t="shared" si="7"/>
        <v>4</v>
      </c>
      <c r="E65" s="4">
        <f t="shared" si="2"/>
        <v>0.84094853454641971</v>
      </c>
      <c r="F65" s="4">
        <f t="shared" si="3"/>
        <v>0.8266030355465136</v>
      </c>
      <c r="G65" s="4">
        <f t="shared" si="4"/>
        <v>1.4275036204797656E-2</v>
      </c>
      <c r="H65" s="4">
        <f t="shared" si="5"/>
        <v>7.1375181023988288E-4</v>
      </c>
    </row>
    <row r="66" spans="1:8">
      <c r="A66" s="5">
        <f t="shared" si="6"/>
        <v>4.5000000000000009</v>
      </c>
      <c r="B66" s="4">
        <f t="shared" si="0"/>
        <v>0.98256893672208767</v>
      </c>
      <c r="C66" s="4">
        <f t="shared" si="1"/>
        <v>4.3428732795133887E-3</v>
      </c>
      <c r="D66" s="66">
        <f t="shared" si="7"/>
        <v>2</v>
      </c>
      <c r="E66" s="4">
        <f t="shared" si="2"/>
        <v>0.83820447122335884</v>
      </c>
      <c r="F66" s="4">
        <f t="shared" si="3"/>
        <v>0.82359367604563538</v>
      </c>
      <c r="G66" s="4">
        <f t="shared" si="4"/>
        <v>7.1535259377495924E-3</v>
      </c>
      <c r="H66" s="4">
        <f t="shared" si="5"/>
        <v>3.5767629688747963E-4</v>
      </c>
    </row>
    <row r="67" spans="1:8">
      <c r="A67" s="5">
        <f t="shared" si="6"/>
        <v>4.5833333333333339</v>
      </c>
      <c r="B67" s="4">
        <f t="shared" si="0"/>
        <v>0.98219452906523208</v>
      </c>
      <c r="C67" s="4">
        <f t="shared" si="1"/>
        <v>4.3685211049183789E-3</v>
      </c>
      <c r="D67" s="66">
        <f t="shared" si="7"/>
        <v>4</v>
      </c>
      <c r="E67" s="4">
        <f t="shared" si="2"/>
        <v>0.83546936193637944</v>
      </c>
      <c r="F67" s="4">
        <f t="shared" si="3"/>
        <v>0.82059343649553218</v>
      </c>
      <c r="G67" s="4">
        <f t="shared" si="4"/>
        <v>1.4339118983552926E-2</v>
      </c>
      <c r="H67" s="4">
        <f t="shared" si="5"/>
        <v>7.1695594917764633E-4</v>
      </c>
    </row>
    <row r="68" spans="1:8">
      <c r="A68" s="5">
        <f t="shared" si="6"/>
        <v>4.666666666666667</v>
      </c>
      <c r="B68" s="4">
        <f t="shared" si="0"/>
        <v>0.98181805403981826</v>
      </c>
      <c r="C68" s="4">
        <f t="shared" si="1"/>
        <v>4.3943239693510893E-3</v>
      </c>
      <c r="D68" s="66">
        <f t="shared" si="7"/>
        <v>2</v>
      </c>
      <c r="E68" s="4">
        <f t="shared" si="2"/>
        <v>0.8327431774679479</v>
      </c>
      <c r="F68" s="4">
        <f t="shared" si="3"/>
        <v>0.81760228601651563</v>
      </c>
      <c r="G68" s="4">
        <f t="shared" si="4"/>
        <v>7.1856186456772386E-3</v>
      </c>
      <c r="H68" s="4">
        <f t="shared" si="5"/>
        <v>3.5928093228386194E-4</v>
      </c>
    </row>
    <row r="69" spans="1:8">
      <c r="A69" s="5">
        <f t="shared" si="6"/>
        <v>4.75</v>
      </c>
      <c r="B69" s="4">
        <f t="shared" si="0"/>
        <v>0.98143950077847686</v>
      </c>
      <c r="C69" s="4">
        <f t="shared" si="1"/>
        <v>4.4202828100098918E-3</v>
      </c>
      <c r="D69" s="66">
        <f t="shared" si="7"/>
        <v>4</v>
      </c>
      <c r="E69" s="4">
        <f t="shared" si="2"/>
        <v>0.83002588869586924</v>
      </c>
      <c r="F69" s="4">
        <f t="shared" si="3"/>
        <v>0.81462019383488549</v>
      </c>
      <c r="G69" s="4">
        <f t="shared" si="4"/>
        <v>1.4403406557981082E-2</v>
      </c>
      <c r="H69" s="4">
        <f t="shared" si="5"/>
        <v>7.2017032789905417E-4</v>
      </c>
    </row>
    <row r="70" spans="1:8">
      <c r="A70" s="5">
        <f t="shared" si="6"/>
        <v>4.833333333333333</v>
      </c>
      <c r="B70" s="4">
        <f t="shared" si="0"/>
        <v>0.98105885836684537</v>
      </c>
      <c r="C70" s="4">
        <f t="shared" si="1"/>
        <v>4.4463985697584425E-3</v>
      </c>
      <c r="D70" s="66">
        <f t="shared" si="7"/>
        <v>2</v>
      </c>
      <c r="E70" s="4">
        <f t="shared" si="2"/>
        <v>0.82731746659297589</v>
      </c>
      <c r="F70" s="4">
        <f t="shared" si="3"/>
        <v>0.8116471292826557</v>
      </c>
      <c r="G70" s="4">
        <f t="shared" si="4"/>
        <v>7.2178132695818924E-3</v>
      </c>
      <c r="H70" s="4">
        <f t="shared" si="5"/>
        <v>3.6089066347909463E-4</v>
      </c>
    </row>
    <row r="71" spans="1:8">
      <c r="A71" s="5">
        <f t="shared" si="6"/>
        <v>4.9166666666666661</v>
      </c>
      <c r="B71" s="4">
        <f t="shared" si="0"/>
        <v>0.98067611584349379</v>
      </c>
      <c r="C71" s="4">
        <f t="shared" si="1"/>
        <v>4.4726721971599277E-3</v>
      </c>
      <c r="D71" s="66">
        <f t="shared" si="7"/>
        <v>4</v>
      </c>
      <c r="E71" s="4">
        <f t="shared" si="2"/>
        <v>0.82461788222681742</v>
      </c>
      <c r="F71" s="4">
        <f t="shared" si="3"/>
        <v>0.80868306179728289</v>
      </c>
      <c r="G71" s="4">
        <f t="shared" si="4"/>
        <v>1.4467896987259483E-2</v>
      </c>
      <c r="H71" s="4">
        <f t="shared" si="5"/>
        <v>7.2339484936297419E-4</v>
      </c>
    </row>
    <row r="72" spans="1:8">
      <c r="A72" s="5">
        <f t="shared" si="6"/>
        <v>4.9999999999999991</v>
      </c>
      <c r="B72" s="4">
        <f t="shared" si="0"/>
        <v>0.98029126219985141</v>
      </c>
      <c r="C72" s="4">
        <f t="shared" si="1"/>
        <v>4.4991046465115338E-3</v>
      </c>
      <c r="D72" s="66">
        <f t="shared" si="7"/>
        <v>2</v>
      </c>
      <c r="E72" s="4">
        <f t="shared" si="2"/>
        <v>0.82192710675935166</v>
      </c>
      <c r="F72" s="4">
        <f t="shared" si="3"/>
        <v>0.80572796092139687</v>
      </c>
      <c r="G72" s="4">
        <f t="shared" si="4"/>
        <v>7.2501088256114402E-3</v>
      </c>
      <c r="H72" s="4">
        <f t="shared" si="5"/>
        <v>3.6250544128057203E-4</v>
      </c>
    </row>
    <row r="73" spans="1:8">
      <c r="A73" s="5">
        <f t="shared" si="6"/>
        <v>5.0833333333333321</v>
      </c>
      <c r="B73" s="4">
        <f t="shared" si="0"/>
        <v>0.97990428638013527</v>
      </c>
      <c r="C73" s="4">
        <f t="shared" si="1"/>
        <v>4.5256968778790785E-3</v>
      </c>
      <c r="D73" s="66">
        <f t="shared" si="7"/>
        <v>4</v>
      </c>
      <c r="E73" s="4">
        <f t="shared" si="2"/>
        <v>0.81924511144663692</v>
      </c>
      <c r="F73" s="4">
        <f t="shared" si="3"/>
        <v>0.8027817963025311</v>
      </c>
      <c r="G73" s="4">
        <f t="shared" si="4"/>
        <v>1.4532588276578096E-2</v>
      </c>
      <c r="H73" s="4">
        <f t="shared" si="5"/>
        <v>7.2662941382890486E-4</v>
      </c>
    </row>
    <row r="74" spans="1:8">
      <c r="A74" s="5">
        <f t="shared" si="6"/>
        <v>5.1666666666666652</v>
      </c>
      <c r="B74" s="4">
        <f t="shared" si="0"/>
        <v>0.97951517728128223</v>
      </c>
      <c r="C74" s="4">
        <f t="shared" si="1"/>
        <v>4.5524498571319193E-3</v>
      </c>
      <c r="D74" s="66">
        <f t="shared" si="7"/>
        <v>2</v>
      </c>
      <c r="E74" s="4">
        <f t="shared" si="2"/>
        <v>0.81657186763852418</v>
      </c>
      <c r="F74" s="4">
        <f t="shared" si="3"/>
        <v>0.79984453769285679</v>
      </c>
      <c r="G74" s="4">
        <f t="shared" si="4"/>
        <v>7.2825043026951836E-3</v>
      </c>
      <c r="H74" s="4">
        <f t="shared" si="5"/>
        <v>3.6412521513475921E-4</v>
      </c>
    </row>
    <row r="75" spans="1:8">
      <c r="A75" s="5">
        <f t="shared" si="6"/>
        <v>5.2499999999999982</v>
      </c>
      <c r="B75" s="4">
        <f t="shared" si="0"/>
        <v>0.9791239237528806</v>
      </c>
      <c r="C75" s="4">
        <f t="shared" si="1"/>
        <v>4.5793645559780013E-3</v>
      </c>
      <c r="D75" s="66">
        <f t="shared" si="7"/>
        <v>4</v>
      </c>
      <c r="E75" s="4">
        <f t="shared" si="2"/>
        <v>0.81390734677835208</v>
      </c>
      <c r="F75" s="4">
        <f t="shared" si="3"/>
        <v>0.79691615494891654</v>
      </c>
      <c r="G75" s="4">
        <f t="shared" si="4"/>
        <v>1.4597478376237365E-2</v>
      </c>
      <c r="H75" s="4">
        <f t="shared" si="5"/>
        <v>7.298739188118683E-4</v>
      </c>
    </row>
    <row r="76" spans="1:8">
      <c r="A76" s="5">
        <f t="shared" si="6"/>
        <v>5.3333333333333313</v>
      </c>
      <c r="B76" s="4">
        <f t="shared" si="0"/>
        <v>0.97873051459710492</v>
      </c>
      <c r="C76" s="4">
        <f t="shared" si="1"/>
        <v>4.6064419519991672E-3</v>
      </c>
      <c r="D76" s="66">
        <f t="shared" si="7"/>
        <v>2</v>
      </c>
      <c r="E76" s="4">
        <f t="shared" si="2"/>
        <v>0.81125152040264059</v>
      </c>
      <c r="F76" s="4">
        <f t="shared" si="3"/>
        <v>0.79399661803136024</v>
      </c>
      <c r="G76" s="4">
        <f t="shared" si="4"/>
        <v>7.3149986620902321E-3</v>
      </c>
      <c r="H76" s="4">
        <f t="shared" si="5"/>
        <v>3.6574993310451164E-4</v>
      </c>
    </row>
    <row r="77" spans="1:8">
      <c r="A77" s="5">
        <f t="shared" si="6"/>
        <v>5.4166666666666643</v>
      </c>
      <c r="B77" s="4">
        <f t="shared" ref="B77:B140" si="8">((B$8^A77)*B$9^((B$5^B$7)*((B$5^A77)-1)))^1.05</f>
        <v>0.97833493856865261</v>
      </c>
      <c r="C77" s="4">
        <f t="shared" ref="C77:C140" si="9">B$3+B$4*(B$5^(B$7+A77))</f>
        <v>4.6336830286866759E-3</v>
      </c>
      <c r="D77" s="66">
        <f t="shared" si="7"/>
        <v>4</v>
      </c>
      <c r="E77" s="4">
        <f t="shared" ref="E77:E140" si="10">(1+B$6)^-A77</f>
        <v>0.80860436014078829</v>
      </c>
      <c r="F77" s="4">
        <f t="shared" ref="F77:F140" si="11">B77*E77</f>
        <v>0.79108589700468279</v>
      </c>
      <c r="G77" s="4">
        <f t="shared" ref="G77:G140" si="12">B77*C77*D77*E77</f>
        <v>1.4662565180735897E-2</v>
      </c>
      <c r="H77" s="4">
        <f t="shared" ref="H77:H140" si="13">G77*0.05</f>
        <v>7.3312825903679494E-4</v>
      </c>
    </row>
    <row r="78" spans="1:8">
      <c r="A78" s="5">
        <f t="shared" ref="A78:A141" si="14">A77+1/12</f>
        <v>5.4999999999999973</v>
      </c>
      <c r="B78" s="4">
        <f t="shared" si="8"/>
        <v>0.97793718437468258</v>
      </c>
      <c r="C78" s="4">
        <f t="shared" si="9"/>
        <v>4.6610887754768935E-3</v>
      </c>
      <c r="D78" s="66">
        <f t="shared" si="7"/>
        <v>2</v>
      </c>
      <c r="E78" s="4">
        <f t="shared" si="10"/>
        <v>0.80596583771476826</v>
      </c>
      <c r="F78" s="4">
        <f t="shared" si="11"/>
        <v>0.78818396203696284</v>
      </c>
      <c r="G78" s="4">
        <f t="shared" si="12"/>
        <v>7.3475908369227865E-3</v>
      </c>
      <c r="H78" s="4">
        <f t="shared" si="13"/>
        <v>3.6737954184613933E-4</v>
      </c>
    </row>
    <row r="79" spans="1:8">
      <c r="A79" s="5">
        <f t="shared" si="14"/>
        <v>5.5833333333333304</v>
      </c>
      <c r="B79" s="4">
        <f t="shared" si="8"/>
        <v>0.97753724067475556</v>
      </c>
      <c r="C79" s="4">
        <f t="shared" si="9"/>
        <v>4.6886601877872535E-3</v>
      </c>
      <c r="D79" s="66">
        <f t="shared" ref="D79:D142" si="15">IF(D78=4,2,4)</f>
        <v>4</v>
      </c>
      <c r="E79" s="4">
        <f t="shared" si="10"/>
        <v>0.80333592493882633</v>
      </c>
      <c r="F79" s="4">
        <f t="shared" si="11"/>
        <v>0.78529078339960279</v>
      </c>
      <c r="G79" s="4">
        <f t="shared" si="12"/>
        <v>1.4727846527847924E-2</v>
      </c>
      <c r="H79" s="4">
        <f t="shared" si="13"/>
        <v>7.3639232639239628E-4</v>
      </c>
    </row>
    <row r="80" spans="1:8">
      <c r="A80" s="5">
        <f t="shared" si="14"/>
        <v>5.6666666666666634</v>
      </c>
      <c r="B80" s="4">
        <f t="shared" si="8"/>
        <v>0.97713509608077753</v>
      </c>
      <c r="C80" s="4">
        <f t="shared" si="9"/>
        <v>4.7163982670524194E-3</v>
      </c>
      <c r="D80" s="66">
        <f t="shared" si="15"/>
        <v>2</v>
      </c>
      <c r="E80" s="4">
        <f t="shared" si="10"/>
        <v>0.80071459371918074</v>
      </c>
      <c r="F80" s="4">
        <f t="shared" si="11"/>
        <v>0.78240633146707239</v>
      </c>
      <c r="G80" s="4">
        <f t="shared" si="12"/>
        <v>7.3802797317242827E-3</v>
      </c>
      <c r="H80" s="4">
        <f t="shared" si="13"/>
        <v>3.6901398658621416E-4</v>
      </c>
    </row>
    <row r="81" spans="1:8">
      <c r="A81" s="5">
        <f t="shared" si="14"/>
        <v>5.7499999999999964</v>
      </c>
      <c r="B81" s="4">
        <f t="shared" si="8"/>
        <v>0.97673073915694308</v>
      </c>
      <c r="C81" s="4">
        <f t="shared" si="9"/>
        <v>4.7443040207606349E-3</v>
      </c>
      <c r="D81" s="66">
        <f t="shared" si="15"/>
        <v>4</v>
      </c>
      <c r="E81" s="4">
        <f t="shared" si="10"/>
        <v>0.79810181605372055</v>
      </c>
      <c r="F81" s="4">
        <f t="shared" si="11"/>
        <v>0.77953057671664905</v>
      </c>
      <c r="G81" s="4">
        <f t="shared" si="12"/>
        <v>1.479332019769062E-2</v>
      </c>
      <c r="H81" s="4">
        <f t="shared" si="13"/>
        <v>7.3966600988453106E-4</v>
      </c>
    </row>
    <row r="82" spans="1:8">
      <c r="A82" s="5">
        <f t="shared" si="14"/>
        <v>5.8333333333333295</v>
      </c>
      <c r="B82" s="4">
        <f t="shared" si="8"/>
        <v>0.97632415841968356</v>
      </c>
      <c r="C82" s="4">
        <f t="shared" si="9"/>
        <v>4.7723784624903211E-3</v>
      </c>
      <c r="D82" s="66">
        <f t="shared" si="15"/>
        <v>2</v>
      </c>
      <c r="E82" s="4">
        <f t="shared" si="10"/>
        <v>0.79549756403170768</v>
      </c>
      <c r="F82" s="4">
        <f t="shared" si="11"/>
        <v>0.77666348972816535</v>
      </c>
      <c r="G82" s="4">
        <f t="shared" si="12"/>
        <v>7.4130642219625382E-3</v>
      </c>
      <c r="H82" s="4">
        <f t="shared" si="13"/>
        <v>3.7065321109812691E-4</v>
      </c>
    </row>
    <row r="83" spans="1:8">
      <c r="A83" s="5">
        <f t="shared" si="14"/>
        <v>5.9166666666666625</v>
      </c>
      <c r="B83" s="4">
        <f t="shared" si="8"/>
        <v>0.97591534233761557</v>
      </c>
      <c r="C83" s="4">
        <f t="shared" si="9"/>
        <v>4.8006226119469203E-3</v>
      </c>
      <c r="D83" s="66">
        <f t="shared" si="15"/>
        <v>4</v>
      </c>
      <c r="E83" s="4">
        <f t="shared" si="10"/>
        <v>0.79290180983347835</v>
      </c>
      <c r="F83" s="4">
        <f t="shared" si="11"/>
        <v>0.77380504118375404</v>
      </c>
      <c r="G83" s="4">
        <f t="shared" si="12"/>
        <v>1.485898391178099E-2</v>
      </c>
      <c r="H83" s="4">
        <f t="shared" si="13"/>
        <v>7.4294919558904953E-4</v>
      </c>
    </row>
    <row r="84" spans="1:8">
      <c r="A84" s="5">
        <f t="shared" si="14"/>
        <v>5.9999999999999956</v>
      </c>
      <c r="B84" s="4">
        <f t="shared" si="8"/>
        <v>0.97550427933149253</v>
      </c>
      <c r="C84" s="4">
        <f t="shared" si="9"/>
        <v>4.8290374949998931E-3</v>
      </c>
      <c r="D84" s="66">
        <f t="shared" si="15"/>
        <v>2</v>
      </c>
      <c r="E84" s="4">
        <f t="shared" si="10"/>
        <v>0.79031452573014593</v>
      </c>
      <c r="F84" s="4">
        <f t="shared" si="11"/>
        <v>0.77095520186759636</v>
      </c>
      <c r="G84" s="4">
        <f t="shared" si="12"/>
        <v>7.4459431535676681E-3</v>
      </c>
      <c r="H84" s="4">
        <f t="shared" si="13"/>
        <v>3.7229715767838343E-4</v>
      </c>
    </row>
    <row r="85" spans="1:8">
      <c r="A85" s="5">
        <f t="shared" si="14"/>
        <v>6.0833333333333286</v>
      </c>
      <c r="B85" s="4">
        <f t="shared" si="8"/>
        <v>0.975090957774158</v>
      </c>
      <c r="C85" s="4">
        <f t="shared" si="9"/>
        <v>4.8576241437200069E-3</v>
      </c>
      <c r="D85" s="66">
        <f t="shared" si="15"/>
        <v>4</v>
      </c>
      <c r="E85" s="4">
        <f t="shared" si="10"/>
        <v>0.78773568408330474</v>
      </c>
      <c r="F85" s="4">
        <f t="shared" si="11"/>
        <v>0.76811394266567112</v>
      </c>
      <c r="G85" s="4">
        <f t="shared" si="12"/>
        <v>1.4924835332082916E-2</v>
      </c>
      <c r="H85" s="4">
        <f t="shared" si="13"/>
        <v>7.4624176660414586E-4</v>
      </c>
    </row>
    <row r="86" spans="1:8">
      <c r="A86" s="5">
        <f t="shared" si="14"/>
        <v>6.1666666666666616</v>
      </c>
      <c r="B86" s="4">
        <f t="shared" si="8"/>
        <v>0.97467536599050131</v>
      </c>
      <c r="C86" s="4">
        <f t="shared" si="9"/>
        <v>4.8863835964168111E-3</v>
      </c>
      <c r="D86" s="66">
        <f t="shared" si="15"/>
        <v>2</v>
      </c>
      <c r="E86" s="4">
        <f t="shared" si="10"/>
        <v>0.78516525734473497</v>
      </c>
      <c r="F86" s="4">
        <f t="shared" si="11"/>
        <v>0.76528123456550567</v>
      </c>
      <c r="G86" s="4">
        <f t="shared" si="12"/>
        <v>7.478915342452987E-3</v>
      </c>
      <c r="H86" s="4">
        <f t="shared" si="13"/>
        <v>3.7394576712264935E-4</v>
      </c>
    </row>
    <row r="87" spans="1:8">
      <c r="A87" s="5">
        <f t="shared" si="14"/>
        <v>6.2499999999999947</v>
      </c>
      <c r="B87" s="4">
        <f t="shared" si="8"/>
        <v>0.9742574922574162</v>
      </c>
      <c r="C87" s="4">
        <f t="shared" si="9"/>
        <v>4.9153168976763476E-3</v>
      </c>
      <c r="D87" s="66">
        <f t="shared" si="15"/>
        <v>4</v>
      </c>
      <c r="E87" s="4">
        <f t="shared" si="10"/>
        <v>0.78260321805610777</v>
      </c>
      <c r="F87" s="4">
        <f t="shared" si="11"/>
        <v>0.76245704865592745</v>
      </c>
      <c r="G87" s="4">
        <f t="shared" si="12"/>
        <v>1.4990872060043669E-2</v>
      </c>
      <c r="H87" s="4">
        <f t="shared" si="13"/>
        <v>7.4954360300218343E-4</v>
      </c>
    </row>
    <row r="88" spans="1:8">
      <c r="A88" s="5">
        <f t="shared" si="14"/>
        <v>6.3333333333333277</v>
      </c>
      <c r="B88" s="4">
        <f t="shared" si="8"/>
        <v>0.97383732480376117</v>
      </c>
      <c r="C88" s="4">
        <f t="shared" si="9"/>
        <v>4.9444250983991054E-3</v>
      </c>
      <c r="D88" s="66">
        <f t="shared" si="15"/>
        <v>2</v>
      </c>
      <c r="E88" s="4">
        <f t="shared" si="10"/>
        <v>0.78004953884869288</v>
      </c>
      <c r="F88" s="4">
        <f t="shared" si="11"/>
        <v>0.7596413561268186</v>
      </c>
      <c r="G88" s="4">
        <f t="shared" si="12"/>
        <v>7.5119795740307502E-3</v>
      </c>
      <c r="H88" s="4">
        <f t="shared" si="13"/>
        <v>3.7559897870153756E-4</v>
      </c>
    </row>
    <row r="89" spans="1:8">
      <c r="A89" s="5">
        <f t="shared" si="14"/>
        <v>6.4166666666666607</v>
      </c>
      <c r="B89" s="4">
        <f t="shared" si="8"/>
        <v>0.97341485181032195</v>
      </c>
      <c r="C89" s="4">
        <f t="shared" si="9"/>
        <v>4.9737092558381725E-3</v>
      </c>
      <c r="D89" s="66">
        <f t="shared" si="15"/>
        <v>4</v>
      </c>
      <c r="E89" s="4">
        <f t="shared" si="10"/>
        <v>0.77750419244306557</v>
      </c>
      <c r="F89" s="4">
        <f t="shared" si="11"/>
        <v>0.75683412826887075</v>
      </c>
      <c r="G89" s="4">
        <f t="shared" si="12"/>
        <v>1.5057091635620388E-2</v>
      </c>
      <c r="H89" s="4">
        <f t="shared" si="13"/>
        <v>7.5285458178101948E-4</v>
      </c>
    </row>
    <row r="90" spans="1:8">
      <c r="A90" s="5">
        <f t="shared" si="14"/>
        <v>6.4999999999999938</v>
      </c>
      <c r="B90" s="4">
        <f t="shared" si="8"/>
        <v>0.97299006140977795</v>
      </c>
      <c r="C90" s="4">
        <f t="shared" si="9"/>
        <v>5.0031704336376557E-3</v>
      </c>
      <c r="D90" s="66">
        <f t="shared" si="15"/>
        <v>2</v>
      </c>
      <c r="E90" s="4">
        <f t="shared" si="10"/>
        <v>0.77496715164881569</v>
      </c>
      <c r="F90" s="4">
        <f t="shared" si="11"/>
        <v>0.75403533647334187</v>
      </c>
      <c r="G90" s="4">
        <f t="shared" si="12"/>
        <v>7.5451346027228909E-3</v>
      </c>
      <c r="H90" s="4">
        <f t="shared" si="13"/>
        <v>3.7725673013614455E-4</v>
      </c>
    </row>
    <row r="91" spans="1:8">
      <c r="A91" s="5">
        <f t="shared" si="14"/>
        <v>6.5833333333333268</v>
      </c>
      <c r="B91" s="4">
        <f t="shared" si="8"/>
        <v>0.97256294168666857</v>
      </c>
      <c r="C91" s="4">
        <f t="shared" si="9"/>
        <v>5.0328097018712973E-3</v>
      </c>
      <c r="D91" s="66">
        <f t="shared" si="15"/>
        <v>4</v>
      </c>
      <c r="E91" s="4">
        <f t="shared" si="10"/>
        <v>0.77243838936425624</v>
      </c>
      <c r="F91" s="4">
        <f t="shared" si="11"/>
        <v>0.75124495223181331</v>
      </c>
      <c r="G91" s="4">
        <f t="shared" si="12"/>
        <v>1.5123491536296437E-2</v>
      </c>
      <c r="H91" s="4">
        <f t="shared" si="13"/>
        <v>7.561745768148219E-4</v>
      </c>
    </row>
    <row r="92" spans="1:8">
      <c r="A92" s="5">
        <f t="shared" si="14"/>
        <v>6.6666666666666599</v>
      </c>
      <c r="B92" s="4">
        <f t="shared" si="8"/>
        <v>0.9721334806773656</v>
      </c>
      <c r="C92" s="4">
        <f t="shared" si="9"/>
        <v>5.0626281370813484E-3</v>
      </c>
      <c r="D92" s="66">
        <f t="shared" si="15"/>
        <v>2</v>
      </c>
      <c r="E92" s="4">
        <f t="shared" si="10"/>
        <v>0.76991787857613536</v>
      </c>
      <c r="F92" s="4">
        <f t="shared" si="11"/>
        <v>0.74846294713595185</v>
      </c>
      <c r="G92" s="4">
        <f t="shared" si="12"/>
        <v>7.5783791514665994E-3</v>
      </c>
      <c r="H92" s="4">
        <f t="shared" si="13"/>
        <v>3.7891895757332999E-4</v>
      </c>
    </row>
    <row r="93" spans="1:8">
      <c r="A93" s="5">
        <f t="shared" si="14"/>
        <v>6.7499999999999929</v>
      </c>
      <c r="B93" s="4">
        <f t="shared" si="8"/>
        <v>0.97170166637004374</v>
      </c>
      <c r="C93" s="4">
        <f t="shared" si="9"/>
        <v>5.0926268223176778E-3</v>
      </c>
      <c r="D93" s="66">
        <f t="shared" si="15"/>
        <v>4</v>
      </c>
      <c r="E93" s="4">
        <f t="shared" si="10"/>
        <v>0.76740559235934669</v>
      </c>
      <c r="F93" s="4">
        <f t="shared" si="11"/>
        <v>0.74568929287726771</v>
      </c>
      <c r="G93" s="4">
        <f t="shared" si="12"/>
        <v>1.5190069176087503E-2</v>
      </c>
      <c r="H93" s="4">
        <f t="shared" si="13"/>
        <v>7.5950345880437516E-4</v>
      </c>
    </row>
    <row r="94" spans="1:8">
      <c r="A94" s="5">
        <f t="shared" si="14"/>
        <v>6.8333333333333259</v>
      </c>
      <c r="B94" s="4">
        <f t="shared" si="8"/>
        <v>0.97126748670465846</v>
      </c>
      <c r="C94" s="4">
        <f t="shared" si="9"/>
        <v>5.1228068471770956E-3</v>
      </c>
      <c r="D94" s="66">
        <f t="shared" si="15"/>
        <v>2</v>
      </c>
      <c r="E94" s="4">
        <f t="shared" si="10"/>
        <v>0.76490150387664202</v>
      </c>
      <c r="F94" s="4">
        <f t="shared" si="11"/>
        <v>0.74292396124687965</v>
      </c>
      <c r="G94" s="4">
        <f t="shared" si="12"/>
        <v>7.6117119112148928E-3</v>
      </c>
      <c r="H94" s="4">
        <f t="shared" si="13"/>
        <v>3.8058559556074467E-4</v>
      </c>
    </row>
    <row r="95" spans="1:8">
      <c r="A95" s="5">
        <f t="shared" si="14"/>
        <v>6.916666666666659</v>
      </c>
      <c r="B95" s="4">
        <f t="shared" si="8"/>
        <v>0.97083092957292283</v>
      </c>
      <c r="C95" s="4">
        <f t="shared" si="9"/>
        <v>5.1531693078429378E-3</v>
      </c>
      <c r="D95" s="66">
        <f t="shared" si="15"/>
        <v>4</v>
      </c>
      <c r="E95" s="4">
        <f t="shared" si="10"/>
        <v>0.76240558637834466</v>
      </c>
      <c r="F95" s="4">
        <f t="shared" si="11"/>
        <v>0.74016692413527763</v>
      </c>
      <c r="G95" s="4">
        <f t="shared" si="12"/>
        <v>1.52568219045377E-2</v>
      </c>
      <c r="H95" s="4">
        <f t="shared" si="13"/>
        <v>7.6284109522688508E-4</v>
      </c>
    </row>
    <row r="96" spans="1:8">
      <c r="A96" s="5">
        <f t="shared" si="14"/>
        <v>6.999999999999992</v>
      </c>
      <c r="B96" s="4">
        <f t="shared" si="8"/>
        <v>0.97039198281828898</v>
      </c>
      <c r="C96" s="4">
        <f t="shared" si="9"/>
        <v>5.1837153071248856E-3</v>
      </c>
      <c r="D96" s="66">
        <f t="shared" si="15"/>
        <v>2</v>
      </c>
      <c r="E96" s="4">
        <f t="shared" si="10"/>
        <v>0.75991781320206353</v>
      </c>
      <c r="F96" s="4">
        <f t="shared" si="11"/>
        <v>0.73741815353208862</v>
      </c>
      <c r="G96" s="4">
        <f t="shared" si="12"/>
        <v>7.6451315404321134E-3</v>
      </c>
      <c r="H96" s="4">
        <f t="shared" si="13"/>
        <v>3.8225657702160572E-4</v>
      </c>
    </row>
    <row r="97" spans="1:8">
      <c r="A97" s="5">
        <f t="shared" si="14"/>
        <v>7.083333333333325</v>
      </c>
      <c r="B97" s="4">
        <f t="shared" si="8"/>
        <v>0.96995063423593186</v>
      </c>
      <c r="C97" s="4">
        <f t="shared" si="9"/>
        <v>5.2144459544990075E-3</v>
      </c>
      <c r="D97" s="66">
        <f t="shared" si="15"/>
        <v>4</v>
      </c>
      <c r="E97" s="4">
        <f t="shared" si="10"/>
        <v>0.75743815777240853</v>
      </c>
      <c r="F97" s="4">
        <f t="shared" si="11"/>
        <v>0.73467762152584348</v>
      </c>
      <c r="G97" s="4">
        <f t="shared" si="12"/>
        <v>1.5323747005705549E-2</v>
      </c>
      <c r="H97" s="4">
        <f t="shared" si="13"/>
        <v>7.6618735028527755E-4</v>
      </c>
    </row>
    <row r="98" spans="1:8">
      <c r="A98" s="5">
        <f t="shared" si="14"/>
        <v>7.1666666666666581</v>
      </c>
      <c r="B98" s="4">
        <f t="shared" si="8"/>
        <v>0.96950687157273507</v>
      </c>
      <c r="C98" s="4">
        <f t="shared" si="9"/>
        <v>5.2453623661480693E-3</v>
      </c>
      <c r="D98" s="66">
        <f t="shared" si="15"/>
        <v>2</v>
      </c>
      <c r="E98" s="4">
        <f t="shared" si="10"/>
        <v>0.75496659360070673</v>
      </c>
      <c r="F98" s="4">
        <f t="shared" si="11"/>
        <v>0.73194530030374561</v>
      </c>
      <c r="G98" s="4">
        <f t="shared" si="12"/>
        <v>7.6786366645844291E-3</v>
      </c>
      <c r="H98" s="4">
        <f t="shared" si="13"/>
        <v>3.8393183322922147E-4</v>
      </c>
    </row>
    <row r="99" spans="1:8">
      <c r="A99" s="5">
        <f t="shared" si="14"/>
        <v>7.2499999999999911</v>
      </c>
      <c r="B99" s="4">
        <f t="shared" si="8"/>
        <v>0.96906068252728095</v>
      </c>
      <c r="C99" s="4">
        <f t="shared" si="9"/>
        <v>5.2764656650020735E-3</v>
      </c>
      <c r="D99" s="66">
        <f t="shared" si="15"/>
        <v>4</v>
      </c>
      <c r="E99" s="4">
        <f t="shared" si="10"/>
        <v>0.75250309428471918</v>
      </c>
      <c r="F99" s="4">
        <f t="shared" si="11"/>
        <v>0.72922116215144084</v>
      </c>
      <c r="G99" s="4">
        <f t="shared" si="12"/>
        <v>1.5390841697139949E-2</v>
      </c>
      <c r="H99" s="4">
        <f t="shared" si="13"/>
        <v>7.6954208485699753E-4</v>
      </c>
    </row>
    <row r="100" spans="1:8">
      <c r="A100" s="5">
        <f t="shared" si="14"/>
        <v>7.3333333333333242</v>
      </c>
      <c r="B100" s="4">
        <f t="shared" si="8"/>
        <v>0.96861205474984191</v>
      </c>
      <c r="C100" s="4">
        <f t="shared" si="9"/>
        <v>5.3077569807790355E-3</v>
      </c>
      <c r="D100" s="66">
        <f t="shared" si="15"/>
        <v>2</v>
      </c>
      <c r="E100" s="4">
        <f t="shared" si="10"/>
        <v>0.75004763350835868</v>
      </c>
      <c r="F100" s="4">
        <f t="shared" si="11"/>
        <v>0.7265051794527877</v>
      </c>
      <c r="G100" s="4">
        <f t="shared" si="12"/>
        <v>7.7122258756253193E-3</v>
      </c>
      <c r="H100" s="4">
        <f t="shared" si="13"/>
        <v>3.8561129378126598E-4</v>
      </c>
    </row>
    <row r="101" spans="1:8">
      <c r="A101" s="5">
        <f t="shared" si="14"/>
        <v>7.4166666666666572</v>
      </c>
      <c r="B101" s="4">
        <f t="shared" si="8"/>
        <v>0.96816097584237615</v>
      </c>
      <c r="C101" s="4">
        <f t="shared" si="9"/>
        <v>5.3392374500260348E-3</v>
      </c>
      <c r="D101" s="66">
        <f t="shared" si="15"/>
        <v>4</v>
      </c>
      <c r="E101" s="4">
        <f t="shared" si="10"/>
        <v>0.74760018504140935</v>
      </c>
      <c r="F101" s="4">
        <f t="shared" si="11"/>
        <v>0.72379732468963187</v>
      </c>
      <c r="G101" s="4">
        <f t="shared" si="12"/>
        <v>1.5458103128846145E-2</v>
      </c>
      <c r="H101" s="4">
        <f t="shared" si="13"/>
        <v>7.729051564423073E-4</v>
      </c>
    </row>
    <row r="102" spans="1:8">
      <c r="A102" s="5">
        <f t="shared" si="14"/>
        <v>7.4999999999999902</v>
      </c>
      <c r="B102" s="4">
        <f t="shared" si="8"/>
        <v>0.96770743335852571</v>
      </c>
      <c r="C102" s="4">
        <f t="shared" si="9"/>
        <v>5.3709082161604799E-3</v>
      </c>
      <c r="D102" s="66">
        <f t="shared" si="15"/>
        <v>2</v>
      </c>
      <c r="E102" s="4">
        <f t="shared" si="10"/>
        <v>0.74516072273924583</v>
      </c>
      <c r="F102" s="4">
        <f t="shared" si="11"/>
        <v>0.72109757044157963</v>
      </c>
      <c r="G102" s="4">
        <f t="shared" si="12"/>
        <v>7.7458977314760801E-3</v>
      </c>
      <c r="H102" s="4">
        <f t="shared" si="13"/>
        <v>3.87294886573804E-4</v>
      </c>
    </row>
    <row r="103" spans="1:8">
      <c r="A103" s="5">
        <f t="shared" si="14"/>
        <v>7.5833333333333233</v>
      </c>
      <c r="B103" s="4">
        <f t="shared" si="8"/>
        <v>0.96725141480361643</v>
      </c>
      <c r="C103" s="4">
        <f t="shared" si="9"/>
        <v>5.4027704295116418E-3</v>
      </c>
      <c r="D103" s="66">
        <f t="shared" si="15"/>
        <v>4</v>
      </c>
      <c r="E103" s="4">
        <f t="shared" si="10"/>
        <v>0.74272922054255408</v>
      </c>
      <c r="F103" s="4">
        <f t="shared" si="11"/>
        <v>0.71840588938577266</v>
      </c>
      <c r="G103" s="4">
        <f t="shared" si="12"/>
        <v>1.5525528382241856E-2</v>
      </c>
      <c r="H103" s="4">
        <f t="shared" si="13"/>
        <v>7.7627641911209291E-4</v>
      </c>
    </row>
    <row r="104" spans="1:8">
      <c r="A104" s="5">
        <f t="shared" si="14"/>
        <v>7.6666666666666563</v>
      </c>
      <c r="B104" s="4">
        <f t="shared" si="8"/>
        <v>0.96679290763466363</v>
      </c>
      <c r="C104" s="4">
        <f t="shared" si="9"/>
        <v>5.4348252473624499E-3</v>
      </c>
      <c r="D104" s="66">
        <f t="shared" si="15"/>
        <v>2</v>
      </c>
      <c r="E104" s="4">
        <f t="shared" si="10"/>
        <v>0.74030565247705338</v>
      </c>
      <c r="F104" s="4">
        <f t="shared" si="11"/>
        <v>0.71572225429666725</v>
      </c>
      <c r="G104" s="4">
        <f t="shared" si="12"/>
        <v>7.7796507555013897E-3</v>
      </c>
      <c r="H104" s="4">
        <f t="shared" si="13"/>
        <v>3.8898253777506949E-4</v>
      </c>
    </row>
    <row r="105" spans="1:8">
      <c r="A105" s="5">
        <f t="shared" si="14"/>
        <v>7.7499999999999893</v>
      </c>
      <c r="B105" s="4">
        <f t="shared" si="8"/>
        <v>0.96633189926037821</v>
      </c>
      <c r="C105" s="4">
        <f t="shared" si="9"/>
        <v>5.4670738339915011E-3</v>
      </c>
      <c r="D105" s="66">
        <f t="shared" si="15"/>
        <v>4</v>
      </c>
      <c r="E105" s="4">
        <f t="shared" si="10"/>
        <v>0.73788999265321809</v>
      </c>
      <c r="F105" s="4">
        <f t="shared" si="11"/>
        <v>0.71304663804581081</v>
      </c>
      <c r="G105" s="4">
        <f t="shared" si="12"/>
        <v>1.5593114469103444E-2</v>
      </c>
      <c r="H105" s="4">
        <f t="shared" si="13"/>
        <v>7.7965572345517226E-4</v>
      </c>
    </row>
    <row r="106" spans="1:8">
      <c r="A106" s="5">
        <f t="shared" si="14"/>
        <v>7.8333333333333224</v>
      </c>
      <c r="B106" s="4">
        <f t="shared" si="8"/>
        <v>0.96586837704117701</v>
      </c>
      <c r="C106" s="4">
        <f t="shared" si="9"/>
        <v>5.4995173607153757E-3</v>
      </c>
      <c r="D106" s="66">
        <f t="shared" si="15"/>
        <v>2</v>
      </c>
      <c r="E106" s="4">
        <f t="shared" si="10"/>
        <v>0.7354822152660021</v>
      </c>
      <c r="F106" s="4">
        <f t="shared" si="11"/>
        <v>0.71037901360162303</v>
      </c>
      <c r="G106" s="4">
        <f t="shared" si="12"/>
        <v>7.8134834359799791E-3</v>
      </c>
      <c r="H106" s="4">
        <f t="shared" si="13"/>
        <v>3.90674171798999E-4</v>
      </c>
    </row>
    <row r="107" spans="1:8">
      <c r="A107" s="5">
        <f t="shared" si="14"/>
        <v>7.9166666666666554</v>
      </c>
      <c r="B107" s="4">
        <f t="shared" si="8"/>
        <v>0.96540232828919703</v>
      </c>
      <c r="C107" s="4">
        <f t="shared" si="9"/>
        <v>5.5321570059311577E-3</v>
      </c>
      <c r="D107" s="66">
        <f t="shared" si="15"/>
        <v>4</v>
      </c>
      <c r="E107" s="4">
        <f t="shared" si="10"/>
        <v>0.7330822945945622</v>
      </c>
      <c r="F107" s="4">
        <f t="shared" si="11"/>
        <v>0.70771935402917741</v>
      </c>
      <c r="G107" s="4">
        <f t="shared" si="12"/>
        <v>1.5660858330502347E-2</v>
      </c>
      <c r="H107" s="4">
        <f t="shared" si="13"/>
        <v>7.8304291652511737E-4</v>
      </c>
    </row>
    <row r="108" spans="1:8">
      <c r="A108" s="5">
        <f t="shared" si="14"/>
        <v>7.9999999999999885</v>
      </c>
      <c r="B108" s="4">
        <f t="shared" si="8"/>
        <v>0.96493374026831158</v>
      </c>
      <c r="C108" s="4">
        <f t="shared" si="9"/>
        <v>5.5649939551592493E-3</v>
      </c>
      <c r="D108" s="66">
        <f t="shared" si="15"/>
        <v>2</v>
      </c>
      <c r="E108" s="4">
        <f t="shared" si="10"/>
        <v>0.73069020500198412</v>
      </c>
      <c r="F108" s="4">
        <f t="shared" si="11"/>
        <v>0.70506763248998383</v>
      </c>
      <c r="G108" s="4">
        <f t="shared" si="12"/>
        <v>7.8473942255704067E-3</v>
      </c>
      <c r="H108" s="4">
        <f t="shared" si="13"/>
        <v>3.9236971127852035E-4</v>
      </c>
    </row>
    <row r="109" spans="1:8">
      <c r="A109" s="5">
        <f t="shared" si="14"/>
        <v>8.0833333333333215</v>
      </c>
      <c r="B109" s="4">
        <f t="shared" si="8"/>
        <v>0.96446260019415064</v>
      </c>
      <c r="C109" s="4">
        <f t="shared" si="9"/>
        <v>5.5980294010864315E-3</v>
      </c>
      <c r="D109" s="66">
        <f t="shared" si="15"/>
        <v>4</v>
      </c>
      <c r="E109" s="4">
        <f t="shared" si="10"/>
        <v>0.72830592093500834</v>
      </c>
      <c r="F109" s="4">
        <f t="shared" si="11"/>
        <v>0.70242382224177369</v>
      </c>
      <c r="G109" s="4">
        <f t="shared" si="12"/>
        <v>1.5728756835731831E-2</v>
      </c>
      <c r="H109" s="4">
        <f t="shared" si="13"/>
        <v>7.8643784178659157E-4</v>
      </c>
    </row>
    <row r="110" spans="1:8">
      <c r="A110" s="5">
        <f t="shared" si="14"/>
        <v>8.1666666666666554</v>
      </c>
      <c r="B110" s="4">
        <f t="shared" si="8"/>
        <v>0.9639888952341239</v>
      </c>
      <c r="C110" s="4">
        <f t="shared" si="9"/>
        <v>5.6312645436091746E-3</v>
      </c>
      <c r="D110" s="66">
        <f t="shared" si="15"/>
        <v>2</v>
      </c>
      <c r="E110" s="4">
        <f t="shared" si="10"/>
        <v>0.72592941692375645</v>
      </c>
      <c r="F110" s="4">
        <f t="shared" si="11"/>
        <v>0.69978789663828367</v>
      </c>
      <c r="G110" s="4">
        <f t="shared" si="12"/>
        <v>7.881381540772019E-3</v>
      </c>
      <c r="H110" s="4">
        <f t="shared" si="13"/>
        <v>3.9406907703860096E-4</v>
      </c>
    </row>
    <row r="111" spans="1:8">
      <c r="A111" s="5">
        <f t="shared" si="14"/>
        <v>8.2499999999999893</v>
      </c>
      <c r="B111" s="4">
        <f t="shared" si="8"/>
        <v>0.96351261250744802</v>
      </c>
      <c r="C111" s="4">
        <f t="shared" si="9"/>
        <v>5.664700589877226E-3</v>
      </c>
      <c r="D111" s="66">
        <f t="shared" si="15"/>
        <v>4</v>
      </c>
      <c r="E111" s="4">
        <f t="shared" si="10"/>
        <v>0.72356066758146076</v>
      </c>
      <c r="F111" s="4">
        <f t="shared" si="11"/>
        <v>0.69715982912904639</v>
      </c>
      <c r="G111" s="4">
        <f t="shared" si="12"/>
        <v>1.5796806781224061E-2</v>
      </c>
      <c r="H111" s="4">
        <f t="shared" si="13"/>
        <v>7.8984033906120315E-4</v>
      </c>
    </row>
    <row r="112" spans="1:8">
      <c r="A112" s="5">
        <f t="shared" si="14"/>
        <v>8.3333333333333233</v>
      </c>
      <c r="B112" s="4">
        <f t="shared" si="8"/>
        <v>0.96303373908517664</v>
      </c>
      <c r="C112" s="4">
        <f t="shared" si="9"/>
        <v>5.698338754337463E-3</v>
      </c>
      <c r="D112" s="66">
        <f t="shared" si="15"/>
        <v>2</v>
      </c>
      <c r="E112" s="4">
        <f t="shared" si="10"/>
        <v>0.72119964760419109</v>
      </c>
      <c r="F112" s="4">
        <f t="shared" si="11"/>
        <v>0.69453959325917591</v>
      </c>
      <c r="G112" s="4">
        <f t="shared" si="12"/>
        <v>7.9154437613810809E-3</v>
      </c>
      <c r="H112" s="4">
        <f t="shared" si="13"/>
        <v>3.9577218806905406E-4</v>
      </c>
    </row>
    <row r="113" spans="1:8">
      <c r="A113" s="5">
        <f t="shared" si="14"/>
        <v>8.4166666666666572</v>
      </c>
      <c r="B113" s="4">
        <f t="shared" si="8"/>
        <v>0.96255226199023458</v>
      </c>
      <c r="C113" s="4">
        <f t="shared" si="9"/>
        <v>5.7321802587779877E-3</v>
      </c>
      <c r="D113" s="66">
        <f t="shared" si="15"/>
        <v>4</v>
      </c>
      <c r="E113" s="4">
        <f t="shared" si="10"/>
        <v>0.71884633177058588</v>
      </c>
      <c r="F113" s="4">
        <f t="shared" si="11"/>
        <v>0.6919271626691601</v>
      </c>
      <c r="G113" s="4">
        <f t="shared" si="12"/>
        <v>1.58650048894577E-2</v>
      </c>
      <c r="H113" s="4">
        <f t="shared" si="13"/>
        <v>7.9325024447288509E-4</v>
      </c>
    </row>
    <row r="114" spans="1:8">
      <c r="A114" s="5">
        <f t="shared" si="14"/>
        <v>8.4999999999999911</v>
      </c>
      <c r="B114" s="4">
        <f t="shared" si="8"/>
        <v>0.96206816819745389</v>
      </c>
      <c r="C114" s="4">
        <f t="shared" si="9"/>
        <v>5.7662263323725168E-3</v>
      </c>
      <c r="D114" s="66">
        <f t="shared" si="15"/>
        <v>2</v>
      </c>
      <c r="E114" s="4">
        <f t="shared" si="10"/>
        <v>0.71650069494158253</v>
      </c>
      <c r="F114" s="4">
        <f t="shared" si="11"/>
        <v>0.68932251109465104</v>
      </c>
      <c r="G114" s="4">
        <f t="shared" si="12"/>
        <v>7.9495792299422476E-3</v>
      </c>
      <c r="H114" s="4">
        <f t="shared" si="13"/>
        <v>3.9747896149711239E-4</v>
      </c>
    </row>
    <row r="115" spans="1:8">
      <c r="A115" s="5">
        <f t="shared" si="14"/>
        <v>8.583333333333325</v>
      </c>
      <c r="B115" s="4">
        <f t="shared" si="8"/>
        <v>0.96158144463361628</v>
      </c>
      <c r="C115" s="4">
        <f t="shared" si="9"/>
        <v>5.8004782117250181E-3</v>
      </c>
      <c r="D115" s="66">
        <f t="shared" si="15"/>
        <v>4</v>
      </c>
      <c r="E115" s="4">
        <f t="shared" si="10"/>
        <v>0.71416271206014814</v>
      </c>
      <c r="F115" s="4">
        <f t="shared" si="11"/>
        <v>0.68672561236625862</v>
      </c>
      <c r="G115" s="4">
        <f t="shared" si="12"/>
        <v>1.5933347807856015E-2</v>
      </c>
      <c r="H115" s="4">
        <f t="shared" si="13"/>
        <v>7.966673903928008E-4</v>
      </c>
    </row>
    <row r="116" spans="1:8">
      <c r="A116" s="5">
        <f t="shared" si="14"/>
        <v>8.666666666666659</v>
      </c>
      <c r="B116" s="4">
        <f t="shared" si="8"/>
        <v>0.96109207817749642</v>
      </c>
      <c r="C116" s="4">
        <f t="shared" si="9"/>
        <v>5.8349371409146342E-3</v>
      </c>
      <c r="D116" s="66">
        <f t="shared" si="15"/>
        <v>2</v>
      </c>
      <c r="E116" s="4">
        <f t="shared" si="10"/>
        <v>0.71183235815101276</v>
      </c>
      <c r="F116" s="4">
        <f t="shared" si="11"/>
        <v>0.68413644040934474</v>
      </c>
      <c r="G116" s="4">
        <f t="shared" si="12"/>
        <v>7.9837862511952344E-3</v>
      </c>
      <c r="H116" s="4">
        <f t="shared" si="13"/>
        <v>3.9918931255976175E-4</v>
      </c>
    </row>
    <row r="117" spans="1:8">
      <c r="A117" s="5">
        <f t="shared" si="14"/>
        <v>8.7499999999999929</v>
      </c>
      <c r="B117" s="4">
        <f t="shared" si="8"/>
        <v>0.96060005565991102</v>
      </c>
      <c r="C117" s="4">
        <f t="shared" si="9"/>
        <v>5.8696043715408654E-3</v>
      </c>
      <c r="D117" s="66">
        <f t="shared" si="15"/>
        <v>4</v>
      </c>
      <c r="E117" s="4">
        <f t="shared" si="10"/>
        <v>0.70950960832040189</v>
      </c>
      <c r="F117" s="4">
        <f t="shared" si="11"/>
        <v>0.68155496924381975</v>
      </c>
      <c r="G117" s="4">
        <f t="shared" si="12"/>
        <v>1.6001832107675695E-2</v>
      </c>
      <c r="H117" s="4">
        <f t="shared" si="13"/>
        <v>8.0009160538378483E-4</v>
      </c>
    </row>
    <row r="118" spans="1:8">
      <c r="A118" s="5">
        <f t="shared" si="14"/>
        <v>8.8333333333333268</v>
      </c>
      <c r="B118" s="4">
        <f t="shared" si="8"/>
        <v>0.96010536386377032</v>
      </c>
      <c r="C118" s="4">
        <f t="shared" si="9"/>
        <v>5.9044811627690305E-3</v>
      </c>
      <c r="D118" s="66">
        <f t="shared" si="15"/>
        <v>2</v>
      </c>
      <c r="E118" s="4">
        <f t="shared" si="10"/>
        <v>0.70719443775577107</v>
      </c>
      <c r="F118" s="4">
        <f t="shared" si="11"/>
        <v>0.67898117298393901</v>
      </c>
      <c r="G118" s="4">
        <f t="shared" si="12"/>
        <v>8.0180630915169786E-3</v>
      </c>
      <c r="H118" s="4">
        <f t="shared" si="13"/>
        <v>4.0090315457584895E-4</v>
      </c>
    </row>
    <row r="119" spans="1:8">
      <c r="A119" s="5">
        <f t="shared" si="14"/>
        <v>8.9166666666666607</v>
      </c>
      <c r="B119" s="4">
        <f t="shared" si="8"/>
        <v>0.95960798952413362</v>
      </c>
      <c r="C119" s="4">
        <f t="shared" si="9"/>
        <v>5.9395687813759944E-3</v>
      </c>
      <c r="D119" s="66">
        <f t="shared" si="15"/>
        <v>4</v>
      </c>
      <c r="E119" s="4">
        <f t="shared" si="10"/>
        <v>0.7048868217255404</v>
      </c>
      <c r="F119" s="4">
        <f t="shared" si="11"/>
        <v>0.6764150258381022</v>
      </c>
      <c r="G119" s="4">
        <f t="shared" si="12"/>
        <v>1.6070454282886514E-2</v>
      </c>
      <c r="H119" s="4">
        <f t="shared" si="13"/>
        <v>8.035227141443258E-4</v>
      </c>
    </row>
    <row r="120" spans="1:8">
      <c r="A120" s="5">
        <f t="shared" si="14"/>
        <v>8.9999999999999947</v>
      </c>
      <c r="B120" s="4">
        <f t="shared" si="8"/>
        <v>0.95910791932827033</v>
      </c>
      <c r="C120" s="4">
        <f t="shared" si="9"/>
        <v>5.9748685017961961E-3</v>
      </c>
      <c r="D120" s="66">
        <f t="shared" si="15"/>
        <v>2</v>
      </c>
      <c r="E120" s="4">
        <f t="shared" si="10"/>
        <v>0.70258673557883067</v>
      </c>
      <c r="F120" s="4">
        <f t="shared" si="11"/>
        <v>0.67385650210865389</v>
      </c>
      <c r="G120" s="4">
        <f t="shared" si="12"/>
        <v>8.052407978359117E-3</v>
      </c>
      <c r="H120" s="4">
        <f t="shared" si="13"/>
        <v>4.0262039891795587E-4</v>
      </c>
    </row>
    <row r="121" spans="1:8">
      <c r="A121" s="5">
        <f t="shared" si="14"/>
        <v>9.0833333333333286</v>
      </c>
      <c r="B121" s="4">
        <f t="shared" si="8"/>
        <v>0.95860513991572149</v>
      </c>
      <c r="C121" s="4">
        <f t="shared" si="9"/>
        <v>6.0103816061679157E-3</v>
      </c>
      <c r="D121" s="66">
        <f t="shared" si="15"/>
        <v>4</v>
      </c>
      <c r="E121" s="4">
        <f t="shared" si="10"/>
        <v>0.70029415474520007</v>
      </c>
      <c r="F121" s="4">
        <f t="shared" si="11"/>
        <v>0.67130557619168441</v>
      </c>
      <c r="G121" s="4">
        <f t="shared" si="12"/>
        <v>1.6139210749041819E-2</v>
      </c>
      <c r="H121" s="4">
        <f t="shared" si="13"/>
        <v>8.0696053745209098E-4</v>
      </c>
    </row>
    <row r="122" spans="1:8">
      <c r="A122" s="5">
        <f t="shared" si="14"/>
        <v>9.1666666666666625</v>
      </c>
      <c r="B122" s="4">
        <f t="shared" si="8"/>
        <v>0.95809963787836894</v>
      </c>
      <c r="C122" s="4">
        <f t="shared" si="9"/>
        <v>6.0461093843798656E-3</v>
      </c>
      <c r="D122" s="66">
        <f t="shared" si="15"/>
        <v>2</v>
      </c>
      <c r="E122" s="4">
        <f t="shared" si="10"/>
        <v>0.69800905473438102</v>
      </c>
      <c r="F122" s="4">
        <f t="shared" si="11"/>
        <v>0.66876222257683304</v>
      </c>
      <c r="G122" s="4">
        <f t="shared" si="12"/>
        <v>8.0868190996810536E-3</v>
      </c>
      <c r="H122" s="4">
        <f t="shared" si="13"/>
        <v>4.0434095498405271E-4</v>
      </c>
    </row>
    <row r="123" spans="1:8">
      <c r="A123" s="5">
        <f t="shared" si="14"/>
        <v>9.2499999999999964</v>
      </c>
      <c r="B123" s="4">
        <f t="shared" si="8"/>
        <v>0.95759139976050633</v>
      </c>
      <c r="C123" s="4">
        <f t="shared" si="9"/>
        <v>6.0820531341180236E-3</v>
      </c>
      <c r="D123" s="66">
        <f t="shared" si="15"/>
        <v>4</v>
      </c>
      <c r="E123" s="4">
        <f t="shared" si="10"/>
        <v>0.69573141113601966</v>
      </c>
      <c r="F123" s="4">
        <f t="shared" si="11"/>
        <v>0.66622641584709341</v>
      </c>
      <c r="G123" s="4">
        <f t="shared" si="12"/>
        <v>1.620809784214013E-2</v>
      </c>
      <c r="H123" s="4">
        <f t="shared" si="13"/>
        <v>8.1040489210700657E-4</v>
      </c>
    </row>
    <row r="124" spans="1:8">
      <c r="A124" s="5">
        <f t="shared" si="14"/>
        <v>9.3333333333333304</v>
      </c>
      <c r="B124" s="4">
        <f t="shared" si="8"/>
        <v>0.95708041205891448</v>
      </c>
      <c r="C124" s="4">
        <f t="shared" si="9"/>
        <v>6.1182141609127756E-3</v>
      </c>
      <c r="D124" s="66">
        <f t="shared" si="15"/>
        <v>2</v>
      </c>
      <c r="E124" s="4">
        <f t="shared" si="10"/>
        <v>0.69346119961941433</v>
      </c>
      <c r="F124" s="4">
        <f t="shared" si="11"/>
        <v>0.66369813067861816</v>
      </c>
      <c r="G124" s="4">
        <f t="shared" si="12"/>
        <v>8.1212946033785201E-3</v>
      </c>
      <c r="H124" s="4">
        <f t="shared" si="13"/>
        <v>4.0606473016892601E-4</v>
      </c>
    </row>
    <row r="125" spans="1:8">
      <c r="A125" s="5">
        <f t="shared" si="14"/>
        <v>9.4166666666666643</v>
      </c>
      <c r="B125" s="4">
        <f t="shared" si="8"/>
        <v>0.95656666122294176</v>
      </c>
      <c r="C125" s="4">
        <f t="shared" si="9"/>
        <v>6.1545937781863399E-3</v>
      </c>
      <c r="D125" s="66">
        <f t="shared" si="15"/>
        <v>4</v>
      </c>
      <c r="E125" s="4">
        <f t="shared" si="10"/>
        <v>0.69119839593325549</v>
      </c>
      <c r="F125" s="4">
        <f t="shared" si="11"/>
        <v>0.66117734184052712</v>
      </c>
      <c r="G125" s="4">
        <f t="shared" si="12"/>
        <v>1.6277111817477964E-2</v>
      </c>
      <c r="H125" s="4">
        <f t="shared" si="13"/>
        <v>8.1385559087389825E-4</v>
      </c>
    </row>
    <row r="126" spans="1:8">
      <c r="A126" s="5">
        <f t="shared" si="14"/>
        <v>9.4999999999999982</v>
      </c>
      <c r="B126" s="4">
        <f t="shared" si="8"/>
        <v>0.9560501336545878</v>
      </c>
      <c r="C126" s="4">
        <f t="shared" si="9"/>
        <v>6.1911933073004579E-3</v>
      </c>
      <c r="D126" s="66">
        <f t="shared" si="15"/>
        <v>2</v>
      </c>
      <c r="E126" s="4">
        <f t="shared" si="10"/>
        <v>0.68894297590536757</v>
      </c>
      <c r="F126" s="4">
        <f t="shared" si="11"/>
        <v>0.65866402419471615</v>
      </c>
      <c r="G126" s="4">
        <f t="shared" si="12"/>
        <v>8.1558325967078273E-3</v>
      </c>
      <c r="H126" s="4">
        <f t="shared" si="13"/>
        <v>4.0779162983539137E-4</v>
      </c>
    </row>
    <row r="127" spans="1:8">
      <c r="A127" s="5">
        <f t="shared" si="14"/>
        <v>9.5833333333333321</v>
      </c>
      <c r="B127" s="4">
        <f t="shared" si="8"/>
        <v>0.95553081570859177</v>
      </c>
      <c r="C127" s="4">
        <f t="shared" si="9"/>
        <v>6.2280140776043947E-3</v>
      </c>
      <c r="D127" s="66">
        <f t="shared" si="15"/>
        <v>4</v>
      </c>
      <c r="E127" s="4">
        <f t="shared" si="10"/>
        <v>0.68669491544244998</v>
      </c>
      <c r="F127" s="4">
        <f t="shared" si="11"/>
        <v>0.65615815269566669</v>
      </c>
      <c r="G127" s="4">
        <f t="shared" si="12"/>
        <v>1.6346248848494026E-2</v>
      </c>
      <c r="H127" s="4">
        <f t="shared" si="13"/>
        <v>8.1731244242470131E-4</v>
      </c>
    </row>
    <row r="128" spans="1:8">
      <c r="A128" s="5">
        <f t="shared" si="14"/>
        <v>9.6666666666666661</v>
      </c>
      <c r="B128" s="4">
        <f t="shared" si="8"/>
        <v>0.95500869369252495</v>
      </c>
      <c r="C128" s="4">
        <f t="shared" si="9"/>
        <v>6.2650574264832342E-3</v>
      </c>
      <c r="D128" s="66">
        <f t="shared" si="15"/>
        <v>2</v>
      </c>
      <c r="E128" s="4">
        <f t="shared" si="10"/>
        <v>0.68445419052981971</v>
      </c>
      <c r="F128" s="4">
        <f t="shared" si="11"/>
        <v>0.65365970239025772</v>
      </c>
      <c r="G128" s="4">
        <f t="shared" si="12"/>
        <v>8.1904311457058083E-3</v>
      </c>
      <c r="H128" s="4">
        <f t="shared" si="13"/>
        <v>4.0952155728529044E-4</v>
      </c>
    </row>
    <row r="129" spans="1:8">
      <c r="A129" s="5">
        <f t="shared" si="14"/>
        <v>9.75</v>
      </c>
      <c r="B129" s="4">
        <f t="shared" si="8"/>
        <v>0.95448375386688789</v>
      </c>
      <c r="C129" s="4">
        <f t="shared" si="9"/>
        <v>6.3023246994064345E-3</v>
      </c>
      <c r="D129" s="66">
        <f t="shared" si="15"/>
        <v>4</v>
      </c>
      <c r="E129" s="4">
        <f t="shared" si="10"/>
        <v>0.68222077723115548</v>
      </c>
      <c r="F129" s="4">
        <f t="shared" si="11"/>
        <v>0.65116864841757915</v>
      </c>
      <c r="G129" s="4">
        <f t="shared" si="12"/>
        <v>1.6415505025604855E-2</v>
      </c>
      <c r="H129" s="4">
        <f t="shared" si="13"/>
        <v>8.2077525128024286E-4</v>
      </c>
    </row>
    <row r="130" spans="1:8">
      <c r="A130" s="5">
        <f t="shared" si="14"/>
        <v>9.8333333333333339</v>
      </c>
      <c r="B130" s="4">
        <f t="shared" si="8"/>
        <v>0.95395598244521151</v>
      </c>
      <c r="C130" s="4">
        <f t="shared" si="9"/>
        <v>6.3398172499767114E-3</v>
      </c>
      <c r="D130" s="66">
        <f t="shared" si="15"/>
        <v>2</v>
      </c>
      <c r="E130" s="4">
        <f t="shared" si="10"/>
        <v>0.67999465168824125</v>
      </c>
      <c r="F130" s="4">
        <f t="shared" si="11"/>
        <v>0.64868496600874559</v>
      </c>
      <c r="G130" s="4">
        <f t="shared" si="12"/>
        <v>8.2250882746056041E-3</v>
      </c>
      <c r="H130" s="4">
        <f t="shared" si="13"/>
        <v>4.1125441373028024E-4</v>
      </c>
    </row>
    <row r="131" spans="1:8">
      <c r="A131" s="5">
        <f t="shared" si="14"/>
        <v>9.9166666666666679</v>
      </c>
      <c r="B131" s="4">
        <f t="shared" si="8"/>
        <v>0.95342536559416302</v>
      </c>
      <c r="C131" s="4">
        <f t="shared" si="9"/>
        <v>6.3775364399792003E-3</v>
      </c>
      <c r="D131" s="66">
        <f t="shared" si="15"/>
        <v>4</v>
      </c>
      <c r="E131" s="4">
        <f t="shared" si="10"/>
        <v>0.67777579012071176</v>
      </c>
      <c r="F131" s="4">
        <f t="shared" si="11"/>
        <v>0.64620863048671229</v>
      </c>
      <c r="G131" s="4">
        <f t="shared" si="12"/>
        <v>1.6484876355032246E-2</v>
      </c>
      <c r="H131" s="4">
        <f t="shared" si="13"/>
        <v>8.242438177516123E-4</v>
      </c>
    </row>
    <row r="132" spans="1:8">
      <c r="A132" s="5">
        <f t="shared" si="14"/>
        <v>10.000000000000002</v>
      </c>
      <c r="B132" s="4">
        <f t="shared" si="8"/>
        <v>0.95289188943365688</v>
      </c>
      <c r="C132" s="4">
        <f t="shared" si="9"/>
        <v>6.4154836394309175E-3</v>
      </c>
      <c r="D132" s="66">
        <f t="shared" si="15"/>
        <v>2</v>
      </c>
      <c r="E132" s="4">
        <f t="shared" si="10"/>
        <v>0.67556416882579851</v>
      </c>
      <c r="F132" s="4">
        <f t="shared" si="11"/>
        <v>0.64373961726609308</v>
      </c>
      <c r="G132" s="4">
        <f t="shared" si="12"/>
        <v>8.2598019652482813E-3</v>
      </c>
      <c r="H132" s="4">
        <f t="shared" si="13"/>
        <v>4.1299009826241406E-4</v>
      </c>
    </row>
    <row r="133" spans="1:8">
      <c r="A133" s="5">
        <f t="shared" si="14"/>
        <v>10.083333333333336</v>
      </c>
      <c r="B133" s="4">
        <f t="shared" si="8"/>
        <v>0.95235554003696909</v>
      </c>
      <c r="C133" s="4">
        <f t="shared" si="9"/>
        <v>6.4536602266305129E-3</v>
      </c>
      <c r="D133" s="66">
        <f t="shared" si="15"/>
        <v>4</v>
      </c>
      <c r="E133" s="4">
        <f t="shared" si="10"/>
        <v>0.67335976417807675</v>
      </c>
      <c r="F133" s="4">
        <f t="shared" si="11"/>
        <v>0.64127790185297839</v>
      </c>
      <c r="G133" s="4">
        <f t="shared" si="12"/>
        <v>1.6554358757622532E-2</v>
      </c>
      <c r="H133" s="4">
        <f t="shared" si="13"/>
        <v>8.2771793788112666E-4</v>
      </c>
    </row>
    <row r="134" spans="1:8">
      <c r="A134" s="5">
        <f t="shared" si="14"/>
        <v>10.16666666666667</v>
      </c>
      <c r="B134" s="4">
        <f t="shared" si="8"/>
        <v>0.95181630343085788</v>
      </c>
      <c r="C134" s="4">
        <f t="shared" si="9"/>
        <v>6.4920675882083586E-3</v>
      </c>
      <c r="D134" s="66">
        <f t="shared" si="15"/>
        <v>2</v>
      </c>
      <c r="E134" s="4">
        <f t="shared" si="10"/>
        <v>0.67116255262921232</v>
      </c>
      <c r="F134" s="4">
        <f t="shared" si="11"/>
        <v>0.63882345984475553</v>
      </c>
      <c r="G134" s="4">
        <f t="shared" si="12"/>
        <v>8.2945701564905213E-3</v>
      </c>
      <c r="H134" s="4">
        <f t="shared" si="13"/>
        <v>4.1472850782452609E-4</v>
      </c>
    </row>
    <row r="135" spans="1:8">
      <c r="A135" s="5">
        <f t="shared" si="14"/>
        <v>10.250000000000004</v>
      </c>
      <c r="B135" s="4">
        <f t="shared" si="8"/>
        <v>0.95127416559568712</v>
      </c>
      <c r="C135" s="4">
        <f t="shared" si="9"/>
        <v>6.5307071191768751E-3</v>
      </c>
      <c r="D135" s="66">
        <f t="shared" si="15"/>
        <v>4</v>
      </c>
      <c r="E135" s="4">
        <f t="shared" si="10"/>
        <v>0.66897251070771102</v>
      </c>
      <c r="F135" s="4">
        <f t="shared" si="11"/>
        <v>0.63637626692992966</v>
      </c>
      <c r="G135" s="4">
        <f t="shared" si="12"/>
        <v>1.6623948067657979E-2</v>
      </c>
      <c r="H135" s="4">
        <f t="shared" si="13"/>
        <v>8.3119740338289901E-4</v>
      </c>
    </row>
    <row r="136" spans="1:8">
      <c r="A136" s="5">
        <f t="shared" si="14"/>
        <v>10.333333333333337</v>
      </c>
      <c r="B136" s="4">
        <f t="shared" si="8"/>
        <v>0.95072911246555658</v>
      </c>
      <c r="C136" s="4">
        <f t="shared" si="9"/>
        <v>6.569580222981237E-3</v>
      </c>
      <c r="D136" s="66">
        <f t="shared" si="15"/>
        <v>2</v>
      </c>
      <c r="E136" s="4">
        <f t="shared" si="10"/>
        <v>0.66678961501866729</v>
      </c>
      <c r="F136" s="4">
        <f t="shared" si="11"/>
        <v>0.63393629888794767</v>
      </c>
      <c r="G136" s="4">
        <f t="shared" si="12"/>
        <v>8.3293907436083683E-3</v>
      </c>
      <c r="H136" s="4">
        <f t="shared" si="13"/>
        <v>4.1646953718041846E-4</v>
      </c>
    </row>
    <row r="137" spans="1:8">
      <c r="A137" s="5">
        <f t="shared" si="14"/>
        <v>10.416666666666671</v>
      </c>
      <c r="B137" s="4">
        <f t="shared" si="8"/>
        <v>0.95018112992843562</v>
      </c>
      <c r="C137" s="4">
        <f t="shared" si="9"/>
        <v>6.6086883115503182E-3</v>
      </c>
      <c r="D137" s="66">
        <f t="shared" si="15"/>
        <v>4</v>
      </c>
      <c r="E137" s="4">
        <f t="shared" si="10"/>
        <v>0.66461384224351472</v>
      </c>
      <c r="F137" s="4">
        <f t="shared" si="11"/>
        <v>0.63150353158902184</v>
      </c>
      <c r="G137" s="4">
        <f t="shared" si="12"/>
        <v>1.6693640031660465E-2</v>
      </c>
      <c r="H137" s="4">
        <f t="shared" si="13"/>
        <v>8.3468200158302332E-4</v>
      </c>
    </row>
    <row r="138" spans="1:8">
      <c r="A138" s="5">
        <f t="shared" si="14"/>
        <v>10.500000000000005</v>
      </c>
      <c r="B138" s="4">
        <f t="shared" si="8"/>
        <v>0.9496302038263027</v>
      </c>
      <c r="C138" s="4">
        <f t="shared" si="9"/>
        <v>6.6480328053479948E-3</v>
      </c>
      <c r="D138" s="66">
        <f t="shared" si="15"/>
        <v>2</v>
      </c>
      <c r="E138" s="4">
        <f t="shared" si="10"/>
        <v>0.66244516913977636</v>
      </c>
      <c r="F138" s="4">
        <f t="shared" si="11"/>
        <v>0.62907794099395542</v>
      </c>
      <c r="G138" s="4">
        <f t="shared" si="12"/>
        <v>8.3642615776971709E-3</v>
      </c>
      <c r="H138" s="4">
        <f t="shared" si="13"/>
        <v>4.1821307888485857E-4</v>
      </c>
    </row>
    <row r="139" spans="1:8">
      <c r="A139" s="5">
        <f t="shared" si="14"/>
        <v>10.583333333333339</v>
      </c>
      <c r="B139" s="4">
        <f t="shared" si="8"/>
        <v>0.94907631995528863</v>
      </c>
      <c r="C139" s="4">
        <f t="shared" si="9"/>
        <v>6.6876151334247305E-3</v>
      </c>
      <c r="D139" s="66">
        <f t="shared" si="15"/>
        <v>4</v>
      </c>
      <c r="E139" s="4">
        <f t="shared" si="10"/>
        <v>0.66028357254081704</v>
      </c>
      <c r="F139" s="4">
        <f t="shared" si="11"/>
        <v>0.62665950315396945</v>
      </c>
      <c r="G139" s="4">
        <f t="shared" si="12"/>
        <v>1.6763430307187636E-2</v>
      </c>
      <c r="H139" s="4">
        <f t="shared" si="13"/>
        <v>8.3817151535938187E-4</v>
      </c>
    </row>
    <row r="140" spans="1:8">
      <c r="A140" s="5">
        <f t="shared" si="14"/>
        <v>10.666666666666673</v>
      </c>
      <c r="B140" s="4">
        <f t="shared" si="8"/>
        <v>0.9485194640658271</v>
      </c>
      <c r="C140" s="4">
        <f t="shared" si="9"/>
        <v>6.7274367334694794E-3</v>
      </c>
      <c r="D140" s="66">
        <f t="shared" si="15"/>
        <v>2</v>
      </c>
      <c r="E140" s="4">
        <f t="shared" si="10"/>
        <v>0.6581290293555957</v>
      </c>
      <c r="F140" s="4">
        <f t="shared" si="11"/>
        <v>0.62424819421053257</v>
      </c>
      <c r="G140" s="4">
        <f t="shared" si="12"/>
        <v>8.3991804650678532E-3</v>
      </c>
      <c r="H140" s="4">
        <f t="shared" si="13"/>
        <v>4.1995902325339267E-4</v>
      </c>
    </row>
    <row r="141" spans="1:8">
      <c r="A141" s="5">
        <f t="shared" si="14"/>
        <v>10.750000000000007</v>
      </c>
      <c r="B141" s="4">
        <f t="shared" ref="B141:B204" si="16">((B$8^A141)*B$9^((B$5^B$7)*((B$5^A141)-1)))^1.05</f>
        <v>0.9479596218628078</v>
      </c>
      <c r="C141" s="4">
        <f t="shared" ref="C141:C204" si="17">B$3+B$4*(B$5^(B$7+A141))</f>
        <v>6.7674990518619199E-3</v>
      </c>
      <c r="D141" s="66">
        <f t="shared" si="15"/>
        <v>4</v>
      </c>
      <c r="E141" s="4">
        <f t="shared" ref="E141:E204" si="18">(1+B$6)^-A141</f>
        <v>0.65598151656841852</v>
      </c>
      <c r="F141" s="4">
        <f t="shared" ref="F141:F204" si="19">B141*E141</f>
        <v>0.62184399039518923</v>
      </c>
      <c r="G141" s="4">
        <f t="shared" ref="G141:G204" si="20">B141*C141*D141*E141</f>
        <v>1.6833314461621902E-2</v>
      </c>
      <c r="H141" s="4">
        <f t="shared" ref="H141:H204" si="21">G141*0.05</f>
        <v>8.4166572308109512E-4</v>
      </c>
    </row>
    <row r="142" spans="1:8">
      <c r="A142" s="5">
        <f t="shared" ref="A142:A205" si="22">A141+1/12</f>
        <v>10.833333333333341</v>
      </c>
      <c r="B142" s="4">
        <f t="shared" si="16"/>
        <v>0.94739677900573671</v>
      </c>
      <c r="C142" s="4">
        <f t="shared" si="17"/>
        <v>6.8078035437249681E-3</v>
      </c>
      <c r="D142" s="66">
        <f t="shared" si="15"/>
        <v>2</v>
      </c>
      <c r="E142" s="4">
        <f t="shared" si="18"/>
        <v>0.6538410112386932</v>
      </c>
      <c r="F142" s="4">
        <f t="shared" si="19"/>
        <v>0.61944686802939164</v>
      </c>
      <c r="G142" s="4">
        <f t="shared" si="20"/>
        <v>8.4341451666396505E-3</v>
      </c>
      <c r="H142" s="4">
        <f t="shared" si="21"/>
        <v>4.2170725833198255E-4</v>
      </c>
    </row>
    <row r="143" spans="1:8">
      <c r="A143" s="5">
        <f t="shared" si="22"/>
        <v>10.916666666666675</v>
      </c>
      <c r="B143" s="4">
        <f t="shared" si="16"/>
        <v>0.94683092110890033</v>
      </c>
      <c r="C143" s="4">
        <f t="shared" si="17"/>
        <v>6.8483516729776405E-3</v>
      </c>
      <c r="D143" s="66">
        <f t="shared" ref="D143:D206" si="23">IF(D142=4,2,4)</f>
        <v>4</v>
      </c>
      <c r="E143" s="4">
        <f t="shared" si="18"/>
        <v>0.65170749050068411</v>
      </c>
      <c r="F143" s="4">
        <f t="shared" si="19"/>
        <v>0.61705680352433268</v>
      </c>
      <c r="G143" s="4">
        <f t="shared" si="20"/>
        <v>1.6903287970952394E-2</v>
      </c>
      <c r="H143" s="4">
        <f t="shared" si="21"/>
        <v>8.4516439854761974E-4</v>
      </c>
    </row>
    <row r="144" spans="1:8">
      <c r="A144" s="5">
        <f t="shared" si="22"/>
        <v>11.000000000000009</v>
      </c>
      <c r="B144" s="4">
        <f t="shared" si="16"/>
        <v>0.94626203374153606</v>
      </c>
      <c r="C144" s="4">
        <f t="shared" si="17"/>
        <v>6.8891449123882342E-3</v>
      </c>
      <c r="D144" s="66">
        <f t="shared" si="23"/>
        <v>2</v>
      </c>
      <c r="E144" s="4">
        <f t="shared" si="18"/>
        <v>0.64958093156326768</v>
      </c>
      <c r="F144" s="4">
        <f t="shared" si="19"/>
        <v>0.61467377338077922</v>
      </c>
      <c r="G144" s="4">
        <f t="shared" si="20"/>
        <v>8.4691533973293466E-3</v>
      </c>
      <c r="H144" s="4">
        <f t="shared" si="21"/>
        <v>4.2345766986646733E-4</v>
      </c>
    </row>
    <row r="145" spans="1:8">
      <c r="A145" s="5">
        <f t="shared" si="22"/>
        <v>11.083333333333343</v>
      </c>
      <c r="B145" s="4">
        <f t="shared" si="16"/>
        <v>0.94569010242800833</v>
      </c>
      <c r="C145" s="4">
        <f t="shared" si="17"/>
        <v>6.9301847436278041E-3</v>
      </c>
      <c r="D145" s="66">
        <f t="shared" si="23"/>
        <v>4</v>
      </c>
      <c r="E145" s="4">
        <f t="shared" si="18"/>
        <v>0.64746131170968901</v>
      </c>
      <c r="F145" s="4">
        <f t="shared" si="19"/>
        <v>0.61229775418890842</v>
      </c>
      <c r="G145" s="4">
        <f t="shared" si="20"/>
        <v>1.6973346218550164E-2</v>
      </c>
      <c r="H145" s="4">
        <f t="shared" si="21"/>
        <v>8.4866731092750824E-4</v>
      </c>
    </row>
    <row r="146" spans="1:8">
      <c r="A146" s="5">
        <f t="shared" si="22"/>
        <v>11.166666666666677</v>
      </c>
      <c r="B146" s="4">
        <f t="shared" si="16"/>
        <v>0.94511511264798831</v>
      </c>
      <c r="C146" s="4">
        <f t="shared" si="17"/>
        <v>6.9714726573239872E-3</v>
      </c>
      <c r="D146" s="66">
        <f t="shared" si="23"/>
        <v>2</v>
      </c>
      <c r="E146" s="4">
        <f t="shared" si="18"/>
        <v>0.64534860829731933</v>
      </c>
      <c r="F146" s="4">
        <f t="shared" si="19"/>
        <v>0.60992872262814346</v>
      </c>
      <c r="G146" s="4">
        <f t="shared" si="20"/>
        <v>8.5042028254372955E-3</v>
      </c>
      <c r="H146" s="4">
        <f t="shared" si="21"/>
        <v>4.2521014127186479E-4</v>
      </c>
    </row>
    <row r="147" spans="1:8">
      <c r="A147" s="5">
        <f t="shared" si="22"/>
        <v>11.250000000000011</v>
      </c>
      <c r="B147" s="4">
        <f t="shared" si="16"/>
        <v>0.94453704983664122</v>
      </c>
      <c r="C147" s="4">
        <f t="shared" si="17"/>
        <v>7.0130101531151474E-3</v>
      </c>
      <c r="D147" s="66">
        <f t="shared" si="23"/>
        <v>4</v>
      </c>
      <c r="E147" s="4">
        <f t="shared" si="18"/>
        <v>0.6432427987574143</v>
      </c>
      <c r="F147" s="4">
        <f t="shared" si="19"/>
        <v>0.6075666554669924</v>
      </c>
      <c r="G147" s="4">
        <f t="shared" si="20"/>
        <v>1.704348449393692E-2</v>
      </c>
      <c r="H147" s="4">
        <f t="shared" si="21"/>
        <v>8.5217422469684601E-4</v>
      </c>
    </row>
    <row r="148" spans="1:8">
      <c r="A148" s="5">
        <f t="shared" si="22"/>
        <v>11.333333333333345</v>
      </c>
      <c r="B148" s="4">
        <f t="shared" si="16"/>
        <v>0.94395589938481894</v>
      </c>
      <c r="C148" s="4">
        <f t="shared" si="17"/>
        <v>7.0547987397048331E-3</v>
      </c>
      <c r="D148" s="66">
        <f t="shared" si="23"/>
        <v>2</v>
      </c>
      <c r="E148" s="4">
        <f t="shared" si="18"/>
        <v>0.64114386059487227</v>
      </c>
      <c r="F148" s="4">
        <f t="shared" si="19"/>
        <v>0.6052115295628876</v>
      </c>
      <c r="G148" s="4">
        <f t="shared" si="20"/>
        <v>8.5392910720301883E-3</v>
      </c>
      <c r="H148" s="4">
        <f t="shared" si="21"/>
        <v>4.2696455360150942E-4</v>
      </c>
    </row>
    <row r="149" spans="1:8">
      <c r="A149" s="5">
        <f t="shared" si="22"/>
        <v>11.416666666666679</v>
      </c>
      <c r="B149" s="4">
        <f t="shared" si="16"/>
        <v>0.94337164663925677</v>
      </c>
      <c r="C149" s="4">
        <f t="shared" si="17"/>
        <v>7.0968399349165953E-3</v>
      </c>
      <c r="D149" s="66">
        <f t="shared" si="23"/>
        <v>4</v>
      </c>
      <c r="E149" s="4">
        <f t="shared" si="18"/>
        <v>0.63905177138799463</v>
      </c>
      <c r="F149" s="4">
        <f t="shared" si="19"/>
        <v>0.6028633218620264</v>
      </c>
      <c r="G149" s="4">
        <f t="shared" si="20"/>
        <v>1.7113697991547622E-2</v>
      </c>
      <c r="H149" s="4">
        <f t="shared" si="21"/>
        <v>8.5568489957738112E-4</v>
      </c>
    </row>
    <row r="150" spans="1:8">
      <c r="A150" s="5">
        <f t="shared" si="22"/>
        <v>11.500000000000012</v>
      </c>
      <c r="B150" s="4">
        <f t="shared" si="16"/>
        <v>0.94278427690277788</v>
      </c>
      <c r="C150" s="4">
        <f t="shared" si="17"/>
        <v>7.1391352657490977E-3</v>
      </c>
      <c r="D150" s="66">
        <f t="shared" si="23"/>
        <v>2</v>
      </c>
      <c r="E150" s="4">
        <f t="shared" si="18"/>
        <v>0.63696650878824623</v>
      </c>
      <c r="F150" s="4">
        <f t="shared" si="19"/>
        <v>0.60052200939921363</v>
      </c>
      <c r="G150" s="4">
        <f t="shared" si="20"/>
        <v>8.5744157103208752E-3</v>
      </c>
      <c r="H150" s="4">
        <f t="shared" si="21"/>
        <v>4.2872078551604376E-4</v>
      </c>
    </row>
    <row r="151" spans="1:8">
      <c r="A151" s="5">
        <f t="shared" si="22"/>
        <v>11.583333333333346</v>
      </c>
      <c r="B151" s="4">
        <f t="shared" si="16"/>
        <v>0.94219377543450222</v>
      </c>
      <c r="C151" s="4">
        <f t="shared" si="17"/>
        <v>7.1816862684315856E-3</v>
      </c>
      <c r="D151" s="66">
        <f t="shared" si="23"/>
        <v>4</v>
      </c>
      <c r="E151" s="4">
        <f t="shared" si="18"/>
        <v>0.63488805052001618</v>
      </c>
      <c r="F151" s="4">
        <f t="shared" si="19"/>
        <v>0.598187569297705</v>
      </c>
      <c r="G151" s="4">
        <f t="shared" si="20"/>
        <v>1.7183981809487183E-2</v>
      </c>
      <c r="H151" s="4">
        <f t="shared" si="21"/>
        <v>8.5919909047435918E-4</v>
      </c>
    </row>
    <row r="152" spans="1:8">
      <c r="A152" s="5">
        <f t="shared" si="22"/>
        <v>11.66666666666668</v>
      </c>
      <c r="B152" s="4">
        <f t="shared" si="16"/>
        <v>0.94160012745006239</v>
      </c>
      <c r="C152" s="4">
        <f t="shared" si="17"/>
        <v>7.224494488479693E-3</v>
      </c>
      <c r="D152" s="66">
        <f t="shared" si="23"/>
        <v>2</v>
      </c>
      <c r="E152" s="4">
        <f t="shared" si="18"/>
        <v>0.6328163743803803</v>
      </c>
      <c r="F152" s="4">
        <f t="shared" si="19"/>
        <v>0.5958599787690525</v>
      </c>
      <c r="G152" s="4">
        <f t="shared" si="20"/>
        <v>8.6095742650452931E-3</v>
      </c>
      <c r="H152" s="4">
        <f t="shared" si="21"/>
        <v>4.3047871325226469E-4</v>
      </c>
    </row>
    <row r="153" spans="1:8">
      <c r="A153" s="5">
        <f t="shared" si="22"/>
        <v>11.750000000000014</v>
      </c>
      <c r="B153" s="4">
        <f t="shared" si="16"/>
        <v>0.94100331812182392</v>
      </c>
      <c r="C153" s="4">
        <f t="shared" si="17"/>
        <v>7.2675614807515675E-3</v>
      </c>
      <c r="D153" s="66">
        <f t="shared" si="23"/>
        <v>4</v>
      </c>
      <c r="E153" s="4">
        <f t="shared" si="18"/>
        <v>0.63075145823886369</v>
      </c>
      <c r="F153" s="4">
        <f t="shared" si="19"/>
        <v>0.59353921511294983</v>
      </c>
      <c r="G153" s="4">
        <f t="shared" si="20"/>
        <v>1.725433094828157E-2</v>
      </c>
      <c r="H153" s="4">
        <f t="shared" si="21"/>
        <v>8.627165474140785E-4</v>
      </c>
    </row>
    <row r="154" spans="1:8">
      <c r="A154" s="5">
        <f t="shared" si="22"/>
        <v>11.833333333333348</v>
      </c>
      <c r="B154" s="4">
        <f t="shared" si="16"/>
        <v>0.9404033325791139</v>
      </c>
      <c r="C154" s="4">
        <f t="shared" si="17"/>
        <v>7.3108888095043435E-3</v>
      </c>
      <c r="D154" s="66">
        <f t="shared" si="23"/>
        <v>2</v>
      </c>
      <c r="E154" s="4">
        <f t="shared" si="18"/>
        <v>0.62869328003720482</v>
      </c>
      <c r="F154" s="4">
        <f t="shared" si="19"/>
        <v>0.59122525571708151</v>
      </c>
      <c r="G154" s="4">
        <f t="shared" si="20"/>
        <v>8.6447642118367106E-3</v>
      </c>
      <c r="H154" s="4">
        <f t="shared" si="21"/>
        <v>4.3223821059183557E-4</v>
      </c>
    </row>
    <row r="155" spans="1:8">
      <c r="A155" s="5">
        <f t="shared" si="22"/>
        <v>11.916666666666682</v>
      </c>
      <c r="B155" s="4">
        <f t="shared" si="16"/>
        <v>0.93980015590845356</v>
      </c>
      <c r="C155" s="4">
        <f t="shared" si="17"/>
        <v>7.3544780484509692E-3</v>
      </c>
      <c r="D155" s="66">
        <f t="shared" si="23"/>
        <v>4</v>
      </c>
      <c r="E155" s="4">
        <f t="shared" si="18"/>
        <v>0.62664181778911909</v>
      </c>
      <c r="F155" s="4">
        <f t="shared" si="19"/>
        <v>0.58891807805697083</v>
      </c>
      <c r="G155" s="4">
        <f t="shared" si="20"/>
        <v>1.7324740309623707E-2</v>
      </c>
      <c r="H155" s="4">
        <f t="shared" si="21"/>
        <v>8.6623701548118541E-4</v>
      </c>
    </row>
    <row r="156" spans="1:8">
      <c r="A156" s="5">
        <f t="shared" si="22"/>
        <v>12.000000000000016</v>
      </c>
      <c r="B156" s="4">
        <f t="shared" si="16"/>
        <v>0.93919377315379771</v>
      </c>
      <c r="C156" s="4">
        <f t="shared" si="17"/>
        <v>7.3983307808173551E-3</v>
      </c>
      <c r="D156" s="66">
        <f t="shared" si="23"/>
        <v>2</v>
      </c>
      <c r="E156" s="4">
        <f t="shared" si="18"/>
        <v>0.6245970495800649</v>
      </c>
      <c r="F156" s="4">
        <f t="shared" si="19"/>
        <v>0.5866176596958308</v>
      </c>
      <c r="G156" s="4">
        <f t="shared" si="20"/>
        <v>8.6799829765974099E-3</v>
      </c>
      <c r="H156" s="4">
        <f t="shared" si="21"/>
        <v>4.3399914882987054E-4</v>
      </c>
    </row>
    <row r="157" spans="1:8">
      <c r="A157" s="5">
        <f t="shared" si="22"/>
        <v>12.08333333333335</v>
      </c>
      <c r="B157" s="4">
        <f t="shared" si="16"/>
        <v>0.9385841693167819</v>
      </c>
      <c r="C157" s="4">
        <f t="shared" si="17"/>
        <v>7.4424485993998934E-3</v>
      </c>
      <c r="D157" s="66">
        <f t="shared" si="23"/>
        <v>4</v>
      </c>
      <c r="E157" s="4">
        <f t="shared" si="18"/>
        <v>0.62255895356700852</v>
      </c>
      <c r="F157" s="4">
        <f t="shared" si="19"/>
        <v>0.58432397828441573</v>
      </c>
      <c r="G157" s="4">
        <f t="shared" si="20"/>
        <v>1.7395204695114495E-2</v>
      </c>
      <c r="H157" s="4">
        <f t="shared" si="21"/>
        <v>8.6976023475572475E-4</v>
      </c>
    </row>
    <row r="158" spans="1:8">
      <c r="A158" s="5">
        <f t="shared" si="22"/>
        <v>12.166666666666684</v>
      </c>
      <c r="B158" s="4">
        <f t="shared" si="16"/>
        <v>0.93797132935697314</v>
      </c>
      <c r="C158" s="4">
        <f t="shared" si="17"/>
        <v>7.4868331066232901E-3</v>
      </c>
      <c r="D158" s="66">
        <f t="shared" si="23"/>
        <v>2</v>
      </c>
      <c r="E158" s="4">
        <f t="shared" si="18"/>
        <v>0.62052750797819145</v>
      </c>
      <c r="F158" s="4">
        <f t="shared" si="19"/>
        <v>0.58203701156087395</v>
      </c>
      <c r="G158" s="4">
        <f t="shared" si="20"/>
        <v>8.7152279348680674E-3</v>
      </c>
      <c r="H158" s="4">
        <f t="shared" si="21"/>
        <v>4.3576139674340338E-4</v>
      </c>
    </row>
    <row r="159" spans="1:8">
      <c r="A159" s="5">
        <f t="shared" si="22"/>
        <v>12.250000000000018</v>
      </c>
      <c r="B159" s="4">
        <f t="shared" si="16"/>
        <v>0.93735523819212985</v>
      </c>
      <c r="C159" s="4">
        <f t="shared" si="17"/>
        <v>7.5314859145987839E-3</v>
      </c>
      <c r="D159" s="66">
        <f t="shared" si="23"/>
        <v>4</v>
      </c>
      <c r="E159" s="4">
        <f t="shared" si="18"/>
        <v>0.61850269111289813</v>
      </c>
      <c r="F159" s="4">
        <f t="shared" si="19"/>
        <v>0.57975673735060396</v>
      </c>
      <c r="G159" s="4">
        <f t="shared" si="20"/>
        <v>1.7465718804999281E-2</v>
      </c>
      <c r="H159" s="4">
        <f t="shared" si="21"/>
        <v>8.7328594024996405E-4</v>
      </c>
    </row>
    <row r="160" spans="1:8">
      <c r="A160" s="5">
        <f t="shared" si="22"/>
        <v>12.333333333333352</v>
      </c>
      <c r="B160" s="4">
        <f t="shared" si="16"/>
        <v>0.93673588069846569</v>
      </c>
      <c r="C160" s="4">
        <f t="shared" si="17"/>
        <v>7.5764086451826987E-3</v>
      </c>
      <c r="D160" s="66">
        <f t="shared" si="23"/>
        <v>2</v>
      </c>
      <c r="E160" s="4">
        <f t="shared" si="18"/>
        <v>0.61648448134122313</v>
      </c>
      <c r="F160" s="4">
        <f t="shared" si="19"/>
        <v>0.57748313356610748</v>
      </c>
      <c r="G160" s="4">
        <f t="shared" si="20"/>
        <v>8.7504964111949045E-3</v>
      </c>
      <c r="H160" s="4">
        <f t="shared" si="21"/>
        <v>4.3752482055974527E-4</v>
      </c>
    </row>
    <row r="161" spans="1:8">
      <c r="A161" s="5">
        <f t="shared" si="22"/>
        <v>12.416666666666686</v>
      </c>
      <c r="B161" s="4">
        <f t="shared" si="16"/>
        <v>0.93611324171092347</v>
      </c>
      <c r="C161" s="4">
        <f t="shared" si="17"/>
        <v>7.6216029300353438E-3</v>
      </c>
      <c r="D161" s="66">
        <f t="shared" si="23"/>
        <v>4</v>
      </c>
      <c r="E161" s="4">
        <f t="shared" si="18"/>
        <v>0.61447285710384092</v>
      </c>
      <c r="F161" s="4">
        <f t="shared" si="19"/>
        <v>0.57521617820684956</v>
      </c>
      <c r="G161" s="4">
        <f t="shared" si="20"/>
        <v>1.7536277236900228E-2</v>
      </c>
      <c r="H161" s="4">
        <f t="shared" si="21"/>
        <v>8.7681386184501142E-4</v>
      </c>
    </row>
    <row r="162" spans="1:8">
      <c r="A162" s="5">
        <f t="shared" si="22"/>
        <v>12.50000000000002</v>
      </c>
      <c r="B162" s="4">
        <f t="shared" si="16"/>
        <v>0.93548730602345087</v>
      </c>
      <c r="C162" s="4">
        <f t="shared" si="17"/>
        <v>7.667070410680283E-3</v>
      </c>
      <c r="D162" s="66">
        <f t="shared" si="23"/>
        <v>2</v>
      </c>
      <c r="E162" s="4">
        <f t="shared" si="18"/>
        <v>0.61246779691177511</v>
      </c>
      <c r="F162" s="4">
        <f t="shared" si="19"/>
        <v>0.57295584935911448</v>
      </c>
      <c r="G162" s="4">
        <f t="shared" si="20"/>
        <v>8.7857856784949138E-3</v>
      </c>
      <c r="H162" s="4">
        <f t="shared" si="21"/>
        <v>4.3928928392474574E-4</v>
      </c>
    </row>
    <row r="163" spans="1:8">
      <c r="A163" s="5">
        <f t="shared" si="22"/>
        <v>12.583333333333353</v>
      </c>
      <c r="B163" s="4">
        <f t="shared" si="16"/>
        <v>0.93485805838928782</v>
      </c>
      <c r="C163" s="4">
        <f t="shared" si="17"/>
        <v>7.7128127385639612E-3</v>
      </c>
      <c r="D163" s="66">
        <f t="shared" si="23"/>
        <v>4</v>
      </c>
      <c r="E163" s="4">
        <f t="shared" si="18"/>
        <v>0.61046927934616924</v>
      </c>
      <c r="F163" s="4">
        <f t="shared" si="19"/>
        <v>0.57070212519586749</v>
      </c>
      <c r="G163" s="4">
        <f t="shared" si="20"/>
        <v>1.7606874484544847E-2</v>
      </c>
      <c r="H163" s="4">
        <f t="shared" si="21"/>
        <v>8.8034372422724242E-4</v>
      </c>
    </row>
    <row r="164" spans="1:8">
      <c r="A164" s="5">
        <f t="shared" si="22"/>
        <v>12.666666666666687</v>
      </c>
      <c r="B164" s="4">
        <f t="shared" si="16"/>
        <v>0.93422548352125734</v>
      </c>
      <c r="C164" s="4">
        <f t="shared" si="17"/>
        <v>7.7588315751156746E-3</v>
      </c>
      <c r="D164" s="66">
        <f t="shared" si="23"/>
        <v>2</v>
      </c>
      <c r="E164" s="4">
        <f t="shared" si="18"/>
        <v>0.60847728305805782</v>
      </c>
      <c r="F164" s="4">
        <f t="shared" si="19"/>
        <v>0.56845498397661498</v>
      </c>
      <c r="G164" s="4">
        <f t="shared" si="20"/>
        <v>8.8210929574192715E-3</v>
      </c>
      <c r="H164" s="4">
        <f t="shared" si="21"/>
        <v>4.4105464787096361E-4</v>
      </c>
    </row>
    <row r="165" spans="1:8">
      <c r="A165" s="5">
        <f t="shared" si="22"/>
        <v>12.750000000000021</v>
      </c>
      <c r="B165" s="4">
        <f t="shared" si="16"/>
        <v>0.93358956609206467</v>
      </c>
      <c r="C165" s="4">
        <f t="shared" si="17"/>
        <v>7.8051285918079374E-3</v>
      </c>
      <c r="D165" s="66">
        <f t="shared" si="23"/>
        <v>4</v>
      </c>
      <c r="E165" s="4">
        <f t="shared" si="18"/>
        <v>0.60649178676813797</v>
      </c>
      <c r="F165" s="4">
        <f t="shared" si="19"/>
        <v>0.56621440404726697</v>
      </c>
      <c r="G165" s="4">
        <f t="shared" si="20"/>
        <v>1.767750493649126E-2</v>
      </c>
      <c r="H165" s="4">
        <f t="shared" si="21"/>
        <v>8.8387524682456307E-4</v>
      </c>
    </row>
    <row r="166" spans="1:8">
      <c r="A166" s="5">
        <f t="shared" si="22"/>
        <v>12.833333333333355</v>
      </c>
      <c r="B166" s="4">
        <f t="shared" si="16"/>
        <v>0.93295029073460334</v>
      </c>
      <c r="C166" s="4">
        <f t="shared" si="17"/>
        <v>7.851705470217173E-3</v>
      </c>
      <c r="D166" s="66">
        <f t="shared" si="23"/>
        <v>2</v>
      </c>
      <c r="E166" s="4">
        <f t="shared" si="18"/>
        <v>0.60451276926654296</v>
      </c>
      <c r="F166" s="4">
        <f t="shared" si="19"/>
        <v>0.56398036384000139</v>
      </c>
      <c r="G166" s="4">
        <f t="shared" si="20"/>
        <v>8.8564154157152204E-3</v>
      </c>
      <c r="H166" s="4">
        <f t="shared" si="21"/>
        <v>4.4282077078576103E-4</v>
      </c>
    </row>
    <row r="167" spans="1:8">
      <c r="A167" s="5">
        <f t="shared" si="22"/>
        <v>12.916666666666689</v>
      </c>
      <c r="B167" s="4">
        <f t="shared" si="16"/>
        <v>0.9323076420422679</v>
      </c>
      <c r="C167" s="4">
        <f t="shared" si="17"/>
        <v>7.8985639020847914E-3</v>
      </c>
      <c r="D167" s="66">
        <f t="shared" si="23"/>
        <v>4</v>
      </c>
      <c r="E167" s="4">
        <f t="shared" si="18"/>
        <v>0.60254020941261432</v>
      </c>
      <c r="F167" s="4">
        <f t="shared" si="19"/>
        <v>0.56175284187312879</v>
      </c>
      <c r="G167" s="4">
        <f t="shared" si="20"/>
        <v>1.7748162874850565E-2</v>
      </c>
      <c r="H167" s="4">
        <f t="shared" si="21"/>
        <v>8.8740814374252831E-4</v>
      </c>
    </row>
    <row r="168" spans="1:8">
      <c r="A168" s="5">
        <f t="shared" si="22"/>
        <v>13.000000000000023</v>
      </c>
      <c r="B168" s="4">
        <f t="shared" si="16"/>
        <v>0.93166160456927338</v>
      </c>
      <c r="C168" s="4">
        <f t="shared" si="17"/>
        <v>7.9457055893786595E-3</v>
      </c>
      <c r="D168" s="66">
        <f t="shared" si="23"/>
        <v>2</v>
      </c>
      <c r="E168" s="4">
        <f t="shared" si="18"/>
        <v>0.60057408613467755</v>
      </c>
      <c r="F168" s="4">
        <f t="shared" si="19"/>
        <v>0.55953181675095864</v>
      </c>
      <c r="G168" s="4">
        <f t="shared" si="20"/>
        <v>8.8917501675865769E-3</v>
      </c>
      <c r="H168" s="4">
        <f t="shared" si="21"/>
        <v>4.4458750837932885E-4</v>
      </c>
    </row>
    <row r="169" spans="1:8">
      <c r="A169" s="5">
        <f t="shared" si="22"/>
        <v>13.083333333333357</v>
      </c>
      <c r="B169" s="4">
        <f t="shared" si="16"/>
        <v>0.93101216283098398</v>
      </c>
      <c r="C169" s="4">
        <f t="shared" si="17"/>
        <v>7.993132244354887E-3</v>
      </c>
      <c r="D169" s="66">
        <f t="shared" si="23"/>
        <v>4</v>
      </c>
      <c r="E169" s="4">
        <f t="shared" si="18"/>
        <v>0.59861437842981569</v>
      </c>
      <c r="F169" s="4">
        <f t="shared" si="19"/>
        <v>0.55731726716366781</v>
      </c>
      <c r="G169" s="4">
        <f t="shared" si="20"/>
        <v>1.7818842474006641E-2</v>
      </c>
      <c r="H169" s="4">
        <f t="shared" si="21"/>
        <v>8.9094212370033213E-4</v>
      </c>
    </row>
    <row r="170" spans="1:8">
      <c r="A170" s="5">
        <f t="shared" si="22"/>
        <v>13.166666666666691</v>
      </c>
      <c r="B170" s="4">
        <f t="shared" si="16"/>
        <v>0.93035930130424649</v>
      </c>
      <c r="C170" s="4">
        <f t="shared" si="17"/>
        <v>8.0408455896200399E-3</v>
      </c>
      <c r="D170" s="66">
        <f t="shared" si="23"/>
        <v>2</v>
      </c>
      <c r="E170" s="4">
        <f t="shared" si="18"/>
        <v>0.59666106536364549</v>
      </c>
      <c r="F170" s="4">
        <f t="shared" si="19"/>
        <v>0.55510917188716857</v>
      </c>
      <c r="G170" s="4">
        <f t="shared" si="20"/>
        <v>8.9270942730531443E-3</v>
      </c>
      <c r="H170" s="4">
        <f t="shared" si="21"/>
        <v>4.4635471365265725E-4</v>
      </c>
    </row>
    <row r="171" spans="1:8">
      <c r="A171" s="5">
        <f t="shared" si="22"/>
        <v>13.250000000000025</v>
      </c>
      <c r="B171" s="4">
        <f t="shared" si="16"/>
        <v>0.92970300442773235</v>
      </c>
      <c r="C171" s="4">
        <f t="shared" si="17"/>
        <v>8.0888473581936984E-3</v>
      </c>
      <c r="D171" s="66">
        <f t="shared" si="23"/>
        <v>4</v>
      </c>
      <c r="E171" s="4">
        <f t="shared" si="18"/>
        <v>0.59471412607009422</v>
      </c>
      <c r="F171" s="4">
        <f t="shared" si="19"/>
        <v>0.55290750978297976</v>
      </c>
      <c r="G171" s="4">
        <f t="shared" si="20"/>
        <v>1.7889537799334047E-2</v>
      </c>
      <c r="H171" s="4">
        <f t="shared" si="21"/>
        <v>8.9447688996670239E-4</v>
      </c>
    </row>
    <row r="172" spans="1:8">
      <c r="A172" s="5">
        <f t="shared" si="22"/>
        <v>13.333333333333359</v>
      </c>
      <c r="B172" s="4">
        <f t="shared" si="16"/>
        <v>0.92904325660228737</v>
      </c>
      <c r="C172" s="4">
        <f t="shared" si="17"/>
        <v>8.1371392935714031E-3</v>
      </c>
      <c r="D172" s="66">
        <f t="shared" si="23"/>
        <v>2</v>
      </c>
      <c r="E172" s="4">
        <f t="shared" si="18"/>
        <v>0.59277353975117586</v>
      </c>
      <c r="F172" s="4">
        <f t="shared" si="19"/>
        <v>0.5507122597980979</v>
      </c>
      <c r="G172" s="4">
        <f t="shared" si="20"/>
        <v>8.9624447373092102E-3</v>
      </c>
      <c r="H172" s="4">
        <f t="shared" si="21"/>
        <v>4.4812223686546053E-4</v>
      </c>
    </row>
    <row r="173" spans="1:8">
      <c r="A173" s="5">
        <f t="shared" si="22"/>
        <v>13.416666666666693</v>
      </c>
      <c r="B173" s="4">
        <f t="shared" si="16"/>
        <v>0.92838004219128911</v>
      </c>
      <c r="C173" s="4">
        <f t="shared" si="17"/>
        <v>8.1857231497879969E-3</v>
      </c>
      <c r="D173" s="66">
        <f t="shared" si="23"/>
        <v>4</v>
      </c>
      <c r="E173" s="4">
        <f t="shared" si="18"/>
        <v>0.59083928567676991</v>
      </c>
      <c r="F173" s="4">
        <f t="shared" si="19"/>
        <v>0.54852340096487073</v>
      </c>
      <c r="G173" s="4">
        <f t="shared" si="20"/>
        <v>1.7960242805914347E-2</v>
      </c>
      <c r="H173" s="4">
        <f t="shared" si="21"/>
        <v>8.9801214029571743E-4</v>
      </c>
    </row>
    <row r="174" spans="1:8">
      <c r="A174" s="5">
        <f t="shared" si="22"/>
        <v>13.500000000000027</v>
      </c>
      <c r="B174" s="4">
        <f t="shared" si="16"/>
        <v>0.92771334552101059</v>
      </c>
      <c r="C174" s="4">
        <f t="shared" si="17"/>
        <v>8.2346006914813079E-3</v>
      </c>
      <c r="D174" s="66">
        <f t="shared" si="23"/>
        <v>2</v>
      </c>
      <c r="E174" s="4">
        <f t="shared" si="18"/>
        <v>0.58891134318439897</v>
      </c>
      <c r="F174" s="4">
        <f t="shared" si="19"/>
        <v>0.54634091240087079</v>
      </c>
      <c r="G174" s="4">
        <f t="shared" si="20"/>
        <v>8.9977985100814784E-3</v>
      </c>
      <c r="H174" s="4">
        <f t="shared" si="21"/>
        <v>4.4988992550407396E-4</v>
      </c>
    </row>
    <row r="175" spans="1:8">
      <c r="A175" s="5">
        <f t="shared" si="22"/>
        <v>13.583333333333361</v>
      </c>
      <c r="B175" s="4">
        <f t="shared" si="16"/>
        <v>0.92704315088099387</v>
      </c>
      <c r="C175" s="4">
        <f t="shared" si="17"/>
        <v>8.2837736939562565E-3</v>
      </c>
      <c r="D175" s="66">
        <f t="shared" si="23"/>
        <v>4</v>
      </c>
      <c r="E175" s="4">
        <f t="shared" si="18"/>
        <v>0.58698969167900872</v>
      </c>
      <c r="F175" s="4">
        <f t="shared" si="19"/>
        <v>0.54416477330877133</v>
      </c>
      <c r="G175" s="4">
        <f t="shared" si="20"/>
        <v>1.803095133725148E-2</v>
      </c>
      <c r="H175" s="4">
        <f t="shared" si="21"/>
        <v>9.0154756686257407E-4</v>
      </c>
    </row>
    <row r="176" spans="1:8">
      <c r="A176" s="5">
        <f t="shared" si="22"/>
        <v>13.666666666666694</v>
      </c>
      <c r="B176" s="4">
        <f t="shared" si="16"/>
        <v>0.92636944252442877</v>
      </c>
      <c r="C176" s="4">
        <f t="shared" si="17"/>
        <v>8.3332439432493525E-3</v>
      </c>
      <c r="D176" s="66">
        <f t="shared" si="23"/>
        <v>2</v>
      </c>
      <c r="E176" s="4">
        <f t="shared" si="18"/>
        <v>0.58507431063274762</v>
      </c>
      <c r="F176" s="4">
        <f t="shared" si="19"/>
        <v>0.54199496297622285</v>
      </c>
      <c r="G176" s="4">
        <f t="shared" si="20"/>
        <v>9.0331524849865327E-3</v>
      </c>
      <c r="H176" s="4">
        <f t="shared" si="21"/>
        <v>4.5165762424932666E-4</v>
      </c>
    </row>
    <row r="177" spans="1:8">
      <c r="A177" s="5">
        <f t="shared" si="22"/>
        <v>13.750000000000028</v>
      </c>
      <c r="B177" s="4">
        <f t="shared" si="16"/>
        <v>0.92569220466854252</v>
      </c>
      <c r="C177" s="4">
        <f t="shared" si="17"/>
        <v>8.3830132361935369E-3</v>
      </c>
      <c r="D177" s="66">
        <f t="shared" si="23"/>
        <v>4</v>
      </c>
      <c r="E177" s="4">
        <f t="shared" si="18"/>
        <v>0.58316517958474801</v>
      </c>
      <c r="F177" s="4">
        <f t="shared" si="19"/>
        <v>0.53983146077573185</v>
      </c>
      <c r="G177" s="4">
        <f t="shared" si="20"/>
        <v>1.8101657123986609E-2</v>
      </c>
      <c r="H177" s="4">
        <f t="shared" si="21"/>
        <v>9.0508285619933049E-4</v>
      </c>
    </row>
    <row r="178" spans="1:8">
      <c r="A178" s="5">
        <f t="shared" si="22"/>
        <v>13.833333333333362</v>
      </c>
      <c r="B178" s="4">
        <f t="shared" si="16"/>
        <v>0.92501142149499482</v>
      </c>
      <c r="C178" s="4">
        <f t="shared" si="17"/>
        <v>8.4330833804834634E-3</v>
      </c>
      <c r="D178" s="66">
        <f t="shared" si="23"/>
        <v>2</v>
      </c>
      <c r="E178" s="4">
        <f t="shared" si="18"/>
        <v>0.58126227814090647</v>
      </c>
      <c r="F178" s="4">
        <f t="shared" si="19"/>
        <v>0.53767424616453896</v>
      </c>
      <c r="G178" s="4">
        <f t="shared" si="20"/>
        <v>9.0685034988882956E-3</v>
      </c>
      <c r="H178" s="4">
        <f t="shared" si="21"/>
        <v>4.5342517494441478E-4</v>
      </c>
    </row>
    <row r="179" spans="1:8">
      <c r="A179" s="5">
        <f t="shared" si="22"/>
        <v>13.916666666666696</v>
      </c>
      <c r="B179" s="4">
        <f t="shared" si="16"/>
        <v>0.92432707715028273</v>
      </c>
      <c r="C179" s="4">
        <f t="shared" si="17"/>
        <v>8.4834561947411576E-3</v>
      </c>
      <c r="D179" s="66">
        <f t="shared" si="23"/>
        <v>4</v>
      </c>
      <c r="E179" s="4">
        <f t="shared" si="18"/>
        <v>0.5793655859736675</v>
      </c>
      <c r="F179" s="4">
        <f t="shared" si="19"/>
        <v>0.53552329868450088</v>
      </c>
      <c r="G179" s="4">
        <f t="shared" si="20"/>
        <v>1.8172353782612994E-2</v>
      </c>
      <c r="H179" s="4">
        <f t="shared" si="21"/>
        <v>9.086176891306497E-4</v>
      </c>
    </row>
    <row r="180" spans="1:8">
      <c r="A180" s="5">
        <f t="shared" si="22"/>
        <v>14.00000000000003</v>
      </c>
      <c r="B180" s="4">
        <f t="shared" si="16"/>
        <v>0.9236391557461523</v>
      </c>
      <c r="C180" s="4">
        <f t="shared" si="17"/>
        <v>8.5341335085820629E-3</v>
      </c>
      <c r="D180" s="66">
        <f t="shared" si="23"/>
        <v>2</v>
      </c>
      <c r="E180" s="4">
        <f t="shared" si="18"/>
        <v>0.57747508282180515</v>
      </c>
      <c r="F180" s="4">
        <f t="shared" si="19"/>
        <v>0.53337859796197151</v>
      </c>
      <c r="G180" s="4">
        <f t="shared" si="20"/>
        <v>9.1038483312555624E-3</v>
      </c>
      <c r="H180" s="4">
        <f t="shared" si="21"/>
        <v>4.5519241656277813E-4</v>
      </c>
    </row>
    <row r="181" spans="1:8">
      <c r="A181" s="5">
        <f t="shared" si="22"/>
        <v>14.083333333333364</v>
      </c>
      <c r="B181" s="4">
        <f t="shared" si="16"/>
        <v>0.92294764136001972</v>
      </c>
      <c r="C181" s="4">
        <f t="shared" si="17"/>
        <v>8.5851171626815086E-3</v>
      </c>
      <c r="D181" s="66">
        <f t="shared" si="23"/>
        <v>4</v>
      </c>
      <c r="E181" s="4">
        <f t="shared" si="18"/>
        <v>0.57559074849020708</v>
      </c>
      <c r="F181" s="4">
        <f t="shared" si="19"/>
        <v>0.53124012370768492</v>
      </c>
      <c r="G181" s="4">
        <f t="shared" si="20"/>
        <v>1.8243034814191574E-2</v>
      </c>
      <c r="H181" s="4">
        <f t="shared" si="21"/>
        <v>9.1215174070957868E-4</v>
      </c>
    </row>
    <row r="182" spans="1:8">
      <c r="A182" s="5">
        <f t="shared" si="22"/>
        <v>14.166666666666698</v>
      </c>
      <c r="B182" s="4">
        <f t="shared" si="16"/>
        <v>0.92225251803540043</v>
      </c>
      <c r="C182" s="4">
        <f t="shared" si="17"/>
        <v>8.6364090088415467E-3</v>
      </c>
      <c r="D182" s="66">
        <f t="shared" si="23"/>
        <v>2</v>
      </c>
      <c r="E182" s="4">
        <f t="shared" si="18"/>
        <v>0.57371256284965899</v>
      </c>
      <c r="F182" s="4">
        <f t="shared" si="19"/>
        <v>0.52910785571664098</v>
      </c>
      <c r="G182" s="4">
        <f t="shared" si="20"/>
        <v>9.139183703520062E-3</v>
      </c>
      <c r="H182" s="4">
        <f t="shared" si="21"/>
        <v>4.5695918517600311E-4</v>
      </c>
    </row>
    <row r="183" spans="1:8">
      <c r="A183" s="5">
        <f t="shared" si="22"/>
        <v>14.250000000000032</v>
      </c>
      <c r="B183" s="4">
        <f t="shared" si="16"/>
        <v>0.92155376978234615</v>
      </c>
      <c r="C183" s="4">
        <f t="shared" si="17"/>
        <v>8.6880109100582262E-3</v>
      </c>
      <c r="D183" s="66">
        <f t="shared" si="23"/>
        <v>4</v>
      </c>
      <c r="E183" s="4">
        <f t="shared" si="18"/>
        <v>0.57184050583662882</v>
      </c>
      <c r="F183" s="4">
        <f t="shared" si="19"/>
        <v>0.52698177386798906</v>
      </c>
      <c r="G183" s="4">
        <f t="shared" si="20"/>
        <v>1.8313693603067702E-2</v>
      </c>
      <c r="H183" s="4">
        <f t="shared" si="21"/>
        <v>9.1568468015338516E-4</v>
      </c>
    </row>
    <row r="184" spans="1:8">
      <c r="A184" s="5">
        <f t="shared" si="22"/>
        <v>14.333333333333366</v>
      </c>
      <c r="B184" s="4">
        <f t="shared" si="16"/>
        <v>0.92085138057789118</v>
      </c>
      <c r="C184" s="4">
        <f t="shared" si="17"/>
        <v>8.7399247405892631E-3</v>
      </c>
      <c r="D184" s="66">
        <f t="shared" si="23"/>
        <v>2</v>
      </c>
      <c r="E184" s="4">
        <f t="shared" si="18"/>
        <v>0.56997455745305359</v>
      </c>
      <c r="F184" s="4">
        <f t="shared" si="19"/>
        <v>0.52486185812491692</v>
      </c>
      <c r="G184" s="4">
        <f t="shared" si="20"/>
        <v>9.1745062784352252E-3</v>
      </c>
      <c r="H184" s="4">
        <f t="shared" si="21"/>
        <v>4.587253139217613E-4</v>
      </c>
    </row>
    <row r="185" spans="1:8">
      <c r="A185" s="5">
        <f t="shared" si="22"/>
        <v>14.4166666666667</v>
      </c>
      <c r="B185" s="4">
        <f t="shared" si="16"/>
        <v>0.92014533436650647</v>
      </c>
      <c r="C185" s="4">
        <f t="shared" si="17"/>
        <v>8.7921523860221007E-3</v>
      </c>
      <c r="D185" s="66">
        <f t="shared" si="23"/>
        <v>4</v>
      </c>
      <c r="E185" s="4">
        <f t="shared" si="18"/>
        <v>0.56811469776612467</v>
      </c>
      <c r="F185" s="4">
        <f t="shared" si="19"/>
        <v>0.52274808853453758</v>
      </c>
      <c r="G185" s="4">
        <f t="shared" si="20"/>
        <v>1.8384323415589706E-2</v>
      </c>
      <c r="H185" s="4">
        <f t="shared" si="21"/>
        <v>9.1921617077948532E-4</v>
      </c>
    </row>
    <row r="186" spans="1:8">
      <c r="A186" s="5">
        <f t="shared" si="22"/>
        <v>14.500000000000034</v>
      </c>
      <c r="B186" s="4">
        <f t="shared" si="16"/>
        <v>0.91943561506056359</v>
      </c>
      <c r="C186" s="4">
        <f t="shared" si="17"/>
        <v>8.8446957433424098E-3</v>
      </c>
      <c r="D186" s="66">
        <f t="shared" si="23"/>
        <v>2</v>
      </c>
      <c r="E186" s="4">
        <f t="shared" si="18"/>
        <v>0.56626090690807573</v>
      </c>
      <c r="F186" s="4">
        <f t="shared" si="19"/>
        <v>0.52064044522777919</v>
      </c>
      <c r="G186" s="4">
        <f t="shared" si="20"/>
        <v>9.2098126594360712E-3</v>
      </c>
      <c r="H186" s="4">
        <f t="shared" si="21"/>
        <v>4.6049063297180358E-4</v>
      </c>
    </row>
    <row r="187" spans="1:8">
      <c r="A187" s="5">
        <f t="shared" si="22"/>
        <v>14.583333333333368</v>
      </c>
      <c r="B187" s="4">
        <f t="shared" si="16"/>
        <v>0.91872220654080694</v>
      </c>
      <c r="C187" s="4">
        <f t="shared" si="17"/>
        <v>8.8975567210029839E-3</v>
      </c>
      <c r="D187" s="66">
        <f t="shared" si="23"/>
        <v>4</v>
      </c>
      <c r="E187" s="4">
        <f t="shared" si="18"/>
        <v>0.56441316507596972</v>
      </c>
      <c r="F187" s="4">
        <f t="shared" si="19"/>
        <v>0.51853890841927563</v>
      </c>
      <c r="G187" s="4">
        <f t="shared" si="20"/>
        <v>1.8454917398829904E-2</v>
      </c>
      <c r="H187" s="4">
        <f t="shared" si="21"/>
        <v>9.2274586994149524E-4</v>
      </c>
    </row>
    <row r="188" spans="1:8">
      <c r="A188" s="5">
        <f t="shared" si="22"/>
        <v>14.666666666666702</v>
      </c>
      <c r="B188" s="4">
        <f t="shared" si="16"/>
        <v>0.91800509265683405</v>
      </c>
      <c r="C188" s="4">
        <f t="shared" si="17"/>
        <v>8.9507372389930583E-3</v>
      </c>
      <c r="D188" s="66">
        <f t="shared" si="23"/>
        <v>2</v>
      </c>
      <c r="E188" s="4">
        <f t="shared" si="18"/>
        <v>0.56257145253148799</v>
      </c>
      <c r="F188" s="4">
        <f t="shared" si="19"/>
        <v>0.51644345840725836</v>
      </c>
      <c r="G188" s="4">
        <f t="shared" si="20"/>
        <v>9.2450993900004205E-3</v>
      </c>
      <c r="H188" s="4">
        <f t="shared" si="21"/>
        <v>4.6225496950002106E-4</v>
      </c>
    </row>
    <row r="189" spans="1:8">
      <c r="A189" s="5">
        <f t="shared" si="22"/>
        <v>14.750000000000036</v>
      </c>
      <c r="B189" s="4">
        <f t="shared" si="16"/>
        <v>0.91728425722758578</v>
      </c>
      <c r="C189" s="4">
        <f t="shared" si="17"/>
        <v>9.0042392289080564E-3</v>
      </c>
      <c r="D189" s="66">
        <f t="shared" si="23"/>
        <v>4</v>
      </c>
      <c r="E189" s="4">
        <f t="shared" si="18"/>
        <v>0.56073574960071904</v>
      </c>
      <c r="F189" s="4">
        <f t="shared" si="19"/>
        <v>0.51435407557344903</v>
      </c>
      <c r="G189" s="4">
        <f t="shared" si="20"/>
        <v>1.8525468579308757E-2</v>
      </c>
      <c r="H189" s="4">
        <f t="shared" si="21"/>
        <v>9.2627342896543785E-4</v>
      </c>
    </row>
    <row r="190" spans="1:8">
      <c r="A190" s="5">
        <f t="shared" si="22"/>
        <v>14.833333333333369</v>
      </c>
      <c r="B190" s="4">
        <f t="shared" si="16"/>
        <v>0.91655968404184673</v>
      </c>
      <c r="C190" s="4">
        <f t="shared" si="17"/>
        <v>9.0580646340197284E-3</v>
      </c>
      <c r="D190" s="66">
        <f t="shared" si="23"/>
        <v>2</v>
      </c>
      <c r="E190" s="4">
        <f t="shared" si="18"/>
        <v>0.55890603667394845</v>
      </c>
      <c r="F190" s="4">
        <f t="shared" si="19"/>
        <v>0.51227074038295495</v>
      </c>
      <c r="G190" s="4">
        <f t="shared" si="20"/>
        <v>9.2803629530118937E-3</v>
      </c>
      <c r="H190" s="4">
        <f t="shared" si="21"/>
        <v>4.6401814765059473E-4</v>
      </c>
    </row>
    <row r="191" spans="1:8">
      <c r="A191" s="5">
        <f t="shared" si="22"/>
        <v>14.916666666666703</v>
      </c>
      <c r="B191" s="4">
        <f t="shared" si="16"/>
        <v>0.91583135685875128</v>
      </c>
      <c r="C191" s="4">
        <f t="shared" si="17"/>
        <v>9.1122154093467456E-3</v>
      </c>
      <c r="D191" s="66">
        <f t="shared" si="23"/>
        <v>4</v>
      </c>
      <c r="E191" s="4">
        <f t="shared" si="18"/>
        <v>0.55708229420544941</v>
      </c>
      <c r="F191" s="4">
        <f t="shared" si="19"/>
        <v>0.51019343338416279</v>
      </c>
      <c r="G191" s="4">
        <f t="shared" si="20"/>
        <v>1.8595969861722763E-2</v>
      </c>
      <c r="H191" s="4">
        <f t="shared" si="21"/>
        <v>9.2979849308613824E-4</v>
      </c>
    </row>
    <row r="192" spans="1:8">
      <c r="A192" s="5">
        <f t="shared" si="22"/>
        <v>15.000000000000037</v>
      </c>
      <c r="B192" s="4">
        <f t="shared" si="16"/>
        <v>0.91509925940830383</v>
      </c>
      <c r="C192" s="4">
        <f t="shared" si="17"/>
        <v>9.1666935217257217E-3</v>
      </c>
      <c r="D192" s="66">
        <f t="shared" si="23"/>
        <v>2</v>
      </c>
      <c r="E192" s="4">
        <f t="shared" si="18"/>
        <v>0.5552645027132741</v>
      </c>
      <c r="F192" s="4">
        <f t="shared" si="19"/>
        <v>0.50812213520863725</v>
      </c>
      <c r="G192" s="4">
        <f t="shared" si="20"/>
        <v>9.3155997701249126E-3</v>
      </c>
      <c r="H192" s="4">
        <f t="shared" si="21"/>
        <v>4.6577998850624565E-4</v>
      </c>
    </row>
    <row r="193" spans="1:8">
      <c r="A193" s="5">
        <f t="shared" si="22"/>
        <v>15.083333333333371</v>
      </c>
      <c r="B193" s="4">
        <f t="shared" si="16"/>
        <v>0.91436337539190349</v>
      </c>
      <c r="C193" s="4">
        <f t="shared" si="17"/>
        <v>9.2215009498826262E-3</v>
      </c>
      <c r="D193" s="66">
        <f t="shared" si="23"/>
        <v>4</v>
      </c>
      <c r="E193" s="4">
        <f t="shared" si="18"/>
        <v>0.55345264277904516</v>
      </c>
      <c r="F193" s="4">
        <f t="shared" si="19"/>
        <v>0.50605682657101714</v>
      </c>
      <c r="G193" s="4">
        <f t="shared" si="20"/>
        <v>1.8666414027676888E-2</v>
      </c>
      <c r="H193" s="4">
        <f t="shared" si="21"/>
        <v>9.3332070138384441E-4</v>
      </c>
    </row>
    <row r="194" spans="1:8">
      <c r="A194" s="5">
        <f t="shared" si="22"/>
        <v>15.166666666666705</v>
      </c>
      <c r="B194" s="4">
        <f t="shared" si="16"/>
        <v>0.91362368848288233</v>
      </c>
      <c r="C194" s="4">
        <f t="shared" si="17"/>
        <v>9.2766396845046679E-3</v>
      </c>
      <c r="D194" s="66">
        <f t="shared" si="23"/>
        <v>2</v>
      </c>
      <c r="E194" s="4">
        <f t="shared" si="18"/>
        <v>0.55164669504774888</v>
      </c>
      <c r="F194" s="4">
        <f t="shared" si="19"/>
        <v>0.50399748826891611</v>
      </c>
      <c r="G194" s="4">
        <f t="shared" si="20"/>
        <v>9.3508062011322061E-3</v>
      </c>
      <c r="H194" s="4">
        <f t="shared" si="21"/>
        <v>4.6754031005661034E-4</v>
      </c>
    </row>
    <row r="195" spans="1:8">
      <c r="A195" s="5">
        <f t="shared" si="22"/>
        <v>15.250000000000039</v>
      </c>
      <c r="B195" s="4">
        <f t="shared" si="16"/>
        <v>0.91288018232705059</v>
      </c>
      <c r="C195" s="4">
        <f t="shared" si="17"/>
        <v>9.3321117283126018E-3</v>
      </c>
      <c r="D195" s="66">
        <f t="shared" si="23"/>
        <v>4</v>
      </c>
      <c r="E195" s="4">
        <f t="shared" si="18"/>
        <v>0.54984664022752761</v>
      </c>
      <c r="F195" s="4">
        <f t="shared" si="19"/>
        <v>0.50194410118282162</v>
      </c>
      <c r="G195" s="4">
        <f t="shared" si="20"/>
        <v>1.873679373442215E-2</v>
      </c>
      <c r="H195" s="4">
        <f t="shared" si="21"/>
        <v>9.3683968672110757E-4</v>
      </c>
    </row>
    <row r="196" spans="1:8">
      <c r="A196" s="5">
        <f t="shared" si="22"/>
        <v>15.333333333333373</v>
      </c>
      <c r="B196" s="4">
        <f t="shared" si="16"/>
        <v>0.91213284054325228</v>
      </c>
      <c r="C196" s="4">
        <f t="shared" si="17"/>
        <v>9.3879190961334621E-3</v>
      </c>
      <c r="D196" s="66">
        <f t="shared" si="23"/>
        <v>2</v>
      </c>
      <c r="E196" s="4">
        <f t="shared" si="18"/>
        <v>0.54805245908947442</v>
      </c>
      <c r="F196" s="4">
        <f t="shared" si="19"/>
        <v>0.49989664627599684</v>
      </c>
      <c r="G196" s="4">
        <f t="shared" si="20"/>
        <v>9.3859785433350103E-3</v>
      </c>
      <c r="H196" s="4">
        <f t="shared" si="21"/>
        <v>4.6929892716675054E-4</v>
      </c>
    </row>
    <row r="197" spans="1:8">
      <c r="A197" s="5">
        <f t="shared" si="22"/>
        <v>15.416666666666707</v>
      </c>
      <c r="B197" s="4">
        <f t="shared" si="16"/>
        <v>0.91138164672393163</v>
      </c>
      <c r="C197" s="4">
        <f t="shared" si="17"/>
        <v>9.4440638149737629E-3</v>
      </c>
      <c r="D197" s="66">
        <f t="shared" si="23"/>
        <v>4</v>
      </c>
      <c r="E197" s="4">
        <f t="shared" si="18"/>
        <v>0.54626413246742744</v>
      </c>
      <c r="F197" s="4">
        <f t="shared" si="19"/>
        <v>0.49785510459438392</v>
      </c>
      <c r="G197" s="4">
        <f t="shared" si="20"/>
        <v>1.8807101513599198E-2</v>
      </c>
      <c r="H197" s="4">
        <f t="shared" si="21"/>
        <v>9.4035507567995994E-4</v>
      </c>
    </row>
    <row r="198" spans="1:8">
      <c r="A198" s="5">
        <f t="shared" si="22"/>
        <v>15.500000000000041</v>
      </c>
      <c r="B198" s="4">
        <f t="shared" si="16"/>
        <v>0.91062658443570788</v>
      </c>
      <c r="C198" s="4">
        <f t="shared" si="17"/>
        <v>9.5005479240930953E-3</v>
      </c>
      <c r="D198" s="66">
        <f t="shared" si="23"/>
        <v>2</v>
      </c>
      <c r="E198" s="4">
        <f t="shared" si="18"/>
        <v>0.54448164125776488</v>
      </c>
      <c r="F198" s="4">
        <f t="shared" si="19"/>
        <v>0.49581945726650684</v>
      </c>
      <c r="G198" s="4">
        <f t="shared" si="20"/>
        <v>9.4211130309165541E-3</v>
      </c>
      <c r="H198" s="4">
        <f t="shared" si="21"/>
        <v>4.7105565154582772E-4</v>
      </c>
    </row>
    <row r="199" spans="1:8">
      <c r="A199" s="5">
        <f t="shared" si="22"/>
        <v>15.583333333333375</v>
      </c>
      <c r="B199" s="4">
        <f t="shared" si="16"/>
        <v>0.90986763721996011</v>
      </c>
      <c r="C199" s="4">
        <f t="shared" si="17"/>
        <v>9.5573734750782086E-3</v>
      </c>
      <c r="D199" s="66">
        <f t="shared" si="23"/>
        <v>4</v>
      </c>
      <c r="E199" s="4">
        <f t="shared" si="18"/>
        <v>0.54270496641920141</v>
      </c>
      <c r="F199" s="4">
        <f t="shared" si="19"/>
        <v>0.4937896855033766</v>
      </c>
      <c r="G199" s="4">
        <f t="shared" si="20"/>
        <v>1.8877329769988727E-2</v>
      </c>
      <c r="H199" s="4">
        <f t="shared" si="21"/>
        <v>9.4386648849943645E-4</v>
      </c>
    </row>
    <row r="200" spans="1:8">
      <c r="A200" s="5">
        <f t="shared" si="22"/>
        <v>15.666666666666709</v>
      </c>
      <c r="B200" s="4">
        <f t="shared" si="16"/>
        <v>0.90910478859342458</v>
      </c>
      <c r="C200" s="4">
        <f t="shared" si="17"/>
        <v>9.6145425319175415E-3</v>
      </c>
      <c r="D200" s="66">
        <f t="shared" si="23"/>
        <v>2</v>
      </c>
      <c r="E200" s="4">
        <f t="shared" si="18"/>
        <v>0.54093408897258444</v>
      </c>
      <c r="F200" s="4">
        <f t="shared" si="19"/>
        <v>0.4917657705983981</v>
      </c>
      <c r="G200" s="4">
        <f t="shared" si="20"/>
        <v>9.456205834319005E-3</v>
      </c>
      <c r="H200" s="4">
        <f t="shared" si="21"/>
        <v>4.7281029171595027E-4</v>
      </c>
    </row>
    <row r="201" spans="1:8">
      <c r="A201" s="5">
        <f t="shared" si="22"/>
        <v>15.750000000000043</v>
      </c>
      <c r="B201" s="4">
        <f t="shared" si="16"/>
        <v>0.9083380220487981</v>
      </c>
      <c r="C201" s="4">
        <f t="shared" si="17"/>
        <v>9.6720571710761632E-3</v>
      </c>
      <c r="D201" s="66">
        <f t="shared" si="23"/>
        <v>4</v>
      </c>
      <c r="E201" s="4">
        <f t="shared" si="18"/>
        <v>0.53916899000069107</v>
      </c>
      <c r="F201" s="4">
        <f t="shared" si="19"/>
        <v>0.48974769392727591</v>
      </c>
      <c r="G201" s="4">
        <f t="shared" si="20"/>
        <v>1.8947470780269291E-2</v>
      </c>
      <c r="H201" s="4">
        <f t="shared" si="21"/>
        <v>9.4737353901346456E-4</v>
      </c>
    </row>
    <row r="202" spans="1:8">
      <c r="A202" s="5">
        <f t="shared" si="22"/>
        <v>15.833333333333377</v>
      </c>
      <c r="B202" s="4">
        <f t="shared" si="16"/>
        <v>0.90756732105535576</v>
      </c>
      <c r="C202" s="4">
        <f t="shared" si="17"/>
        <v>9.7299194815712118E-3</v>
      </c>
      <c r="D202" s="66">
        <f t="shared" si="23"/>
        <v>2</v>
      </c>
      <c r="E202" s="4">
        <f t="shared" si="18"/>
        <v>0.53740965064802704</v>
      </c>
      <c r="F202" s="4">
        <f t="shared" si="19"/>
        <v>0.48773543694792454</v>
      </c>
      <c r="G202" s="4">
        <f t="shared" si="20"/>
        <v>9.491253059624517E-3</v>
      </c>
      <c r="H202" s="4">
        <f t="shared" si="21"/>
        <v>4.7456265298122588E-4</v>
      </c>
    </row>
    <row r="203" spans="1:8">
      <c r="A203" s="5">
        <f t="shared" si="22"/>
        <v>15.91666666666671</v>
      </c>
      <c r="B203" s="4">
        <f t="shared" si="16"/>
        <v>0.90679266905957612</v>
      </c>
      <c r="C203" s="4">
        <f t="shared" si="17"/>
        <v>9.7881315650477606E-3</v>
      </c>
      <c r="D203" s="66">
        <f t="shared" si="23"/>
        <v>4</v>
      </c>
      <c r="E203" s="4">
        <f t="shared" si="18"/>
        <v>0.53565605212062428</v>
      </c>
      <c r="F203" s="4">
        <f t="shared" si="19"/>
        <v>0.48572898120037633</v>
      </c>
      <c r="G203" s="4">
        <f t="shared" si="20"/>
        <v>1.9017516691783573E-2</v>
      </c>
      <c r="H203" s="4">
        <f t="shared" si="21"/>
        <v>9.508758345891787E-4</v>
      </c>
    </row>
    <row r="204" spans="1:8">
      <c r="A204" s="5">
        <f t="shared" si="22"/>
        <v>16.000000000000043</v>
      </c>
      <c r="B204" s="4">
        <f t="shared" si="16"/>
        <v>0.90601404948577913</v>
      </c>
      <c r="C204" s="4">
        <f t="shared" si="17"/>
        <v>9.8466955358551562E-3</v>
      </c>
      <c r="D204" s="66">
        <f t="shared" si="23"/>
        <v>2</v>
      </c>
      <c r="E204" s="4">
        <f t="shared" si="18"/>
        <v>0.53390817568584026</v>
      </c>
      <c r="F204" s="4">
        <f t="shared" si="19"/>
        <v>0.48372830830669294</v>
      </c>
      <c r="G204" s="4">
        <f t="shared" si="20"/>
        <v>9.5262507479405602E-3</v>
      </c>
      <c r="H204" s="4">
        <f t="shared" si="21"/>
        <v>4.7631253739702803E-4</v>
      </c>
    </row>
    <row r="205" spans="1:8">
      <c r="A205" s="5">
        <f t="shared" si="22"/>
        <v>16.083333333333375</v>
      </c>
      <c r="B205" s="4">
        <f t="shared" ref="B205:B252" si="24">((B$8^A205)*B$9^((B$5^B$7)*((B$5^A205)-1)))^1.05</f>
        <v>0.9052314457367725</v>
      </c>
      <c r="C205" s="4">
        <f t="shared" ref="C205:C252" si="25">B$3+B$4*(B$5^(B$7+A205))</f>
        <v>9.9056135211238218E-3</v>
      </c>
      <c r="D205" s="66">
        <f t="shared" si="23"/>
        <v>4</v>
      </c>
      <c r="E205" s="4">
        <f t="shared" ref="E205:E252" si="26">(1+B$6)^-A205</f>
        <v>0.53216600267215874</v>
      </c>
      <c r="F205" s="4">
        <f t="shared" ref="F205:F251" si="27">B205*E205</f>
        <v>0.48173339997087739</v>
      </c>
      <c r="G205" s="4">
        <f t="shared" ref="G205:G252" si="28">B205*C205*D205*E205</f>
        <v>1.9087459521313892E-2</v>
      </c>
      <c r="H205" s="4">
        <f t="shared" ref="H205:H252" si="29">G205*0.05</f>
        <v>9.5437297606569462E-4</v>
      </c>
    </row>
    <row r="206" spans="1:8">
      <c r="A206" s="5">
        <f t="shared" ref="A206:A252" si="30">A205+1/12</f>
        <v>16.166666666666707</v>
      </c>
      <c r="B206" s="4">
        <f t="shared" si="24"/>
        <v>0.90444484119450996</v>
      </c>
      <c r="C206" s="4">
        <f t="shared" si="25"/>
        <v>9.9648876608425183E-3</v>
      </c>
      <c r="D206" s="66">
        <f t="shared" si="23"/>
        <v>2</v>
      </c>
      <c r="E206" s="4">
        <f t="shared" si="26"/>
        <v>0.53042951446898923</v>
      </c>
      <c r="F206" s="4">
        <f t="shared" si="27"/>
        <v>0.47974423797878596</v>
      </c>
      <c r="G206" s="4">
        <f t="shared" si="28"/>
        <v>9.5611948747902024E-3</v>
      </c>
      <c r="H206" s="4">
        <f t="shared" si="29"/>
        <v>4.7805974373951016E-4</v>
      </c>
    </row>
    <row r="207" spans="1:8">
      <c r="A207" s="5">
        <f t="shared" si="30"/>
        <v>16.250000000000039</v>
      </c>
      <c r="B207" s="4">
        <f t="shared" si="24"/>
        <v>0.90365421922076106</v>
      </c>
      <c r="C207" s="4">
        <f t="shared" si="25"/>
        <v>1.0024520107936048E-2</v>
      </c>
      <c r="D207" s="66">
        <f t="shared" ref="D207:D251" si="31">IF(D206=4,2,4)</f>
        <v>4</v>
      </c>
      <c r="E207" s="4">
        <f t="shared" si="26"/>
        <v>0.52869869252646873</v>
      </c>
      <c r="F207" s="4">
        <f t="shared" si="27"/>
        <v>0.47776080419804334</v>
      </c>
      <c r="G207" s="4">
        <f t="shared" si="28"/>
        <v>1.9157291153867929E-2</v>
      </c>
      <c r="H207" s="4">
        <f t="shared" si="29"/>
        <v>9.5786455769339646E-4</v>
      </c>
    </row>
    <row r="208" spans="1:8">
      <c r="A208" s="5">
        <f t="shared" si="30"/>
        <v>16.333333333333371</v>
      </c>
      <c r="B208" s="4">
        <f t="shared" si="24"/>
        <v>0.90285956315778926</v>
      </c>
      <c r="C208" s="4">
        <f t="shared" si="25"/>
        <v>1.0084513028343471E-2</v>
      </c>
      <c r="D208" s="66">
        <f t="shared" si="31"/>
        <v>2</v>
      </c>
      <c r="E208" s="4">
        <f t="shared" si="26"/>
        <v>0.52697351835526385</v>
      </c>
      <c r="F208" s="4">
        <f t="shared" si="27"/>
        <v>0.47578308057795676</v>
      </c>
      <c r="G208" s="4">
        <f t="shared" si="28"/>
        <v>9.5960813495075941E-3</v>
      </c>
      <c r="H208" s="4">
        <f t="shared" si="29"/>
        <v>4.7980406747537974E-4</v>
      </c>
    </row>
    <row r="209" spans="1:8">
      <c r="A209" s="5">
        <f t="shared" si="30"/>
        <v>16.416666666666703</v>
      </c>
      <c r="B209" s="4">
        <f t="shared" si="24"/>
        <v>0.90206085632904498</v>
      </c>
      <c r="C209" s="4">
        <f t="shared" si="25"/>
        <v>1.014486860109679E-2</v>
      </c>
      <c r="D209" s="66">
        <f t="shared" si="31"/>
        <v>4</v>
      </c>
      <c r="E209" s="4">
        <f t="shared" si="26"/>
        <v>0.5252539735263726</v>
      </c>
      <c r="F209" s="4">
        <f t="shared" si="27"/>
        <v>0.47381104914943317</v>
      </c>
      <c r="G209" s="4">
        <f t="shared" si="28"/>
        <v>1.922700334147525E-2</v>
      </c>
      <c r="H209" s="4">
        <f t="shared" si="29"/>
        <v>9.6135016707376252E-4</v>
      </c>
    </row>
    <row r="210" spans="1:8">
      <c r="A210" s="5">
        <f t="shared" si="30"/>
        <v>16.500000000000036</v>
      </c>
      <c r="B210" s="4">
        <f t="shared" si="24"/>
        <v>0.90125808203986513</v>
      </c>
      <c r="C210" s="4">
        <f t="shared" si="25"/>
        <v>1.0205589018400072E-2</v>
      </c>
      <c r="D210" s="66">
        <f t="shared" si="31"/>
        <v>2</v>
      </c>
      <c r="E210" s="4">
        <f t="shared" si="26"/>
        <v>0.52354003967092799</v>
      </c>
      <c r="F210" s="4">
        <f t="shared" si="27"/>
        <v>0.47184469202489548</v>
      </c>
      <c r="G210" s="4">
        <f t="shared" si="28"/>
        <v>9.630906014639274E-3</v>
      </c>
      <c r="H210" s="4">
        <f t="shared" si="29"/>
        <v>4.8154530073196374E-4</v>
      </c>
    </row>
    <row r="211" spans="1:8">
      <c r="A211" s="5">
        <f t="shared" si="30"/>
        <v>16.583333333333368</v>
      </c>
      <c r="B211" s="4">
        <f t="shared" si="24"/>
        <v>0.90045122357818796</v>
      </c>
      <c r="C211" s="4">
        <f t="shared" si="25"/>
        <v>1.0266676485709074E-2</v>
      </c>
      <c r="D211" s="66">
        <f t="shared" si="31"/>
        <v>4</v>
      </c>
      <c r="E211" s="4">
        <f t="shared" si="26"/>
        <v>0.52183169848000155</v>
      </c>
      <c r="F211" s="4">
        <f t="shared" si="27"/>
        <v>0.46988399139820142</v>
      </c>
      <c r="G211" s="4">
        <f t="shared" si="28"/>
        <v>1.929658770199616E-2</v>
      </c>
      <c r="H211" s="4">
        <f t="shared" si="29"/>
        <v>9.64829385099808E-4</v>
      </c>
    </row>
    <row r="212" spans="1:8">
      <c r="A212" s="5">
        <f t="shared" si="30"/>
        <v>16.6666666666667</v>
      </c>
      <c r="B212" s="4">
        <f t="shared" si="24"/>
        <v>0.89964026421527687</v>
      </c>
      <c r="C212" s="4">
        <f t="shared" si="25"/>
        <v>1.0328133221811352E-2</v>
      </c>
      <c r="D212" s="66">
        <f t="shared" si="31"/>
        <v>2</v>
      </c>
      <c r="E212" s="4">
        <f t="shared" si="26"/>
        <v>0.52012893170440821</v>
      </c>
      <c r="F212" s="4">
        <f t="shared" si="27"/>
        <v>0.4679289295445635</v>
      </c>
      <c r="G212" s="4">
        <f t="shared" si="28"/>
        <v>9.6656646453516602E-3</v>
      </c>
      <c r="H212" s="4">
        <f t="shared" si="29"/>
        <v>4.8328323226758303E-4</v>
      </c>
    </row>
    <row r="213" spans="1:8">
      <c r="A213" s="5">
        <f t="shared" si="30"/>
        <v>16.750000000000032</v>
      </c>
      <c r="B213" s="4">
        <f t="shared" si="24"/>
        <v>0.89882518720645621</v>
      </c>
      <c r="C213" s="4">
        <f t="shared" si="25"/>
        <v>1.0389961458906867E-2</v>
      </c>
      <c r="D213" s="66">
        <f t="shared" si="31"/>
        <v>4</v>
      </c>
      <c r="E213" s="4">
        <f t="shared" si="26"/>
        <v>0.51843172115451086</v>
      </c>
      <c r="F213" s="4">
        <f t="shared" si="27"/>
        <v>0.46597948882046852</v>
      </c>
      <c r="G213" s="4">
        <f t="shared" si="28"/>
        <v>1.9366035717943167E-2</v>
      </c>
      <c r="H213" s="4">
        <f t="shared" si="29"/>
        <v>9.6830178589715841E-4</v>
      </c>
    </row>
    <row r="214" spans="1:8">
      <c r="A214" s="5">
        <f t="shared" si="30"/>
        <v>16.833333333333364</v>
      </c>
      <c r="B214" s="4">
        <f t="shared" si="24"/>
        <v>0.89800597579185837</v>
      </c>
      <c r="C214" s="4">
        <f t="shared" si="25"/>
        <v>1.0452163442689042E-2</v>
      </c>
      <c r="D214" s="66">
        <f t="shared" si="31"/>
        <v>2</v>
      </c>
      <c r="E214" s="4">
        <f t="shared" si="26"/>
        <v>0.51674004870002632</v>
      </c>
      <c r="F214" s="4">
        <f t="shared" si="27"/>
        <v>0.46403565166359956</v>
      </c>
      <c r="G214" s="4">
        <f t="shared" si="28"/>
        <v>9.7003529488453241E-3</v>
      </c>
      <c r="H214" s="4">
        <f t="shared" si="29"/>
        <v>4.8501764744226622E-4</v>
      </c>
    </row>
    <row r="215" spans="1:8">
      <c r="A215" s="5">
        <f t="shared" si="30"/>
        <v>16.916666666666696</v>
      </c>
      <c r="B215" s="4">
        <f t="shared" si="24"/>
        <v>0.89718261319718373</v>
      </c>
      <c r="C215" s="4">
        <f t="shared" si="25"/>
        <v>1.0514741432426334E-2</v>
      </c>
      <c r="D215" s="66">
        <f t="shared" si="31"/>
        <v>4</v>
      </c>
      <c r="E215" s="4">
        <f t="shared" si="26"/>
        <v>0.51505389626983122</v>
      </c>
      <c r="F215" s="4">
        <f t="shared" si="27"/>
        <v>0.46209740059275839</v>
      </c>
      <c r="G215" s="4">
        <f t="shared" si="28"/>
        <v>1.9435338735316741E-2</v>
      </c>
      <c r="H215" s="4">
        <f t="shared" si="29"/>
        <v>9.7176693676583709E-4</v>
      </c>
    </row>
    <row r="216" spans="1:8">
      <c r="A216" s="5">
        <f t="shared" si="30"/>
        <v>17.000000000000028</v>
      </c>
      <c r="B216" s="4">
        <f t="shared" si="24"/>
        <v>0.89635508263447061</v>
      </c>
      <c r="C216" s="4">
        <f t="shared" si="25"/>
        <v>1.0577697701044282E-2</v>
      </c>
      <c r="D216" s="66">
        <f t="shared" si="31"/>
        <v>2</v>
      </c>
      <c r="E216" s="4">
        <f t="shared" si="26"/>
        <v>0.5133732458517698</v>
      </c>
      <c r="F216" s="4">
        <f t="shared" si="27"/>
        <v>0.46016471820778954</v>
      </c>
      <c r="G216" s="4">
        <f t="shared" si="28"/>
        <v>9.7349665637764503E-3</v>
      </c>
      <c r="H216" s="4">
        <f t="shared" si="29"/>
        <v>4.8674832818882254E-4</v>
      </c>
    </row>
    <row r="217" spans="1:8">
      <c r="A217" s="5">
        <f t="shared" si="30"/>
        <v>17.083333333333361</v>
      </c>
      <c r="B217" s="4">
        <f t="shared" si="24"/>
        <v>0.89552336730287818</v>
      </c>
      <c r="C217" s="4">
        <f t="shared" si="25"/>
        <v>1.0641034535208101E-2</v>
      </c>
      <c r="D217" s="66">
        <f t="shared" si="31"/>
        <v>4</v>
      </c>
      <c r="E217" s="4">
        <f t="shared" si="26"/>
        <v>0.5116980794924606</v>
      </c>
      <c r="F217" s="4">
        <f t="shared" si="27"/>
        <v>0.45823758718950414</v>
      </c>
      <c r="G217" s="4">
        <f t="shared" si="28"/>
        <v>1.9504487962455786E-2</v>
      </c>
      <c r="H217" s="4">
        <f t="shared" si="29"/>
        <v>9.7522439812278931E-4</v>
      </c>
    </row>
    <row r="218" spans="1:8">
      <c r="A218" s="5">
        <f t="shared" si="30"/>
        <v>17.166666666666693</v>
      </c>
      <c r="B218" s="4">
        <f t="shared" si="24"/>
        <v>0.89468745038948105</v>
      </c>
      <c r="C218" s="4">
        <f t="shared" si="25"/>
        <v>1.0704754235405697E-2</v>
      </c>
      <c r="D218" s="66">
        <f t="shared" si="31"/>
        <v>2</v>
      </c>
      <c r="E218" s="4">
        <f t="shared" si="26"/>
        <v>0.51002837929710521</v>
      </c>
      <c r="F218" s="4">
        <f t="shared" si="27"/>
        <v>0.45631599029960623</v>
      </c>
      <c r="G218" s="4">
        <f t="shared" si="28"/>
        <v>9.7695010596861101E-3</v>
      </c>
      <c r="H218" s="4">
        <f t="shared" si="29"/>
        <v>4.8847505298430557E-4</v>
      </c>
    </row>
    <row r="219" spans="1:8">
      <c r="A219" s="5">
        <f t="shared" si="30"/>
        <v>17.250000000000025</v>
      </c>
      <c r="B219" s="4">
        <f t="shared" si="24"/>
        <v>0.89384731507007609</v>
      </c>
      <c r="C219" s="4">
        <f t="shared" si="25"/>
        <v>1.0768859116031241E-2</v>
      </c>
      <c r="D219" s="66">
        <f t="shared" si="31"/>
        <v>4</v>
      </c>
      <c r="E219" s="4">
        <f t="shared" si="26"/>
        <v>0.50836412742929715</v>
      </c>
      <c r="F219" s="4">
        <f t="shared" si="27"/>
        <v>0.45439991038061928</v>
      </c>
      <c r="G219" s="4">
        <f t="shared" si="28"/>
        <v>1.9573474468904443E-2</v>
      </c>
      <c r="H219" s="4">
        <f t="shared" si="29"/>
        <v>9.7867372344522213E-4</v>
      </c>
    </row>
    <row r="220" spans="1:8">
      <c r="A220" s="5">
        <f t="shared" si="30"/>
        <v>17.333333333333357</v>
      </c>
      <c r="B220" s="4">
        <f t="shared" si="24"/>
        <v>0.89300294451000084</v>
      </c>
      <c r="C220" s="4">
        <f t="shared" si="25"/>
        <v>1.0833351505469222E-2</v>
      </c>
      <c r="D220" s="66">
        <f t="shared" si="31"/>
        <v>2</v>
      </c>
      <c r="E220" s="4">
        <f t="shared" si="26"/>
        <v>0.50670530611083098</v>
      </c>
      <c r="F220" s="4">
        <f t="shared" si="27"/>
        <v>0.4524893303558134</v>
      </c>
      <c r="G220" s="4">
        <f t="shared" si="28"/>
        <v>9.8039519364378214E-3</v>
      </c>
      <c r="H220" s="4">
        <f t="shared" si="29"/>
        <v>4.9019759682189111E-4</v>
      </c>
    </row>
    <row r="221" spans="1:8">
      <c r="A221" s="5">
        <f t="shared" si="30"/>
        <v>17.416666666666689</v>
      </c>
      <c r="B221" s="4">
        <f t="shared" si="24"/>
        <v>0.89215432186496513</v>
      </c>
      <c r="C221" s="4">
        <f t="shared" si="25"/>
        <v>1.0898233746179035E-2</v>
      </c>
      <c r="D221" s="66">
        <f t="shared" si="31"/>
        <v>4</v>
      </c>
      <c r="E221" s="4">
        <f t="shared" si="26"/>
        <v>0.50505189762151237</v>
      </c>
      <c r="F221" s="4">
        <f t="shared" si="27"/>
        <v>0.45058423322913416</v>
      </c>
      <c r="G221" s="4">
        <f t="shared" si="28"/>
        <v>1.9642289184295822E-2</v>
      </c>
      <c r="H221" s="4">
        <f t="shared" si="29"/>
        <v>9.8211445921479105E-4</v>
      </c>
    </row>
    <row r="222" spans="1:8">
      <c r="A222" s="5">
        <f t="shared" si="30"/>
        <v>17.500000000000021</v>
      </c>
      <c r="B222" s="4">
        <f t="shared" si="24"/>
        <v>0.89130143028189446</v>
      </c>
      <c r="C222" s="4">
        <f t="shared" si="25"/>
        <v>1.0963508194780067E-2</v>
      </c>
      <c r="D222" s="66">
        <f t="shared" si="31"/>
        <v>2</v>
      </c>
      <c r="E222" s="4">
        <f t="shared" si="26"/>
        <v>0.50340388429896943</v>
      </c>
      <c r="F222" s="4">
        <f t="shared" si="27"/>
        <v>0.44868460208513278</v>
      </c>
      <c r="G222" s="4">
        <f t="shared" si="28"/>
        <v>9.8383146236639737E-3</v>
      </c>
      <c r="H222" s="4">
        <f t="shared" si="29"/>
        <v>4.9191573118319873E-4</v>
      </c>
    </row>
    <row r="223" spans="1:8">
      <c r="A223" s="5">
        <f t="shared" si="30"/>
        <v>17.583333333333353</v>
      </c>
      <c r="B223" s="4">
        <f t="shared" si="24"/>
        <v>0.8904442528997859</v>
      </c>
      <c r="C223" s="4">
        <f t="shared" si="25"/>
        <v>1.1029177222137245E-2</v>
      </c>
      <c r="D223" s="66">
        <f t="shared" si="31"/>
        <v>4</v>
      </c>
      <c r="E223" s="4">
        <f t="shared" si="26"/>
        <v>0.50176124853846327</v>
      </c>
      <c r="F223" s="4">
        <f t="shared" si="27"/>
        <v>0.44679042008889569</v>
      </c>
      <c r="G223" s="4">
        <f t="shared" si="28"/>
        <v>1.9710922897254318E-2</v>
      </c>
      <c r="H223" s="4">
        <f t="shared" si="29"/>
        <v>9.8554614486271591E-4</v>
      </c>
    </row>
    <row r="224" spans="1:8">
      <c r="A224" s="5">
        <f t="shared" si="30"/>
        <v>17.666666666666686</v>
      </c>
      <c r="B224" s="4">
        <f t="shared" si="24"/>
        <v>0.88958277285057674</v>
      </c>
      <c r="C224" s="4">
        <f t="shared" si="25"/>
        <v>1.109524321344719E-2</v>
      </c>
      <c r="D224" s="66">
        <f t="shared" si="31"/>
        <v>2</v>
      </c>
      <c r="E224" s="4">
        <f t="shared" si="26"/>
        <v>0.50012397279270049</v>
      </c>
      <c r="F224" s="4">
        <f t="shared" si="27"/>
        <v>0.4449016704859769</v>
      </c>
      <c r="G224" s="4">
        <f t="shared" si="28"/>
        <v>9.8725844802217064E-3</v>
      </c>
      <c r="H224" s="4">
        <f t="shared" si="29"/>
        <v>4.9362922401108538E-4</v>
      </c>
    </row>
    <row r="225" spans="1:8">
      <c r="A225" s="5">
        <f t="shared" si="30"/>
        <v>17.750000000000018</v>
      </c>
      <c r="B225" s="4">
        <f t="shared" si="24"/>
        <v>0.88871697326002597</v>
      </c>
      <c r="C225" s="4">
        <f t="shared" si="25"/>
        <v>1.1161708568324867E-2</v>
      </c>
      <c r="D225" s="66">
        <f t="shared" si="31"/>
        <v>4</v>
      </c>
      <c r="E225" s="4">
        <f t="shared" si="26"/>
        <v>0.49849203957164545</v>
      </c>
      <c r="F225" s="4">
        <f t="shared" si="27"/>
        <v>0.44301833660232981</v>
      </c>
      <c r="G225" s="4">
        <f t="shared" si="28"/>
        <v>1.9779366254317022E-2</v>
      </c>
      <c r="H225" s="4">
        <f t="shared" si="29"/>
        <v>9.8896831271585105E-4</v>
      </c>
    </row>
    <row r="226" spans="1:8">
      <c r="A226" s="5">
        <f t="shared" si="30"/>
        <v>17.83333333333335</v>
      </c>
      <c r="B226" s="4">
        <f t="shared" si="24"/>
        <v>0.88784683724860891</v>
      </c>
      <c r="C226" s="4">
        <f t="shared" si="25"/>
        <v>1.1228575700890708E-2</v>
      </c>
      <c r="D226" s="66">
        <f t="shared" si="31"/>
        <v>2</v>
      </c>
      <c r="E226" s="4">
        <f t="shared" si="26"/>
        <v>0.49686543144233319</v>
      </c>
      <c r="F226" s="4">
        <f t="shared" si="27"/>
        <v>0.44114040184424103</v>
      </c>
      <c r="G226" s="4">
        <f t="shared" si="28"/>
        <v>9.906756793658815E-3</v>
      </c>
      <c r="H226" s="4">
        <f t="shared" si="29"/>
        <v>4.9533783968294079E-4</v>
      </c>
    </row>
    <row r="227" spans="1:8">
      <c r="A227" s="5">
        <f t="shared" si="30"/>
        <v>17.916666666666682</v>
      </c>
      <c r="B227" s="4">
        <f t="shared" si="24"/>
        <v>0.88697234793242352</v>
      </c>
      <c r="C227" s="4">
        <f t="shared" si="25"/>
        <v>1.1295847039858293E-2</v>
      </c>
      <c r="D227" s="66">
        <f t="shared" si="31"/>
        <v>4</v>
      </c>
      <c r="E227" s="4">
        <f t="shared" si="26"/>
        <v>0.4952441310286842</v>
      </c>
      <c r="F227" s="4">
        <f t="shared" si="27"/>
        <v>0.43926784969826482</v>
      </c>
      <c r="G227" s="4">
        <f t="shared" si="28"/>
        <v>1.9847609758876249E-2</v>
      </c>
      <c r="H227" s="4">
        <f t="shared" si="29"/>
        <v>9.9238048794381248E-4</v>
      </c>
    </row>
    <row r="228" spans="1:8">
      <c r="A228" s="5">
        <f t="shared" si="30"/>
        <v>18.000000000000014</v>
      </c>
      <c r="B228" s="4">
        <f t="shared" si="24"/>
        <v>0.88609348842411118</v>
      </c>
      <c r="C228" s="4">
        <f t="shared" si="25"/>
        <v>1.136352502862259E-2</v>
      </c>
      <c r="D228" s="66">
        <f t="shared" si="31"/>
        <v>2</v>
      </c>
      <c r="E228" s="4">
        <f t="shared" si="26"/>
        <v>0.49362812101131737</v>
      </c>
      <c r="F228" s="4">
        <f t="shared" si="27"/>
        <v>0.43740066373115749</v>
      </c>
      <c r="G228" s="4">
        <f t="shared" si="28"/>
        <v>9.9408267796902827E-3</v>
      </c>
      <c r="H228" s="4">
        <f t="shared" si="29"/>
        <v>4.9704133898451411E-4</v>
      </c>
    </row>
    <row r="229" spans="1:8">
      <c r="A229" s="5">
        <f t="shared" si="30"/>
        <v>18.083333333333346</v>
      </c>
      <c r="B229" s="4">
        <f t="shared" si="24"/>
        <v>0.88521024183379038</v>
      </c>
      <c r="C229" s="4">
        <f t="shared" si="25"/>
        <v>1.1431612125348692E-2</v>
      </c>
      <c r="D229" s="66">
        <f t="shared" si="31"/>
        <v>4</v>
      </c>
      <c r="E229" s="4">
        <f t="shared" si="26"/>
        <v>0.49201738412736623</v>
      </c>
      <c r="F229" s="4">
        <f t="shared" si="27"/>
        <v>0.43553882758981477</v>
      </c>
      <c r="G229" s="4">
        <f t="shared" si="28"/>
        <v>1.9915643770143522E-2</v>
      </c>
      <c r="H229" s="4">
        <f t="shared" si="29"/>
        <v>9.9578218850717619E-4</v>
      </c>
    </row>
    <row r="230" spans="1:8">
      <c r="A230" s="5">
        <f t="shared" si="30"/>
        <v>18.166666666666679</v>
      </c>
      <c r="B230" s="4">
        <f t="shared" si="24"/>
        <v>0.88432259127000257</v>
      </c>
      <c r="C230" s="4">
        <f t="shared" si="25"/>
        <v>1.150011080306111E-2</v>
      </c>
      <c r="D230" s="66">
        <f t="shared" si="31"/>
        <v>2</v>
      </c>
      <c r="E230" s="4">
        <f t="shared" si="26"/>
        <v>0.49041190317029382</v>
      </c>
      <c r="F230" s="4">
        <f t="shared" si="27"/>
        <v>0.43368232500120779</v>
      </c>
      <c r="G230" s="4">
        <f t="shared" si="28"/>
        <v>9.9747895816860981E-3</v>
      </c>
      <c r="H230" s="4">
        <f t="shared" si="29"/>
        <v>4.9873947908430488E-4</v>
      </c>
    </row>
    <row r="231" spans="1:8">
      <c r="A231" s="5">
        <f t="shared" si="30"/>
        <v>18.250000000000011</v>
      </c>
      <c r="B231" s="4">
        <f t="shared" si="24"/>
        <v>0.88343051984067333</v>
      </c>
      <c r="C231" s="4">
        <f t="shared" si="25"/>
        <v>1.1569023549733567E-2</v>
      </c>
      <c r="D231" s="66">
        <f t="shared" si="31"/>
        <v>4</v>
      </c>
      <c r="E231" s="4">
        <f t="shared" si="26"/>
        <v>0.48881166098970913</v>
      </c>
      <c r="F231" s="4">
        <f t="shared" si="27"/>
        <v>0.43183113977232174</v>
      </c>
      <c r="G231" s="4">
        <f t="shared" si="28"/>
        <v>1.9983458502137109E-2</v>
      </c>
      <c r="H231" s="4">
        <f t="shared" si="29"/>
        <v>9.9917292510685548E-4</v>
      </c>
    </row>
    <row r="232" spans="1:8">
      <c r="A232" s="5">
        <f t="shared" si="30"/>
        <v>18.333333333333343</v>
      </c>
      <c r="B232" s="4">
        <f t="shared" si="24"/>
        <v>0.88253401065408466</v>
      </c>
      <c r="C232" s="4">
        <f t="shared" si="25"/>
        <v>1.1638352868379399E-2</v>
      </c>
      <c r="D232" s="66">
        <f t="shared" si="31"/>
        <v>2</v>
      </c>
      <c r="E232" s="4">
        <f t="shared" si="26"/>
        <v>0.48721664049118379</v>
      </c>
      <c r="F232" s="4">
        <f t="shared" si="27"/>
        <v>0.42998525579009372</v>
      </c>
      <c r="G232" s="4">
        <f t="shared" si="28"/>
        <v>1.0008640270170975E-2</v>
      </c>
      <c r="H232" s="4">
        <f t="shared" si="29"/>
        <v>5.0043201350854875E-4</v>
      </c>
    </row>
    <row r="233" spans="1:8">
      <c r="A233" s="5">
        <f t="shared" si="30"/>
        <v>18.416666666666675</v>
      </c>
      <c r="B233" s="4">
        <f t="shared" si="24"/>
        <v>0.88163304681986332</v>
      </c>
      <c r="C233" s="4">
        <f t="shared" si="25"/>
        <v>1.1708101277142453E-2</v>
      </c>
      <c r="D233" s="66">
        <f t="shared" si="31"/>
        <v>4</v>
      </c>
      <c r="E233" s="4">
        <f t="shared" si="26"/>
        <v>0.48562682463606976</v>
      </c>
      <c r="F233" s="4">
        <f t="shared" si="27"/>
        <v>0.42814465702135363</v>
      </c>
      <c r="G233" s="4">
        <f t="shared" si="28"/>
        <v>2.0051044022693715E-2</v>
      </c>
      <c r="H233" s="4">
        <f t="shared" si="29"/>
        <v>1.0025522011346858E-3</v>
      </c>
    </row>
    <row r="234" spans="1:8">
      <c r="A234" s="5">
        <f t="shared" si="30"/>
        <v>18.500000000000007</v>
      </c>
      <c r="B234" s="4">
        <f t="shared" si="24"/>
        <v>0.88072761144998135</v>
      </c>
      <c r="C234" s="4">
        <f t="shared" si="25"/>
        <v>1.177827130938856E-2</v>
      </c>
      <c r="D234" s="66">
        <f t="shared" si="31"/>
        <v>2</v>
      </c>
      <c r="E234" s="4">
        <f t="shared" si="26"/>
        <v>0.48404219644131696</v>
      </c>
      <c r="F234" s="4">
        <f t="shared" si="27"/>
        <v>0.42630932751276374</v>
      </c>
      <c r="G234" s="4">
        <f t="shared" si="28"/>
        <v>1.0042373842336631E-2</v>
      </c>
      <c r="H234" s="4">
        <f t="shared" si="29"/>
        <v>5.0211869211683159E-4</v>
      </c>
    </row>
    <row r="235" spans="1:8">
      <c r="A235" s="5">
        <f t="shared" si="30"/>
        <v>18.583333333333339</v>
      </c>
      <c r="B235" s="4">
        <f t="shared" si="24"/>
        <v>0.87981768765977075</v>
      </c>
      <c r="C235" s="4">
        <f t="shared" si="25"/>
        <v>1.1848865513797524E-2</v>
      </c>
      <c r="D235" s="66">
        <f t="shared" si="31"/>
        <v>4</v>
      </c>
      <c r="E235" s="4">
        <f t="shared" si="26"/>
        <v>0.48246273897929193</v>
      </c>
      <c r="F235" s="4">
        <f t="shared" si="27"/>
        <v>0.42447925139076015</v>
      </c>
      <c r="G235" s="4">
        <f t="shared" si="28"/>
        <v>2.0118390252506273E-2</v>
      </c>
      <c r="H235" s="4">
        <f t="shared" si="29"/>
        <v>1.0059195126253136E-3</v>
      </c>
    </row>
    <row r="236" spans="1:8">
      <c r="A236" s="5">
        <f t="shared" si="30"/>
        <v>18.666666666666671</v>
      </c>
      <c r="B236" s="4">
        <f t="shared" si="24"/>
        <v>0.87890325856895235</v>
      </c>
      <c r="C236" s="4">
        <f t="shared" si="25"/>
        <v>1.1919886454455719E-2</v>
      </c>
      <c r="D236" s="66">
        <f t="shared" si="31"/>
        <v>2</v>
      </c>
      <c r="E236" s="4">
        <f t="shared" si="26"/>
        <v>0.48088843537759696</v>
      </c>
      <c r="F236" s="4">
        <f t="shared" si="27"/>
        <v>0.42265441286149502</v>
      </c>
      <c r="G236" s="4">
        <f t="shared" si="28"/>
        <v>1.0075985221567338E-2</v>
      </c>
      <c r="H236" s="4">
        <f t="shared" si="29"/>
        <v>5.0379926107836691E-4</v>
      </c>
    </row>
    <row r="237" spans="1:8">
      <c r="A237" s="5">
        <f t="shared" si="30"/>
        <v>18.750000000000004</v>
      </c>
      <c r="B237" s="4">
        <f t="shared" si="24"/>
        <v>0.8779843073026784</v>
      </c>
      <c r="C237" s="4">
        <f t="shared" si="25"/>
        <v>1.1991336710949223E-2</v>
      </c>
      <c r="D237" s="66">
        <f t="shared" si="31"/>
        <v>4</v>
      </c>
      <c r="E237" s="4">
        <f t="shared" si="26"/>
        <v>0.47931926881889003</v>
      </c>
      <c r="F237" s="4">
        <f t="shared" si="27"/>
        <v>0.42083479621077946</v>
      </c>
      <c r="G237" s="4">
        <f t="shared" si="28"/>
        <v>2.0185486964188617E-2</v>
      </c>
      <c r="H237" s="4">
        <f t="shared" si="29"/>
        <v>1.0092743482094308E-3</v>
      </c>
    </row>
    <row r="238" spans="1:8">
      <c r="A238" s="5">
        <f t="shared" si="30"/>
        <v>18.833333333333336</v>
      </c>
      <c r="B238" s="4">
        <f t="shared" si="24"/>
        <v>0.87706081699258975</v>
      </c>
      <c r="C238" s="4">
        <f t="shared" si="25"/>
        <v>1.2063218878457498E-2</v>
      </c>
      <c r="D238" s="66">
        <f t="shared" si="31"/>
        <v>2</v>
      </c>
      <c r="E238" s="4">
        <f t="shared" si="26"/>
        <v>0.47775522254070529</v>
      </c>
      <c r="F238" s="4">
        <f t="shared" si="27"/>
        <v>0.41902038580402751</v>
      </c>
      <c r="G238" s="4">
        <f t="shared" si="28"/>
        <v>1.0109469256979378E-2</v>
      </c>
      <c r="H238" s="4">
        <f t="shared" si="29"/>
        <v>5.0547346284896889E-4</v>
      </c>
    </row>
    <row r="239" spans="1:8">
      <c r="A239" s="5">
        <f t="shared" si="30"/>
        <v>18.916666666666668</v>
      </c>
      <c r="B239" s="4">
        <f t="shared" si="24"/>
        <v>0.87613277077788732</v>
      </c>
      <c r="C239" s="4">
        <f t="shared" si="25"/>
        <v>1.2135535567847654E-2</v>
      </c>
      <c r="D239" s="66">
        <f t="shared" si="31"/>
        <v>4</v>
      </c>
      <c r="E239" s="4">
        <f t="shared" si="26"/>
        <v>0.47619627983527346</v>
      </c>
      <c r="F239" s="4">
        <f t="shared" si="27"/>
        <v>0.41721116608620035</v>
      </c>
      <c r="G239" s="4">
        <f t="shared" si="28"/>
        <v>2.0252323781369118E-2</v>
      </c>
      <c r="H239" s="4">
        <f t="shared" si="29"/>
        <v>1.012616189068456E-3</v>
      </c>
    </row>
    <row r="240" spans="1:8">
      <c r="A240" s="5">
        <f t="shared" si="30"/>
        <v>19</v>
      </c>
      <c r="B240" s="4">
        <f t="shared" si="24"/>
        <v>0.87520015180641753</v>
      </c>
      <c r="C240" s="4">
        <f t="shared" si="25"/>
        <v>1.2208289405769283E-2</v>
      </c>
      <c r="D240" s="66">
        <f t="shared" si="31"/>
        <v>2</v>
      </c>
      <c r="E240" s="4">
        <f t="shared" si="26"/>
        <v>0.47464242404934376</v>
      </c>
      <c r="F240" s="4">
        <f t="shared" si="27"/>
        <v>0.41540712158175164</v>
      </c>
      <c r="G240" s="4">
        <f t="shared" si="28"/>
        <v>1.0142820722975223E-2</v>
      </c>
      <c r="H240" s="4">
        <f t="shared" si="29"/>
        <v>5.0714103614876119E-4</v>
      </c>
    </row>
    <row r="241" spans="1:8">
      <c r="A241" s="5">
        <f t="shared" si="30"/>
        <v>19.083333333333332</v>
      </c>
      <c r="B241" s="4">
        <f t="shared" si="24"/>
        <v>0.87426294323577203</v>
      </c>
      <c r="C241" s="4">
        <f t="shared" si="25"/>
        <v>1.2281483034749834E-2</v>
      </c>
      <c r="D241" s="66">
        <f t="shared" si="31"/>
        <v>4</v>
      </c>
      <c r="E241" s="4">
        <f t="shared" si="26"/>
        <v>0.47309363858400616</v>
      </c>
      <c r="F241" s="4">
        <f t="shared" si="27"/>
        <v>0.41360823689457382</v>
      </c>
      <c r="G241" s="4">
        <f t="shared" si="28"/>
        <v>2.0318890177813995E-2</v>
      </c>
      <c r="H241" s="4">
        <f t="shared" si="29"/>
        <v>1.0159445088906997E-3</v>
      </c>
    </row>
    <row r="242" spans="1:8">
      <c r="A242" s="5">
        <f t="shared" si="30"/>
        <v>19.166666666666664</v>
      </c>
      <c r="B242" s="4">
        <f t="shared" si="24"/>
        <v>0.87332112823440355</v>
      </c>
      <c r="C242" s="4">
        <f t="shared" si="25"/>
        <v>1.2355119113290682E-2</v>
      </c>
      <c r="D242" s="66">
        <f t="shared" si="31"/>
        <v>2</v>
      </c>
      <c r="E242" s="4">
        <f t="shared" si="26"/>
        <v>0.47154990689451348</v>
      </c>
      <c r="F242" s="4">
        <f t="shared" si="27"/>
        <v>0.41181449670794446</v>
      </c>
      <c r="G242" s="4">
        <f t="shared" si="28"/>
        <v>1.0176034318813015E-2</v>
      </c>
      <c r="H242" s="4">
        <f t="shared" si="29"/>
        <v>5.0880171594065075E-4</v>
      </c>
    </row>
    <row r="243" spans="1:8">
      <c r="A243" s="5">
        <f t="shared" si="30"/>
        <v>19.249999999999996</v>
      </c>
      <c r="B243" s="4">
        <f t="shared" si="24"/>
        <v>0.87237468998275469</v>
      </c>
      <c r="C243" s="4">
        <f t="shared" si="25"/>
        <v>1.2429200315963574E-2</v>
      </c>
      <c r="D243" s="66">
        <f t="shared" si="31"/>
        <v>4</v>
      </c>
      <c r="E243" s="4">
        <f t="shared" si="26"/>
        <v>0.47001121249010513</v>
      </c>
      <c r="F243" s="4">
        <f t="shared" si="27"/>
        <v>0.41002588578447413</v>
      </c>
      <c r="G243" s="4">
        <f t="shared" si="28"/>
        <v>2.0385175476582522E-2</v>
      </c>
      <c r="H243" s="4">
        <f t="shared" si="29"/>
        <v>1.0192587738291261E-3</v>
      </c>
    </row>
    <row r="244" spans="1:8">
      <c r="A244" s="5">
        <f t="shared" si="30"/>
        <v>19.333333333333329</v>
      </c>
      <c r="B244" s="4">
        <f t="shared" si="24"/>
        <v>0.87142361167440208</v>
      </c>
      <c r="C244" s="4">
        <f t="shared" si="25"/>
        <v>1.2503729333507844E-2</v>
      </c>
      <c r="D244" s="66">
        <f t="shared" si="31"/>
        <v>2</v>
      </c>
      <c r="E244" s="4">
        <f t="shared" si="26"/>
        <v>0.46847753893383087</v>
      </c>
      <c r="F244" s="4">
        <f t="shared" si="27"/>
        <v>0.40824238896605419</v>
      </c>
      <c r="G244" s="4">
        <f t="shared" si="28"/>
        <v>1.0209104668192344E-2</v>
      </c>
      <c r="H244" s="4">
        <f t="shared" si="29"/>
        <v>5.104552334096172E-4</v>
      </c>
    </row>
    <row r="245" spans="1:8">
      <c r="A245" s="5">
        <f t="shared" si="30"/>
        <v>19.416666666666661</v>
      </c>
      <c r="B245" s="4">
        <f t="shared" si="24"/>
        <v>0.87046787651721669</v>
      </c>
      <c r="C245" s="4">
        <f t="shared" si="25"/>
        <v>1.2578708872928127E-2</v>
      </c>
      <c r="D245" s="66">
        <f t="shared" si="31"/>
        <v>4</v>
      </c>
      <c r="E245" s="4">
        <f t="shared" si="26"/>
        <v>0.4669488698423751</v>
      </c>
      <c r="F245" s="4">
        <f t="shared" si="27"/>
        <v>0.40646399117380644</v>
      </c>
      <c r="G245" s="4">
        <f t="shared" si="28"/>
        <v>2.0451168849214958E-2</v>
      </c>
      <c r="H245" s="4">
        <f t="shared" si="29"/>
        <v>1.022558442460748E-3</v>
      </c>
    </row>
    <row r="246" spans="1:8">
      <c r="A246" s="5">
        <f t="shared" si="30"/>
        <v>19.499999999999993</v>
      </c>
      <c r="B246" s="4">
        <f t="shared" si="24"/>
        <v>0.86950746773453769</v>
      </c>
      <c r="C246" s="4">
        <f t="shared" si="25"/>
        <v>1.2654141657592691E-2</v>
      </c>
      <c r="D246" s="66">
        <f t="shared" si="31"/>
        <v>2</v>
      </c>
      <c r="E246" s="4">
        <f t="shared" si="26"/>
        <v>0.46542518888588191</v>
      </c>
      <c r="F246" s="4">
        <f t="shared" si="27"/>
        <v>0.40469067740803205</v>
      </c>
      <c r="G246" s="4">
        <f t="shared" si="28"/>
        <v>1.0242026318856769E-2</v>
      </c>
      <c r="H246" s="4">
        <f t="shared" si="29"/>
        <v>5.1210131594283846E-4</v>
      </c>
    </row>
    <row r="247" spans="1:8">
      <c r="A247" s="5">
        <f t="shared" si="30"/>
        <v>19.583333333333325</v>
      </c>
      <c r="B247" s="4">
        <f t="shared" si="24"/>
        <v>0.86854236856636191</v>
      </c>
      <c r="C247" s="4">
        <f t="shared" si="25"/>
        <v>1.2730030427332326E-2</v>
      </c>
      <c r="D247" s="66">
        <f t="shared" si="31"/>
        <v>4</v>
      </c>
      <c r="E247" s="4">
        <f t="shared" si="26"/>
        <v>0.46390647978778088</v>
      </c>
      <c r="F247" s="4">
        <f t="shared" si="27"/>
        <v>0.40292243274816231</v>
      </c>
      <c r="G247" s="4">
        <f t="shared" si="28"/>
        <v>2.0516859314955477E-2</v>
      </c>
      <c r="H247" s="4">
        <f t="shared" si="29"/>
        <v>1.025842965747774E-3</v>
      </c>
    </row>
    <row r="248" spans="1:8">
      <c r="A248" s="5">
        <f t="shared" si="30"/>
        <v>19.666666666666657</v>
      </c>
      <c r="B248" s="4">
        <f t="shared" si="24"/>
        <v>0.86757256227054946</v>
      </c>
      <c r="C248" s="4">
        <f t="shared" si="25"/>
        <v>1.2806377938539887E-2</v>
      </c>
      <c r="D248" s="66">
        <f t="shared" si="31"/>
        <v>2</v>
      </c>
      <c r="E248" s="4">
        <f t="shared" si="26"/>
        <v>0.46239272632461259</v>
      </c>
      <c r="F248" s="4">
        <f t="shared" si="27"/>
        <v>0.40115924235270911</v>
      </c>
      <c r="G248" s="4">
        <f t="shared" si="28"/>
        <v>1.027479374221422E-2</v>
      </c>
      <c r="H248" s="4">
        <f t="shared" si="29"/>
        <v>5.1373968711071103E-4</v>
      </c>
    </row>
    <row r="249" spans="1:8">
      <c r="A249" s="5">
        <f t="shared" si="30"/>
        <v>19.749999999999989</v>
      </c>
      <c r="B249" s="4">
        <f t="shared" si="24"/>
        <v>0.86659803212404318</v>
      </c>
      <c r="C249" s="4">
        <f t="shared" si="25"/>
        <v>1.2883186964270398E-2</v>
      </c>
      <c r="D249" s="66">
        <f t="shared" si="31"/>
        <v>4</v>
      </c>
      <c r="E249" s="4">
        <f t="shared" si="26"/>
        <v>0.46088391232585613</v>
      </c>
      <c r="F249" s="4">
        <f t="shared" si="27"/>
        <v>0.39940109145921698</v>
      </c>
      <c r="G249" s="4">
        <f t="shared" si="28"/>
        <v>2.0582235740011012E-2</v>
      </c>
      <c r="H249" s="4">
        <f t="shared" si="29"/>
        <v>1.0291117870005505E-3</v>
      </c>
    </row>
    <row r="250" spans="1:8">
      <c r="A250" s="5">
        <f t="shared" si="30"/>
        <v>19.833333333333321</v>
      </c>
      <c r="B250" s="4">
        <f t="shared" si="24"/>
        <v>0.86561876142410477</v>
      </c>
      <c r="C250" s="4">
        <f t="shared" si="25"/>
        <v>1.2960460294341801E-2</v>
      </c>
      <c r="D250" s="66">
        <f t="shared" si="31"/>
        <v>2</v>
      </c>
      <c r="E250" s="4">
        <f t="shared" si="26"/>
        <v>0.45938002167375536</v>
      </c>
      <c r="F250" s="4">
        <f t="shared" si="27"/>
        <v>0.39764796538421454</v>
      </c>
      <c r="G250" s="4">
        <f t="shared" si="28"/>
        <v>1.030740133297583E-2</v>
      </c>
      <c r="H250" s="4">
        <f t="shared" si="29"/>
        <v>5.1537006664879154E-4</v>
      </c>
    </row>
    <row r="251" spans="1:8">
      <c r="A251" s="5">
        <f t="shared" si="30"/>
        <v>19.916666666666654</v>
      </c>
      <c r="B251" s="4">
        <f t="shared" si="24"/>
        <v>0.86463473348956721</v>
      </c>
      <c r="C251" s="4">
        <f t="shared" si="25"/>
        <v>1.3038200735436219E-2</v>
      </c>
      <c r="D251" s="66">
        <f t="shared" si="31"/>
        <v>4</v>
      </c>
      <c r="E251" s="4">
        <f t="shared" si="26"/>
        <v>0.4578810383031478</v>
      </c>
      <c r="F251" s="4">
        <f t="shared" si="27"/>
        <v>0.39589984952316853</v>
      </c>
      <c r="G251" s="4">
        <f t="shared" si="28"/>
        <v>2.0647286836848258E-2</v>
      </c>
      <c r="H251" s="4">
        <f t="shared" si="29"/>
        <v>1.0323643418424129E-3</v>
      </c>
    </row>
    <row r="252" spans="1:8">
      <c r="A252" s="5">
        <f t="shared" si="30"/>
        <v>19.999999999999986</v>
      </c>
      <c r="B252" s="4">
        <f t="shared" si="24"/>
        <v>0.86364593166210057</v>
      </c>
      <c r="C252" s="4">
        <f t="shared" si="25"/>
        <v>1.3116411111201952E-2</v>
      </c>
      <c r="D252" s="66">
        <v>1</v>
      </c>
      <c r="E252" s="4">
        <f t="shared" si="26"/>
        <v>0.45638694620129244</v>
      </c>
      <c r="F252" s="4"/>
      <c r="G252" s="4">
        <f t="shared" si="28"/>
        <v>5.1699217044070813E-3</v>
      </c>
      <c r="H252" s="4">
        <f t="shared" si="29"/>
        <v>2.5849608522035409E-4</v>
      </c>
    </row>
    <row r="253" spans="1:8">
      <c r="F253" s="5">
        <f>SUM(F12:F251)/12</f>
        <v>13.253514506154444</v>
      </c>
      <c r="G253" s="10">
        <f>SUM(G12:G252)/36</f>
        <v>8.2877655555026228E-2</v>
      </c>
      <c r="H253" s="10">
        <f>G253*0.05</f>
        <v>4.1438827777513119E-3</v>
      </c>
    </row>
    <row r="254" spans="1:8">
      <c r="G254" s="48" t="s">
        <v>95</v>
      </c>
      <c r="H254" s="57">
        <f>(50000*G253+75000*H253)/(F253*12)</f>
        <v>28.009388151435065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zoomScale="125" zoomScaleNormal="125" zoomScalePageLayoutView="125" workbookViewId="0"/>
  </sheetViews>
  <sheetFormatPr baseColWidth="10" defaultRowHeight="12" x14ac:dyDescent="0"/>
  <sheetData>
    <row r="1" spans="1:23" ht="15">
      <c r="A1" s="70" t="s">
        <v>274</v>
      </c>
      <c r="G1" s="66"/>
      <c r="H1" s="66"/>
      <c r="I1" s="10"/>
      <c r="J1" s="10"/>
      <c r="M1" s="66"/>
      <c r="Q1" s="10"/>
      <c r="S1" s="66"/>
      <c r="T1" s="66"/>
      <c r="U1" s="66"/>
      <c r="V1" s="66"/>
      <c r="W1" s="66"/>
    </row>
    <row r="2" spans="1:23">
      <c r="G2" s="66"/>
      <c r="H2" s="66"/>
      <c r="I2" s="10"/>
      <c r="J2" s="10"/>
      <c r="M2" s="66"/>
      <c r="Q2" s="10"/>
      <c r="S2" s="66"/>
      <c r="T2" s="66"/>
      <c r="U2" s="66"/>
      <c r="V2" s="66"/>
      <c r="W2" s="66"/>
    </row>
    <row r="3" spans="1:23" ht="14" customHeight="1">
      <c r="A3" s="110" t="s">
        <v>258</v>
      </c>
      <c r="B3" s="51" t="s">
        <v>259</v>
      </c>
      <c r="G3" s="66"/>
      <c r="H3" s="66"/>
      <c r="I3" s="10"/>
      <c r="J3" s="10"/>
      <c r="M3" s="66"/>
      <c r="Q3" s="10"/>
      <c r="S3" s="66"/>
      <c r="T3" s="66"/>
      <c r="U3" s="66"/>
      <c r="V3" s="66"/>
      <c r="W3" s="66"/>
    </row>
    <row r="4" spans="1:23" ht="14" customHeight="1">
      <c r="A4" s="110" t="s">
        <v>260</v>
      </c>
      <c r="B4" s="51">
        <f>0.01</f>
        <v>0.01</v>
      </c>
      <c r="G4" s="66"/>
      <c r="H4" s="66"/>
      <c r="I4" s="10"/>
      <c r="J4" s="10"/>
      <c r="M4" s="66"/>
      <c r="Q4" s="10"/>
      <c r="S4" s="66"/>
      <c r="T4" s="66"/>
      <c r="U4" s="66"/>
      <c r="V4" s="66"/>
      <c r="W4" s="66"/>
    </row>
    <row r="5" spans="1:23" ht="14" customHeight="1">
      <c r="A5" s="110" t="s">
        <v>261</v>
      </c>
      <c r="B5" s="51" t="s">
        <v>262</v>
      </c>
      <c r="G5" s="66"/>
      <c r="H5" s="66"/>
      <c r="I5" s="10"/>
      <c r="J5" s="10"/>
      <c r="M5" s="66"/>
      <c r="Q5" s="10"/>
      <c r="S5" s="66"/>
      <c r="T5" s="66"/>
      <c r="U5" s="66"/>
      <c r="V5" s="66"/>
      <c r="W5" s="66"/>
    </row>
    <row r="6" spans="1:23">
      <c r="A6" s="52" t="s">
        <v>9</v>
      </c>
      <c r="B6" s="51">
        <v>1E-3</v>
      </c>
      <c r="D6" s="9" t="s">
        <v>27</v>
      </c>
      <c r="E6" s="6">
        <f>EXP(-B6)</f>
        <v>0.99900049983337502</v>
      </c>
      <c r="G6" s="66"/>
      <c r="H6" s="66"/>
      <c r="I6" s="10"/>
      <c r="J6" s="10"/>
      <c r="M6" s="66"/>
      <c r="Q6" s="10"/>
      <c r="S6" s="66"/>
      <c r="T6" s="66"/>
      <c r="U6" s="66"/>
      <c r="V6" s="66"/>
      <c r="W6" s="66"/>
    </row>
    <row r="7" spans="1:23">
      <c r="A7" s="52" t="s">
        <v>10</v>
      </c>
      <c r="B7" s="51">
        <v>4.0000000000000002E-4</v>
      </c>
      <c r="D7" s="9" t="s">
        <v>25</v>
      </c>
      <c r="E7" s="6">
        <f>EXP(-B7/LN(B8))</f>
        <v>0.99410541106603345</v>
      </c>
      <c r="G7" s="66"/>
      <c r="H7" s="66"/>
      <c r="I7" s="10"/>
      <c r="J7" s="10"/>
      <c r="M7" s="66"/>
      <c r="Q7" s="10"/>
      <c r="S7" s="66"/>
      <c r="T7" s="66"/>
      <c r="U7" s="66"/>
      <c r="V7" s="66"/>
      <c r="W7" s="66"/>
    </row>
    <row r="8" spans="1:23">
      <c r="A8" s="52" t="s">
        <v>24</v>
      </c>
      <c r="B8" s="51">
        <v>1.07</v>
      </c>
      <c r="G8" s="66"/>
      <c r="H8" s="66"/>
      <c r="I8" s="10"/>
      <c r="J8" s="10"/>
      <c r="M8" s="66"/>
      <c r="Q8" s="10"/>
      <c r="S8" s="66"/>
      <c r="T8" s="66"/>
      <c r="U8" s="66"/>
      <c r="V8" s="66"/>
      <c r="W8" s="66"/>
    </row>
    <row r="9" spans="1:23">
      <c r="A9" s="52" t="s">
        <v>82</v>
      </c>
      <c r="B9" s="51">
        <v>25</v>
      </c>
      <c r="G9" s="66"/>
      <c r="H9" s="66"/>
      <c r="I9" s="10"/>
      <c r="J9" s="10"/>
      <c r="M9" s="66"/>
      <c r="Q9" s="10"/>
      <c r="S9" s="66"/>
      <c r="T9" s="66"/>
      <c r="U9" s="66"/>
      <c r="V9" s="66"/>
      <c r="W9" s="66"/>
    </row>
    <row r="10" spans="1:23">
      <c r="A10" s="9" t="s">
        <v>27</v>
      </c>
      <c r="B10" s="18">
        <f>EXP(-B6)</f>
        <v>0.99900049983337502</v>
      </c>
      <c r="G10" s="66"/>
      <c r="H10" s="66"/>
      <c r="I10" s="10"/>
      <c r="J10" s="10"/>
      <c r="M10" s="66"/>
      <c r="Q10" s="10"/>
      <c r="S10" s="66"/>
      <c r="T10" s="66"/>
      <c r="U10" s="66"/>
      <c r="V10" s="66"/>
      <c r="W10" s="66"/>
    </row>
    <row r="11" spans="1:23">
      <c r="A11" s="9" t="s">
        <v>25</v>
      </c>
      <c r="B11" s="18">
        <f>EXP(-B7/LN(B8))</f>
        <v>0.99410541106603345</v>
      </c>
      <c r="G11" s="66"/>
      <c r="H11" s="66"/>
      <c r="I11" s="10"/>
      <c r="J11" s="10"/>
      <c r="M11" s="66"/>
      <c r="Q11" s="10"/>
      <c r="S11" s="66"/>
      <c r="T11" s="66"/>
      <c r="U11" s="66"/>
      <c r="V11" s="66"/>
      <c r="W11" s="66"/>
    </row>
    <row r="12" spans="1:23">
      <c r="G12" s="66"/>
      <c r="H12" s="66"/>
      <c r="I12" s="10"/>
      <c r="J12" s="10"/>
      <c r="M12" s="66"/>
      <c r="Q12" s="10"/>
      <c r="S12" s="66"/>
      <c r="T12" s="66"/>
      <c r="U12" s="66"/>
      <c r="V12" s="66"/>
      <c r="W12" s="66"/>
    </row>
    <row r="13" spans="1:23">
      <c r="D13" s="23" t="s">
        <v>46</v>
      </c>
      <c r="E13" s="66"/>
      <c r="F13" s="10"/>
      <c r="G13" s="10"/>
      <c r="H13" s="1" t="s">
        <v>47</v>
      </c>
      <c r="I13" s="1"/>
      <c r="J13" s="66"/>
      <c r="L13" s="1" t="s">
        <v>2</v>
      </c>
      <c r="N13" s="10"/>
      <c r="P13" s="11" t="s">
        <v>3</v>
      </c>
      <c r="Q13" s="66"/>
      <c r="S13" s="66"/>
      <c r="T13" s="66"/>
    </row>
    <row r="14" spans="1:23">
      <c r="D14" s="23"/>
      <c r="E14" s="66"/>
      <c r="F14" s="10"/>
      <c r="G14" s="10"/>
      <c r="H14" s="1"/>
      <c r="I14" s="1"/>
      <c r="J14" s="66"/>
      <c r="L14" s="1"/>
      <c r="N14" s="10"/>
      <c r="P14" s="11"/>
      <c r="Q14" s="66"/>
      <c r="R14" s="66"/>
      <c r="S14" s="66"/>
      <c r="T14" s="66"/>
    </row>
    <row r="15" spans="1:23">
      <c r="D15" s="112"/>
      <c r="E15" s="31" t="s">
        <v>120</v>
      </c>
      <c r="F15" s="113"/>
      <c r="G15" s="10"/>
      <c r="H15" s="121"/>
      <c r="I15" s="31" t="s">
        <v>120</v>
      </c>
      <c r="J15" s="122"/>
      <c r="L15" s="1"/>
      <c r="M15" s="66" t="s">
        <v>120</v>
      </c>
      <c r="N15" s="10"/>
      <c r="P15" s="11"/>
      <c r="Q15" s="66"/>
      <c r="R15" s="66" t="s">
        <v>263</v>
      </c>
      <c r="S15" s="66"/>
      <c r="T15" s="66"/>
    </row>
    <row r="16" spans="1:23">
      <c r="D16" s="114"/>
      <c r="E16" s="115" t="s">
        <v>121</v>
      </c>
      <c r="F16" s="116"/>
      <c r="G16" s="10"/>
      <c r="H16" s="123"/>
      <c r="I16" s="115" t="s">
        <v>121</v>
      </c>
      <c r="J16" s="124"/>
      <c r="M16" s="66" t="s">
        <v>121</v>
      </c>
      <c r="N16" s="10">
        <f>B38/1.06 + B58/(1.06^2)</f>
        <v>1.7302229868579093</v>
      </c>
      <c r="P16" s="66"/>
      <c r="Q16" s="66"/>
      <c r="R16" s="66" t="s">
        <v>264</v>
      </c>
      <c r="S16" s="66"/>
      <c r="T16" s="66"/>
    </row>
    <row r="17" spans="1:20" ht="14" customHeight="1">
      <c r="A17" s="66" t="s">
        <v>0</v>
      </c>
      <c r="B17" s="7" t="s">
        <v>213</v>
      </c>
      <c r="D17" s="117" t="s">
        <v>234</v>
      </c>
      <c r="E17" s="115" t="s">
        <v>22</v>
      </c>
      <c r="F17" s="116" t="s">
        <v>23</v>
      </c>
      <c r="G17" s="10"/>
      <c r="H17" s="117" t="s">
        <v>236</v>
      </c>
      <c r="I17" s="115" t="s">
        <v>22</v>
      </c>
      <c r="J17" s="124" t="s">
        <v>23</v>
      </c>
      <c r="L17" s="22" t="s">
        <v>234</v>
      </c>
      <c r="M17" s="66" t="s">
        <v>22</v>
      </c>
      <c r="N17" s="10" t="s">
        <v>23</v>
      </c>
      <c r="P17" s="7" t="s">
        <v>213</v>
      </c>
      <c r="Q17" s="22" t="s">
        <v>234</v>
      </c>
      <c r="R17" s="7" t="s">
        <v>269</v>
      </c>
      <c r="S17" s="66" t="s">
        <v>22</v>
      </c>
      <c r="T17" s="66" t="s">
        <v>23</v>
      </c>
    </row>
    <row r="18" spans="1:20">
      <c r="A18" s="66">
        <v>0</v>
      </c>
      <c r="B18" s="10">
        <f t="shared" ref="B18:B49" si="0">EXP(-0.0005*((B$9+A18)^2-B$9^2))*EXP(-0.01*A18)*(B$10^A18)*B$11^((B$8^B$9)*(B$8^A18-1))</f>
        <v>1</v>
      </c>
      <c r="D18" s="118">
        <f t="shared" ref="D18:D58" si="1">0.001*(B$9+A18)</f>
        <v>2.5000000000000001E-2</v>
      </c>
      <c r="E18" s="115">
        <v>1</v>
      </c>
      <c r="F18" s="116">
        <f>B18*D18*E18*0.05/3</f>
        <v>4.1666666666666675E-4</v>
      </c>
      <c r="G18" s="10"/>
      <c r="H18" s="123"/>
      <c r="I18" s="125"/>
      <c r="J18" s="124"/>
      <c r="L18" s="66">
        <f t="shared" ref="L18:L49" si="2">0.001*(B$9+A18)</f>
        <v>2.5000000000000001E-2</v>
      </c>
      <c r="M18" s="66">
        <v>1</v>
      </c>
      <c r="N18" s="10">
        <f t="shared" ref="N18:N49" si="3">B18*L18*M18*0.05/(3*(1.06^A18))</f>
        <v>4.1666666666666675E-4</v>
      </c>
      <c r="P18" s="4">
        <v>1</v>
      </c>
      <c r="Q18" s="10">
        <f t="shared" ref="Q18:Q49" si="4">0.001*(B$9+A18)</f>
        <v>2.5000000000000001E-2</v>
      </c>
      <c r="R18" s="10">
        <f>((B$10^A18)*B$11^((B$8^B$9)*((B$8^A18)-1)))^1.5</f>
        <v>1</v>
      </c>
      <c r="S18" s="66">
        <v>1</v>
      </c>
      <c r="T18" s="109">
        <f>P18*Q18*S18*(1-R$78/R18)*0.05/3</f>
        <v>6.3393971552265514E-6</v>
      </c>
    </row>
    <row r="19" spans="1:20">
      <c r="A19" s="66">
        <v>0.05</v>
      </c>
      <c r="B19" s="10">
        <f t="shared" si="0"/>
        <v>0.99809184038938636</v>
      </c>
      <c r="D19" s="118">
        <f t="shared" si="1"/>
        <v>2.5050000000000003E-2</v>
      </c>
      <c r="E19" s="115">
        <v>4</v>
      </c>
      <c r="F19" s="116">
        <f t="shared" ref="F19:F58" si="5">B19*D19*E19*0.05/3</f>
        <v>1.6668133734502755E-3</v>
      </c>
      <c r="G19" s="10"/>
      <c r="H19" s="123"/>
      <c r="I19" s="125"/>
      <c r="J19" s="124"/>
      <c r="L19" s="66">
        <f t="shared" si="2"/>
        <v>2.5050000000000003E-2</v>
      </c>
      <c r="M19" s="66">
        <v>4</v>
      </c>
      <c r="N19" s="10">
        <f t="shared" si="3"/>
        <v>1.6619642709121609E-3</v>
      </c>
      <c r="P19" s="4">
        <v>0.99809184038938636</v>
      </c>
      <c r="Q19" s="10">
        <f t="shared" si="4"/>
        <v>2.5050000000000003E-2</v>
      </c>
      <c r="R19" s="10">
        <f t="shared" ref="R19:R78" si="6">((B$10^A19)*B$11^((B$8^B$9)*((B$8^A19)-1)))^1.5</f>
        <v>0.99976192964364741</v>
      </c>
      <c r="S19" s="66">
        <v>4</v>
      </c>
      <c r="T19" s="109">
        <f t="shared" ref="T19:T78" si="7">P19*Q19*S19*(1-R$78/R19)*0.05/3</f>
        <v>2.4968946211197823E-5</v>
      </c>
    </row>
    <row r="20" spans="1:20">
      <c r="A20" s="66">
        <v>0.1</v>
      </c>
      <c r="B20" s="10">
        <f t="shared" si="0"/>
        <v>0.99618446433500785</v>
      </c>
      <c r="D20" s="118">
        <f t="shared" si="1"/>
        <v>2.5100000000000001E-2</v>
      </c>
      <c r="E20" s="115">
        <f t="shared" ref="E20:E57" si="8">IF(E19=4,2,4)</f>
        <v>2</v>
      </c>
      <c r="F20" s="116">
        <f t="shared" si="5"/>
        <v>8.3347433516028999E-4</v>
      </c>
      <c r="G20" s="10"/>
      <c r="H20" s="123"/>
      <c r="I20" s="125"/>
      <c r="J20" s="124"/>
      <c r="L20" s="66">
        <f t="shared" si="2"/>
        <v>2.5100000000000001E-2</v>
      </c>
      <c r="M20" s="66">
        <f>IF(M19=4,2,4)</f>
        <v>2</v>
      </c>
      <c r="N20" s="10">
        <f t="shared" si="3"/>
        <v>8.2863189310607285E-4</v>
      </c>
      <c r="P20" s="4">
        <v>0.99618446433500785</v>
      </c>
      <c r="Q20" s="10">
        <f t="shared" si="4"/>
        <v>2.5100000000000001E-2</v>
      </c>
      <c r="R20" s="10">
        <f t="shared" si="6"/>
        <v>0.99952336354186511</v>
      </c>
      <c r="S20" s="66">
        <f>IF(S19=4,2,4)</f>
        <v>2</v>
      </c>
      <c r="T20" s="109">
        <f t="shared" si="7"/>
        <v>1.2289532974658828E-5</v>
      </c>
    </row>
    <row r="21" spans="1:20">
      <c r="A21" s="66">
        <v>0.15</v>
      </c>
      <c r="B21" s="10">
        <f t="shared" si="0"/>
        <v>0.99427788003002071</v>
      </c>
      <c r="D21" s="118">
        <f t="shared" si="1"/>
        <v>2.5149999999999999E-2</v>
      </c>
      <c r="E21" s="115">
        <f t="shared" si="8"/>
        <v>4</v>
      </c>
      <c r="F21" s="116">
        <f t="shared" si="5"/>
        <v>1.6670725788503345E-3</v>
      </c>
      <c r="G21" s="10"/>
      <c r="H21" s="123"/>
      <c r="I21" s="125"/>
      <c r="J21" s="124"/>
      <c r="L21" s="66">
        <f t="shared" si="2"/>
        <v>2.5149999999999999E-2</v>
      </c>
      <c r="M21" s="66">
        <f t="shared" ref="M21:M77" si="9">IF(M20=4,2,4)</f>
        <v>4</v>
      </c>
      <c r="N21" s="10">
        <f t="shared" si="3"/>
        <v>1.652565295631887E-3</v>
      </c>
      <c r="P21" s="4">
        <v>0.99427788003002082</v>
      </c>
      <c r="Q21" s="10">
        <f t="shared" si="4"/>
        <v>2.5149999999999999E-2</v>
      </c>
      <c r="R21" s="10">
        <f t="shared" si="6"/>
        <v>0.9992843002050964</v>
      </c>
      <c r="S21" s="66">
        <f t="shared" ref="S21:S77" si="10">IF(S20=4,2,4)</f>
        <v>4</v>
      </c>
      <c r="T21" s="109">
        <f t="shared" si="7"/>
        <v>2.4187952203066196E-5</v>
      </c>
    </row>
    <row r="22" spans="1:20">
      <c r="A22" s="66">
        <v>0.2</v>
      </c>
      <c r="B22" s="10">
        <f t="shared" si="0"/>
        <v>0.99237209564803963</v>
      </c>
      <c r="D22" s="118">
        <f t="shared" si="1"/>
        <v>2.52E-2</v>
      </c>
      <c r="E22" s="115">
        <f t="shared" si="8"/>
        <v>2</v>
      </c>
      <c r="F22" s="116">
        <f t="shared" si="5"/>
        <v>8.3359256034435346E-4</v>
      </c>
      <c r="G22" s="10"/>
      <c r="H22" s="123"/>
      <c r="I22" s="125"/>
      <c r="J22" s="124"/>
      <c r="L22" s="66">
        <f t="shared" si="2"/>
        <v>2.52E-2</v>
      </c>
      <c r="M22" s="66">
        <f t="shared" si="9"/>
        <v>2</v>
      </c>
      <c r="N22" s="10">
        <f t="shared" si="3"/>
        <v>8.239344407961316E-4</v>
      </c>
      <c r="P22" s="4">
        <v>0.99237209564803963</v>
      </c>
      <c r="Q22" s="10">
        <f t="shared" si="4"/>
        <v>2.52E-2</v>
      </c>
      <c r="R22" s="10">
        <f t="shared" si="6"/>
        <v>0.99904473813996886</v>
      </c>
      <c r="S22" s="66">
        <f t="shared" si="10"/>
        <v>2</v>
      </c>
      <c r="T22" s="109">
        <f t="shared" si="7"/>
        <v>1.1897804672915463E-5</v>
      </c>
    </row>
    <row r="23" spans="1:20">
      <c r="A23" s="66">
        <v>0.25</v>
      </c>
      <c r="B23" s="10">
        <f t="shared" si="0"/>
        <v>0.99046711934309384</v>
      </c>
      <c r="D23" s="118">
        <f t="shared" si="1"/>
        <v>2.5250000000000002E-2</v>
      </c>
      <c r="E23" s="115">
        <f t="shared" si="8"/>
        <v>4</v>
      </c>
      <c r="F23" s="116">
        <f t="shared" si="5"/>
        <v>1.667286317560875E-3</v>
      </c>
      <c r="G23" s="10"/>
      <c r="H23" s="123"/>
      <c r="I23" s="125"/>
      <c r="J23" s="124"/>
      <c r="L23" s="66">
        <f t="shared" si="2"/>
        <v>2.5250000000000002E-2</v>
      </c>
      <c r="M23" s="66">
        <f t="shared" si="9"/>
        <v>4</v>
      </c>
      <c r="N23" s="10">
        <f t="shared" si="3"/>
        <v>1.6431746258725765E-3</v>
      </c>
      <c r="P23" s="4">
        <v>0.99046711934309384</v>
      </c>
      <c r="Q23" s="10">
        <f t="shared" si="4"/>
        <v>2.5250000000000002E-2</v>
      </c>
      <c r="R23" s="10">
        <f t="shared" si="6"/>
        <v>0.99880467584928811</v>
      </c>
      <c r="S23" s="66">
        <f t="shared" si="10"/>
        <v>4</v>
      </c>
      <c r="T23" s="109">
        <f t="shared" si="7"/>
        <v>2.3402041756540114E-5</v>
      </c>
    </row>
    <row r="24" spans="1:20">
      <c r="A24" s="66">
        <v>0.3</v>
      </c>
      <c r="B24" s="10">
        <f t="shared" si="0"/>
        <v>0.98856295924958337</v>
      </c>
      <c r="D24" s="118">
        <f t="shared" si="1"/>
        <v>2.53E-2</v>
      </c>
      <c r="E24" s="115">
        <f t="shared" si="8"/>
        <v>2</v>
      </c>
      <c r="F24" s="116">
        <f t="shared" si="5"/>
        <v>8.3368809563381539E-4</v>
      </c>
      <c r="G24" s="10"/>
      <c r="H24" s="123"/>
      <c r="I24" s="125"/>
      <c r="J24" s="124"/>
      <c r="L24" s="66">
        <f t="shared" si="2"/>
        <v>2.53E-2</v>
      </c>
      <c r="M24" s="66">
        <f t="shared" si="9"/>
        <v>2</v>
      </c>
      <c r="N24" s="10">
        <f t="shared" si="3"/>
        <v>8.192413048066843E-4</v>
      </c>
      <c r="P24" s="4">
        <v>0.98856295924958348</v>
      </c>
      <c r="Q24" s="10">
        <f t="shared" si="4"/>
        <v>2.53E-2</v>
      </c>
      <c r="R24" s="10">
        <f t="shared" si="6"/>
        <v>0.99856411183203397</v>
      </c>
      <c r="S24" s="66">
        <f t="shared" si="10"/>
        <v>2</v>
      </c>
      <c r="T24" s="109">
        <f t="shared" si="7"/>
        <v>1.1503626909811127E-5</v>
      </c>
    </row>
    <row r="25" spans="1:20">
      <c r="A25" s="66">
        <v>0.35</v>
      </c>
      <c r="B25" s="10">
        <f t="shared" si="0"/>
        <v>0.98665962348223479</v>
      </c>
      <c r="D25" s="118">
        <f t="shared" si="1"/>
        <v>2.5350000000000001E-2</v>
      </c>
      <c r="E25" s="115">
        <f t="shared" si="8"/>
        <v>4</v>
      </c>
      <c r="F25" s="116">
        <f t="shared" si="5"/>
        <v>1.6674547636849769E-3</v>
      </c>
      <c r="G25" s="10"/>
      <c r="H25" s="123"/>
      <c r="I25" s="125"/>
      <c r="J25" s="124"/>
      <c r="L25" s="66">
        <f t="shared" si="2"/>
        <v>2.5350000000000001E-2</v>
      </c>
      <c r="M25" s="66">
        <f t="shared" si="9"/>
        <v>4</v>
      </c>
      <c r="N25" s="10">
        <f t="shared" si="3"/>
        <v>1.6337929133192193E-3</v>
      </c>
      <c r="P25" s="4">
        <v>0.98665962348223468</v>
      </c>
      <c r="Q25" s="10">
        <f t="shared" si="4"/>
        <v>2.5350000000000001E-2</v>
      </c>
      <c r="R25" s="10">
        <f t="shared" si="6"/>
        <v>0.99832304458335286</v>
      </c>
      <c r="S25" s="66">
        <f t="shared" si="10"/>
        <v>4</v>
      </c>
      <c r="T25" s="109">
        <f t="shared" si="7"/>
        <v>2.2611249924959567E-5</v>
      </c>
    </row>
    <row r="26" spans="1:20">
      <c r="A26" s="66">
        <v>0.4</v>
      </c>
      <c r="B26" s="10">
        <f t="shared" si="0"/>
        <v>0.98475712013605776</v>
      </c>
      <c r="D26" s="118">
        <f t="shared" si="1"/>
        <v>2.5399999999999999E-2</v>
      </c>
      <c r="E26" s="115">
        <f t="shared" si="8"/>
        <v>2</v>
      </c>
      <c r="F26" s="116">
        <f t="shared" si="5"/>
        <v>8.3376102838186221E-4</v>
      </c>
      <c r="G26" s="10"/>
      <c r="H26" s="123"/>
      <c r="I26" s="125"/>
      <c r="J26" s="124"/>
      <c r="L26" s="66">
        <f t="shared" si="2"/>
        <v>2.5399999999999999E-2</v>
      </c>
      <c r="M26" s="66">
        <f t="shared" si="9"/>
        <v>2</v>
      </c>
      <c r="N26" s="10">
        <f t="shared" si="3"/>
        <v>8.1455280843077303E-4</v>
      </c>
      <c r="P26" s="4">
        <v>0.98475712013605787</v>
      </c>
      <c r="Q26" s="10">
        <f t="shared" si="4"/>
        <v>2.5399999999999999E-2</v>
      </c>
      <c r="R26" s="10">
        <f t="shared" si="6"/>
        <v>0.99808147259455371</v>
      </c>
      <c r="S26" s="66">
        <f t="shared" si="10"/>
        <v>2</v>
      </c>
      <c r="T26" s="109">
        <f t="shared" si="7"/>
        <v>1.1107017233922914E-5</v>
      </c>
    </row>
    <row r="27" spans="1:20">
      <c r="A27" s="66">
        <v>0.45</v>
      </c>
      <c r="B27" s="10">
        <f t="shared" si="0"/>
        <v>0.98285545728630264</v>
      </c>
      <c r="D27" s="118">
        <f t="shared" si="1"/>
        <v>2.545E-2</v>
      </c>
      <c r="E27" s="115">
        <f t="shared" si="8"/>
        <v>4</v>
      </c>
      <c r="F27" s="116">
        <f t="shared" si="5"/>
        <v>1.6675780925290938E-3</v>
      </c>
      <c r="G27" s="10"/>
      <c r="H27" s="123"/>
      <c r="I27" s="125"/>
      <c r="J27" s="124"/>
      <c r="L27" s="66">
        <f t="shared" si="2"/>
        <v>2.545E-2</v>
      </c>
      <c r="M27" s="66">
        <f t="shared" si="9"/>
        <v>4</v>
      </c>
      <c r="N27" s="10">
        <f t="shared" si="3"/>
        <v>1.6244207994813942E-3</v>
      </c>
      <c r="P27" s="4">
        <v>0.98285545728630264</v>
      </c>
      <c r="Q27" s="10">
        <f t="shared" si="4"/>
        <v>2.545E-2</v>
      </c>
      <c r="R27" s="10">
        <f t="shared" si="6"/>
        <v>0.99783939435310187</v>
      </c>
      <c r="S27" s="66">
        <f t="shared" si="10"/>
        <v>4</v>
      </c>
      <c r="T27" s="109">
        <f t="shared" si="7"/>
        <v>2.1815611848942283E-5</v>
      </c>
    </row>
    <row r="28" spans="1:20">
      <c r="A28" s="66">
        <v>0.5</v>
      </c>
      <c r="B28" s="10">
        <f t="shared" si="0"/>
        <v>0.9809546429884175</v>
      </c>
      <c r="D28" s="118">
        <f t="shared" si="1"/>
        <v>2.5500000000000002E-2</v>
      </c>
      <c r="E28" s="115">
        <f t="shared" si="8"/>
        <v>2</v>
      </c>
      <c r="F28" s="116">
        <f t="shared" si="5"/>
        <v>8.3381144654015495E-4</v>
      </c>
      <c r="G28" s="10"/>
      <c r="H28" s="123"/>
      <c r="I28" s="125"/>
      <c r="J28" s="124"/>
      <c r="L28" s="66">
        <f t="shared" si="2"/>
        <v>2.5500000000000002E-2</v>
      </c>
      <c r="M28" s="66">
        <f t="shared" si="9"/>
        <v>2</v>
      </c>
      <c r="N28" s="10">
        <f t="shared" si="3"/>
        <v>8.0986926989611236E-4</v>
      </c>
      <c r="P28" s="4">
        <v>0.9809546429884175</v>
      </c>
      <c r="Q28" s="10">
        <f t="shared" si="4"/>
        <v>2.5500000000000002E-2</v>
      </c>
      <c r="R28" s="10">
        <f t="shared" si="6"/>
        <v>0.99759680834261422</v>
      </c>
      <c r="S28" s="66">
        <f t="shared" si="10"/>
        <v>2</v>
      </c>
      <c r="T28" s="109">
        <f t="shared" si="7"/>
        <v>1.0707993237117518E-5</v>
      </c>
    </row>
    <row r="29" spans="1:20">
      <c r="A29" s="66">
        <v>0.55000000000000004</v>
      </c>
      <c r="B29" s="10">
        <f t="shared" si="0"/>
        <v>0.97905468527800554</v>
      </c>
      <c r="D29" s="118">
        <f t="shared" si="1"/>
        <v>2.555E-2</v>
      </c>
      <c r="E29" s="115">
        <f t="shared" si="8"/>
        <v>4</v>
      </c>
      <c r="F29" s="116">
        <f t="shared" si="5"/>
        <v>1.667656480590203E-3</v>
      </c>
      <c r="G29" s="10"/>
      <c r="H29" s="123"/>
      <c r="I29" s="125"/>
      <c r="J29" s="124"/>
      <c r="L29" s="66">
        <f t="shared" si="2"/>
        <v>2.555E-2</v>
      </c>
      <c r="M29" s="66">
        <f t="shared" si="9"/>
        <v>4</v>
      </c>
      <c r="N29" s="10">
        <f t="shared" si="3"/>
        <v>1.6150589157826929E-3</v>
      </c>
      <c r="P29" s="4">
        <v>0.97905468527800565</v>
      </c>
      <c r="Q29" s="10">
        <f t="shared" si="4"/>
        <v>2.555E-2</v>
      </c>
      <c r="R29" s="10">
        <f t="shared" si="6"/>
        <v>0.99735371304285303</v>
      </c>
      <c r="S29" s="66">
        <f t="shared" si="10"/>
        <v>4</v>
      </c>
      <c r="T29" s="109">
        <f t="shared" si="7"/>
        <v>2.1015162754990133E-5</v>
      </c>
    </row>
    <row r="30" spans="1:20">
      <c r="A30" s="66">
        <v>0.6</v>
      </c>
      <c r="B30" s="10">
        <f t="shared" si="0"/>
        <v>0.97715559217078329</v>
      </c>
      <c r="D30" s="118">
        <f t="shared" si="1"/>
        <v>2.5600000000000001E-2</v>
      </c>
      <c r="E30" s="115">
        <f t="shared" si="8"/>
        <v>2</v>
      </c>
      <c r="F30" s="116">
        <f t="shared" si="5"/>
        <v>8.338394386524019E-4</v>
      </c>
      <c r="G30" s="10"/>
      <c r="H30" s="123"/>
      <c r="I30" s="125"/>
      <c r="J30" s="124"/>
      <c r="L30" s="66">
        <f t="shared" si="2"/>
        <v>2.5600000000000001E-2</v>
      </c>
      <c r="M30" s="66">
        <f t="shared" si="9"/>
        <v>2</v>
      </c>
      <c r="N30" s="10">
        <f t="shared" si="3"/>
        <v>8.0519100240971178E-4</v>
      </c>
      <c r="P30" s="4">
        <v>0.97715559217078329</v>
      </c>
      <c r="Q30" s="10">
        <f t="shared" si="4"/>
        <v>2.5600000000000001E-2</v>
      </c>
      <c r="R30" s="10">
        <f t="shared" si="6"/>
        <v>0.99711010692972091</v>
      </c>
      <c r="S30" s="66">
        <f t="shared" si="10"/>
        <v>2</v>
      </c>
      <c r="T30" s="109">
        <f t="shared" si="7"/>
        <v>1.0306572553855739E-5</v>
      </c>
    </row>
    <row r="31" spans="1:20">
      <c r="A31" s="66">
        <v>0.65</v>
      </c>
      <c r="B31" s="10">
        <f t="shared" si="0"/>
        <v>0.97525737166253912</v>
      </c>
      <c r="D31" s="118">
        <f t="shared" si="1"/>
        <v>2.5649999999999999E-2</v>
      </c>
      <c r="E31" s="115">
        <f t="shared" si="8"/>
        <v>4</v>
      </c>
      <c r="F31" s="116">
        <f t="shared" si="5"/>
        <v>1.6676901055429419E-3</v>
      </c>
      <c r="G31" s="10"/>
      <c r="H31" s="123"/>
      <c r="I31" s="125"/>
      <c r="J31" s="124"/>
      <c r="L31" s="66">
        <f t="shared" si="2"/>
        <v>2.5649999999999999E-2</v>
      </c>
      <c r="M31" s="66">
        <f t="shared" si="9"/>
        <v>4</v>
      </c>
      <c r="N31" s="10">
        <f t="shared" si="3"/>
        <v>1.6057078836497795E-3</v>
      </c>
      <c r="P31" s="4">
        <v>0.97525737166253912</v>
      </c>
      <c r="Q31" s="10">
        <f t="shared" si="4"/>
        <v>2.5649999999999999E-2</v>
      </c>
      <c r="R31" s="10">
        <f t="shared" si="6"/>
        <v>0.99686598847525565</v>
      </c>
      <c r="S31" s="66">
        <f t="shared" si="10"/>
        <v>4</v>
      </c>
      <c r="T31" s="109">
        <f t="shared" si="7"/>
        <v>2.0209937954096986E-5</v>
      </c>
    </row>
    <row r="32" spans="1:20">
      <c r="A32" s="66">
        <v>0.7</v>
      </c>
      <c r="B32" s="10">
        <f t="shared" si="0"/>
        <v>0.97336003172909036</v>
      </c>
      <c r="D32" s="118">
        <f t="shared" si="1"/>
        <v>2.5700000000000001E-2</v>
      </c>
      <c r="E32" s="115">
        <f t="shared" si="8"/>
        <v>2</v>
      </c>
      <c r="F32" s="116">
        <f t="shared" si="5"/>
        <v>8.338450938479208E-4</v>
      </c>
      <c r="G32" s="10"/>
      <c r="H32" s="123"/>
      <c r="I32" s="125"/>
      <c r="J32" s="124"/>
      <c r="L32" s="66">
        <f t="shared" si="2"/>
        <v>2.5700000000000001E-2</v>
      </c>
      <c r="M32" s="66">
        <f t="shared" si="9"/>
        <v>2</v>
      </c>
      <c r="N32" s="10">
        <f t="shared" si="3"/>
        <v>8.0051831420231061E-4</v>
      </c>
      <c r="P32" s="4">
        <v>0.97336003172909047</v>
      </c>
      <c r="Q32" s="10">
        <f t="shared" si="4"/>
        <v>2.5700000000000001E-2</v>
      </c>
      <c r="R32" s="10">
        <f t="shared" si="6"/>
        <v>0.99662135614762493</v>
      </c>
      <c r="S32" s="66">
        <f t="shared" si="10"/>
        <v>2</v>
      </c>
      <c r="T32" s="109">
        <f t="shared" si="7"/>
        <v>9.9027728604981262E-6</v>
      </c>
    </row>
    <row r="33" spans="1:20">
      <c r="A33" s="66">
        <v>0.75</v>
      </c>
      <c r="B33" s="10">
        <f t="shared" si="0"/>
        <v>0.97146358032624469</v>
      </c>
      <c r="D33" s="118">
        <f t="shared" si="1"/>
        <v>2.5750000000000002E-2</v>
      </c>
      <c r="E33" s="115">
        <f t="shared" si="8"/>
        <v>4</v>
      </c>
      <c r="F33" s="116">
        <f t="shared" si="5"/>
        <v>1.6676791462267202E-3</v>
      </c>
      <c r="G33" s="10"/>
      <c r="H33" s="123"/>
      <c r="I33" s="125"/>
      <c r="J33" s="124"/>
      <c r="L33" s="66">
        <f t="shared" si="2"/>
        <v>2.5750000000000002E-2</v>
      </c>
      <c r="M33" s="66">
        <f t="shared" si="9"/>
        <v>4</v>
      </c>
      <c r="N33" s="10">
        <f t="shared" si="3"/>
        <v>1.5963683146010678E-3</v>
      </c>
      <c r="P33" s="4">
        <v>0.97146358032624469</v>
      </c>
      <c r="Q33" s="10">
        <f t="shared" si="4"/>
        <v>2.5750000000000002E-2</v>
      </c>
      <c r="R33" s="10">
        <f t="shared" si="6"/>
        <v>0.9963762084111204</v>
      </c>
      <c r="S33" s="66">
        <f t="shared" si="10"/>
        <v>4</v>
      </c>
      <c r="T33" s="109">
        <f t="shared" si="7"/>
        <v>1.9399972840365772E-5</v>
      </c>
    </row>
    <row r="34" spans="1:20">
      <c r="A34" s="66">
        <v>0.8</v>
      </c>
      <c r="B34" s="10">
        <f t="shared" si="0"/>
        <v>0.96956802538975695</v>
      </c>
      <c r="D34" s="118">
        <f t="shared" si="1"/>
        <v>2.58E-2</v>
      </c>
      <c r="E34" s="115">
        <f t="shared" si="8"/>
        <v>2</v>
      </c>
      <c r="F34" s="116">
        <f t="shared" si="5"/>
        <v>8.3382850183519102E-4</v>
      </c>
      <c r="G34" s="10"/>
      <c r="H34" s="123"/>
      <c r="I34" s="125"/>
      <c r="J34" s="124"/>
      <c r="L34" s="66">
        <f t="shared" si="2"/>
        <v>2.58E-2</v>
      </c>
      <c r="M34" s="66">
        <f t="shared" si="9"/>
        <v>2</v>
      </c>
      <c r="N34" s="10">
        <f t="shared" si="3"/>
        <v>7.9585150857262182E-4</v>
      </c>
      <c r="P34" s="4">
        <v>0.96956802538975684</v>
      </c>
      <c r="Q34" s="10">
        <f t="shared" si="4"/>
        <v>2.58E-2</v>
      </c>
      <c r="R34" s="10">
        <f t="shared" si="6"/>
        <v>0.99613054372615262</v>
      </c>
      <c r="S34" s="66">
        <f t="shared" si="10"/>
        <v>2</v>
      </c>
      <c r="T34" s="109">
        <f t="shared" si="7"/>
        <v>9.4966118746135495E-6</v>
      </c>
    </row>
    <row r="35" spans="1:20">
      <c r="A35" s="66">
        <v>0.85</v>
      </c>
      <c r="B35" s="10">
        <f t="shared" si="0"/>
        <v>0.96767337483528959</v>
      </c>
      <c r="D35" s="118">
        <f t="shared" si="1"/>
        <v>2.5850000000000001E-2</v>
      </c>
      <c r="E35" s="115">
        <f t="shared" si="8"/>
        <v>4</v>
      </c>
      <c r="F35" s="116">
        <f t="shared" si="5"/>
        <v>1.667623782632816E-3</v>
      </c>
      <c r="G35" s="10"/>
      <c r="H35" s="123"/>
      <c r="I35" s="125"/>
      <c r="J35" s="124"/>
      <c r="L35" s="66">
        <f t="shared" si="2"/>
        <v>2.5850000000000001E-2</v>
      </c>
      <c r="M35" s="66">
        <f t="shared" si="9"/>
        <v>4</v>
      </c>
      <c r="N35" s="10">
        <f t="shared" si="3"/>
        <v>1.5870408103350233E-3</v>
      </c>
      <c r="P35" s="4">
        <v>0.96767337483528959</v>
      </c>
      <c r="Q35" s="10">
        <f t="shared" si="4"/>
        <v>2.5850000000000001E-2</v>
      </c>
      <c r="R35" s="10">
        <f t="shared" si="6"/>
        <v>0.99588436054924701</v>
      </c>
      <c r="S35" s="66">
        <f t="shared" si="10"/>
        <v>4</v>
      </c>
      <c r="T35" s="109">
        <f t="shared" si="7"/>
        <v>1.8585302889624659E-5</v>
      </c>
    </row>
    <row r="36" spans="1:20">
      <c r="A36" s="66">
        <v>0.9</v>
      </c>
      <c r="B36" s="10">
        <f t="shared" si="0"/>
        <v>0.96577963655837351</v>
      </c>
      <c r="D36" s="118">
        <f t="shared" si="1"/>
        <v>2.5899999999999999E-2</v>
      </c>
      <c r="E36" s="115">
        <f t="shared" si="8"/>
        <v>2</v>
      </c>
      <c r="F36" s="116">
        <f t="shared" si="5"/>
        <v>8.337897528953958E-4</v>
      </c>
      <c r="G36" s="10"/>
      <c r="H36" s="123"/>
      <c r="I36" s="125"/>
      <c r="J36" s="124"/>
      <c r="L36" s="66">
        <f t="shared" si="2"/>
        <v>2.5899999999999999E-2</v>
      </c>
      <c r="M36" s="66">
        <f t="shared" si="9"/>
        <v>2</v>
      </c>
      <c r="N36" s="10">
        <f t="shared" si="3"/>
        <v>7.9119088393138706E-4</v>
      </c>
      <c r="P36" s="4">
        <v>0.96577963655837351</v>
      </c>
      <c r="Q36" s="10">
        <f t="shared" si="4"/>
        <v>2.5899999999999999E-2</v>
      </c>
      <c r="R36" s="10">
        <f t="shared" si="6"/>
        <v>0.99563765733303655</v>
      </c>
      <c r="S36" s="66">
        <f t="shared" si="10"/>
        <v>2</v>
      </c>
      <c r="T36" s="109">
        <f t="shared" si="7"/>
        <v>9.0881073542901914E-6</v>
      </c>
    </row>
    <row r="37" spans="1:20">
      <c r="A37" s="66">
        <v>0.95</v>
      </c>
      <c r="B37" s="10">
        <f t="shared" si="0"/>
        <v>0.96388681843436597</v>
      </c>
      <c r="D37" s="118">
        <f t="shared" si="1"/>
        <v>2.5950000000000001E-2</v>
      </c>
      <c r="E37" s="115">
        <f t="shared" si="8"/>
        <v>4</v>
      </c>
      <c r="F37" s="116">
        <f t="shared" si="5"/>
        <v>1.6675241958914533E-3</v>
      </c>
      <c r="G37" s="10"/>
      <c r="H37" s="123"/>
      <c r="I37" s="125"/>
      <c r="J37" s="124"/>
      <c r="L37" s="66">
        <f t="shared" si="2"/>
        <v>2.5950000000000001E-2</v>
      </c>
      <c r="M37" s="66">
        <f t="shared" si="9"/>
        <v>4</v>
      </c>
      <c r="N37" s="10">
        <f t="shared" si="3"/>
        <v>1.5777259628180836E-3</v>
      </c>
      <c r="P37" s="4">
        <v>0.96388681843436597</v>
      </c>
      <c r="Q37" s="10">
        <f t="shared" si="4"/>
        <v>2.5950000000000001E-2</v>
      </c>
      <c r="R37" s="10">
        <f t="shared" si="6"/>
        <v>0.99539043252625792</v>
      </c>
      <c r="S37" s="66">
        <f t="shared" si="10"/>
        <v>4</v>
      </c>
      <c r="T37" s="109">
        <f t="shared" si="7"/>
        <v>1.776596365805238E-5</v>
      </c>
    </row>
    <row r="38" spans="1:20">
      <c r="A38" s="66">
        <v>1</v>
      </c>
      <c r="B38" s="10">
        <f t="shared" si="0"/>
        <v>0.96199492831841349</v>
      </c>
      <c r="D38" s="118">
        <f t="shared" si="1"/>
        <v>2.6000000000000002E-2</v>
      </c>
      <c r="E38" s="115">
        <f t="shared" si="8"/>
        <v>2</v>
      </c>
      <c r="F38" s="116">
        <f t="shared" si="5"/>
        <v>8.3372893787595848E-4</v>
      </c>
      <c r="G38" s="10"/>
      <c r="H38" s="123"/>
      <c r="I38" s="125"/>
      <c r="J38" s="124"/>
      <c r="L38" s="66">
        <f t="shared" si="2"/>
        <v>2.6000000000000002E-2</v>
      </c>
      <c r="M38" s="66">
        <f t="shared" si="9"/>
        <v>2</v>
      </c>
      <c r="N38" s="10">
        <f t="shared" si="3"/>
        <v>7.865367338452438E-4</v>
      </c>
      <c r="P38" s="4">
        <v>0.9619949283184136</v>
      </c>
      <c r="Q38" s="10">
        <f t="shared" si="4"/>
        <v>2.6000000000000002E-2</v>
      </c>
      <c r="R38" s="10">
        <f t="shared" si="6"/>
        <v>0.99514268457374666</v>
      </c>
      <c r="S38" s="66">
        <f t="shared" si="10"/>
        <v>2</v>
      </c>
      <c r="T38" s="109">
        <f t="shared" si="7"/>
        <v>8.6772770974467491E-6</v>
      </c>
    </row>
    <row r="39" spans="1:20">
      <c r="A39" s="66">
        <v>1.05</v>
      </c>
      <c r="B39" s="10">
        <f t="shared" si="0"/>
        <v>0.96010397404541092</v>
      </c>
      <c r="D39" s="118">
        <f t="shared" si="1"/>
        <v>2.605E-2</v>
      </c>
      <c r="E39" s="115">
        <f t="shared" si="8"/>
        <v>4</v>
      </c>
      <c r="F39" s="116">
        <f t="shared" si="5"/>
        <v>1.6673805682588638E-3</v>
      </c>
      <c r="G39" s="10"/>
      <c r="H39" s="123"/>
      <c r="I39" s="125"/>
      <c r="J39" s="124"/>
      <c r="L39" s="66">
        <f t="shared" si="2"/>
        <v>2.605E-2</v>
      </c>
      <c r="M39" s="66">
        <f t="shared" si="9"/>
        <v>4</v>
      </c>
      <c r="N39" s="10">
        <f t="shared" si="3"/>
        <v>1.5684243543721932E-3</v>
      </c>
      <c r="P39" s="4">
        <v>0.96010397404541092</v>
      </c>
      <c r="Q39" s="10">
        <f t="shared" si="4"/>
        <v>2.605E-2</v>
      </c>
      <c r="R39" s="10">
        <f t="shared" si="6"/>
        <v>0.99489441191643069</v>
      </c>
      <c r="S39" s="66">
        <f t="shared" si="10"/>
        <v>4</v>
      </c>
      <c r="T39" s="109">
        <f t="shared" si="7"/>
        <v>1.6941990780805526E-5</v>
      </c>
    </row>
    <row r="40" spans="1:20">
      <c r="A40" s="66">
        <v>1.1000000000000001</v>
      </c>
      <c r="B40" s="10">
        <f t="shared" si="0"/>
        <v>0.95821396342996312</v>
      </c>
      <c r="D40" s="118">
        <f t="shared" si="1"/>
        <v>2.6100000000000002E-2</v>
      </c>
      <c r="E40" s="115">
        <f t="shared" si="8"/>
        <v>2</v>
      </c>
      <c r="F40" s="116">
        <f t="shared" si="5"/>
        <v>8.3364614818406794E-4</v>
      </c>
      <c r="G40" s="10"/>
      <c r="H40" s="123"/>
      <c r="I40" s="125"/>
      <c r="J40" s="124"/>
      <c r="L40" s="66">
        <f t="shared" si="2"/>
        <v>2.6100000000000002E-2</v>
      </c>
      <c r="M40" s="66">
        <f t="shared" si="9"/>
        <v>2</v>
      </c>
      <c r="N40" s="10">
        <f t="shared" si="3"/>
        <v>7.8188934708039472E-4</v>
      </c>
      <c r="P40" s="4">
        <v>0.95821396342996323</v>
      </c>
      <c r="Q40" s="10">
        <f t="shared" si="4"/>
        <v>2.6100000000000002E-2</v>
      </c>
      <c r="R40" s="10">
        <f t="shared" si="6"/>
        <v>0.99464561299132659</v>
      </c>
      <c r="S40" s="66">
        <f t="shared" si="10"/>
        <v>2</v>
      </c>
      <c r="T40" s="109">
        <f t="shared" si="7"/>
        <v>8.2641389411497138E-6</v>
      </c>
    </row>
    <row r="41" spans="1:20">
      <c r="A41" s="66">
        <v>1.1499999999999999</v>
      </c>
      <c r="B41" s="10">
        <f t="shared" si="0"/>
        <v>0.95632490426634686</v>
      </c>
      <c r="D41" s="118">
        <f t="shared" si="1"/>
        <v>2.615E-2</v>
      </c>
      <c r="E41" s="115">
        <f t="shared" si="8"/>
        <v>4</v>
      </c>
      <c r="F41" s="116">
        <f t="shared" si="5"/>
        <v>1.6671930831043315E-3</v>
      </c>
      <c r="G41" s="10"/>
      <c r="H41" s="123"/>
      <c r="I41" s="125"/>
      <c r="J41" s="124"/>
      <c r="L41" s="66">
        <f t="shared" si="2"/>
        <v>2.615E-2</v>
      </c>
      <c r="M41" s="66">
        <f t="shared" si="9"/>
        <v>4</v>
      </c>
      <c r="N41" s="10">
        <f t="shared" si="3"/>
        <v>1.5591365577619595E-3</v>
      </c>
      <c r="P41" s="4">
        <v>0.95632490426634686</v>
      </c>
      <c r="Q41" s="10">
        <f t="shared" si="4"/>
        <v>2.615E-2</v>
      </c>
      <c r="R41" s="10">
        <f t="shared" si="6"/>
        <v>0.99439628623153331</v>
      </c>
      <c r="S41" s="66">
        <f t="shared" si="10"/>
        <v>4</v>
      </c>
      <c r="T41" s="109">
        <f t="shared" si="7"/>
        <v>1.6113419970650476E-5</v>
      </c>
    </row>
    <row r="42" spans="1:20">
      <c r="A42" s="66">
        <v>1.2</v>
      </c>
      <c r="B42" s="10">
        <f t="shared" si="0"/>
        <v>0.95443680432847144</v>
      </c>
      <c r="D42" s="118">
        <f t="shared" si="1"/>
        <v>2.6200000000000001E-2</v>
      </c>
      <c r="E42" s="115">
        <f t="shared" si="8"/>
        <v>2</v>
      </c>
      <c r="F42" s="116">
        <f t="shared" si="5"/>
        <v>8.3354147578019848E-4</v>
      </c>
      <c r="G42" s="10"/>
      <c r="H42" s="123"/>
      <c r="I42" s="125"/>
      <c r="J42" s="124"/>
      <c r="L42" s="66">
        <f t="shared" si="2"/>
        <v>2.6200000000000001E-2</v>
      </c>
      <c r="M42" s="66">
        <f t="shared" si="9"/>
        <v>2</v>
      </c>
      <c r="N42" s="10">
        <f t="shared" si="3"/>
        <v>7.772490076460891E-4</v>
      </c>
      <c r="P42" s="4">
        <v>0.95443680432847133</v>
      </c>
      <c r="Q42" s="10">
        <f t="shared" si="4"/>
        <v>2.6200000000000001E-2</v>
      </c>
      <c r="R42" s="10">
        <f t="shared" si="6"/>
        <v>0.99414643006622827</v>
      </c>
      <c r="S42" s="66">
        <f t="shared" si="10"/>
        <v>2</v>
      </c>
      <c r="T42" s="109">
        <f t="shared" si="7"/>
        <v>7.8487107609287877E-6</v>
      </c>
    </row>
    <row r="43" spans="1:20">
      <c r="A43" s="66">
        <v>1.25</v>
      </c>
      <c r="B43" s="10">
        <f t="shared" si="0"/>
        <v>0.95254967136984192</v>
      </c>
      <c r="D43" s="118">
        <f t="shared" si="1"/>
        <v>2.6249999999999999E-2</v>
      </c>
      <c r="E43" s="115">
        <f t="shared" si="8"/>
        <v>4</v>
      </c>
      <c r="F43" s="116">
        <f t="shared" si="5"/>
        <v>1.6669619248972235E-3</v>
      </c>
      <c r="G43" s="10"/>
      <c r="H43" s="123"/>
      <c r="I43" s="125"/>
      <c r="J43" s="124"/>
      <c r="L43" s="66">
        <f t="shared" si="2"/>
        <v>2.6249999999999999E-2</v>
      </c>
      <c r="M43" s="66">
        <f t="shared" si="9"/>
        <v>4</v>
      </c>
      <c r="N43" s="10">
        <f t="shared" si="3"/>
        <v>1.5498631362814131E-3</v>
      </c>
      <c r="P43" s="4">
        <v>0.95254967136984181</v>
      </c>
      <c r="Q43" s="10">
        <f t="shared" si="4"/>
        <v>2.6249999999999999E-2</v>
      </c>
      <c r="R43" s="10">
        <f t="shared" si="6"/>
        <v>0.99389604292066169</v>
      </c>
      <c r="S43" s="66">
        <f t="shared" si="10"/>
        <v>4</v>
      </c>
      <c r="T43" s="109">
        <f t="shared" si="7"/>
        <v>1.5280287016600061E-5</v>
      </c>
    </row>
    <row r="44" spans="1:20">
      <c r="A44" s="66">
        <v>1.3</v>
      </c>
      <c r="B44" s="10">
        <f t="shared" si="0"/>
        <v>0.95066351312352115</v>
      </c>
      <c r="D44" s="118">
        <f t="shared" si="1"/>
        <v>2.63E-2</v>
      </c>
      <c r="E44" s="115">
        <f t="shared" si="8"/>
        <v>2</v>
      </c>
      <c r="F44" s="116">
        <f t="shared" si="5"/>
        <v>8.3341501317162026E-4</v>
      </c>
      <c r="G44" s="10"/>
      <c r="H44" s="123"/>
      <c r="I44" s="125"/>
      <c r="J44" s="124"/>
      <c r="L44" s="66">
        <f t="shared" si="2"/>
        <v>2.63E-2</v>
      </c>
      <c r="M44" s="66">
        <f t="shared" si="9"/>
        <v>2</v>
      </c>
      <c r="N44" s="10">
        <f t="shared" si="3"/>
        <v>7.72615994837906E-4</v>
      </c>
      <c r="P44" s="4">
        <v>0.95066351312352115</v>
      </c>
      <c r="Q44" s="10">
        <f t="shared" si="4"/>
        <v>2.63E-2</v>
      </c>
      <c r="R44" s="10">
        <f t="shared" si="6"/>
        <v>0.99364512321615217</v>
      </c>
      <c r="S44" s="66">
        <f t="shared" si="10"/>
        <v>2</v>
      </c>
      <c r="T44" s="109">
        <f t="shared" si="7"/>
        <v>7.4310104700982623E-6</v>
      </c>
    </row>
    <row r="45" spans="1:20">
      <c r="A45" s="66">
        <v>1.35</v>
      </c>
      <c r="B45" s="10">
        <f t="shared" si="0"/>
        <v>0.9487783373020916</v>
      </c>
      <c r="D45" s="118">
        <f t="shared" si="1"/>
        <v>2.6350000000000002E-2</v>
      </c>
      <c r="E45" s="115">
        <f t="shared" si="8"/>
        <v>4</v>
      </c>
      <c r="F45" s="116">
        <f t="shared" si="5"/>
        <v>1.666687279194008E-3</v>
      </c>
      <c r="G45" s="10"/>
      <c r="H45" s="123"/>
      <c r="I45" s="125"/>
      <c r="J45" s="124"/>
      <c r="L45" s="66">
        <f t="shared" si="2"/>
        <v>2.6350000000000002E-2</v>
      </c>
      <c r="M45" s="66">
        <f t="shared" si="9"/>
        <v>4</v>
      </c>
      <c r="N45" s="10">
        <f t="shared" si="3"/>
        <v>1.5406046438403869E-3</v>
      </c>
      <c r="P45" s="4">
        <v>0.94877833730209171</v>
      </c>
      <c r="Q45" s="10">
        <f t="shared" si="4"/>
        <v>2.6350000000000002E-2</v>
      </c>
      <c r="R45" s="10">
        <f t="shared" si="6"/>
        <v>0.99339366937007989</v>
      </c>
      <c r="S45" s="66">
        <f t="shared" si="10"/>
        <v>4</v>
      </c>
      <c r="T45" s="109">
        <f t="shared" si="7"/>
        <v>1.4442627782558268E-5</v>
      </c>
    </row>
    <row r="46" spans="1:20">
      <c r="A46" s="66">
        <v>1.4</v>
      </c>
      <c r="B46" s="10">
        <f t="shared" si="0"/>
        <v>0.94689415159762047</v>
      </c>
      <c r="D46" s="118">
        <f t="shared" si="1"/>
        <v>2.64E-2</v>
      </c>
      <c r="E46" s="115">
        <f t="shared" si="8"/>
        <v>2</v>
      </c>
      <c r="F46" s="116">
        <f t="shared" si="5"/>
        <v>8.3326685340590599E-4</v>
      </c>
      <c r="G46" s="10"/>
      <c r="H46" s="123"/>
      <c r="I46" s="125"/>
      <c r="J46" s="124"/>
      <c r="L46" s="66">
        <f t="shared" si="2"/>
        <v>2.64E-2</v>
      </c>
      <c r="M46" s="66">
        <f t="shared" si="9"/>
        <v>2</v>
      </c>
      <c r="N46" s="10">
        <f t="shared" si="3"/>
        <v>7.6799058328084612E-4</v>
      </c>
      <c r="P46" s="4">
        <v>0.94689415159762036</v>
      </c>
      <c r="Q46" s="10">
        <f t="shared" si="4"/>
        <v>2.64E-2</v>
      </c>
      <c r="R46" s="10">
        <f t="shared" si="6"/>
        <v>0.99314167979588519</v>
      </c>
      <c r="S46" s="66">
        <f t="shared" si="10"/>
        <v>2</v>
      </c>
      <c r="T46" s="109">
        <f t="shared" si="7"/>
        <v>7.0110560190772353E-6</v>
      </c>
    </row>
    <row r="47" spans="1:20">
      <c r="A47" s="66">
        <v>1.45</v>
      </c>
      <c r="B47" s="10">
        <f t="shared" si="0"/>
        <v>0.94501096368161985</v>
      </c>
      <c r="D47" s="118">
        <f t="shared" si="1"/>
        <v>2.6450000000000001E-2</v>
      </c>
      <c r="E47" s="115">
        <f t="shared" si="8"/>
        <v>4</v>
      </c>
      <c r="F47" s="116">
        <f t="shared" si="5"/>
        <v>1.6663693326252566E-3</v>
      </c>
      <c r="G47" s="10"/>
      <c r="H47" s="123"/>
      <c r="I47" s="125"/>
      <c r="J47" s="124"/>
      <c r="L47" s="66">
        <f t="shared" si="2"/>
        <v>2.6450000000000001E-2</v>
      </c>
      <c r="M47" s="66">
        <f t="shared" si="9"/>
        <v>4</v>
      </c>
      <c r="N47" s="10">
        <f t="shared" si="3"/>
        <v>1.5313616250504959E-3</v>
      </c>
      <c r="P47" s="4">
        <v>0.94501096368161985</v>
      </c>
      <c r="Q47" s="10">
        <f t="shared" si="4"/>
        <v>2.6450000000000001E-2</v>
      </c>
      <c r="R47" s="10">
        <f t="shared" si="6"/>
        <v>0.9928891529030599</v>
      </c>
      <c r="S47" s="66">
        <f t="shared" si="10"/>
        <v>4</v>
      </c>
      <c r="T47" s="109">
        <f t="shared" si="7"/>
        <v>1.3600478205962756E-5</v>
      </c>
    </row>
    <row r="48" spans="1:20">
      <c r="A48" s="66">
        <v>1.5</v>
      </c>
      <c r="B48" s="10">
        <f t="shared" si="0"/>
        <v>0.94312878120501376</v>
      </c>
      <c r="D48" s="118">
        <f t="shared" si="1"/>
        <v>2.6499999999999999E-2</v>
      </c>
      <c r="E48" s="115">
        <f t="shared" si="8"/>
        <v>2</v>
      </c>
      <c r="F48" s="116">
        <f t="shared" si="5"/>
        <v>8.3309709006442899E-4</v>
      </c>
      <c r="G48" s="10"/>
      <c r="H48" s="123"/>
      <c r="I48" s="125"/>
      <c r="J48" s="124"/>
      <c r="L48" s="66">
        <f t="shared" si="2"/>
        <v>2.6499999999999999E-2</v>
      </c>
      <c r="M48" s="66">
        <f t="shared" si="9"/>
        <v>2</v>
      </c>
      <c r="N48" s="10">
        <f t="shared" si="3"/>
        <v>7.6337304297222281E-4</v>
      </c>
      <c r="P48" s="4">
        <v>0.94312878120501376</v>
      </c>
      <c r="Q48" s="10">
        <f t="shared" si="4"/>
        <v>2.6499999999999999E-2</v>
      </c>
      <c r="R48" s="10">
        <f t="shared" si="6"/>
        <v>0.99263608709714546</v>
      </c>
      <c r="S48" s="66">
        <f t="shared" si="10"/>
        <v>2</v>
      </c>
      <c r="T48" s="109">
        <f t="shared" si="7"/>
        <v>6.5888653947159658E-6</v>
      </c>
    </row>
    <row r="49" spans="1:20">
      <c r="A49" s="66">
        <v>1.55</v>
      </c>
      <c r="B49" s="10">
        <f t="shared" si="0"/>
        <v>0.9412476117980999</v>
      </c>
      <c r="D49" s="118">
        <f t="shared" si="1"/>
        <v>2.6550000000000001E-2</v>
      </c>
      <c r="E49" s="115">
        <f t="shared" si="8"/>
        <v>4</v>
      </c>
      <c r="F49" s="116">
        <f t="shared" si="5"/>
        <v>1.6660082728826369E-3</v>
      </c>
      <c r="G49" s="10"/>
      <c r="H49" s="123"/>
      <c r="I49" s="125"/>
      <c r="J49" s="124"/>
      <c r="L49" s="66">
        <f t="shared" si="2"/>
        <v>2.6550000000000001E-2</v>
      </c>
      <c r="M49" s="66">
        <f t="shared" si="9"/>
        <v>4</v>
      </c>
      <c r="N49" s="10">
        <f t="shared" si="3"/>
        <v>1.5221346153107282E-3</v>
      </c>
      <c r="P49" s="4">
        <v>0.9412476117980999</v>
      </c>
      <c r="Q49" s="10">
        <f t="shared" si="4"/>
        <v>2.6550000000000001E-2</v>
      </c>
      <c r="R49" s="10">
        <f t="shared" si="6"/>
        <v>0.99238248077972635</v>
      </c>
      <c r="S49" s="66">
        <f t="shared" si="10"/>
        <v>4</v>
      </c>
      <c r="T49" s="109">
        <f t="shared" si="7"/>
        <v>1.2753874296438212E-5</v>
      </c>
    </row>
    <row r="50" spans="1:20">
      <c r="A50" s="66">
        <v>1.6</v>
      </c>
      <c r="B50" s="10">
        <f t="shared" ref="B50:B78" si="11">EXP(-0.0005*((B$9+A50)^2-B$9^2))*EXP(-0.01*A50)*(B$10^A50)*B$11^((B$8^B$9)*(B$8^A50-1))</f>
        <v>0.93936746307051433</v>
      </c>
      <c r="D50" s="118">
        <f t="shared" si="1"/>
        <v>2.6600000000000002E-2</v>
      </c>
      <c r="E50" s="115">
        <f t="shared" si="8"/>
        <v>2</v>
      </c>
      <c r="F50" s="116">
        <f t="shared" si="5"/>
        <v>8.329058172558563E-4</v>
      </c>
      <c r="G50" s="10"/>
      <c r="H50" s="123"/>
      <c r="I50" s="125"/>
      <c r="J50" s="124"/>
      <c r="L50" s="66">
        <f t="shared" ref="L50:L78" si="12">0.001*(B$9+A50)</f>
        <v>2.6600000000000002E-2</v>
      </c>
      <c r="M50" s="66">
        <f t="shared" si="9"/>
        <v>2</v>
      </c>
      <c r="N50" s="10">
        <f t="shared" ref="N50:N78" si="13">B50*L50*M50*0.05/(3*(1.06^A50))</f>
        <v>7.5876363932436068E-4</v>
      </c>
      <c r="P50" s="4">
        <v>0.93936746307051444</v>
      </c>
      <c r="Q50" s="10">
        <f t="shared" ref="Q50:Q78" si="14">0.001*(B$9+A50)</f>
        <v>2.6600000000000002E-2</v>
      </c>
      <c r="R50" s="10">
        <f t="shared" si="6"/>
        <v>0.99212833234842579</v>
      </c>
      <c r="S50" s="66">
        <f t="shared" si="10"/>
        <v>2</v>
      </c>
      <c r="T50" s="109">
        <f t="shared" si="7"/>
        <v>6.1644566196214929E-6</v>
      </c>
    </row>
    <row r="51" spans="1:20">
      <c r="A51" s="66">
        <v>1.65</v>
      </c>
      <c r="B51" s="10">
        <f t="shared" si="11"/>
        <v>0.93748834261119718</v>
      </c>
      <c r="D51" s="118">
        <f t="shared" si="1"/>
        <v>2.665E-2</v>
      </c>
      <c r="E51" s="115">
        <f t="shared" si="8"/>
        <v>4</v>
      </c>
      <c r="F51" s="116">
        <f t="shared" si="5"/>
        <v>1.6656042887058936E-3</v>
      </c>
      <c r="G51" s="10"/>
      <c r="H51" s="123"/>
      <c r="I51" s="125"/>
      <c r="J51" s="124"/>
      <c r="L51" s="66">
        <f t="shared" si="12"/>
        <v>2.665E-2</v>
      </c>
      <c r="M51" s="66">
        <f t="shared" si="9"/>
        <v>4</v>
      </c>
      <c r="N51" s="10">
        <f t="shared" si="13"/>
        <v>1.5129241408926412E-3</v>
      </c>
      <c r="P51" s="4">
        <v>0.93748834261119718</v>
      </c>
      <c r="Q51" s="10">
        <f t="shared" si="14"/>
        <v>2.665E-2</v>
      </c>
      <c r="R51" s="10">
        <f t="shared" si="6"/>
        <v>0.99187364019690127</v>
      </c>
      <c r="S51" s="66">
        <f t="shared" si="10"/>
        <v>4</v>
      </c>
      <c r="T51" s="109">
        <f t="shared" si="7"/>
        <v>1.1902852134451892E-5</v>
      </c>
    </row>
    <row r="52" spans="1:20">
      <c r="A52" s="66">
        <v>1.7</v>
      </c>
      <c r="B52" s="10">
        <f t="shared" si="11"/>
        <v>0.93561025798835551</v>
      </c>
      <c r="D52" s="118">
        <f t="shared" si="1"/>
        <v>2.6700000000000002E-2</v>
      </c>
      <c r="E52" s="115">
        <f t="shared" si="8"/>
        <v>2</v>
      </c>
      <c r="F52" s="116">
        <f t="shared" si="5"/>
        <v>8.3269312960963652E-4</v>
      </c>
      <c r="G52" s="10"/>
      <c r="H52" s="123"/>
      <c r="I52" s="125"/>
      <c r="J52" s="124"/>
      <c r="L52" s="66">
        <f t="shared" si="12"/>
        <v>2.6700000000000002E-2</v>
      </c>
      <c r="M52" s="66">
        <f t="shared" si="9"/>
        <v>2</v>
      </c>
      <c r="N52" s="10">
        <f t="shared" si="13"/>
        <v>7.5416263320709196E-4</v>
      </c>
      <c r="P52" s="4">
        <v>0.93561025798835551</v>
      </c>
      <c r="Q52" s="10">
        <f t="shared" si="14"/>
        <v>2.6700000000000002E-2</v>
      </c>
      <c r="R52" s="10">
        <f t="shared" si="6"/>
        <v>0.99161840271483959</v>
      </c>
      <c r="S52" s="66">
        <f t="shared" si="10"/>
        <v>2</v>
      </c>
      <c r="T52" s="109">
        <f t="shared" si="7"/>
        <v>5.7378477514863287E-6</v>
      </c>
    </row>
    <row r="53" spans="1:20">
      <c r="A53" s="66">
        <v>1.75</v>
      </c>
      <c r="B53" s="10">
        <f t="shared" si="11"/>
        <v>0.93373321674943133</v>
      </c>
      <c r="D53" s="118">
        <f t="shared" si="1"/>
        <v>2.6749999999999999E-2</v>
      </c>
      <c r="E53" s="115">
        <f t="shared" si="8"/>
        <v>4</v>
      </c>
      <c r="F53" s="116">
        <f t="shared" si="5"/>
        <v>1.6651575698698193E-3</v>
      </c>
      <c r="G53" s="10"/>
      <c r="H53" s="123"/>
      <c r="I53" s="125"/>
      <c r="J53" s="124"/>
      <c r="L53" s="66">
        <f t="shared" si="12"/>
        <v>2.6749999999999999E-2</v>
      </c>
      <c r="M53" s="66">
        <f t="shared" si="9"/>
        <v>4</v>
      </c>
      <c r="N53" s="10">
        <f t="shared" si="13"/>
        <v>1.503730719025158E-3</v>
      </c>
      <c r="P53" s="4">
        <v>0.93373321674943122</v>
      </c>
      <c r="Q53" s="10">
        <f t="shared" si="14"/>
        <v>2.6749999999999999E-2</v>
      </c>
      <c r="R53" s="10">
        <f t="shared" si="6"/>
        <v>0.99136261828795247</v>
      </c>
      <c r="S53" s="66">
        <f t="shared" si="10"/>
        <v>4</v>
      </c>
      <c r="T53" s="109">
        <f t="shared" si="7"/>
        <v>1.1047447869973846E-5</v>
      </c>
    </row>
    <row r="54" spans="1:20">
      <c r="A54" s="66">
        <v>1.8</v>
      </c>
      <c r="B54" s="10">
        <f t="shared" si="11"/>
        <v>0.93185722642106406</v>
      </c>
      <c r="D54" s="118">
        <f t="shared" si="1"/>
        <v>2.6800000000000001E-2</v>
      </c>
      <c r="E54" s="115">
        <f t="shared" si="8"/>
        <v>2</v>
      </c>
      <c r="F54" s="116">
        <f t="shared" si="5"/>
        <v>8.3245912226948395E-4</v>
      </c>
      <c r="G54" s="10"/>
      <c r="H54" s="123"/>
      <c r="I54" s="125"/>
      <c r="J54" s="124"/>
      <c r="L54" s="66">
        <f t="shared" si="12"/>
        <v>2.6800000000000001E-2</v>
      </c>
      <c r="M54" s="66">
        <f t="shared" si="9"/>
        <v>2</v>
      </c>
      <c r="N54" s="10">
        <f t="shared" si="13"/>
        <v>7.495702809900566E-4</v>
      </c>
      <c r="P54" s="4">
        <v>0.93185722642106417</v>
      </c>
      <c r="Q54" s="10">
        <f t="shared" si="14"/>
        <v>2.6800000000000001E-2</v>
      </c>
      <c r="R54" s="10">
        <f t="shared" si="6"/>
        <v>0.99110628529797185</v>
      </c>
      <c r="S54" s="66">
        <f t="shared" si="10"/>
        <v>2</v>
      </c>
      <c r="T54" s="109">
        <f t="shared" si="7"/>
        <v>5.3090568824216816E-6</v>
      </c>
    </row>
    <row r="55" spans="1:20">
      <c r="A55" s="66">
        <v>1.85</v>
      </c>
      <c r="B55" s="10">
        <f t="shared" si="11"/>
        <v>0.92998229450905878</v>
      </c>
      <c r="D55" s="118">
        <f t="shared" si="1"/>
        <v>2.6850000000000002E-2</v>
      </c>
      <c r="E55" s="115">
        <f t="shared" si="8"/>
        <v>4</v>
      </c>
      <c r="F55" s="116">
        <f t="shared" si="5"/>
        <v>1.6646683071712156E-3</v>
      </c>
      <c r="G55" s="10"/>
      <c r="H55" s="123"/>
      <c r="I55" s="125"/>
      <c r="J55" s="124"/>
      <c r="L55" s="66">
        <f t="shared" si="12"/>
        <v>2.6850000000000002E-2</v>
      </c>
      <c r="M55" s="66">
        <f t="shared" si="9"/>
        <v>4</v>
      </c>
      <c r="N55" s="10">
        <f t="shared" si="13"/>
        <v>1.4945548579789632E-3</v>
      </c>
      <c r="P55" s="4">
        <v>0.92998229450905878</v>
      </c>
      <c r="Q55" s="10">
        <f t="shared" si="14"/>
        <v>2.6850000000000002E-2</v>
      </c>
      <c r="R55" s="10">
        <f t="shared" si="6"/>
        <v>0.99084940212264416</v>
      </c>
      <c r="S55" s="66">
        <f t="shared" si="10"/>
        <v>4</v>
      </c>
      <c r="T55" s="109">
        <f t="shared" si="7"/>
        <v>1.0187697721144677E-5</v>
      </c>
    </row>
    <row r="56" spans="1:20">
      <c r="A56" s="66">
        <v>1.9</v>
      </c>
      <c r="B56" s="10">
        <f t="shared" si="11"/>
        <v>0.92810842849835151</v>
      </c>
      <c r="D56" s="118">
        <f t="shared" si="1"/>
        <v>2.69E-2</v>
      </c>
      <c r="E56" s="115">
        <f t="shared" si="8"/>
        <v>2</v>
      </c>
      <c r="F56" s="116">
        <f t="shared" si="5"/>
        <v>8.3220389088685528E-4</v>
      </c>
      <c r="G56" s="10"/>
      <c r="H56" s="123"/>
      <c r="I56" s="125"/>
      <c r="J56" s="124"/>
      <c r="L56" s="66">
        <f t="shared" si="12"/>
        <v>2.69E-2</v>
      </c>
      <c r="M56" s="66">
        <f t="shared" si="9"/>
        <v>2</v>
      </c>
      <c r="N56" s="10">
        <f t="shared" si="13"/>
        <v>7.4498683458480025E-4</v>
      </c>
      <c r="P56" s="4">
        <v>0.92810842849835151</v>
      </c>
      <c r="Q56" s="10">
        <f t="shared" si="14"/>
        <v>2.69E-2</v>
      </c>
      <c r="R56" s="10">
        <f t="shared" si="6"/>
        <v>0.99059196713572795</v>
      </c>
      <c r="S56" s="66">
        <f t="shared" si="10"/>
        <v>2</v>
      </c>
      <c r="T56" s="109">
        <f t="shared" si="7"/>
        <v>4.8781021382895623E-6</v>
      </c>
    </row>
    <row r="57" spans="1:20">
      <c r="A57" s="66">
        <v>1.95</v>
      </c>
      <c r="B57" s="10">
        <f t="shared" si="11"/>
        <v>0.92623563585297564</v>
      </c>
      <c r="D57" s="118">
        <f t="shared" si="1"/>
        <v>2.6949999999999998E-2</v>
      </c>
      <c r="E57" s="115">
        <f t="shared" si="8"/>
        <v>4</v>
      </c>
      <c r="F57" s="116">
        <f t="shared" si="5"/>
        <v>1.6641366924158461E-3</v>
      </c>
      <c r="G57" s="10"/>
      <c r="H57" s="123"/>
      <c r="I57" s="125"/>
      <c r="J57" s="124"/>
      <c r="L57" s="66">
        <f t="shared" si="12"/>
        <v>2.6949999999999998E-2</v>
      </c>
      <c r="M57" s="66">
        <f t="shared" si="9"/>
        <v>4</v>
      </c>
      <c r="N57" s="10">
        <f t="shared" si="13"/>
        <v>1.4853970571505044E-3</v>
      </c>
      <c r="P57" s="4">
        <v>0.92623563585297564</v>
      </c>
      <c r="Q57" s="10">
        <f t="shared" si="14"/>
        <v>2.6949999999999998E-2</v>
      </c>
      <c r="R57" s="10">
        <f t="shared" si="6"/>
        <v>0.99033397870698725</v>
      </c>
      <c r="S57" s="66">
        <f t="shared" si="10"/>
        <v>4</v>
      </c>
      <c r="T57" s="109">
        <f t="shared" si="7"/>
        <v>9.3236379729412942E-6</v>
      </c>
    </row>
    <row r="58" spans="1:20">
      <c r="A58" s="66">
        <v>2</v>
      </c>
      <c r="B58" s="10">
        <f t="shared" si="11"/>
        <v>0.92436392401602874</v>
      </c>
      <c r="D58" s="118">
        <f t="shared" si="1"/>
        <v>2.7E-2</v>
      </c>
      <c r="E58" s="115">
        <v>1</v>
      </c>
      <c r="F58" s="116">
        <f t="shared" si="5"/>
        <v>4.1596376580721293E-4</v>
      </c>
      <c r="G58" s="10"/>
      <c r="H58" s="118">
        <f t="shared" ref="H58:H78" si="15">B$6+B$7*(B$8^(25+A58))</f>
        <v>3.4855470518706795E-3</v>
      </c>
      <c r="I58" s="115">
        <v>1</v>
      </c>
      <c r="J58" s="116">
        <f t="shared" ref="J58:J78" si="16">I58*B58*H58*0.05/3</f>
        <v>5.3698565836828029E-5</v>
      </c>
      <c r="L58" s="66">
        <f t="shared" si="12"/>
        <v>2.7E-2</v>
      </c>
      <c r="M58" s="66">
        <f t="shared" si="9"/>
        <v>2</v>
      </c>
      <c r="N58" s="10">
        <f t="shared" si="13"/>
        <v>7.4041254148667296E-4</v>
      </c>
      <c r="P58" s="4">
        <v>0.92436392401602863</v>
      </c>
      <c r="Q58" s="10">
        <f t="shared" si="14"/>
        <v>2.7E-2</v>
      </c>
      <c r="R58" s="10">
        <f t="shared" si="6"/>
        <v>0.99007543520218866</v>
      </c>
      <c r="S58" s="66">
        <f t="shared" si="10"/>
        <v>2</v>
      </c>
      <c r="T58" s="109">
        <f t="shared" si="7"/>
        <v>4.4450016780401622E-6</v>
      </c>
    </row>
    <row r="59" spans="1:20">
      <c r="A59" s="66">
        <v>2.0499999999999998</v>
      </c>
      <c r="B59" s="10">
        <f t="shared" si="11"/>
        <v>0.92249330040964039</v>
      </c>
      <c r="D59" s="119"/>
      <c r="E59" s="37"/>
      <c r="F59" s="120">
        <f>SUM(F18:F58)</f>
        <v>5.000176432035406E-2</v>
      </c>
      <c r="H59" s="118">
        <f t="shared" si="15"/>
        <v>3.4939697282229411E-3</v>
      </c>
      <c r="I59" s="115">
        <v>4</v>
      </c>
      <c r="J59" s="116">
        <f t="shared" si="16"/>
        <v>2.1487757774131704E-4</v>
      </c>
      <c r="L59" s="66">
        <f t="shared" si="12"/>
        <v>2.7050000000000001E-2</v>
      </c>
      <c r="M59" s="66">
        <f t="shared" si="9"/>
        <v>4</v>
      </c>
      <c r="N59" s="10">
        <f t="shared" si="13"/>
        <v>1.476257807145584E-3</v>
      </c>
      <c r="P59" s="4">
        <v>0.92249330040964039</v>
      </c>
      <c r="Q59" s="10">
        <f t="shared" si="14"/>
        <v>2.7050000000000001E-2</v>
      </c>
      <c r="R59" s="10">
        <f t="shared" si="6"/>
        <v>0.98981633498309629</v>
      </c>
      <c r="S59" s="66">
        <f t="shared" si="10"/>
        <v>4</v>
      </c>
      <c r="T59" s="109">
        <f t="shared" si="7"/>
        <v>8.4553049758574423E-6</v>
      </c>
    </row>
    <row r="60" spans="1:20">
      <c r="A60" s="66">
        <v>2.1</v>
      </c>
      <c r="B60" s="10">
        <f t="shared" si="11"/>
        <v>0.92062377243493831</v>
      </c>
      <c r="D60" s="66"/>
      <c r="E60" s="66"/>
      <c r="F60" s="10"/>
      <c r="G60" s="10"/>
      <c r="H60" s="118">
        <f t="shared" si="15"/>
        <v>3.5024209461700503E-3</v>
      </c>
      <c r="I60" s="115">
        <f>IF(I59=4,2,4)</f>
        <v>2</v>
      </c>
      <c r="J60" s="116">
        <f t="shared" si="16"/>
        <v>1.0748039947060728E-4</v>
      </c>
      <c r="L60" s="66">
        <f t="shared" si="12"/>
        <v>2.7100000000000003E-2</v>
      </c>
      <c r="M60" s="66">
        <f t="shared" si="9"/>
        <v>2</v>
      </c>
      <c r="N60" s="10">
        <f t="shared" si="13"/>
        <v>7.3584764481652643E-4</v>
      </c>
      <c r="P60" s="4">
        <v>0.92062377243493843</v>
      </c>
      <c r="Q60" s="10">
        <f t="shared" si="14"/>
        <v>2.7100000000000003E-2</v>
      </c>
      <c r="R60" s="10">
        <f t="shared" si="6"/>
        <v>0.98955667640746647</v>
      </c>
      <c r="S60" s="66">
        <f t="shared" si="10"/>
        <v>2</v>
      </c>
      <c r="T60" s="109">
        <f t="shared" si="7"/>
        <v>4.009773693051638E-6</v>
      </c>
    </row>
    <row r="61" spans="1:20">
      <c r="A61" s="66">
        <v>2.15</v>
      </c>
      <c r="B61" s="10">
        <f t="shared" si="11"/>
        <v>0.91875534747201781</v>
      </c>
      <c r="D61" s="66"/>
      <c r="E61" s="66"/>
      <c r="F61" s="10"/>
      <c r="G61" s="10"/>
      <c r="H61" s="118">
        <f t="shared" si="15"/>
        <v>3.510900802429797E-3</v>
      </c>
      <c r="I61" s="115">
        <f>IF(I60=4,2,4)</f>
        <v>4</v>
      </c>
      <c r="J61" s="116">
        <f t="shared" si="16"/>
        <v>2.1504392577841166E-4</v>
      </c>
      <c r="L61" s="66">
        <f t="shared" si="12"/>
        <v>2.7150000000000001E-2</v>
      </c>
      <c r="M61" s="66">
        <f t="shared" si="9"/>
        <v>4</v>
      </c>
      <c r="N61" s="10">
        <f t="shared" si="13"/>
        <v>1.4671375898625504E-3</v>
      </c>
      <c r="P61" s="4">
        <v>0.91875534747201792</v>
      </c>
      <c r="Q61" s="10">
        <f t="shared" si="14"/>
        <v>2.7150000000000001E-2</v>
      </c>
      <c r="R61" s="10">
        <f t="shared" si="6"/>
        <v>0.98929645782904496</v>
      </c>
      <c r="S61" s="66">
        <f t="shared" si="10"/>
        <v>4</v>
      </c>
      <c r="T61" s="109">
        <f t="shared" si="7"/>
        <v>7.5827351445797854E-6</v>
      </c>
    </row>
    <row r="62" spans="1:20">
      <c r="A62" s="66">
        <v>2.2000000000000002</v>
      </c>
      <c r="B62" s="10">
        <f t="shared" si="11"/>
        <v>0.91688803287990817</v>
      </c>
      <c r="D62" s="66"/>
      <c r="E62" s="66"/>
      <c r="F62" s="10"/>
      <c r="G62" s="10"/>
      <c r="H62" s="118">
        <f t="shared" si="15"/>
        <v>3.5194093940477175E-3</v>
      </c>
      <c r="I62" s="115">
        <f t="shared" ref="I62:I77" si="17">IF(I61=4,2,4)</f>
        <v>2</v>
      </c>
      <c r="J62" s="116">
        <f t="shared" si="16"/>
        <v>1.0756347854024938E-4</v>
      </c>
      <c r="L62" s="66">
        <f t="shared" si="12"/>
        <v>2.7199999999999998E-2</v>
      </c>
      <c r="M62" s="66">
        <f t="shared" si="9"/>
        <v>2</v>
      </c>
      <c r="N62" s="10">
        <f t="shared" si="13"/>
        <v>7.3129238336220594E-4</v>
      </c>
      <c r="P62" s="4">
        <v>0.91688803287990805</v>
      </c>
      <c r="Q62" s="10">
        <f t="shared" si="14"/>
        <v>2.7199999999999998E-2</v>
      </c>
      <c r="R62" s="10">
        <f t="shared" si="6"/>
        <v>0.98903567759756161</v>
      </c>
      <c r="S62" s="66">
        <f t="shared" si="10"/>
        <v>2</v>
      </c>
      <c r="T62" s="109">
        <f t="shared" si="7"/>
        <v>3.5724364064687561E-6</v>
      </c>
    </row>
    <row r="63" spans="1:20">
      <c r="A63" s="66">
        <v>2.25</v>
      </c>
      <c r="B63" s="10">
        <f t="shared" si="11"/>
        <v>0.91502183599654208</v>
      </c>
      <c r="D63" s="66"/>
      <c r="E63" s="66"/>
      <c r="F63" s="10"/>
      <c r="G63" s="10"/>
      <c r="H63" s="118">
        <f t="shared" si="15"/>
        <v>3.527946818398197E-3</v>
      </c>
      <c r="I63" s="115">
        <f t="shared" si="17"/>
        <v>4</v>
      </c>
      <c r="J63" s="116">
        <f t="shared" si="16"/>
        <v>2.1520989167125851E-4</v>
      </c>
      <c r="L63" s="66">
        <f t="shared" si="12"/>
        <v>2.725E-2</v>
      </c>
      <c r="M63" s="66">
        <f t="shared" si="9"/>
        <v>4</v>
      </c>
      <c r="N63" s="10">
        <f t="shared" si="13"/>
        <v>1.4580368785750829E-3</v>
      </c>
      <c r="P63" s="4">
        <v>0.91502183599654208</v>
      </c>
      <c r="Q63" s="10">
        <f t="shared" si="14"/>
        <v>2.725E-2</v>
      </c>
      <c r="R63" s="10">
        <f t="shared" si="6"/>
        <v>0.98877433405872672</v>
      </c>
      <c r="S63" s="66">
        <f t="shared" si="10"/>
        <v>4</v>
      </c>
      <c r="T63" s="109">
        <f t="shared" si="7"/>
        <v>6.7059649566756081E-6</v>
      </c>
    </row>
    <row r="64" spans="1:20">
      <c r="A64" s="66">
        <v>2.2999999999999998</v>
      </c>
      <c r="B64" s="10">
        <f t="shared" si="11"/>
        <v>0.91315676413872449</v>
      </c>
      <c r="D64" s="66"/>
      <c r="E64" s="66"/>
      <c r="F64" s="10"/>
      <c r="G64" s="10"/>
      <c r="H64" s="118">
        <f t="shared" si="15"/>
        <v>3.5365131731855928E-3</v>
      </c>
      <c r="I64" s="115">
        <f t="shared" si="17"/>
        <v>2</v>
      </c>
      <c r="J64" s="116">
        <f t="shared" si="16"/>
        <v>1.0764636418533763E-4</v>
      </c>
      <c r="L64" s="66">
        <f t="shared" si="12"/>
        <v>2.7300000000000001E-2</v>
      </c>
      <c r="M64" s="66">
        <f t="shared" si="9"/>
        <v>2</v>
      </c>
      <c r="N64" s="10">
        <f t="shared" si="13"/>
        <v>7.2674699161984235E-4</v>
      </c>
      <c r="P64" s="4">
        <v>0.91315676413872438</v>
      </c>
      <c r="Q64" s="10">
        <f t="shared" si="14"/>
        <v>2.7300000000000001E-2</v>
      </c>
      <c r="R64" s="10">
        <f t="shared" si="6"/>
        <v>0.9885124255542258</v>
      </c>
      <c r="S64" s="66">
        <f t="shared" si="10"/>
        <v>2</v>
      </c>
      <c r="T64" s="109">
        <f t="shared" si="7"/>
        <v>3.1330080725497938E-6</v>
      </c>
    </row>
    <row r="65" spans="1:20">
      <c r="A65" s="66">
        <v>2.35</v>
      </c>
      <c r="B65" s="10">
        <f t="shared" si="11"/>
        <v>0.91129282460210093</v>
      </c>
      <c r="D65" s="66"/>
      <c r="E65" s="66"/>
      <c r="F65" s="10"/>
      <c r="G65" s="10"/>
      <c r="H65" s="118">
        <f t="shared" si="15"/>
        <v>3.5451085564453485E-3</v>
      </c>
      <c r="I65" s="115">
        <f t="shared" si="17"/>
        <v>4</v>
      </c>
      <c r="J65" s="116">
        <f t="shared" si="16"/>
        <v>2.1537546599494388E-4</v>
      </c>
      <c r="L65" s="66">
        <f t="shared" si="12"/>
        <v>2.7350000000000003E-2</v>
      </c>
      <c r="M65" s="66">
        <f t="shared" si="9"/>
        <v>4</v>
      </c>
      <c r="N65" s="10">
        <f t="shared" si="13"/>
        <v>1.4489561380145702E-3</v>
      </c>
      <c r="P65" s="4">
        <v>0.91129282460210104</v>
      </c>
      <c r="Q65" s="10">
        <f t="shared" si="14"/>
        <v>2.7350000000000003E-2</v>
      </c>
      <c r="R65" s="10">
        <f t="shared" si="6"/>
        <v>0.98824995042171637</v>
      </c>
      <c r="S65" s="66">
        <f t="shared" si="10"/>
        <v>4</v>
      </c>
      <c r="T65" s="109">
        <f t="shared" si="7"/>
        <v>5.8250309512818615E-6</v>
      </c>
    </row>
    <row r="66" spans="1:20">
      <c r="A66" s="66">
        <v>2.4</v>
      </c>
      <c r="B66" s="10">
        <f t="shared" si="11"/>
        <v>0.90943002466112721</v>
      </c>
      <c r="D66" s="66"/>
      <c r="E66" s="66"/>
      <c r="F66" s="10"/>
      <c r="G66" s="10"/>
      <c r="H66" s="118">
        <f t="shared" si="15"/>
        <v>3.5537330665451139E-3</v>
      </c>
      <c r="I66" s="115">
        <f t="shared" si="17"/>
        <v>2</v>
      </c>
      <c r="J66" s="116">
        <f t="shared" si="16"/>
        <v>1.0772905167823954E-4</v>
      </c>
      <c r="L66" s="66">
        <f t="shared" si="12"/>
        <v>2.7400000000000001E-2</v>
      </c>
      <c r="M66" s="66">
        <f t="shared" si="9"/>
        <v>2</v>
      </c>
      <c r="N66" s="10">
        <f t="shared" si="13"/>
        <v>7.2221169983493886E-4</v>
      </c>
      <c r="P66" s="4">
        <v>0.90943002466112721</v>
      </c>
      <c r="Q66" s="10">
        <f t="shared" si="14"/>
        <v>2.7400000000000001E-2</v>
      </c>
      <c r="R66" s="10">
        <f t="shared" si="6"/>
        <v>0.98798690699482272</v>
      </c>
      <c r="S66" s="66">
        <f t="shared" si="10"/>
        <v>2</v>
      </c>
      <c r="T66" s="109">
        <f t="shared" si="7"/>
        <v>2.6915069760100995E-6</v>
      </c>
    </row>
    <row r="67" spans="1:20">
      <c r="A67" s="66">
        <v>2.4500000000000002</v>
      </c>
      <c r="B67" s="10">
        <f t="shared" si="11"/>
        <v>0.90756837156903913</v>
      </c>
      <c r="D67" s="66"/>
      <c r="E67" s="66"/>
      <c r="F67" s="10"/>
      <c r="G67" s="10"/>
      <c r="H67" s="118">
        <f t="shared" si="15"/>
        <v>3.5623868021858788E-3</v>
      </c>
      <c r="I67" s="115">
        <f t="shared" si="17"/>
        <v>4</v>
      </c>
      <c r="J67" s="116">
        <f t="shared" si="16"/>
        <v>2.1554063926392498E-4</v>
      </c>
      <c r="L67" s="66">
        <f t="shared" si="12"/>
        <v>2.7449999999999999E-2</v>
      </c>
      <c r="M67" s="66">
        <f t="shared" si="9"/>
        <v>4</v>
      </c>
      <c r="N67" s="10">
        <f t="shared" si="13"/>
        <v>1.4398958244520753E-3</v>
      </c>
      <c r="P67" s="4">
        <v>0.90756837156903925</v>
      </c>
      <c r="Q67" s="10">
        <f t="shared" si="14"/>
        <v>2.7449999999999999E-2</v>
      </c>
      <c r="R67" s="10">
        <f t="shared" si="6"/>
        <v>0.98772329360313404</v>
      </c>
      <c r="S67" s="66">
        <f t="shared" si="10"/>
        <v>4</v>
      </c>
      <c r="T67" s="109">
        <f t="shared" si="7"/>
        <v>4.9399697277995238E-6</v>
      </c>
    </row>
    <row r="68" spans="1:20">
      <c r="A68" s="66">
        <v>2.5</v>
      </c>
      <c r="B68" s="10">
        <f t="shared" si="11"/>
        <v>0.90570787255782248</v>
      </c>
      <c r="D68" s="66"/>
      <c r="E68" s="66"/>
      <c r="F68" s="10"/>
      <c r="G68" s="10"/>
      <c r="H68" s="118">
        <f t="shared" si="15"/>
        <v>3.5710698624030921E-3</v>
      </c>
      <c r="I68" s="115">
        <f t="shared" si="17"/>
        <v>2</v>
      </c>
      <c r="J68" s="116">
        <f t="shared" si="16"/>
        <v>1.0781153626108202E-4</v>
      </c>
      <c r="L68" s="66">
        <f t="shared" si="12"/>
        <v>2.75E-2</v>
      </c>
      <c r="M68" s="66">
        <f t="shared" si="9"/>
        <v>2</v>
      </c>
      <c r="N68" s="10">
        <f t="shared" si="13"/>
        <v>7.1768673404325124E-4</v>
      </c>
      <c r="P68" s="4">
        <v>0.90570787255782259</v>
      </c>
      <c r="Q68" s="10">
        <f t="shared" si="14"/>
        <v>2.75E-2</v>
      </c>
      <c r="R68" s="10">
        <f t="shared" si="6"/>
        <v>0.98745910857219676</v>
      </c>
      <c r="S68" s="66">
        <f t="shared" si="10"/>
        <v>2</v>
      </c>
      <c r="T68" s="109">
        <f t="shared" si="7"/>
        <v>2.2479514313733319E-6</v>
      </c>
    </row>
    <row r="69" spans="1:20">
      <c r="A69" s="66">
        <v>2.5499999999999998</v>
      </c>
      <c r="B69" s="10">
        <f t="shared" si="11"/>
        <v>0.90384853483818317</v>
      </c>
      <c r="D69" s="66"/>
      <c r="E69" s="66"/>
      <c r="F69" s="10"/>
      <c r="G69" s="10"/>
      <c r="H69" s="118">
        <f t="shared" si="15"/>
        <v>3.5797823465678032E-3</v>
      </c>
      <c r="I69" s="115">
        <f t="shared" si="17"/>
        <v>4</v>
      </c>
      <c r="J69" s="116">
        <f t="shared" si="16"/>
        <v>2.1570540193232681E-4</v>
      </c>
      <c r="L69" s="66">
        <f t="shared" si="12"/>
        <v>2.7550000000000002E-2</v>
      </c>
      <c r="M69" s="66">
        <f t="shared" si="9"/>
        <v>4</v>
      </c>
      <c r="N69" s="10">
        <f t="shared" si="13"/>
        <v>1.4308563857798986E-3</v>
      </c>
      <c r="P69" s="4">
        <v>0.90384853483818317</v>
      </c>
      <c r="Q69" s="10">
        <f t="shared" si="14"/>
        <v>2.7550000000000002E-2</v>
      </c>
      <c r="R69" s="10">
        <f t="shared" si="6"/>
        <v>0.98719435022351376</v>
      </c>
      <c r="S69" s="66">
        <f t="shared" si="10"/>
        <v>4</v>
      </c>
      <c r="T69" s="109">
        <f t="shared" si="7"/>
        <v>4.050817944594696E-6</v>
      </c>
    </row>
    <row r="70" spans="1:20">
      <c r="A70" s="66">
        <v>2.6</v>
      </c>
      <c r="B70" s="10">
        <f t="shared" si="11"/>
        <v>0.90199036559951773</v>
      </c>
      <c r="D70" s="66"/>
      <c r="E70" s="66"/>
      <c r="F70" s="10"/>
      <c r="G70" s="10"/>
      <c r="H70" s="118">
        <f t="shared" si="15"/>
        <v>3.5885243543877952E-3</v>
      </c>
      <c r="I70" s="115">
        <f t="shared" si="17"/>
        <v>2</v>
      </c>
      <c r="J70" s="116">
        <f t="shared" si="16"/>
        <v>1.0789381314590069E-4</v>
      </c>
      <c r="L70" s="66">
        <f t="shared" si="12"/>
        <v>2.7600000000000003E-2</v>
      </c>
      <c r="M70" s="66">
        <f t="shared" si="9"/>
        <v>2</v>
      </c>
      <c r="N70" s="10">
        <f t="shared" si="13"/>
        <v>7.1317231611146587E-4</v>
      </c>
      <c r="P70" s="4">
        <v>0.90199036559951773</v>
      </c>
      <c r="Q70" s="10">
        <f t="shared" si="14"/>
        <v>2.7600000000000003E-2</v>
      </c>
      <c r="R70" s="10">
        <f t="shared" si="6"/>
        <v>0.98692901687453849</v>
      </c>
      <c r="S70" s="66">
        <f t="shared" si="10"/>
        <v>2</v>
      </c>
      <c r="T70" s="109">
        <f t="shared" si="7"/>
        <v>1.8023597823201428E-6</v>
      </c>
    </row>
    <row r="71" spans="1:20">
      <c r="A71" s="66">
        <v>2.65</v>
      </c>
      <c r="B71" s="10">
        <f t="shared" si="11"/>
        <v>0.90013337200988486</v>
      </c>
      <c r="D71" s="66"/>
      <c r="E71" s="66"/>
      <c r="F71" s="10"/>
      <c r="G71" s="10"/>
      <c r="H71" s="118">
        <f t="shared" si="15"/>
        <v>3.5972959859087261E-3</v>
      </c>
      <c r="I71" s="115">
        <f t="shared" si="17"/>
        <v>4</v>
      </c>
      <c r="J71" s="116">
        <f t="shared" si="16"/>
        <v>2.1586974439424301E-4</v>
      </c>
      <c r="L71" s="66">
        <f t="shared" si="12"/>
        <v>2.7649999999999997E-2</v>
      </c>
      <c r="M71" s="66">
        <f t="shared" si="9"/>
        <v>4</v>
      </c>
      <c r="N71" s="10">
        <f t="shared" si="13"/>
        <v>1.4218382615927185E-3</v>
      </c>
      <c r="P71" s="4">
        <v>0.90013337200988486</v>
      </c>
      <c r="Q71" s="10">
        <f t="shared" si="14"/>
        <v>2.7649999999999997E-2</v>
      </c>
      <c r="R71" s="10">
        <f t="shared" si="6"/>
        <v>0.9866631068386722</v>
      </c>
      <c r="S71" s="66">
        <f t="shared" si="10"/>
        <v>4</v>
      </c>
      <c r="T71" s="109">
        <f t="shared" si="7"/>
        <v>3.1576123177037723E-6</v>
      </c>
    </row>
    <row r="72" spans="1:20">
      <c r="A72" s="66">
        <v>2.7</v>
      </c>
      <c r="B72" s="10">
        <f t="shared" si="11"/>
        <v>0.89827756121597579</v>
      </c>
      <c r="D72" s="66"/>
      <c r="E72" s="66"/>
      <c r="F72" s="10"/>
      <c r="G72" s="10"/>
      <c r="H72" s="118">
        <f t="shared" si="15"/>
        <v>3.6060973415152782E-3</v>
      </c>
      <c r="I72" s="115">
        <f t="shared" si="17"/>
        <v>2</v>
      </c>
      <c r="J72" s="116">
        <f t="shared" si="16"/>
        <v>1.0797587751479195E-4</v>
      </c>
      <c r="L72" s="66">
        <f t="shared" si="12"/>
        <v>2.7699999999999999E-2</v>
      </c>
      <c r="M72" s="66">
        <f t="shared" si="9"/>
        <v>2</v>
      </c>
      <c r="N72" s="10">
        <f t="shared" si="13"/>
        <v>7.0866866377766854E-4</v>
      </c>
      <c r="P72" s="4">
        <v>0.89827756121597568</v>
      </c>
      <c r="Q72" s="10">
        <f t="shared" si="14"/>
        <v>2.7699999999999999E-2</v>
      </c>
      <c r="R72" s="10">
        <f t="shared" si="6"/>
        <v>0.98639661842525883</v>
      </c>
      <c r="S72" s="66">
        <f t="shared" si="10"/>
        <v>2</v>
      </c>
      <c r="T72" s="109">
        <f t="shared" si="7"/>
        <v>1.3547504010444547E-6</v>
      </c>
    </row>
    <row r="73" spans="1:20">
      <c r="A73" s="66">
        <v>2.75</v>
      </c>
      <c r="B73" s="10">
        <f t="shared" si="11"/>
        <v>0.89642294034308612</v>
      </c>
      <c r="D73" s="66"/>
      <c r="E73" s="66"/>
      <c r="F73" s="10"/>
      <c r="G73" s="10"/>
      <c r="H73" s="118">
        <f t="shared" si="15"/>
        <v>3.6149285219322989E-3</v>
      </c>
      <c r="I73" s="115">
        <f t="shared" si="17"/>
        <v>4</v>
      </c>
      <c r="J73" s="116">
        <f t="shared" si="16"/>
        <v>2.1603365698404252E-4</v>
      </c>
      <c r="L73" s="66">
        <f t="shared" si="12"/>
        <v>2.775E-2</v>
      </c>
      <c r="M73" s="66">
        <f t="shared" si="9"/>
        <v>4</v>
      </c>
      <c r="N73" s="10">
        <f t="shared" si="13"/>
        <v>1.4128418832683311E-3</v>
      </c>
      <c r="P73" s="4">
        <v>0.89642294034308612</v>
      </c>
      <c r="Q73" s="10">
        <f t="shared" si="14"/>
        <v>2.775E-2</v>
      </c>
      <c r="R73" s="10">
        <f t="shared" si="6"/>
        <v>0.98612954993958202</v>
      </c>
      <c r="S73" s="66">
        <f t="shared" si="10"/>
        <v>4</v>
      </c>
      <c r="T73" s="109">
        <f t="shared" si="7"/>
        <v>2.2603896195425908E-6</v>
      </c>
    </row>
    <row r="74" spans="1:20">
      <c r="A74" s="66">
        <v>2.8</v>
      </c>
      <c r="B74" s="10">
        <f t="shared" si="11"/>
        <v>0.89456951649508842</v>
      </c>
      <c r="D74" s="66"/>
      <c r="E74" s="66"/>
      <c r="F74" s="10"/>
      <c r="G74" s="10"/>
      <c r="H74" s="118">
        <f t="shared" si="15"/>
        <v>3.6237896282259614E-3</v>
      </c>
      <c r="I74" s="115">
        <f t="shared" si="17"/>
        <v>2</v>
      </c>
      <c r="J74" s="116">
        <f t="shared" si="16"/>
        <v>1.0805772452006715E-4</v>
      </c>
      <c r="L74" s="66">
        <f t="shared" si="12"/>
        <v>2.7800000000000002E-2</v>
      </c>
      <c r="M74" s="66">
        <f t="shared" si="9"/>
        <v>2</v>
      </c>
      <c r="N74" s="10">
        <f t="shared" si="13"/>
        <v>7.0417599069160734E-4</v>
      </c>
      <c r="P74" s="4">
        <v>0.89456951649508831</v>
      </c>
      <c r="Q74" s="10">
        <f t="shared" si="14"/>
        <v>2.7800000000000002E-2</v>
      </c>
      <c r="R74" s="10">
        <f t="shared" si="6"/>
        <v>0.98586189968286109</v>
      </c>
      <c r="S74" s="66">
        <f t="shared" si="10"/>
        <v>2</v>
      </c>
      <c r="T74" s="109">
        <f t="shared" si="7"/>
        <v>9.0514168760794249E-7</v>
      </c>
    </row>
    <row r="75" spans="1:20">
      <c r="A75" s="66">
        <v>2.85</v>
      </c>
      <c r="B75" s="10">
        <f t="shared" si="11"/>
        <v>0.89271729675440337</v>
      </c>
      <c r="D75" s="66"/>
      <c r="E75" s="66"/>
      <c r="F75" s="10"/>
      <c r="G75" s="10"/>
      <c r="H75" s="118">
        <f t="shared" si="15"/>
        <v>3.6326807618049166E-3</v>
      </c>
      <c r="I75" s="115">
        <f t="shared" si="17"/>
        <v>4</v>
      </c>
      <c r="J75" s="116">
        <f t="shared" si="16"/>
        <v>2.1619712997668079E-4</v>
      </c>
      <c r="L75" s="66">
        <f t="shared" si="12"/>
        <v>2.7850000000000003E-2</v>
      </c>
      <c r="M75" s="66">
        <f t="shared" si="9"/>
        <v>4</v>
      </c>
      <c r="N75" s="10">
        <f t="shared" si="13"/>
        <v>1.4038676740479631E-3</v>
      </c>
      <c r="P75" s="4">
        <v>0.89271729675440337</v>
      </c>
      <c r="Q75" s="10">
        <f t="shared" si="14"/>
        <v>2.7850000000000003E-2</v>
      </c>
      <c r="R75" s="10">
        <f t="shared" si="6"/>
        <v>0.9855936659522474</v>
      </c>
      <c r="S75" s="66">
        <f t="shared" si="10"/>
        <v>4</v>
      </c>
      <c r="T75" s="109">
        <f t="shared" si="7"/>
        <v>1.3591866776234227E-6</v>
      </c>
    </row>
    <row r="76" spans="1:20">
      <c r="A76" s="66">
        <v>2.9</v>
      </c>
      <c r="B76" s="10">
        <f t="shared" si="11"/>
        <v>0.89086628818197267</v>
      </c>
      <c r="D76" s="66"/>
      <c r="E76" s="66"/>
      <c r="F76" s="10"/>
      <c r="G76" s="10"/>
      <c r="H76" s="118">
        <f t="shared" si="15"/>
        <v>3.6416020244214543E-3</v>
      </c>
      <c r="I76" s="115">
        <f t="shared" si="17"/>
        <v>2</v>
      </c>
      <c r="J76" s="116">
        <f t="shared" si="16"/>
        <v>1.0813934928440996E-4</v>
      </c>
      <c r="L76" s="66">
        <f t="shared" si="12"/>
        <v>2.7899999999999998E-2</v>
      </c>
      <c r="M76" s="66">
        <f t="shared" si="9"/>
        <v>2</v>
      </c>
      <c r="N76" s="10">
        <f t="shared" si="13"/>
        <v>6.9969450645474939E-4</v>
      </c>
      <c r="P76" s="4">
        <v>0.89086628818197267</v>
      </c>
      <c r="Q76" s="10">
        <f t="shared" si="14"/>
        <v>2.7899999999999998E-2</v>
      </c>
      <c r="R76" s="10">
        <f t="shared" si="6"/>
        <v>0.98532484704081924</v>
      </c>
      <c r="S76" s="66">
        <f t="shared" si="10"/>
        <v>2</v>
      </c>
      <c r="T76" s="109">
        <f t="shared" si="7"/>
        <v>4.5355206930056755E-7</v>
      </c>
    </row>
    <row r="77" spans="1:20">
      <c r="A77" s="66">
        <v>2.95</v>
      </c>
      <c r="B77" s="10">
        <f t="shared" si="11"/>
        <v>0.88901649781723191</v>
      </c>
      <c r="D77" s="66"/>
      <c r="E77" s="66"/>
      <c r="F77" s="10"/>
      <c r="G77" s="10"/>
      <c r="H77" s="118">
        <f t="shared" si="15"/>
        <v>3.6505535181726705E-3</v>
      </c>
      <c r="I77" s="115">
        <f t="shared" si="17"/>
        <v>4</v>
      </c>
      <c r="J77" s="116">
        <f t="shared" si="16"/>
        <v>2.1636015358801616E-4</v>
      </c>
      <c r="L77" s="66">
        <f t="shared" si="12"/>
        <v>2.7949999999999999E-2</v>
      </c>
      <c r="M77" s="66">
        <f t="shared" si="9"/>
        <v>4</v>
      </c>
      <c r="N77" s="10">
        <f t="shared" si="13"/>
        <v>1.3949160491161768E-3</v>
      </c>
      <c r="P77" s="4">
        <v>0.88901649781723191</v>
      </c>
      <c r="Q77" s="10">
        <f t="shared" si="14"/>
        <v>2.7949999999999999E-2</v>
      </c>
      <c r="R77" s="10">
        <f t="shared" si="6"/>
        <v>0.98505544123758104</v>
      </c>
      <c r="S77" s="66">
        <f t="shared" si="10"/>
        <v>4</v>
      </c>
      <c r="T77" s="109">
        <f t="shared" si="7"/>
        <v>4.5404037327193531E-7</v>
      </c>
    </row>
    <row r="78" spans="1:20">
      <c r="A78" s="66">
        <v>3</v>
      </c>
      <c r="B78" s="111">
        <f t="shared" si="11"/>
        <v>0.88716793267808358</v>
      </c>
      <c r="D78" s="66"/>
      <c r="E78" s="66"/>
      <c r="F78" s="10"/>
      <c r="G78" s="10"/>
      <c r="H78" s="118">
        <f t="shared" si="15"/>
        <v>3.6595353455016267E-3</v>
      </c>
      <c r="I78" s="115">
        <v>1</v>
      </c>
      <c r="J78" s="116">
        <f t="shared" si="16"/>
        <v>5.4110373450517582E-5</v>
      </c>
      <c r="L78" s="66">
        <f t="shared" si="12"/>
        <v>2.8000000000000001E-2</v>
      </c>
      <c r="M78" s="66">
        <v>1</v>
      </c>
      <c r="N78" s="10">
        <f t="shared" si="13"/>
        <v>3.4761220833006351E-4</v>
      </c>
      <c r="P78" s="4">
        <v>0.88716793267808347</v>
      </c>
      <c r="Q78" s="10">
        <f t="shared" si="14"/>
        <v>2.8000000000000001E-2</v>
      </c>
      <c r="R78" s="10">
        <f t="shared" si="6"/>
        <v>0.98478544682745628</v>
      </c>
      <c r="S78" s="66">
        <v>1</v>
      </c>
      <c r="T78" s="66">
        <f t="shared" si="7"/>
        <v>0</v>
      </c>
    </row>
    <row r="79" spans="1:20">
      <c r="B79" s="100" t="s">
        <v>266</v>
      </c>
      <c r="C79" s="100"/>
      <c r="D79" s="66"/>
      <c r="E79" s="66"/>
      <c r="F79" s="10"/>
      <c r="G79" s="10"/>
      <c r="H79" s="126"/>
      <c r="I79" s="127"/>
      <c r="J79" s="120">
        <f>SUM(J58:J78)</f>
        <v>3.2343201212131968E-3</v>
      </c>
      <c r="N79" s="10"/>
      <c r="P79" s="66"/>
      <c r="Q79" s="66"/>
      <c r="R79" s="66"/>
      <c r="S79" s="66"/>
      <c r="T79" s="68">
        <f>SUM(T18:T78)</f>
        <v>5.85512949582206E-4</v>
      </c>
    </row>
    <row r="80" spans="1:20">
      <c r="D80" s="66"/>
      <c r="E80" s="66"/>
      <c r="F80" s="10"/>
      <c r="G80" s="10"/>
      <c r="J80" s="66"/>
      <c r="L80" s="6" t="s">
        <v>267</v>
      </c>
      <c r="M80" s="9"/>
      <c r="N80" s="12">
        <f>SUM(N18:N78)*10000</f>
        <v>687.30863863039758</v>
      </c>
      <c r="P80" s="66"/>
      <c r="Q80" s="66"/>
      <c r="R80" s="66"/>
      <c r="S80" s="66"/>
      <c r="T80" s="66"/>
    </row>
    <row r="81" spans="4:20">
      <c r="D81" s="66"/>
      <c r="E81" s="66"/>
      <c r="F81" s="10"/>
      <c r="G81" s="10"/>
      <c r="J81" s="66"/>
      <c r="L81" t="s">
        <v>268</v>
      </c>
      <c r="M81" s="9"/>
      <c r="N81" s="12">
        <f>B38/1.06+B58/1.06^2</f>
        <v>1.7302229868579093</v>
      </c>
      <c r="P81" s="66"/>
      <c r="Q81" s="66"/>
      <c r="R81" s="66"/>
      <c r="S81" s="66"/>
      <c r="T81" s="66"/>
    </row>
    <row r="82" spans="4:20">
      <c r="L82" s="58" t="s">
        <v>265</v>
      </c>
      <c r="M82" s="57">
        <f>N80/N81</f>
        <v>397.23702889796436</v>
      </c>
      <c r="N82" s="10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125" zoomScaleNormal="125" zoomScalePageLayoutView="125" workbookViewId="0"/>
  </sheetViews>
  <sheetFormatPr baseColWidth="10" defaultRowHeight="12" x14ac:dyDescent="0"/>
  <cols>
    <col min="4" max="4" width="13.1640625" customWidth="1"/>
  </cols>
  <sheetData>
    <row r="1" spans="1:9" ht="15">
      <c r="A1" s="70" t="s">
        <v>278</v>
      </c>
      <c r="B1" s="2"/>
      <c r="C1" s="2"/>
      <c r="D1" s="66"/>
      <c r="E1" s="66"/>
    </row>
    <row r="2" spans="1:9">
      <c r="D2" s="66"/>
      <c r="E2" s="66"/>
    </row>
    <row r="3" spans="1:9">
      <c r="A3" s="52" t="s">
        <v>74</v>
      </c>
      <c r="B3" s="61">
        <v>0.05</v>
      </c>
      <c r="D3" s="66"/>
      <c r="E3" s="66"/>
    </row>
    <row r="4" spans="1:9">
      <c r="D4" s="66"/>
      <c r="E4" s="66"/>
    </row>
    <row r="5" spans="1:9">
      <c r="A5" s="66" t="s">
        <v>178</v>
      </c>
      <c r="B5" s="66" t="s">
        <v>290</v>
      </c>
      <c r="C5" s="22" t="s">
        <v>291</v>
      </c>
      <c r="D5" s="66" t="s">
        <v>292</v>
      </c>
      <c r="E5" s="66" t="s">
        <v>293</v>
      </c>
      <c r="F5" s="66" t="s">
        <v>294</v>
      </c>
      <c r="G5" s="66" t="s">
        <v>295</v>
      </c>
      <c r="H5" s="66" t="s">
        <v>85</v>
      </c>
      <c r="I5" s="66" t="s">
        <v>86</v>
      </c>
    </row>
    <row r="6" spans="1:9">
      <c r="A6" s="66">
        <v>0</v>
      </c>
      <c r="B6" s="66">
        <v>19</v>
      </c>
      <c r="C6" s="132">
        <f t="shared" ref="C6:C13" si="0">5*B6*(10^-5)</f>
        <v>9.5000000000000011E-4</v>
      </c>
      <c r="D6" s="10"/>
      <c r="E6" s="66"/>
      <c r="F6" s="10">
        <v>1</v>
      </c>
      <c r="G6" s="12">
        <v>10000</v>
      </c>
      <c r="H6" s="10">
        <f>(1+B$3)^-A6</f>
        <v>1</v>
      </c>
      <c r="I6" s="12">
        <f t="shared" ref="I6:I13" si="1">F6*G6*H6</f>
        <v>10000</v>
      </c>
    </row>
    <row r="7" spans="1:9">
      <c r="A7" s="66">
        <f t="shared" ref="A7:A13" si="2">A6+0.5</f>
        <v>0.5</v>
      </c>
      <c r="B7" s="66">
        <v>19</v>
      </c>
      <c r="C7" s="132">
        <f t="shared" si="0"/>
        <v>9.5000000000000011E-4</v>
      </c>
      <c r="D7" s="10">
        <f t="shared" ref="D7:D13" si="3">EXP(-C6/2)</f>
        <v>0.99952511279464018</v>
      </c>
      <c r="E7" s="133">
        <v>0.85</v>
      </c>
      <c r="F7" s="10">
        <f t="shared" ref="F7:F13" si="4">F6*D7*E7</f>
        <v>0.84959634587544408</v>
      </c>
      <c r="G7" s="12">
        <f t="shared" ref="G7:G13" si="5">G6*1.02</f>
        <v>10200</v>
      </c>
      <c r="H7" s="10">
        <f t="shared" ref="H7:H13" si="6">(1+B$3)^-A7</f>
        <v>0.97590007294853309</v>
      </c>
      <c r="I7" s="12">
        <f t="shared" si="1"/>
        <v>8457.0355863498608</v>
      </c>
    </row>
    <row r="8" spans="1:9">
      <c r="A8" s="66">
        <f t="shared" si="2"/>
        <v>1</v>
      </c>
      <c r="B8" s="66">
        <v>20</v>
      </c>
      <c r="C8" s="132">
        <f t="shared" si="0"/>
        <v>1E-3</v>
      </c>
      <c r="D8" s="10">
        <f t="shared" si="3"/>
        <v>0.99952511279464018</v>
      </c>
      <c r="E8" s="133">
        <v>0.85</v>
      </c>
      <c r="F8" s="10">
        <f t="shared" si="4"/>
        <v>0.72181395092490719</v>
      </c>
      <c r="G8" s="12">
        <f t="shared" si="5"/>
        <v>10404</v>
      </c>
      <c r="H8" s="10">
        <f t="shared" si="6"/>
        <v>0.95238095238095233</v>
      </c>
      <c r="I8" s="12">
        <f t="shared" si="1"/>
        <v>7152.1450908787947</v>
      </c>
    </row>
    <row r="9" spans="1:9">
      <c r="A9" s="66">
        <f t="shared" si="2"/>
        <v>1.5</v>
      </c>
      <c r="B9" s="66">
        <v>20</v>
      </c>
      <c r="C9" s="132">
        <f t="shared" si="0"/>
        <v>1E-3</v>
      </c>
      <c r="D9" s="10">
        <f t="shared" si="3"/>
        <v>0.99950012497916929</v>
      </c>
      <c r="E9" s="133">
        <v>0.9</v>
      </c>
      <c r="F9" s="10">
        <f t="shared" si="4"/>
        <v>0.64930782074503746</v>
      </c>
      <c r="G9" s="12">
        <f t="shared" si="5"/>
        <v>10612.08</v>
      </c>
      <c r="H9" s="10">
        <f t="shared" si="6"/>
        <v>0.92942864090336497</v>
      </c>
      <c r="I9" s="12">
        <f t="shared" si="1"/>
        <v>6404.2341270948345</v>
      </c>
    </row>
    <row r="10" spans="1:9">
      <c r="A10" s="66">
        <f t="shared" si="2"/>
        <v>2</v>
      </c>
      <c r="B10" s="66">
        <v>21</v>
      </c>
      <c r="C10" s="132">
        <f t="shared" si="0"/>
        <v>1.0500000000000002E-3</v>
      </c>
      <c r="D10" s="10">
        <f t="shared" si="3"/>
        <v>0.99950012497916929</v>
      </c>
      <c r="E10" s="133">
        <v>0.9</v>
      </c>
      <c r="F10" s="10">
        <f t="shared" si="4"/>
        <v>0.58408492318615535</v>
      </c>
      <c r="G10" s="12">
        <f t="shared" si="5"/>
        <v>10824.321599999999</v>
      </c>
      <c r="H10" s="10">
        <f t="shared" si="6"/>
        <v>0.90702947845804982</v>
      </c>
      <c r="I10" s="12">
        <f t="shared" si="1"/>
        <v>5734.5333789371798</v>
      </c>
    </row>
    <row r="11" spans="1:9">
      <c r="A11" s="66">
        <f t="shared" si="2"/>
        <v>2.5</v>
      </c>
      <c r="B11" s="66">
        <v>21</v>
      </c>
      <c r="C11" s="132">
        <f t="shared" si="0"/>
        <v>1.0500000000000002E-3</v>
      </c>
      <c r="D11" s="10">
        <f t="shared" si="3"/>
        <v>0.99947513778838593</v>
      </c>
      <c r="E11" s="133">
        <v>0.95</v>
      </c>
      <c r="F11" s="10">
        <f t="shared" si="4"/>
        <v>0.5545894411275214</v>
      </c>
      <c r="G11" s="12">
        <f t="shared" si="5"/>
        <v>11040.808031999999</v>
      </c>
      <c r="H11" s="10">
        <f t="shared" si="6"/>
        <v>0.88517013419368074</v>
      </c>
      <c r="I11" s="12">
        <f t="shared" si="1"/>
        <v>5419.9990184438138</v>
      </c>
    </row>
    <row r="12" spans="1:9">
      <c r="A12" s="66">
        <f t="shared" si="2"/>
        <v>3</v>
      </c>
      <c r="B12" s="66">
        <v>22</v>
      </c>
      <c r="C12" s="132">
        <f t="shared" si="0"/>
        <v>1.1000000000000001E-3</v>
      </c>
      <c r="D12" s="10">
        <f t="shared" si="3"/>
        <v>0.99947513778838593</v>
      </c>
      <c r="E12" s="133">
        <v>0.95</v>
      </c>
      <c r="F12" s="10">
        <f t="shared" si="4"/>
        <v>0.52658344018256775</v>
      </c>
      <c r="G12" s="12">
        <f t="shared" si="5"/>
        <v>11261.62419264</v>
      </c>
      <c r="H12" s="10">
        <f t="shared" si="6"/>
        <v>0.86383759853147601</v>
      </c>
      <c r="I12" s="12">
        <f t="shared" si="1"/>
        <v>5122.716604603047</v>
      </c>
    </row>
    <row r="13" spans="1:9">
      <c r="A13" s="66">
        <f t="shared" si="2"/>
        <v>3.5</v>
      </c>
      <c r="B13" s="66">
        <v>22</v>
      </c>
      <c r="C13" s="132">
        <f t="shared" si="0"/>
        <v>1.1000000000000001E-3</v>
      </c>
      <c r="D13" s="10">
        <f t="shared" si="3"/>
        <v>0.99945015122227465</v>
      </c>
      <c r="E13" s="133">
        <v>0.98</v>
      </c>
      <c r="F13" s="10">
        <f t="shared" si="4"/>
        <v>0.51576802094318064</v>
      </c>
      <c r="G13" s="12">
        <f t="shared" si="5"/>
        <v>11486.8566764928</v>
      </c>
      <c r="H13" s="10">
        <f t="shared" si="6"/>
        <v>0.843019175422553</v>
      </c>
      <c r="I13" s="12">
        <f t="shared" si="1"/>
        <v>4994.5120671281411</v>
      </c>
    </row>
    <row r="14" spans="1:9">
      <c r="D14" s="66"/>
      <c r="E14" s="10"/>
      <c r="I14" s="57">
        <f>SUM(I6:I13)</f>
        <v>53285.17587343567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6"/>
  <sheetViews>
    <sheetView zoomScale="125" zoomScaleNormal="125" zoomScalePageLayoutView="125" workbookViewId="0"/>
  </sheetViews>
  <sheetFormatPr baseColWidth="10" defaultRowHeight="12" x14ac:dyDescent="0"/>
  <sheetData>
    <row r="1" spans="1:15" ht="15">
      <c r="A1" s="70" t="s">
        <v>734</v>
      </c>
      <c r="D1" s="66"/>
      <c r="J1" s="66"/>
    </row>
    <row r="2" spans="1:15">
      <c r="C2" s="66"/>
      <c r="D2" s="66"/>
      <c r="I2" s="66"/>
      <c r="J2" s="66"/>
      <c r="N2" s="9"/>
      <c r="O2" s="6"/>
    </row>
    <row r="3" spans="1:15">
      <c r="A3" s="52" t="s">
        <v>9</v>
      </c>
      <c r="B3" s="51">
        <v>1E-4</v>
      </c>
      <c r="C3" s="66"/>
      <c r="D3" s="66"/>
      <c r="I3" s="66"/>
      <c r="J3" s="66"/>
      <c r="N3" s="9"/>
      <c r="O3" s="6"/>
    </row>
    <row r="4" spans="1:15">
      <c r="A4" s="52" t="s">
        <v>10</v>
      </c>
      <c r="B4" s="51">
        <v>4.0000000000000002E-4</v>
      </c>
      <c r="C4" s="66"/>
      <c r="D4" s="66"/>
      <c r="I4" s="66"/>
      <c r="J4" s="66"/>
      <c r="N4" s="9"/>
      <c r="O4" s="6"/>
    </row>
    <row r="5" spans="1:15">
      <c r="A5" s="52" t="s">
        <v>24</v>
      </c>
      <c r="B5" s="51">
        <v>1.075</v>
      </c>
      <c r="C5" s="66"/>
      <c r="D5" s="66"/>
      <c r="I5" s="66"/>
      <c r="J5" s="66"/>
      <c r="N5" s="9"/>
      <c r="O5" s="6"/>
    </row>
    <row r="6" spans="1:15">
      <c r="A6" s="52" t="s">
        <v>74</v>
      </c>
      <c r="B6" s="61">
        <v>0.05</v>
      </c>
      <c r="C6" s="66"/>
      <c r="D6" s="66"/>
      <c r="I6" s="66"/>
      <c r="J6" s="66"/>
      <c r="N6" s="9"/>
      <c r="O6" s="6"/>
    </row>
    <row r="7" spans="1:15">
      <c r="A7" s="52" t="s">
        <v>82</v>
      </c>
      <c r="B7" s="51">
        <v>50</v>
      </c>
      <c r="C7" s="66"/>
      <c r="D7" s="66"/>
      <c r="I7" s="66"/>
      <c r="J7" s="66"/>
      <c r="N7" s="9"/>
      <c r="O7" s="6"/>
    </row>
    <row r="8" spans="1:15">
      <c r="A8" s="9" t="s">
        <v>27</v>
      </c>
      <c r="B8" s="18">
        <f>EXP(-B3)</f>
        <v>0.99990000499983334</v>
      </c>
      <c r="C8" s="66"/>
      <c r="D8" s="66"/>
      <c r="I8" s="66"/>
      <c r="J8" s="66"/>
      <c r="N8" s="9"/>
      <c r="O8" s="6"/>
    </row>
    <row r="9" spans="1:15">
      <c r="A9" s="9" t="s">
        <v>25</v>
      </c>
      <c r="B9" s="18">
        <f>EXP(-B4/LN(B5))</f>
        <v>0.99448434453852164</v>
      </c>
      <c r="C9" s="66"/>
      <c r="D9" s="66"/>
      <c r="I9" s="66"/>
      <c r="J9" s="66"/>
      <c r="N9" s="9"/>
      <c r="O9" s="6"/>
    </row>
    <row r="10" spans="1:15">
      <c r="A10" s="108" t="s">
        <v>288</v>
      </c>
      <c r="B10" s="20">
        <f>LN(1.05)</f>
        <v>4.8790164169432049E-2</v>
      </c>
      <c r="C10" s="66"/>
      <c r="D10" s="66"/>
      <c r="I10" s="66"/>
      <c r="J10" s="66"/>
      <c r="N10" s="9"/>
      <c r="O10" s="6"/>
    </row>
    <row r="11" spans="1:15">
      <c r="A11" s="95" t="s">
        <v>289</v>
      </c>
      <c r="B11" s="88">
        <f>B6/B10</f>
        <v>1.0247967157143927</v>
      </c>
      <c r="C11" s="66"/>
      <c r="D11" s="66"/>
      <c r="I11" s="66"/>
      <c r="J11" s="66"/>
      <c r="N11" s="9"/>
      <c r="O11" s="6"/>
    </row>
    <row r="12" spans="1:15">
      <c r="C12" s="66"/>
      <c r="D12" s="66"/>
      <c r="I12" s="66"/>
      <c r="J12" s="66"/>
      <c r="N12" s="9"/>
      <c r="O12" s="6"/>
    </row>
    <row r="13" spans="1:15">
      <c r="C13" s="66" t="s">
        <v>282</v>
      </c>
      <c r="D13" s="66"/>
      <c r="I13" s="66" t="s">
        <v>282</v>
      </c>
      <c r="J13" s="66" t="s">
        <v>282</v>
      </c>
    </row>
    <row r="14" spans="1:15">
      <c r="A14" s="66"/>
      <c r="B14" s="66"/>
      <c r="C14" s="66" t="s">
        <v>283</v>
      </c>
      <c r="D14" s="66"/>
      <c r="E14" s="66" t="s">
        <v>101</v>
      </c>
      <c r="I14" s="66" t="s">
        <v>284</v>
      </c>
      <c r="J14" s="66" t="s">
        <v>106</v>
      </c>
      <c r="L14" s="66" t="s">
        <v>94</v>
      </c>
    </row>
    <row r="15" spans="1:15">
      <c r="A15" s="66" t="s">
        <v>0</v>
      </c>
      <c r="B15" s="7" t="s">
        <v>84</v>
      </c>
      <c r="C15" s="66" t="s">
        <v>285</v>
      </c>
      <c r="D15" s="66" t="s">
        <v>85</v>
      </c>
      <c r="E15" s="66" t="s">
        <v>86</v>
      </c>
      <c r="G15" s="66" t="s">
        <v>0</v>
      </c>
      <c r="H15" s="7" t="s">
        <v>32</v>
      </c>
      <c r="I15" s="66" t="s">
        <v>286</v>
      </c>
      <c r="J15" s="66" t="s">
        <v>287</v>
      </c>
      <c r="K15" s="66" t="s">
        <v>85</v>
      </c>
      <c r="L15" s="66" t="s">
        <v>86</v>
      </c>
    </row>
    <row r="16" spans="1:15">
      <c r="A16" s="19">
        <v>0</v>
      </c>
      <c r="B16" s="10">
        <f>(B$8^A16)*B$9^((B$5^B$7)*((B$5^A16)-1))</f>
        <v>1</v>
      </c>
      <c r="C16" s="10">
        <f>B16</f>
        <v>1</v>
      </c>
      <c r="D16" s="10">
        <f>(1+B$6)^-A16</f>
        <v>1</v>
      </c>
      <c r="E16" s="5">
        <f>C16*D16</f>
        <v>1</v>
      </c>
      <c r="G16" s="66">
        <v>0</v>
      </c>
      <c r="H16" s="10">
        <f>(B$8^G16)*B$9^((B$5^B$7)*((B$5^G16)-1))</f>
        <v>1</v>
      </c>
      <c r="I16" s="10">
        <f>H16</f>
        <v>1</v>
      </c>
      <c r="J16" s="66"/>
    </row>
    <row r="17" spans="1:12">
      <c r="A17" s="19">
        <f>A16+1/12</f>
        <v>8.3333333333333329E-2</v>
      </c>
      <c r="B17" s="10">
        <f t="shared" ref="B17:B80" si="0">(B$8^A17)*B$9^((B$5^B$7)*((B$5^A17)-1))</f>
        <v>0.99874904850534296</v>
      </c>
      <c r="C17" s="10">
        <f t="shared" ref="C17:C27" si="1">B17</f>
        <v>0.99874904850534296</v>
      </c>
      <c r="D17" s="10">
        <f t="shared" ref="D17:D80" si="2">(1+B$6)^-A17</f>
        <v>0.99594240735106698</v>
      </c>
      <c r="E17" s="5">
        <f t="shared" ref="E17:E80" si="3">C17*D17</f>
        <v>0.99469653170799888</v>
      </c>
      <c r="G17" s="66">
        <v>1</v>
      </c>
      <c r="H17" s="10">
        <f t="shared" ref="H17:H26" si="4">(B$8^G17)*B$9^((B$5^B$7)*((B$5^G17)-1))</f>
        <v>0.98459290148915291</v>
      </c>
      <c r="I17" s="10">
        <f>0.98*H17</f>
        <v>0.96490104345936978</v>
      </c>
      <c r="J17" s="10">
        <f>I16-I17</f>
        <v>3.5098956540630222E-2</v>
      </c>
      <c r="K17" s="10">
        <f>(1+B$6)^-G17</f>
        <v>0.95238095238095233</v>
      </c>
      <c r="L17" s="5">
        <f>J17*K17</f>
        <v>3.3427577657743068E-2</v>
      </c>
    </row>
    <row r="18" spans="1:12">
      <c r="A18" s="19">
        <f t="shared" ref="A18:A81" si="5">A17+1/12</f>
        <v>0.16666666666666666</v>
      </c>
      <c r="B18" s="10">
        <f t="shared" si="0"/>
        <v>0.99749216445179845</v>
      </c>
      <c r="C18" s="10">
        <f t="shared" si="1"/>
        <v>0.99749216445179845</v>
      </c>
      <c r="D18" s="10">
        <f t="shared" si="2"/>
        <v>0.99190127876023881</v>
      </c>
      <c r="E18" s="5">
        <f t="shared" si="3"/>
        <v>0.98941375347305727</v>
      </c>
      <c r="G18" s="66">
        <v>2</v>
      </c>
      <c r="H18" s="10">
        <f t="shared" si="4"/>
        <v>0.96830218190142525</v>
      </c>
      <c r="I18" s="10">
        <f>0.98*0.98*H18</f>
        <v>0.92995741549812871</v>
      </c>
      <c r="J18" s="10">
        <f t="shared" ref="J18:J26" si="6">I17-I18</f>
        <v>3.4943627961241064E-2</v>
      </c>
      <c r="K18" s="10">
        <f t="shared" ref="K18:K26" si="7">(1+B$6)^-G18</f>
        <v>0.90702947845804982</v>
      </c>
      <c r="L18" s="5">
        <f t="shared" ref="L18:L26" si="8">J18*K18</f>
        <v>3.1694900645116611E-2</v>
      </c>
    </row>
    <row r="19" spans="1:12">
      <c r="A19" s="19">
        <f t="shared" si="5"/>
        <v>0.25</v>
      </c>
      <c r="B19" s="10">
        <f t="shared" si="0"/>
        <v>0.99622932892355698</v>
      </c>
      <c r="C19" s="10">
        <f t="shared" si="1"/>
        <v>0.99622932892355698</v>
      </c>
      <c r="D19" s="10">
        <f t="shared" si="2"/>
        <v>0.98787654742307407</v>
      </c>
      <c r="E19" s="5">
        <f t="shared" si="3"/>
        <v>0.98415158989860951</v>
      </c>
      <c r="G19" s="66">
        <v>3</v>
      </c>
      <c r="H19" s="10">
        <f t="shared" si="4"/>
        <v>0.95109728847413588</v>
      </c>
      <c r="I19" s="10">
        <f t="shared" ref="I19:I26" si="9">0.98*0.98*H19</f>
        <v>0.91343383585056004</v>
      </c>
      <c r="J19" s="10">
        <f t="shared" si="6"/>
        <v>1.6523579647568676E-2</v>
      </c>
      <c r="K19" s="10">
        <f t="shared" si="7"/>
        <v>0.86383759853147601</v>
      </c>
      <c r="L19" s="5">
        <f t="shared" si="8"/>
        <v>1.4273689361899298E-2</v>
      </c>
    </row>
    <row r="20" spans="1:12">
      <c r="A20" s="19">
        <f t="shared" si="5"/>
        <v>0.33333333333333331</v>
      </c>
      <c r="B20" s="10">
        <f t="shared" si="0"/>
        <v>0.99496052306195881</v>
      </c>
      <c r="C20" s="10">
        <f t="shared" si="1"/>
        <v>0.99496052306195881</v>
      </c>
      <c r="D20" s="10">
        <f t="shared" si="2"/>
        <v>0.98386814680619694</v>
      </c>
      <c r="E20" s="5">
        <f t="shared" si="3"/>
        <v>0.97890996597029378</v>
      </c>
      <c r="G20" s="66">
        <v>4</v>
      </c>
      <c r="H20" s="10">
        <f t="shared" si="4"/>
        <v>0.93294982222640133</v>
      </c>
      <c r="I20" s="10">
        <f t="shared" si="9"/>
        <v>0.89600500926623572</v>
      </c>
      <c r="J20" s="10">
        <f t="shared" si="6"/>
        <v>1.742882658432432E-2</v>
      </c>
      <c r="K20" s="10">
        <f t="shared" si="7"/>
        <v>0.82270247479188197</v>
      </c>
      <c r="L20" s="5">
        <f t="shared" si="8"/>
        <v>1.433873876364216E-2</v>
      </c>
    </row>
    <row r="21" spans="1:12">
      <c r="A21" s="19">
        <f t="shared" si="5"/>
        <v>0.41666666666666663</v>
      </c>
      <c r="B21" s="10">
        <f t="shared" si="0"/>
        <v>0.99368572806736433</v>
      </c>
      <c r="C21" s="10">
        <f t="shared" si="1"/>
        <v>0.99368572806736433</v>
      </c>
      <c r="D21" s="10">
        <f t="shared" si="2"/>
        <v>0.97987601064619689</v>
      </c>
      <c r="E21" s="5">
        <f t="shared" si="3"/>
        <v>0.97368880705471061</v>
      </c>
      <c r="G21" s="66">
        <v>5</v>
      </c>
      <c r="H21" s="10">
        <f t="shared" si="4"/>
        <v>0.91383415701176196</v>
      </c>
      <c r="I21" s="10">
        <f t="shared" si="9"/>
        <v>0.87764632439409607</v>
      </c>
      <c r="J21" s="10">
        <f t="shared" si="6"/>
        <v>1.8358684872139652E-2</v>
      </c>
      <c r="K21" s="10">
        <f t="shared" si="7"/>
        <v>0.78352616646845896</v>
      </c>
      <c r="L21" s="5">
        <f t="shared" si="8"/>
        <v>1.4384509979270073E-2</v>
      </c>
    </row>
    <row r="22" spans="1:12">
      <c r="A22" s="19">
        <f t="shared" si="5"/>
        <v>0.49999999999999994</v>
      </c>
      <c r="B22" s="10">
        <f t="shared" si="0"/>
        <v>0.99240492520104429</v>
      </c>
      <c r="C22" s="10">
        <f t="shared" si="1"/>
        <v>0.99240492520104429</v>
      </c>
      <c r="D22" s="10">
        <f t="shared" si="2"/>
        <v>0.97590007294853309</v>
      </c>
      <c r="E22" s="5">
        <f t="shared" si="3"/>
        <v>0.96848803889818269</v>
      </c>
      <c r="G22" s="66">
        <v>6</v>
      </c>
      <c r="H22" s="10">
        <f t="shared" si="4"/>
        <v>0.89372812969583459</v>
      </c>
      <c r="I22" s="10">
        <f t="shared" si="9"/>
        <v>0.85833649575987947</v>
      </c>
      <c r="J22" s="10">
        <f t="shared" si="6"/>
        <v>1.9309828634216597E-2</v>
      </c>
      <c r="K22" s="10">
        <f t="shared" si="7"/>
        <v>0.74621539663662761</v>
      </c>
      <c r="L22" s="5">
        <f t="shared" si="8"/>
        <v>1.4409291433267248E-2</v>
      </c>
    </row>
    <row r="23" spans="1:12">
      <c r="A23" s="19">
        <f t="shared" si="5"/>
        <v>0.58333333333333326</v>
      </c>
      <c r="B23" s="10">
        <f t="shared" si="0"/>
        <v>0.99111809578709265</v>
      </c>
      <c r="C23" s="10">
        <f t="shared" si="1"/>
        <v>0.99111809578709265</v>
      </c>
      <c r="D23" s="10">
        <f t="shared" si="2"/>
        <v>0.97194026798644406</v>
      </c>
      <c r="E23" s="5">
        <f t="shared" si="3"/>
        <v>0.96330758762552093</v>
      </c>
      <c r="G23" s="66">
        <v>7</v>
      </c>
      <c r="H23" s="10">
        <f t="shared" si="4"/>
        <v>0.87261380233869712</v>
      </c>
      <c r="I23" s="10">
        <f t="shared" si="9"/>
        <v>0.83805829576608459</v>
      </c>
      <c r="J23" s="10">
        <f t="shared" si="6"/>
        <v>2.0278199993794876E-2</v>
      </c>
      <c r="K23" s="10">
        <f t="shared" si="7"/>
        <v>0.71068133013012147</v>
      </c>
      <c r="L23" s="5">
        <f t="shared" si="8"/>
        <v>1.4411338144234764E-2</v>
      </c>
    </row>
    <row r="24" spans="1:12">
      <c r="A24" s="19">
        <f t="shared" si="5"/>
        <v>0.66666666666666663</v>
      </c>
      <c r="B24" s="10">
        <f t="shared" si="0"/>
        <v>0.98982522121435945</v>
      </c>
      <c r="C24" s="10">
        <f t="shared" si="1"/>
        <v>0.98982522121435945</v>
      </c>
      <c r="D24" s="10">
        <f t="shared" si="2"/>
        <v>0.96799653029986032</v>
      </c>
      <c r="E24" s="5">
        <f t="shared" si="3"/>
        <v>0.9581473797387916</v>
      </c>
      <c r="G24" s="66">
        <v>8</v>
      </c>
      <c r="H24" s="10">
        <f t="shared" si="4"/>
        <v>0.85047829545178166</v>
      </c>
      <c r="I24" s="10">
        <f t="shared" si="9"/>
        <v>0.81679935495189104</v>
      </c>
      <c r="J24" s="10">
        <f t="shared" si="6"/>
        <v>2.125894081419355E-2</v>
      </c>
      <c r="K24" s="10">
        <f t="shared" si="7"/>
        <v>0.67683936202868722</v>
      </c>
      <c r="L24" s="5">
        <f t="shared" si="8"/>
        <v>1.4388887938084382E-2</v>
      </c>
    </row>
    <row r="25" spans="1:12">
      <c r="A25" s="19">
        <f t="shared" si="5"/>
        <v>0.75</v>
      </c>
      <c r="B25" s="10">
        <f t="shared" si="0"/>
        <v>0.98852628293840594</v>
      </c>
      <c r="C25" s="10">
        <f t="shared" si="1"/>
        <v>0.98852628293840594</v>
      </c>
      <c r="D25" s="10">
        <f t="shared" si="2"/>
        <v>0.96406879469432316</v>
      </c>
      <c r="E25" s="5">
        <f t="shared" si="3"/>
        <v>0.95300734211608851</v>
      </c>
      <c r="G25" s="66">
        <v>9</v>
      </c>
      <c r="H25" s="10">
        <f t="shared" si="4"/>
        <v>0.82731468908983452</v>
      </c>
      <c r="I25" s="10">
        <f t="shared" si="9"/>
        <v>0.79455302740187705</v>
      </c>
      <c r="J25" s="10">
        <f t="shared" si="6"/>
        <v>2.2246327550013989E-2</v>
      </c>
      <c r="K25" s="10">
        <f t="shared" si="7"/>
        <v>0.64460891621779726</v>
      </c>
      <c r="L25" s="5">
        <f t="shared" si="8"/>
        <v>1.4340181091840643E-2</v>
      </c>
    </row>
    <row r="26" spans="1:12">
      <c r="A26" s="19">
        <f t="shared" si="5"/>
        <v>0.83333333333333337</v>
      </c>
      <c r="B26" s="10">
        <f t="shared" si="0"/>
        <v>0.98722126248348041</v>
      </c>
      <c r="C26" s="10">
        <f t="shared" si="1"/>
        <v>0.98722126248348041</v>
      </c>
      <c r="D26" s="10">
        <f t="shared" si="2"/>
        <v>0.96015699623990569</v>
      </c>
      <c r="E26" s="5">
        <f t="shared" si="3"/>
        <v>0.94788740201030608</v>
      </c>
      <c r="G26" s="66">
        <v>10</v>
      </c>
      <c r="H26" s="10">
        <f t="shared" si="4"/>
        <v>0.80312298566785723</v>
      </c>
      <c r="I26" s="10">
        <f t="shared" si="9"/>
        <v>0.77131931543540999</v>
      </c>
      <c r="J26" s="10">
        <f t="shared" si="6"/>
        <v>2.3233711966467063E-2</v>
      </c>
      <c r="K26" s="10">
        <f t="shared" si="7"/>
        <v>0.61391325354075932</v>
      </c>
      <c r="L26" s="5">
        <f t="shared" si="8"/>
        <v>1.4263483705162668E-2</v>
      </c>
    </row>
    <row r="27" spans="1:12">
      <c r="A27" s="19">
        <f t="shared" si="5"/>
        <v>0.91666666666666674</v>
      </c>
      <c r="B27" s="10">
        <f t="shared" si="0"/>
        <v>0.98591014144451661</v>
      </c>
      <c r="C27" s="10">
        <f t="shared" si="1"/>
        <v>0.98591014144451661</v>
      </c>
      <c r="D27" s="10">
        <f t="shared" si="2"/>
        <v>0.95626107027014118</v>
      </c>
      <c r="E27" s="5">
        <f t="shared" si="3"/>
        <v>0.9427874870479197</v>
      </c>
      <c r="J27" s="66"/>
      <c r="L27" s="131">
        <f>SUM(L17:L26)</f>
        <v>0.17993259872026091</v>
      </c>
    </row>
    <row r="28" spans="1:12">
      <c r="A28" s="19">
        <f t="shared" si="5"/>
        <v>1</v>
      </c>
      <c r="B28" s="10">
        <f t="shared" si="0"/>
        <v>0.98459290148915291</v>
      </c>
      <c r="C28" s="10">
        <f>0.98*B28</f>
        <v>0.96490104345936978</v>
      </c>
      <c r="D28" s="10">
        <f t="shared" si="2"/>
        <v>0.95238095238095233</v>
      </c>
      <c r="E28" s="5">
        <f t="shared" si="3"/>
        <v>0.91895337472320926</v>
      </c>
      <c r="J28" s="66"/>
    </row>
    <row r="29" spans="1:12">
      <c r="A29" s="19">
        <f t="shared" si="5"/>
        <v>1.0833333333333333</v>
      </c>
      <c r="B29" s="10">
        <f t="shared" si="0"/>
        <v>0.98326952435977366</v>
      </c>
      <c r="C29" s="10">
        <f t="shared" ref="C29:C39" si="10">0.98*B29</f>
        <v>0.96360413387257815</v>
      </c>
      <c r="D29" s="10">
        <f t="shared" si="2"/>
        <v>0.94851657842958759</v>
      </c>
      <c r="E29" s="5">
        <f t="shared" si="3"/>
        <v>0.91399449602142413</v>
      </c>
      <c r="J29" s="58" t="s">
        <v>230</v>
      </c>
      <c r="K29" s="60"/>
      <c r="L29" s="130">
        <f>(200+B11*100000*L27)/(0.975*E136)</f>
        <v>225.95284187742743</v>
      </c>
    </row>
    <row r="30" spans="1:12">
      <c r="A30" s="19">
        <f t="shared" si="5"/>
        <v>1.1666666666666665</v>
      </c>
      <c r="B30" s="10">
        <f t="shared" si="0"/>
        <v>0.98193999187557279</v>
      </c>
      <c r="C30" s="10">
        <f t="shared" si="10"/>
        <v>0.9623011920380613</v>
      </c>
      <c r="D30" s="10">
        <f t="shared" si="2"/>
        <v>0.94466788453356076</v>
      </c>
      <c r="E30" s="5">
        <f t="shared" si="3"/>
        <v>0.90905503136671917</v>
      </c>
      <c r="J30" s="66"/>
    </row>
    <row r="31" spans="1:12">
      <c r="A31" s="19">
        <f t="shared" si="5"/>
        <v>1.2499999999999998</v>
      </c>
      <c r="B31" s="10">
        <f t="shared" si="0"/>
        <v>0.980604285934639</v>
      </c>
      <c r="C31" s="10">
        <f t="shared" si="10"/>
        <v>0.96099220021594622</v>
      </c>
      <c r="D31" s="10">
        <f t="shared" si="2"/>
        <v>0.94083480706959433</v>
      </c>
      <c r="E31" s="5">
        <f t="shared" si="3"/>
        <v>0.90413491128555468</v>
      </c>
      <c r="J31" s="66"/>
    </row>
    <row r="32" spans="1:12">
      <c r="A32" s="19">
        <f t="shared" si="5"/>
        <v>1.333333333333333</v>
      </c>
      <c r="B32" s="10">
        <f t="shared" si="0"/>
        <v>0.97926238851606295</v>
      </c>
      <c r="C32" s="10">
        <f t="shared" si="10"/>
        <v>0.95967714074574173</v>
      </c>
      <c r="D32" s="10">
        <f t="shared" si="2"/>
        <v>0.93701728267256856</v>
      </c>
      <c r="E32" s="5">
        <f t="shared" si="3"/>
        <v>0.89923406666455508</v>
      </c>
      <c r="J32" s="66"/>
    </row>
    <row r="33" spans="1:10">
      <c r="A33" s="19">
        <f t="shared" si="5"/>
        <v>1.4166666666666663</v>
      </c>
      <c r="B33" s="10">
        <f t="shared" si="0"/>
        <v>0.97791428168206773</v>
      </c>
      <c r="C33" s="10">
        <f t="shared" si="10"/>
        <v>0.95835599604842636</v>
      </c>
      <c r="D33" s="10">
        <f t="shared" si="2"/>
        <v>0.93321524823447322</v>
      </c>
      <c r="E33" s="5">
        <f t="shared" si="3"/>
        <v>0.89435242874932808</v>
      </c>
      <c r="J33" s="66"/>
    </row>
    <row r="34" spans="1:10">
      <c r="A34" s="19">
        <f t="shared" si="5"/>
        <v>1.4999999999999996</v>
      </c>
      <c r="B34" s="10">
        <f t="shared" si="0"/>
        <v>0.97655994758015996</v>
      </c>
      <c r="C34" s="10">
        <f t="shared" si="10"/>
        <v>0.95702874862855669</v>
      </c>
      <c r="D34" s="10">
        <f t="shared" si="2"/>
        <v>0.92942864090336497</v>
      </c>
      <c r="E34" s="5">
        <f t="shared" si="3"/>
        <v>0.88948992914328751</v>
      </c>
      <c r="J34" s="66"/>
    </row>
    <row r="35" spans="1:10">
      <c r="A35" s="19">
        <f t="shared" si="5"/>
        <v>1.5833333333333328</v>
      </c>
      <c r="B35" s="10">
        <f t="shared" si="0"/>
        <v>0.97519936844530508</v>
      </c>
      <c r="C35" s="10">
        <f t="shared" si="10"/>
        <v>0.95569538107639895</v>
      </c>
      <c r="D35" s="10">
        <f t="shared" si="2"/>
        <v>0.92565739808232761</v>
      </c>
      <c r="E35" s="5">
        <f t="shared" si="3"/>
        <v>0.88464649980647803</v>
      </c>
      <c r="J35" s="66"/>
    </row>
    <row r="36" spans="1:10">
      <c r="A36" s="19">
        <f t="shared" si="5"/>
        <v>1.6666666666666661</v>
      </c>
      <c r="B36" s="10">
        <f t="shared" si="0"/>
        <v>0.97383252660212383</v>
      </c>
      <c r="C36" s="10">
        <f t="shared" si="10"/>
        <v>0.95435587607008132</v>
      </c>
      <c r="D36" s="10">
        <f t="shared" si="2"/>
        <v>0.92190145742843832</v>
      </c>
      <c r="E36" s="5">
        <f t="shared" si="3"/>
        <v>0.87982207305440208</v>
      </c>
      <c r="J36" s="66"/>
    </row>
    <row r="37" spans="1:10">
      <c r="A37" s="19">
        <f t="shared" si="5"/>
        <v>1.7499999999999993</v>
      </c>
      <c r="B37" s="10">
        <f t="shared" si="0"/>
        <v>0.97245940446711188</v>
      </c>
      <c r="C37" s="10">
        <f t="shared" si="10"/>
        <v>0.95301021637776961</v>
      </c>
      <c r="D37" s="10">
        <f t="shared" si="2"/>
        <v>0.91816075685173626</v>
      </c>
      <c r="E37" s="5">
        <f t="shared" si="3"/>
        <v>0.87501658155684992</v>
      </c>
      <c r="J37" s="66"/>
    </row>
    <row r="38" spans="1:10">
      <c r="A38" s="19">
        <f t="shared" si="5"/>
        <v>1.8333333333333326</v>
      </c>
      <c r="B38" s="10">
        <f t="shared" si="0"/>
        <v>0.9710799845508824</v>
      </c>
      <c r="C38" s="10">
        <f t="shared" si="10"/>
        <v>0.95165838485986476</v>
      </c>
      <c r="D38" s="10">
        <f t="shared" si="2"/>
        <v>0.91443523451419584</v>
      </c>
      <c r="E38" s="5">
        <f t="shared" si="3"/>
        <v>0.87022995833673122</v>
      </c>
      <c r="J38" s="66"/>
    </row>
    <row r="39" spans="1:10">
      <c r="A39" s="19">
        <f t="shared" si="5"/>
        <v>1.9166666666666659</v>
      </c>
      <c r="B39" s="10">
        <f t="shared" si="0"/>
        <v>0.96969424946043148</v>
      </c>
      <c r="C39" s="10">
        <f t="shared" si="10"/>
        <v>0.95030036447122279</v>
      </c>
      <c r="D39" s="10">
        <f t="shared" si="2"/>
        <v>0.91072482882870598</v>
      </c>
      <c r="E39" s="5">
        <f t="shared" si="3"/>
        <v>0.86546213676891126</v>
      </c>
      <c r="J39" s="66"/>
    </row>
    <row r="40" spans="1:10">
      <c r="A40" s="19">
        <f t="shared" si="5"/>
        <v>1.9999999999999991</v>
      </c>
      <c r="B40" s="10">
        <f t="shared" si="0"/>
        <v>0.96830218190142525</v>
      </c>
      <c r="C40" s="10">
        <f>(0.98^2)*B40</f>
        <v>0.92995741549812871</v>
      </c>
      <c r="D40" s="10">
        <f t="shared" si="2"/>
        <v>0.90702947845804982</v>
      </c>
      <c r="E40" s="5">
        <f t="shared" si="3"/>
        <v>0.8434987895674636</v>
      </c>
      <c r="J40" s="66"/>
    </row>
    <row r="41" spans="1:10">
      <c r="A41" s="19">
        <f t="shared" si="5"/>
        <v>2.0833333333333326</v>
      </c>
      <c r="B41" s="10">
        <f t="shared" si="0"/>
        <v>0.96690376468051198</v>
      </c>
      <c r="C41" s="10">
        <f t="shared" ref="C41:C104" si="11">(0.98^2)*B41</f>
        <v>0.9286143755991636</v>
      </c>
      <c r="D41" s="10">
        <f t="shared" si="2"/>
        <v>0.90334912231389286</v>
      </c>
      <c r="E41" s="5">
        <f t="shared" si="3"/>
        <v>0.83886298116556812</v>
      </c>
      <c r="J41" s="66"/>
    </row>
    <row r="42" spans="1:10">
      <c r="A42" s="19">
        <f t="shared" si="5"/>
        <v>2.1666666666666661</v>
      </c>
      <c r="B42" s="10">
        <f t="shared" si="0"/>
        <v>0.96549898070765516</v>
      </c>
      <c r="C42" s="10">
        <f t="shared" si="11"/>
        <v>0.9272652210716319</v>
      </c>
      <c r="D42" s="10">
        <f t="shared" si="2"/>
        <v>0.89968369955577199</v>
      </c>
      <c r="E42" s="5">
        <f t="shared" si="3"/>
        <v>0.83424540456312657</v>
      </c>
      <c r="J42" s="66"/>
    </row>
    <row r="43" spans="1:10">
      <c r="A43" s="19">
        <f t="shared" si="5"/>
        <v>2.2499999999999996</v>
      </c>
      <c r="B43" s="10">
        <f t="shared" si="0"/>
        <v>0.96408781299849167</v>
      </c>
      <c r="C43" s="10">
        <f t="shared" si="11"/>
        <v>0.92590993560375134</v>
      </c>
      <c r="D43" s="10">
        <f t="shared" si="2"/>
        <v>0.89603314959008984</v>
      </c>
      <c r="E43" s="5">
        <f t="shared" si="3"/>
        <v>0.82964599583578658</v>
      </c>
      <c r="J43" s="66"/>
    </row>
    <row r="44" spans="1:10">
      <c r="A44" s="19">
        <f t="shared" si="5"/>
        <v>2.333333333333333</v>
      </c>
      <c r="B44" s="10">
        <f t="shared" si="0"/>
        <v>0.96267024467671158</v>
      </c>
      <c r="C44" s="10">
        <f t="shared" si="11"/>
        <v>0.92454850298751368</v>
      </c>
      <c r="D44" s="10">
        <f t="shared" si="2"/>
        <v>0.89239741206911283</v>
      </c>
      <c r="E44" s="5">
        <f t="shared" si="3"/>
        <v>0.82506469139842964</v>
      </c>
      <c r="J44" s="66"/>
    </row>
    <row r="45" spans="1:10">
      <c r="A45" s="19">
        <f t="shared" si="5"/>
        <v>2.4166666666666665</v>
      </c>
      <c r="B45" s="10">
        <f t="shared" si="0"/>
        <v>0.96124625897646188</v>
      </c>
      <c r="C45" s="10">
        <f t="shared" si="11"/>
        <v>0.92318090712099388</v>
      </c>
      <c r="D45" s="10">
        <f t="shared" si="2"/>
        <v>0.88877642688997438</v>
      </c>
      <c r="E45" s="5">
        <f t="shared" si="3"/>
        <v>0.82050142800404224</v>
      </c>
      <c r="J45" s="66"/>
    </row>
    <row r="46" spans="1:10">
      <c r="A46" s="19">
        <f t="shared" si="5"/>
        <v>2.5</v>
      </c>
      <c r="B46" s="10">
        <f t="shared" si="0"/>
        <v>0.95981583924477443</v>
      </c>
      <c r="C46" s="10">
        <f t="shared" si="11"/>
        <v>0.92180713201068132</v>
      </c>
      <c r="D46" s="10">
        <f t="shared" si="2"/>
        <v>0.88517013419368074</v>
      </c>
      <c r="E46" s="5">
        <f t="shared" si="3"/>
        <v>0.81595614274258677</v>
      </c>
      <c r="J46" s="66"/>
    </row>
    <row r="47" spans="1:10">
      <c r="A47" s="19">
        <f t="shared" si="5"/>
        <v>2.5833333333333335</v>
      </c>
      <c r="B47" s="10">
        <f t="shared" si="0"/>
        <v>0.9583789689440152</v>
      </c>
      <c r="C47" s="10">
        <f t="shared" si="11"/>
        <v>0.9204271617738321</v>
      </c>
      <c r="D47" s="10">
        <f t="shared" si="2"/>
        <v>0.8815784743641214</v>
      </c>
      <c r="E47" s="5">
        <f t="shared" si="3"/>
        <v>0.81142877303987326</v>
      </c>
      <c r="J47" s="66"/>
    </row>
    <row r="48" spans="1:10">
      <c r="A48" s="19">
        <f t="shared" si="5"/>
        <v>2.666666666666667</v>
      </c>
      <c r="B48" s="10">
        <f t="shared" si="0"/>
        <v>0.95693563165436013</v>
      </c>
      <c r="C48" s="10">
        <f t="shared" si="11"/>
        <v>0.91904098064084738</v>
      </c>
      <c r="D48" s="10">
        <f t="shared" si="2"/>
        <v>0.87800138802708416</v>
      </c>
      <c r="E48" s="5">
        <f t="shared" si="3"/>
        <v>0.8069192566564366</v>
      </c>
      <c r="J48" s="66"/>
    </row>
    <row r="49" spans="1:10">
      <c r="A49" s="19">
        <f t="shared" si="5"/>
        <v>2.7500000000000004</v>
      </c>
      <c r="B49" s="10">
        <f t="shared" si="0"/>
        <v>0.95548581107629094</v>
      </c>
      <c r="C49" s="10">
        <f t="shared" si="11"/>
        <v>0.91764857295766977</v>
      </c>
      <c r="D49" s="10">
        <f t="shared" si="2"/>
        <v>0.87443881604927254</v>
      </c>
      <c r="E49" s="5">
        <f t="shared" si="3"/>
        <v>0.80242753168640923</v>
      </c>
      <c r="J49" s="66"/>
    </row>
    <row r="50" spans="1:10">
      <c r="A50" s="19">
        <f t="shared" si="5"/>
        <v>2.8333333333333339</v>
      </c>
      <c r="B50" s="10">
        <f t="shared" si="0"/>
        <v>0.95402949103311796</v>
      </c>
      <c r="C50" s="10">
        <f t="shared" si="11"/>
        <v>0.91624992318820642</v>
      </c>
      <c r="D50" s="10">
        <f t="shared" si="2"/>
        <v>0.87089069953732934</v>
      </c>
      <c r="E50" s="5">
        <f t="shared" si="3"/>
        <v>0.79795353655640133</v>
      </c>
      <c r="J50" s="66"/>
    </row>
    <row r="51" spans="1:10">
      <c r="A51" s="19">
        <f t="shared" si="5"/>
        <v>2.9166666666666674</v>
      </c>
      <c r="B51" s="10">
        <f t="shared" si="0"/>
        <v>0.95256665547352459</v>
      </c>
      <c r="C51" s="10">
        <f t="shared" si="11"/>
        <v>0.91484501591677292</v>
      </c>
      <c r="D51" s="10">
        <f t="shared" si="2"/>
        <v>0.86735697983686277</v>
      </c>
      <c r="E51" s="5">
        <f t="shared" si="3"/>
        <v>0.79349721002437879</v>
      </c>
      <c r="J51" s="66"/>
    </row>
    <row r="52" spans="1:10">
      <c r="A52" s="19">
        <f t="shared" si="5"/>
        <v>3.0000000000000009</v>
      </c>
      <c r="B52" s="10">
        <f t="shared" si="0"/>
        <v>0.95109728847413588</v>
      </c>
      <c r="C52" s="10">
        <f t="shared" si="11"/>
        <v>0.91343383585056004</v>
      </c>
      <c r="D52" s="10">
        <f t="shared" si="2"/>
        <v>0.86383759853147601</v>
      </c>
      <c r="E52" s="5">
        <f t="shared" si="3"/>
        <v>0.78905849117854221</v>
      </c>
      <c r="J52" s="66"/>
    </row>
    <row r="53" spans="1:10">
      <c r="A53" s="19">
        <f t="shared" si="5"/>
        <v>3.0833333333333344</v>
      </c>
      <c r="B53" s="10">
        <f t="shared" si="0"/>
        <v>0.94962137424211168</v>
      </c>
      <c r="C53" s="10">
        <f t="shared" si="11"/>
        <v>0.91201636782212403</v>
      </c>
      <c r="D53" s="10">
        <f t="shared" si="2"/>
        <v>0.86033249744180262</v>
      </c>
      <c r="E53" s="5">
        <f t="shared" si="3"/>
        <v>0.78463731943620962</v>
      </c>
      <c r="J53" s="66"/>
    </row>
    <row r="54" spans="1:10">
      <c r="A54" s="19">
        <f t="shared" si="5"/>
        <v>3.1666666666666679</v>
      </c>
      <c r="B54" s="10">
        <f t="shared" si="0"/>
        <v>0.94813889711776345</v>
      </c>
      <c r="C54" s="10">
        <f t="shared" si="11"/>
        <v>0.91059259679189997</v>
      </c>
      <c r="D54" s="10">
        <f t="shared" si="2"/>
        <v>0.85684161862454467</v>
      </c>
      <c r="E54" s="5">
        <f t="shared" si="3"/>
        <v>0.7802336345426989</v>
      </c>
      <c r="J54" s="66"/>
    </row>
    <row r="55" spans="1:10">
      <c r="A55" s="19">
        <f t="shared" si="5"/>
        <v>3.2500000000000013</v>
      </c>
      <c r="B55" s="10">
        <f t="shared" si="0"/>
        <v>0.94664984157719378</v>
      </c>
      <c r="C55" s="10">
        <f t="shared" si="11"/>
        <v>0.90916250785073682</v>
      </c>
      <c r="D55" s="10">
        <f t="shared" si="2"/>
        <v>0.85336490437151402</v>
      </c>
      <c r="E55" s="5">
        <f t="shared" si="3"/>
        <v>0.77584737657020986</v>
      </c>
      <c r="J55" s="66"/>
    </row>
    <row r="56" spans="1:10">
      <c r="A56" s="19">
        <f t="shared" si="5"/>
        <v>3.3333333333333348</v>
      </c>
      <c r="B56" s="10">
        <f t="shared" si="0"/>
        <v>0.94515419223496133</v>
      </c>
      <c r="C56" s="10">
        <f t="shared" si="11"/>
        <v>0.90772608622245676</v>
      </c>
      <c r="D56" s="10">
        <f t="shared" si="2"/>
        <v>0.84990229720867871</v>
      </c>
      <c r="E56" s="5">
        <f t="shared" si="3"/>
        <v>0.7714784859167092</v>
      </c>
      <c r="J56" s="66"/>
    </row>
    <row r="57" spans="1:10">
      <c r="A57" s="19">
        <f t="shared" si="5"/>
        <v>3.4166666666666683</v>
      </c>
      <c r="B57" s="10">
        <f t="shared" si="0"/>
        <v>0.94365193384677015</v>
      </c>
      <c r="C57" s="10">
        <f t="shared" si="11"/>
        <v>0.90628331726643796</v>
      </c>
      <c r="D57" s="10">
        <f t="shared" si="2"/>
        <v>0.84645373989521355</v>
      </c>
      <c r="E57" s="5">
        <f t="shared" si="3"/>
        <v>0.76712690330481681</v>
      </c>
      <c r="J57" s="66"/>
    </row>
    <row r="58" spans="1:10">
      <c r="A58" s="19">
        <f t="shared" si="5"/>
        <v>3.5000000000000018</v>
      </c>
      <c r="B58" s="10">
        <f t="shared" si="0"/>
        <v>0.94214305131218068</v>
      </c>
      <c r="C58" s="10">
        <f t="shared" si="11"/>
        <v>0.90483418648021829</v>
      </c>
      <c r="D58" s="10">
        <f t="shared" si="2"/>
        <v>0.843019175422553</v>
      </c>
      <c r="E58" s="5">
        <f t="shared" si="3"/>
        <v>0.76279256978069021</v>
      </c>
      <c r="J58" s="66"/>
    </row>
    <row r="59" spans="1:10">
      <c r="A59" s="19">
        <f t="shared" si="5"/>
        <v>3.5833333333333353</v>
      </c>
      <c r="B59" s="10">
        <f t="shared" si="0"/>
        <v>0.94062752967734764</v>
      </c>
      <c r="C59" s="10">
        <f t="shared" si="11"/>
        <v>0.90337867950212458</v>
      </c>
      <c r="D59" s="10">
        <f t="shared" si="2"/>
        <v>0.83959854701344894</v>
      </c>
      <c r="E59" s="5">
        <f t="shared" si="3"/>
        <v>0.75847542671291202</v>
      </c>
      <c r="J59" s="66"/>
    </row>
    <row r="60" spans="1:10">
      <c r="A60" s="19">
        <f t="shared" si="5"/>
        <v>3.6666666666666687</v>
      </c>
      <c r="B60" s="10">
        <f t="shared" si="0"/>
        <v>0.93910535413778029</v>
      </c>
      <c r="C60" s="10">
        <f t="shared" si="11"/>
        <v>0.90191678211392412</v>
      </c>
      <c r="D60" s="10">
        <f t="shared" si="2"/>
        <v>0.83619179812103239</v>
      </c>
      <c r="E60" s="5">
        <f t="shared" si="3"/>
        <v>0.75417541579137759</v>
      </c>
      <c r="J60" s="66"/>
    </row>
    <row r="61" spans="1:10">
      <c r="A61" s="19">
        <f t="shared" si="5"/>
        <v>3.7500000000000022</v>
      </c>
      <c r="B61" s="10">
        <f t="shared" si="0"/>
        <v>0.93757651004112763</v>
      </c>
      <c r="C61" s="10">
        <f t="shared" si="11"/>
        <v>0.90044848024349888</v>
      </c>
      <c r="D61" s="10">
        <f t="shared" si="2"/>
        <v>0.83279887242787853</v>
      </c>
      <c r="E61" s="5">
        <f t="shared" si="3"/>
        <v>0.74989247902618272</v>
      </c>
      <c r="J61" s="66"/>
    </row>
    <row r="62" spans="1:10">
      <c r="A62" s="19">
        <f t="shared" si="5"/>
        <v>3.8333333333333357</v>
      </c>
      <c r="B62" s="10">
        <f t="shared" si="0"/>
        <v>0.93604098288998705</v>
      </c>
      <c r="C62" s="10">
        <f t="shared" si="11"/>
        <v>0.89897375996754347</v>
      </c>
      <c r="D62" s="10">
        <f t="shared" si="2"/>
        <v>0.82941971384507551</v>
      </c>
      <c r="E62" s="5">
        <f t="shared" si="3"/>
        <v>0.74562655874651151</v>
      </c>
      <c r="J62" s="66"/>
    </row>
    <row r="63" spans="1:10">
      <c r="A63" s="19">
        <f t="shared" si="5"/>
        <v>3.9166666666666692</v>
      </c>
      <c r="B63" s="10">
        <f t="shared" si="0"/>
        <v>0.93449875834473861</v>
      </c>
      <c r="C63" s="10">
        <f t="shared" si="11"/>
        <v>0.89749260751428683</v>
      </c>
      <c r="D63" s="10">
        <f t="shared" si="2"/>
        <v>0.82605426651129765</v>
      </c>
      <c r="E63" s="5">
        <f t="shared" si="3"/>
        <v>0.74137759759952615</v>
      </c>
      <c r="J63" s="66"/>
    </row>
    <row r="64" spans="1:10">
      <c r="A64" s="19">
        <f t="shared" si="5"/>
        <v>4.0000000000000027</v>
      </c>
      <c r="B64" s="10">
        <f t="shared" si="0"/>
        <v>0.93294982222640133</v>
      </c>
      <c r="C64" s="10">
        <f t="shared" si="11"/>
        <v>0.89600500926623572</v>
      </c>
      <c r="D64" s="10">
        <f t="shared" si="2"/>
        <v>0.82270247479188163</v>
      </c>
      <c r="E64" s="5">
        <f t="shared" si="3"/>
        <v>0.73714553854925491</v>
      </c>
      <c r="J64" s="66"/>
    </row>
    <row r="65" spans="1:10">
      <c r="A65" s="19">
        <f t="shared" si="5"/>
        <v>4.0833333333333357</v>
      </c>
      <c r="B65" s="10">
        <f t="shared" si="0"/>
        <v>0.93139416051951618</v>
      </c>
      <c r="C65" s="10">
        <f t="shared" si="11"/>
        <v>0.89451095176294326</v>
      </c>
      <c r="D65" s="10">
        <f t="shared" si="2"/>
        <v>0.81936428327790733</v>
      </c>
      <c r="E65" s="5">
        <f t="shared" si="3"/>
        <v>0.73293032487548271</v>
      </c>
      <c r="J65" s="66"/>
    </row>
    <row r="66" spans="1:10">
      <c r="A66" s="19">
        <f t="shared" si="5"/>
        <v>4.1666666666666687</v>
      </c>
      <c r="B66" s="10">
        <f t="shared" si="0"/>
        <v>0.92983175937505147</v>
      </c>
      <c r="C66" s="10">
        <f t="shared" si="11"/>
        <v>0.89301042170379941</v>
      </c>
      <c r="D66" s="10">
        <f t="shared" si="2"/>
        <v>0.81603963678528069</v>
      </c>
      <c r="E66" s="5">
        <f t="shared" si="3"/>
        <v>0.72873190017263878</v>
      </c>
      <c r="J66" s="66"/>
    </row>
    <row r="67" spans="1:10">
      <c r="A67" s="19">
        <f t="shared" si="5"/>
        <v>4.2500000000000018</v>
      </c>
      <c r="B67" s="10">
        <f t="shared" si="0"/>
        <v>0.92826260511333414</v>
      </c>
      <c r="C67" s="10">
        <f t="shared" si="11"/>
        <v>0.89150340595084598</v>
      </c>
      <c r="D67" s="10">
        <f t="shared" si="2"/>
        <v>0.81272848035382284</v>
      </c>
      <c r="E67" s="5">
        <f t="shared" si="3"/>
        <v>0.72455020834868833</v>
      </c>
      <c r="J67" s="66"/>
    </row>
    <row r="68" spans="1:10">
      <c r="A68" s="19">
        <f t="shared" si="5"/>
        <v>4.3333333333333348</v>
      </c>
      <c r="B68" s="10">
        <f t="shared" si="0"/>
        <v>0.92668668422700295</v>
      </c>
      <c r="C68" s="10">
        <f t="shared" si="11"/>
        <v>0.88998989153161356</v>
      </c>
      <c r="D68" s="10">
        <f t="shared" si="2"/>
        <v>0.80943075924636065</v>
      </c>
      <c r="E68" s="5">
        <f t="shared" si="3"/>
        <v>0.72038519362402009</v>
      </c>
      <c r="J68" s="66"/>
    </row>
    <row r="69" spans="1:10">
      <c r="A69" s="19">
        <f t="shared" si="5"/>
        <v>4.4166666666666679</v>
      </c>
      <c r="B69" s="10">
        <f t="shared" si="0"/>
        <v>0.92510398338398825</v>
      </c>
      <c r="C69" s="10">
        <f t="shared" si="11"/>
        <v>0.88846986564198227</v>
      </c>
      <c r="D69" s="10">
        <f t="shared" si="2"/>
        <v>0.80614641894782246</v>
      </c>
      <c r="E69" s="5">
        <f t="shared" si="3"/>
        <v>0.716236800530337</v>
      </c>
      <c r="J69" s="66"/>
    </row>
    <row r="70" spans="1:10">
      <c r="A70" s="19">
        <f t="shared" si="5"/>
        <v>4.5000000000000009</v>
      </c>
      <c r="B70" s="10">
        <f t="shared" si="0"/>
        <v>0.92351448943051517</v>
      </c>
      <c r="C70" s="10">
        <f t="shared" si="11"/>
        <v>0.8869433156490667</v>
      </c>
      <c r="D70" s="10">
        <f t="shared" si="2"/>
        <v>0.80287540516433609</v>
      </c>
      <c r="E70" s="5">
        <f t="shared" si="3"/>
        <v>0.71210497390954408</v>
      </c>
      <c r="J70" s="66"/>
    </row>
    <row r="71" spans="1:10">
      <c r="A71" s="19">
        <f t="shared" si="5"/>
        <v>4.5833333333333339</v>
      </c>
      <c r="B71" s="10">
        <f t="shared" si="0"/>
        <v>0.92191818939413073</v>
      </c>
      <c r="C71" s="10">
        <f t="shared" si="11"/>
        <v>0.88541022909412304</v>
      </c>
      <c r="D71" s="10">
        <f t="shared" si="2"/>
        <v>0.79961766382233246</v>
      </c>
      <c r="E71" s="5">
        <f t="shared" si="3"/>
        <v>0.70798965891263888</v>
      </c>
      <c r="J71" s="66"/>
    </row>
    <row r="72" spans="1:10">
      <c r="A72" s="19">
        <f t="shared" si="5"/>
        <v>4.666666666666667</v>
      </c>
      <c r="B72" s="10">
        <f t="shared" si="0"/>
        <v>0.92031507048675565</v>
      </c>
      <c r="C72" s="10">
        <f t="shared" si="11"/>
        <v>0.88387059369548004</v>
      </c>
      <c r="D72" s="10">
        <f t="shared" si="2"/>
        <v>0.79637314106764989</v>
      </c>
      <c r="E72" s="5">
        <f t="shared" si="3"/>
        <v>0.70389080099859802</v>
      </c>
      <c r="J72" s="66"/>
    </row>
    <row r="73" spans="1:10">
      <c r="A73" s="19">
        <f t="shared" si="5"/>
        <v>4.75</v>
      </c>
      <c r="B73" s="10">
        <f t="shared" si="0"/>
        <v>0.91870512010776006</v>
      </c>
      <c r="C73" s="10">
        <f t="shared" si="11"/>
        <v>0.88232439735149271</v>
      </c>
      <c r="D73" s="10">
        <f t="shared" si="2"/>
        <v>0.79314178326464624</v>
      </c>
      <c r="E73" s="5">
        <f t="shared" si="3"/>
        <v>0.69980834593326724</v>
      </c>
      <c r="J73" s="66"/>
    </row>
    <row r="74" spans="1:10">
      <c r="A74" s="19">
        <f t="shared" si="5"/>
        <v>4.833333333333333</v>
      </c>
      <c r="B74" s="10">
        <f t="shared" si="0"/>
        <v>0.91708832584706323</v>
      </c>
      <c r="C74" s="10">
        <f t="shared" si="11"/>
        <v>0.8807716281435195</v>
      </c>
      <c r="D74" s="10">
        <f t="shared" si="2"/>
        <v>0.78992353699531004</v>
      </c>
      <c r="E74" s="5">
        <f t="shared" si="3"/>
        <v>0.6957422397882469</v>
      </c>
      <c r="J74" s="66"/>
    </row>
    <row r="75" spans="1:10">
      <c r="A75" s="19">
        <f t="shared" si="5"/>
        <v>4.9166666666666661</v>
      </c>
      <c r="B75" s="10">
        <f t="shared" si="0"/>
        <v>0.91546467548825894</v>
      </c>
      <c r="C75" s="10">
        <f t="shared" si="11"/>
        <v>0.87921227433892379</v>
      </c>
      <c r="D75" s="10">
        <f t="shared" si="2"/>
        <v>0.78671834905837879</v>
      </c>
      <c r="E75" s="5">
        <f t="shared" si="3"/>
        <v>0.69169242893978056</v>
      </c>
      <c r="J75" s="66"/>
    </row>
    <row r="76" spans="1:10">
      <c r="A76" s="19">
        <f t="shared" si="5"/>
        <v>4.9999999999999991</v>
      </c>
      <c r="B76" s="10">
        <f t="shared" si="0"/>
        <v>0.91383415701176196</v>
      </c>
      <c r="C76" s="10">
        <f t="shared" si="11"/>
        <v>0.87764632439409607</v>
      </c>
      <c r="D76" s="10">
        <f t="shared" si="2"/>
        <v>0.78352616646845896</v>
      </c>
      <c r="E76" s="5">
        <f t="shared" si="3"/>
        <v>0.68765886006763965</v>
      </c>
      <c r="J76" s="66"/>
    </row>
    <row r="77" spans="1:10">
      <c r="A77" s="19">
        <f t="shared" si="5"/>
        <v>5.0833333333333321</v>
      </c>
      <c r="B77" s="10">
        <f t="shared" si="0"/>
        <v>0.91219675859798188</v>
      </c>
      <c r="C77" s="10">
        <f t="shared" si="11"/>
        <v>0.87607376695750172</v>
      </c>
      <c r="D77" s="10">
        <f t="shared" si="2"/>
        <v>0.78034693645514985</v>
      </c>
      <c r="E77" s="5">
        <f t="shared" si="3"/>
        <v>0.68364148015400938</v>
      </c>
      <c r="J77" s="66"/>
    </row>
    <row r="78" spans="1:10">
      <c r="A78" s="19">
        <f t="shared" si="5"/>
        <v>5.1666666666666652</v>
      </c>
      <c r="B78" s="10">
        <f t="shared" si="0"/>
        <v>0.91055246863051931</v>
      </c>
      <c r="C78" s="10">
        <f t="shared" si="11"/>
        <v>0.87449459087275072</v>
      </c>
      <c r="D78" s="10">
        <f t="shared" si="2"/>
        <v>0.77718060646217213</v>
      </c>
      <c r="E78" s="5">
        <f t="shared" si="3"/>
        <v>0.67964023648237348</v>
      </c>
      <c r="J78" s="66"/>
    </row>
    <row r="79" spans="1:10">
      <c r="A79" s="19">
        <f t="shared" si="5"/>
        <v>5.2499999999999982</v>
      </c>
      <c r="B79" s="10">
        <f t="shared" si="0"/>
        <v>0.90890127569938561</v>
      </c>
      <c r="C79" s="10">
        <f t="shared" si="11"/>
        <v>0.87290878518168991</v>
      </c>
      <c r="D79" s="10">
        <f t="shared" si="2"/>
        <v>0.77402712414649799</v>
      </c>
      <c r="E79" s="5">
        <f t="shared" si="3"/>
        <v>0.67565507663639668</v>
      </c>
      <c r="J79" s="66"/>
    </row>
    <row r="80" spans="1:10">
      <c r="A80" s="19">
        <f t="shared" si="5"/>
        <v>5.3333333333333313</v>
      </c>
      <c r="B80" s="10">
        <f t="shared" si="0"/>
        <v>0.90724316860424814</v>
      </c>
      <c r="C80" s="10">
        <f t="shared" si="11"/>
        <v>0.87131633912751982</v>
      </c>
      <c r="D80" s="10">
        <f t="shared" si="2"/>
        <v>0.77088643737748652</v>
      </c>
      <c r="E80" s="5">
        <f t="shared" si="3"/>
        <v>0.67168594849880758</v>
      </c>
      <c r="J80" s="66"/>
    </row>
    <row r="81" spans="1:10">
      <c r="A81" s="19">
        <f t="shared" si="5"/>
        <v>5.4166666666666643</v>
      </c>
      <c r="B81" s="10">
        <f t="shared" ref="B81:B135" si="12">(B$8^A81)*B$9^((B$5^B$7)*((B$5^A81)-1))</f>
        <v>0.9055781363576979</v>
      </c>
      <c r="C81" s="10">
        <f t="shared" si="11"/>
        <v>0.869717242157933</v>
      </c>
      <c r="D81" s="10">
        <f t="shared" ref="D81:D135" si="13">(1+B$6)^-A81</f>
        <v>0.76775849423602149</v>
      </c>
      <c r="E81" s="5">
        <f t="shared" ref="E81:E135" si="14">C81*D81</f>
        <v>0.66773280025027992</v>
      </c>
      <c r="J81" s="66"/>
    </row>
    <row r="82" spans="1:10">
      <c r="A82" s="19">
        <f t="shared" ref="A82:A135" si="15">A81+1/12</f>
        <v>5.4999999999999973</v>
      </c>
      <c r="B82" s="10">
        <f t="shared" si="12"/>
        <v>0.90390616818854208</v>
      </c>
      <c r="C82" s="10">
        <f t="shared" si="11"/>
        <v>0.86811148392827575</v>
      </c>
      <c r="D82" s="10">
        <f t="shared" si="13"/>
        <v>0.76464324301365372</v>
      </c>
      <c r="E82" s="5">
        <f t="shared" si="14"/>
        <v>0.6637955803683121</v>
      </c>
      <c r="J82" s="66"/>
    </row>
    <row r="83" spans="1:10">
      <c r="A83" s="19">
        <f t="shared" si="15"/>
        <v>5.5833333333333304</v>
      </c>
      <c r="B83" s="10">
        <f t="shared" si="12"/>
        <v>0.90222725354511935</v>
      </c>
      <c r="C83" s="10">
        <f t="shared" si="11"/>
        <v>0.86649905430473251</v>
      </c>
      <c r="D83" s="10">
        <f t="shared" si="13"/>
        <v>0.76154063221174517</v>
      </c>
      <c r="E83" s="5">
        <f t="shared" si="14"/>
        <v>0.65987423762610531</v>
      </c>
      <c r="J83" s="66"/>
    </row>
    <row r="84" spans="1:10">
      <c r="A84" s="19">
        <f t="shared" si="15"/>
        <v>5.6666666666666634</v>
      </c>
      <c r="B84" s="10">
        <f t="shared" si="12"/>
        <v>0.90054138209863999</v>
      </c>
      <c r="C84" s="10">
        <f t="shared" si="11"/>
        <v>0.86487994336753382</v>
      </c>
      <c r="D84" s="10">
        <f t="shared" si="13"/>
        <v>0.75845061054061913</v>
      </c>
      <c r="E84" s="5">
        <f t="shared" si="14"/>
        <v>0.65596872109144211</v>
      </c>
      <c r="J84" s="66"/>
    </row>
    <row r="85" spans="1:10">
      <c r="A85" s="19">
        <f t="shared" si="15"/>
        <v>5.7499999999999964</v>
      </c>
      <c r="B85" s="10">
        <f t="shared" si="12"/>
        <v>0.89884854374654788</v>
      </c>
      <c r="C85" s="10">
        <f t="shared" si="11"/>
        <v>0.86325414141418455</v>
      </c>
      <c r="D85" s="10">
        <f t="shared" si="13"/>
        <v>0.75537312691871084</v>
      </c>
      <c r="E85" s="5">
        <f t="shared" si="14"/>
        <v>0.65207898012555954</v>
      </c>
      <c r="J85" s="66"/>
    </row>
    <row r="86" spans="1:10">
      <c r="A86" s="19">
        <f t="shared" si="15"/>
        <v>5.8333333333333295</v>
      </c>
      <c r="B86" s="10">
        <f t="shared" si="12"/>
        <v>0.89714872861590844</v>
      </c>
      <c r="C86" s="10">
        <f t="shared" si="11"/>
        <v>0.86162163896271837</v>
      </c>
      <c r="D86" s="10">
        <f t="shared" si="13"/>
        <v>0.75230813047172396</v>
      </c>
      <c r="E86" s="5">
        <f t="shared" si="14"/>
        <v>0.64820496438202535</v>
      </c>
      <c r="J86" s="66"/>
    </row>
    <row r="87" spans="1:10">
      <c r="A87" s="19">
        <f t="shared" si="15"/>
        <v>5.9166666666666625</v>
      </c>
      <c r="B87" s="10">
        <f t="shared" si="12"/>
        <v>0.89544192706681736</v>
      </c>
      <c r="C87" s="10">
        <f t="shared" si="11"/>
        <v>0.85998242675497127</v>
      </c>
      <c r="D87" s="10">
        <f t="shared" si="13"/>
        <v>0.74925557053178937</v>
      </c>
      <c r="E87" s="5">
        <f t="shared" si="14"/>
        <v>0.64434662380560881</v>
      </c>
      <c r="J87" s="66"/>
    </row>
    <row r="88" spans="1:10">
      <c r="A88" s="19">
        <f t="shared" si="15"/>
        <v>5.9999999999999956</v>
      </c>
      <c r="B88" s="10">
        <f t="shared" si="12"/>
        <v>0.89372812969583471</v>
      </c>
      <c r="C88" s="10">
        <f t="shared" si="11"/>
        <v>0.85833649575987958</v>
      </c>
      <c r="D88" s="10">
        <f t="shared" si="13"/>
        <v>0.74621539663662761</v>
      </c>
      <c r="E88" s="5">
        <f t="shared" si="14"/>
        <v>0.64050390863115159</v>
      </c>
      <c r="J88" s="66"/>
    </row>
    <row r="89" spans="1:10">
      <c r="A89" s="19">
        <f t="shared" si="15"/>
        <v>6.0833333333333286</v>
      </c>
      <c r="B89" s="10">
        <f t="shared" si="12"/>
        <v>0.89200732733944066</v>
      </c>
      <c r="C89" s="10">
        <f t="shared" si="11"/>
        <v>0.85668383717679875</v>
      </c>
      <c r="D89" s="10">
        <f t="shared" si="13"/>
        <v>0.74318755852871421</v>
      </c>
      <c r="E89" s="5">
        <f t="shared" si="14"/>
        <v>0.63667676938243556</v>
      </c>
      <c r="J89" s="66"/>
    </row>
    <row r="90" spans="1:10">
      <c r="A90" s="19">
        <f t="shared" si="15"/>
        <v>6.1666666666666616</v>
      </c>
      <c r="B90" s="10">
        <f t="shared" si="12"/>
        <v>0.89027951107751568</v>
      </c>
      <c r="C90" s="10">
        <f t="shared" si="11"/>
        <v>0.85502444243884601</v>
      </c>
      <c r="D90" s="10">
        <f t="shared" si="13"/>
        <v>0.74017200615444967</v>
      </c>
      <c r="E90" s="5">
        <f t="shared" si="14"/>
        <v>0.63286515687105038</v>
      </c>
      <c r="J90" s="66"/>
    </row>
    <row r="91" spans="1:10">
      <c r="A91" s="19">
        <f t="shared" si="15"/>
        <v>6.2499999999999947</v>
      </c>
      <c r="B91" s="10">
        <f t="shared" si="12"/>
        <v>0.8885446722368423</v>
      </c>
      <c r="C91" s="10">
        <f t="shared" si="11"/>
        <v>0.85335830321626327</v>
      </c>
      <c r="D91" s="10">
        <f t="shared" si="13"/>
        <v>0.7371686896633316</v>
      </c>
      <c r="E91" s="5">
        <f t="shared" si="14"/>
        <v>0.62906902219525684</v>
      </c>
      <c r="J91" s="66"/>
    </row>
    <row r="92" spans="1:10">
      <c r="A92" s="19">
        <f t="shared" si="15"/>
        <v>6.3333333333333277</v>
      </c>
      <c r="B92" s="10">
        <f t="shared" si="12"/>
        <v>0.88680280239463105</v>
      </c>
      <c r="C92" s="10">
        <f t="shared" si="11"/>
        <v>0.85168541141980358</v>
      </c>
      <c r="D92" s="10">
        <f t="shared" si="13"/>
        <v>0.73417755940713003</v>
      </c>
      <c r="E92" s="5">
        <f t="shared" si="14"/>
        <v>0.62528831673884888</v>
      </c>
      <c r="J92" s="66"/>
    </row>
    <row r="93" spans="1:10">
      <c r="A93" s="19">
        <f t="shared" si="15"/>
        <v>6.4166666666666607</v>
      </c>
      <c r="B93" s="10">
        <f t="shared" si="12"/>
        <v>0.88505389338206808</v>
      </c>
      <c r="C93" s="10">
        <f t="shared" si="11"/>
        <v>0.85000575920413812</v>
      </c>
      <c r="D93" s="10">
        <f t="shared" si="13"/>
        <v>0.73119856593906829</v>
      </c>
      <c r="E93" s="5">
        <f t="shared" si="14"/>
        <v>0.62152299217001483</v>
      </c>
      <c r="J93" s="66"/>
    </row>
    <row r="94" spans="1:10">
      <c r="A94" s="19">
        <f t="shared" si="15"/>
        <v>6.4999999999999938</v>
      </c>
      <c r="B94" s="10">
        <f t="shared" si="12"/>
        <v>0.88329793728788575</v>
      </c>
      <c r="C94" s="10">
        <f t="shared" si="11"/>
        <v>0.84831933897128542</v>
      </c>
      <c r="D94" s="10">
        <f t="shared" si="13"/>
        <v>0.72823166001300355</v>
      </c>
      <c r="E94" s="5">
        <f t="shared" si="14"/>
        <v>0.61777300044019301</v>
      </c>
      <c r="J94" s="66"/>
    </row>
    <row r="95" spans="1:10">
      <c r="A95" s="19">
        <f t="shared" si="15"/>
        <v>6.5833333333333268</v>
      </c>
      <c r="B95" s="10">
        <f t="shared" si="12"/>
        <v>0.88153492646195541</v>
      </c>
      <c r="C95" s="10">
        <f t="shared" si="11"/>
        <v>0.84662614337406195</v>
      </c>
      <c r="D95" s="10">
        <f t="shared" si="13"/>
        <v>0.72527679258261468</v>
      </c>
      <c r="E95" s="5">
        <f t="shared" si="14"/>
        <v>0.61403829378292851</v>
      </c>
      <c r="J95" s="66"/>
    </row>
    <row r="96" spans="1:10">
      <c r="A96" s="19">
        <f t="shared" si="15"/>
        <v>6.6666666666666599</v>
      </c>
      <c r="B96" s="10">
        <f t="shared" si="12"/>
        <v>0.87976485351890321</v>
      </c>
      <c r="C96" s="10">
        <f t="shared" si="11"/>
        <v>0.84492616531955456</v>
      </c>
      <c r="D96" s="10">
        <f t="shared" si="13"/>
        <v>0.72233391480058973</v>
      </c>
      <c r="E96" s="5">
        <f t="shared" si="14"/>
        <v>0.61031882471272414</v>
      </c>
      <c r="J96" s="66"/>
    </row>
    <row r="97" spans="1:10">
      <c r="A97" s="19">
        <f t="shared" si="15"/>
        <v>6.7499999999999929</v>
      </c>
      <c r="B97" s="10">
        <f t="shared" si="12"/>
        <v>0.87798771134174669</v>
      </c>
      <c r="C97" s="10">
        <f t="shared" si="11"/>
        <v>0.84321939797261347</v>
      </c>
      <c r="D97" s="10">
        <f t="shared" si="13"/>
        <v>0.71940297801781994</v>
      </c>
      <c r="E97" s="5">
        <f t="shared" si="14"/>
        <v>0.60661454602389142</v>
      </c>
      <c r="J97" s="66"/>
    </row>
    <row r="98" spans="1:10">
      <c r="A98" s="19">
        <f t="shared" si="15"/>
        <v>6.8333333333333259</v>
      </c>
      <c r="B98" s="10">
        <f t="shared" si="12"/>
        <v>0.87620349308555412</v>
      </c>
      <c r="C98" s="10">
        <f t="shared" si="11"/>
        <v>0.84150583475936613</v>
      </c>
      <c r="D98" s="10">
        <f t="shared" si="13"/>
        <v>0.71648393378259434</v>
      </c>
      <c r="E98" s="5">
        <f t="shared" si="14"/>
        <v>0.60292541078939643</v>
      </c>
      <c r="J98" s="66"/>
    </row>
    <row r="99" spans="1:10">
      <c r="A99" s="19">
        <f t="shared" si="15"/>
        <v>6.916666666666659</v>
      </c>
      <c r="B99" s="10">
        <f t="shared" si="12"/>
        <v>0.87441219218112609</v>
      </c>
      <c r="C99" s="10">
        <f t="shared" si="11"/>
        <v>0.83978546937075338</v>
      </c>
      <c r="D99" s="10">
        <f t="shared" si="13"/>
        <v>0.71357673383979958</v>
      </c>
      <c r="E99" s="5">
        <f t="shared" si="14"/>
        <v>0.59925137235970527</v>
      </c>
      <c r="J99" s="66"/>
    </row>
    <row r="100" spans="1:10">
      <c r="A100" s="19">
        <f t="shared" si="15"/>
        <v>6.999999999999992</v>
      </c>
      <c r="B100" s="10">
        <f t="shared" si="12"/>
        <v>0.87261380233869734</v>
      </c>
      <c r="C100" s="10">
        <f t="shared" si="11"/>
        <v>0.83805829576608482</v>
      </c>
      <c r="D100" s="10">
        <f t="shared" si="13"/>
        <v>0.71068133013012169</v>
      </c>
      <c r="E100" s="5">
        <f t="shared" si="14"/>
        <v>0.59559238436162409</v>
      </c>
      <c r="J100" s="66"/>
    </row>
    <row r="101" spans="1:10">
      <c r="A101" s="19">
        <f t="shared" si="15"/>
        <v>7.083333333333325</v>
      </c>
      <c r="B101" s="10">
        <f t="shared" si="12"/>
        <v>0.87080831755166055</v>
      </c>
      <c r="C101" s="10">
        <f t="shared" si="11"/>
        <v>0.83632430817661474</v>
      </c>
      <c r="D101" s="10">
        <f t="shared" si="13"/>
        <v>0.70779767478925171</v>
      </c>
      <c r="E101" s="5">
        <f t="shared" si="14"/>
        <v>0.5919484006971375</v>
      </c>
      <c r="J101" s="66"/>
    </row>
    <row r="102" spans="1:10">
      <c r="A102" s="19">
        <f t="shared" si="15"/>
        <v>7.1666666666666581</v>
      </c>
      <c r="B102" s="10">
        <f t="shared" si="12"/>
        <v>0.86899573210031222</v>
      </c>
      <c r="C102" s="10">
        <f t="shared" si="11"/>
        <v>0.83458350110913981</v>
      </c>
      <c r="D102" s="10">
        <f t="shared" si="13"/>
        <v>0.70492572014709509</v>
      </c>
      <c r="E102" s="5">
        <f t="shared" si="14"/>
        <v>0.58831937554224434</v>
      </c>
      <c r="J102" s="66"/>
    </row>
    <row r="103" spans="1:10">
      <c r="A103" s="19">
        <f t="shared" si="15"/>
        <v>7.2499999999999911</v>
      </c>
      <c r="B103" s="10">
        <f t="shared" si="12"/>
        <v>0.8671760405556177</v>
      </c>
      <c r="C103" s="10">
        <f t="shared" si="11"/>
        <v>0.83283586934961518</v>
      </c>
      <c r="D103" s="10">
        <f t="shared" si="13"/>
        <v>0.70206541872698247</v>
      </c>
      <c r="E103" s="5">
        <f t="shared" si="14"/>
        <v>0.5847052633457881</v>
      </c>
      <c r="J103" s="66"/>
    </row>
    <row r="104" spans="1:10">
      <c r="A104" s="19">
        <f t="shared" si="15"/>
        <v>7.3333333333333242</v>
      </c>
      <c r="B104" s="10">
        <f t="shared" si="12"/>
        <v>0.86534923778299899</v>
      </c>
      <c r="C104" s="10">
        <f t="shared" si="11"/>
        <v>0.8310814079667922</v>
      </c>
      <c r="D104" s="10">
        <f t="shared" si="13"/>
        <v>0.69921672324488582</v>
      </c>
      <c r="E104" s="5">
        <f t="shared" si="14"/>
        <v>0.58110601882828661</v>
      </c>
      <c r="J104" s="66"/>
    </row>
    <row r="105" spans="1:10">
      <c r="A105" s="19">
        <f t="shared" si="15"/>
        <v>7.4166666666666572</v>
      </c>
      <c r="B105" s="10">
        <f t="shared" si="12"/>
        <v>0.86351531894614053</v>
      </c>
      <c r="C105" s="10">
        <f t="shared" ref="C105:C135" si="16">(0.98^2)*B105</f>
        <v>0.82932011231587333</v>
      </c>
      <c r="D105" s="10">
        <f t="shared" si="13"/>
        <v>0.69637958660863652</v>
      </c>
      <c r="E105" s="5">
        <f t="shared" si="14"/>
        <v>0.57752159698075589</v>
      </c>
      <c r="J105" s="66"/>
    </row>
    <row r="106" spans="1:10">
      <c r="A106" s="19">
        <f t="shared" si="15"/>
        <v>7.4999999999999902</v>
      </c>
      <c r="B106" s="10">
        <f t="shared" si="12"/>
        <v>0.86167427951081854</v>
      </c>
      <c r="C106" s="10">
        <f t="shared" si="16"/>
        <v>0.82755197804219005</v>
      </c>
      <c r="D106" s="10">
        <f t="shared" si="13"/>
        <v>0.69355396191714636</v>
      </c>
      <c r="E106" s="5">
        <f t="shared" si="14"/>
        <v>0.57395195306353219</v>
      </c>
      <c r="J106" s="66"/>
    </row>
    <row r="107" spans="1:10">
      <c r="A107" s="19">
        <f t="shared" si="15"/>
        <v>7.5833333333333233</v>
      </c>
      <c r="B107" s="10">
        <f t="shared" si="12"/>
        <v>0.85982611524874741</v>
      </c>
      <c r="C107" s="10">
        <f t="shared" si="16"/>
        <v>0.82577700108489693</v>
      </c>
      <c r="D107" s="10">
        <f t="shared" si="13"/>
        <v>0.69073980245963296</v>
      </c>
      <c r="E107" s="5">
        <f t="shared" si="14"/>
        <v>0.57039704260508983</v>
      </c>
      <c r="J107" s="66"/>
    </row>
    <row r="108" spans="1:10">
      <c r="A108" s="19">
        <f t="shared" si="15"/>
        <v>7.6666666666666563</v>
      </c>
      <c r="B108" s="10">
        <f t="shared" si="12"/>
        <v>0.85797082224144738</v>
      </c>
      <c r="C108" s="10">
        <f t="shared" si="16"/>
        <v>0.82399517768068598</v>
      </c>
      <c r="D108" s="10">
        <f t="shared" si="13"/>
        <v>0.68793706171484736</v>
      </c>
      <c r="E108" s="5">
        <f t="shared" si="14"/>
        <v>0.56685682140085469</v>
      </c>
      <c r="J108" s="66"/>
    </row>
    <row r="109" spans="1:10">
      <c r="A109" s="19">
        <f t="shared" si="15"/>
        <v>7.7499999999999893</v>
      </c>
      <c r="B109" s="10">
        <f t="shared" si="12"/>
        <v>0.85610839688413187</v>
      </c>
      <c r="C109" s="10">
        <f t="shared" si="16"/>
        <v>0.82220650436752019</v>
      </c>
      <c r="D109" s="10">
        <f t="shared" si="13"/>
        <v>0.68514569335030484</v>
      </c>
      <c r="E109" s="5">
        <f t="shared" si="14"/>
        <v>0.56333124551201508</v>
      </c>
      <c r="J109" s="66"/>
    </row>
    <row r="110" spans="1:10">
      <c r="A110" s="19">
        <f t="shared" si="15"/>
        <v>7.8333333333333224</v>
      </c>
      <c r="B110" s="10">
        <f t="shared" si="12"/>
        <v>0.85423883588961325</v>
      </c>
      <c r="C110" s="10">
        <f t="shared" si="16"/>
        <v>0.82041097798838447</v>
      </c>
      <c r="D110" s="10">
        <f t="shared" si="13"/>
        <v>0.68236565122151849</v>
      </c>
      <c r="E110" s="5">
        <f t="shared" si="14"/>
        <v>0.55982027126432687</v>
      </c>
      <c r="J110" s="66"/>
    </row>
    <row r="111" spans="1:10">
      <c r="A111" s="19">
        <f t="shared" si="15"/>
        <v>7.9166666666666554</v>
      </c>
      <c r="B111" s="10">
        <f t="shared" si="12"/>
        <v>0.85236213629222823</v>
      </c>
      <c r="C111" s="10">
        <f t="shared" si="16"/>
        <v>0.81860859569505595</v>
      </c>
      <c r="D111" s="10">
        <f t="shared" si="13"/>
        <v>0.67959688937123786</v>
      </c>
      <c r="E111" s="5">
        <f t="shared" si="14"/>
        <v>0.5563238552469173</v>
      </c>
      <c r="J111" s="66"/>
    </row>
    <row r="112" spans="1:10">
      <c r="A112" s="19">
        <f t="shared" si="15"/>
        <v>7.9999999999999885</v>
      </c>
      <c r="B112" s="10">
        <f t="shared" si="12"/>
        <v>0.850478295451782</v>
      </c>
      <c r="C112" s="10">
        <f t="shared" si="16"/>
        <v>0.81679935495189138</v>
      </c>
      <c r="D112" s="10">
        <f t="shared" si="13"/>
        <v>0.67683936202868733</v>
      </c>
      <c r="E112" s="5">
        <f t="shared" si="14"/>
        <v>0.55284195431108152</v>
      </c>
      <c r="J112" s="66"/>
    </row>
    <row r="113" spans="1:10">
      <c r="A113" s="19">
        <f t="shared" si="15"/>
        <v>8.0833333333333215</v>
      </c>
      <c r="B113" s="10">
        <f t="shared" si="12"/>
        <v>0.84858731105751017</v>
      </c>
      <c r="C113" s="10">
        <f t="shared" si="16"/>
        <v>0.81498325353963275</v>
      </c>
      <c r="D113" s="10">
        <f t="shared" si="13"/>
        <v>0.67409302360881129</v>
      </c>
      <c r="E113" s="5">
        <f t="shared" si="14"/>
        <v>0.54937452556907751</v>
      </c>
      <c r="J113" s="66"/>
    </row>
    <row r="114" spans="1:10">
      <c r="A114" s="19">
        <f t="shared" si="15"/>
        <v>8.1666666666666554</v>
      </c>
      <c r="B114" s="10">
        <f t="shared" si="12"/>
        <v>0.84668918113205949</v>
      </c>
      <c r="C114" s="10">
        <f t="shared" si="16"/>
        <v>0.81316028955922981</v>
      </c>
      <c r="D114" s="10">
        <f t="shared" si="13"/>
        <v>0.67135782871151917</v>
      </c>
      <c r="E114" s="5">
        <f t="shared" si="14"/>
        <v>0.54592152639291469</v>
      </c>
      <c r="J114" s="66"/>
    </row>
    <row r="115" spans="1:10">
      <c r="A115" s="19">
        <f t="shared" si="15"/>
        <v>8.2499999999999893</v>
      </c>
      <c r="B115" s="10">
        <f t="shared" si="12"/>
        <v>0.84478390403548631</v>
      </c>
      <c r="C115" s="10">
        <f t="shared" si="16"/>
        <v>0.81133046143568099</v>
      </c>
      <c r="D115" s="10">
        <f t="shared" si="13"/>
        <v>0.66863373212093569</v>
      </c>
      <c r="E115" s="5">
        <f t="shared" si="14"/>
        <v>0.54248291441314023</v>
      </c>
      <c r="J115" s="66"/>
    </row>
    <row r="116" spans="1:10">
      <c r="A116" s="19">
        <f t="shared" si="15"/>
        <v>8.3333333333333233</v>
      </c>
      <c r="B116" s="10">
        <f t="shared" si="12"/>
        <v>0.84287147846927191</v>
      </c>
      <c r="C116" s="10">
        <f t="shared" si="16"/>
        <v>0.80949376792188865</v>
      </c>
      <c r="D116" s="10">
        <f t="shared" si="13"/>
        <v>0.66592068880465327</v>
      </c>
      <c r="E116" s="5">
        <f t="shared" si="14"/>
        <v>0.53905864751761823</v>
      </c>
      <c r="J116" s="66"/>
    </row>
    <row r="117" spans="1:10">
      <c r="A117" s="19">
        <f t="shared" si="15"/>
        <v>8.4166666666666572</v>
      </c>
      <c r="B117" s="10">
        <f t="shared" si="12"/>
        <v>0.84095190348035564</v>
      </c>
      <c r="C117" s="10">
        <f t="shared" si="16"/>
        <v>0.80765020810253352</v>
      </c>
      <c r="D117" s="10">
        <f t="shared" si="13"/>
        <v>0.66321865391298707</v>
      </c>
      <c r="E117" s="5">
        <f t="shared" si="14"/>
        <v>0.53564868385030617</v>
      </c>
      <c r="J117" s="66"/>
    </row>
    <row r="118" spans="1:10">
      <c r="A118" s="19">
        <f t="shared" si="15"/>
        <v>8.4999999999999911</v>
      </c>
      <c r="B118" s="10">
        <f t="shared" si="12"/>
        <v>0.83902517846518487</v>
      </c>
      <c r="C118" s="10">
        <f t="shared" si="16"/>
        <v>0.80579978139796349</v>
      </c>
      <c r="D118" s="10">
        <f t="shared" si="13"/>
        <v>0.66052758277823453</v>
      </c>
      <c r="E118" s="5">
        <f t="shared" si="14"/>
        <v>0.53225298181002667</v>
      </c>
      <c r="J118" s="66"/>
    </row>
    <row r="119" spans="1:10">
      <c r="A119" s="19">
        <f t="shared" si="15"/>
        <v>8.583333333333325</v>
      </c>
      <c r="B119" s="10">
        <f t="shared" si="12"/>
        <v>0.83709130317378044</v>
      </c>
      <c r="C119" s="10">
        <f t="shared" si="16"/>
        <v>0.80394248756809872</v>
      </c>
      <c r="D119" s="10">
        <f t="shared" si="13"/>
        <v>0.65784743091393605</v>
      </c>
      <c r="E119" s="5">
        <f t="shared" si="14"/>
        <v>0.52887150004923267</v>
      </c>
      <c r="J119" s="66"/>
    </row>
    <row r="120" spans="1:10">
      <c r="A120" s="19">
        <f t="shared" si="15"/>
        <v>8.666666666666659</v>
      </c>
      <c r="B120" s="10">
        <f t="shared" si="12"/>
        <v>0.83515027771381989</v>
      </c>
      <c r="C120" s="10">
        <f t="shared" si="16"/>
        <v>0.8020783267163526</v>
      </c>
      <c r="D120" s="10">
        <f t="shared" si="13"/>
        <v>0.65517815401414026</v>
      </c>
      <c r="E120" s="5">
        <f t="shared" si="14"/>
        <v>0.52550419747277033</v>
      </c>
      <c r="J120" s="66"/>
    </row>
    <row r="121" spans="1:10">
      <c r="A121" s="19">
        <f t="shared" si="15"/>
        <v>8.7499999999999929</v>
      </c>
      <c r="B121" s="10">
        <f t="shared" si="12"/>
        <v>0.83320210255473415</v>
      </c>
      <c r="C121" s="10">
        <f t="shared" si="16"/>
        <v>0.8002072992935666</v>
      </c>
      <c r="D121" s="10">
        <f t="shared" si="13"/>
        <v>0.652519707952671</v>
      </c>
      <c r="E121" s="5">
        <f t="shared" si="14"/>
        <v>0.5221510332366337</v>
      </c>
      <c r="J121" s="66"/>
    </row>
    <row r="122" spans="1:10">
      <c r="A122" s="19">
        <f t="shared" si="15"/>
        <v>8.8333333333333268</v>
      </c>
      <c r="B122" s="10">
        <f t="shared" si="12"/>
        <v>0.83124677853182205</v>
      </c>
      <c r="C122" s="10">
        <f t="shared" si="16"/>
        <v>0.79832940610196179</v>
      </c>
      <c r="D122" s="10">
        <f t="shared" si="13"/>
        <v>0.64987204878239835</v>
      </c>
      <c r="E122" s="5">
        <f t="shared" si="14"/>
        <v>0.51881196674671726</v>
      </c>
      <c r="J122" s="66"/>
    </row>
    <row r="123" spans="1:10">
      <c r="A123" s="19">
        <f t="shared" si="15"/>
        <v>8.9166666666666607</v>
      </c>
      <c r="B123" s="10">
        <f t="shared" si="12"/>
        <v>0.82928430685037791</v>
      </c>
      <c r="C123" s="10">
        <f t="shared" si="16"/>
        <v>0.79644464829910289</v>
      </c>
      <c r="D123" s="10">
        <f t="shared" si="13"/>
        <v>0.64723513273451194</v>
      </c>
      <c r="E123" s="5">
        <f t="shared" si="14"/>
        <v>0.51548695765756158</v>
      </c>
      <c r="J123" s="66"/>
    </row>
    <row r="124" spans="1:10">
      <c r="A124" s="19">
        <f t="shared" si="15"/>
        <v>8.9999999999999947</v>
      </c>
      <c r="B124" s="10">
        <f t="shared" si="12"/>
        <v>0.82731468908983474</v>
      </c>
      <c r="C124" s="10">
        <f t="shared" si="16"/>
        <v>0.79455302740187728</v>
      </c>
      <c r="D124" s="10">
        <f t="shared" si="13"/>
        <v>0.64460891621779726</v>
      </c>
      <c r="E124" s="5">
        <f t="shared" si="14"/>
        <v>0.51217596587109393</v>
      </c>
      <c r="J124" s="66"/>
    </row>
    <row r="125" spans="1:10">
      <c r="A125" s="19">
        <f t="shared" si="15"/>
        <v>9.0833333333333286</v>
      </c>
      <c r="B125" s="10">
        <f t="shared" si="12"/>
        <v>0.82533792720792032</v>
      </c>
      <c r="C125" s="10">
        <f t="shared" si="16"/>
        <v>0.79265454529048662</v>
      </c>
      <c r="D125" s="10">
        <f t="shared" si="13"/>
        <v>0.64199335581791528</v>
      </c>
      <c r="E125" s="5">
        <f t="shared" si="14"/>
        <v>0.50887895153536322</v>
      </c>
      <c r="J125" s="66"/>
    </row>
    <row r="126" spans="1:10">
      <c r="A126" s="19">
        <f t="shared" si="15"/>
        <v>9.1666666666666625</v>
      </c>
      <c r="B126" s="10">
        <f t="shared" si="12"/>
        <v>0.82335402354482867</v>
      </c>
      <c r="C126" s="10">
        <f t="shared" si="16"/>
        <v>0.79074920421245343</v>
      </c>
      <c r="D126" s="10">
        <f t="shared" si="13"/>
        <v>0.63938840829668475</v>
      </c>
      <c r="E126" s="5">
        <f t="shared" si="14"/>
        <v>0.50559587504327075</v>
      </c>
      <c r="J126" s="66"/>
    </row>
    <row r="127" spans="1:10">
      <c r="A127" s="19">
        <f t="shared" si="15"/>
        <v>9.2499999999999964</v>
      </c>
      <c r="B127" s="10">
        <f t="shared" si="12"/>
        <v>0.82136298082740367</v>
      </c>
      <c r="C127" s="10">
        <f t="shared" si="16"/>
        <v>0.78883700678663837</v>
      </c>
      <c r="D127" s="10">
        <f t="shared" si="13"/>
        <v>0.63679403059136708</v>
      </c>
      <c r="E127" s="5">
        <f t="shared" si="14"/>
        <v>0.50232669703129307</v>
      </c>
      <c r="J127" s="66"/>
    </row>
    <row r="128" spans="1:10">
      <c r="A128" s="19">
        <f t="shared" si="15"/>
        <v>9.3333333333333304</v>
      </c>
      <c r="B128" s="10">
        <f t="shared" si="12"/>
        <v>0.81936480217333518</v>
      </c>
      <c r="C128" s="10">
        <f t="shared" si="16"/>
        <v>0.78691795600727099</v>
      </c>
      <c r="D128" s="10">
        <f t="shared" si="13"/>
        <v>0.63421017981395522</v>
      </c>
      <c r="E128" s="5">
        <f t="shared" si="14"/>
        <v>0.49907137837820142</v>
      </c>
      <c r="J128" s="66"/>
    </row>
    <row r="129" spans="1:10">
      <c r="A129" s="19">
        <f t="shared" si="15"/>
        <v>9.4166666666666643</v>
      </c>
      <c r="B129" s="10">
        <f t="shared" si="12"/>
        <v>0.81735949109536876</v>
      </c>
      <c r="C129" s="10">
        <f t="shared" si="16"/>
        <v>0.78499205524799209</v>
      </c>
      <c r="D129" s="10">
        <f t="shared" si="13"/>
        <v>0.63163681325046361</v>
      </c>
      <c r="E129" s="5">
        <f t="shared" si="14"/>
        <v>0.49582988020377361</v>
      </c>
      <c r="J129" s="66"/>
    </row>
    <row r="130" spans="1:10">
      <c r="A130" s="19">
        <f t="shared" si="15"/>
        <v>9.4999999999999982</v>
      </c>
      <c r="B130" s="10">
        <f t="shared" si="12"/>
        <v>0.81534705150552622</v>
      </c>
      <c r="C130" s="10">
        <f t="shared" si="16"/>
        <v>0.78305930826590731</v>
      </c>
      <c r="D130" s="10">
        <f t="shared" si="13"/>
        <v>0.62907388836022315</v>
      </c>
      <c r="E130" s="5">
        <f t="shared" si="14"/>
        <v>0.49260216386750094</v>
      </c>
      <c r="J130" s="66"/>
    </row>
    <row r="131" spans="1:10">
      <c r="A131" s="19">
        <f t="shared" si="15"/>
        <v>9.5833333333333321</v>
      </c>
      <c r="B131" s="10">
        <f t="shared" si="12"/>
        <v>0.81332748771933761</v>
      </c>
      <c r="C131" s="10">
        <f t="shared" si="16"/>
        <v>0.78111971920565182</v>
      </c>
      <c r="D131" s="10">
        <f t="shared" si="13"/>
        <v>0.626521362775177</v>
      </c>
      <c r="E131" s="5">
        <f t="shared" si="14"/>
        <v>0.48938819096728858</v>
      </c>
      <c r="J131" s="66"/>
    </row>
    <row r="132" spans="1:10">
      <c r="A132" s="19">
        <f t="shared" si="15"/>
        <v>9.6666666666666661</v>
      </c>
      <c r="B132" s="10">
        <f t="shared" si="12"/>
        <v>0.81130080446008512</v>
      </c>
      <c r="C132" s="10">
        <f t="shared" si="16"/>
        <v>0.77917329260346568</v>
      </c>
      <c r="D132" s="10">
        <f t="shared" si="13"/>
        <v>0.62397919429918092</v>
      </c>
      <c r="E132" s="5">
        <f t="shared" si="14"/>
        <v>0.48618792333815047</v>
      </c>
      <c r="J132" s="66"/>
    </row>
    <row r="133" spans="1:10">
      <c r="A133" s="19">
        <f t="shared" si="15"/>
        <v>9.75</v>
      </c>
      <c r="B133" s="10">
        <f t="shared" si="12"/>
        <v>0.80926700686305586</v>
      </c>
      <c r="C133" s="10">
        <f t="shared" si="16"/>
        <v>0.77722003339127876</v>
      </c>
      <c r="D133" s="10">
        <f t="shared" si="13"/>
        <v>0.62144734090730558</v>
      </c>
      <c r="E133" s="5">
        <f t="shared" si="14"/>
        <v>0.48300132305089744</v>
      </c>
      <c r="J133" s="66"/>
    </row>
    <row r="134" spans="1:10">
      <c r="A134" s="19">
        <f t="shared" si="15"/>
        <v>9.8333333333333339</v>
      </c>
      <c r="B134" s="10">
        <f t="shared" si="12"/>
        <v>0.80722610047980592</v>
      </c>
      <c r="C134" s="10">
        <f t="shared" si="16"/>
        <v>0.77525994690080557</v>
      </c>
      <c r="D134" s="10">
        <f t="shared" si="13"/>
        <v>0.61892576074514116</v>
      </c>
      <c r="E134" s="5">
        <f t="shared" si="14"/>
        <v>0.47982835241081884</v>
      </c>
      <c r="J134" s="66"/>
    </row>
    <row r="135" spans="1:10">
      <c r="A135" s="19">
        <f t="shared" si="15"/>
        <v>9.9166666666666679</v>
      </c>
      <c r="B135" s="10">
        <f t="shared" si="12"/>
        <v>0.80517809128243278</v>
      </c>
      <c r="C135" s="10">
        <f t="shared" si="16"/>
        <v>0.77329303886764833</v>
      </c>
      <c r="D135" s="10">
        <f t="shared" si="13"/>
        <v>0.61641441212810644</v>
      </c>
      <c r="E135" s="5">
        <f t="shared" si="14"/>
        <v>0.47666897395635843</v>
      </c>
      <c r="J135" s="66"/>
    </row>
    <row r="136" spans="1:10">
      <c r="A136" s="19"/>
      <c r="B136" s="10"/>
      <c r="C136" s="10"/>
      <c r="D136" s="66"/>
      <c r="E136" s="131">
        <f>SUM(E16:E135)</f>
        <v>84.607777704564143</v>
      </c>
      <c r="J136" s="66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0"/>
  <sheetViews>
    <sheetView zoomScale="125" zoomScaleNormal="125" zoomScalePageLayoutView="125" workbookViewId="0"/>
  </sheetViews>
  <sheetFormatPr baseColWidth="10" defaultColWidth="8.83203125" defaultRowHeight="12" x14ac:dyDescent="0"/>
  <cols>
    <col min="2" max="2" width="10" bestFit="1" customWidth="1"/>
    <col min="3" max="3" width="4.6640625" customWidth="1"/>
    <col min="6" max="6" width="4.6640625" customWidth="1"/>
    <col min="9" max="9" width="4.6640625" customWidth="1"/>
    <col min="12" max="12" width="4.6640625" customWidth="1"/>
    <col min="17" max="17" width="4.6640625" customWidth="1"/>
    <col min="20" max="20" width="4.6640625" customWidth="1"/>
    <col min="23" max="23" width="9.1640625" style="3" customWidth="1"/>
  </cols>
  <sheetData>
    <row r="1" spans="1:27" ht="15">
      <c r="A1" s="70" t="s">
        <v>7</v>
      </c>
    </row>
    <row r="2" spans="1:27" ht="12.75" customHeight="1">
      <c r="A2" s="2"/>
    </row>
    <row r="3" spans="1:27" ht="12.75" customHeight="1">
      <c r="A3" s="50" t="s">
        <v>9</v>
      </c>
      <c r="B3" s="51">
        <v>5.0000000000000002E-5</v>
      </c>
      <c r="C3" s="6"/>
    </row>
    <row r="4" spans="1:27" ht="12.75" customHeight="1">
      <c r="A4" s="50" t="s">
        <v>10</v>
      </c>
      <c r="B4" s="51">
        <v>4.9999999999999998E-7</v>
      </c>
      <c r="C4" s="6"/>
    </row>
    <row r="5" spans="1:27" ht="12.75" customHeight="1">
      <c r="A5" s="50" t="s">
        <v>11</v>
      </c>
      <c r="B5" s="51">
        <v>2.9999999999999997E-4</v>
      </c>
      <c r="C5" s="6"/>
    </row>
    <row r="6" spans="1:27" ht="12.75" customHeight="1">
      <c r="A6" s="50" t="s">
        <v>12</v>
      </c>
      <c r="B6" s="51">
        <v>1.07</v>
      </c>
      <c r="C6" s="6"/>
    </row>
    <row r="7" spans="1:27">
      <c r="W7" s="3" t="s">
        <v>120</v>
      </c>
    </row>
    <row r="8" spans="1:27">
      <c r="D8" s="1" t="s">
        <v>8</v>
      </c>
      <c r="G8" s="1" t="s">
        <v>14</v>
      </c>
      <c r="J8" s="1" t="s">
        <v>16</v>
      </c>
      <c r="M8" s="1" t="s">
        <v>18</v>
      </c>
      <c r="U8" s="1" t="s">
        <v>20</v>
      </c>
      <c r="W8" s="3" t="s">
        <v>121</v>
      </c>
    </row>
    <row r="9" spans="1:27">
      <c r="A9" s="3" t="s">
        <v>5</v>
      </c>
      <c r="B9" s="3" t="s">
        <v>6</v>
      </c>
      <c r="C9" s="3"/>
      <c r="D9" s="3" t="s">
        <v>0</v>
      </c>
      <c r="E9" s="7" t="s">
        <v>13</v>
      </c>
      <c r="G9" s="3" t="s">
        <v>0</v>
      </c>
      <c r="H9" s="7" t="s">
        <v>15</v>
      </c>
      <c r="J9" s="3" t="s">
        <v>0</v>
      </c>
      <c r="K9" s="7" t="s">
        <v>17</v>
      </c>
      <c r="M9" s="3" t="s">
        <v>5</v>
      </c>
      <c r="N9" s="3" t="s">
        <v>6</v>
      </c>
      <c r="O9" s="3" t="s">
        <v>0</v>
      </c>
      <c r="P9" s="7" t="s">
        <v>19</v>
      </c>
      <c r="U9" s="3" t="s">
        <v>0</v>
      </c>
      <c r="V9" s="3" t="s">
        <v>21</v>
      </c>
      <c r="W9" s="3" t="s">
        <v>22</v>
      </c>
      <c r="X9" s="3" t="s">
        <v>23</v>
      </c>
    </row>
    <row r="10" spans="1:27">
      <c r="A10" s="3">
        <v>30</v>
      </c>
      <c r="B10" s="4">
        <f>EXP(-(B$3*A10+0.5*B$4*(A10^2)+(B$5/LN(B$6))*((B$6^A10)-1)))</f>
        <v>0.96943302314448576</v>
      </c>
      <c r="C10" s="4"/>
      <c r="D10" s="3">
        <v>1</v>
      </c>
      <c r="E10" s="46">
        <f t="shared" ref="E10:E15" si="0">B11/B$10</f>
        <v>0.99757499114773596</v>
      </c>
      <c r="G10" s="3">
        <v>1</v>
      </c>
      <c r="H10" s="46">
        <f>1-B17/B$13</f>
        <v>4.7069337820160317E-3</v>
      </c>
      <c r="J10" s="3">
        <v>1</v>
      </c>
      <c r="K10" s="46">
        <f>(B11-B17)/B10</f>
        <v>3.4897884105388306E-2</v>
      </c>
      <c r="M10" s="3">
        <v>70</v>
      </c>
      <c r="N10" s="4">
        <f>EXP(-(B$3*M10+0.5*B$4*(M10^2)+(B$5/LN(B$6))*((B$6^M10)-1)))</f>
        <v>0.60306966518239347</v>
      </c>
      <c r="O10" s="3">
        <v>1</v>
      </c>
      <c r="P10">
        <f>N11/N$10</f>
        <v>0.96515606950543731</v>
      </c>
      <c r="R10" s="48" t="s">
        <v>135</v>
      </c>
      <c r="S10" s="49">
        <f>SUM(P10:P69)</f>
        <v>13.046404084991922</v>
      </c>
      <c r="U10" s="3">
        <v>0</v>
      </c>
      <c r="V10" s="4">
        <f>EXP(-(B$3*(70+U10)+0.5*B$4*((70+U10)^2)+(B$5/LN(B$6))*((B$6^(70+U10))-1)))</f>
        <v>0.60306966518239347</v>
      </c>
      <c r="W10" s="3">
        <v>1</v>
      </c>
      <c r="X10" s="3">
        <f>V10*W10</f>
        <v>0.60306966518239347</v>
      </c>
      <c r="Z10" s="48" t="s">
        <v>141</v>
      </c>
      <c r="AA10" s="49">
        <f>SUM(X10:X1210)/(X10*60)</f>
        <v>13.543547209699396</v>
      </c>
    </row>
    <row r="11" spans="1:27">
      <c r="A11" s="3">
        <v>31</v>
      </c>
      <c r="B11" s="4">
        <f t="shared" ref="B11:B20" si="1">EXP(-(B$3*A11+0.5*B$4*(A11^2)+(B$5/LN(B$6))*((B$6^A11)-1)))</f>
        <v>0.96708213948168331</v>
      </c>
      <c r="C11" s="4"/>
      <c r="D11" s="3">
        <v>5</v>
      </c>
      <c r="E11" s="46">
        <f t="shared" si="0"/>
        <v>0.98617787132725698</v>
      </c>
      <c r="G11" s="3">
        <v>10</v>
      </c>
      <c r="H11" s="46">
        <f>1-B14/B13</f>
        <v>6.2877281208239322E-2</v>
      </c>
      <c r="J11" s="3">
        <v>10</v>
      </c>
      <c r="K11" s="46">
        <f>(B13-B14)/B10</f>
        <v>6.0816779727247625E-2</v>
      </c>
      <c r="M11" s="3">
        <v>71</v>
      </c>
      <c r="N11" s="4">
        <f t="shared" ref="N11:N70" si="2">EXP(-(B$3*M11+0.5*B$4*(M11^2)+(B$5/LN(B$6))*((B$6^M11)-1)))</f>
        <v>0.58205634768539893</v>
      </c>
      <c r="O11" s="3">
        <v>2</v>
      </c>
      <c r="P11">
        <f t="shared" ref="P11:P69" si="3">N12/N$10</f>
        <v>0.92922159673066529</v>
      </c>
      <c r="R11" s="48" t="s">
        <v>136</v>
      </c>
      <c r="S11" s="49">
        <f>(S10/P10)-1</f>
        <v>12.517403554926744</v>
      </c>
      <c r="U11" s="3">
        <v>0.05</v>
      </c>
      <c r="V11" s="4">
        <f t="shared" ref="V11:V74" si="4">EXP(-(B$3*(70+U11)+0.5*B$4*((70+U11)^2)+(B$5/LN(B$6))*((B$6^(70+U11))-1)))</f>
        <v>0.60203509089081308</v>
      </c>
      <c r="W11" s="3">
        <v>4</v>
      </c>
      <c r="X11" s="3">
        <f t="shared" ref="X11:X74" si="5">V11*W11</f>
        <v>2.4081403635632523</v>
      </c>
      <c r="Z11" s="48" t="s">
        <v>142</v>
      </c>
      <c r="AA11" s="49">
        <f>(SUM(X30:X1210)-X30/2)/(V30*60)</f>
        <v>13.014347136474477</v>
      </c>
    </row>
    <row r="12" spans="1:27">
      <c r="A12" s="3">
        <v>35</v>
      </c>
      <c r="B12" s="4">
        <f t="shared" si="1"/>
        <v>0.95603339515897645</v>
      </c>
      <c r="C12" s="4"/>
      <c r="D12" s="3">
        <v>10</v>
      </c>
      <c r="E12" s="46">
        <f t="shared" si="0"/>
        <v>0.96722979363297112</v>
      </c>
      <c r="G12" s="3">
        <v>20</v>
      </c>
      <c r="H12" s="46">
        <f>1-B18/B13</f>
        <v>0.17472506751725581</v>
      </c>
      <c r="J12" s="3">
        <v>20</v>
      </c>
      <c r="K12" s="46">
        <f>(B14-B18)/B10</f>
        <v>0.10818251126997465</v>
      </c>
      <c r="M12" s="3">
        <v>72</v>
      </c>
      <c r="N12" s="4">
        <f t="shared" si="2"/>
        <v>0.56038535722061134</v>
      </c>
      <c r="O12" s="3">
        <v>3</v>
      </c>
      <c r="P12">
        <f t="shared" si="3"/>
        <v>0.89225698398275988</v>
      </c>
      <c r="R12" s="48" t="s">
        <v>137</v>
      </c>
      <c r="S12" s="49">
        <f>(S11/(P11/P10))-1</f>
        <v>12.001471401431743</v>
      </c>
      <c r="U12" s="3">
        <v>0.1</v>
      </c>
      <c r="V12" s="4">
        <f t="shared" si="4"/>
        <v>0.60099880253774018</v>
      </c>
      <c r="W12" s="3">
        <f>IF(W11=4,2,4)</f>
        <v>2</v>
      </c>
      <c r="X12" s="3">
        <f t="shared" si="5"/>
        <v>1.2019976050754804</v>
      </c>
      <c r="Z12" s="48" t="s">
        <v>143</v>
      </c>
      <c r="AA12" s="49">
        <f>(SUM(X50:X1210)-X50/2)/(V50*60)</f>
        <v>12.498201473078678</v>
      </c>
    </row>
    <row r="13" spans="1:27">
      <c r="A13" s="3">
        <v>40</v>
      </c>
      <c r="B13" s="4">
        <f t="shared" si="1"/>
        <v>0.9376645029170283</v>
      </c>
      <c r="C13" s="4"/>
      <c r="D13" s="3">
        <v>20</v>
      </c>
      <c r="E13" s="46">
        <f t="shared" si="0"/>
        <v>0.90641301390572349</v>
      </c>
      <c r="M13" s="3">
        <v>73</v>
      </c>
      <c r="N13" s="4">
        <f t="shared" si="2"/>
        <v>0.53809312058713521</v>
      </c>
      <c r="O13" s="3">
        <v>4</v>
      </c>
      <c r="P13">
        <f t="shared" si="3"/>
        <v>0.85433651369439756</v>
      </c>
      <c r="R13" s="48" t="s">
        <v>138</v>
      </c>
      <c r="S13" s="49">
        <f>(S12/(P12/P11))-1</f>
        <v>11.498670919869538</v>
      </c>
      <c r="U13" s="3">
        <v>0.15</v>
      </c>
      <c r="V13" s="4">
        <f t="shared" si="4"/>
        <v>0.59996080329513179</v>
      </c>
      <c r="W13" s="3">
        <f t="shared" ref="W13:W76" si="6">IF(W12=4,2,4)</f>
        <v>4</v>
      </c>
      <c r="X13" s="3">
        <f t="shared" si="5"/>
        <v>2.3998432131805272</v>
      </c>
      <c r="Z13" s="48" t="s">
        <v>144</v>
      </c>
      <c r="AA13" s="49">
        <f>(SUM(X70:X1210)-X70/2)/(V70*60)</f>
        <v>11.995172537120895</v>
      </c>
    </row>
    <row r="14" spans="1:27">
      <c r="A14" s="3">
        <v>50</v>
      </c>
      <c r="B14" s="4">
        <f t="shared" si="1"/>
        <v>0.87870670828813036</v>
      </c>
      <c r="C14" s="4"/>
      <c r="D14" s="3">
        <v>50</v>
      </c>
      <c r="E14" s="46">
        <f t="shared" si="0"/>
        <v>0.3812185269143768</v>
      </c>
      <c r="M14" s="3">
        <v>74</v>
      </c>
      <c r="N14" s="4">
        <f t="shared" si="2"/>
        <v>0.51522443526677364</v>
      </c>
      <c r="O14" s="3">
        <v>5</v>
      </c>
      <c r="P14">
        <f t="shared" si="3"/>
        <v>0.81554913476933222</v>
      </c>
      <c r="R14" s="48" t="s">
        <v>139</v>
      </c>
      <c r="S14" s="49">
        <f>(S13/(P13/P12))-1</f>
        <v>11.009049444002876</v>
      </c>
      <c r="U14" s="3">
        <v>0.2</v>
      </c>
      <c r="V14" s="4">
        <f t="shared" si="4"/>
        <v>0.59892109638057334</v>
      </c>
      <c r="W14" s="3">
        <f t="shared" si="6"/>
        <v>2</v>
      </c>
      <c r="X14" s="3">
        <f t="shared" si="5"/>
        <v>1.1978421927611467</v>
      </c>
      <c r="Z14" s="48" t="s">
        <v>145</v>
      </c>
      <c r="AA14" s="49">
        <f>(SUM(X90:X1210)-X90/2)/(V90*60)</f>
        <v>11.50530661619049</v>
      </c>
    </row>
    <row r="15" spans="1:27">
      <c r="A15" s="3">
        <v>80</v>
      </c>
      <c r="B15" s="4">
        <f t="shared" si="1"/>
        <v>0.36956582902529184</v>
      </c>
      <c r="C15" s="4"/>
      <c r="D15" s="3">
        <v>90</v>
      </c>
      <c r="E15" s="47">
        <f t="shared" si="0"/>
        <v>3.5094622423664715E-7</v>
      </c>
      <c r="M15" s="3">
        <v>75</v>
      </c>
      <c r="N15" s="4">
        <f t="shared" si="2"/>
        <v>0.49183294364513186</v>
      </c>
      <c r="O15" s="3">
        <v>6</v>
      </c>
      <c r="P15">
        <f t="shared" si="3"/>
        <v>0.77599908855915134</v>
      </c>
      <c r="R15" s="48" t="s">
        <v>140</v>
      </c>
      <c r="S15" s="49">
        <f>(S14/(P14/P13))-1</f>
        <v>10.532637973724135</v>
      </c>
      <c r="U15" s="3">
        <v>0.25</v>
      </c>
      <c r="V15" s="4">
        <f t="shared" si="4"/>
        <v>0.59787968505746603</v>
      </c>
      <c r="W15" s="3">
        <f t="shared" si="6"/>
        <v>4</v>
      </c>
      <c r="X15" s="3">
        <f t="shared" si="5"/>
        <v>2.3915187402298641</v>
      </c>
      <c r="Z15" s="48" t="s">
        <v>146</v>
      </c>
      <c r="AA15" s="49">
        <f>(SUM(X110:X1210)-X110/2)/(V110*60)</f>
        <v>11.028633590808621</v>
      </c>
    </row>
    <row r="16" spans="1:27">
      <c r="A16" s="3">
        <v>120</v>
      </c>
      <c r="B16" s="4">
        <f t="shared" si="1"/>
        <v>3.4021885912287547E-7</v>
      </c>
      <c r="C16" s="4"/>
      <c r="M16" s="3">
        <v>76</v>
      </c>
      <c r="N16" s="4">
        <f t="shared" si="2"/>
        <v>0.46798151051920989</v>
      </c>
      <c r="O16" s="3">
        <v>7</v>
      </c>
      <c r="P16">
        <f t="shared" si="3"/>
        <v>0.73580632568397486</v>
      </c>
      <c r="U16" s="3">
        <v>0.3</v>
      </c>
      <c r="V16" s="4">
        <f t="shared" si="4"/>
        <v>0.59683657263521783</v>
      </c>
      <c r="W16" s="3">
        <f t="shared" si="6"/>
        <v>2</v>
      </c>
      <c r="X16" s="3">
        <f t="shared" si="5"/>
        <v>1.1936731452704357</v>
      </c>
    </row>
    <row r="17" spans="1:24">
      <c r="A17" s="3">
        <v>41</v>
      </c>
      <c r="B17" s="4">
        <f t="shared" si="1"/>
        <v>0.93325097819205083</v>
      </c>
      <c r="M17" s="3">
        <v>77</v>
      </c>
      <c r="N17" s="4">
        <f t="shared" si="2"/>
        <v>0.44374247446932186</v>
      </c>
      <c r="O17" s="3">
        <v>8</v>
      </c>
      <c r="P17">
        <f t="shared" si="3"/>
        <v>0.69510666091582596</v>
      </c>
      <c r="U17" s="3">
        <v>0.35</v>
      </c>
      <c r="V17" s="4">
        <f t="shared" si="4"/>
        <v>0.595791762469431</v>
      </c>
      <c r="W17" s="3">
        <f t="shared" si="6"/>
        <v>4</v>
      </c>
      <c r="X17" s="3">
        <f t="shared" si="5"/>
        <v>2.383167049877724</v>
      </c>
    </row>
    <row r="18" spans="1:24">
      <c r="A18" s="3">
        <v>60</v>
      </c>
      <c r="B18" s="4">
        <f t="shared" si="1"/>
        <v>0.77383100933631643</v>
      </c>
      <c r="M18" s="3">
        <v>78</v>
      </c>
      <c r="N18" s="4">
        <f t="shared" si="2"/>
        <v>0.41919774126455867</v>
      </c>
      <c r="O18" s="3">
        <v>9</v>
      </c>
      <c r="P18">
        <f t="shared" si="3"/>
        <v>0.65405161066487061</v>
      </c>
      <c r="U18" s="3">
        <v>0.4</v>
      </c>
      <c r="V18" s="4">
        <f t="shared" si="4"/>
        <v>0.59474525796209077</v>
      </c>
      <c r="W18" s="3">
        <f t="shared" si="6"/>
        <v>2</v>
      </c>
      <c r="X18" s="3">
        <f t="shared" si="5"/>
        <v>1.1894905159241815</v>
      </c>
    </row>
    <row r="19" spans="1:24">
      <c r="A19" s="3">
        <v>51</v>
      </c>
      <c r="B19" s="4">
        <f t="shared" si="1"/>
        <v>0.87064386099986524</v>
      </c>
      <c r="M19" s="3">
        <v>79</v>
      </c>
      <c r="N19" s="4">
        <f t="shared" si="2"/>
        <v>0.39443868585566871</v>
      </c>
      <c r="O19" s="3">
        <v>10</v>
      </c>
      <c r="P19">
        <f t="shared" si="3"/>
        <v>0.61280785680626082</v>
      </c>
      <c r="U19" s="3">
        <v>0.45</v>
      </c>
      <c r="V19" s="4">
        <f t="shared" si="4"/>
        <v>0.59369706256175447</v>
      </c>
      <c r="W19" s="3">
        <f t="shared" si="6"/>
        <v>4</v>
      </c>
      <c r="X19" s="3">
        <f t="shared" si="5"/>
        <v>2.3747882502470179</v>
      </c>
    </row>
    <row r="20" spans="1:24">
      <c r="A20" s="3">
        <v>70</v>
      </c>
      <c r="B20" s="4">
        <f t="shared" si="1"/>
        <v>0.60306966518239347</v>
      </c>
      <c r="M20" s="3">
        <v>80</v>
      </c>
      <c r="N20" s="4">
        <f t="shared" si="2"/>
        <v>0.36956582902529184</v>
      </c>
      <c r="O20" s="3">
        <v>11</v>
      </c>
      <c r="P20">
        <f t="shared" si="3"/>
        <v>0.57155628228654876</v>
      </c>
      <c r="U20" s="3">
        <v>0.5</v>
      </c>
      <c r="V20" s="4">
        <f t="shared" si="4"/>
        <v>0.59264717976373715</v>
      </c>
      <c r="W20" s="3">
        <f t="shared" si="6"/>
        <v>2</v>
      </c>
      <c r="X20" s="3">
        <f t="shared" si="5"/>
        <v>1.1852943595274743</v>
      </c>
    </row>
    <row r="21" spans="1:24">
      <c r="M21" s="3">
        <v>81</v>
      </c>
      <c r="N21" s="4">
        <f t="shared" si="2"/>
        <v>0.34468825579144252</v>
      </c>
      <c r="O21" s="3">
        <v>12</v>
      </c>
      <c r="P21">
        <f t="shared" si="3"/>
        <v>0.53049052882249037</v>
      </c>
      <c r="U21" s="3">
        <v>0.55000000000000004</v>
      </c>
      <c r="V21" s="4">
        <f t="shared" si="4"/>
        <v>0.59159561311029984</v>
      </c>
      <c r="W21" s="3">
        <f t="shared" si="6"/>
        <v>4</v>
      </c>
      <c r="X21" s="3">
        <f t="shared" si="5"/>
        <v>2.3663824524411994</v>
      </c>
    </row>
    <row r="22" spans="1:24">
      <c r="M22" s="3">
        <v>82</v>
      </c>
      <c r="N22" s="4">
        <f t="shared" si="2"/>
        <v>0.31992274559941009</v>
      </c>
      <c r="O22" s="3">
        <v>13</v>
      </c>
      <c r="P22">
        <f t="shared" si="3"/>
        <v>0.48981503572086699</v>
      </c>
      <c r="U22" s="3">
        <v>0.6</v>
      </c>
      <c r="V22" s="4">
        <f t="shared" si="4"/>
        <v>0.59054236619083522</v>
      </c>
      <c r="W22" s="3">
        <f t="shared" si="6"/>
        <v>2</v>
      </c>
      <c r="X22" s="3">
        <f t="shared" si="5"/>
        <v>1.1810847323816704</v>
      </c>
    </row>
    <row r="23" spans="1:24">
      <c r="M23" s="3">
        <v>83</v>
      </c>
      <c r="N23" s="4">
        <f t="shared" si="2"/>
        <v>0.29539258959348536</v>
      </c>
      <c r="O23" s="3">
        <v>14</v>
      </c>
      <c r="P23">
        <f t="shared" si="3"/>
        <v>0.4497425320170812</v>
      </c>
      <c r="U23" s="3">
        <v>0.65</v>
      </c>
      <c r="V23" s="4">
        <f t="shared" si="4"/>
        <v>0.58948744264205333</v>
      </c>
      <c r="W23" s="3">
        <f t="shared" si="6"/>
        <v>4</v>
      </c>
      <c r="X23" s="3">
        <f t="shared" si="5"/>
        <v>2.3579497705682133</v>
      </c>
    </row>
    <row r="24" spans="1:24">
      <c r="M24" s="3">
        <v>84</v>
      </c>
      <c r="N24" s="4">
        <f t="shared" si="2"/>
        <v>0.27122607820182304</v>
      </c>
      <c r="O24" s="3">
        <v>15</v>
      </c>
      <c r="P24">
        <f t="shared" si="3"/>
        <v>0.41049097222852088</v>
      </c>
      <c r="U24" s="3">
        <v>0.7</v>
      </c>
      <c r="V24" s="4">
        <f t="shared" si="4"/>
        <v>0.58843084614816832</v>
      </c>
      <c r="W24" s="3">
        <f t="shared" si="6"/>
        <v>2</v>
      </c>
      <c r="X24" s="3">
        <f t="shared" si="5"/>
        <v>1.1768616922963366</v>
      </c>
    </row>
    <row r="25" spans="1:24">
      <c r="M25" s="3">
        <v>85</v>
      </c>
      <c r="N25" s="4">
        <f t="shared" si="2"/>
        <v>0.24755465318224926</v>
      </c>
      <c r="O25" s="3">
        <v>16</v>
      </c>
      <c r="P25">
        <f t="shared" si="3"/>
        <v>0.37227992929015957</v>
      </c>
      <c r="U25" s="3">
        <v>0.75</v>
      </c>
      <c r="V25" s="4">
        <f t="shared" si="4"/>
        <v>0.58737258044108065</v>
      </c>
      <c r="W25" s="3">
        <f t="shared" si="6"/>
        <v>4</v>
      </c>
      <c r="X25" s="3">
        <f t="shared" si="5"/>
        <v>2.3494903217643226</v>
      </c>
    </row>
    <row r="26" spans="1:24">
      <c r="M26" s="3">
        <v>86</v>
      </c>
      <c r="N26" s="4">
        <f t="shared" si="2"/>
        <v>0.22451073231114166</v>
      </c>
      <c r="O26" s="3">
        <v>17</v>
      </c>
      <c r="P26">
        <f t="shared" si="3"/>
        <v>0.33532648658531716</v>
      </c>
      <c r="U26" s="3">
        <v>0.8</v>
      </c>
      <c r="V26" s="4">
        <f t="shared" si="4"/>
        <v>0.58631264930056259</v>
      </c>
      <c r="W26" s="3">
        <f t="shared" si="6"/>
        <v>2</v>
      </c>
      <c r="X26" s="3">
        <f t="shared" si="5"/>
        <v>1.1726252986011252</v>
      </c>
    </row>
    <row r="27" spans="1:24">
      <c r="M27" s="3">
        <v>87</v>
      </c>
      <c r="N27" s="4">
        <f t="shared" si="2"/>
        <v>0.20222523199179557</v>
      </c>
      <c r="O27" s="3">
        <v>18</v>
      </c>
      <c r="P27">
        <f t="shared" si="3"/>
        <v>0.29984070384143019</v>
      </c>
      <c r="U27" s="3">
        <v>0.85</v>
      </c>
      <c r="V27" s="4">
        <f t="shared" si="4"/>
        <v>0.58525105655444198</v>
      </c>
      <c r="W27" s="3">
        <f t="shared" si="6"/>
        <v>4</v>
      </c>
      <c r="X27" s="3">
        <f t="shared" si="5"/>
        <v>2.3410042262177679</v>
      </c>
    </row>
    <row r="28" spans="1:24">
      <c r="M28" s="3">
        <v>88</v>
      </c>
      <c r="N28" s="4">
        <f t="shared" si="2"/>
        <v>0.18082483287370452</v>
      </c>
      <c r="O28" s="3">
        <v>19</v>
      </c>
      <c r="P28">
        <f t="shared" si="3"/>
        <v>0.26602076788684792</v>
      </c>
      <c r="U28" s="3">
        <v>0.9</v>
      </c>
      <c r="V28" s="4">
        <f t="shared" si="4"/>
        <v>0.58418780607878384</v>
      </c>
      <c r="W28" s="3">
        <f t="shared" si="6"/>
        <v>2</v>
      </c>
      <c r="X28" s="3">
        <f t="shared" si="5"/>
        <v>1.1683756121575677</v>
      </c>
    </row>
    <row r="29" spans="1:24">
      <c r="M29" s="3">
        <v>89</v>
      </c>
      <c r="N29" s="4">
        <f t="shared" si="2"/>
        <v>0.1604290554210846</v>
      </c>
      <c r="O29" s="3">
        <v>20</v>
      </c>
      <c r="P29">
        <f t="shared" si="3"/>
        <v>0.23404797704296029</v>
      </c>
      <c r="U29" s="3">
        <v>0.95</v>
      </c>
      <c r="V29" s="4">
        <f t="shared" si="4"/>
        <v>0.58312290179807369</v>
      </c>
      <c r="W29" s="3">
        <f t="shared" si="6"/>
        <v>4</v>
      </c>
      <c r="X29" s="3">
        <f t="shared" si="5"/>
        <v>2.3324916071922948</v>
      </c>
    </row>
    <row r="30" spans="1:24">
      <c r="M30" s="3">
        <v>90</v>
      </c>
      <c r="N30" s="4">
        <f t="shared" si="2"/>
        <v>0.14114723515191457</v>
      </c>
      <c r="O30" s="3">
        <v>21</v>
      </c>
      <c r="P30">
        <f t="shared" si="3"/>
        <v>0.20408174471307583</v>
      </c>
      <c r="U30" s="3">
        <v>1</v>
      </c>
      <c r="V30" s="4">
        <f t="shared" si="4"/>
        <v>0.58205634768539893</v>
      </c>
      <c r="W30" s="3">
        <f t="shared" si="6"/>
        <v>2</v>
      </c>
      <c r="X30" s="3">
        <f t="shared" si="5"/>
        <v>1.1641126953707979</v>
      </c>
    </row>
    <row r="31" spans="1:24">
      <c r="M31" s="3">
        <v>91</v>
      </c>
      <c r="N31" s="4">
        <f t="shared" si="2"/>
        <v>0.12307550945395333</v>
      </c>
      <c r="O31" s="3">
        <v>22</v>
      </c>
      <c r="P31">
        <f t="shared" si="3"/>
        <v>0.17625484027620059</v>
      </c>
      <c r="U31" s="3">
        <v>1.05</v>
      </c>
      <c r="V31" s="4">
        <f t="shared" si="4"/>
        <v>0.58098814776262486</v>
      </c>
      <c r="W31" s="3">
        <f t="shared" si="6"/>
        <v>4</v>
      </c>
      <c r="X31" s="3">
        <f t="shared" si="5"/>
        <v>2.3239525910504994</v>
      </c>
    </row>
    <row r="32" spans="1:24">
      <c r="M32" s="3">
        <v>92</v>
      </c>
      <c r="N32" s="4">
        <f t="shared" si="2"/>
        <v>0.10629394751214452</v>
      </c>
      <c r="O32" s="3">
        <v>23</v>
      </c>
      <c r="P32">
        <f t="shared" si="3"/>
        <v>0.15066910986566712</v>
      </c>
      <c r="U32" s="3">
        <v>1.1000000000000001</v>
      </c>
      <c r="V32" s="4">
        <f t="shared" si="4"/>
        <v>0.57991830610058581</v>
      </c>
      <c r="W32" s="3">
        <f t="shared" si="6"/>
        <v>2</v>
      </c>
      <c r="X32" s="3">
        <f t="shared" si="5"/>
        <v>1.1598366122011716</v>
      </c>
    </row>
    <row r="33" spans="13:24">
      <c r="M33" s="3">
        <v>93</v>
      </c>
      <c r="N33" s="4">
        <f t="shared" si="2"/>
        <v>9.0863969640017125E-2</v>
      </c>
      <c r="O33" s="3">
        <v>24</v>
      </c>
      <c r="P33">
        <f t="shared" si="3"/>
        <v>0.12739193183674058</v>
      </c>
      <c r="U33" s="3">
        <v>1.1499999999999999</v>
      </c>
      <c r="V33" s="4">
        <f t="shared" si="4"/>
        <v>0.5788468268192527</v>
      </c>
      <c r="W33" s="3">
        <f t="shared" si="6"/>
        <v>4</v>
      </c>
      <c r="X33" s="3">
        <f t="shared" si="5"/>
        <v>2.3153873072770108</v>
      </c>
    </row>
    <row r="34" spans="13:24">
      <c r="M34" s="3">
        <v>94</v>
      </c>
      <c r="N34" s="4">
        <f t="shared" si="2"/>
        <v>7.6826209679721438E-2</v>
      </c>
      <c r="O34" s="3">
        <v>25</v>
      </c>
      <c r="P34">
        <f t="shared" si="3"/>
        <v>0.10645365758290339</v>
      </c>
      <c r="U34" s="3">
        <v>1.2</v>
      </c>
      <c r="V34" s="4">
        <f t="shared" si="4"/>
        <v>0.57777371408791911</v>
      </c>
      <c r="W34" s="3">
        <f t="shared" si="6"/>
        <v>2</v>
      </c>
      <c r="X34" s="3">
        <f t="shared" si="5"/>
        <v>1.1555474281758382</v>
      </c>
    </row>
    <row r="35" spans="13:24">
      <c r="M35" s="3">
        <v>95</v>
      </c>
      <c r="N35" s="4">
        <f t="shared" si="2"/>
        <v>6.4198971635962707E-2</v>
      </c>
      <c r="O35" s="3">
        <v>26</v>
      </c>
      <c r="P35">
        <f t="shared" si="3"/>
        <v>8.7846264309502778E-2</v>
      </c>
      <c r="U35" s="3">
        <v>1.25</v>
      </c>
      <c r="V35" s="4">
        <f t="shared" si="4"/>
        <v>0.5766989721253748</v>
      </c>
      <c r="W35" s="3">
        <f t="shared" si="6"/>
        <v>4</v>
      </c>
      <c r="X35" s="3">
        <f t="shared" si="5"/>
        <v>2.3067958885014992</v>
      </c>
    </row>
    <row r="36" spans="13:24">
      <c r="M36" s="3">
        <v>96</v>
      </c>
      <c r="N36" s="4">
        <f t="shared" si="2"/>
        <v>5.2977417204655881E-2</v>
      </c>
      <c r="O36" s="3">
        <v>27</v>
      </c>
      <c r="P36">
        <f t="shared" si="3"/>
        <v>7.1523400104137103E-2</v>
      </c>
      <c r="U36" s="3">
        <v>1.3</v>
      </c>
      <c r="V36" s="4">
        <f t="shared" si="4"/>
        <v>0.57562260520008646</v>
      </c>
      <c r="W36" s="3">
        <f t="shared" si="6"/>
        <v>2</v>
      </c>
      <c r="X36" s="3">
        <f t="shared" si="5"/>
        <v>1.1512452104001729</v>
      </c>
    </row>
    <row r="37" spans="13:24">
      <c r="M37" s="3">
        <v>97</v>
      </c>
      <c r="N37" s="4">
        <f t="shared" si="2"/>
        <v>4.3133592953508326E-2</v>
      </c>
      <c r="O37" s="3">
        <v>28</v>
      </c>
      <c r="P37">
        <f t="shared" si="3"/>
        <v>5.7401932762185602E-2</v>
      </c>
      <c r="U37" s="3">
        <v>1.35</v>
      </c>
      <c r="V37" s="4">
        <f t="shared" si="4"/>
        <v>0.5745446176303709</v>
      </c>
      <c r="W37" s="3">
        <f t="shared" si="6"/>
        <v>4</v>
      </c>
      <c r="X37" s="3">
        <f t="shared" si="5"/>
        <v>2.2981784705214836</v>
      </c>
    </row>
    <row r="38" spans="13:24">
      <c r="M38" s="3">
        <v>98</v>
      </c>
      <c r="N38" s="4">
        <f t="shared" si="2"/>
        <v>3.4617364371713533E-2</v>
      </c>
      <c r="O38" s="3">
        <v>29</v>
      </c>
      <c r="P38">
        <f t="shared" si="3"/>
        <v>4.5365024496241857E-2</v>
      </c>
      <c r="U38" s="3">
        <v>1.4</v>
      </c>
      <c r="V38" s="4">
        <f t="shared" si="4"/>
        <v>0.57346501378457215</v>
      </c>
      <c r="W38" s="3">
        <f t="shared" si="6"/>
        <v>2</v>
      </c>
      <c r="X38" s="3">
        <f t="shared" si="5"/>
        <v>1.1469300275691443</v>
      </c>
    </row>
    <row r="39" spans="13:24">
      <c r="M39" s="3">
        <v>99</v>
      </c>
      <c r="N39" s="4">
        <f t="shared" si="2"/>
        <v>2.7358270133939655E-2</v>
      </c>
      <c r="O39" s="3">
        <v>30</v>
      </c>
      <c r="P39">
        <f t="shared" si="3"/>
        <v>3.5266650046804945E-2</v>
      </c>
      <c r="U39" s="3">
        <v>1.45</v>
      </c>
      <c r="V39" s="4">
        <f t="shared" si="4"/>
        <v>0.57238379808123663</v>
      </c>
      <c r="W39" s="3">
        <f t="shared" si="6"/>
        <v>4</v>
      </c>
      <c r="X39" s="3">
        <f t="shared" si="5"/>
        <v>2.2895351923249465</v>
      </c>
    </row>
    <row r="40" spans="13:24">
      <c r="M40" s="3">
        <v>100</v>
      </c>
      <c r="N40" s="4">
        <f t="shared" si="2"/>
        <v>2.1268246835831301E-2</v>
      </c>
      <c r="O40" s="3">
        <v>31</v>
      </c>
      <c r="P40">
        <f t="shared" si="3"/>
        <v>2.6937364089949806E-2</v>
      </c>
      <c r="U40" s="3">
        <v>1.5</v>
      </c>
      <c r="V40" s="4">
        <f t="shared" si="4"/>
        <v>0.57130097498928534</v>
      </c>
      <c r="W40" s="3">
        <f t="shared" si="6"/>
        <v>2</v>
      </c>
      <c r="X40" s="3">
        <f t="shared" si="5"/>
        <v>1.1426019499785707</v>
      </c>
    </row>
    <row r="41" spans="13:24">
      <c r="M41" s="3">
        <v>101</v>
      </c>
      <c r="N41" s="4">
        <f t="shared" si="2"/>
        <v>1.6245107142622259E-2</v>
      </c>
      <c r="O41" s="3">
        <v>32</v>
      </c>
      <c r="P41">
        <f t="shared" si="3"/>
        <v>2.0191016188738749E-2</v>
      </c>
      <c r="U41" s="3">
        <v>1.55</v>
      </c>
      <c r="V41" s="4">
        <f t="shared" si="4"/>
        <v>0.57021654902818775</v>
      </c>
      <c r="W41" s="3">
        <f t="shared" si="6"/>
        <v>4</v>
      </c>
      <c r="X41" s="3">
        <f t="shared" si="5"/>
        <v>2.280866196112751</v>
      </c>
    </row>
    <row r="42" spans="13:24">
      <c r="M42" s="3">
        <v>102</v>
      </c>
      <c r="N42" s="4">
        <f t="shared" si="2"/>
        <v>1.2176589372634964E-2</v>
      </c>
      <c r="O42" s="3">
        <v>33</v>
      </c>
      <c r="P42">
        <f t="shared" si="3"/>
        <v>1.4832020567509459E-2</v>
      </c>
      <c r="U42" s="3">
        <v>1.6</v>
      </c>
      <c r="V42" s="4">
        <f t="shared" si="4"/>
        <v>0.5691305247681343</v>
      </c>
      <c r="W42" s="3">
        <f t="shared" si="6"/>
        <v>2</v>
      </c>
      <c r="X42" s="3">
        <f t="shared" si="5"/>
        <v>1.1382610495362686</v>
      </c>
    </row>
    <row r="43" spans="13:24">
      <c r="M43" s="3">
        <v>103</v>
      </c>
      <c r="N43" s="4">
        <f t="shared" si="2"/>
        <v>8.9447416776263031E-3</v>
      </c>
      <c r="O43" s="3">
        <v>34</v>
      </c>
      <c r="P43">
        <f t="shared" si="3"/>
        <v>1.0662726555988626E-2</v>
      </c>
      <c r="U43" s="3">
        <v>1.65</v>
      </c>
      <c r="V43" s="4">
        <f t="shared" si="4"/>
        <v>0.56804290683020653</v>
      </c>
      <c r="W43" s="3">
        <f t="shared" si="6"/>
        <v>4</v>
      </c>
      <c r="X43" s="3">
        <f t="shared" si="5"/>
        <v>2.2721716273208261</v>
      </c>
    </row>
    <row r="44" spans="13:24">
      <c r="M44" s="3">
        <v>104</v>
      </c>
      <c r="N44" s="4">
        <f t="shared" si="2"/>
        <v>6.4303669340514758E-3</v>
      </c>
      <c r="O44" s="3">
        <v>35</v>
      </c>
      <c r="P44">
        <f t="shared" si="3"/>
        <v>7.4904146131718995E-3</v>
      </c>
      <c r="U44" s="3">
        <v>1.7</v>
      </c>
      <c r="V44" s="4">
        <f t="shared" si="4"/>
        <v>0.56695369988654876</v>
      </c>
      <c r="W44" s="3">
        <f t="shared" si="6"/>
        <v>2</v>
      </c>
      <c r="X44" s="3">
        <f t="shared" si="5"/>
        <v>1.1339073997730975</v>
      </c>
    </row>
    <row r="45" spans="13:24">
      <c r="M45" s="3">
        <v>105</v>
      </c>
      <c r="N45" s="4">
        <f t="shared" si="2"/>
        <v>4.5172418328428849E-3</v>
      </c>
      <c r="O45" s="3">
        <v>36</v>
      </c>
      <c r="P45">
        <f t="shared" si="3"/>
        <v>5.1334692592656826E-3</v>
      </c>
      <c r="U45" s="3">
        <v>1.75</v>
      </c>
      <c r="V45" s="4">
        <f t="shared" si="4"/>
        <v>0.56586290866053601</v>
      </c>
      <c r="W45" s="3">
        <f t="shared" si="6"/>
        <v>4</v>
      </c>
      <c r="X45" s="3">
        <f t="shared" si="5"/>
        <v>2.2634516346421441</v>
      </c>
    </row>
    <row r="46" spans="13:24">
      <c r="M46" s="3">
        <v>106</v>
      </c>
      <c r="N46" s="4">
        <f t="shared" si="2"/>
        <v>3.0958395874094648E-3</v>
      </c>
      <c r="O46" s="3">
        <v>37</v>
      </c>
      <c r="P46">
        <f t="shared" si="3"/>
        <v>3.426354843538182E-3</v>
      </c>
      <c r="U46" s="3">
        <v>1.8</v>
      </c>
      <c r="V46" s="4">
        <f t="shared" si="4"/>
        <v>0.56477053792694298</v>
      </c>
      <c r="W46" s="3">
        <f t="shared" si="6"/>
        <v>2</v>
      </c>
      <c r="X46" s="3">
        <f t="shared" si="5"/>
        <v>1.129541075853886</v>
      </c>
    </row>
    <row r="47" spans="13:24">
      <c r="M47" s="3">
        <v>107</v>
      </c>
      <c r="N47" s="4">
        <f t="shared" si="2"/>
        <v>2.0663306682886435E-3</v>
      </c>
      <c r="O47" s="3">
        <v>38</v>
      </c>
      <c r="P47">
        <f t="shared" si="3"/>
        <v>2.2231364927332142E-3</v>
      </c>
      <c r="U47" s="3">
        <v>1.85</v>
      </c>
      <c r="V47" s="4">
        <f t="shared" si="4"/>
        <v>0.56367659251211233</v>
      </c>
      <c r="W47" s="3">
        <f t="shared" si="6"/>
        <v>4</v>
      </c>
      <c r="X47" s="3">
        <f t="shared" si="5"/>
        <v>2.2547063700484493</v>
      </c>
    </row>
    <row r="48" spans="13:24">
      <c r="M48" s="3">
        <v>108</v>
      </c>
      <c r="N48" s="4">
        <f t="shared" si="2"/>
        <v>1.3407061803273801E-3</v>
      </c>
      <c r="O48" s="3">
        <v>39</v>
      </c>
      <c r="P48">
        <f t="shared" si="3"/>
        <v>1.399433351107542E-3</v>
      </c>
      <c r="U48" s="3">
        <v>1.9</v>
      </c>
      <c r="V48" s="4">
        <f t="shared" si="4"/>
        <v>0.56258107729411932</v>
      </c>
      <c r="W48" s="3">
        <f t="shared" si="6"/>
        <v>2</v>
      </c>
      <c r="X48" s="3">
        <f t="shared" si="5"/>
        <v>1.1251621545882386</v>
      </c>
    </row>
    <row r="49" spans="13:24">
      <c r="M49" s="3">
        <v>109</v>
      </c>
      <c r="N49" s="4">
        <f t="shared" si="2"/>
        <v>8.4395580249750028E-4</v>
      </c>
      <c r="O49" s="3">
        <v>40</v>
      </c>
      <c r="P49">
        <f t="shared" si="3"/>
        <v>8.5284535885981239E-4</v>
      </c>
      <c r="U49" s="3">
        <v>1.95</v>
      </c>
      <c r="V49" s="4">
        <f t="shared" si="4"/>
        <v>0.56148399720293929</v>
      </c>
      <c r="W49" s="3">
        <f t="shared" si="6"/>
        <v>4</v>
      </c>
      <c r="X49" s="3">
        <f t="shared" si="5"/>
        <v>2.2459359888117572</v>
      </c>
    </row>
    <row r="50" spans="13:24">
      <c r="M50" s="3">
        <v>110</v>
      </c>
      <c r="N50" s="4">
        <f t="shared" si="2"/>
        <v>5.1432516501994524E-4</v>
      </c>
      <c r="O50" s="3">
        <v>41</v>
      </c>
      <c r="P50">
        <f t="shared" si="3"/>
        <v>5.0203684692357736E-4</v>
      </c>
      <c r="U50" s="3">
        <v>2</v>
      </c>
      <c r="V50" s="4">
        <f t="shared" si="4"/>
        <v>0.56038535722061134</v>
      </c>
      <c r="W50" s="3">
        <f t="shared" si="6"/>
        <v>2</v>
      </c>
      <c r="X50" s="3">
        <f t="shared" si="5"/>
        <v>1.1207707144412227</v>
      </c>
    </row>
    <row r="51" spans="13:24">
      <c r="M51" s="3">
        <v>111</v>
      </c>
      <c r="N51" s="4">
        <f t="shared" si="2"/>
        <v>3.0276319318342629E-4</v>
      </c>
      <c r="O51" s="3">
        <v>42</v>
      </c>
      <c r="P51">
        <f t="shared" si="3"/>
        <v>2.8477014076765551E-4</v>
      </c>
      <c r="U51" s="3">
        <v>2.0499999999999998</v>
      </c>
      <c r="V51" s="4">
        <f t="shared" si="4"/>
        <v>0.55928516238139703</v>
      </c>
      <c r="W51" s="3">
        <f t="shared" si="6"/>
        <v>4</v>
      </c>
      <c r="X51" s="3">
        <f t="shared" si="5"/>
        <v>2.2371406495255881</v>
      </c>
    </row>
    <row r="52" spans="13:24">
      <c r="M52" s="3">
        <v>112</v>
      </c>
      <c r="N52" s="4">
        <f t="shared" si="2"/>
        <v>1.7173623344669307E-4</v>
      </c>
      <c r="O52" s="3">
        <v>43</v>
      </c>
      <c r="P52">
        <f t="shared" si="3"/>
        <v>1.5524564434905117E-4</v>
      </c>
      <c r="U52" s="3">
        <v>2.1</v>
      </c>
      <c r="V52" s="4">
        <f t="shared" si="4"/>
        <v>0.55818341777195424</v>
      </c>
      <c r="W52" s="3">
        <f t="shared" si="6"/>
        <v>2</v>
      </c>
      <c r="X52" s="3">
        <f t="shared" si="5"/>
        <v>1.1163668355439085</v>
      </c>
    </row>
    <row r="53" spans="13:24">
      <c r="M53" s="3">
        <v>113</v>
      </c>
      <c r="N53" s="4">
        <f t="shared" si="2"/>
        <v>9.3623938758607221E-5</v>
      </c>
      <c r="O53" s="3">
        <v>44</v>
      </c>
      <c r="P53">
        <f t="shared" si="3"/>
        <v>8.1115557922542731E-5</v>
      </c>
      <c r="U53" s="3">
        <v>2.15</v>
      </c>
      <c r="V53" s="4">
        <f t="shared" si="4"/>
        <v>0.55708012853148614</v>
      </c>
      <c r="W53" s="3">
        <f t="shared" si="6"/>
        <v>4</v>
      </c>
      <c r="X53" s="3">
        <f t="shared" si="5"/>
        <v>2.2283205141259446</v>
      </c>
    </row>
    <row r="54" spans="13:24">
      <c r="M54" s="3">
        <v>114</v>
      </c>
      <c r="N54" s="4">
        <f t="shared" si="2"/>
        <v>4.8918332357430885E-5</v>
      </c>
      <c r="O54" s="3">
        <v>45</v>
      </c>
      <c r="P54">
        <f t="shared" si="3"/>
        <v>4.0500264048867286E-5</v>
      </c>
      <c r="U54" s="3">
        <v>2.2000000000000002</v>
      </c>
      <c r="V54" s="4">
        <f t="shared" si="4"/>
        <v>0.55597529985190808</v>
      </c>
      <c r="W54" s="3">
        <f t="shared" si="6"/>
        <v>2</v>
      </c>
      <c r="X54" s="3">
        <f t="shared" si="5"/>
        <v>1.1119505997038162</v>
      </c>
    </row>
    <row r="55" spans="13:24">
      <c r="M55" s="3">
        <v>115</v>
      </c>
      <c r="N55" s="4">
        <f t="shared" si="2"/>
        <v>2.4424480679748922E-5</v>
      </c>
      <c r="O55" s="3">
        <v>46</v>
      </c>
      <c r="P55">
        <f t="shared" si="3"/>
        <v>1.9261910104932169E-5</v>
      </c>
      <c r="U55" s="3">
        <v>2.25</v>
      </c>
      <c r="V55" s="4">
        <f t="shared" si="4"/>
        <v>0.5548689369780041</v>
      </c>
      <c r="W55" s="3">
        <f t="shared" si="6"/>
        <v>4</v>
      </c>
      <c r="X55" s="3">
        <f t="shared" si="5"/>
        <v>2.2194757479120164</v>
      </c>
    </row>
    <row r="56" spans="13:24">
      <c r="M56" s="3">
        <v>116</v>
      </c>
      <c r="N56" s="4">
        <f t="shared" si="2"/>
        <v>1.1616273677754806E-5</v>
      </c>
      <c r="O56" s="3">
        <v>47</v>
      </c>
      <c r="P56">
        <f t="shared" si="3"/>
        <v>8.6966263689654005E-6</v>
      </c>
      <c r="U56" s="3">
        <v>2.2999999999999998</v>
      </c>
      <c r="V56" s="4">
        <f t="shared" si="4"/>
        <v>0.55376104520758673</v>
      </c>
      <c r="W56" s="3">
        <f t="shared" si="6"/>
        <v>2</v>
      </c>
      <c r="X56" s="3">
        <f t="shared" si="5"/>
        <v>1.1075220904151735</v>
      </c>
    </row>
    <row r="57" spans="13:24">
      <c r="M57" s="3">
        <v>117</v>
      </c>
      <c r="N57" s="4">
        <f t="shared" si="2"/>
        <v>5.2446715525483387E-6</v>
      </c>
      <c r="O57" s="3">
        <v>48</v>
      </c>
      <c r="P57">
        <f t="shared" si="3"/>
        <v>3.7139063489506897E-6</v>
      </c>
      <c r="U57" s="3">
        <v>2.35</v>
      </c>
      <c r="V57" s="4">
        <f t="shared" si="4"/>
        <v>0.55265162989165106</v>
      </c>
      <c r="W57" s="3">
        <f t="shared" si="6"/>
        <v>4</v>
      </c>
      <c r="X57" s="3">
        <f t="shared" si="5"/>
        <v>2.2106065195666043</v>
      </c>
    </row>
    <row r="58" spans="13:24">
      <c r="M58" s="3">
        <v>118</v>
      </c>
      <c r="N58" s="4">
        <f t="shared" si="2"/>
        <v>2.2397442583804577E-6</v>
      </c>
      <c r="O58" s="3">
        <v>49</v>
      </c>
      <c r="P58">
        <f t="shared" si="3"/>
        <v>1.4943343614179994E-6</v>
      </c>
      <c r="U58" s="3">
        <v>2.4</v>
      </c>
      <c r="V58" s="4">
        <f t="shared" si="4"/>
        <v>0.55154069643453218</v>
      </c>
      <c r="W58" s="3">
        <f t="shared" si="6"/>
        <v>2</v>
      </c>
      <c r="X58" s="3">
        <f t="shared" si="5"/>
        <v>1.1030813928690644</v>
      </c>
    </row>
    <row r="59" spans="13:24">
      <c r="M59" s="3">
        <v>119</v>
      </c>
      <c r="N59" s="4">
        <f t="shared" si="2"/>
        <v>9.0118772301089865E-7</v>
      </c>
      <c r="O59" s="3">
        <v>50</v>
      </c>
      <c r="P59">
        <f t="shared" si="3"/>
        <v>5.6414520372199299E-7</v>
      </c>
      <c r="U59" s="3">
        <v>2.4500000000000002</v>
      </c>
      <c r="V59" s="4">
        <f t="shared" si="4"/>
        <v>0.55042825029405962</v>
      </c>
      <c r="W59" s="3">
        <f t="shared" si="6"/>
        <v>4</v>
      </c>
      <c r="X59" s="3">
        <f t="shared" si="5"/>
        <v>2.2017130011762385</v>
      </c>
    </row>
    <row r="60" spans="13:24">
      <c r="M60" s="3">
        <v>120</v>
      </c>
      <c r="N60" s="4">
        <f t="shared" si="2"/>
        <v>3.4021885912287547E-7</v>
      </c>
      <c r="O60" s="3">
        <v>51</v>
      </c>
      <c r="P60">
        <f t="shared" si="3"/>
        <v>1.9894047702312537E-7</v>
      </c>
      <c r="U60" s="3">
        <v>2.5</v>
      </c>
      <c r="V60" s="4">
        <f t="shared" si="4"/>
        <v>0.54931429698170897</v>
      </c>
      <c r="W60" s="3">
        <f t="shared" si="6"/>
        <v>2</v>
      </c>
      <c r="X60" s="3">
        <f t="shared" si="5"/>
        <v>1.0986285939634179</v>
      </c>
    </row>
    <row r="61" spans="13:24">
      <c r="M61" s="3">
        <v>121</v>
      </c>
      <c r="N61" s="4">
        <f t="shared" si="2"/>
        <v>1.1997496686956185E-7</v>
      </c>
      <c r="O61" s="3">
        <v>52</v>
      </c>
      <c r="P61">
        <f t="shared" si="3"/>
        <v>6.5218649588465043E-8</v>
      </c>
      <c r="U61" s="3">
        <v>2.5499999999999998</v>
      </c>
      <c r="V61" s="4">
        <f t="shared" si="4"/>
        <v>0.54819884206275449</v>
      </c>
      <c r="W61" s="3">
        <f t="shared" si="6"/>
        <v>4</v>
      </c>
      <c r="X61" s="3">
        <f t="shared" si="5"/>
        <v>2.192795368251018</v>
      </c>
    </row>
    <row r="62" spans="13:24">
      <c r="M62" s="3">
        <v>122</v>
      </c>
      <c r="N62" s="4">
        <f t="shared" si="2"/>
        <v>3.9331389170963461E-8</v>
      </c>
      <c r="O62" s="3">
        <v>53</v>
      </c>
      <c r="P62">
        <f t="shared" si="3"/>
        <v>1.9775114384641784E-8</v>
      </c>
      <c r="U62" s="3">
        <v>2.6</v>
      </c>
      <c r="V62" s="4">
        <f t="shared" si="4"/>
        <v>0.54708189115641981</v>
      </c>
      <c r="W62" s="3">
        <f t="shared" si="6"/>
        <v>2</v>
      </c>
      <c r="X62" s="3">
        <f t="shared" si="5"/>
        <v>1.0941637823128396</v>
      </c>
    </row>
    <row r="63" spans="13:24">
      <c r="M63" s="3">
        <v>123</v>
      </c>
      <c r="N63" s="4">
        <f t="shared" si="2"/>
        <v>1.1925771610889454E-8</v>
      </c>
      <c r="O63" s="3">
        <v>54</v>
      </c>
      <c r="P63">
        <f t="shared" si="3"/>
        <v>5.5155861893089586E-9</v>
      </c>
      <c r="U63" s="3">
        <v>2.65</v>
      </c>
      <c r="V63" s="4">
        <f t="shared" si="4"/>
        <v>0.54596344993602686</v>
      </c>
      <c r="W63" s="3">
        <f t="shared" si="6"/>
        <v>4</v>
      </c>
      <c r="X63" s="3">
        <f t="shared" si="5"/>
        <v>2.1838537997441074</v>
      </c>
    </row>
    <row r="64" spans="13:24">
      <c r="M64" s="3">
        <v>124</v>
      </c>
      <c r="N64" s="4">
        <f t="shared" si="2"/>
        <v>3.3262827164711871E-9</v>
      </c>
      <c r="O64" s="3">
        <v>55</v>
      </c>
      <c r="P64">
        <f t="shared" si="3"/>
        <v>1.406859131545988E-9</v>
      </c>
      <c r="U64" s="3">
        <v>2.7</v>
      </c>
      <c r="V64" s="4">
        <f t="shared" si="4"/>
        <v>0.54484352412914483</v>
      </c>
      <c r="W64" s="3">
        <f t="shared" si="6"/>
        <v>2</v>
      </c>
      <c r="X64" s="3">
        <f t="shared" si="5"/>
        <v>1.0896870482582897</v>
      </c>
    </row>
    <row r="65" spans="13:24">
      <c r="M65" s="3">
        <v>125</v>
      </c>
      <c r="N65" s="4">
        <f t="shared" si="2"/>
        <v>8.4843406542023189E-10</v>
      </c>
      <c r="O65" s="3">
        <v>56</v>
      </c>
      <c r="P65">
        <f t="shared" si="3"/>
        <v>3.2612108094950673E-10</v>
      </c>
      <c r="U65" s="3">
        <v>2.75</v>
      </c>
      <c r="V65" s="4">
        <f t="shared" si="4"/>
        <v>0.54372211951773497</v>
      </c>
      <c r="W65" s="3">
        <f t="shared" si="6"/>
        <v>4</v>
      </c>
      <c r="X65" s="3">
        <f t="shared" si="5"/>
        <v>2.1748884780709399</v>
      </c>
    </row>
    <row r="66" spans="13:24">
      <c r="M66" s="3">
        <v>126</v>
      </c>
      <c r="N66" s="4">
        <f t="shared" si="2"/>
        <v>1.9667373109713925E-10</v>
      </c>
      <c r="O66" s="3">
        <v>57</v>
      </c>
      <c r="P66">
        <f t="shared" si="3"/>
        <v>6.8244761629159355E-11</v>
      </c>
      <c r="U66" s="3">
        <v>2.8</v>
      </c>
      <c r="V66" s="4">
        <f t="shared" si="4"/>
        <v>0.54259924193829712</v>
      </c>
      <c r="W66" s="3">
        <f t="shared" si="6"/>
        <v>2</v>
      </c>
      <c r="X66" s="3">
        <f t="shared" si="5"/>
        <v>1.0851984838765942</v>
      </c>
    </row>
    <row r="67" spans="13:24">
      <c r="M67" s="3">
        <v>127</v>
      </c>
      <c r="N67" s="4">
        <f t="shared" si="2"/>
        <v>4.1156345546149386E-11</v>
      </c>
      <c r="O67" s="3">
        <v>58</v>
      </c>
      <c r="P67">
        <f t="shared" si="3"/>
        <v>1.2800039983681925E-11</v>
      </c>
      <c r="U67" s="3">
        <v>2.85</v>
      </c>
      <c r="V67" s="4">
        <f t="shared" si="4"/>
        <v>0.54147489728201414</v>
      </c>
      <c r="W67" s="3">
        <f t="shared" si="6"/>
        <v>4</v>
      </c>
      <c r="X67" s="3">
        <f t="shared" si="5"/>
        <v>2.1658995891280566</v>
      </c>
    </row>
    <row r="68" spans="13:24">
      <c r="M68" s="3">
        <v>128</v>
      </c>
      <c r="N68" s="4">
        <f t="shared" si="2"/>
        <v>7.7193158272803078E-12</v>
      </c>
      <c r="O68" s="3">
        <v>59</v>
      </c>
      <c r="P68">
        <f t="shared" si="3"/>
        <v>2.1353865976980726E-12</v>
      </c>
      <c r="U68" s="3">
        <v>2.9</v>
      </c>
      <c r="V68" s="4">
        <f t="shared" si="4"/>
        <v>0.54034909149489285</v>
      </c>
      <c r="W68" s="3">
        <f t="shared" si="6"/>
        <v>2</v>
      </c>
      <c r="X68" s="3">
        <f t="shared" si="5"/>
        <v>1.0806981829897857</v>
      </c>
    </row>
    <row r="69" spans="13:24">
      <c r="M69" s="3">
        <v>129</v>
      </c>
      <c r="N69" s="4">
        <f t="shared" si="2"/>
        <v>1.2877868805087469E-12</v>
      </c>
      <c r="O69" s="3">
        <v>60</v>
      </c>
      <c r="P69">
        <f t="shared" si="3"/>
        <v>3.1427042885674352E-13</v>
      </c>
      <c r="U69" s="3">
        <v>2.95</v>
      </c>
      <c r="V69" s="4">
        <f t="shared" si="4"/>
        <v>0.53922183057790651</v>
      </c>
      <c r="W69" s="3">
        <f t="shared" si="6"/>
        <v>4</v>
      </c>
      <c r="X69" s="3">
        <f t="shared" si="5"/>
        <v>2.1568873223116261</v>
      </c>
    </row>
    <row r="70" spans="13:24">
      <c r="M70" s="3">
        <v>130</v>
      </c>
      <c r="N70" s="4">
        <f t="shared" si="2"/>
        <v>1.8952696230736351E-13</v>
      </c>
      <c r="U70" s="3">
        <v>3</v>
      </c>
      <c r="V70" s="4">
        <f t="shared" si="4"/>
        <v>0.53809312058713521</v>
      </c>
      <c r="W70" s="3">
        <f t="shared" si="6"/>
        <v>2</v>
      </c>
      <c r="X70" s="3">
        <f t="shared" si="5"/>
        <v>1.0761862411742704</v>
      </c>
    </row>
    <row r="71" spans="13:24">
      <c r="U71" s="3">
        <v>3.05</v>
      </c>
      <c r="V71" s="4">
        <f t="shared" si="4"/>
        <v>0.53696296763389773</v>
      </c>
      <c r="W71" s="3">
        <f t="shared" si="6"/>
        <v>4</v>
      </c>
      <c r="X71" s="3">
        <f t="shared" si="5"/>
        <v>2.1478518705355909</v>
      </c>
    </row>
    <row r="72" spans="13:24">
      <c r="U72" s="3">
        <v>3.1</v>
      </c>
      <c r="V72" s="4">
        <f t="shared" si="4"/>
        <v>0.53583137788490087</v>
      </c>
      <c r="W72" s="3">
        <f t="shared" si="6"/>
        <v>2</v>
      </c>
      <c r="X72" s="3">
        <f t="shared" si="5"/>
        <v>1.0716627557698017</v>
      </c>
    </row>
    <row r="73" spans="13:24">
      <c r="U73" s="3">
        <v>3.15</v>
      </c>
      <c r="V73" s="4">
        <f t="shared" si="4"/>
        <v>0.53469835756236228</v>
      </c>
      <c r="W73" s="3">
        <f t="shared" si="6"/>
        <v>4</v>
      </c>
      <c r="X73" s="3">
        <f t="shared" si="5"/>
        <v>2.1387934302494491</v>
      </c>
    </row>
    <row r="74" spans="13:24">
      <c r="U74" s="3">
        <v>3.2</v>
      </c>
      <c r="V74" s="4">
        <f t="shared" si="4"/>
        <v>0.53356391294415129</v>
      </c>
      <c r="W74" s="3">
        <f t="shared" si="6"/>
        <v>2</v>
      </c>
      <c r="X74" s="3">
        <f t="shared" si="5"/>
        <v>1.0671278258883026</v>
      </c>
    </row>
    <row r="75" spans="13:24">
      <c r="U75" s="3">
        <v>3.25</v>
      </c>
      <c r="V75" s="4">
        <f t="shared" ref="V75:V138" si="7">EXP(-(B$3*(70+U75)+0.5*B$4*((70+U75)^2)+(B$5/LN(B$6))*((B$6^(70+U75))-1)))</f>
        <v>0.53242805036391738</v>
      </c>
      <c r="W75" s="3">
        <f t="shared" si="6"/>
        <v>4</v>
      </c>
      <c r="X75" s="3">
        <f t="shared" ref="X75:X138" si="8">V75*W75</f>
        <v>2.1297122014556695</v>
      </c>
    </row>
    <row r="76" spans="13:24">
      <c r="U76" s="3">
        <v>3.3</v>
      </c>
      <c r="V76" s="4">
        <f t="shared" si="7"/>
        <v>0.53129077621122411</v>
      </c>
      <c r="W76" s="3">
        <f t="shared" si="6"/>
        <v>2</v>
      </c>
      <c r="X76" s="3">
        <f t="shared" si="8"/>
        <v>1.0625815524224482</v>
      </c>
    </row>
    <row r="77" spans="13:24">
      <c r="U77" s="3">
        <v>3.35</v>
      </c>
      <c r="V77" s="4">
        <f t="shared" si="7"/>
        <v>0.53015209693167542</v>
      </c>
      <c r="W77" s="3">
        <f t="shared" ref="W77:W140" si="9">IF(W76=4,2,4)</f>
        <v>4</v>
      </c>
      <c r="X77" s="3">
        <f t="shared" si="8"/>
        <v>2.1206083877267017</v>
      </c>
    </row>
    <row r="78" spans="13:24">
      <c r="U78" s="3">
        <v>3.4</v>
      </c>
      <c r="V78" s="4">
        <f t="shared" si="7"/>
        <v>0.52901201902704409</v>
      </c>
      <c r="W78" s="3">
        <f t="shared" si="9"/>
        <v>2</v>
      </c>
      <c r="X78" s="3">
        <f t="shared" si="8"/>
        <v>1.0580240380540882</v>
      </c>
    </row>
    <row r="79" spans="13:24">
      <c r="U79" s="3">
        <v>3.45</v>
      </c>
      <c r="V79" s="4">
        <f t="shared" si="7"/>
        <v>0.5278705490553981</v>
      </c>
      <c r="W79" s="3">
        <f t="shared" si="9"/>
        <v>4</v>
      </c>
      <c r="X79" s="3">
        <f t="shared" si="8"/>
        <v>2.1114821962215924</v>
      </c>
    </row>
    <row r="80" spans="13:24">
      <c r="U80" s="3">
        <v>3.5</v>
      </c>
      <c r="V80" s="4">
        <f t="shared" si="7"/>
        <v>0.52672769363122385</v>
      </c>
      <c r="W80" s="3">
        <f t="shared" si="9"/>
        <v>2</v>
      </c>
      <c r="X80" s="3">
        <f t="shared" si="8"/>
        <v>1.0534553872624477</v>
      </c>
    </row>
    <row r="81" spans="21:24">
      <c r="U81" s="3">
        <v>3.55</v>
      </c>
      <c r="V81" s="4">
        <f t="shared" si="7"/>
        <v>0.52558345942554852</v>
      </c>
      <c r="W81" s="3">
        <f t="shared" si="9"/>
        <v>4</v>
      </c>
      <c r="X81" s="3">
        <f t="shared" si="8"/>
        <v>2.1023338377021941</v>
      </c>
    </row>
    <row r="82" spans="21:24">
      <c r="U82" s="3">
        <v>3.6</v>
      </c>
      <c r="V82" s="4">
        <f t="shared" si="7"/>
        <v>0.52443785316606184</v>
      </c>
      <c r="W82" s="3">
        <f t="shared" si="9"/>
        <v>2</v>
      </c>
      <c r="X82" s="3">
        <f t="shared" si="8"/>
        <v>1.0488757063321237</v>
      </c>
    </row>
    <row r="83" spans="21:24">
      <c r="U83" s="3">
        <v>3.65</v>
      </c>
      <c r="V83" s="4">
        <f t="shared" si="7"/>
        <v>0.52329088163723414</v>
      </c>
      <c r="W83" s="3">
        <f t="shared" si="9"/>
        <v>4</v>
      </c>
      <c r="X83" s="3">
        <f t="shared" si="8"/>
        <v>2.0931635265489366</v>
      </c>
    </row>
    <row r="84" spans="21:24">
      <c r="U84" s="3">
        <v>3.7</v>
      </c>
      <c r="V84" s="4">
        <f t="shared" si="7"/>
        <v>0.52214255168043444</v>
      </c>
      <c r="W84" s="3">
        <f t="shared" si="9"/>
        <v>2</v>
      </c>
      <c r="X84" s="3">
        <f t="shared" si="8"/>
        <v>1.0442851033608689</v>
      </c>
    </row>
    <row r="85" spans="21:24">
      <c r="U85" s="3">
        <v>3.75</v>
      </c>
      <c r="V85" s="4">
        <f t="shared" si="7"/>
        <v>0.52099287019404505</v>
      </c>
      <c r="W85" s="3">
        <f t="shared" si="9"/>
        <v>4</v>
      </c>
      <c r="X85" s="3">
        <f t="shared" si="8"/>
        <v>2.0839714807761802</v>
      </c>
    </row>
    <row r="86" spans="21:24">
      <c r="U86" s="3">
        <v>3.8</v>
      </c>
      <c r="V86" s="4">
        <f t="shared" si="7"/>
        <v>0.51984184413357548</v>
      </c>
      <c r="W86" s="3">
        <f t="shared" si="9"/>
        <v>2</v>
      </c>
      <c r="X86" s="3">
        <f t="shared" si="8"/>
        <v>1.039683688267151</v>
      </c>
    </row>
    <row r="87" spans="21:24">
      <c r="U87" s="3">
        <v>3.85</v>
      </c>
      <c r="V87" s="4">
        <f t="shared" si="7"/>
        <v>0.51868948051177555</v>
      </c>
      <c r="W87" s="3">
        <f t="shared" si="9"/>
        <v>4</v>
      </c>
      <c r="X87" s="3">
        <f t="shared" si="8"/>
        <v>2.0747579220471022</v>
      </c>
    </row>
    <row r="88" spans="21:24">
      <c r="U88" s="3">
        <v>3.9</v>
      </c>
      <c r="V88" s="4">
        <f t="shared" si="7"/>
        <v>0.51753578639874342</v>
      </c>
      <c r="W88" s="3">
        <f t="shared" si="9"/>
        <v>2</v>
      </c>
      <c r="X88" s="3">
        <f t="shared" si="8"/>
        <v>1.0350715727974868</v>
      </c>
    </row>
    <row r="89" spans="21:24">
      <c r="U89" s="3">
        <v>3.95</v>
      </c>
      <c r="V89" s="4">
        <f t="shared" si="7"/>
        <v>0.51638076892203566</v>
      </c>
      <c r="W89" s="3">
        <f t="shared" si="9"/>
        <v>4</v>
      </c>
      <c r="X89" s="3">
        <f t="shared" si="8"/>
        <v>2.0655230756881426</v>
      </c>
    </row>
    <row r="90" spans="21:24">
      <c r="U90" s="3">
        <v>4</v>
      </c>
      <c r="V90" s="4">
        <f t="shared" si="7"/>
        <v>0.51522443526677364</v>
      </c>
      <c r="W90" s="3">
        <f t="shared" si="9"/>
        <v>2</v>
      </c>
      <c r="X90" s="3">
        <f t="shared" si="8"/>
        <v>1.0304488705335473</v>
      </c>
    </row>
    <row r="91" spans="21:24">
      <c r="U91" s="3">
        <v>4.05</v>
      </c>
      <c r="V91" s="4">
        <f t="shared" si="7"/>
        <v>0.51406679267574151</v>
      </c>
      <c r="W91" s="3">
        <f t="shared" si="9"/>
        <v>4</v>
      </c>
      <c r="X91" s="3">
        <f t="shared" si="8"/>
        <v>2.0562671707029661</v>
      </c>
    </row>
    <row r="92" spans="21:24">
      <c r="U92" s="3">
        <v>4.0999999999999996</v>
      </c>
      <c r="V92" s="4">
        <f t="shared" si="7"/>
        <v>0.51290784844950221</v>
      </c>
      <c r="W92" s="3">
        <f t="shared" si="9"/>
        <v>2</v>
      </c>
      <c r="X92" s="3">
        <f t="shared" si="8"/>
        <v>1.0258156968990044</v>
      </c>
    </row>
    <row r="93" spans="21:24">
      <c r="U93" s="3">
        <v>4.1500000000000004</v>
      </c>
      <c r="V93" s="4">
        <f t="shared" si="7"/>
        <v>0.51174760994648438</v>
      </c>
      <c r="W93" s="3">
        <f t="shared" si="9"/>
        <v>4</v>
      </c>
      <c r="X93" s="3">
        <f t="shared" si="8"/>
        <v>2.0469904397859375</v>
      </c>
    </row>
    <row r="94" spans="21:24">
      <c r="U94" s="3">
        <v>4.2</v>
      </c>
      <c r="V94" s="4">
        <f t="shared" si="7"/>
        <v>0.51058608458308807</v>
      </c>
      <c r="W94" s="3">
        <f t="shared" si="9"/>
        <v>2</v>
      </c>
      <c r="X94" s="3">
        <f t="shared" si="8"/>
        <v>1.0211721691661761</v>
      </c>
    </row>
    <row r="95" spans="21:24">
      <c r="U95" s="3">
        <v>4.25</v>
      </c>
      <c r="V95" s="4">
        <f t="shared" si="7"/>
        <v>0.50942327983377922</v>
      </c>
      <c r="W95" s="3">
        <f t="shared" si="9"/>
        <v>4</v>
      </c>
      <c r="X95" s="3">
        <f t="shared" si="8"/>
        <v>2.0376931193351169</v>
      </c>
    </row>
    <row r="96" spans="21:24">
      <c r="U96" s="3">
        <v>4.3</v>
      </c>
      <c r="V96" s="4">
        <f t="shared" si="7"/>
        <v>0.50825920323118456</v>
      </c>
      <c r="W96" s="3">
        <f t="shared" si="9"/>
        <v>2</v>
      </c>
      <c r="X96" s="3">
        <f t="shared" si="8"/>
        <v>1.0165184064623691</v>
      </c>
    </row>
    <row r="97" spans="21:24">
      <c r="U97" s="3">
        <v>4.3499999999999996</v>
      </c>
      <c r="V97" s="4">
        <f t="shared" si="7"/>
        <v>0.5070938623661837</v>
      </c>
      <c r="W97" s="3">
        <f t="shared" si="9"/>
        <v>4</v>
      </c>
      <c r="X97" s="3">
        <f t="shared" si="8"/>
        <v>2.0283754494647348</v>
      </c>
    </row>
    <row r="98" spans="21:24">
      <c r="U98" s="3">
        <v>4.4000000000000004</v>
      </c>
      <c r="V98" s="4">
        <f t="shared" si="7"/>
        <v>0.50592726488799888</v>
      </c>
      <c r="W98" s="3">
        <f t="shared" si="9"/>
        <v>2</v>
      </c>
      <c r="X98" s="3">
        <f t="shared" si="8"/>
        <v>1.0118545297759978</v>
      </c>
    </row>
    <row r="99" spans="21:24">
      <c r="U99" s="3">
        <v>4.45</v>
      </c>
      <c r="V99" s="4">
        <f t="shared" si="7"/>
        <v>0.50475941850428541</v>
      </c>
      <c r="W99" s="3">
        <f t="shared" si="9"/>
        <v>4</v>
      </c>
      <c r="X99" s="3">
        <f t="shared" si="8"/>
        <v>2.0190376740171416</v>
      </c>
    </row>
    <row r="100" spans="21:24">
      <c r="U100" s="3">
        <v>4.5</v>
      </c>
      <c r="V100" s="4">
        <f t="shared" si="7"/>
        <v>0.50359033098121464</v>
      </c>
      <c r="W100" s="3">
        <f t="shared" si="9"/>
        <v>2</v>
      </c>
      <c r="X100" s="3">
        <f t="shared" si="8"/>
        <v>1.0071806619624293</v>
      </c>
    </row>
    <row r="101" spans="21:24">
      <c r="U101" s="3">
        <v>4.55</v>
      </c>
      <c r="V101" s="4">
        <f t="shared" si="7"/>
        <v>0.50242001014356041</v>
      </c>
      <c r="W101" s="3">
        <f t="shared" si="9"/>
        <v>4</v>
      </c>
      <c r="X101" s="3">
        <f t="shared" si="8"/>
        <v>2.0096800405742417</v>
      </c>
    </row>
    <row r="102" spans="21:24">
      <c r="U102" s="3">
        <v>4.5999999999999996</v>
      </c>
      <c r="V102" s="4">
        <f t="shared" si="7"/>
        <v>0.50124846387477928</v>
      </c>
      <c r="W102" s="3">
        <f t="shared" si="9"/>
        <v>2</v>
      </c>
      <c r="X102" s="3">
        <f t="shared" si="8"/>
        <v>1.0024969277495586</v>
      </c>
    </row>
    <row r="103" spans="21:24">
      <c r="U103" s="3">
        <v>4.6500000000000004</v>
      </c>
      <c r="V103" s="4">
        <f t="shared" si="7"/>
        <v>0.50007570011709024</v>
      </c>
      <c r="W103" s="3">
        <f t="shared" si="9"/>
        <v>4</v>
      </c>
      <c r="X103" s="3">
        <f t="shared" si="8"/>
        <v>2.000302800468361</v>
      </c>
    </row>
    <row r="104" spans="21:24">
      <c r="U104" s="3">
        <v>4.7</v>
      </c>
      <c r="V104" s="4">
        <f t="shared" si="7"/>
        <v>0.49890172687155354</v>
      </c>
      <c r="W104" s="3">
        <f t="shared" si="9"/>
        <v>2</v>
      </c>
      <c r="X104" s="3">
        <f t="shared" si="8"/>
        <v>0.99780345374310708</v>
      </c>
    </row>
    <row r="105" spans="21:24">
      <c r="U105" s="3">
        <v>4.75</v>
      </c>
      <c r="V105" s="4">
        <f t="shared" si="7"/>
        <v>0.4977265521981436</v>
      </c>
      <c r="W105" s="3">
        <f t="shared" si="9"/>
        <v>4</v>
      </c>
      <c r="X105" s="3">
        <f t="shared" si="8"/>
        <v>1.9909062087925744</v>
      </c>
    </row>
    <row r="106" spans="21:24">
      <c r="U106" s="3">
        <v>4.8</v>
      </c>
      <c r="V106" s="4">
        <f t="shared" si="7"/>
        <v>0.49655018421582237</v>
      </c>
      <c r="W106" s="3">
        <f t="shared" si="9"/>
        <v>2</v>
      </c>
      <c r="X106" s="3">
        <f t="shared" si="8"/>
        <v>0.99310036843164473</v>
      </c>
    </row>
    <row r="107" spans="21:24">
      <c r="U107" s="3">
        <v>4.8499999999999996</v>
      </c>
      <c r="V107" s="4">
        <f t="shared" si="7"/>
        <v>0.49537263110261115</v>
      </c>
      <c r="W107" s="3">
        <f t="shared" si="9"/>
        <v>4</v>
      </c>
      <c r="X107" s="3">
        <f t="shared" si="8"/>
        <v>1.9814905244104446</v>
      </c>
    </row>
    <row r="108" spans="21:24">
      <c r="U108" s="3">
        <v>4.9000000000000004</v>
      </c>
      <c r="V108" s="4">
        <f t="shared" si="7"/>
        <v>0.49419390109565653</v>
      </c>
      <c r="W108" s="3">
        <f t="shared" si="9"/>
        <v>2</v>
      </c>
      <c r="X108" s="3">
        <f t="shared" si="8"/>
        <v>0.98838780219131306</v>
      </c>
    </row>
    <row r="109" spans="21:24">
      <c r="U109" s="3">
        <v>4.95</v>
      </c>
      <c r="V109" s="4">
        <f t="shared" si="7"/>
        <v>0.49301400249129812</v>
      </c>
      <c r="W109" s="3">
        <f t="shared" si="9"/>
        <v>4</v>
      </c>
      <c r="X109" s="3">
        <f t="shared" si="8"/>
        <v>1.9720560099651925</v>
      </c>
    </row>
    <row r="110" spans="21:24">
      <c r="U110" s="3">
        <v>5</v>
      </c>
      <c r="V110" s="4">
        <f t="shared" si="7"/>
        <v>0.49183294364513186</v>
      </c>
      <c r="W110" s="3">
        <f t="shared" si="9"/>
        <v>2</v>
      </c>
      <c r="X110" s="3">
        <f t="shared" si="8"/>
        <v>0.98366588729026372</v>
      </c>
    </row>
    <row r="111" spans="21:24">
      <c r="U111" s="3">
        <v>5.05</v>
      </c>
      <c r="V111" s="4">
        <f t="shared" si="7"/>
        <v>0.49065073297206485</v>
      </c>
      <c r="W111" s="3">
        <f t="shared" si="9"/>
        <v>4</v>
      </c>
      <c r="X111" s="3">
        <f t="shared" si="8"/>
        <v>1.9626029318882594</v>
      </c>
    </row>
    <row r="112" spans="21:24">
      <c r="U112" s="3">
        <v>5.0999999999999996</v>
      </c>
      <c r="V112" s="4">
        <f t="shared" si="7"/>
        <v>0.4894673789463872</v>
      </c>
      <c r="W112" s="3">
        <f t="shared" si="9"/>
        <v>2</v>
      </c>
      <c r="X112" s="3">
        <f t="shared" si="8"/>
        <v>0.9789347578927744</v>
      </c>
    </row>
    <row r="113" spans="21:24">
      <c r="U113" s="3">
        <v>5.15</v>
      </c>
      <c r="V113" s="4">
        <f t="shared" si="7"/>
        <v>0.48828289010181447</v>
      </c>
      <c r="W113" s="3">
        <f t="shared" si="9"/>
        <v>4</v>
      </c>
      <c r="X113" s="3">
        <f t="shared" si="8"/>
        <v>1.9531315604072579</v>
      </c>
    </row>
    <row r="114" spans="21:24">
      <c r="U114" s="3">
        <v>5.2</v>
      </c>
      <c r="V114" s="4">
        <f t="shared" si="7"/>
        <v>0.48709727503154904</v>
      </c>
      <c r="W114" s="3">
        <f t="shared" si="9"/>
        <v>2</v>
      </c>
      <c r="X114" s="3">
        <f t="shared" si="8"/>
        <v>0.97419455006309807</v>
      </c>
    </row>
    <row r="115" spans="21:24">
      <c r="U115" s="3">
        <v>5.25</v>
      </c>
      <c r="V115" s="4">
        <f t="shared" si="7"/>
        <v>0.48591054238832787</v>
      </c>
      <c r="W115" s="3">
        <f t="shared" si="9"/>
        <v>4</v>
      </c>
      <c r="X115" s="3">
        <f t="shared" si="8"/>
        <v>1.9436421695533115</v>
      </c>
    </row>
    <row r="116" spans="21:24">
      <c r="U116" s="3">
        <v>5.3</v>
      </c>
      <c r="V116" s="4">
        <f t="shared" si="7"/>
        <v>0.48472270088447317</v>
      </c>
      <c r="W116" s="3">
        <f t="shared" si="9"/>
        <v>2</v>
      </c>
      <c r="X116" s="3">
        <f t="shared" si="8"/>
        <v>0.96944540176894634</v>
      </c>
    </row>
    <row r="117" spans="21:24">
      <c r="U117" s="3">
        <v>5.35</v>
      </c>
      <c r="V117" s="4">
        <f t="shared" si="7"/>
        <v>0.4835337592919362</v>
      </c>
      <c r="W117" s="3">
        <f t="shared" si="9"/>
        <v>4</v>
      </c>
      <c r="X117" s="3">
        <f t="shared" si="8"/>
        <v>1.9341350371677448</v>
      </c>
    </row>
    <row r="118" spans="21:24">
      <c r="U118" s="3">
        <v>5.4</v>
      </c>
      <c r="V118" s="4">
        <f t="shared" si="7"/>
        <v>0.4823437264423423</v>
      </c>
      <c r="W118" s="3">
        <f t="shared" si="9"/>
        <v>2</v>
      </c>
      <c r="X118" s="3">
        <f t="shared" si="8"/>
        <v>0.9646874528846846</v>
      </c>
    </row>
    <row r="119" spans="21:24">
      <c r="U119" s="3">
        <v>5.45</v>
      </c>
      <c r="V119" s="4">
        <f t="shared" si="7"/>
        <v>0.48115261122703129</v>
      </c>
      <c r="W119" s="3">
        <f t="shared" si="9"/>
        <v>4</v>
      </c>
      <c r="X119" s="3">
        <f t="shared" si="8"/>
        <v>1.9246104449081252</v>
      </c>
    </row>
    <row r="120" spans="21:24">
      <c r="U120" s="3">
        <v>5.5</v>
      </c>
      <c r="V120" s="4">
        <f t="shared" si="7"/>
        <v>0.47996042259709487</v>
      </c>
      <c r="W120" s="3">
        <f t="shared" si="9"/>
        <v>2</v>
      </c>
      <c r="X120" s="3">
        <f t="shared" si="8"/>
        <v>0.95992084519418974</v>
      </c>
    </row>
    <row r="121" spans="21:24">
      <c r="U121" s="3">
        <v>5.55</v>
      </c>
      <c r="V121" s="4">
        <f t="shared" si="7"/>
        <v>0.47876716956341264</v>
      </c>
      <c r="W121" s="3">
        <f t="shared" si="9"/>
        <v>4</v>
      </c>
      <c r="X121" s="3">
        <f t="shared" si="8"/>
        <v>1.9150686782536506</v>
      </c>
    </row>
    <row r="122" spans="21:24">
      <c r="U122" s="3">
        <v>5.6</v>
      </c>
      <c r="V122" s="4">
        <f t="shared" si="7"/>
        <v>0.47757286119668474</v>
      </c>
      <c r="W122" s="3">
        <f t="shared" si="9"/>
        <v>2</v>
      </c>
      <c r="X122" s="3">
        <f t="shared" si="8"/>
        <v>0.95514572239336948</v>
      </c>
    </row>
    <row r="123" spans="21:24">
      <c r="U123" s="3">
        <v>5.65</v>
      </c>
      <c r="V123" s="4">
        <f t="shared" si="7"/>
        <v>0.47637750662746159</v>
      </c>
      <c r="W123" s="3">
        <f t="shared" si="9"/>
        <v>4</v>
      </c>
      <c r="X123" s="3">
        <f t="shared" si="8"/>
        <v>1.9055100265098464</v>
      </c>
    </row>
    <row r="124" spans="21:24">
      <c r="U124" s="3">
        <v>5.7</v>
      </c>
      <c r="V124" s="4">
        <f t="shared" si="7"/>
        <v>0.47518111504617216</v>
      </c>
      <c r="W124" s="3">
        <f t="shared" si="9"/>
        <v>2</v>
      </c>
      <c r="X124" s="3">
        <f t="shared" si="8"/>
        <v>0.95036223009234433</v>
      </c>
    </row>
    <row r="125" spans="21:24">
      <c r="U125" s="3">
        <v>5.75</v>
      </c>
      <c r="V125" s="4">
        <f t="shared" si="7"/>
        <v>0.47398369570314686</v>
      </c>
      <c r="W125" s="3">
        <f t="shared" si="9"/>
        <v>4</v>
      </c>
      <c r="X125" s="3">
        <f t="shared" si="8"/>
        <v>1.8959347828125874</v>
      </c>
    </row>
    <row r="126" spans="21:24">
      <c r="U126" s="3">
        <v>5.8</v>
      </c>
      <c r="V126" s="4">
        <f t="shared" si="7"/>
        <v>0.47278525790864001</v>
      </c>
      <c r="W126" s="3">
        <f t="shared" si="9"/>
        <v>2</v>
      </c>
      <c r="X126" s="3">
        <f t="shared" si="8"/>
        <v>0.94557051581728002</v>
      </c>
    </row>
    <row r="127" spans="21:24">
      <c r="U127" s="3">
        <v>5.85</v>
      </c>
      <c r="V127" s="4">
        <f t="shared" si="7"/>
        <v>0.47158581103284974</v>
      </c>
      <c r="W127" s="3">
        <f t="shared" si="9"/>
        <v>4</v>
      </c>
      <c r="X127" s="3">
        <f t="shared" si="8"/>
        <v>1.886343244131399</v>
      </c>
    </row>
    <row r="128" spans="21:24">
      <c r="U128" s="3">
        <v>5.9</v>
      </c>
      <c r="V128" s="4">
        <f t="shared" si="7"/>
        <v>0.47038536450593171</v>
      </c>
      <c r="W128" s="3">
        <f t="shared" si="9"/>
        <v>2</v>
      </c>
      <c r="X128" s="3">
        <f t="shared" si="8"/>
        <v>0.94077072901186343</v>
      </c>
    </row>
    <row r="129" spans="21:24">
      <c r="U129" s="3">
        <v>5.95</v>
      </c>
      <c r="V129" s="4">
        <f t="shared" si="7"/>
        <v>0.4691839278180146</v>
      </c>
      <c r="W129" s="3">
        <f t="shared" si="9"/>
        <v>4</v>
      </c>
      <c r="X129" s="3">
        <f t="shared" si="8"/>
        <v>1.8767357112720584</v>
      </c>
    </row>
    <row r="130" spans="21:24">
      <c r="U130" s="3">
        <v>6</v>
      </c>
      <c r="V130" s="4">
        <f t="shared" si="7"/>
        <v>0.46798151051920989</v>
      </c>
      <c r="W130" s="3">
        <f t="shared" si="9"/>
        <v>2</v>
      </c>
      <c r="X130" s="3">
        <f t="shared" si="8"/>
        <v>0.93596302103841977</v>
      </c>
    </row>
    <row r="131" spans="21:24">
      <c r="U131" s="3">
        <v>6.05</v>
      </c>
      <c r="V131" s="4">
        <f t="shared" si="7"/>
        <v>0.46677812221961318</v>
      </c>
      <c r="W131" s="3">
        <f t="shared" si="9"/>
        <v>4</v>
      </c>
      <c r="X131" s="3">
        <f t="shared" si="8"/>
        <v>1.8671124888784527</v>
      </c>
    </row>
    <row r="132" spans="21:24">
      <c r="U132" s="3">
        <v>6.1</v>
      </c>
      <c r="V132" s="4">
        <f t="shared" si="7"/>
        <v>0.46557377258932187</v>
      </c>
      <c r="W132" s="3">
        <f t="shared" si="9"/>
        <v>2</v>
      </c>
      <c r="X132" s="3">
        <f t="shared" si="8"/>
        <v>0.93114754517864373</v>
      </c>
    </row>
    <row r="133" spans="21:24">
      <c r="U133" s="3">
        <v>6.15</v>
      </c>
      <c r="V133" s="4">
        <f t="shared" si="7"/>
        <v>0.46436847135842296</v>
      </c>
      <c r="W133" s="3">
        <f t="shared" si="9"/>
        <v>4</v>
      </c>
      <c r="X133" s="3">
        <f t="shared" si="8"/>
        <v>1.8574738854336919</v>
      </c>
    </row>
    <row r="134" spans="21:24">
      <c r="U134" s="3">
        <v>6.2</v>
      </c>
      <c r="V134" s="4">
        <f t="shared" si="7"/>
        <v>0.46316222831699883</v>
      </c>
      <c r="W134" s="3">
        <f t="shared" si="9"/>
        <v>2</v>
      </c>
      <c r="X134" s="3">
        <f t="shared" si="8"/>
        <v>0.92632445663399765</v>
      </c>
    </row>
    <row r="135" spans="21:24">
      <c r="U135" s="3">
        <v>6.25</v>
      </c>
      <c r="V135" s="4">
        <f t="shared" si="7"/>
        <v>0.46195505331511932</v>
      </c>
      <c r="W135" s="3">
        <f t="shared" si="9"/>
        <v>4</v>
      </c>
      <c r="X135" s="3">
        <f t="shared" si="8"/>
        <v>1.8478202132604773</v>
      </c>
    </row>
    <row r="136" spans="21:24">
      <c r="U136" s="3">
        <v>6.3</v>
      </c>
      <c r="V136" s="4">
        <f t="shared" si="7"/>
        <v>0.46074695626283624</v>
      </c>
      <c r="W136" s="3">
        <f t="shared" si="9"/>
        <v>2</v>
      </c>
      <c r="X136" s="3">
        <f t="shared" si="8"/>
        <v>0.92149391252567248</v>
      </c>
    </row>
    <row r="137" spans="21:24">
      <c r="U137" s="3">
        <v>6.35</v>
      </c>
      <c r="V137" s="4">
        <f t="shared" si="7"/>
        <v>0.45953794713017054</v>
      </c>
      <c r="W137" s="3">
        <f t="shared" si="9"/>
        <v>4</v>
      </c>
      <c r="X137" s="3">
        <f t="shared" si="8"/>
        <v>1.8381517885206822</v>
      </c>
    </row>
    <row r="138" spans="21:24">
      <c r="U138" s="3">
        <v>6.4</v>
      </c>
      <c r="V138" s="4">
        <f t="shared" si="7"/>
        <v>0.45832803594709892</v>
      </c>
      <c r="W138" s="3">
        <f t="shared" si="9"/>
        <v>2</v>
      </c>
      <c r="X138" s="3">
        <f t="shared" si="8"/>
        <v>0.91665607189419784</v>
      </c>
    </row>
    <row r="139" spans="21:24">
      <c r="U139" s="3">
        <v>6.45</v>
      </c>
      <c r="V139" s="4">
        <f t="shared" ref="V139:V202" si="10">EXP(-(B$3*(70+U139)+0.5*B$4*((70+U139)^2)+(B$5/LN(B$6))*((B$6^(70+U139))-1)))</f>
        <v>0.45711723280353789</v>
      </c>
      <c r="W139" s="3">
        <f t="shared" si="9"/>
        <v>4</v>
      </c>
      <c r="X139" s="3">
        <f t="shared" ref="X139:X202" si="11">V139*W139</f>
        <v>1.8284689312141515</v>
      </c>
    </row>
    <row r="140" spans="21:24">
      <c r="U140" s="3">
        <v>6.5</v>
      </c>
      <c r="V140" s="4">
        <f t="shared" si="10"/>
        <v>0.4559055478493213</v>
      </c>
      <c r="W140" s="3">
        <f t="shared" si="9"/>
        <v>2</v>
      </c>
      <c r="X140" s="3">
        <f t="shared" si="11"/>
        <v>0.9118110956986426</v>
      </c>
    </row>
    <row r="141" spans="21:24">
      <c r="U141" s="3">
        <v>6.55</v>
      </c>
      <c r="V141" s="4">
        <f t="shared" si="10"/>
        <v>0.45469299129417817</v>
      </c>
      <c r="W141" s="3">
        <f t="shared" ref="W141:W204" si="12">IF(W140=4,2,4)</f>
        <v>4</v>
      </c>
      <c r="X141" s="3">
        <f t="shared" si="11"/>
        <v>1.8187719651767127</v>
      </c>
    </row>
    <row r="142" spans="21:24">
      <c r="U142" s="3">
        <v>6.6</v>
      </c>
      <c r="V142" s="4">
        <f t="shared" si="10"/>
        <v>0.45347957340770545</v>
      </c>
      <c r="W142" s="3">
        <f t="shared" si="12"/>
        <v>2</v>
      </c>
      <c r="X142" s="3">
        <f t="shared" si="11"/>
        <v>0.9069591468154109</v>
      </c>
    </row>
    <row r="143" spans="21:24">
      <c r="U143" s="3">
        <v>6.65</v>
      </c>
      <c r="V143" s="4">
        <f t="shared" si="10"/>
        <v>0.45226530451933805</v>
      </c>
      <c r="W143" s="3">
        <f t="shared" si="12"/>
        <v>4</v>
      </c>
      <c r="X143" s="3">
        <f t="shared" si="11"/>
        <v>1.8090612180773522</v>
      </c>
    </row>
    <row r="144" spans="21:24">
      <c r="U144" s="3">
        <v>6.7</v>
      </c>
      <c r="V144" s="4">
        <f t="shared" si="10"/>
        <v>0.45105019501831622</v>
      </c>
      <c r="W144" s="3">
        <f t="shared" si="12"/>
        <v>2</v>
      </c>
      <c r="X144" s="3">
        <f t="shared" si="11"/>
        <v>0.90210039003663245</v>
      </c>
    </row>
    <row r="145" spans="21:24">
      <c r="U145" s="3">
        <v>6.75</v>
      </c>
      <c r="V145" s="4">
        <f t="shared" si="10"/>
        <v>0.44983425535364763</v>
      </c>
      <c r="W145" s="3">
        <f t="shared" si="12"/>
        <v>4</v>
      </c>
      <c r="X145" s="3">
        <f t="shared" si="11"/>
        <v>1.7993370214145905</v>
      </c>
    </row>
    <row r="146" spans="21:24">
      <c r="U146" s="3">
        <v>6.8</v>
      </c>
      <c r="V146" s="4">
        <f t="shared" si="10"/>
        <v>0.44861749603406781</v>
      </c>
      <c r="W146" s="3">
        <f t="shared" si="12"/>
        <v>2</v>
      </c>
      <c r="X146" s="3">
        <f t="shared" si="11"/>
        <v>0.89723499206813562</v>
      </c>
    </row>
    <row r="147" spans="21:24">
      <c r="U147" s="3">
        <v>6.85</v>
      </c>
      <c r="V147" s="4">
        <f t="shared" si="10"/>
        <v>0.44739992762799807</v>
      </c>
      <c r="W147" s="3">
        <f t="shared" si="12"/>
        <v>4</v>
      </c>
      <c r="X147" s="3">
        <f t="shared" si="11"/>
        <v>1.7895997105119923</v>
      </c>
    </row>
    <row r="148" spans="21:24">
      <c r="U148" s="3">
        <v>6.9</v>
      </c>
      <c r="V148" s="4">
        <f t="shared" si="10"/>
        <v>0.44618156076349658</v>
      </c>
      <c r="W148" s="3">
        <f t="shared" si="12"/>
        <v>2</v>
      </c>
      <c r="X148" s="3">
        <f t="shared" si="11"/>
        <v>0.89236312152699315</v>
      </c>
    </row>
    <row r="149" spans="21:24">
      <c r="U149" s="3">
        <v>6.95</v>
      </c>
      <c r="V149" s="4">
        <f t="shared" si="10"/>
        <v>0.44496240612821047</v>
      </c>
      <c r="W149" s="3">
        <f t="shared" si="12"/>
        <v>4</v>
      </c>
      <c r="X149" s="3">
        <f t="shared" si="11"/>
        <v>1.7798496245128419</v>
      </c>
    </row>
    <row r="150" spans="21:24">
      <c r="U150" s="3">
        <v>7</v>
      </c>
      <c r="V150" s="4">
        <f t="shared" si="10"/>
        <v>0.44374247446932186</v>
      </c>
      <c r="W150" s="3">
        <f t="shared" si="12"/>
        <v>2</v>
      </c>
      <c r="X150" s="3">
        <f t="shared" si="11"/>
        <v>0.88748494893864371</v>
      </c>
    </row>
    <row r="151" spans="21:24">
      <c r="U151" s="3">
        <v>7.05</v>
      </c>
      <c r="V151" s="4">
        <f t="shared" si="10"/>
        <v>0.44252177659348485</v>
      </c>
      <c r="W151" s="3">
        <f t="shared" si="12"/>
        <v>4</v>
      </c>
      <c r="X151" s="3">
        <f t="shared" si="11"/>
        <v>1.7700871063739394</v>
      </c>
    </row>
    <row r="152" spans="21:24">
      <c r="U152" s="3">
        <v>7.1</v>
      </c>
      <c r="V152" s="4">
        <f t="shared" si="10"/>
        <v>0.44130032336677827</v>
      </c>
      <c r="W152" s="3">
        <f t="shared" si="12"/>
        <v>2</v>
      </c>
      <c r="X152" s="3">
        <f t="shared" si="11"/>
        <v>0.88260064673355654</v>
      </c>
    </row>
    <row r="153" spans="21:24">
      <c r="U153" s="3">
        <v>7.15</v>
      </c>
      <c r="V153" s="4">
        <f t="shared" si="10"/>
        <v>0.44007812571462818</v>
      </c>
      <c r="W153" s="3">
        <f t="shared" si="12"/>
        <v>4</v>
      </c>
      <c r="X153" s="3">
        <f t="shared" si="11"/>
        <v>1.7603125028585127</v>
      </c>
    </row>
    <row r="154" spans="21:24">
      <c r="U154" s="3">
        <v>7.2</v>
      </c>
      <c r="V154" s="4">
        <f t="shared" si="10"/>
        <v>0.43885519462174766</v>
      </c>
      <c r="W154" s="3">
        <f t="shared" si="12"/>
        <v>2</v>
      </c>
      <c r="X154" s="3">
        <f t="shared" si="11"/>
        <v>0.87771038924349531</v>
      </c>
    </row>
    <row r="155" spans="21:24">
      <c r="U155" s="3">
        <v>7.25</v>
      </c>
      <c r="V155" s="4">
        <f t="shared" si="10"/>
        <v>0.43763154113206232</v>
      </c>
      <c r="W155" s="3">
        <f t="shared" si="12"/>
        <v>4</v>
      </c>
      <c r="X155" s="3">
        <f t="shared" si="11"/>
        <v>1.7505261645282493</v>
      </c>
    </row>
    <row r="156" spans="21:24">
      <c r="U156" s="3">
        <v>7.3</v>
      </c>
      <c r="V156" s="4">
        <f t="shared" si="10"/>
        <v>0.43640717634863824</v>
      </c>
      <c r="W156" s="3">
        <f t="shared" si="12"/>
        <v>2</v>
      </c>
      <c r="X156" s="3">
        <f t="shared" si="11"/>
        <v>0.87281435269727647</v>
      </c>
    </row>
    <row r="157" spans="21:24">
      <c r="U157" s="3">
        <v>7.35</v>
      </c>
      <c r="V157" s="4">
        <f t="shared" si="10"/>
        <v>0.43518211143360075</v>
      </c>
      <c r="W157" s="3">
        <f t="shared" si="12"/>
        <v>4</v>
      </c>
      <c r="X157" s="3">
        <f t="shared" si="11"/>
        <v>1.740728445734403</v>
      </c>
    </row>
    <row r="158" spans="21:24">
      <c r="U158" s="3">
        <v>7.4</v>
      </c>
      <c r="V158" s="4">
        <f t="shared" si="10"/>
        <v>0.43395635760805373</v>
      </c>
      <c r="W158" s="3">
        <f t="shared" si="12"/>
        <v>2</v>
      </c>
      <c r="X158" s="3">
        <f t="shared" si="11"/>
        <v>0.86791271521610747</v>
      </c>
    </row>
    <row r="159" spans="21:24">
      <c r="U159" s="3">
        <v>7.45</v>
      </c>
      <c r="V159" s="4">
        <f t="shared" si="10"/>
        <v>0.43272992615199485</v>
      </c>
      <c r="W159" s="3">
        <f t="shared" si="12"/>
        <v>4</v>
      </c>
      <c r="X159" s="3">
        <f t="shared" si="11"/>
        <v>1.7309197046079794</v>
      </c>
    </row>
    <row r="160" spans="21:24">
      <c r="U160" s="3">
        <v>7.5</v>
      </c>
      <c r="V160" s="4">
        <f t="shared" si="10"/>
        <v>0.43150282840422371</v>
      </c>
      <c r="W160" s="3">
        <f t="shared" si="12"/>
        <v>2</v>
      </c>
      <c r="X160" s="3">
        <f t="shared" si="11"/>
        <v>0.86300565680844743</v>
      </c>
    </row>
    <row r="161" spans="21:24">
      <c r="U161" s="3">
        <v>7.55</v>
      </c>
      <c r="V161" s="4">
        <f t="shared" si="10"/>
        <v>0.43027507576225038</v>
      </c>
      <c r="W161" s="3">
        <f t="shared" si="12"/>
        <v>4</v>
      </c>
      <c r="X161" s="3">
        <f t="shared" si="11"/>
        <v>1.7211003030490015</v>
      </c>
    </row>
    <row r="162" spans="21:24">
      <c r="U162" s="3">
        <v>7.6</v>
      </c>
      <c r="V162" s="4">
        <f t="shared" si="10"/>
        <v>0.42904667968219756</v>
      </c>
      <c r="W162" s="3">
        <f t="shared" si="12"/>
        <v>2</v>
      </c>
      <c r="X162" s="3">
        <f t="shared" si="11"/>
        <v>0.85809335936439513</v>
      </c>
    </row>
    <row r="163" spans="21:24">
      <c r="U163" s="3">
        <v>7.65</v>
      </c>
      <c r="V163" s="4">
        <f t="shared" si="10"/>
        <v>0.42781765167870006</v>
      </c>
      <c r="W163" s="3">
        <f t="shared" si="12"/>
        <v>4</v>
      </c>
      <c r="X163" s="3">
        <f t="shared" si="11"/>
        <v>1.7112706067148002</v>
      </c>
    </row>
    <row r="164" spans="21:24">
      <c r="U164" s="3">
        <v>7.7</v>
      </c>
      <c r="V164" s="4">
        <f t="shared" si="10"/>
        <v>0.42658800332480096</v>
      </c>
      <c r="W164" s="3">
        <f t="shared" si="12"/>
        <v>2</v>
      </c>
      <c r="X164" s="3">
        <f t="shared" si="11"/>
        <v>0.85317600664960191</v>
      </c>
    </row>
    <row r="165" spans="21:24">
      <c r="U165" s="3">
        <v>7.75</v>
      </c>
      <c r="V165" s="4">
        <f t="shared" si="10"/>
        <v>0.42535774625184175</v>
      </c>
      <c r="W165" s="3">
        <f t="shared" si="12"/>
        <v>4</v>
      </c>
      <c r="X165" s="3">
        <f t="shared" si="11"/>
        <v>1.701430985007367</v>
      </c>
    </row>
    <row r="166" spans="21:24">
      <c r="U166" s="3">
        <v>7.8</v>
      </c>
      <c r="V166" s="4">
        <f t="shared" si="10"/>
        <v>0.42412689214935034</v>
      </c>
      <c r="W166" s="3">
        <f t="shared" si="12"/>
        <v>2</v>
      </c>
      <c r="X166" s="3">
        <f t="shared" si="11"/>
        <v>0.84825378429870069</v>
      </c>
    </row>
    <row r="167" spans="21:24">
      <c r="U167" s="3">
        <v>7.85</v>
      </c>
      <c r="V167" s="4">
        <f t="shared" si="10"/>
        <v>0.42289545276492646</v>
      </c>
      <c r="W167" s="3">
        <f t="shared" si="12"/>
        <v>4</v>
      </c>
      <c r="X167" s="3">
        <f t="shared" si="11"/>
        <v>1.6915818110597058</v>
      </c>
    </row>
    <row r="168" spans="21:24">
      <c r="U168" s="3">
        <v>7.9</v>
      </c>
      <c r="V168" s="4">
        <f t="shared" si="10"/>
        <v>0.42166343990411903</v>
      </c>
      <c r="W168" s="3">
        <f t="shared" si="12"/>
        <v>2</v>
      </c>
      <c r="X168" s="3">
        <f t="shared" si="11"/>
        <v>0.84332687980823806</v>
      </c>
    </row>
    <row r="169" spans="21:24">
      <c r="U169" s="3">
        <v>7.95</v>
      </c>
      <c r="V169" s="4">
        <f t="shared" si="10"/>
        <v>0.42043086543030467</v>
      </c>
      <c r="W169" s="3">
        <f t="shared" si="12"/>
        <v>4</v>
      </c>
      <c r="X169" s="3">
        <f t="shared" si="11"/>
        <v>1.6817234617212187</v>
      </c>
    </row>
    <row r="170" spans="21:24">
      <c r="U170" s="3">
        <v>8</v>
      </c>
      <c r="V170" s="4">
        <f t="shared" si="10"/>
        <v>0.41919774126455867</v>
      </c>
      <c r="W170" s="3">
        <f t="shared" si="12"/>
        <v>2</v>
      </c>
      <c r="X170" s="3">
        <f t="shared" si="11"/>
        <v>0.83839548252911733</v>
      </c>
    </row>
    <row r="171" spans="21:24">
      <c r="U171" s="3">
        <v>8.0500000000000007</v>
      </c>
      <c r="V171" s="4">
        <f t="shared" si="10"/>
        <v>0.41796407938551744</v>
      </c>
      <c r="W171" s="3">
        <f t="shared" si="12"/>
        <v>4</v>
      </c>
      <c r="X171" s="3">
        <f t="shared" si="11"/>
        <v>1.6718563175420698</v>
      </c>
    </row>
    <row r="172" spans="21:24">
      <c r="U172" s="3">
        <v>8.1</v>
      </c>
      <c r="V172" s="4">
        <f t="shared" si="10"/>
        <v>0.41672989182925624</v>
      </c>
      <c r="W172" s="3">
        <f t="shared" si="12"/>
        <v>2</v>
      </c>
      <c r="X172" s="3">
        <f t="shared" si="11"/>
        <v>0.83345978365851248</v>
      </c>
    </row>
    <row r="173" spans="21:24">
      <c r="U173" s="3">
        <v>8.15</v>
      </c>
      <c r="V173" s="4">
        <f t="shared" si="10"/>
        <v>0.41549519068913443</v>
      </c>
      <c r="W173" s="3">
        <f t="shared" si="12"/>
        <v>4</v>
      </c>
      <c r="X173" s="3">
        <f t="shared" si="11"/>
        <v>1.6619807627565377</v>
      </c>
    </row>
    <row r="174" spans="21:24">
      <c r="U174" s="3">
        <v>8.1999999999999993</v>
      </c>
      <c r="V174" s="4">
        <f t="shared" si="10"/>
        <v>0.41425998811565984</v>
      </c>
      <c r="W174" s="3">
        <f t="shared" si="12"/>
        <v>2</v>
      </c>
      <c r="X174" s="3">
        <f t="shared" si="11"/>
        <v>0.82851997623131968</v>
      </c>
    </row>
    <row r="175" spans="21:24">
      <c r="U175" s="3">
        <v>8.25</v>
      </c>
      <c r="V175" s="4">
        <f t="shared" si="10"/>
        <v>0.41302429631633703</v>
      </c>
      <c r="W175" s="3">
        <f t="shared" si="12"/>
        <v>4</v>
      </c>
      <c r="X175" s="3">
        <f t="shared" si="11"/>
        <v>1.6520971852653481</v>
      </c>
    </row>
    <row r="176" spans="21:24">
      <c r="U176" s="3">
        <v>8.3000000000000007</v>
      </c>
      <c r="V176" s="4">
        <f t="shared" si="10"/>
        <v>0.41178812755551675</v>
      </c>
      <c r="W176" s="3">
        <f t="shared" si="12"/>
        <v>2</v>
      </c>
      <c r="X176" s="3">
        <f t="shared" si="11"/>
        <v>0.8235762551110335</v>
      </c>
    </row>
    <row r="177" spans="21:24">
      <c r="U177" s="3">
        <v>8.35</v>
      </c>
      <c r="V177" s="4">
        <f t="shared" si="10"/>
        <v>0.41055149415423814</v>
      </c>
      <c r="W177" s="3">
        <f t="shared" si="12"/>
        <v>4</v>
      </c>
      <c r="X177" s="3">
        <f t="shared" si="11"/>
        <v>1.6422059766169526</v>
      </c>
    </row>
    <row r="178" spans="21:24">
      <c r="U178" s="3">
        <v>8.4</v>
      </c>
      <c r="V178" s="4">
        <f t="shared" si="10"/>
        <v>0.40931440849006806</v>
      </c>
      <c r="W178" s="3">
        <f t="shared" si="12"/>
        <v>2</v>
      </c>
      <c r="X178" s="3">
        <f t="shared" si="11"/>
        <v>0.81862881698013612</v>
      </c>
    </row>
    <row r="179" spans="21:24">
      <c r="U179" s="3">
        <v>8.4499999999999993</v>
      </c>
      <c r="V179" s="4">
        <f t="shared" si="10"/>
        <v>0.40807688299693806</v>
      </c>
      <c r="W179" s="3">
        <f t="shared" si="12"/>
        <v>4</v>
      </c>
      <c r="X179" s="3">
        <f t="shared" si="11"/>
        <v>1.6323075319877522</v>
      </c>
    </row>
    <row r="180" spans="21:24">
      <c r="U180" s="3">
        <v>8.5</v>
      </c>
      <c r="V180" s="4">
        <f t="shared" si="10"/>
        <v>0.40683893016497252</v>
      </c>
      <c r="W180" s="3">
        <f t="shared" si="12"/>
        <v>2</v>
      </c>
      <c r="X180" s="3">
        <f t="shared" si="11"/>
        <v>0.81367786032994505</v>
      </c>
    </row>
    <row r="181" spans="21:24">
      <c r="U181" s="3">
        <v>8.5500000000000007</v>
      </c>
      <c r="V181" s="4">
        <f t="shared" si="10"/>
        <v>0.40560056254031701</v>
      </c>
      <c r="W181" s="3">
        <f t="shared" si="12"/>
        <v>4</v>
      </c>
      <c r="X181" s="3">
        <f t="shared" si="11"/>
        <v>1.622402250161268</v>
      </c>
    </row>
    <row r="182" spans="21:24">
      <c r="U182" s="3">
        <v>8.6</v>
      </c>
      <c r="V182" s="4">
        <f t="shared" si="10"/>
        <v>0.40436179272496037</v>
      </c>
      <c r="W182" s="3">
        <f t="shared" si="12"/>
        <v>2</v>
      </c>
      <c r="X182" s="3">
        <f t="shared" si="11"/>
        <v>0.80872358544992073</v>
      </c>
    </row>
    <row r="183" spans="21:24">
      <c r="U183" s="3">
        <v>8.65</v>
      </c>
      <c r="V183" s="4">
        <f t="shared" si="10"/>
        <v>0.40312263337655219</v>
      </c>
      <c r="W183" s="3">
        <f t="shared" si="12"/>
        <v>4</v>
      </c>
      <c r="X183" s="3">
        <f t="shared" si="11"/>
        <v>1.6124905335062087</v>
      </c>
    </row>
    <row r="184" spans="21:24">
      <c r="U184" s="3">
        <v>8.6999999999999993</v>
      </c>
      <c r="V184" s="4">
        <f t="shared" si="10"/>
        <v>0.40188309720821824</v>
      </c>
      <c r="W184" s="3">
        <f t="shared" si="12"/>
        <v>2</v>
      </c>
      <c r="X184" s="3">
        <f t="shared" si="11"/>
        <v>0.80376619441643649</v>
      </c>
    </row>
    <row r="185" spans="21:24">
      <c r="U185" s="3">
        <v>8.75</v>
      </c>
      <c r="V185" s="4">
        <f t="shared" si="10"/>
        <v>0.40064319698836748</v>
      </c>
      <c r="W185" s="3">
        <f t="shared" si="12"/>
        <v>4</v>
      </c>
      <c r="X185" s="3">
        <f t="shared" si="11"/>
        <v>1.6025727879534699</v>
      </c>
    </row>
    <row r="186" spans="21:24">
      <c r="U186" s="3">
        <v>8.8000000000000007</v>
      </c>
      <c r="V186" s="4">
        <f t="shared" si="10"/>
        <v>0.39940294554049849</v>
      </c>
      <c r="W186" s="3">
        <f t="shared" si="12"/>
        <v>2</v>
      </c>
      <c r="X186" s="3">
        <f t="shared" si="11"/>
        <v>0.79880589108099698</v>
      </c>
    </row>
    <row r="187" spans="21:24">
      <c r="U187" s="3">
        <v>8.85</v>
      </c>
      <c r="V187" s="4">
        <f t="shared" si="10"/>
        <v>0.39816235574300096</v>
      </c>
      <c r="W187" s="3">
        <f t="shared" si="12"/>
        <v>4</v>
      </c>
      <c r="X187" s="3">
        <f t="shared" si="11"/>
        <v>1.5926494229720038</v>
      </c>
    </row>
    <row r="188" spans="21:24">
      <c r="U188" s="3">
        <v>8.9</v>
      </c>
      <c r="V188" s="4">
        <f t="shared" si="10"/>
        <v>0.39692144052894957</v>
      </c>
      <c r="W188" s="3">
        <f t="shared" si="12"/>
        <v>2</v>
      </c>
      <c r="X188" s="3">
        <f t="shared" si="11"/>
        <v>0.79384288105789913</v>
      </c>
    </row>
    <row r="189" spans="21:24">
      <c r="U189" s="3">
        <v>8.9499999999999993</v>
      </c>
      <c r="V189" s="4">
        <f t="shared" si="10"/>
        <v>0.39568021288589872</v>
      </c>
      <c r="W189" s="3">
        <f t="shared" si="12"/>
        <v>4</v>
      </c>
      <c r="X189" s="3">
        <f t="shared" si="11"/>
        <v>1.5827208515435949</v>
      </c>
    </row>
    <row r="190" spans="21:24">
      <c r="U190" s="3">
        <v>9</v>
      </c>
      <c r="V190" s="4">
        <f t="shared" si="10"/>
        <v>0.39443868585566871</v>
      </c>
      <c r="W190" s="3">
        <f t="shared" si="12"/>
        <v>2</v>
      </c>
      <c r="X190" s="3">
        <f t="shared" si="11"/>
        <v>0.78887737171133743</v>
      </c>
    </row>
    <row r="191" spans="21:24">
      <c r="U191" s="3">
        <v>9.0500000000000007</v>
      </c>
      <c r="V191" s="4">
        <f t="shared" si="10"/>
        <v>0.393196872534123</v>
      </c>
      <c r="W191" s="3">
        <f t="shared" si="12"/>
        <v>4</v>
      </c>
      <c r="X191" s="3">
        <f t="shared" si="11"/>
        <v>1.572787490136492</v>
      </c>
    </row>
    <row r="192" spans="21:24">
      <c r="U192" s="3">
        <v>9.1</v>
      </c>
      <c r="V192" s="4">
        <f t="shared" si="10"/>
        <v>0.39195478607096046</v>
      </c>
      <c r="W192" s="3">
        <f t="shared" si="12"/>
        <v>2</v>
      </c>
      <c r="X192" s="3">
        <f t="shared" si="11"/>
        <v>0.78390957214192092</v>
      </c>
    </row>
    <row r="193" spans="21:24">
      <c r="U193" s="3">
        <v>9.15</v>
      </c>
      <c r="V193" s="4">
        <f t="shared" si="10"/>
        <v>0.39071243966947483</v>
      </c>
      <c r="W193" s="3">
        <f t="shared" si="12"/>
        <v>4</v>
      </c>
      <c r="X193" s="3">
        <f t="shared" si="11"/>
        <v>1.5628497586778993</v>
      </c>
    </row>
    <row r="194" spans="21:24">
      <c r="U194" s="3">
        <v>9.1999999999999993</v>
      </c>
      <c r="V194" s="4">
        <f t="shared" si="10"/>
        <v>0.3894698465863321</v>
      </c>
      <c r="W194" s="3">
        <f t="shared" si="12"/>
        <v>2</v>
      </c>
      <c r="X194" s="3">
        <f t="shared" si="11"/>
        <v>0.7789396931726642</v>
      </c>
    </row>
    <row r="195" spans="21:24">
      <c r="U195" s="3">
        <v>9.25</v>
      </c>
      <c r="V195" s="4">
        <f t="shared" si="10"/>
        <v>0.38822702013133181</v>
      </c>
      <c r="W195" s="3">
        <f t="shared" si="12"/>
        <v>4</v>
      </c>
      <c r="X195" s="3">
        <f t="shared" si="11"/>
        <v>1.5529080805253273</v>
      </c>
    </row>
    <row r="196" spans="21:24">
      <c r="U196" s="3">
        <v>9.3000000000000007</v>
      </c>
      <c r="V196" s="4">
        <f t="shared" si="10"/>
        <v>0.38698397366717013</v>
      </c>
      <c r="W196" s="3">
        <f t="shared" si="12"/>
        <v>2</v>
      </c>
      <c r="X196" s="3">
        <f t="shared" si="11"/>
        <v>0.77396794733434027</v>
      </c>
    </row>
    <row r="197" spans="21:24">
      <c r="U197" s="3">
        <v>9.35</v>
      </c>
      <c r="V197" s="4">
        <f t="shared" si="10"/>
        <v>0.3857407206091924</v>
      </c>
      <c r="W197" s="3">
        <f t="shared" si="12"/>
        <v>4</v>
      </c>
      <c r="X197" s="3">
        <f t="shared" si="11"/>
        <v>1.5429628824367696</v>
      </c>
    </row>
    <row r="198" spans="21:24">
      <c r="U198" s="3">
        <v>9.4</v>
      </c>
      <c r="V198" s="4">
        <f t="shared" si="10"/>
        <v>0.38449727442514547</v>
      </c>
      <c r="W198" s="3">
        <f t="shared" si="12"/>
        <v>2</v>
      </c>
      <c r="X198" s="3">
        <f t="shared" si="11"/>
        <v>0.76899454885029095</v>
      </c>
    </row>
    <row r="199" spans="21:24">
      <c r="U199" s="3">
        <v>9.4499999999999993</v>
      </c>
      <c r="V199" s="4">
        <f t="shared" si="10"/>
        <v>0.38325364863492506</v>
      </c>
      <c r="W199" s="3">
        <f t="shared" si="12"/>
        <v>4</v>
      </c>
      <c r="X199" s="3">
        <f t="shared" si="11"/>
        <v>1.5330145945397002</v>
      </c>
    </row>
    <row r="200" spans="21:24">
      <c r="U200" s="3">
        <v>9.5</v>
      </c>
      <c r="V200" s="4">
        <f t="shared" si="10"/>
        <v>0.38200985681031535</v>
      </c>
      <c r="W200" s="3">
        <f t="shared" si="12"/>
        <v>2</v>
      </c>
      <c r="X200" s="3">
        <f t="shared" si="11"/>
        <v>0.7640197136206307</v>
      </c>
    </row>
    <row r="201" spans="21:24">
      <c r="U201" s="3">
        <v>9.5500000000000007</v>
      </c>
      <c r="V201" s="4">
        <f t="shared" si="10"/>
        <v>0.38076591257472686</v>
      </c>
      <c r="W201" s="3">
        <f t="shared" si="12"/>
        <v>4</v>
      </c>
      <c r="X201" s="3">
        <f t="shared" si="11"/>
        <v>1.5230636502989074</v>
      </c>
    </row>
    <row r="202" spans="21:24">
      <c r="U202" s="3">
        <v>9.6</v>
      </c>
      <c r="V202" s="4">
        <f t="shared" si="10"/>
        <v>0.37952182960292863</v>
      </c>
      <c r="W202" s="3">
        <f t="shared" si="12"/>
        <v>2</v>
      </c>
      <c r="X202" s="3">
        <f t="shared" si="11"/>
        <v>0.75904365920585726</v>
      </c>
    </row>
    <row r="203" spans="21:24">
      <c r="U203" s="3">
        <v>9.65</v>
      </c>
      <c r="V203" s="4">
        <f t="shared" ref="V203:V266" si="13">EXP(-(B$3*(70+U203)+0.5*B$4*((70+U203)^2)+(B$5/LN(B$6))*((B$6^(70+U203))-1)))</f>
        <v>0.37827762162077511</v>
      </c>
      <c r="W203" s="3">
        <f t="shared" si="12"/>
        <v>4</v>
      </c>
      <c r="X203" s="3">
        <f t="shared" ref="X203:X266" si="14">V203*W203</f>
        <v>1.5131104864831004</v>
      </c>
    </row>
    <row r="204" spans="21:24">
      <c r="U204" s="3">
        <v>9.6999999999999993</v>
      </c>
      <c r="V204" s="4">
        <f t="shared" si="13"/>
        <v>0.3770333024049306</v>
      </c>
      <c r="W204" s="3">
        <f t="shared" si="12"/>
        <v>2</v>
      </c>
      <c r="X204" s="3">
        <f t="shared" si="14"/>
        <v>0.75406660480986121</v>
      </c>
    </row>
    <row r="205" spans="21:24">
      <c r="U205" s="3">
        <v>9.75</v>
      </c>
      <c r="V205" s="4">
        <f t="shared" si="13"/>
        <v>0.37578888578258479</v>
      </c>
      <c r="W205" s="3">
        <f t="shared" ref="W205:W268" si="15">IF(W204=4,2,4)</f>
        <v>4</v>
      </c>
      <c r="X205" s="3">
        <f t="shared" si="14"/>
        <v>1.5031555431303392</v>
      </c>
    </row>
    <row r="206" spans="21:24">
      <c r="U206" s="3">
        <v>9.8000000000000007</v>
      </c>
      <c r="V206" s="4">
        <f t="shared" si="13"/>
        <v>0.37454438563116688</v>
      </c>
      <c r="W206" s="3">
        <f t="shared" si="15"/>
        <v>2</v>
      </c>
      <c r="X206" s="3">
        <f t="shared" si="14"/>
        <v>0.74908877126233375</v>
      </c>
    </row>
    <row r="207" spans="21:24">
      <c r="U207" s="3">
        <v>9.85</v>
      </c>
      <c r="V207" s="4">
        <f t="shared" si="13"/>
        <v>0.37329981587805527</v>
      </c>
      <c r="W207" s="3">
        <f t="shared" si="15"/>
        <v>4</v>
      </c>
      <c r="X207" s="3">
        <f t="shared" si="14"/>
        <v>1.4931992635122211</v>
      </c>
    </row>
    <row r="208" spans="21:24">
      <c r="U208" s="3">
        <v>9.9</v>
      </c>
      <c r="V208" s="4">
        <f t="shared" si="13"/>
        <v>0.37205519050027819</v>
      </c>
      <c r="W208" s="3">
        <f t="shared" si="15"/>
        <v>2</v>
      </c>
      <c r="X208" s="3">
        <f t="shared" si="14"/>
        <v>0.74411038100055638</v>
      </c>
    </row>
    <row r="209" spans="21:24">
      <c r="U209" s="3">
        <v>9.9499999999999993</v>
      </c>
      <c r="V209" s="4">
        <f t="shared" si="13"/>
        <v>0.37081052352421567</v>
      </c>
      <c r="W209" s="3">
        <f t="shared" si="15"/>
        <v>4</v>
      </c>
      <c r="X209" s="3">
        <f t="shared" si="14"/>
        <v>1.4832420940968627</v>
      </c>
    </row>
    <row r="210" spans="21:24">
      <c r="U210" s="3">
        <v>10</v>
      </c>
      <c r="V210" s="4">
        <f t="shared" si="13"/>
        <v>0.36956582902529184</v>
      </c>
      <c r="W210" s="3">
        <f t="shared" si="15"/>
        <v>2</v>
      </c>
      <c r="X210" s="3">
        <f t="shared" si="14"/>
        <v>0.73913165805058367</v>
      </c>
    </row>
    <row r="211" spans="21:24">
      <c r="U211" s="3">
        <v>10.050000000000001</v>
      </c>
      <c r="V211" s="4">
        <f t="shared" si="13"/>
        <v>0.36832112112765797</v>
      </c>
      <c r="W211" s="3">
        <f t="shared" si="15"/>
        <v>4</v>
      </c>
      <c r="X211" s="3">
        <f t="shared" si="14"/>
        <v>1.4732844845106319</v>
      </c>
    </row>
    <row r="212" spans="21:24">
      <c r="U212" s="3">
        <v>10.1</v>
      </c>
      <c r="V212" s="4">
        <f t="shared" si="13"/>
        <v>0.36707641400389107</v>
      </c>
      <c r="W212" s="3">
        <f t="shared" si="15"/>
        <v>2</v>
      </c>
      <c r="X212" s="3">
        <f t="shared" si="14"/>
        <v>0.73415282800778214</v>
      </c>
    </row>
    <row r="213" spans="21:24">
      <c r="U213" s="3">
        <v>10.15</v>
      </c>
      <c r="V213" s="4">
        <f t="shared" si="13"/>
        <v>0.36583172187465773</v>
      </c>
      <c r="W213" s="3">
        <f t="shared" si="15"/>
        <v>4</v>
      </c>
      <c r="X213" s="3">
        <f t="shared" si="14"/>
        <v>1.4633268874986309</v>
      </c>
    </row>
    <row r="214" spans="21:24">
      <c r="U214" s="3">
        <v>10.199999999999999</v>
      </c>
      <c r="V214" s="4">
        <f t="shared" si="13"/>
        <v>0.36458705900839694</v>
      </c>
      <c r="W214" s="3">
        <f t="shared" si="15"/>
        <v>2</v>
      </c>
      <c r="X214" s="3">
        <f t="shared" si="14"/>
        <v>0.72917411801679388</v>
      </c>
    </row>
    <row r="215" spans="21:24">
      <c r="U215" s="3">
        <v>10.25</v>
      </c>
      <c r="V215" s="4">
        <f t="shared" si="13"/>
        <v>0.3633424397209854</v>
      </c>
      <c r="W215" s="3">
        <f t="shared" si="15"/>
        <v>4</v>
      </c>
      <c r="X215" s="3">
        <f t="shared" si="14"/>
        <v>1.4533697588839416</v>
      </c>
    </row>
    <row r="216" spans="21:24">
      <c r="U216" s="3">
        <v>10.3</v>
      </c>
      <c r="V216" s="4">
        <f t="shared" si="13"/>
        <v>0.36209787837540447</v>
      </c>
      <c r="W216" s="3">
        <f t="shared" si="15"/>
        <v>2</v>
      </c>
      <c r="X216" s="3">
        <f t="shared" si="14"/>
        <v>0.72419575675080894</v>
      </c>
    </row>
    <row r="217" spans="21:24">
      <c r="U217" s="3">
        <v>10.35</v>
      </c>
      <c r="V217" s="4">
        <f t="shared" si="13"/>
        <v>0.36085338938139716</v>
      </c>
      <c r="W217" s="3">
        <f t="shared" si="15"/>
        <v>4</v>
      </c>
      <c r="X217" s="3">
        <f t="shared" si="14"/>
        <v>1.4434135575255886</v>
      </c>
    </row>
    <row r="218" spans="21:24">
      <c r="U218" s="3">
        <v>10.4</v>
      </c>
      <c r="V218" s="4">
        <f t="shared" si="13"/>
        <v>0.35960898719512324</v>
      </c>
      <c r="W218" s="3">
        <f t="shared" si="15"/>
        <v>2</v>
      </c>
      <c r="X218" s="3">
        <f t="shared" si="14"/>
        <v>0.71921797439024648</v>
      </c>
    </row>
    <row r="219" spans="21:24">
      <c r="U219" s="3">
        <v>10.45</v>
      </c>
      <c r="V219" s="4">
        <f t="shared" si="13"/>
        <v>0.3583646863188093</v>
      </c>
      <c r="W219" s="3">
        <f t="shared" si="15"/>
        <v>4</v>
      </c>
      <c r="X219" s="3">
        <f t="shared" si="14"/>
        <v>1.4334587452752372</v>
      </c>
    </row>
    <row r="220" spans="21:24">
      <c r="U220" s="3">
        <v>10.5</v>
      </c>
      <c r="V220" s="4">
        <f t="shared" si="13"/>
        <v>0.35712050130039102</v>
      </c>
      <c r="W220" s="3">
        <f t="shared" si="15"/>
        <v>2</v>
      </c>
      <c r="X220" s="3">
        <f t="shared" si="14"/>
        <v>0.71424100260078205</v>
      </c>
    </row>
    <row r="221" spans="21:24">
      <c r="U221" s="3">
        <v>10.55</v>
      </c>
      <c r="V221" s="4">
        <f t="shared" si="13"/>
        <v>0.35587644673315394</v>
      </c>
      <c r="W221" s="3">
        <f t="shared" si="15"/>
        <v>4</v>
      </c>
      <c r="X221" s="3">
        <f t="shared" si="14"/>
        <v>1.4235057869326158</v>
      </c>
    </row>
    <row r="222" spans="21:24">
      <c r="U222" s="3">
        <v>10.6</v>
      </c>
      <c r="V222" s="4">
        <f t="shared" si="13"/>
        <v>0.35463253725536675</v>
      </c>
      <c r="W222" s="3">
        <f t="shared" si="15"/>
        <v>2</v>
      </c>
      <c r="X222" s="3">
        <f t="shared" si="14"/>
        <v>0.70926507451073351</v>
      </c>
    </row>
    <row r="223" spans="21:24">
      <c r="U223" s="3">
        <v>10.65</v>
      </c>
      <c r="V223" s="4">
        <f t="shared" si="13"/>
        <v>0.35338878754990993</v>
      </c>
      <c r="W223" s="3">
        <f t="shared" si="15"/>
        <v>4</v>
      </c>
      <c r="X223" s="3">
        <f t="shared" si="14"/>
        <v>1.4135551501996397</v>
      </c>
    </row>
    <row r="224" spans="21:24">
      <c r="U224" s="3">
        <v>10.7</v>
      </c>
      <c r="V224" s="4">
        <f t="shared" si="13"/>
        <v>0.35214521234390167</v>
      </c>
      <c r="W224" s="3">
        <f t="shared" si="15"/>
        <v>2</v>
      </c>
      <c r="X224" s="3">
        <f t="shared" si="14"/>
        <v>0.70429042468780334</v>
      </c>
    </row>
    <row r="225" spans="21:24">
      <c r="U225" s="3">
        <v>10.75</v>
      </c>
      <c r="V225" s="4">
        <f t="shared" si="13"/>
        <v>0.35090182640831336</v>
      </c>
      <c r="W225" s="3">
        <f t="shared" si="15"/>
        <v>4</v>
      </c>
      <c r="X225" s="3">
        <f t="shared" si="14"/>
        <v>1.4036073056332534</v>
      </c>
    </row>
    <row r="226" spans="21:24">
      <c r="U226" s="3">
        <v>10.8</v>
      </c>
      <c r="V226" s="4">
        <f t="shared" si="13"/>
        <v>0.34965864455758577</v>
      </c>
      <c r="W226" s="3">
        <f t="shared" si="15"/>
        <v>2</v>
      </c>
      <c r="X226" s="3">
        <f t="shared" si="14"/>
        <v>0.69931728911517155</v>
      </c>
    </row>
    <row r="227" spans="21:24">
      <c r="U227" s="3">
        <v>10.85</v>
      </c>
      <c r="V227" s="4">
        <f t="shared" si="13"/>
        <v>0.34841568164923759</v>
      </c>
      <c r="W227" s="3">
        <f t="shared" si="15"/>
        <v>4</v>
      </c>
      <c r="X227" s="3">
        <f t="shared" si="14"/>
        <v>1.3936627265969503</v>
      </c>
    </row>
    <row r="228" spans="21:24">
      <c r="U228" s="3">
        <v>10.9</v>
      </c>
      <c r="V228" s="4">
        <f t="shared" si="13"/>
        <v>0.3471729525834667</v>
      </c>
      <c r="W228" s="3">
        <f t="shared" si="15"/>
        <v>2</v>
      </c>
      <c r="X228" s="3">
        <f t="shared" si="14"/>
        <v>0.6943459051669334</v>
      </c>
    </row>
    <row r="229" spans="21:24">
      <c r="U229" s="3">
        <v>10.95</v>
      </c>
      <c r="V229" s="4">
        <f t="shared" si="13"/>
        <v>0.34593047230275142</v>
      </c>
      <c r="W229" s="3">
        <f t="shared" si="15"/>
        <v>4</v>
      </c>
      <c r="X229" s="3">
        <f t="shared" si="14"/>
        <v>1.3837218892110057</v>
      </c>
    </row>
    <row r="230" spans="21:24">
      <c r="U230" s="3">
        <v>11</v>
      </c>
      <c r="V230" s="4">
        <f t="shared" si="13"/>
        <v>0.34468825579144252</v>
      </c>
      <c r="W230" s="3">
        <f t="shared" si="15"/>
        <v>2</v>
      </c>
      <c r="X230" s="3">
        <f t="shared" si="14"/>
        <v>0.68937651158288504</v>
      </c>
    </row>
    <row r="231" spans="21:24">
      <c r="U231" s="3">
        <v>11.05</v>
      </c>
      <c r="V231" s="4">
        <f t="shared" si="13"/>
        <v>0.34344631807534481</v>
      </c>
      <c r="W231" s="3">
        <f t="shared" si="15"/>
        <v>4</v>
      </c>
      <c r="X231" s="3">
        <f t="shared" si="14"/>
        <v>1.3737852723013793</v>
      </c>
    </row>
    <row r="232" spans="21:24">
      <c r="U232" s="3">
        <v>11.1</v>
      </c>
      <c r="V232" s="4">
        <f t="shared" si="13"/>
        <v>0.34220467422131512</v>
      </c>
      <c r="W232" s="3">
        <f t="shared" si="15"/>
        <v>2</v>
      </c>
      <c r="X232" s="3">
        <f t="shared" si="14"/>
        <v>0.68440934844263024</v>
      </c>
    </row>
    <row r="233" spans="21:24">
      <c r="U233" s="3">
        <v>11.15</v>
      </c>
      <c r="V233" s="4">
        <f t="shared" si="13"/>
        <v>0.34096333933682393</v>
      </c>
      <c r="W233" s="3">
        <f t="shared" si="15"/>
        <v>4</v>
      </c>
      <c r="X233" s="3">
        <f t="shared" si="14"/>
        <v>1.3638533573472957</v>
      </c>
    </row>
    <row r="234" spans="21:24">
      <c r="U234" s="3">
        <v>11.2</v>
      </c>
      <c r="V234" s="4">
        <f t="shared" si="13"/>
        <v>0.3397223285695366</v>
      </c>
      <c r="W234" s="3">
        <f t="shared" si="15"/>
        <v>2</v>
      </c>
      <c r="X234" s="3">
        <f t="shared" si="14"/>
        <v>0.6794446571390732</v>
      </c>
    </row>
    <row r="235" spans="21:24">
      <c r="U235" s="3">
        <v>11.25</v>
      </c>
      <c r="V235" s="4">
        <f t="shared" si="13"/>
        <v>0.33848165710687728</v>
      </c>
      <c r="W235" s="3">
        <f t="shared" si="15"/>
        <v>4</v>
      </c>
      <c r="X235" s="3">
        <f t="shared" si="14"/>
        <v>1.3539266284275091</v>
      </c>
    </row>
    <row r="236" spans="21:24">
      <c r="U236" s="3">
        <v>11.3</v>
      </c>
      <c r="V236" s="4">
        <f t="shared" si="13"/>
        <v>0.33724134017559276</v>
      </c>
      <c r="W236" s="3">
        <f t="shared" si="15"/>
        <v>2</v>
      </c>
      <c r="X236" s="3">
        <f t="shared" si="14"/>
        <v>0.67448268035118553</v>
      </c>
    </row>
    <row r="237" spans="21:24">
      <c r="U237" s="3">
        <v>11.35</v>
      </c>
      <c r="V237" s="4">
        <f t="shared" si="13"/>
        <v>0.33600139304130716</v>
      </c>
      <c r="W237" s="3">
        <f t="shared" si="15"/>
        <v>4</v>
      </c>
      <c r="X237" s="3">
        <f t="shared" si="14"/>
        <v>1.3440055721652286</v>
      </c>
    </row>
    <row r="238" spans="21:24">
      <c r="U238" s="3">
        <v>11.4</v>
      </c>
      <c r="V238" s="4">
        <f t="shared" si="13"/>
        <v>0.33476183100807438</v>
      </c>
      <c r="W238" s="3">
        <f t="shared" si="15"/>
        <v>2</v>
      </c>
      <c r="X238" s="3">
        <f t="shared" si="14"/>
        <v>0.66952366201614877</v>
      </c>
    </row>
    <row r="239" spans="21:24">
      <c r="U239" s="3">
        <v>11.45</v>
      </c>
      <c r="V239" s="4">
        <f t="shared" si="13"/>
        <v>0.33352266941792519</v>
      </c>
      <c r="W239" s="3">
        <f t="shared" si="15"/>
        <v>4</v>
      </c>
      <c r="X239" s="3">
        <f t="shared" si="14"/>
        <v>1.3340906776717008</v>
      </c>
    </row>
    <row r="240" spans="21:24">
      <c r="U240" s="3">
        <v>11.5</v>
      </c>
      <c r="V240" s="4">
        <f t="shared" si="13"/>
        <v>0.33228392365040638</v>
      </c>
      <c r="W240" s="3">
        <f t="shared" si="15"/>
        <v>2</v>
      </c>
      <c r="X240" s="3">
        <f t="shared" si="14"/>
        <v>0.66456784730081275</v>
      </c>
    </row>
    <row r="241" spans="21:24">
      <c r="U241" s="3">
        <v>11.55</v>
      </c>
      <c r="V241" s="4">
        <f t="shared" si="13"/>
        <v>0.33104560912211722</v>
      </c>
      <c r="W241" s="3">
        <f t="shared" si="15"/>
        <v>4</v>
      </c>
      <c r="X241" s="3">
        <f t="shared" si="14"/>
        <v>1.3241824364884689</v>
      </c>
    </row>
    <row r="242" spans="21:24">
      <c r="U242" s="3">
        <v>11.6</v>
      </c>
      <c r="V242" s="4">
        <f t="shared" si="13"/>
        <v>0.32980774128624046</v>
      </c>
      <c r="W242" s="3">
        <f t="shared" si="15"/>
        <v>2</v>
      </c>
      <c r="X242" s="3">
        <f t="shared" si="14"/>
        <v>0.65961548257248093</v>
      </c>
    </row>
    <row r="243" spans="21:24">
      <c r="U243" s="3">
        <v>11.65</v>
      </c>
      <c r="V243" s="4">
        <f t="shared" si="13"/>
        <v>0.32857033563206656</v>
      </c>
      <c r="W243" s="3">
        <f t="shared" si="15"/>
        <v>4</v>
      </c>
      <c r="X243" s="3">
        <f t="shared" si="14"/>
        <v>1.3142813425282662</v>
      </c>
    </row>
    <row r="244" spans="21:24">
      <c r="U244" s="3">
        <v>11.7</v>
      </c>
      <c r="V244" s="4">
        <f t="shared" si="13"/>
        <v>0.32733340768451474</v>
      </c>
      <c r="W244" s="3">
        <f t="shared" si="15"/>
        <v>2</v>
      </c>
      <c r="X244" s="3">
        <f t="shared" si="14"/>
        <v>0.65466681536902949</v>
      </c>
    </row>
    <row r="245" spans="21:24">
      <c r="U245" s="3">
        <v>11.75</v>
      </c>
      <c r="V245" s="4">
        <f t="shared" si="13"/>
        <v>0.32609697300364604</v>
      </c>
      <c r="W245" s="3">
        <f t="shared" si="15"/>
        <v>4</v>
      </c>
      <c r="X245" s="3">
        <f t="shared" si="14"/>
        <v>1.3043878920145842</v>
      </c>
    </row>
    <row r="246" spans="21:24">
      <c r="U246" s="3">
        <v>11.8</v>
      </c>
      <c r="V246" s="4">
        <f t="shared" si="13"/>
        <v>0.3248610471841733</v>
      </c>
      <c r="W246" s="3">
        <f t="shared" si="15"/>
        <v>2</v>
      </c>
      <c r="X246" s="3">
        <f t="shared" si="14"/>
        <v>0.6497220943683466</v>
      </c>
    </row>
    <row r="247" spans="21:24">
      <c r="U247" s="3">
        <v>11.85</v>
      </c>
      <c r="V247" s="4">
        <f t="shared" si="13"/>
        <v>0.32362564585496661</v>
      </c>
      <c r="W247" s="3">
        <f t="shared" si="15"/>
        <v>4</v>
      </c>
      <c r="X247" s="3">
        <f t="shared" si="14"/>
        <v>1.2945025834198665</v>
      </c>
    </row>
    <row r="248" spans="21:24">
      <c r="U248" s="3">
        <v>11.9</v>
      </c>
      <c r="V248" s="4">
        <f t="shared" si="13"/>
        <v>0.3223907846785492</v>
      </c>
      <c r="W248" s="3">
        <f t="shared" si="15"/>
        <v>2</v>
      </c>
      <c r="X248" s="3">
        <f t="shared" si="14"/>
        <v>0.64478156935709841</v>
      </c>
    </row>
    <row r="249" spans="21:24">
      <c r="U249" s="3">
        <v>11.95</v>
      </c>
      <c r="V249" s="4">
        <f t="shared" si="13"/>
        <v>0.32115647935059377</v>
      </c>
      <c r="W249" s="3">
        <f t="shared" si="15"/>
        <v>4</v>
      </c>
      <c r="X249" s="3">
        <f t="shared" si="14"/>
        <v>1.2846259174023751</v>
      </c>
    </row>
    <row r="250" spans="21:24">
      <c r="U250" s="3">
        <v>12</v>
      </c>
      <c r="V250" s="4">
        <f t="shared" si="13"/>
        <v>0.31992274559941009</v>
      </c>
      <c r="W250" s="3">
        <f t="shared" si="15"/>
        <v>2</v>
      </c>
      <c r="X250" s="3">
        <f t="shared" si="14"/>
        <v>0.63984549119882017</v>
      </c>
    </row>
    <row r="251" spans="21:24">
      <c r="U251" s="3">
        <v>12.05</v>
      </c>
      <c r="V251" s="4">
        <f t="shared" si="13"/>
        <v>0.31868959918542089</v>
      </c>
      <c r="W251" s="3">
        <f t="shared" si="15"/>
        <v>4</v>
      </c>
      <c r="X251" s="3">
        <f t="shared" si="14"/>
        <v>1.2747583967416836</v>
      </c>
    </row>
    <row r="252" spans="21:24">
      <c r="U252" s="3">
        <v>12.1</v>
      </c>
      <c r="V252" s="4">
        <f t="shared" si="13"/>
        <v>0.31745705590065537</v>
      </c>
      <c r="W252" s="3">
        <f t="shared" si="15"/>
        <v>2</v>
      </c>
      <c r="X252" s="3">
        <f t="shared" si="14"/>
        <v>0.63491411180131074</v>
      </c>
    </row>
    <row r="253" spans="21:24">
      <c r="U253" s="3">
        <v>12.15</v>
      </c>
      <c r="V253" s="4">
        <f t="shared" si="13"/>
        <v>0.31622513156820475</v>
      </c>
      <c r="W253" s="3">
        <f t="shared" si="15"/>
        <v>4</v>
      </c>
      <c r="X253" s="3">
        <f t="shared" si="14"/>
        <v>1.264900526272819</v>
      </c>
    </row>
    <row r="254" spans="21:24">
      <c r="U254" s="3">
        <v>12.2</v>
      </c>
      <c r="V254" s="4">
        <f t="shared" si="13"/>
        <v>0.31499384204169895</v>
      </c>
      <c r="W254" s="3">
        <f t="shared" si="15"/>
        <v>2</v>
      </c>
      <c r="X254" s="3">
        <f t="shared" si="14"/>
        <v>0.62998768408339789</v>
      </c>
    </row>
    <row r="255" spans="21:24">
      <c r="U255" s="3">
        <v>12.25</v>
      </c>
      <c r="V255" s="4">
        <f t="shared" si="13"/>
        <v>0.3137632032047642</v>
      </c>
      <c r="W255" s="3">
        <f t="shared" si="15"/>
        <v>4</v>
      </c>
      <c r="X255" s="3">
        <f t="shared" si="14"/>
        <v>1.2550528128190568</v>
      </c>
    </row>
    <row r="256" spans="21:24">
      <c r="U256" s="3">
        <v>12.3</v>
      </c>
      <c r="V256" s="4">
        <f t="shared" si="13"/>
        <v>0.31253323097048191</v>
      </c>
      <c r="W256" s="3">
        <f t="shared" si="15"/>
        <v>2</v>
      </c>
      <c r="X256" s="3">
        <f t="shared" si="14"/>
        <v>0.62506646194096382</v>
      </c>
    </row>
    <row r="257" spans="21:24">
      <c r="U257" s="3">
        <v>12.35</v>
      </c>
      <c r="V257" s="4">
        <f t="shared" si="13"/>
        <v>0.3113039412808376</v>
      </c>
      <c r="W257" s="3">
        <f t="shared" si="15"/>
        <v>4</v>
      </c>
      <c r="X257" s="3">
        <f t="shared" si="14"/>
        <v>1.2452157651233504</v>
      </c>
    </row>
    <row r="258" spans="21:24">
      <c r="U258" s="3">
        <v>12.4</v>
      </c>
      <c r="V258" s="4">
        <f t="shared" si="13"/>
        <v>0.31007535010616782</v>
      </c>
      <c r="W258" s="3">
        <f t="shared" si="15"/>
        <v>2</v>
      </c>
      <c r="X258" s="3">
        <f t="shared" si="14"/>
        <v>0.62015070021233565</v>
      </c>
    </row>
    <row r="259" spans="21:24">
      <c r="U259" s="3">
        <v>12.45</v>
      </c>
      <c r="V259" s="4">
        <f t="shared" si="13"/>
        <v>0.30884747344460123</v>
      </c>
      <c r="W259" s="3">
        <f t="shared" si="15"/>
        <v>4</v>
      </c>
      <c r="X259" s="3">
        <f t="shared" si="14"/>
        <v>1.2353898937784049</v>
      </c>
    </row>
    <row r="260" spans="21:24">
      <c r="U260" s="3">
        <v>12.5</v>
      </c>
      <c r="V260" s="4">
        <f t="shared" si="13"/>
        <v>0.30762032732149219</v>
      </c>
      <c r="W260" s="3">
        <f t="shared" si="15"/>
        <v>2</v>
      </c>
      <c r="X260" s="3">
        <f t="shared" si="14"/>
        <v>0.61524065464298439</v>
      </c>
    </row>
    <row r="261" spans="21:24">
      <c r="U261" s="3">
        <v>12.55</v>
      </c>
      <c r="V261" s="4">
        <f t="shared" si="13"/>
        <v>0.30639392778885177</v>
      </c>
      <c r="W261" s="3">
        <f t="shared" si="15"/>
        <v>4</v>
      </c>
      <c r="X261" s="3">
        <f t="shared" si="14"/>
        <v>1.2255757111554071</v>
      </c>
    </row>
    <row r="262" spans="21:24">
      <c r="U262" s="3">
        <v>12.6</v>
      </c>
      <c r="V262" s="4">
        <f t="shared" si="13"/>
        <v>0.30516829092477232</v>
      </c>
      <c r="W262" s="3">
        <f t="shared" si="15"/>
        <v>2</v>
      </c>
      <c r="X262" s="3">
        <f t="shared" si="14"/>
        <v>0.61033658184954465</v>
      </c>
    </row>
    <row r="263" spans="21:24">
      <c r="U263" s="3">
        <v>12.65</v>
      </c>
      <c r="V263" s="4">
        <f t="shared" si="13"/>
        <v>0.30394343283284636</v>
      </c>
      <c r="W263" s="3">
        <f t="shared" si="15"/>
        <v>4</v>
      </c>
      <c r="X263" s="3">
        <f t="shared" si="14"/>
        <v>1.2157737313313854</v>
      </c>
    </row>
    <row r="264" spans="21:24">
      <c r="U264" s="3">
        <v>12.7</v>
      </c>
      <c r="V264" s="4">
        <f t="shared" si="13"/>
        <v>0.30271936964158197</v>
      </c>
      <c r="W264" s="3">
        <f t="shared" si="15"/>
        <v>2</v>
      </c>
      <c r="X264" s="3">
        <f t="shared" si="14"/>
        <v>0.60543873928316394</v>
      </c>
    </row>
    <row r="265" spans="21:24">
      <c r="U265" s="3">
        <v>12.75</v>
      </c>
      <c r="V265" s="4">
        <f t="shared" si="13"/>
        <v>0.30149611750381</v>
      </c>
      <c r="W265" s="3">
        <f t="shared" si="15"/>
        <v>4</v>
      </c>
      <c r="X265" s="3">
        <f t="shared" si="14"/>
        <v>1.20598447001524</v>
      </c>
    </row>
    <row r="266" spans="21:24">
      <c r="U266" s="3">
        <v>12.8</v>
      </c>
      <c r="V266" s="4">
        <f t="shared" si="13"/>
        <v>0.3002736925960881</v>
      </c>
      <c r="W266" s="3">
        <f t="shared" si="15"/>
        <v>2</v>
      </c>
      <c r="X266" s="3">
        <f t="shared" si="14"/>
        <v>0.60054738519217621</v>
      </c>
    </row>
    <row r="267" spans="21:24">
      <c r="U267" s="3">
        <v>12.85</v>
      </c>
      <c r="V267" s="4">
        <f t="shared" ref="V267:V330" si="16">EXP(-(B$3*(70+U267)+0.5*B$4*((70+U267)^2)+(B$5/LN(B$6))*((B$6^(70+U267))-1)))</f>
        <v>0.29905211111810098</v>
      </c>
      <c r="W267" s="3">
        <f t="shared" si="15"/>
        <v>4</v>
      </c>
      <c r="X267" s="3">
        <f t="shared" ref="X267:X330" si="17">V267*W267</f>
        <v>1.1962084444724039</v>
      </c>
    </row>
    <row r="268" spans="21:24">
      <c r="U268" s="3">
        <v>12.9</v>
      </c>
      <c r="V268" s="4">
        <f t="shared" si="16"/>
        <v>0.29783138929205</v>
      </c>
      <c r="W268" s="3">
        <f t="shared" si="15"/>
        <v>2</v>
      </c>
      <c r="X268" s="3">
        <f t="shared" si="17"/>
        <v>0.59566277858409999</v>
      </c>
    </row>
    <row r="269" spans="21:24">
      <c r="U269" s="3">
        <v>12.95</v>
      </c>
      <c r="V269" s="4">
        <f t="shared" si="16"/>
        <v>0.29661154336204498</v>
      </c>
      <c r="W269" s="3">
        <f t="shared" ref="W269:W332" si="18">IF(W268=4,2,4)</f>
        <v>4</v>
      </c>
      <c r="X269" s="3">
        <f t="shared" si="17"/>
        <v>1.1864461734481799</v>
      </c>
    </row>
    <row r="270" spans="21:24">
      <c r="U270" s="3">
        <v>13</v>
      </c>
      <c r="V270" s="4">
        <f t="shared" si="16"/>
        <v>0.29539258959348536</v>
      </c>
      <c r="W270" s="3">
        <f t="shared" si="18"/>
        <v>2</v>
      </c>
      <c r="X270" s="3">
        <f t="shared" si="17"/>
        <v>0.59078517918697071</v>
      </c>
    </row>
    <row r="271" spans="21:24">
      <c r="U271" s="3">
        <v>13.05</v>
      </c>
      <c r="V271" s="4">
        <f t="shared" si="16"/>
        <v>0.29417454427243145</v>
      </c>
      <c r="W271" s="3">
        <f t="shared" si="18"/>
        <v>4</v>
      </c>
      <c r="X271" s="3">
        <f t="shared" si="17"/>
        <v>1.1766981770897258</v>
      </c>
    </row>
    <row r="272" spans="21:24">
      <c r="U272" s="3">
        <v>13.1</v>
      </c>
      <c r="V272" s="4">
        <f t="shared" si="16"/>
        <v>0.29295742370499184</v>
      </c>
      <c r="W272" s="3">
        <f t="shared" si="18"/>
        <v>2</v>
      </c>
      <c r="X272" s="3">
        <f t="shared" si="17"/>
        <v>0.58591484740998367</v>
      </c>
    </row>
    <row r="273" spans="21:24">
      <c r="U273" s="3">
        <v>13.15</v>
      </c>
      <c r="V273" s="4">
        <f t="shared" si="16"/>
        <v>0.29174124421667513</v>
      </c>
      <c r="W273" s="3">
        <f t="shared" si="18"/>
        <v>4</v>
      </c>
      <c r="X273" s="3">
        <f t="shared" si="17"/>
        <v>1.1669649768667005</v>
      </c>
    </row>
    <row r="274" spans="21:24">
      <c r="U274" s="3">
        <v>13.2</v>
      </c>
      <c r="V274" s="4">
        <f t="shared" si="16"/>
        <v>0.29052602215176015</v>
      </c>
      <c r="W274" s="3">
        <f t="shared" si="18"/>
        <v>2</v>
      </c>
      <c r="X274" s="3">
        <f t="shared" si="17"/>
        <v>0.58105204430352031</v>
      </c>
    </row>
    <row r="275" spans="21:24">
      <c r="U275" s="3">
        <v>13.25</v>
      </c>
      <c r="V275" s="4">
        <f t="shared" si="16"/>
        <v>0.28931177387264984</v>
      </c>
      <c r="W275" s="3">
        <f t="shared" si="18"/>
        <v>4</v>
      </c>
      <c r="X275" s="3">
        <f t="shared" si="17"/>
        <v>1.1572470954905993</v>
      </c>
    </row>
    <row r="276" spans="21:24">
      <c r="U276" s="3">
        <v>13.3</v>
      </c>
      <c r="V276" s="4">
        <f t="shared" si="16"/>
        <v>0.28809851575922457</v>
      </c>
      <c r="W276" s="3">
        <f t="shared" si="18"/>
        <v>2</v>
      </c>
      <c r="X276" s="3">
        <f t="shared" si="17"/>
        <v>0.57619703151844914</v>
      </c>
    </row>
    <row r="277" spans="21:24">
      <c r="U277" s="3">
        <v>13.35</v>
      </c>
      <c r="V277" s="4">
        <f t="shared" si="16"/>
        <v>0.28688626420818708</v>
      </c>
      <c r="W277" s="3">
        <f t="shared" si="18"/>
        <v>4</v>
      </c>
      <c r="X277" s="3">
        <f t="shared" si="17"/>
        <v>1.1475450568327483</v>
      </c>
    </row>
    <row r="278" spans="21:24">
      <c r="U278" s="3">
        <v>13.4</v>
      </c>
      <c r="V278" s="4">
        <f t="shared" si="16"/>
        <v>0.28567503563240459</v>
      </c>
      <c r="W278" s="3">
        <f t="shared" si="18"/>
        <v>2</v>
      </c>
      <c r="X278" s="3">
        <f t="shared" si="17"/>
        <v>0.57135007126480919</v>
      </c>
    </row>
    <row r="279" spans="21:24">
      <c r="U279" s="3">
        <v>13.45</v>
      </c>
      <c r="V279" s="4">
        <f t="shared" si="16"/>
        <v>0.28446484646024606</v>
      </c>
      <c r="W279" s="3">
        <f t="shared" si="18"/>
        <v>4</v>
      </c>
      <c r="X279" s="3">
        <f t="shared" si="17"/>
        <v>1.1378593858409842</v>
      </c>
    </row>
    <row r="280" spans="21:24">
      <c r="U280" s="3">
        <v>13.5</v>
      </c>
      <c r="V280" s="4">
        <f t="shared" si="16"/>
        <v>0.28325571313491182</v>
      </c>
      <c r="W280" s="3">
        <f t="shared" si="18"/>
        <v>2</v>
      </c>
      <c r="X280" s="3">
        <f t="shared" si="17"/>
        <v>0.56651142626982365</v>
      </c>
    </row>
    <row r="281" spans="21:24">
      <c r="U281" s="3">
        <v>13.55</v>
      </c>
      <c r="V281" s="4">
        <f t="shared" si="16"/>
        <v>0.28204765211376015</v>
      </c>
      <c r="W281" s="3">
        <f t="shared" si="18"/>
        <v>4</v>
      </c>
      <c r="X281" s="3">
        <f t="shared" si="17"/>
        <v>1.1281906084550406</v>
      </c>
    </row>
    <row r="282" spans="21:24">
      <c r="U282" s="3">
        <v>13.6</v>
      </c>
      <c r="V282" s="4">
        <f t="shared" si="16"/>
        <v>0.28084067986762939</v>
      </c>
      <c r="W282" s="3">
        <f t="shared" si="18"/>
        <v>2</v>
      </c>
      <c r="X282" s="3">
        <f t="shared" si="17"/>
        <v>0.56168135973525879</v>
      </c>
    </row>
    <row r="283" spans="21:24">
      <c r="U283" s="3">
        <v>13.65</v>
      </c>
      <c r="V283" s="4">
        <f t="shared" si="16"/>
        <v>0.27963481288015257</v>
      </c>
      <c r="W283" s="3">
        <f t="shared" si="18"/>
        <v>4</v>
      </c>
      <c r="X283" s="3">
        <f t="shared" si="17"/>
        <v>1.1185392515206103</v>
      </c>
    </row>
    <row r="284" spans="21:24">
      <c r="U284" s="3">
        <v>13.7</v>
      </c>
      <c r="V284" s="4">
        <f t="shared" si="16"/>
        <v>0.27843006764707035</v>
      </c>
      <c r="W284" s="3">
        <f t="shared" si="18"/>
        <v>2</v>
      </c>
      <c r="X284" s="3">
        <f t="shared" si="17"/>
        <v>0.55686013529414069</v>
      </c>
    </row>
    <row r="285" spans="21:24">
      <c r="U285" s="3">
        <v>13.75</v>
      </c>
      <c r="V285" s="4">
        <f t="shared" si="16"/>
        <v>0.27722646067553514</v>
      </c>
      <c r="W285" s="3">
        <f t="shared" si="18"/>
        <v>4</v>
      </c>
      <c r="X285" s="3">
        <f t="shared" si="17"/>
        <v>1.1089058427021405</v>
      </c>
    </row>
    <row r="286" spans="21:24">
      <c r="U286" s="3">
        <v>13.8</v>
      </c>
      <c r="V286" s="4">
        <f t="shared" si="16"/>
        <v>0.27602400848341302</v>
      </c>
      <c r="W286" s="3">
        <f t="shared" si="18"/>
        <v>2</v>
      </c>
      <c r="X286" s="3">
        <f t="shared" si="17"/>
        <v>0.55204801696682604</v>
      </c>
    </row>
    <row r="287" spans="21:24">
      <c r="U287" s="3">
        <v>13.85</v>
      </c>
      <c r="V287" s="4">
        <f t="shared" si="16"/>
        <v>0.27482272759858112</v>
      </c>
      <c r="W287" s="3">
        <f t="shared" si="18"/>
        <v>4</v>
      </c>
      <c r="X287" s="3">
        <f t="shared" si="17"/>
        <v>1.0992909103943245</v>
      </c>
    </row>
    <row r="288" spans="21:24">
      <c r="U288" s="3">
        <v>13.9</v>
      </c>
      <c r="V288" s="4">
        <f t="shared" si="16"/>
        <v>0.27362263455821656</v>
      </c>
      <c r="W288" s="3">
        <f t="shared" si="18"/>
        <v>2</v>
      </c>
      <c r="X288" s="3">
        <f t="shared" si="17"/>
        <v>0.54724526911643312</v>
      </c>
    </row>
    <row r="289" spans="21:24">
      <c r="U289" s="3">
        <v>13.95</v>
      </c>
      <c r="V289" s="4">
        <f t="shared" si="16"/>
        <v>0.27242374590808527</v>
      </c>
      <c r="W289" s="3">
        <f t="shared" si="18"/>
        <v>4</v>
      </c>
      <c r="X289" s="3">
        <f t="shared" si="17"/>
        <v>1.0896949836323411</v>
      </c>
    </row>
    <row r="290" spans="21:24">
      <c r="U290" s="3">
        <v>14</v>
      </c>
      <c r="V290" s="4">
        <f t="shared" si="16"/>
        <v>0.27122607820182304</v>
      </c>
      <c r="W290" s="3">
        <f t="shared" si="18"/>
        <v>2</v>
      </c>
      <c r="X290" s="3">
        <f t="shared" si="17"/>
        <v>0.54245215640364608</v>
      </c>
    </row>
    <row r="291" spans="21:24">
      <c r="U291" s="3">
        <v>14.05</v>
      </c>
      <c r="V291" s="4">
        <f t="shared" si="16"/>
        <v>0.2700296480002054</v>
      </c>
      <c r="W291" s="3">
        <f t="shared" si="18"/>
        <v>4</v>
      </c>
      <c r="X291" s="3">
        <f t="shared" si="17"/>
        <v>1.0801185920008216</v>
      </c>
    </row>
    <row r="292" spans="21:24">
      <c r="U292" s="3">
        <v>14.1</v>
      </c>
      <c r="V292" s="4">
        <f t="shared" si="16"/>
        <v>0.26883447187043502</v>
      </c>
      <c r="W292" s="3">
        <f t="shared" si="18"/>
        <v>2</v>
      </c>
      <c r="X292" s="3">
        <f t="shared" si="17"/>
        <v>0.53766894374087004</v>
      </c>
    </row>
    <row r="293" spans="21:24">
      <c r="U293" s="3">
        <v>14.15</v>
      </c>
      <c r="V293" s="4">
        <f t="shared" si="16"/>
        <v>0.26764056638539246</v>
      </c>
      <c r="W293" s="3">
        <f t="shared" si="18"/>
        <v>4</v>
      </c>
      <c r="X293" s="3">
        <f t="shared" si="17"/>
        <v>1.0705622655415699</v>
      </c>
    </row>
    <row r="294" spans="21:24">
      <c r="U294" s="3">
        <v>14.2</v>
      </c>
      <c r="V294" s="4">
        <f t="shared" si="16"/>
        <v>0.2664479481229079</v>
      </c>
      <c r="W294" s="3">
        <f t="shared" si="18"/>
        <v>2</v>
      </c>
      <c r="X294" s="3">
        <f t="shared" si="17"/>
        <v>0.53289589624581579</v>
      </c>
    </row>
    <row r="295" spans="21:24">
      <c r="U295" s="3">
        <v>14.25</v>
      </c>
      <c r="V295" s="4">
        <f t="shared" si="16"/>
        <v>0.26525663366501478</v>
      </c>
      <c r="W295" s="3">
        <f t="shared" si="18"/>
        <v>4</v>
      </c>
      <c r="X295" s="3">
        <f t="shared" si="17"/>
        <v>1.0610265346600591</v>
      </c>
    </row>
    <row r="296" spans="21:24">
      <c r="U296" s="3">
        <v>14.3</v>
      </c>
      <c r="V296" s="4">
        <f t="shared" si="16"/>
        <v>0.26406663959720444</v>
      </c>
      <c r="W296" s="3">
        <f t="shared" si="18"/>
        <v>2</v>
      </c>
      <c r="X296" s="3">
        <f t="shared" si="17"/>
        <v>0.52813327919440889</v>
      </c>
    </row>
    <row r="297" spans="21:24">
      <c r="U297" s="3">
        <v>14.35</v>
      </c>
      <c r="V297" s="4">
        <f t="shared" si="16"/>
        <v>0.26287798250767325</v>
      </c>
      <c r="W297" s="3">
        <f t="shared" si="18"/>
        <v>4</v>
      </c>
      <c r="X297" s="3">
        <f t="shared" si="17"/>
        <v>1.051511930030693</v>
      </c>
    </row>
    <row r="298" spans="21:24">
      <c r="U298" s="3">
        <v>14.4</v>
      </c>
      <c r="V298" s="4">
        <f t="shared" si="16"/>
        <v>0.26169067898656612</v>
      </c>
      <c r="W298" s="3">
        <f t="shared" si="18"/>
        <v>2</v>
      </c>
      <c r="X298" s="3">
        <f t="shared" si="17"/>
        <v>0.52338135797313223</v>
      </c>
    </row>
    <row r="299" spans="21:24">
      <c r="U299" s="3">
        <v>14.45</v>
      </c>
      <c r="V299" s="4">
        <f t="shared" si="16"/>
        <v>0.26050474562521664</v>
      </c>
      <c r="W299" s="3">
        <f t="shared" si="18"/>
        <v>4</v>
      </c>
      <c r="X299" s="3">
        <f t="shared" si="17"/>
        <v>1.0420189825008666</v>
      </c>
    </row>
    <row r="300" spans="21:24">
      <c r="U300" s="3">
        <v>14.5</v>
      </c>
      <c r="V300" s="4">
        <f t="shared" si="16"/>
        <v>0.25932019901537923</v>
      </c>
      <c r="W300" s="3">
        <f t="shared" si="18"/>
        <v>2</v>
      </c>
      <c r="X300" s="3">
        <f t="shared" si="17"/>
        <v>0.51864039803075845</v>
      </c>
    </row>
    <row r="301" spans="21:24">
      <c r="U301" s="3">
        <v>14.55</v>
      </c>
      <c r="V301" s="4">
        <f t="shared" si="16"/>
        <v>0.25813705574846035</v>
      </c>
      <c r="W301" s="3">
        <f t="shared" si="18"/>
        <v>4</v>
      </c>
      <c r="X301" s="3">
        <f t="shared" si="17"/>
        <v>1.0325482229938414</v>
      </c>
    </row>
    <row r="302" spans="21:24">
      <c r="U302" s="3">
        <v>14.6</v>
      </c>
      <c r="V302" s="4">
        <f t="shared" si="16"/>
        <v>0.256955332414743</v>
      </c>
      <c r="W302" s="3">
        <f t="shared" si="18"/>
        <v>2</v>
      </c>
      <c r="X302" s="3">
        <f t="shared" si="17"/>
        <v>0.513910664829486</v>
      </c>
    </row>
    <row r="303" spans="21:24">
      <c r="U303" s="3">
        <v>14.65</v>
      </c>
      <c r="V303" s="4">
        <f t="shared" si="16"/>
        <v>0.2557750456026075</v>
      </c>
      <c r="W303" s="3">
        <f t="shared" si="18"/>
        <v>4</v>
      </c>
      <c r="X303" s="3">
        <f t="shared" si="17"/>
        <v>1.02310018241043</v>
      </c>
    </row>
    <row r="304" spans="21:24">
      <c r="U304" s="3">
        <v>14.7</v>
      </c>
      <c r="V304" s="4">
        <f t="shared" si="16"/>
        <v>0.25459621189774867</v>
      </c>
      <c r="W304" s="3">
        <f t="shared" si="18"/>
        <v>2</v>
      </c>
      <c r="X304" s="3">
        <f t="shared" si="17"/>
        <v>0.50919242379549734</v>
      </c>
    </row>
    <row r="305" spans="21:24">
      <c r="U305" s="3">
        <v>14.75</v>
      </c>
      <c r="V305" s="4">
        <f t="shared" si="16"/>
        <v>0.25341884788238583</v>
      </c>
      <c r="W305" s="3">
        <f t="shared" si="18"/>
        <v>4</v>
      </c>
      <c r="X305" s="3">
        <f t="shared" si="17"/>
        <v>1.0136753915295433</v>
      </c>
    </row>
    <row r="306" spans="21:24">
      <c r="U306" s="3">
        <v>14.8</v>
      </c>
      <c r="V306" s="4">
        <f t="shared" si="16"/>
        <v>0.25224297013447111</v>
      </c>
      <c r="W306" s="3">
        <f t="shared" si="18"/>
        <v>2</v>
      </c>
      <c r="X306" s="3">
        <f t="shared" si="17"/>
        <v>0.50448594026894222</v>
      </c>
    </row>
    <row r="307" spans="21:24">
      <c r="U307" s="3">
        <v>14.85</v>
      </c>
      <c r="V307" s="4">
        <f t="shared" si="16"/>
        <v>0.2510685952268934</v>
      </c>
      <c r="W307" s="3">
        <f t="shared" si="18"/>
        <v>4</v>
      </c>
      <c r="X307" s="3">
        <f t="shared" si="17"/>
        <v>1.0042743809075736</v>
      </c>
    </row>
    <row r="308" spans="21:24">
      <c r="U308" s="3">
        <v>14.9</v>
      </c>
      <c r="V308" s="4">
        <f t="shared" si="16"/>
        <v>0.24989573972667539</v>
      </c>
      <c r="W308" s="3">
        <f t="shared" si="18"/>
        <v>2</v>
      </c>
      <c r="X308" s="3">
        <f t="shared" si="17"/>
        <v>0.49979147945335078</v>
      </c>
    </row>
    <row r="309" spans="21:24">
      <c r="U309" s="3">
        <v>14.95</v>
      </c>
      <c r="V309" s="4">
        <f t="shared" si="16"/>
        <v>0.24872442019416971</v>
      </c>
      <c r="W309" s="3">
        <f t="shared" si="18"/>
        <v>4</v>
      </c>
      <c r="X309" s="3">
        <f t="shared" si="17"/>
        <v>0.99489768077667884</v>
      </c>
    </row>
    <row r="310" spans="21:24">
      <c r="U310" s="3">
        <v>15</v>
      </c>
      <c r="V310" s="4">
        <f t="shared" si="16"/>
        <v>0.24755465318224926</v>
      </c>
      <c r="W310" s="3">
        <f t="shared" si="18"/>
        <v>2</v>
      </c>
      <c r="X310" s="3">
        <f t="shared" si="17"/>
        <v>0.49510930636449851</v>
      </c>
    </row>
    <row r="311" spans="21:24">
      <c r="U311" s="3">
        <v>15.05</v>
      </c>
      <c r="V311" s="4">
        <f t="shared" si="16"/>
        <v>0.24638645523548669</v>
      </c>
      <c r="W311" s="3">
        <f t="shared" si="18"/>
        <v>4</v>
      </c>
      <c r="X311" s="3">
        <f t="shared" si="17"/>
        <v>0.98554582094194676</v>
      </c>
    </row>
    <row r="312" spans="21:24">
      <c r="U312" s="3">
        <v>15.1</v>
      </c>
      <c r="V312" s="4">
        <f t="shared" si="16"/>
        <v>0.2452198428893512</v>
      </c>
      <c r="W312" s="3">
        <f t="shared" si="18"/>
        <v>2</v>
      </c>
      <c r="X312" s="3">
        <f t="shared" si="17"/>
        <v>0.49043968577870239</v>
      </c>
    </row>
    <row r="313" spans="21:24">
      <c r="U313" s="3">
        <v>15.15</v>
      </c>
      <c r="V313" s="4">
        <f t="shared" si="16"/>
        <v>0.24405483266937086</v>
      </c>
      <c r="W313" s="3">
        <f t="shared" si="18"/>
        <v>4</v>
      </c>
      <c r="X313" s="3">
        <f t="shared" si="17"/>
        <v>0.97621933067748345</v>
      </c>
    </row>
    <row r="314" spans="21:24">
      <c r="U314" s="3">
        <v>15.2</v>
      </c>
      <c r="V314" s="4">
        <f t="shared" si="16"/>
        <v>0.24289144109031519</v>
      </c>
      <c r="W314" s="3">
        <f t="shared" si="18"/>
        <v>2</v>
      </c>
      <c r="X314" s="3">
        <f t="shared" si="17"/>
        <v>0.48578288218063037</v>
      </c>
    </row>
    <row r="315" spans="21:24">
      <c r="U315" s="3">
        <v>15.25</v>
      </c>
      <c r="V315" s="4">
        <f t="shared" si="16"/>
        <v>0.24172968465536143</v>
      </c>
      <c r="W315" s="3">
        <f t="shared" si="18"/>
        <v>4</v>
      </c>
      <c r="X315" s="3">
        <f t="shared" si="17"/>
        <v>0.96691873862144573</v>
      </c>
    </row>
    <row r="316" spans="21:24">
      <c r="U316" s="3">
        <v>15.3</v>
      </c>
      <c r="V316" s="4">
        <f t="shared" si="16"/>
        <v>0.24056957985526259</v>
      </c>
      <c r="W316" s="3">
        <f t="shared" si="18"/>
        <v>2</v>
      </c>
      <c r="X316" s="3">
        <f t="shared" si="17"/>
        <v>0.48113915971052518</v>
      </c>
    </row>
    <row r="317" spans="21:24">
      <c r="U317" s="3">
        <v>15.35</v>
      </c>
      <c r="V317" s="4">
        <f t="shared" si="16"/>
        <v>0.23941114316750731</v>
      </c>
      <c r="W317" s="3">
        <f t="shared" si="18"/>
        <v>4</v>
      </c>
      <c r="X317" s="3">
        <f t="shared" si="17"/>
        <v>0.95764457267002923</v>
      </c>
    </row>
    <row r="318" spans="21:24">
      <c r="U318" s="3">
        <v>15.4</v>
      </c>
      <c r="V318" s="4">
        <f t="shared" si="16"/>
        <v>0.23825439105547869</v>
      </c>
      <c r="W318" s="3">
        <f t="shared" si="18"/>
        <v>2</v>
      </c>
      <c r="X318" s="3">
        <f t="shared" si="17"/>
        <v>0.47650878211095737</v>
      </c>
    </row>
    <row r="319" spans="21:24">
      <c r="U319" s="3">
        <v>15.45</v>
      </c>
      <c r="V319" s="4">
        <f t="shared" si="16"/>
        <v>0.23709933996760929</v>
      </c>
      <c r="W319" s="3">
        <f t="shared" si="18"/>
        <v>4</v>
      </c>
      <c r="X319" s="3">
        <f t="shared" si="17"/>
        <v>0.94839735987043716</v>
      </c>
    </row>
    <row r="320" spans="21:24">
      <c r="U320" s="3">
        <v>15.5</v>
      </c>
      <c r="V320" s="4">
        <f t="shared" si="16"/>
        <v>0.23594600633653012</v>
      </c>
      <c r="W320" s="3">
        <f t="shared" si="18"/>
        <v>2</v>
      </c>
      <c r="X320" s="3">
        <f t="shared" si="17"/>
        <v>0.47189201267306025</v>
      </c>
    </row>
    <row r="321" spans="21:24">
      <c r="U321" s="3">
        <v>15.55</v>
      </c>
      <c r="V321" s="4">
        <f t="shared" si="16"/>
        <v>0.23479440657821785</v>
      </c>
      <c r="W321" s="3">
        <f t="shared" si="18"/>
        <v>4</v>
      </c>
      <c r="X321" s="3">
        <f t="shared" si="17"/>
        <v>0.93917762631287138</v>
      </c>
    </row>
    <row r="322" spans="21:24">
      <c r="U322" s="3">
        <v>15.6</v>
      </c>
      <c r="V322" s="4">
        <f t="shared" si="16"/>
        <v>0.23364455709113821</v>
      </c>
      <c r="W322" s="3">
        <f t="shared" si="18"/>
        <v>2</v>
      </c>
      <c r="X322" s="3">
        <f t="shared" si="17"/>
        <v>0.46728911418227642</v>
      </c>
    </row>
    <row r="323" spans="21:24">
      <c r="U323" s="3">
        <v>15.65</v>
      </c>
      <c r="V323" s="4">
        <f t="shared" si="16"/>
        <v>0.23249647425538447</v>
      </c>
      <c r="W323" s="3">
        <f t="shared" si="18"/>
        <v>4</v>
      </c>
      <c r="X323" s="3">
        <f t="shared" si="17"/>
        <v>0.92998589702153789</v>
      </c>
    </row>
    <row r="324" spans="21:24">
      <c r="U324" s="3">
        <v>15.7</v>
      </c>
      <c r="V324" s="4">
        <f t="shared" si="16"/>
        <v>0.23135017443181494</v>
      </c>
      <c r="W324" s="3">
        <f t="shared" si="18"/>
        <v>2</v>
      </c>
      <c r="X324" s="3">
        <f t="shared" si="17"/>
        <v>0.46270034886362987</v>
      </c>
    </row>
    <row r="325" spans="21:24">
      <c r="U325" s="3">
        <v>15.75</v>
      </c>
      <c r="V325" s="4">
        <f t="shared" si="16"/>
        <v>0.23020567396118283</v>
      </c>
      <c r="W325" s="3">
        <f t="shared" si="18"/>
        <v>4</v>
      </c>
      <c r="X325" s="3">
        <f t="shared" si="17"/>
        <v>0.92082269584473131</v>
      </c>
    </row>
    <row r="326" spans="21:24">
      <c r="U326" s="3">
        <v>15.8</v>
      </c>
      <c r="V326" s="4">
        <f t="shared" si="16"/>
        <v>0.22906298916326664</v>
      </c>
      <c r="W326" s="3">
        <f t="shared" si="18"/>
        <v>2</v>
      </c>
      <c r="X326" s="3">
        <f t="shared" si="17"/>
        <v>0.45812597832653329</v>
      </c>
    </row>
    <row r="327" spans="21:24">
      <c r="U327" s="3">
        <v>15.85</v>
      </c>
      <c r="V327" s="4">
        <f t="shared" si="16"/>
        <v>0.2279221363359959</v>
      </c>
      <c r="W327" s="3">
        <f t="shared" si="18"/>
        <v>4</v>
      </c>
      <c r="X327" s="3">
        <f t="shared" si="17"/>
        <v>0.91168854534398358</v>
      </c>
    </row>
    <row r="328" spans="21:24">
      <c r="U328" s="3">
        <v>15.9</v>
      </c>
      <c r="V328" s="4">
        <f t="shared" si="16"/>
        <v>0.22678313175457146</v>
      </c>
      <c r="W328" s="3">
        <f t="shared" si="18"/>
        <v>2</v>
      </c>
      <c r="X328" s="3">
        <f t="shared" si="17"/>
        <v>0.45356626350914292</v>
      </c>
    </row>
    <row r="329" spans="21:24">
      <c r="U329" s="3">
        <v>15.95</v>
      </c>
      <c r="V329" s="4">
        <f t="shared" si="16"/>
        <v>0.22564599167058658</v>
      </c>
      <c r="W329" s="3">
        <f t="shared" si="18"/>
        <v>4</v>
      </c>
      <c r="X329" s="3">
        <f t="shared" si="17"/>
        <v>0.90258396668234631</v>
      </c>
    </row>
    <row r="330" spans="21:24">
      <c r="U330" s="3">
        <v>16</v>
      </c>
      <c r="V330" s="4">
        <f t="shared" si="16"/>
        <v>0.22451073231114166</v>
      </c>
      <c r="W330" s="3">
        <f t="shared" si="18"/>
        <v>2</v>
      </c>
      <c r="X330" s="3">
        <f t="shared" si="17"/>
        <v>0.44902146462228332</v>
      </c>
    </row>
    <row r="331" spans="21:24">
      <c r="U331" s="3">
        <v>16.05</v>
      </c>
      <c r="V331" s="4">
        <f t="shared" ref="V331:V394" si="19">EXP(-(B$3*(70+U331)+0.5*B$4*((70+U331)^2)+(B$5/LN(B$6))*((B$6^(70+U331))-1)))</f>
        <v>0.22337736987795043</v>
      </c>
      <c r="W331" s="3">
        <f t="shared" si="18"/>
        <v>4</v>
      </c>
      <c r="X331" s="3">
        <f t="shared" ref="X331:X394" si="20">V331*W331</f>
        <v>0.89350947951180171</v>
      </c>
    </row>
    <row r="332" spans="21:24">
      <c r="U332" s="3">
        <v>16.100000000000001</v>
      </c>
      <c r="V332" s="4">
        <f t="shared" si="19"/>
        <v>0.22224592054646389</v>
      </c>
      <c r="W332" s="3">
        <f t="shared" si="18"/>
        <v>2</v>
      </c>
      <c r="X332" s="3">
        <f t="shared" si="20"/>
        <v>0.44449184109292778</v>
      </c>
    </row>
    <row r="333" spans="21:24">
      <c r="U333" s="3">
        <v>16.149999999999999</v>
      </c>
      <c r="V333" s="4">
        <f t="shared" si="19"/>
        <v>0.22111640046496098</v>
      </c>
      <c r="W333" s="3">
        <f t="shared" ref="W333:W396" si="21">IF(W332=4,2,4)</f>
        <v>4</v>
      </c>
      <c r="X333" s="3">
        <f t="shared" si="20"/>
        <v>0.88446560185984391</v>
      </c>
    </row>
    <row r="334" spans="21:24">
      <c r="U334" s="3">
        <v>16.2</v>
      </c>
      <c r="V334" s="4">
        <f t="shared" si="19"/>
        <v>0.21998882575366072</v>
      </c>
      <c r="W334" s="3">
        <f t="shared" si="21"/>
        <v>2</v>
      </c>
      <c r="X334" s="3">
        <f t="shared" si="20"/>
        <v>0.43997765150732143</v>
      </c>
    </row>
    <row r="335" spans="21:24">
      <c r="U335" s="3">
        <v>16.25</v>
      </c>
      <c r="V335" s="4">
        <f t="shared" si="19"/>
        <v>0.21886321250381846</v>
      </c>
      <c r="W335" s="3">
        <f t="shared" si="21"/>
        <v>4</v>
      </c>
      <c r="X335" s="3">
        <f t="shared" si="20"/>
        <v>0.87545285001527384</v>
      </c>
    </row>
    <row r="336" spans="21:24">
      <c r="U336" s="3">
        <v>16.3</v>
      </c>
      <c r="V336" s="4">
        <f t="shared" si="19"/>
        <v>0.2177395767768259</v>
      </c>
      <c r="W336" s="3">
        <f t="shared" si="21"/>
        <v>2</v>
      </c>
      <c r="X336" s="3">
        <f t="shared" si="20"/>
        <v>0.4354791535536518</v>
      </c>
    </row>
    <row r="337" spans="21:24">
      <c r="U337" s="3">
        <v>16.350000000000001</v>
      </c>
      <c r="V337" s="4">
        <f t="shared" si="19"/>
        <v>0.21661793460330336</v>
      </c>
      <c r="W337" s="3">
        <f t="shared" si="21"/>
        <v>4</v>
      </c>
      <c r="X337" s="3">
        <f t="shared" si="20"/>
        <v>0.86647173841321345</v>
      </c>
    </row>
    <row r="338" spans="21:24">
      <c r="U338" s="3">
        <v>16.399999999999999</v>
      </c>
      <c r="V338" s="4">
        <f t="shared" si="19"/>
        <v>0.21549830198219277</v>
      </c>
      <c r="W338" s="3">
        <f t="shared" si="21"/>
        <v>2</v>
      </c>
      <c r="X338" s="3">
        <f t="shared" si="20"/>
        <v>0.43099660396438555</v>
      </c>
    </row>
    <row r="339" spans="21:24">
      <c r="U339" s="3">
        <v>16.45</v>
      </c>
      <c r="V339" s="4">
        <f t="shared" si="19"/>
        <v>0.21438069487984723</v>
      </c>
      <c r="W339" s="3">
        <f t="shared" si="21"/>
        <v>4</v>
      </c>
      <c r="X339" s="3">
        <f t="shared" si="20"/>
        <v>0.85752277951938893</v>
      </c>
    </row>
    <row r="340" spans="21:24">
      <c r="U340" s="3">
        <v>16.5</v>
      </c>
      <c r="V340" s="4">
        <f t="shared" si="19"/>
        <v>0.21326512922911606</v>
      </c>
      <c r="W340" s="3">
        <f t="shared" si="21"/>
        <v>2</v>
      </c>
      <c r="X340" s="3">
        <f t="shared" si="20"/>
        <v>0.42653025845823211</v>
      </c>
    </row>
    <row r="341" spans="21:24">
      <c r="U341" s="3">
        <v>16.55</v>
      </c>
      <c r="V341" s="4">
        <f t="shared" si="19"/>
        <v>0.21215162092843001</v>
      </c>
      <c r="W341" s="3">
        <f t="shared" si="21"/>
        <v>4</v>
      </c>
      <c r="X341" s="3">
        <f t="shared" si="20"/>
        <v>0.84860648371372005</v>
      </c>
    </row>
    <row r="342" spans="21:24">
      <c r="U342" s="3">
        <v>16.600000000000001</v>
      </c>
      <c r="V342" s="4">
        <f t="shared" si="19"/>
        <v>0.21104018584088194</v>
      </c>
      <c r="W342" s="3">
        <f t="shared" si="21"/>
        <v>2</v>
      </c>
      <c r="X342" s="3">
        <f t="shared" si="20"/>
        <v>0.42208037168176388</v>
      </c>
    </row>
    <row r="343" spans="21:24">
      <c r="U343" s="3">
        <v>16.649999999999999</v>
      </c>
      <c r="V343" s="4">
        <f t="shared" si="19"/>
        <v>0.2099308397933064</v>
      </c>
      <c r="W343" s="3">
        <f t="shared" si="21"/>
        <v>4</v>
      </c>
      <c r="X343" s="3">
        <f t="shared" si="20"/>
        <v>0.8397233591732256</v>
      </c>
    </row>
    <row r="344" spans="21:24">
      <c r="U344" s="3">
        <v>16.7</v>
      </c>
      <c r="V344" s="4">
        <f t="shared" si="19"/>
        <v>0.20882359857535673</v>
      </c>
      <c r="W344" s="3">
        <f t="shared" si="21"/>
        <v>2</v>
      </c>
      <c r="X344" s="3">
        <f t="shared" si="20"/>
        <v>0.41764719715071347</v>
      </c>
    </row>
    <row r="345" spans="21:24">
      <c r="U345" s="3">
        <v>16.75</v>
      </c>
      <c r="V345" s="4">
        <f t="shared" si="19"/>
        <v>0.20771847793857848</v>
      </c>
      <c r="W345" s="3">
        <f t="shared" si="21"/>
        <v>4</v>
      </c>
      <c r="X345" s="3">
        <f t="shared" si="20"/>
        <v>0.83087391175431391</v>
      </c>
    </row>
    <row r="346" spans="21:24">
      <c r="U346" s="3">
        <v>16.8</v>
      </c>
      <c r="V346" s="4">
        <f t="shared" si="19"/>
        <v>0.2066154935954824</v>
      </c>
      <c r="W346" s="3">
        <f t="shared" si="21"/>
        <v>2</v>
      </c>
      <c r="X346" s="3">
        <f t="shared" si="20"/>
        <v>0.41323098719096479</v>
      </c>
    </row>
    <row r="347" spans="21:24">
      <c r="U347" s="3">
        <v>16.850000000000001</v>
      </c>
      <c r="V347" s="4">
        <f t="shared" si="19"/>
        <v>0.20551466121861514</v>
      </c>
      <c r="W347" s="3">
        <f t="shared" si="21"/>
        <v>4</v>
      </c>
      <c r="X347" s="3">
        <f t="shared" si="20"/>
        <v>0.82205864487446056</v>
      </c>
    </row>
    <row r="348" spans="21:24">
      <c r="U348" s="3">
        <v>16.899999999999999</v>
      </c>
      <c r="V348" s="4">
        <f t="shared" si="19"/>
        <v>0.20441599643962588</v>
      </c>
      <c r="W348" s="3">
        <f t="shared" si="21"/>
        <v>2</v>
      </c>
      <c r="X348" s="3">
        <f t="shared" si="20"/>
        <v>0.40883199287925176</v>
      </c>
    </row>
    <row r="349" spans="21:24">
      <c r="U349" s="3">
        <v>16.95</v>
      </c>
      <c r="V349" s="4">
        <f t="shared" si="19"/>
        <v>0.20331951484833455</v>
      </c>
      <c r="W349" s="3">
        <f t="shared" si="21"/>
        <v>4</v>
      </c>
      <c r="X349" s="3">
        <f t="shared" si="20"/>
        <v>0.81327805939333819</v>
      </c>
    </row>
    <row r="350" spans="21:24">
      <c r="U350" s="3">
        <v>17</v>
      </c>
      <c r="V350" s="4">
        <f t="shared" si="19"/>
        <v>0.20222523199179557</v>
      </c>
      <c r="W350" s="3">
        <f t="shared" si="21"/>
        <v>2</v>
      </c>
      <c r="X350" s="3">
        <f t="shared" si="20"/>
        <v>0.40445046398359114</v>
      </c>
    </row>
    <row r="351" spans="21:24">
      <c r="U351" s="3">
        <v>17.05</v>
      </c>
      <c r="V351" s="4">
        <f t="shared" si="19"/>
        <v>0.20113316337335432</v>
      </c>
      <c r="W351" s="3">
        <f t="shared" si="21"/>
        <v>4</v>
      </c>
      <c r="X351" s="3">
        <f t="shared" si="20"/>
        <v>0.80453265349341729</v>
      </c>
    </row>
    <row r="352" spans="21:24">
      <c r="U352" s="3">
        <v>17.100000000000001</v>
      </c>
      <c r="V352" s="4">
        <f t="shared" si="19"/>
        <v>0.20004332445172215</v>
      </c>
      <c r="W352" s="3">
        <f t="shared" si="21"/>
        <v>2</v>
      </c>
      <c r="X352" s="3">
        <f t="shared" si="20"/>
        <v>0.40008664890344431</v>
      </c>
    </row>
    <row r="353" spans="21:24">
      <c r="U353" s="3">
        <v>17.149999999999999</v>
      </c>
      <c r="V353" s="4">
        <f t="shared" si="19"/>
        <v>0.19895573064002042</v>
      </c>
      <c r="W353" s="3">
        <f t="shared" si="21"/>
        <v>4</v>
      </c>
      <c r="X353" s="3">
        <f t="shared" si="20"/>
        <v>0.79582292256008169</v>
      </c>
    </row>
    <row r="354" spans="21:24">
      <c r="U354" s="3">
        <v>17.2</v>
      </c>
      <c r="V354" s="4">
        <f t="shared" si="19"/>
        <v>0.19787039730484679</v>
      </c>
      <c r="W354" s="3">
        <f t="shared" si="21"/>
        <v>2</v>
      </c>
      <c r="X354" s="3">
        <f t="shared" si="20"/>
        <v>0.39574079460969358</v>
      </c>
    </row>
    <row r="355" spans="21:24">
      <c r="U355" s="3">
        <v>17.25</v>
      </c>
      <c r="V355" s="4">
        <f t="shared" si="19"/>
        <v>0.19678733976532745</v>
      </c>
      <c r="W355" s="3">
        <f t="shared" si="21"/>
        <v>4</v>
      </c>
      <c r="X355" s="3">
        <f t="shared" si="20"/>
        <v>0.78714935906130978</v>
      </c>
    </row>
    <row r="356" spans="21:24">
      <c r="U356" s="3">
        <v>17.3</v>
      </c>
      <c r="V356" s="4">
        <f t="shared" si="19"/>
        <v>0.19570657329217417</v>
      </c>
      <c r="W356" s="3">
        <f t="shared" si="21"/>
        <v>2</v>
      </c>
      <c r="X356" s="3">
        <f t="shared" si="20"/>
        <v>0.39141314658434834</v>
      </c>
    </row>
    <row r="357" spans="21:24">
      <c r="U357" s="3">
        <v>17.350000000000001</v>
      </c>
      <c r="V357" s="4">
        <f t="shared" si="19"/>
        <v>0.19462811310673583</v>
      </c>
      <c r="W357" s="3">
        <f t="shared" si="21"/>
        <v>4</v>
      </c>
      <c r="X357" s="3">
        <f t="shared" si="20"/>
        <v>0.77851245242694334</v>
      </c>
    </row>
    <row r="358" spans="21:24">
      <c r="U358" s="3">
        <v>17.399999999999999</v>
      </c>
      <c r="V358" s="4">
        <f t="shared" si="19"/>
        <v>0.19355197438005073</v>
      </c>
      <c r="W358" s="3">
        <f t="shared" si="21"/>
        <v>2</v>
      </c>
      <c r="X358" s="3">
        <f t="shared" si="20"/>
        <v>0.38710394876010146</v>
      </c>
    </row>
    <row r="359" spans="21:24">
      <c r="U359" s="3">
        <v>17.45</v>
      </c>
      <c r="V359" s="4">
        <f t="shared" si="19"/>
        <v>0.19247817223189867</v>
      </c>
      <c r="W359" s="3">
        <f t="shared" si="21"/>
        <v>4</v>
      </c>
      <c r="X359" s="3">
        <f t="shared" si="20"/>
        <v>0.76991268892759468</v>
      </c>
    </row>
    <row r="360" spans="21:24">
      <c r="U360" s="3">
        <v>17.5</v>
      </c>
      <c r="V360" s="4">
        <f t="shared" si="19"/>
        <v>0.19140672172984907</v>
      </c>
      <c r="W360" s="3">
        <f t="shared" si="21"/>
        <v>2</v>
      </c>
      <c r="X360" s="3">
        <f t="shared" si="20"/>
        <v>0.38281344345969814</v>
      </c>
    </row>
    <row r="361" spans="21:24">
      <c r="U361" s="3">
        <v>17.55</v>
      </c>
      <c r="V361" s="4">
        <f t="shared" si="19"/>
        <v>0.19033763788831087</v>
      </c>
      <c r="W361" s="3">
        <f t="shared" si="21"/>
        <v>4</v>
      </c>
      <c r="X361" s="3">
        <f t="shared" si="20"/>
        <v>0.76135055155324349</v>
      </c>
    </row>
    <row r="362" spans="21:24">
      <c r="U362" s="3">
        <v>17.600000000000001</v>
      </c>
      <c r="V362" s="4">
        <f t="shared" si="19"/>
        <v>0.18927093566757999</v>
      </c>
      <c r="W362" s="3">
        <f t="shared" si="21"/>
        <v>2</v>
      </c>
      <c r="X362" s="3">
        <f t="shared" si="20"/>
        <v>0.37854187133515999</v>
      </c>
    </row>
    <row r="363" spans="21:24">
      <c r="U363" s="3">
        <v>17.649999999999999</v>
      </c>
      <c r="V363" s="4">
        <f t="shared" si="19"/>
        <v>0.18820662997288601</v>
      </c>
      <c r="W363" s="3">
        <f t="shared" si="21"/>
        <v>4</v>
      </c>
      <c r="X363" s="3">
        <f t="shared" si="20"/>
        <v>0.75282651989154403</v>
      </c>
    </row>
    <row r="364" spans="21:24">
      <c r="U364" s="3">
        <v>17.7</v>
      </c>
      <c r="V364" s="4">
        <f t="shared" si="19"/>
        <v>0.18714473565344025</v>
      </c>
      <c r="W364" s="3">
        <f t="shared" si="21"/>
        <v>2</v>
      </c>
      <c r="X364" s="3">
        <f t="shared" si="20"/>
        <v>0.37428947130688051</v>
      </c>
    </row>
    <row r="365" spans="21:24">
      <c r="U365" s="3">
        <v>17.75</v>
      </c>
      <c r="V365" s="4">
        <f t="shared" si="19"/>
        <v>0.1860852675014788</v>
      </c>
      <c r="W365" s="3">
        <f t="shared" si="21"/>
        <v>4</v>
      </c>
      <c r="X365" s="3">
        <f t="shared" si="20"/>
        <v>0.74434107000591521</v>
      </c>
    </row>
    <row r="366" spans="21:24">
      <c r="U366" s="3">
        <v>17.8</v>
      </c>
      <c r="V366" s="4">
        <f t="shared" si="19"/>
        <v>0.18502824025130948</v>
      </c>
      <c r="W366" s="3">
        <f t="shared" si="21"/>
        <v>2</v>
      </c>
      <c r="X366" s="3">
        <f t="shared" si="20"/>
        <v>0.37005648050261897</v>
      </c>
    </row>
    <row r="367" spans="21:24">
      <c r="U367" s="3">
        <v>17.850000000000001</v>
      </c>
      <c r="V367" s="4">
        <f t="shared" si="19"/>
        <v>0.18397366857835673</v>
      </c>
      <c r="W367" s="3">
        <f t="shared" si="21"/>
        <v>4</v>
      </c>
      <c r="X367" s="3">
        <f t="shared" si="20"/>
        <v>0.73589467431342692</v>
      </c>
    </row>
    <row r="368" spans="21:24">
      <c r="U368" s="3">
        <v>17.899999999999999</v>
      </c>
      <c r="V368" s="4">
        <f t="shared" si="19"/>
        <v>0.18292156709820415</v>
      </c>
      <c r="W368" s="3">
        <f t="shared" si="21"/>
        <v>2</v>
      </c>
      <c r="X368" s="3">
        <f t="shared" si="20"/>
        <v>0.36584313419640829</v>
      </c>
    </row>
    <row r="369" spans="21:24">
      <c r="U369" s="3">
        <v>17.95</v>
      </c>
      <c r="V369" s="4">
        <f t="shared" si="19"/>
        <v>0.1818719503656408</v>
      </c>
      <c r="W369" s="3">
        <f t="shared" si="21"/>
        <v>4</v>
      </c>
      <c r="X369" s="3">
        <f t="shared" si="20"/>
        <v>0.7274878014625632</v>
      </c>
    </row>
    <row r="370" spans="21:24">
      <c r="U370" s="3">
        <v>18</v>
      </c>
      <c r="V370" s="4">
        <f t="shared" si="19"/>
        <v>0.18082483287370452</v>
      </c>
      <c r="W370" s="3">
        <f t="shared" si="21"/>
        <v>2</v>
      </c>
      <c r="X370" s="3">
        <f t="shared" si="20"/>
        <v>0.36164966574740903</v>
      </c>
    </row>
    <row r="371" spans="21:24">
      <c r="U371" s="3">
        <v>18.05</v>
      </c>
      <c r="V371" s="4">
        <f t="shared" si="19"/>
        <v>0.17978022905271959</v>
      </c>
      <c r="W371" s="3">
        <f t="shared" si="21"/>
        <v>4</v>
      </c>
      <c r="X371" s="3">
        <f t="shared" si="20"/>
        <v>0.71912091621087837</v>
      </c>
    </row>
    <row r="372" spans="21:24">
      <c r="U372" s="3">
        <v>18.100000000000001</v>
      </c>
      <c r="V372" s="4">
        <f t="shared" si="19"/>
        <v>0.17873815326935458</v>
      </c>
      <c r="W372" s="3">
        <f t="shared" si="21"/>
        <v>2</v>
      </c>
      <c r="X372" s="3">
        <f t="shared" si="20"/>
        <v>0.35747630653870915</v>
      </c>
    </row>
    <row r="373" spans="21:24">
      <c r="U373" s="3">
        <v>18.149999999999999</v>
      </c>
      <c r="V373" s="4">
        <f t="shared" si="19"/>
        <v>0.17769861982565174</v>
      </c>
      <c r="W373" s="3">
        <f t="shared" si="21"/>
        <v>4</v>
      </c>
      <c r="X373" s="3">
        <f t="shared" si="20"/>
        <v>0.71079447930260697</v>
      </c>
    </row>
    <row r="374" spans="21:24">
      <c r="U374" s="3">
        <v>18.2</v>
      </c>
      <c r="V374" s="4">
        <f t="shared" si="19"/>
        <v>0.1766616429580791</v>
      </c>
      <c r="W374" s="3">
        <f t="shared" si="21"/>
        <v>2</v>
      </c>
      <c r="X374" s="3">
        <f t="shared" si="20"/>
        <v>0.35332328591615819</v>
      </c>
    </row>
    <row r="375" spans="21:24">
      <c r="U375" s="3">
        <v>18.25</v>
      </c>
      <c r="V375" s="4">
        <f t="shared" si="19"/>
        <v>0.17562723683657153</v>
      </c>
      <c r="W375" s="3">
        <f t="shared" si="21"/>
        <v>4</v>
      </c>
      <c r="X375" s="3">
        <f t="shared" si="20"/>
        <v>0.70250894734628611</v>
      </c>
    </row>
    <row r="376" spans="21:24">
      <c r="U376" s="3">
        <v>18.3</v>
      </c>
      <c r="V376" s="4">
        <f t="shared" si="19"/>
        <v>0.17459541556357802</v>
      </c>
      <c r="W376" s="3">
        <f t="shared" si="21"/>
        <v>2</v>
      </c>
      <c r="X376" s="3">
        <f t="shared" si="20"/>
        <v>0.34919083112715604</v>
      </c>
    </row>
    <row r="377" spans="21:24">
      <c r="U377" s="3">
        <v>18.350000000000001</v>
      </c>
      <c r="V377" s="4">
        <f t="shared" si="19"/>
        <v>0.17356619317310454</v>
      </c>
      <c r="W377" s="3">
        <f t="shared" si="21"/>
        <v>4</v>
      </c>
      <c r="X377" s="3">
        <f t="shared" si="20"/>
        <v>0.69426477269241815</v>
      </c>
    </row>
    <row r="378" spans="21:24">
      <c r="U378" s="3">
        <v>18.399999999999999</v>
      </c>
      <c r="V378" s="4">
        <f t="shared" si="19"/>
        <v>0.17253958362976116</v>
      </c>
      <c r="W378" s="3">
        <f t="shared" si="21"/>
        <v>2</v>
      </c>
      <c r="X378" s="3">
        <f t="shared" si="20"/>
        <v>0.34507916725952231</v>
      </c>
    </row>
    <row r="379" spans="21:24">
      <c r="U379" s="3">
        <v>18.45</v>
      </c>
      <c r="V379" s="4">
        <f t="shared" si="19"/>
        <v>0.17151560082780901</v>
      </c>
      <c r="W379" s="3">
        <f t="shared" si="21"/>
        <v>4</v>
      </c>
      <c r="X379" s="3">
        <f t="shared" si="20"/>
        <v>0.68606240331123602</v>
      </c>
    </row>
    <row r="380" spans="21:24">
      <c r="U380" s="3">
        <v>18.5</v>
      </c>
      <c r="V380" s="4">
        <f t="shared" si="19"/>
        <v>0.17049425859020617</v>
      </c>
      <c r="W380" s="3">
        <f t="shared" si="21"/>
        <v>2</v>
      </c>
      <c r="X380" s="3">
        <f t="shared" si="20"/>
        <v>0.34098851718041234</v>
      </c>
    </row>
    <row r="381" spans="21:24">
      <c r="U381" s="3">
        <v>18.55</v>
      </c>
      <c r="V381" s="4">
        <f t="shared" si="19"/>
        <v>0.16947557066765723</v>
      </c>
      <c r="W381" s="3">
        <f t="shared" si="21"/>
        <v>4</v>
      </c>
      <c r="X381" s="3">
        <f t="shared" si="20"/>
        <v>0.67790228267062891</v>
      </c>
    </row>
    <row r="382" spans="21:24">
      <c r="U382" s="3">
        <v>18.600000000000001</v>
      </c>
      <c r="V382" s="4">
        <f t="shared" si="19"/>
        <v>0.1684595507376617</v>
      </c>
      <c r="W382" s="3">
        <f t="shared" si="21"/>
        <v>2</v>
      </c>
      <c r="X382" s="3">
        <f t="shared" si="20"/>
        <v>0.33691910147532339</v>
      </c>
    </row>
    <row r="383" spans="21:24">
      <c r="U383" s="3">
        <v>18.649999999999999</v>
      </c>
      <c r="V383" s="4">
        <f t="shared" si="19"/>
        <v>0.16744621240356469</v>
      </c>
      <c r="W383" s="3">
        <f t="shared" si="21"/>
        <v>4</v>
      </c>
      <c r="X383" s="3">
        <f t="shared" si="20"/>
        <v>0.66978484961425877</v>
      </c>
    </row>
    <row r="384" spans="21:24">
      <c r="U384" s="3">
        <v>18.7</v>
      </c>
      <c r="V384" s="4">
        <f t="shared" si="19"/>
        <v>0.16643556919360905</v>
      </c>
      <c r="W384" s="3">
        <f t="shared" si="21"/>
        <v>2</v>
      </c>
      <c r="X384" s="3">
        <f t="shared" si="20"/>
        <v>0.3328711383872181</v>
      </c>
    </row>
    <row r="385" spans="21:24">
      <c r="U385" s="3">
        <v>18.75</v>
      </c>
      <c r="V385" s="4">
        <f t="shared" si="19"/>
        <v>0.16542763455998688</v>
      </c>
      <c r="W385" s="3">
        <f t="shared" si="21"/>
        <v>4</v>
      </c>
      <c r="X385" s="3">
        <f t="shared" si="20"/>
        <v>0.66171053823994752</v>
      </c>
    </row>
    <row r="386" spans="21:24">
      <c r="U386" s="3">
        <v>18.8</v>
      </c>
      <c r="V386" s="4">
        <f t="shared" si="19"/>
        <v>0.16442242187789471</v>
      </c>
      <c r="W386" s="3">
        <f t="shared" si="21"/>
        <v>2</v>
      </c>
      <c r="X386" s="3">
        <f t="shared" si="20"/>
        <v>0.32884484375578943</v>
      </c>
    </row>
    <row r="387" spans="21:24">
      <c r="U387" s="3">
        <v>18.850000000000001</v>
      </c>
      <c r="V387" s="4">
        <f t="shared" si="19"/>
        <v>0.16341994444458968</v>
      </c>
      <c r="W387" s="3">
        <f t="shared" si="21"/>
        <v>4</v>
      </c>
      <c r="X387" s="3">
        <f t="shared" si="20"/>
        <v>0.65367977777835873</v>
      </c>
    </row>
    <row r="388" spans="21:24">
      <c r="U388" s="3">
        <v>18.899999999999999</v>
      </c>
      <c r="V388" s="4">
        <f t="shared" si="19"/>
        <v>0.16242021547844562</v>
      </c>
      <c r="W388" s="3">
        <f t="shared" si="21"/>
        <v>2</v>
      </c>
      <c r="X388" s="3">
        <f t="shared" si="20"/>
        <v>0.32484043095689125</v>
      </c>
    </row>
    <row r="389" spans="21:24">
      <c r="U389" s="3">
        <v>18.95</v>
      </c>
      <c r="V389" s="4">
        <f t="shared" si="19"/>
        <v>0.16142324811801401</v>
      </c>
      <c r="W389" s="3">
        <f t="shared" si="21"/>
        <v>4</v>
      </c>
      <c r="X389" s="3">
        <f t="shared" si="20"/>
        <v>0.64569299247205603</v>
      </c>
    </row>
    <row r="390" spans="21:24">
      <c r="U390" s="3">
        <v>19</v>
      </c>
      <c r="V390" s="4">
        <f t="shared" si="19"/>
        <v>0.1604290554210846</v>
      </c>
      <c r="W390" s="3">
        <f t="shared" si="21"/>
        <v>2</v>
      </c>
      <c r="X390" s="3">
        <f t="shared" si="20"/>
        <v>0.3208581108421692</v>
      </c>
    </row>
    <row r="391" spans="21:24">
      <c r="U391" s="3">
        <v>19.05</v>
      </c>
      <c r="V391" s="4">
        <f t="shared" si="19"/>
        <v>0.15943765036374283</v>
      </c>
      <c r="W391" s="3">
        <f t="shared" si="21"/>
        <v>4</v>
      </c>
      <c r="X391" s="3">
        <f t="shared" si="20"/>
        <v>0.63775060145497131</v>
      </c>
    </row>
    <row r="392" spans="21:24">
      <c r="U392" s="3">
        <v>19.100000000000001</v>
      </c>
      <c r="V392" s="4">
        <f t="shared" si="19"/>
        <v>0.15844904583944777</v>
      </c>
      <c r="W392" s="3">
        <f t="shared" si="21"/>
        <v>2</v>
      </c>
      <c r="X392" s="3">
        <f t="shared" si="20"/>
        <v>0.31689809167889554</v>
      </c>
    </row>
    <row r="393" spans="21:24">
      <c r="U393" s="3">
        <v>19.149999999999999</v>
      </c>
      <c r="V393" s="4">
        <f t="shared" si="19"/>
        <v>0.15746325465808603</v>
      </c>
      <c r="W393" s="3">
        <f t="shared" si="21"/>
        <v>4</v>
      </c>
      <c r="X393" s="3">
        <f t="shared" si="20"/>
        <v>0.62985301863234411</v>
      </c>
    </row>
    <row r="394" spans="21:24">
      <c r="U394" s="3">
        <v>19.2</v>
      </c>
      <c r="V394" s="4">
        <f t="shared" si="19"/>
        <v>0.15648028954504867</v>
      </c>
      <c r="W394" s="3">
        <f t="shared" si="21"/>
        <v>2</v>
      </c>
      <c r="X394" s="3">
        <f t="shared" si="20"/>
        <v>0.31296057909009733</v>
      </c>
    </row>
    <row r="395" spans="21:24">
      <c r="U395" s="3">
        <v>19.25</v>
      </c>
      <c r="V395" s="4">
        <f t="shared" ref="V395:V458" si="22">EXP(-(B$3*(70+U395)+0.5*B$4*((70+U395)^2)+(B$5/LN(B$6))*((B$6^(70+U395))-1)))</f>
        <v>0.1555001631403003</v>
      </c>
      <c r="W395" s="3">
        <f t="shared" si="21"/>
        <v>4</v>
      </c>
      <c r="X395" s="3">
        <f t="shared" ref="X395:X458" si="23">V395*W395</f>
        <v>0.62200065256120118</v>
      </c>
    </row>
    <row r="396" spans="21:24">
      <c r="U396" s="3">
        <v>19.3</v>
      </c>
      <c r="V396" s="4">
        <f t="shared" si="22"/>
        <v>0.15452288799745509</v>
      </c>
      <c r="W396" s="3">
        <f t="shared" si="21"/>
        <v>2</v>
      </c>
      <c r="X396" s="3">
        <f t="shared" si="23"/>
        <v>0.30904577599491018</v>
      </c>
    </row>
    <row r="397" spans="21:24">
      <c r="U397" s="3">
        <v>19.350000000000001</v>
      </c>
      <c r="V397" s="4">
        <f t="shared" si="22"/>
        <v>0.15354847658285264</v>
      </c>
      <c r="W397" s="3">
        <f t="shared" ref="W397:W460" si="24">IF(W396=4,2,4)</f>
        <v>4</v>
      </c>
      <c r="X397" s="3">
        <f t="shared" si="23"/>
        <v>0.61419390633141058</v>
      </c>
    </row>
    <row r="398" spans="21:24">
      <c r="U398" s="3">
        <v>19.399999999999999</v>
      </c>
      <c r="V398" s="4">
        <f t="shared" si="22"/>
        <v>0.15257694127463792</v>
      </c>
      <c r="W398" s="3">
        <f t="shared" si="24"/>
        <v>2</v>
      </c>
      <c r="X398" s="3">
        <f t="shared" si="23"/>
        <v>0.30515388254927583</v>
      </c>
    </row>
    <row r="399" spans="21:24">
      <c r="U399" s="3">
        <v>19.45</v>
      </c>
      <c r="V399" s="4">
        <f t="shared" si="22"/>
        <v>0.15160829436184509</v>
      </c>
      <c r="W399" s="3">
        <f t="shared" si="24"/>
        <v>4</v>
      </c>
      <c r="X399" s="3">
        <f t="shared" si="23"/>
        <v>0.60643317744738034</v>
      </c>
    </row>
    <row r="400" spans="21:24">
      <c r="U400" s="3">
        <v>19.5</v>
      </c>
      <c r="V400" s="4">
        <f t="shared" si="22"/>
        <v>0.15064254804348132</v>
      </c>
      <c r="W400" s="3">
        <f t="shared" si="24"/>
        <v>2</v>
      </c>
      <c r="X400" s="3">
        <f t="shared" si="23"/>
        <v>0.30128509608696263</v>
      </c>
    </row>
    <row r="401" spans="21:24">
      <c r="U401" s="3">
        <v>19.55</v>
      </c>
      <c r="V401" s="4">
        <f t="shared" si="22"/>
        <v>0.1496797144276166</v>
      </c>
      <c r="W401" s="3">
        <f t="shared" si="24"/>
        <v>4</v>
      </c>
      <c r="X401" s="3">
        <f t="shared" si="23"/>
        <v>0.5987188577104664</v>
      </c>
    </row>
    <row r="402" spans="21:24">
      <c r="U402" s="3">
        <v>19.600000000000001</v>
      </c>
      <c r="V402" s="4">
        <f t="shared" si="22"/>
        <v>0.14871980553047542</v>
      </c>
      <c r="W402" s="3">
        <f t="shared" si="24"/>
        <v>2</v>
      </c>
      <c r="X402" s="3">
        <f t="shared" si="23"/>
        <v>0.29743961106095085</v>
      </c>
    </row>
    <row r="403" spans="21:24">
      <c r="U403" s="3">
        <v>19.649999999999999</v>
      </c>
      <c r="V403" s="4">
        <f t="shared" si="22"/>
        <v>0.14776283327553147</v>
      </c>
      <c r="W403" s="3">
        <f t="shared" si="24"/>
        <v>4</v>
      </c>
      <c r="X403" s="3">
        <f t="shared" si="23"/>
        <v>0.59105133310212588</v>
      </c>
    </row>
    <row r="404" spans="21:24">
      <c r="U404" s="3">
        <v>19.7</v>
      </c>
      <c r="V404" s="4">
        <f t="shared" si="22"/>
        <v>0.14680880949260744</v>
      </c>
      <c r="W404" s="3">
        <f t="shared" si="24"/>
        <v>2</v>
      </c>
      <c r="X404" s="3">
        <f t="shared" si="23"/>
        <v>0.29361761898521488</v>
      </c>
    </row>
    <row r="405" spans="21:24">
      <c r="U405" s="3">
        <v>19.75</v>
      </c>
      <c r="V405" s="4">
        <f t="shared" si="22"/>
        <v>0.14585774591697559</v>
      </c>
      <c r="W405" s="3">
        <f t="shared" si="24"/>
        <v>4</v>
      </c>
      <c r="X405" s="3">
        <f t="shared" si="23"/>
        <v>0.58343098366790236</v>
      </c>
    </row>
    <row r="406" spans="21:24">
      <c r="U406" s="3">
        <v>19.8</v>
      </c>
      <c r="V406" s="4">
        <f t="shared" si="22"/>
        <v>0.14490965418846433</v>
      </c>
      <c r="W406" s="3">
        <f t="shared" si="24"/>
        <v>2</v>
      </c>
      <c r="X406" s="3">
        <f t="shared" si="23"/>
        <v>0.28981930837692865</v>
      </c>
    </row>
    <row r="407" spans="21:24">
      <c r="U407" s="3">
        <v>19.850000000000001</v>
      </c>
      <c r="V407" s="4">
        <f t="shared" si="22"/>
        <v>0.14396454585056856</v>
      </c>
      <c r="W407" s="3">
        <f t="shared" si="24"/>
        <v>4</v>
      </c>
      <c r="X407" s="3">
        <f t="shared" si="23"/>
        <v>0.57585818340227424</v>
      </c>
    </row>
    <row r="408" spans="21:24">
      <c r="U408" s="3">
        <v>19.899999999999999</v>
      </c>
      <c r="V408" s="4">
        <f t="shared" si="22"/>
        <v>0.1430224323495613</v>
      </c>
      <c r="W408" s="3">
        <f t="shared" si="24"/>
        <v>2</v>
      </c>
      <c r="X408" s="3">
        <f t="shared" si="23"/>
        <v>0.2860448646991226</v>
      </c>
    </row>
    <row r="409" spans="21:24">
      <c r="U409" s="3">
        <v>19.95</v>
      </c>
      <c r="V409" s="4">
        <f t="shared" si="22"/>
        <v>0.14208332503361348</v>
      </c>
      <c r="W409" s="3">
        <f t="shared" si="24"/>
        <v>4</v>
      </c>
      <c r="X409" s="3">
        <f t="shared" si="23"/>
        <v>0.56833330013445393</v>
      </c>
    </row>
    <row r="410" spans="21:24">
      <c r="U410" s="3">
        <v>20</v>
      </c>
      <c r="V410" s="4">
        <f t="shared" si="22"/>
        <v>0.14114723515191457</v>
      </c>
      <c r="W410" s="3">
        <f t="shared" si="24"/>
        <v>2</v>
      </c>
      <c r="X410" s="3">
        <f t="shared" si="23"/>
        <v>0.28229447030382915</v>
      </c>
    </row>
    <row r="411" spans="21:24">
      <c r="U411" s="3">
        <v>20.05</v>
      </c>
      <c r="V411" s="4">
        <f t="shared" si="22"/>
        <v>0.14021417385379359</v>
      </c>
      <c r="W411" s="3">
        <f t="shared" si="24"/>
        <v>4</v>
      </c>
      <c r="X411" s="3">
        <f t="shared" si="23"/>
        <v>0.56085669541517436</v>
      </c>
    </row>
    <row r="412" spans="21:24">
      <c r="U412" s="3">
        <v>20.100000000000001</v>
      </c>
      <c r="V412" s="4">
        <f t="shared" si="22"/>
        <v>0.13928415218786161</v>
      </c>
      <c r="W412" s="3">
        <f t="shared" si="24"/>
        <v>2</v>
      </c>
      <c r="X412" s="3">
        <f t="shared" si="23"/>
        <v>0.27856830437572322</v>
      </c>
    </row>
    <row r="413" spans="21:24">
      <c r="U413" s="3">
        <v>20.149999999999999</v>
      </c>
      <c r="V413" s="4">
        <f t="shared" si="22"/>
        <v>0.13835718110113363</v>
      </c>
      <c r="W413" s="3">
        <f t="shared" si="24"/>
        <v>4</v>
      </c>
      <c r="X413" s="3">
        <f t="shared" si="23"/>
        <v>0.5534287244045345</v>
      </c>
    </row>
    <row r="414" spans="21:24">
      <c r="U414" s="3">
        <v>20.2</v>
      </c>
      <c r="V414" s="4">
        <f t="shared" si="22"/>
        <v>0.13743327143817502</v>
      </c>
      <c r="W414" s="3">
        <f t="shared" si="24"/>
        <v>2</v>
      </c>
      <c r="X414" s="3">
        <f t="shared" si="23"/>
        <v>0.27486654287635004</v>
      </c>
    </row>
    <row r="415" spans="21:24">
      <c r="U415" s="3">
        <v>20.25</v>
      </c>
      <c r="V415" s="4">
        <f t="shared" si="22"/>
        <v>0.13651243394024298</v>
      </c>
      <c r="W415" s="3">
        <f t="shared" si="24"/>
        <v>4</v>
      </c>
      <c r="X415" s="3">
        <f t="shared" si="23"/>
        <v>0.54604973576097193</v>
      </c>
    </row>
    <row r="416" spans="21:24">
      <c r="U416" s="3">
        <v>20.3</v>
      </c>
      <c r="V416" s="4">
        <f t="shared" si="22"/>
        <v>0.13559467924443713</v>
      </c>
      <c r="W416" s="3">
        <f t="shared" si="24"/>
        <v>2</v>
      </c>
      <c r="X416" s="3">
        <f t="shared" si="23"/>
        <v>0.27118935848887427</v>
      </c>
    </row>
    <row r="417" spans="21:24">
      <c r="U417" s="3">
        <v>20.350000000000001</v>
      </c>
      <c r="V417" s="4">
        <f t="shared" si="22"/>
        <v>0.13468001788285183</v>
      </c>
      <c r="W417" s="3">
        <f t="shared" si="24"/>
        <v>4</v>
      </c>
      <c r="X417" s="3">
        <f t="shared" si="23"/>
        <v>0.53872007153140733</v>
      </c>
    </row>
    <row r="418" spans="21:24">
      <c r="U418" s="3">
        <v>20.399999999999999</v>
      </c>
      <c r="V418" s="4">
        <f t="shared" si="22"/>
        <v>0.13376846028173592</v>
      </c>
      <c r="W418" s="3">
        <f t="shared" si="24"/>
        <v>2</v>
      </c>
      <c r="X418" s="3">
        <f t="shared" si="23"/>
        <v>0.26753692056347184</v>
      </c>
    </row>
    <row r="419" spans="21:24">
      <c r="U419" s="3">
        <v>20.45</v>
      </c>
      <c r="V419" s="4">
        <f t="shared" si="22"/>
        <v>0.13286001676065765</v>
      </c>
      <c r="W419" s="3">
        <f t="shared" si="24"/>
        <v>4</v>
      </c>
      <c r="X419" s="3">
        <f t="shared" si="23"/>
        <v>0.53144006704263058</v>
      </c>
    </row>
    <row r="420" spans="21:24">
      <c r="U420" s="3">
        <v>20.5</v>
      </c>
      <c r="V420" s="4">
        <f t="shared" si="22"/>
        <v>0.13195469753167283</v>
      </c>
      <c r="W420" s="3">
        <f t="shared" si="24"/>
        <v>2</v>
      </c>
      <c r="X420" s="3">
        <f t="shared" si="23"/>
        <v>0.26390939506334565</v>
      </c>
    </row>
    <row r="421" spans="21:24">
      <c r="U421" s="3">
        <v>20.55</v>
      </c>
      <c r="V421" s="4">
        <f t="shared" si="22"/>
        <v>0.13105251269850088</v>
      </c>
      <c r="W421" s="3">
        <f t="shared" si="24"/>
        <v>4</v>
      </c>
      <c r="X421" s="3">
        <f t="shared" si="23"/>
        <v>0.52421005079400351</v>
      </c>
    </row>
    <row r="422" spans="21:24">
      <c r="U422" s="3">
        <v>20.6</v>
      </c>
      <c r="V422" s="4">
        <f t="shared" si="22"/>
        <v>0.13015347225570473</v>
      </c>
      <c r="W422" s="3">
        <f t="shared" si="24"/>
        <v>2</v>
      </c>
      <c r="X422" s="3">
        <f t="shared" si="23"/>
        <v>0.26030694451140945</v>
      </c>
    </row>
    <row r="423" spans="21:24">
      <c r="U423" s="3">
        <v>20.65</v>
      </c>
      <c r="V423" s="4">
        <f t="shared" si="22"/>
        <v>0.12925758608787752</v>
      </c>
      <c r="W423" s="3">
        <f t="shared" si="24"/>
        <v>4</v>
      </c>
      <c r="X423" s="3">
        <f t="shared" si="23"/>
        <v>0.51703034435151007</v>
      </c>
    </row>
    <row r="424" spans="21:24">
      <c r="U424" s="3">
        <v>20.7</v>
      </c>
      <c r="V424" s="4">
        <f t="shared" si="22"/>
        <v>0.12836486396883548</v>
      </c>
      <c r="W424" s="3">
        <f t="shared" si="24"/>
        <v>2</v>
      </c>
      <c r="X424" s="3">
        <f t="shared" si="23"/>
        <v>0.25672972793767096</v>
      </c>
    </row>
    <row r="425" spans="21:24">
      <c r="U425" s="3">
        <v>20.75</v>
      </c>
      <c r="V425" s="4">
        <f t="shared" si="22"/>
        <v>0.12747531556081415</v>
      </c>
      <c r="W425" s="3">
        <f t="shared" si="24"/>
        <v>4</v>
      </c>
      <c r="X425" s="3">
        <f t="shared" si="23"/>
        <v>0.5099012622432566</v>
      </c>
    </row>
    <row r="426" spans="21:24">
      <c r="U426" s="3">
        <v>20.8</v>
      </c>
      <c r="V426" s="4">
        <f t="shared" si="22"/>
        <v>0.12658895041367388</v>
      </c>
      <c r="W426" s="3">
        <f t="shared" si="24"/>
        <v>2</v>
      </c>
      <c r="X426" s="3">
        <f t="shared" si="23"/>
        <v>0.25317790082734776</v>
      </c>
    </row>
    <row r="427" spans="21:24">
      <c r="U427" s="3">
        <v>20.85</v>
      </c>
      <c r="V427" s="4">
        <f t="shared" si="22"/>
        <v>0.12570577796411059</v>
      </c>
      <c r="W427" s="3">
        <f t="shared" si="24"/>
        <v>4</v>
      </c>
      <c r="X427" s="3">
        <f t="shared" si="23"/>
        <v>0.50282311185644235</v>
      </c>
    </row>
    <row r="428" spans="21:24">
      <c r="U428" s="3">
        <v>20.9</v>
      </c>
      <c r="V428" s="4">
        <f t="shared" si="22"/>
        <v>0.12482580753487059</v>
      </c>
      <c r="W428" s="3">
        <f t="shared" si="24"/>
        <v>2</v>
      </c>
      <c r="X428" s="3">
        <f t="shared" si="23"/>
        <v>0.24965161506974118</v>
      </c>
    </row>
    <row r="429" spans="21:24">
      <c r="U429" s="3">
        <v>20.95</v>
      </c>
      <c r="V429" s="4">
        <f t="shared" si="22"/>
        <v>0.12394904833397592</v>
      </c>
      <c r="W429" s="3">
        <f t="shared" si="24"/>
        <v>4</v>
      </c>
      <c r="X429" s="3">
        <f t="shared" si="23"/>
        <v>0.49579619333590369</v>
      </c>
    </row>
    <row r="430" spans="21:24">
      <c r="U430" s="3">
        <v>21</v>
      </c>
      <c r="V430" s="4">
        <f t="shared" si="22"/>
        <v>0.12307550945395333</v>
      </c>
      <c r="W430" s="3">
        <f t="shared" si="24"/>
        <v>2</v>
      </c>
      <c r="X430" s="3">
        <f t="shared" si="23"/>
        <v>0.24615101890790667</v>
      </c>
    </row>
    <row r="431" spans="21:24">
      <c r="U431" s="3">
        <v>21.05</v>
      </c>
      <c r="V431" s="4">
        <f t="shared" si="22"/>
        <v>0.12220519987106575</v>
      </c>
      <c r="W431" s="3">
        <f t="shared" si="24"/>
        <v>4</v>
      </c>
      <c r="X431" s="3">
        <f t="shared" si="23"/>
        <v>0.48882079948426299</v>
      </c>
    </row>
    <row r="432" spans="21:24">
      <c r="U432" s="3">
        <v>21.1</v>
      </c>
      <c r="V432" s="4">
        <f t="shared" si="22"/>
        <v>0.12133812844456698</v>
      </c>
      <c r="W432" s="3">
        <f t="shared" si="24"/>
        <v>2</v>
      </c>
      <c r="X432" s="3">
        <f t="shared" si="23"/>
        <v>0.24267625688913397</v>
      </c>
    </row>
    <row r="433" spans="21:24">
      <c r="U433" s="3">
        <v>21.15</v>
      </c>
      <c r="V433" s="4">
        <f t="shared" si="22"/>
        <v>0.12047430391593973</v>
      </c>
      <c r="W433" s="3">
        <f t="shared" si="24"/>
        <v>4</v>
      </c>
      <c r="X433" s="3">
        <f t="shared" si="23"/>
        <v>0.48189721566375893</v>
      </c>
    </row>
    <row r="434" spans="21:24">
      <c r="U434" s="3">
        <v>21.2</v>
      </c>
      <c r="V434" s="4">
        <f t="shared" si="22"/>
        <v>0.11961373490815967</v>
      </c>
      <c r="W434" s="3">
        <f t="shared" si="24"/>
        <v>2</v>
      </c>
      <c r="X434" s="3">
        <f t="shared" si="23"/>
        <v>0.23922746981631934</v>
      </c>
    </row>
    <row r="435" spans="21:24">
      <c r="U435" s="3">
        <v>21.25</v>
      </c>
      <c r="V435" s="4">
        <f t="shared" si="22"/>
        <v>0.11875642992495679</v>
      </c>
      <c r="W435" s="3">
        <f t="shared" si="24"/>
        <v>4</v>
      </c>
      <c r="X435" s="3">
        <f t="shared" si="23"/>
        <v>0.47502571969982715</v>
      </c>
    </row>
    <row r="436" spans="21:24">
      <c r="U436" s="3">
        <v>21.3</v>
      </c>
      <c r="V436" s="4">
        <f t="shared" si="22"/>
        <v>0.11790239735008909</v>
      </c>
      <c r="W436" s="3">
        <f t="shared" si="24"/>
        <v>2</v>
      </c>
      <c r="X436" s="3">
        <f t="shared" si="23"/>
        <v>0.23580479470017818</v>
      </c>
    </row>
    <row r="437" spans="21:24">
      <c r="U437" s="3">
        <v>21.35</v>
      </c>
      <c r="V437" s="4">
        <f t="shared" si="22"/>
        <v>0.11705164544661979</v>
      </c>
      <c r="W437" s="3">
        <f t="shared" si="24"/>
        <v>4</v>
      </c>
      <c r="X437" s="3">
        <f t="shared" si="23"/>
        <v>0.46820658178647917</v>
      </c>
    </row>
    <row r="438" spans="21:24">
      <c r="U438" s="3">
        <v>21.4</v>
      </c>
      <c r="V438" s="4">
        <f t="shared" si="22"/>
        <v>0.11620418235620471</v>
      </c>
      <c r="W438" s="3">
        <f t="shared" si="24"/>
        <v>2</v>
      </c>
      <c r="X438" s="3">
        <f t="shared" si="23"/>
        <v>0.23240836471240942</v>
      </c>
    </row>
    <row r="439" spans="21:24">
      <c r="U439" s="3">
        <v>21.45</v>
      </c>
      <c r="V439" s="4">
        <f t="shared" si="22"/>
        <v>0.11536001609838717</v>
      </c>
      <c r="W439" s="3">
        <f t="shared" si="24"/>
        <v>4</v>
      </c>
      <c r="X439" s="3">
        <f t="shared" si="23"/>
        <v>0.46144006439354868</v>
      </c>
    </row>
    <row r="440" spans="21:24">
      <c r="U440" s="3">
        <v>21.5</v>
      </c>
      <c r="V440" s="4">
        <f t="shared" si="22"/>
        <v>0.1145191545698986</v>
      </c>
      <c r="W440" s="3">
        <f t="shared" si="24"/>
        <v>2</v>
      </c>
      <c r="X440" s="3">
        <f t="shared" si="23"/>
        <v>0.2290383091397972</v>
      </c>
    </row>
    <row r="441" spans="21:24">
      <c r="U441" s="3">
        <v>21.55</v>
      </c>
      <c r="V441" s="4">
        <f t="shared" si="22"/>
        <v>0.11368160554396968</v>
      </c>
      <c r="W441" s="3">
        <f t="shared" si="24"/>
        <v>4</v>
      </c>
      <c r="X441" s="3">
        <f t="shared" si="23"/>
        <v>0.45472642217587872</v>
      </c>
    </row>
    <row r="442" spans="21:24">
      <c r="U442" s="3">
        <v>21.6</v>
      </c>
      <c r="V442" s="4">
        <f t="shared" si="22"/>
        <v>0.11284737666964754</v>
      </c>
      <c r="W442" s="3">
        <f t="shared" si="24"/>
        <v>2</v>
      </c>
      <c r="X442" s="3">
        <f t="shared" si="23"/>
        <v>0.22569475333929509</v>
      </c>
    </row>
    <row r="443" spans="21:24">
      <c r="U443" s="3">
        <v>21.65</v>
      </c>
      <c r="V443" s="4">
        <f t="shared" si="22"/>
        <v>0.11201647547112215</v>
      </c>
      <c r="W443" s="3">
        <f t="shared" si="24"/>
        <v>4</v>
      </c>
      <c r="X443" s="3">
        <f t="shared" si="23"/>
        <v>0.44806590188448858</v>
      </c>
    </row>
    <row r="444" spans="21:24">
      <c r="U444" s="3">
        <v>21.7</v>
      </c>
      <c r="V444" s="4">
        <f t="shared" si="22"/>
        <v>0.11118890934706144</v>
      </c>
      <c r="W444" s="3">
        <f t="shared" si="24"/>
        <v>2</v>
      </c>
      <c r="X444" s="3">
        <f t="shared" si="23"/>
        <v>0.22237781869412288</v>
      </c>
    </row>
    <row r="445" spans="21:24">
      <c r="U445" s="3">
        <v>21.75</v>
      </c>
      <c r="V445" s="4">
        <f t="shared" si="22"/>
        <v>0.11036468556995259</v>
      </c>
      <c r="W445" s="3">
        <f t="shared" si="24"/>
        <v>4</v>
      </c>
      <c r="X445" s="3">
        <f t="shared" si="23"/>
        <v>0.44145874227981036</v>
      </c>
    </row>
    <row r="446" spans="21:24">
      <c r="U446" s="3">
        <v>21.8</v>
      </c>
      <c r="V446" s="4">
        <f t="shared" si="22"/>
        <v>0.10954381128545417</v>
      </c>
      <c r="W446" s="3">
        <f t="shared" si="24"/>
        <v>2</v>
      </c>
      <c r="X446" s="3">
        <f t="shared" si="23"/>
        <v>0.21908762257090833</v>
      </c>
    </row>
    <row r="447" spans="21:24">
      <c r="U447" s="3">
        <v>21.85</v>
      </c>
      <c r="V447" s="4">
        <f t="shared" si="22"/>
        <v>0.10872629351175679</v>
      </c>
      <c r="W447" s="3">
        <f t="shared" si="24"/>
        <v>4</v>
      </c>
      <c r="X447" s="3">
        <f t="shared" si="23"/>
        <v>0.43490517404702717</v>
      </c>
    </row>
    <row r="448" spans="21:24">
      <c r="U448" s="3">
        <v>21.9</v>
      </c>
      <c r="V448" s="4">
        <f t="shared" si="22"/>
        <v>0.10791213913894998</v>
      </c>
      <c r="W448" s="3">
        <f t="shared" si="24"/>
        <v>2</v>
      </c>
      <c r="X448" s="3">
        <f t="shared" si="23"/>
        <v>0.21582427827789996</v>
      </c>
    </row>
    <row r="449" spans="21:24">
      <c r="U449" s="3">
        <v>21.95</v>
      </c>
      <c r="V449" s="4">
        <f t="shared" si="22"/>
        <v>0.10710135492840177</v>
      </c>
      <c r="W449" s="3">
        <f t="shared" si="24"/>
        <v>4</v>
      </c>
      <c r="X449" s="3">
        <f t="shared" si="23"/>
        <v>0.42840541971360707</v>
      </c>
    </row>
    <row r="450" spans="21:24">
      <c r="U450" s="3">
        <v>22</v>
      </c>
      <c r="V450" s="4">
        <f t="shared" si="22"/>
        <v>0.10629394751214452</v>
      </c>
      <c r="W450" s="3">
        <f t="shared" si="24"/>
        <v>2</v>
      </c>
      <c r="X450" s="3">
        <f t="shared" si="23"/>
        <v>0.21258789502428904</v>
      </c>
    </row>
    <row r="451" spans="21:24">
      <c r="U451" s="3">
        <v>22.05</v>
      </c>
      <c r="V451" s="4">
        <f t="shared" si="22"/>
        <v>0.10548992339226609</v>
      </c>
      <c r="W451" s="3">
        <f t="shared" si="24"/>
        <v>4</v>
      </c>
      <c r="X451" s="3">
        <f t="shared" si="23"/>
        <v>0.42195969356906438</v>
      </c>
    </row>
    <row r="452" spans="21:24">
      <c r="U452" s="3">
        <v>22.1</v>
      </c>
      <c r="V452" s="4">
        <f t="shared" si="22"/>
        <v>0.1046892889403257</v>
      </c>
      <c r="W452" s="3">
        <f t="shared" si="24"/>
        <v>2</v>
      </c>
      <c r="X452" s="3">
        <f t="shared" si="23"/>
        <v>0.2093785778806514</v>
      </c>
    </row>
    <row r="453" spans="21:24">
      <c r="U453" s="3">
        <v>22.15</v>
      </c>
      <c r="V453" s="4">
        <f t="shared" si="22"/>
        <v>0.10389205039675632</v>
      </c>
      <c r="W453" s="3">
        <f t="shared" si="24"/>
        <v>4</v>
      </c>
      <c r="X453" s="3">
        <f t="shared" si="23"/>
        <v>0.41556820158702529</v>
      </c>
    </row>
    <row r="454" spans="21:24">
      <c r="U454" s="3">
        <v>22.2</v>
      </c>
      <c r="V454" s="4">
        <f t="shared" si="22"/>
        <v>0.10309821387029529</v>
      </c>
      <c r="W454" s="3">
        <f t="shared" si="24"/>
        <v>2</v>
      </c>
      <c r="X454" s="3">
        <f t="shared" si="23"/>
        <v>0.20619642774059058</v>
      </c>
    </row>
    <row r="455" spans="21:24">
      <c r="U455" s="3">
        <v>22.25</v>
      </c>
      <c r="V455" s="4">
        <f t="shared" si="22"/>
        <v>0.10230778533741455</v>
      </c>
      <c r="W455" s="3">
        <f t="shared" si="24"/>
        <v>4</v>
      </c>
      <c r="X455" s="3">
        <f t="shared" si="23"/>
        <v>0.40923114134965821</v>
      </c>
    </row>
    <row r="456" spans="21:24">
      <c r="U456" s="3">
        <v>22.3</v>
      </c>
      <c r="V456" s="4">
        <f t="shared" si="22"/>
        <v>0.10152077064176565</v>
      </c>
      <c r="W456" s="3">
        <f t="shared" si="24"/>
        <v>2</v>
      </c>
      <c r="X456" s="3">
        <f t="shared" si="23"/>
        <v>0.2030415412835313</v>
      </c>
    </row>
    <row r="457" spans="21:24">
      <c r="U457" s="3">
        <v>22.35</v>
      </c>
      <c r="V457" s="4">
        <f t="shared" si="22"/>
        <v>0.10073717549363054</v>
      </c>
      <c r="W457" s="3">
        <f t="shared" si="24"/>
        <v>4</v>
      </c>
      <c r="X457" s="3">
        <f t="shared" si="23"/>
        <v>0.40294870197452215</v>
      </c>
    </row>
    <row r="458" spans="21:24">
      <c r="U458" s="3">
        <v>22.4</v>
      </c>
      <c r="V458" s="4">
        <f t="shared" si="22"/>
        <v>9.995700546938513E-2</v>
      </c>
      <c r="W458" s="3">
        <f t="shared" si="24"/>
        <v>2</v>
      </c>
      <c r="X458" s="3">
        <f t="shared" si="23"/>
        <v>0.19991401093877026</v>
      </c>
    </row>
    <row r="459" spans="21:24">
      <c r="U459" s="3">
        <v>22.45</v>
      </c>
      <c r="V459" s="4">
        <f t="shared" ref="V459:V522" si="25">EXP(-(B$3*(70+U459)+0.5*B$4*((70+U459)^2)+(B$5/LN(B$6))*((B$6^(70+U459))-1)))</f>
        <v>9.918026601097249E-2</v>
      </c>
      <c r="W459" s="3">
        <f t="shared" si="24"/>
        <v>4</v>
      </c>
      <c r="X459" s="3">
        <f t="shared" ref="X459:X522" si="26">V459*W459</f>
        <v>0.39672106404388996</v>
      </c>
    </row>
    <row r="460" spans="21:24">
      <c r="U460" s="3">
        <v>22.5</v>
      </c>
      <c r="V460" s="4">
        <f t="shared" si="25"/>
        <v>9.8406962425384603E-2</v>
      </c>
      <c r="W460" s="3">
        <f t="shared" si="24"/>
        <v>2</v>
      </c>
      <c r="X460" s="3">
        <f t="shared" si="26"/>
        <v>0.19681392485076921</v>
      </c>
    </row>
    <row r="461" spans="21:24">
      <c r="U461" s="3">
        <v>22.55</v>
      </c>
      <c r="V461" s="4">
        <f t="shared" si="25"/>
        <v>9.7637099884155698E-2</v>
      </c>
      <c r="W461" s="3">
        <f t="shared" ref="W461:W524" si="27">IF(W460=4,2,4)</f>
        <v>4</v>
      </c>
      <c r="X461" s="3">
        <f t="shared" si="26"/>
        <v>0.39054839953662279</v>
      </c>
    </row>
    <row r="462" spans="21:24">
      <c r="U462" s="3">
        <v>22.6</v>
      </c>
      <c r="V462" s="4">
        <f t="shared" si="25"/>
        <v>9.6870683422866283E-2</v>
      </c>
      <c r="W462" s="3">
        <f t="shared" si="27"/>
        <v>2</v>
      </c>
      <c r="X462" s="3">
        <f t="shared" si="26"/>
        <v>0.19374136684573257</v>
      </c>
    </row>
    <row r="463" spans="21:24">
      <c r="U463" s="3">
        <v>22.65</v>
      </c>
      <c r="V463" s="4">
        <f t="shared" si="25"/>
        <v>9.6107717940656284E-2</v>
      </c>
      <c r="W463" s="3">
        <f t="shared" si="27"/>
        <v>4</v>
      </c>
      <c r="X463" s="3">
        <f t="shared" si="26"/>
        <v>0.38443087176262514</v>
      </c>
    </row>
    <row r="464" spans="21:24">
      <c r="U464" s="3">
        <v>22.7</v>
      </c>
      <c r="V464" s="4">
        <f t="shared" si="25"/>
        <v>9.5348208199750248E-2</v>
      </c>
      <c r="W464" s="3">
        <f t="shared" si="27"/>
        <v>2</v>
      </c>
      <c r="X464" s="3">
        <f t="shared" si="26"/>
        <v>0.1906964163995005</v>
      </c>
    </row>
    <row r="465" spans="21:24">
      <c r="U465" s="3">
        <v>22.75</v>
      </c>
      <c r="V465" s="4">
        <f t="shared" si="25"/>
        <v>9.4592158824991848E-2</v>
      </c>
      <c r="W465" s="3">
        <f t="shared" si="27"/>
        <v>4</v>
      </c>
      <c r="X465" s="3">
        <f t="shared" si="26"/>
        <v>0.37836863529996739</v>
      </c>
    </row>
    <row r="466" spans="21:24">
      <c r="U466" s="3">
        <v>22.8</v>
      </c>
      <c r="V466" s="4">
        <f t="shared" si="25"/>
        <v>9.3839574303389864E-2</v>
      </c>
      <c r="W466" s="3">
        <f t="shared" si="27"/>
        <v>2</v>
      </c>
      <c r="X466" s="3">
        <f t="shared" si="26"/>
        <v>0.18767914860677973</v>
      </c>
    </row>
    <row r="467" spans="21:24">
      <c r="U467" s="3">
        <v>22.85</v>
      </c>
      <c r="V467" s="4">
        <f t="shared" si="25"/>
        <v>9.3090458983676197E-2</v>
      </c>
      <c r="W467" s="3">
        <f t="shared" si="27"/>
        <v>4</v>
      </c>
      <c r="X467" s="3">
        <f t="shared" si="26"/>
        <v>0.37236183593470479</v>
      </c>
    </row>
    <row r="468" spans="21:24">
      <c r="U468" s="3">
        <v>22.9</v>
      </c>
      <c r="V468" s="4">
        <f t="shared" si="25"/>
        <v>9.2344817075872124E-2</v>
      </c>
      <c r="W468" s="3">
        <f t="shared" si="27"/>
        <v>2</v>
      </c>
      <c r="X468" s="3">
        <f t="shared" si="26"/>
        <v>0.18468963415174425</v>
      </c>
    </row>
    <row r="469" spans="21:24">
      <c r="U469" s="3">
        <v>22.95</v>
      </c>
      <c r="V469" s="4">
        <f t="shared" si="25"/>
        <v>9.1602652650868713E-2</v>
      </c>
      <c r="W469" s="3">
        <f t="shared" si="27"/>
        <v>4</v>
      </c>
      <c r="X469" s="3">
        <f t="shared" si="26"/>
        <v>0.36641061060347485</v>
      </c>
    </row>
    <row r="470" spans="21:24">
      <c r="U470" s="3">
        <v>23</v>
      </c>
      <c r="V470" s="4">
        <f t="shared" si="25"/>
        <v>9.0863969640017125E-2</v>
      </c>
      <c r="W470" s="3">
        <f t="shared" si="27"/>
        <v>2</v>
      </c>
      <c r="X470" s="3">
        <f t="shared" si="26"/>
        <v>0.18172793928003425</v>
      </c>
    </row>
    <row r="471" spans="21:24">
      <c r="U471" s="3">
        <v>23.05</v>
      </c>
      <c r="V471" s="4">
        <f t="shared" si="25"/>
        <v>9.012877183472548E-2</v>
      </c>
      <c r="W471" s="3">
        <f t="shared" si="27"/>
        <v>4</v>
      </c>
      <c r="X471" s="3">
        <f t="shared" si="26"/>
        <v>0.36051508733890192</v>
      </c>
    </row>
    <row r="472" spans="21:24">
      <c r="U472" s="3">
        <v>23.1</v>
      </c>
      <c r="V472" s="4">
        <f t="shared" si="25"/>
        <v>8.9397062886082165E-2</v>
      </c>
      <c r="W472" s="3">
        <f t="shared" si="27"/>
        <v>2</v>
      </c>
      <c r="X472" s="3">
        <f t="shared" si="26"/>
        <v>0.17879412577216433</v>
      </c>
    </row>
    <row r="473" spans="21:24">
      <c r="U473" s="3">
        <v>23.15</v>
      </c>
      <c r="V473" s="4">
        <f t="shared" si="25"/>
        <v>8.8668846304469889E-2</v>
      </c>
      <c r="W473" s="3">
        <f t="shared" si="27"/>
        <v>4</v>
      </c>
      <c r="X473" s="3">
        <f t="shared" si="26"/>
        <v>0.35467538521787956</v>
      </c>
    </row>
    <row r="474" spans="21:24">
      <c r="U474" s="3">
        <v>23.2</v>
      </c>
      <c r="V474" s="4">
        <f t="shared" si="25"/>
        <v>8.7944125459207392E-2</v>
      </c>
      <c r="W474" s="3">
        <f t="shared" si="27"/>
        <v>2</v>
      </c>
      <c r="X474" s="3">
        <f t="shared" si="26"/>
        <v>0.17588825091841478</v>
      </c>
    </row>
    <row r="475" spans="21:24">
      <c r="U475" s="3">
        <v>23.25</v>
      </c>
      <c r="V475" s="4">
        <f t="shared" si="25"/>
        <v>8.7222903578195454E-2</v>
      </c>
      <c r="W475" s="3">
        <f t="shared" si="27"/>
        <v>4</v>
      </c>
      <c r="X475" s="3">
        <f t="shared" si="26"/>
        <v>0.34889161431278182</v>
      </c>
    </row>
    <row r="476" spans="21:24">
      <c r="U476" s="3">
        <v>23.3</v>
      </c>
      <c r="V476" s="4">
        <f t="shared" si="25"/>
        <v>8.6505183747577818E-2</v>
      </c>
      <c r="W476" s="3">
        <f t="shared" si="27"/>
        <v>2</v>
      </c>
      <c r="X476" s="3">
        <f t="shared" si="26"/>
        <v>0.17301036749515564</v>
      </c>
    </row>
    <row r="477" spans="21:24">
      <c r="U477" s="3">
        <v>23.35</v>
      </c>
      <c r="V477" s="4">
        <f t="shared" si="25"/>
        <v>8.5790968911411469E-2</v>
      </c>
      <c r="W477" s="3">
        <f t="shared" si="27"/>
        <v>4</v>
      </c>
      <c r="X477" s="3">
        <f t="shared" si="26"/>
        <v>0.34316387564564588</v>
      </c>
    </row>
    <row r="478" spans="21:24">
      <c r="U478" s="3">
        <v>23.4</v>
      </c>
      <c r="V478" s="4">
        <f t="shared" si="25"/>
        <v>8.508026187135119E-2</v>
      </c>
      <c r="W478" s="3">
        <f t="shared" si="27"/>
        <v>2</v>
      </c>
      <c r="X478" s="3">
        <f t="shared" si="26"/>
        <v>0.17016052374270238</v>
      </c>
    </row>
    <row r="479" spans="21:24">
      <c r="U479" s="3">
        <v>23.45</v>
      </c>
      <c r="V479" s="4">
        <f t="shared" si="25"/>
        <v>8.4373065286345347E-2</v>
      </c>
      <c r="W479" s="3">
        <f t="shared" si="27"/>
        <v>4</v>
      </c>
      <c r="X479" s="3">
        <f t="shared" si="26"/>
        <v>0.33749226114538139</v>
      </c>
    </row>
    <row r="480" spans="21:24">
      <c r="U480" s="3">
        <v>23.5</v>
      </c>
      <c r="V480" s="4">
        <f t="shared" si="25"/>
        <v>8.366938167234314E-2</v>
      </c>
      <c r="W480" s="3">
        <f t="shared" si="27"/>
        <v>2</v>
      </c>
      <c r="X480" s="3">
        <f t="shared" si="26"/>
        <v>0.16733876334468628</v>
      </c>
    </row>
    <row r="481" spans="21:24">
      <c r="U481" s="3">
        <v>23.55</v>
      </c>
      <c r="V481" s="4">
        <f t="shared" si="25"/>
        <v>8.296921340201549E-2</v>
      </c>
      <c r="W481" s="3">
        <f t="shared" si="27"/>
        <v>4</v>
      </c>
      <c r="X481" s="3">
        <f t="shared" si="26"/>
        <v>0.33187685360806196</v>
      </c>
    </row>
    <row r="482" spans="21:24">
      <c r="U482" s="3">
        <v>23.6</v>
      </c>
      <c r="V482" s="4">
        <f t="shared" si="25"/>
        <v>8.2272562704487462E-2</v>
      </c>
      <c r="W482" s="3">
        <f t="shared" si="27"/>
        <v>2</v>
      </c>
      <c r="X482" s="3">
        <f t="shared" si="26"/>
        <v>0.16454512540897492</v>
      </c>
    </row>
    <row r="483" spans="21:24">
      <c r="U483" s="3">
        <v>23.65</v>
      </c>
      <c r="V483" s="4">
        <f t="shared" si="25"/>
        <v>8.1579431665083024E-2</v>
      </c>
      <c r="W483" s="3">
        <f t="shared" si="27"/>
        <v>4</v>
      </c>
      <c r="X483" s="3">
        <f t="shared" si="26"/>
        <v>0.3263177266603321</v>
      </c>
    </row>
    <row r="484" spans="21:24">
      <c r="U484" s="3">
        <v>23.7</v>
      </c>
      <c r="V484" s="4">
        <f t="shared" si="25"/>
        <v>8.0889822225083868E-2</v>
      </c>
      <c r="W484" s="3">
        <f t="shared" si="27"/>
        <v>2</v>
      </c>
      <c r="X484" s="3">
        <f t="shared" si="26"/>
        <v>0.16177964445016774</v>
      </c>
    </row>
    <row r="485" spans="21:24">
      <c r="U485" s="3">
        <v>23.75</v>
      </c>
      <c r="V485" s="4">
        <f t="shared" si="25"/>
        <v>8.0203736181498286E-2</v>
      </c>
      <c r="W485" s="3">
        <f t="shared" si="27"/>
        <v>4</v>
      </c>
      <c r="X485" s="3">
        <f t="shared" si="26"/>
        <v>0.32081494472599315</v>
      </c>
    </row>
    <row r="486" spans="21:24">
      <c r="U486" s="3">
        <v>23.8</v>
      </c>
      <c r="V486" s="4">
        <f t="shared" si="25"/>
        <v>7.9521175186844803E-2</v>
      </c>
      <c r="W486" s="3">
        <f t="shared" si="27"/>
        <v>2</v>
      </c>
      <c r="X486" s="3">
        <f t="shared" si="26"/>
        <v>0.15904235037368961</v>
      </c>
    </row>
    <row r="487" spans="21:24">
      <c r="U487" s="3">
        <v>23.85</v>
      </c>
      <c r="V487" s="4">
        <f t="shared" si="25"/>
        <v>7.8842140748948727E-2</v>
      </c>
      <c r="W487" s="3">
        <f t="shared" si="27"/>
        <v>4</v>
      </c>
      <c r="X487" s="3">
        <f t="shared" si="26"/>
        <v>0.31536856299579491</v>
      </c>
    </row>
    <row r="488" spans="21:24">
      <c r="U488" s="3">
        <v>23.9</v>
      </c>
      <c r="V488" s="4">
        <f t="shared" si="25"/>
        <v>7.8166634230749571E-2</v>
      </c>
      <c r="W488" s="3">
        <f t="shared" si="27"/>
        <v>2</v>
      </c>
      <c r="X488" s="3">
        <f t="shared" si="26"/>
        <v>0.15633326846149914</v>
      </c>
    </row>
    <row r="489" spans="21:24">
      <c r="U489" s="3">
        <v>23.95</v>
      </c>
      <c r="V489" s="4">
        <f t="shared" si="25"/>
        <v>7.7494656850124188E-2</v>
      </c>
      <c r="W489" s="3">
        <f t="shared" si="27"/>
        <v>4</v>
      </c>
      <c r="X489" s="3">
        <f t="shared" si="26"/>
        <v>0.30997862740049675</v>
      </c>
    </row>
    <row r="490" spans="21:24">
      <c r="U490" s="3">
        <v>24</v>
      </c>
      <c r="V490" s="4">
        <f t="shared" si="25"/>
        <v>7.6826209679721438E-2</v>
      </c>
      <c r="W490" s="3">
        <f t="shared" si="27"/>
        <v>2</v>
      </c>
      <c r="X490" s="3">
        <f t="shared" si="26"/>
        <v>0.15365241935944288</v>
      </c>
    </row>
    <row r="491" spans="21:24">
      <c r="U491" s="3">
        <v>24.05</v>
      </c>
      <c r="V491" s="4">
        <f t="shared" si="25"/>
        <v>7.6161293646805697E-2</v>
      </c>
      <c r="W491" s="3">
        <f t="shared" si="27"/>
        <v>4</v>
      </c>
      <c r="X491" s="3">
        <f t="shared" si="26"/>
        <v>0.30464517458722279</v>
      </c>
    </row>
    <row r="492" spans="21:24">
      <c r="U492" s="3">
        <v>24.1</v>
      </c>
      <c r="V492" s="4">
        <f t="shared" si="25"/>
        <v>7.5499909533127893E-2</v>
      </c>
      <c r="W492" s="3">
        <f t="shared" si="27"/>
        <v>2</v>
      </c>
      <c r="X492" s="3">
        <f t="shared" si="26"/>
        <v>0.15099981906625579</v>
      </c>
    </row>
    <row r="493" spans="21:24">
      <c r="U493" s="3">
        <v>24.15</v>
      </c>
      <c r="V493" s="4">
        <f t="shared" si="25"/>
        <v>7.4842057974789766E-2</v>
      </c>
      <c r="W493" s="3">
        <f t="shared" si="27"/>
        <v>4</v>
      </c>
      <c r="X493" s="3">
        <f t="shared" si="26"/>
        <v>0.29936823189915907</v>
      </c>
    </row>
    <row r="494" spans="21:24">
      <c r="U494" s="3">
        <v>24.2</v>
      </c>
      <c r="V494" s="4">
        <f t="shared" si="25"/>
        <v>7.4187739462137137E-2</v>
      </c>
      <c r="W494" s="3">
        <f t="shared" si="27"/>
        <v>2</v>
      </c>
      <c r="X494" s="3">
        <f t="shared" si="26"/>
        <v>0.14837547892427427</v>
      </c>
    </row>
    <row r="495" spans="21:24">
      <c r="U495" s="3">
        <v>24.25</v>
      </c>
      <c r="V495" s="4">
        <f t="shared" si="25"/>
        <v>7.3536954339659247E-2</v>
      </c>
      <c r="W495" s="3">
        <f t="shared" si="27"/>
        <v>4</v>
      </c>
      <c r="X495" s="3">
        <f t="shared" si="26"/>
        <v>0.29414781735863699</v>
      </c>
    </row>
    <row r="496" spans="21:24">
      <c r="U496" s="3">
        <v>24.3</v>
      </c>
      <c r="V496" s="4">
        <f t="shared" si="25"/>
        <v>7.2889702805904649E-2</v>
      </c>
      <c r="W496" s="3">
        <f t="shared" si="27"/>
        <v>2</v>
      </c>
      <c r="X496" s="3">
        <f t="shared" si="26"/>
        <v>0.1457794056118093</v>
      </c>
    </row>
    <row r="497" spans="21:24">
      <c r="U497" s="3">
        <v>24.35</v>
      </c>
      <c r="V497" s="4">
        <f t="shared" si="25"/>
        <v>7.2245984913408126E-2</v>
      </c>
      <c r="W497" s="3">
        <f t="shared" si="27"/>
        <v>4</v>
      </c>
      <c r="X497" s="3">
        <f t="shared" si="26"/>
        <v>0.2889839396536325</v>
      </c>
    </row>
    <row r="498" spans="21:24">
      <c r="U498" s="3">
        <v>24.4</v>
      </c>
      <c r="V498" s="4">
        <f t="shared" si="25"/>
        <v>7.1605800568633318E-2</v>
      </c>
      <c r="W498" s="3">
        <f t="shared" si="27"/>
        <v>2</v>
      </c>
      <c r="X498" s="3">
        <f t="shared" si="26"/>
        <v>0.14321160113726664</v>
      </c>
    </row>
    <row r="499" spans="21:24">
      <c r="U499" s="3">
        <v>24.45</v>
      </c>
      <c r="V499" s="4">
        <f t="shared" si="25"/>
        <v>7.0969149531928677E-2</v>
      </c>
      <c r="W499" s="3">
        <f t="shared" si="27"/>
        <v>4</v>
      </c>
      <c r="X499" s="3">
        <f t="shared" si="26"/>
        <v>0.28387659812771471</v>
      </c>
    </row>
    <row r="500" spans="21:24">
      <c r="U500" s="3">
        <v>24.5</v>
      </c>
      <c r="V500" s="4">
        <f t="shared" si="25"/>
        <v>7.0336031417495809E-2</v>
      </c>
      <c r="W500" s="3">
        <f t="shared" si="27"/>
        <v>2</v>
      </c>
      <c r="X500" s="3">
        <f t="shared" si="26"/>
        <v>0.14067206283499162</v>
      </c>
    </row>
    <row r="501" spans="21:24">
      <c r="U501" s="3">
        <v>24.55</v>
      </c>
      <c r="V501" s="4">
        <f t="shared" si="25"/>
        <v>6.9706445693373309E-2</v>
      </c>
      <c r="W501" s="3">
        <f t="shared" si="27"/>
        <v>4</v>
      </c>
      <c r="X501" s="3">
        <f t="shared" si="26"/>
        <v>0.27882578277349324</v>
      </c>
    </row>
    <row r="502" spans="21:24">
      <c r="U502" s="3">
        <v>24.6</v>
      </c>
      <c r="V502" s="4">
        <f t="shared" si="25"/>
        <v>6.9080391681433539E-2</v>
      </c>
      <c r="W502" s="3">
        <f t="shared" si="27"/>
        <v>2</v>
      </c>
      <c r="X502" s="3">
        <f t="shared" si="26"/>
        <v>0.13816078336286708</v>
      </c>
    </row>
    <row r="503" spans="21:24">
      <c r="U503" s="3">
        <v>24.65</v>
      </c>
      <c r="V503" s="4">
        <f t="shared" si="25"/>
        <v>6.8457868557393498E-2</v>
      </c>
      <c r="W503" s="3">
        <f t="shared" si="27"/>
        <v>4</v>
      </c>
      <c r="X503" s="3">
        <f t="shared" si="26"/>
        <v>0.27383147422957399</v>
      </c>
    </row>
    <row r="504" spans="21:24">
      <c r="U504" s="3">
        <v>24.7</v>
      </c>
      <c r="V504" s="4">
        <f t="shared" si="25"/>
        <v>6.783887535084035E-2</v>
      </c>
      <c r="W504" s="3">
        <f t="shared" si="27"/>
        <v>2</v>
      </c>
      <c r="X504" s="3">
        <f t="shared" si="26"/>
        <v>0.1356777507016807</v>
      </c>
    </row>
    <row r="505" spans="21:24">
      <c r="U505" s="3">
        <v>24.75</v>
      </c>
      <c r="V505" s="4">
        <f t="shared" si="25"/>
        <v>6.7223410945269346E-2</v>
      </c>
      <c r="W505" s="3">
        <f t="shared" si="27"/>
        <v>4</v>
      </c>
      <c r="X505" s="3">
        <f t="shared" si="26"/>
        <v>0.26889364378107738</v>
      </c>
    </row>
    <row r="506" spans="21:24">
      <c r="U506" s="3">
        <v>24.8</v>
      </c>
      <c r="V506" s="4">
        <f t="shared" si="25"/>
        <v>6.6611474078137362E-2</v>
      </c>
      <c r="W506" s="3">
        <f t="shared" si="27"/>
        <v>2</v>
      </c>
      <c r="X506" s="3">
        <f t="shared" si="26"/>
        <v>0.13322294815627472</v>
      </c>
    </row>
    <row r="507" spans="21:24">
      <c r="U507" s="3">
        <v>24.85</v>
      </c>
      <c r="V507" s="4">
        <f t="shared" si="25"/>
        <v>6.6003063340930812E-2</v>
      </c>
      <c r="W507" s="3">
        <f t="shared" si="27"/>
        <v>4</v>
      </c>
      <c r="X507" s="3">
        <f t="shared" si="26"/>
        <v>0.26401225336372325</v>
      </c>
    </row>
    <row r="508" spans="21:24">
      <c r="U508" s="3">
        <v>24.9</v>
      </c>
      <c r="V508" s="4">
        <f t="shared" si="25"/>
        <v>6.539817717924537E-2</v>
      </c>
      <c r="W508" s="3">
        <f t="shared" si="27"/>
        <v>2</v>
      </c>
      <c r="X508" s="3">
        <f t="shared" si="26"/>
        <v>0.13079635435849074</v>
      </c>
    </row>
    <row r="509" spans="21:24">
      <c r="U509" s="3">
        <v>24.95</v>
      </c>
      <c r="V509" s="4">
        <f t="shared" si="25"/>
        <v>6.4796813892883262E-2</v>
      </c>
      <c r="W509" s="3">
        <f t="shared" si="27"/>
        <v>4</v>
      </c>
      <c r="X509" s="3">
        <f t="shared" si="26"/>
        <v>0.25918725557153305</v>
      </c>
    </row>
    <row r="510" spans="21:24">
      <c r="U510" s="3">
        <v>25</v>
      </c>
      <c r="V510" s="4">
        <f t="shared" si="25"/>
        <v>6.4198971635962707E-2</v>
      </c>
      <c r="W510" s="3">
        <f t="shared" si="27"/>
        <v>2</v>
      </c>
      <c r="X510" s="3">
        <f t="shared" si="26"/>
        <v>0.12839794327192541</v>
      </c>
    </row>
    <row r="511" spans="21:24">
      <c r="U511" s="3">
        <v>25.05</v>
      </c>
      <c r="V511" s="4">
        <f t="shared" si="25"/>
        <v>6.3604648417038431E-2</v>
      </c>
      <c r="W511" s="3">
        <f t="shared" si="27"/>
        <v>4</v>
      </c>
      <c r="X511" s="3">
        <f t="shared" si="26"/>
        <v>0.25441859366815373</v>
      </c>
    </row>
    <row r="512" spans="21:24">
      <c r="U512" s="3">
        <v>25.1</v>
      </c>
      <c r="V512" s="4">
        <f t="shared" si="25"/>
        <v>6.3013842099248499E-2</v>
      </c>
      <c r="W512" s="3">
        <f t="shared" si="27"/>
        <v>2</v>
      </c>
      <c r="X512" s="3">
        <f t="shared" si="26"/>
        <v>0.126027684198497</v>
      </c>
    </row>
    <row r="513" spans="21:24">
      <c r="U513" s="3">
        <v>25.15</v>
      </c>
      <c r="V513" s="4">
        <f t="shared" si="25"/>
        <v>6.2426550400458636E-2</v>
      </c>
      <c r="W513" s="3">
        <f t="shared" si="27"/>
        <v>4</v>
      </c>
      <c r="X513" s="3">
        <f t="shared" si="26"/>
        <v>0.24970620160183454</v>
      </c>
    </row>
    <row r="514" spans="21:24">
      <c r="U514" s="3">
        <v>25.2</v>
      </c>
      <c r="V514" s="4">
        <f t="shared" si="25"/>
        <v>6.1842770893434214E-2</v>
      </c>
      <c r="W514" s="3">
        <f t="shared" si="27"/>
        <v>2</v>
      </c>
      <c r="X514" s="3">
        <f t="shared" si="26"/>
        <v>0.12368554178686843</v>
      </c>
    </row>
    <row r="515" spans="21:24">
      <c r="U515" s="3">
        <v>25.25</v>
      </c>
      <c r="V515" s="4">
        <f t="shared" si="25"/>
        <v>6.1262501006020278E-2</v>
      </c>
      <c r="W515" s="3">
        <f t="shared" si="27"/>
        <v>4</v>
      </c>
      <c r="X515" s="3">
        <f t="shared" si="26"/>
        <v>0.24505000402408111</v>
      </c>
    </row>
    <row r="516" spans="21:24">
      <c r="U516" s="3">
        <v>25.3</v>
      </c>
      <c r="V516" s="4">
        <f t="shared" si="25"/>
        <v>6.0685738021338864E-2</v>
      </c>
      <c r="W516" s="3">
        <f t="shared" si="27"/>
        <v>2</v>
      </c>
      <c r="X516" s="3">
        <f t="shared" si="26"/>
        <v>0.12137147604267773</v>
      </c>
    </row>
    <row r="517" spans="21:24">
      <c r="U517" s="3">
        <v>25.35</v>
      </c>
      <c r="V517" s="4">
        <f t="shared" si="25"/>
        <v>6.0112479077998694E-2</v>
      </c>
      <c r="W517" s="3">
        <f t="shared" si="27"/>
        <v>4</v>
      </c>
      <c r="X517" s="3">
        <f t="shared" si="26"/>
        <v>0.24044991631199478</v>
      </c>
    </row>
    <row r="518" spans="21:24">
      <c r="U518" s="3">
        <v>25.4</v>
      </c>
      <c r="V518" s="4">
        <f t="shared" si="25"/>
        <v>5.9542721170320917E-2</v>
      </c>
      <c r="W518" s="3">
        <f t="shared" si="27"/>
        <v>2</v>
      </c>
      <c r="X518" s="3">
        <f t="shared" si="26"/>
        <v>0.11908544234064183</v>
      </c>
    </row>
    <row r="519" spans="21:24">
      <c r="U519" s="3">
        <v>25.45</v>
      </c>
      <c r="V519" s="4">
        <f t="shared" si="25"/>
        <v>5.8976461148579351E-2</v>
      </c>
      <c r="W519" s="3">
        <f t="shared" si="27"/>
        <v>4</v>
      </c>
      <c r="X519" s="3">
        <f t="shared" si="26"/>
        <v>0.2359058445943174</v>
      </c>
    </row>
    <row r="520" spans="21:24">
      <c r="U520" s="3">
        <v>25.5</v>
      </c>
      <c r="V520" s="4">
        <f t="shared" si="25"/>
        <v>5.8413695719253894E-2</v>
      </c>
      <c r="W520" s="3">
        <f t="shared" si="27"/>
        <v>2</v>
      </c>
      <c r="X520" s="3">
        <f t="shared" si="26"/>
        <v>0.11682739143850779</v>
      </c>
    </row>
    <row r="521" spans="21:24">
      <c r="U521" s="3">
        <v>25.55</v>
      </c>
      <c r="V521" s="4">
        <f t="shared" si="25"/>
        <v>5.7854421445300341E-2</v>
      </c>
      <c r="W521" s="3">
        <f t="shared" si="27"/>
        <v>4</v>
      </c>
      <c r="X521" s="3">
        <f t="shared" si="26"/>
        <v>0.23141768578120137</v>
      </c>
    </row>
    <row r="522" spans="21:24">
      <c r="U522" s="3">
        <v>25.6</v>
      </c>
      <c r="V522" s="4">
        <f t="shared" si="25"/>
        <v>5.7298634746433527E-2</v>
      </c>
      <c r="W522" s="3">
        <f t="shared" si="27"/>
        <v>2</v>
      </c>
      <c r="X522" s="3">
        <f t="shared" si="26"/>
        <v>0.11459726949286705</v>
      </c>
    </row>
    <row r="523" spans="21:24">
      <c r="U523" s="3">
        <v>25.65</v>
      </c>
      <c r="V523" s="4">
        <f t="shared" ref="V523:V586" si="28">EXP(-(B$3*(70+U523)+0.5*B$4*((70+U523)^2)+(B$5/LN(B$6))*((B$6^(70+U523))-1)))</f>
        <v>5.6746331899425594E-2</v>
      </c>
      <c r="W523" s="3">
        <f t="shared" si="27"/>
        <v>4</v>
      </c>
      <c r="X523" s="3">
        <f t="shared" ref="X523:X586" si="29">V523*W523</f>
        <v>0.22698532759770237</v>
      </c>
    </row>
    <row r="524" spans="21:24">
      <c r="U524" s="3">
        <v>25.7</v>
      </c>
      <c r="V524" s="4">
        <f t="shared" si="28"/>
        <v>5.6197509038419455E-2</v>
      </c>
      <c r="W524" s="3">
        <f t="shared" si="27"/>
        <v>2</v>
      </c>
      <c r="X524" s="3">
        <f t="shared" si="29"/>
        <v>0.11239501807683891</v>
      </c>
    </row>
    <row r="525" spans="21:24">
      <c r="U525" s="3">
        <v>25.75</v>
      </c>
      <c r="V525" s="4">
        <f t="shared" si="28"/>
        <v>5.5652162155255175E-2</v>
      </c>
      <c r="W525" s="3">
        <f t="shared" ref="W525:W588" si="30">IF(W524=4,2,4)</f>
        <v>4</v>
      </c>
      <c r="X525" s="3">
        <f t="shared" si="29"/>
        <v>0.2226086486210207</v>
      </c>
    </row>
    <row r="526" spans="21:24">
      <c r="U526" s="3">
        <v>25.8</v>
      </c>
      <c r="V526" s="4">
        <f t="shared" si="28"/>
        <v>5.5110287099812839E-2</v>
      </c>
      <c r="W526" s="3">
        <f t="shared" si="30"/>
        <v>2</v>
      </c>
      <c r="X526" s="3">
        <f t="shared" si="29"/>
        <v>0.11022057419962568</v>
      </c>
    </row>
    <row r="527" spans="21:24">
      <c r="U527" s="3">
        <v>25.85</v>
      </c>
      <c r="V527" s="4">
        <f t="shared" si="28"/>
        <v>5.4571879580369555E-2</v>
      </c>
      <c r="W527" s="3">
        <f t="shared" si="30"/>
        <v>4</v>
      </c>
      <c r="X527" s="3">
        <f t="shared" si="29"/>
        <v>0.21828751832147822</v>
      </c>
    </row>
    <row r="528" spans="21:24">
      <c r="U528" s="3">
        <v>25.9</v>
      </c>
      <c r="V528" s="4">
        <f t="shared" si="28"/>
        <v>5.4036935163970068E-2</v>
      </c>
      <c r="W528" s="3">
        <f t="shared" si="30"/>
        <v>2</v>
      </c>
      <c r="X528" s="3">
        <f t="shared" si="29"/>
        <v>0.10807387032794014</v>
      </c>
    </row>
    <row r="529" spans="21:24">
      <c r="U529" s="3">
        <v>25.95</v>
      </c>
      <c r="V529" s="4">
        <f t="shared" si="28"/>
        <v>5.350544927681386E-2</v>
      </c>
      <c r="W529" s="3">
        <f t="shared" si="30"/>
        <v>4</v>
      </c>
      <c r="X529" s="3">
        <f t="shared" si="29"/>
        <v>0.21402179710725544</v>
      </c>
    </row>
    <row r="530" spans="21:24">
      <c r="U530" s="3">
        <v>26</v>
      </c>
      <c r="V530" s="4">
        <f t="shared" si="28"/>
        <v>5.2977417204655881E-2</v>
      </c>
      <c r="W530" s="3">
        <f t="shared" si="30"/>
        <v>2</v>
      </c>
      <c r="X530" s="3">
        <f t="shared" si="29"/>
        <v>0.10595483440931176</v>
      </c>
    </row>
    <row r="531" spans="21:24">
      <c r="U531" s="3">
        <v>26.05</v>
      </c>
      <c r="V531" s="4">
        <f t="shared" si="28"/>
        <v>5.2452834093218458E-2</v>
      </c>
      <c r="W531" s="3">
        <f t="shared" si="30"/>
        <v>4</v>
      </c>
      <c r="X531" s="3">
        <f t="shared" si="29"/>
        <v>0.20981133637287383</v>
      </c>
    </row>
    <row r="532" spans="21:24">
      <c r="U532" s="3">
        <v>26.1</v>
      </c>
      <c r="V532" s="4">
        <f t="shared" si="28"/>
        <v>5.1931694948629072E-2</v>
      </c>
      <c r="W532" s="3">
        <f t="shared" si="30"/>
        <v>2</v>
      </c>
      <c r="X532" s="3">
        <f t="shared" si="29"/>
        <v>0.10386338989725814</v>
      </c>
    </row>
    <row r="533" spans="21:24">
      <c r="U533" s="3">
        <v>26.15</v>
      </c>
      <c r="V533" s="4">
        <f t="shared" si="28"/>
        <v>5.1413994637857105E-2</v>
      </c>
      <c r="W533" s="3">
        <f t="shared" si="30"/>
        <v>4</v>
      </c>
      <c r="X533" s="3">
        <f t="shared" si="29"/>
        <v>0.20565597855142842</v>
      </c>
    </row>
    <row r="534" spans="21:24">
      <c r="U534" s="3">
        <v>26.2</v>
      </c>
      <c r="V534" s="4">
        <f t="shared" si="28"/>
        <v>5.0899727889177564E-2</v>
      </c>
      <c r="W534" s="3">
        <f t="shared" si="30"/>
        <v>2</v>
      </c>
      <c r="X534" s="3">
        <f t="shared" si="29"/>
        <v>0.10179945577835513</v>
      </c>
    </row>
    <row r="535" spans="21:24">
      <c r="U535" s="3">
        <v>26.25</v>
      </c>
      <c r="V535" s="4">
        <f t="shared" si="28"/>
        <v>5.0388889292643242E-2</v>
      </c>
      <c r="W535" s="3">
        <f t="shared" si="30"/>
        <v>4</v>
      </c>
      <c r="X535" s="3">
        <f t="shared" si="29"/>
        <v>0.20155555717057297</v>
      </c>
    </row>
    <row r="536" spans="21:24">
      <c r="U536" s="3">
        <v>26.3</v>
      </c>
      <c r="V536" s="4">
        <f t="shared" si="28"/>
        <v>4.9881473300574283E-2</v>
      </c>
      <c r="W536" s="3">
        <f t="shared" si="30"/>
        <v>2</v>
      </c>
      <c r="X536" s="3">
        <f t="shared" si="29"/>
        <v>9.9762946601148567E-2</v>
      </c>
    </row>
    <row r="537" spans="21:24">
      <c r="U537" s="3">
        <v>26.35</v>
      </c>
      <c r="V537" s="4">
        <f t="shared" si="28"/>
        <v>4.9377474228060284E-2</v>
      </c>
      <c r="W537" s="3">
        <f t="shared" si="30"/>
        <v>4</v>
      </c>
      <c r="X537" s="3">
        <f t="shared" si="29"/>
        <v>0.19750989691224113</v>
      </c>
    </row>
    <row r="538" spans="21:24">
      <c r="U538" s="3">
        <v>26.4</v>
      </c>
      <c r="V538" s="4">
        <f t="shared" si="28"/>
        <v>4.8876886253478198E-2</v>
      </c>
      <c r="W538" s="3">
        <f t="shared" si="30"/>
        <v>2</v>
      </c>
      <c r="X538" s="3">
        <f t="shared" si="29"/>
        <v>9.7753772506956396E-2</v>
      </c>
    </row>
    <row r="539" spans="21:24">
      <c r="U539" s="3">
        <v>26.45</v>
      </c>
      <c r="V539" s="4">
        <f t="shared" si="28"/>
        <v>4.8379703419024957E-2</v>
      </c>
      <c r="W539" s="3">
        <f t="shared" si="30"/>
        <v>4</v>
      </c>
      <c r="X539" s="3">
        <f t="shared" si="29"/>
        <v>0.19351881367609983</v>
      </c>
    </row>
    <row r="540" spans="21:24">
      <c r="U540" s="3">
        <v>26.5</v>
      </c>
      <c r="V540" s="4">
        <f t="shared" si="28"/>
        <v>4.7885919631263055E-2</v>
      </c>
      <c r="W540" s="3">
        <f t="shared" si="30"/>
        <v>2</v>
      </c>
      <c r="X540" s="3">
        <f t="shared" si="29"/>
        <v>9.5771839262526109E-2</v>
      </c>
    </row>
    <row r="541" spans="21:24">
      <c r="U541" s="3">
        <v>26.55</v>
      </c>
      <c r="V541" s="4">
        <f t="shared" si="28"/>
        <v>4.739552866168225E-2</v>
      </c>
      <c r="W541" s="3">
        <f t="shared" si="30"/>
        <v>4</v>
      </c>
      <c r="X541" s="3">
        <f t="shared" si="29"/>
        <v>0.189582114646729</v>
      </c>
    </row>
    <row r="542" spans="21:24">
      <c r="U542" s="3">
        <v>26.6</v>
      </c>
      <c r="V542" s="4">
        <f t="shared" si="28"/>
        <v>4.6908524147274852E-2</v>
      </c>
      <c r="W542" s="3">
        <f t="shared" si="30"/>
        <v>2</v>
      </c>
      <c r="X542" s="3">
        <f t="shared" si="29"/>
        <v>9.3817048294549704E-2</v>
      </c>
    </row>
    <row r="543" spans="21:24">
      <c r="U543" s="3">
        <v>26.65</v>
      </c>
      <c r="V543" s="4">
        <f t="shared" si="28"/>
        <v>4.6424899591125238E-2</v>
      </c>
      <c r="W543" s="3">
        <f t="shared" si="30"/>
        <v>4</v>
      </c>
      <c r="X543" s="3">
        <f t="shared" si="29"/>
        <v>0.18569959836450095</v>
      </c>
    </row>
    <row r="544" spans="21:24">
      <c r="U544" s="3">
        <v>26.7</v>
      </c>
      <c r="V544" s="4">
        <f t="shared" si="28"/>
        <v>4.594464836301481E-2</v>
      </c>
      <c r="W544" s="3">
        <f t="shared" si="30"/>
        <v>2</v>
      </c>
      <c r="X544" s="3">
        <f t="shared" si="29"/>
        <v>9.1889296726029621E-2</v>
      </c>
    </row>
    <row r="545" spans="21:24">
      <c r="U545" s="3">
        <v>26.75</v>
      </c>
      <c r="V545" s="4">
        <f t="shared" si="28"/>
        <v>4.5467763700039389E-2</v>
      </c>
      <c r="W545" s="3">
        <f t="shared" si="30"/>
        <v>4</v>
      </c>
      <c r="X545" s="3">
        <f t="shared" si="29"/>
        <v>0.18187105480015756</v>
      </c>
    </row>
    <row r="546" spans="21:24">
      <c r="U546" s="3">
        <v>26.8</v>
      </c>
      <c r="V546" s="4">
        <f t="shared" si="28"/>
        <v>4.4994238707242569E-2</v>
      </c>
      <c r="W546" s="3">
        <f t="shared" si="30"/>
        <v>2</v>
      </c>
      <c r="X546" s="3">
        <f t="shared" si="29"/>
        <v>8.9988477414485138E-2</v>
      </c>
    </row>
    <row r="547" spans="21:24">
      <c r="U547" s="3">
        <v>26.85</v>
      </c>
      <c r="V547" s="4">
        <f t="shared" si="28"/>
        <v>4.452406635826283E-2</v>
      </c>
      <c r="W547" s="3">
        <f t="shared" si="30"/>
        <v>4</v>
      </c>
      <c r="X547" s="3">
        <f t="shared" si="29"/>
        <v>0.17809626543305132</v>
      </c>
    </row>
    <row r="548" spans="21:24">
      <c r="U548" s="3">
        <v>26.9</v>
      </c>
      <c r="V548" s="4">
        <f t="shared" si="28"/>
        <v>4.4057239495993827E-2</v>
      </c>
      <c r="W548" s="3">
        <f t="shared" si="30"/>
        <v>2</v>
      </c>
      <c r="X548" s="3">
        <f t="shared" si="29"/>
        <v>8.8114478991987655E-2</v>
      </c>
    </row>
    <row r="549" spans="21:24">
      <c r="U549" s="3">
        <v>26.95</v>
      </c>
      <c r="V549" s="4">
        <f t="shared" si="28"/>
        <v>4.3593750833260503E-2</v>
      </c>
      <c r="W549" s="3">
        <f t="shared" si="30"/>
        <v>4</v>
      </c>
      <c r="X549" s="3">
        <f t="shared" si="29"/>
        <v>0.17437500333304201</v>
      </c>
    </row>
    <row r="550" spans="21:24">
      <c r="U550" s="3">
        <v>27</v>
      </c>
      <c r="V550" s="4">
        <f t="shared" si="28"/>
        <v>4.3133592953508326E-2</v>
      </c>
      <c r="W550" s="3">
        <f t="shared" si="30"/>
        <v>2</v>
      </c>
      <c r="X550" s="3">
        <f t="shared" si="29"/>
        <v>8.6267185907016652E-2</v>
      </c>
    </row>
    <row r="551" spans="21:24">
      <c r="U551" s="3">
        <v>27.05</v>
      </c>
      <c r="V551" s="4">
        <f t="shared" si="28"/>
        <v>4.2676758311503381E-2</v>
      </c>
      <c r="W551" s="3">
        <f t="shared" si="30"/>
        <v>4</v>
      </c>
      <c r="X551" s="3">
        <f t="shared" si="29"/>
        <v>0.17070703324601352</v>
      </c>
    </row>
    <row r="552" spans="21:24">
      <c r="U552" s="3">
        <v>27.1</v>
      </c>
      <c r="V552" s="4">
        <f t="shared" si="28"/>
        <v>4.2223239234056339E-2</v>
      </c>
      <c r="W552" s="3">
        <f t="shared" si="30"/>
        <v>2</v>
      </c>
      <c r="X552" s="3">
        <f t="shared" si="29"/>
        <v>8.4446478468112679E-2</v>
      </c>
    </row>
    <row r="553" spans="21:24">
      <c r="U553" s="3">
        <v>27.15</v>
      </c>
      <c r="V553" s="4">
        <f t="shared" si="28"/>
        <v>4.1773027920746511E-2</v>
      </c>
      <c r="W553" s="3">
        <f t="shared" si="30"/>
        <v>4</v>
      </c>
      <c r="X553" s="3">
        <f t="shared" si="29"/>
        <v>0.16709211168298604</v>
      </c>
    </row>
    <row r="554" spans="21:24">
      <c r="U554" s="3">
        <v>27.2</v>
      </c>
      <c r="V554" s="4">
        <f t="shared" si="28"/>
        <v>4.1326116444670678E-2</v>
      </c>
      <c r="W554" s="3">
        <f t="shared" si="30"/>
        <v>2</v>
      </c>
      <c r="X554" s="3">
        <f t="shared" si="29"/>
        <v>8.2652232889341357E-2</v>
      </c>
    </row>
    <row r="555" spans="21:24">
      <c r="U555" s="3">
        <v>27.25</v>
      </c>
      <c r="V555" s="4">
        <f t="shared" si="28"/>
        <v>4.0882496753199972E-2</v>
      </c>
      <c r="W555" s="3">
        <f t="shared" si="30"/>
        <v>4</v>
      </c>
      <c r="X555" s="3">
        <f t="shared" si="29"/>
        <v>0.16352998701279989</v>
      </c>
    </row>
    <row r="556" spans="21:24">
      <c r="U556" s="3">
        <v>27.3</v>
      </c>
      <c r="V556" s="4">
        <f t="shared" si="28"/>
        <v>4.0442160668753259E-2</v>
      </c>
      <c r="W556" s="3">
        <f t="shared" si="30"/>
        <v>2</v>
      </c>
      <c r="X556" s="3">
        <f t="shared" si="29"/>
        <v>8.0884321337506518E-2</v>
      </c>
    </row>
    <row r="557" spans="21:24">
      <c r="U557" s="3">
        <v>27.35</v>
      </c>
      <c r="V557" s="4">
        <f t="shared" si="28"/>
        <v>4.0005099889581869E-2</v>
      </c>
      <c r="W557" s="3">
        <f t="shared" si="30"/>
        <v>4</v>
      </c>
      <c r="X557" s="3">
        <f t="shared" si="29"/>
        <v>0.16002039955832748</v>
      </c>
    </row>
    <row r="558" spans="21:24">
      <c r="U558" s="3">
        <v>27.4</v>
      </c>
      <c r="V558" s="4">
        <f t="shared" si="28"/>
        <v>3.9571305990569634E-2</v>
      </c>
      <c r="W558" s="3">
        <f t="shared" si="30"/>
        <v>2</v>
      </c>
      <c r="X558" s="3">
        <f t="shared" si="29"/>
        <v>7.9142611981139269E-2</v>
      </c>
    </row>
    <row r="559" spans="21:24">
      <c r="U559" s="3">
        <v>27.45</v>
      </c>
      <c r="V559" s="4">
        <f t="shared" si="28"/>
        <v>3.9140770424045616E-2</v>
      </c>
      <c r="W559" s="3">
        <f t="shared" si="30"/>
        <v>4</v>
      </c>
      <c r="X559" s="3">
        <f t="shared" si="29"/>
        <v>0.15656308169618247</v>
      </c>
    </row>
    <row r="560" spans="21:24">
      <c r="U560" s="3">
        <v>27.5</v>
      </c>
      <c r="V560" s="4">
        <f t="shared" si="28"/>
        <v>3.8713484520609846E-2</v>
      </c>
      <c r="W560" s="3">
        <f t="shared" si="30"/>
        <v>2</v>
      </c>
      <c r="X560" s="3">
        <f t="shared" si="29"/>
        <v>7.7426969041219693E-2</v>
      </c>
    </row>
    <row r="561" spans="21:24">
      <c r="U561" s="3">
        <v>27.55</v>
      </c>
      <c r="V561" s="4">
        <f t="shared" si="28"/>
        <v>3.8289439489973015E-2</v>
      </c>
      <c r="W561" s="3">
        <f t="shared" si="30"/>
        <v>4</v>
      </c>
      <c r="X561" s="3">
        <f t="shared" si="29"/>
        <v>0.15315775795989206</v>
      </c>
    </row>
    <row r="562" spans="21:24">
      <c r="U562" s="3">
        <v>27.6</v>
      </c>
      <c r="V562" s="4">
        <f t="shared" si="28"/>
        <v>3.7868626421808889E-2</v>
      </c>
      <c r="W562" s="3">
        <f t="shared" si="30"/>
        <v>2</v>
      </c>
      <c r="X562" s="3">
        <f t="shared" si="29"/>
        <v>7.5737252843617778E-2</v>
      </c>
    </row>
    <row r="563" spans="21:24">
      <c r="U563" s="3">
        <v>27.65</v>
      </c>
      <c r="V563" s="4">
        <f t="shared" si="28"/>
        <v>3.7451036286619888E-2</v>
      </c>
      <c r="W563" s="3">
        <f t="shared" si="30"/>
        <v>4</v>
      </c>
      <c r="X563" s="3">
        <f t="shared" si="29"/>
        <v>0.14980414514647955</v>
      </c>
    </row>
    <row r="564" spans="21:24">
      <c r="U564" s="3">
        <v>27.7</v>
      </c>
      <c r="V564" s="4">
        <f t="shared" si="28"/>
        <v>3.7036659936616229E-2</v>
      </c>
      <c r="W564" s="3">
        <f t="shared" si="30"/>
        <v>2</v>
      </c>
      <c r="X564" s="3">
        <f t="shared" si="29"/>
        <v>7.4073319873232457E-2</v>
      </c>
    </row>
    <row r="565" spans="21:24">
      <c r="U565" s="3">
        <v>27.75</v>
      </c>
      <c r="V565" s="4">
        <f t="shared" si="28"/>
        <v>3.6625488106606666E-2</v>
      </c>
      <c r="W565" s="3">
        <f t="shared" si="30"/>
        <v>4</v>
      </c>
      <c r="X565" s="3">
        <f t="shared" si="29"/>
        <v>0.14650195242642666</v>
      </c>
    </row>
    <row r="566" spans="21:24">
      <c r="U566" s="3">
        <v>27.8</v>
      </c>
      <c r="V566" s="4">
        <f t="shared" si="28"/>
        <v>3.6217511414903175E-2</v>
      </c>
      <c r="W566" s="3">
        <f t="shared" si="30"/>
        <v>2</v>
      </c>
      <c r="X566" s="3">
        <f t="shared" si="29"/>
        <v>7.243502282980635E-2</v>
      </c>
    </row>
    <row r="567" spans="21:24">
      <c r="U567" s="3">
        <v>27.85</v>
      </c>
      <c r="V567" s="4">
        <f t="shared" si="28"/>
        <v>3.5812720364238382E-2</v>
      </c>
      <c r="W567" s="3">
        <f t="shared" si="30"/>
        <v>4</v>
      </c>
      <c r="X567" s="3">
        <f t="shared" si="29"/>
        <v>0.14325088145695353</v>
      </c>
    </row>
    <row r="568" spans="21:24">
      <c r="U568" s="3">
        <v>27.9</v>
      </c>
      <c r="V568" s="4">
        <f t="shared" si="28"/>
        <v>3.5411105342694406E-2</v>
      </c>
      <c r="W568" s="3">
        <f t="shared" si="30"/>
        <v>2</v>
      </c>
      <c r="X568" s="3">
        <f t="shared" si="29"/>
        <v>7.0822210685388812E-2</v>
      </c>
    </row>
    <row r="569" spans="21:24">
      <c r="U569" s="3">
        <v>27.95</v>
      </c>
      <c r="V569" s="4">
        <f t="shared" si="28"/>
        <v>3.5012656624645713E-2</v>
      </c>
      <c r="W569" s="3">
        <f t="shared" si="30"/>
        <v>4</v>
      </c>
      <c r="X569" s="3">
        <f t="shared" si="29"/>
        <v>0.14005062649858285</v>
      </c>
    </row>
    <row r="570" spans="21:24">
      <c r="U570" s="3">
        <v>28</v>
      </c>
      <c r="V570" s="4">
        <f t="shared" si="28"/>
        <v>3.4617364371713533E-2</v>
      </c>
      <c r="W570" s="3">
        <f t="shared" si="30"/>
        <v>2</v>
      </c>
      <c r="X570" s="3">
        <f t="shared" si="29"/>
        <v>6.9234728743427065E-2</v>
      </c>
    </row>
    <row r="571" spans="21:24">
      <c r="U571" s="3">
        <v>28.05</v>
      </c>
      <c r="V571" s="4">
        <f t="shared" si="28"/>
        <v>3.4225218633730105E-2</v>
      </c>
      <c r="W571" s="3">
        <f t="shared" si="30"/>
        <v>4</v>
      </c>
      <c r="X571" s="3">
        <f t="shared" si="29"/>
        <v>0.13690087453492042</v>
      </c>
    </row>
    <row r="572" spans="21:24">
      <c r="U572" s="3">
        <v>28.1</v>
      </c>
      <c r="V572" s="4">
        <f t="shared" si="28"/>
        <v>3.3836209349723263E-2</v>
      </c>
      <c r="W572" s="3">
        <f t="shared" si="30"/>
        <v>2</v>
      </c>
      <c r="X572" s="3">
        <f t="shared" si="29"/>
        <v>6.7672418699446527E-2</v>
      </c>
    </row>
    <row r="573" spans="21:24">
      <c r="U573" s="3">
        <v>28.15</v>
      </c>
      <c r="V573" s="4">
        <f t="shared" si="28"/>
        <v>3.3450326348901424E-2</v>
      </c>
      <c r="W573" s="3">
        <f t="shared" si="30"/>
        <v>4</v>
      </c>
      <c r="X573" s="3">
        <f t="shared" si="29"/>
        <v>0.1338013053956057</v>
      </c>
    </row>
    <row r="574" spans="21:24">
      <c r="U574" s="3">
        <v>28.2</v>
      </c>
      <c r="V574" s="4">
        <f t="shared" si="28"/>
        <v>3.3067559351659746E-2</v>
      </c>
      <c r="W574" s="3">
        <f t="shared" si="30"/>
        <v>2</v>
      </c>
      <c r="X574" s="3">
        <f t="shared" si="29"/>
        <v>6.6135118703319493E-2</v>
      </c>
    </row>
    <row r="575" spans="21:24">
      <c r="U575" s="3">
        <v>28.25</v>
      </c>
      <c r="V575" s="4">
        <f t="shared" si="28"/>
        <v>3.2687897970593481E-2</v>
      </c>
      <c r="W575" s="3">
        <f t="shared" si="30"/>
        <v>4</v>
      </c>
      <c r="X575" s="3">
        <f t="shared" si="29"/>
        <v>0.13075159188237392</v>
      </c>
    </row>
    <row r="576" spans="21:24">
      <c r="U576" s="3">
        <v>28.3</v>
      </c>
      <c r="V576" s="4">
        <f t="shared" si="28"/>
        <v>3.2311331711525101E-2</v>
      </c>
      <c r="W576" s="3">
        <f t="shared" si="30"/>
        <v>2</v>
      </c>
      <c r="X576" s="3">
        <f t="shared" si="29"/>
        <v>6.4622663423050203E-2</v>
      </c>
    </row>
    <row r="577" spans="21:24">
      <c r="U577" s="3">
        <v>28.35</v>
      </c>
      <c r="V577" s="4">
        <f t="shared" si="28"/>
        <v>3.1937849974541306E-2</v>
      </c>
      <c r="W577" s="3">
        <f t="shared" si="30"/>
        <v>4</v>
      </c>
      <c r="X577" s="3">
        <f t="shared" si="29"/>
        <v>0.12775139989816522</v>
      </c>
    </row>
    <row r="578" spans="21:24">
      <c r="U578" s="3">
        <v>28.4</v>
      </c>
      <c r="V578" s="4">
        <f t="shared" si="28"/>
        <v>3.1567442055042624E-2</v>
      </c>
      <c r="W578" s="3">
        <f t="shared" si="30"/>
        <v>2</v>
      </c>
      <c r="X578" s="3">
        <f t="shared" si="29"/>
        <v>6.3134884110085249E-2</v>
      </c>
    </row>
    <row r="579" spans="21:24">
      <c r="U579" s="3">
        <v>28.45</v>
      </c>
      <c r="V579" s="4">
        <f t="shared" si="28"/>
        <v>3.1200097144804234E-2</v>
      </c>
      <c r="W579" s="3">
        <f t="shared" si="30"/>
        <v>4</v>
      </c>
      <c r="X579" s="3">
        <f t="shared" si="29"/>
        <v>0.12480038857921694</v>
      </c>
    </row>
    <row r="580" spans="21:24">
      <c r="U580" s="3">
        <v>28.5</v>
      </c>
      <c r="V580" s="4">
        <f t="shared" si="28"/>
        <v>3.0835804333046963E-2</v>
      </c>
      <c r="W580" s="3">
        <f t="shared" si="30"/>
        <v>2</v>
      </c>
      <c r="X580" s="3">
        <f t="shared" si="29"/>
        <v>6.1671608666093926E-2</v>
      </c>
    </row>
    <row r="581" spans="21:24">
      <c r="U581" s="3">
        <v>28.55</v>
      </c>
      <c r="V581" s="4">
        <f t="shared" si="28"/>
        <v>3.0474552607520352E-2</v>
      </c>
      <c r="W581" s="3">
        <f t="shared" si="30"/>
        <v>4</v>
      </c>
      <c r="X581" s="3">
        <f t="shared" si="29"/>
        <v>0.12189821043008141</v>
      </c>
    </row>
    <row r="582" spans="21:24">
      <c r="U582" s="3">
        <v>28.6</v>
      </c>
      <c r="V582" s="4">
        <f t="shared" si="28"/>
        <v>3.0116330855595973E-2</v>
      </c>
      <c r="W582" s="3">
        <f t="shared" si="30"/>
        <v>2</v>
      </c>
      <c r="X582" s="3">
        <f t="shared" si="29"/>
        <v>6.0232661711191945E-2</v>
      </c>
    </row>
    <row r="583" spans="21:24">
      <c r="U583" s="3">
        <v>28.65</v>
      </c>
      <c r="V583" s="4">
        <f t="shared" si="28"/>
        <v>2.9761127865371627E-2</v>
      </c>
      <c r="W583" s="3">
        <f t="shared" si="30"/>
        <v>4</v>
      </c>
      <c r="X583" s="3">
        <f t="shared" si="29"/>
        <v>0.11904451146148651</v>
      </c>
    </row>
    <row r="584" spans="21:24">
      <c r="U584" s="3">
        <v>28.7</v>
      </c>
      <c r="V584" s="4">
        <f t="shared" si="28"/>
        <v>2.9408932326786468E-2</v>
      </c>
      <c r="W584" s="3">
        <f t="shared" si="30"/>
        <v>2</v>
      </c>
      <c r="X584" s="3">
        <f t="shared" si="29"/>
        <v>5.8817864653572936E-2</v>
      </c>
    </row>
    <row r="585" spans="21:24">
      <c r="U585" s="3">
        <v>28.75</v>
      </c>
      <c r="V585" s="4">
        <f t="shared" si="28"/>
        <v>2.9059732832745627E-2</v>
      </c>
      <c r="W585" s="3">
        <f t="shared" si="30"/>
        <v>4</v>
      </c>
      <c r="X585" s="3">
        <f t="shared" si="29"/>
        <v>0.11623893133098251</v>
      </c>
    </row>
    <row r="586" spans="21:24">
      <c r="U586" s="3">
        <v>28.8</v>
      </c>
      <c r="V586" s="4">
        <f t="shared" si="28"/>
        <v>2.8713517880255935E-2</v>
      </c>
      <c r="W586" s="3">
        <f t="shared" si="30"/>
        <v>2</v>
      </c>
      <c r="X586" s="3">
        <f t="shared" si="29"/>
        <v>5.742703576051187E-2</v>
      </c>
    </row>
    <row r="587" spans="21:24">
      <c r="U587" s="3">
        <v>28.85</v>
      </c>
      <c r="V587" s="4">
        <f t="shared" ref="V587:V650" si="31">EXP(-(B$3*(70+U587)+0.5*B$4*((70+U587)^2)+(B$5/LN(B$6))*((B$6^(70+U587))-1)))</f>
        <v>2.8370275871571801E-2</v>
      </c>
      <c r="W587" s="3">
        <f t="shared" si="30"/>
        <v>4</v>
      </c>
      <c r="X587" s="3">
        <f t="shared" ref="X587:X650" si="32">V587*W587</f>
        <v>0.1134811034862872</v>
      </c>
    </row>
    <row r="588" spans="21:24">
      <c r="U588" s="3">
        <v>28.9</v>
      </c>
      <c r="V588" s="4">
        <f t="shared" si="31"/>
        <v>2.8029995115350186E-2</v>
      </c>
      <c r="W588" s="3">
        <f t="shared" si="30"/>
        <v>2</v>
      </c>
      <c r="X588" s="3">
        <f t="shared" si="32"/>
        <v>5.6059990230700373E-2</v>
      </c>
    </row>
    <row r="589" spans="21:24">
      <c r="U589" s="3">
        <v>28.95</v>
      </c>
      <c r="V589" s="4">
        <f t="shared" si="31"/>
        <v>2.7692663827816495E-2</v>
      </c>
      <c r="W589" s="3">
        <f t="shared" ref="W589:W652" si="33">IF(W588=4,2,4)</f>
        <v>4</v>
      </c>
      <c r="X589" s="3">
        <f t="shared" si="32"/>
        <v>0.11077065531126598</v>
      </c>
    </row>
    <row r="590" spans="21:24">
      <c r="U590" s="3">
        <v>29</v>
      </c>
      <c r="V590" s="4">
        <f t="shared" si="31"/>
        <v>2.7358270133939655E-2</v>
      </c>
      <c r="W590" s="3">
        <f t="shared" si="33"/>
        <v>2</v>
      </c>
      <c r="X590" s="3">
        <f t="shared" si="32"/>
        <v>5.471654026787931E-2</v>
      </c>
    </row>
    <row r="591" spans="21:24">
      <c r="U591" s="3">
        <v>29.05</v>
      </c>
      <c r="V591" s="4">
        <f t="shared" si="31"/>
        <v>2.7026802068614266E-2</v>
      </c>
      <c r="W591" s="3">
        <f t="shared" si="33"/>
        <v>4</v>
      </c>
      <c r="X591" s="3">
        <f t="shared" si="32"/>
        <v>0.10810720827445706</v>
      </c>
    </row>
    <row r="592" spans="21:24">
      <c r="U592" s="3">
        <v>29.1</v>
      </c>
      <c r="V592" s="4">
        <f t="shared" si="31"/>
        <v>2.6698247577859421E-2</v>
      </c>
      <c r="W592" s="3">
        <f t="shared" si="33"/>
        <v>2</v>
      </c>
      <c r="X592" s="3">
        <f t="shared" si="32"/>
        <v>5.3396495155718843E-2</v>
      </c>
    </row>
    <row r="593" spans="21:24">
      <c r="U593" s="3">
        <v>29.15</v>
      </c>
      <c r="V593" s="4">
        <f t="shared" si="31"/>
        <v>2.637259452001646E-2</v>
      </c>
      <c r="W593" s="3">
        <f t="shared" si="33"/>
        <v>4</v>
      </c>
      <c r="X593" s="3">
        <f t="shared" si="32"/>
        <v>0.10549037808006584</v>
      </c>
    </row>
    <row r="594" spans="21:24">
      <c r="U594" s="3">
        <v>29.2</v>
      </c>
      <c r="V594" s="4">
        <f t="shared" si="31"/>
        <v>2.6049830666963817E-2</v>
      </c>
      <c r="W594" s="3">
        <f t="shared" si="33"/>
        <v>2</v>
      </c>
      <c r="X594" s="3">
        <f t="shared" si="32"/>
        <v>5.2099661333927634E-2</v>
      </c>
    </row>
    <row r="595" spans="21:24">
      <c r="U595" s="3">
        <v>29.25</v>
      </c>
      <c r="V595" s="4">
        <f t="shared" si="31"/>
        <v>2.5729943705336603E-2</v>
      </c>
      <c r="W595" s="3">
        <f t="shared" si="33"/>
        <v>4</v>
      </c>
      <c r="X595" s="3">
        <f t="shared" si="32"/>
        <v>0.10291977482134641</v>
      </c>
    </row>
    <row r="596" spans="21:24">
      <c r="U596" s="3">
        <v>29.3</v>
      </c>
      <c r="V596" s="4">
        <f t="shared" si="31"/>
        <v>2.5412921237756618E-2</v>
      </c>
      <c r="W596" s="3">
        <f t="shared" si="33"/>
        <v>2</v>
      </c>
      <c r="X596" s="3">
        <f t="shared" si="32"/>
        <v>5.0825842475513236E-2</v>
      </c>
    </row>
    <row r="597" spans="21:24">
      <c r="U597" s="3">
        <v>29.35</v>
      </c>
      <c r="V597" s="4">
        <f t="shared" si="31"/>
        <v>2.5098750784069628E-2</v>
      </c>
      <c r="W597" s="3">
        <f t="shared" si="33"/>
        <v>4</v>
      </c>
      <c r="X597" s="3">
        <f t="shared" si="32"/>
        <v>0.10039500313627851</v>
      </c>
    </row>
    <row r="598" spans="21:24">
      <c r="U598" s="3">
        <v>29.4</v>
      </c>
      <c r="V598" s="4">
        <f t="shared" si="31"/>
        <v>2.4787419782591733E-2</v>
      </c>
      <c r="W598" s="3">
        <f t="shared" si="33"/>
        <v>2</v>
      </c>
      <c r="X598" s="3">
        <f t="shared" si="32"/>
        <v>4.9574839565183465E-2</v>
      </c>
    </row>
    <row r="599" spans="21:24">
      <c r="U599" s="3">
        <v>29.45</v>
      </c>
      <c r="V599" s="4">
        <f t="shared" si="31"/>
        <v>2.4478915591363681E-2</v>
      </c>
      <c r="W599" s="3">
        <f t="shared" si="33"/>
        <v>4</v>
      </c>
      <c r="X599" s="3">
        <f t="shared" si="32"/>
        <v>9.7915662365454723E-2</v>
      </c>
    </row>
    <row r="600" spans="21:24">
      <c r="U600" s="3">
        <v>29.5</v>
      </c>
      <c r="V600" s="4">
        <f t="shared" si="31"/>
        <v>2.4173225489412715E-2</v>
      </c>
      <c r="W600" s="3">
        <f t="shared" si="33"/>
        <v>2</v>
      </c>
      <c r="X600" s="3">
        <f t="shared" si="32"/>
        <v>4.834645097882543E-2</v>
      </c>
    </row>
    <row r="601" spans="21:24">
      <c r="U601" s="3">
        <v>29.55</v>
      </c>
      <c r="V601" s="4">
        <f t="shared" si="31"/>
        <v>2.3870336678022519E-2</v>
      </c>
      <c r="W601" s="3">
        <f t="shared" si="33"/>
        <v>4</v>
      </c>
      <c r="X601" s="3">
        <f t="shared" si="32"/>
        <v>9.5481346712090076E-2</v>
      </c>
    </row>
    <row r="602" spans="21:24">
      <c r="U602" s="3">
        <v>29.6</v>
      </c>
      <c r="V602" s="4">
        <f t="shared" si="31"/>
        <v>2.3570236282010739E-2</v>
      </c>
      <c r="W602" s="3">
        <f t="shared" si="33"/>
        <v>2</v>
      </c>
      <c r="X602" s="3">
        <f t="shared" si="32"/>
        <v>4.7140472564021478E-2</v>
      </c>
    </row>
    <row r="603" spans="21:24">
      <c r="U603" s="3">
        <v>29.65</v>
      </c>
      <c r="V603" s="4">
        <f t="shared" si="31"/>
        <v>2.3272911351013507E-2</v>
      </c>
      <c r="W603" s="3">
        <f t="shared" si="33"/>
        <v>4</v>
      </c>
      <c r="X603" s="3">
        <f t="shared" si="32"/>
        <v>9.3091645404054027E-2</v>
      </c>
    </row>
    <row r="604" spans="21:24">
      <c r="U604" s="3">
        <v>29.7</v>
      </c>
      <c r="V604" s="4">
        <f t="shared" si="31"/>
        <v>2.2978348860777785E-2</v>
      </c>
      <c r="W604" s="3">
        <f t="shared" si="33"/>
        <v>2</v>
      </c>
      <c r="X604" s="3">
        <f t="shared" si="32"/>
        <v>4.595669772155557E-2</v>
      </c>
    </row>
    <row r="605" spans="21:24">
      <c r="U605" s="3">
        <v>29.75</v>
      </c>
      <c r="V605" s="4">
        <f t="shared" si="31"/>
        <v>2.2686535714459766E-2</v>
      </c>
      <c r="W605" s="3">
        <f t="shared" si="33"/>
        <v>4</v>
      </c>
      <c r="X605" s="3">
        <f t="shared" si="32"/>
        <v>9.0746142857839066E-2</v>
      </c>
    </row>
    <row r="606" spans="21:24">
      <c r="U606" s="3">
        <v>29.8</v>
      </c>
      <c r="V606" s="4">
        <f t="shared" si="31"/>
        <v>2.2397458743930787E-2</v>
      </c>
      <c r="W606" s="3">
        <f t="shared" si="33"/>
        <v>2</v>
      </c>
      <c r="X606" s="3">
        <f t="shared" si="32"/>
        <v>4.4794917487861574E-2</v>
      </c>
    </row>
    <row r="607" spans="21:24">
      <c r="U607" s="3">
        <v>29.85</v>
      </c>
      <c r="V607" s="4">
        <f t="shared" si="31"/>
        <v>2.2111104711089909E-2</v>
      </c>
      <c r="W607" s="3">
        <f t="shared" si="33"/>
        <v>4</v>
      </c>
      <c r="X607" s="3">
        <f t="shared" si="32"/>
        <v>8.8444418844359635E-2</v>
      </c>
    </row>
    <row r="608" spans="21:24">
      <c r="U608" s="3">
        <v>29.9</v>
      </c>
      <c r="V608" s="4">
        <f t="shared" si="31"/>
        <v>2.1827460309181944E-2</v>
      </c>
      <c r="W608" s="3">
        <f t="shared" si="33"/>
        <v>2</v>
      </c>
      <c r="X608" s="3">
        <f t="shared" si="32"/>
        <v>4.3654920618363888E-2</v>
      </c>
    </row>
    <row r="609" spans="21:24">
      <c r="U609" s="3">
        <v>29.95</v>
      </c>
      <c r="V609" s="4">
        <f t="shared" si="31"/>
        <v>2.1546512164123031E-2</v>
      </c>
      <c r="W609" s="3">
        <f t="shared" si="33"/>
        <v>4</v>
      </c>
      <c r="X609" s="3">
        <f t="shared" si="32"/>
        <v>8.6186048656492126E-2</v>
      </c>
    </row>
    <row r="610" spans="21:24">
      <c r="U610" s="3">
        <v>30</v>
      </c>
      <c r="V610" s="4">
        <f t="shared" si="31"/>
        <v>2.1268246835831301E-2</v>
      </c>
      <c r="W610" s="3">
        <f t="shared" si="33"/>
        <v>2</v>
      </c>
      <c r="X610" s="3">
        <f t="shared" si="32"/>
        <v>4.2536493671662602E-2</v>
      </c>
    </row>
    <row r="611" spans="21:24">
      <c r="U611" s="3">
        <v>30.05</v>
      </c>
      <c r="V611" s="4">
        <f t="shared" si="31"/>
        <v>2.0992650819561785E-2</v>
      </c>
      <c r="W611" s="3">
        <f t="shared" si="33"/>
        <v>4</v>
      </c>
      <c r="X611" s="3">
        <f t="shared" si="32"/>
        <v>8.3970603278247138E-2</v>
      </c>
    </row>
    <row r="612" spans="21:24">
      <c r="U612" s="3">
        <v>30.1</v>
      </c>
      <c r="V612" s="4">
        <f t="shared" si="31"/>
        <v>2.0719710547252735E-2</v>
      </c>
      <c r="W612" s="3">
        <f t="shared" si="33"/>
        <v>2</v>
      </c>
      <c r="X612" s="3">
        <f t="shared" si="32"/>
        <v>4.143942109450547E-2</v>
      </c>
    </row>
    <row r="613" spans="21:24">
      <c r="U613" s="3">
        <v>30.15</v>
      </c>
      <c r="V613" s="4">
        <f t="shared" si="31"/>
        <v>2.0449412388868958E-2</v>
      </c>
      <c r="W613" s="3">
        <f t="shared" si="33"/>
        <v>4</v>
      </c>
      <c r="X613" s="3">
        <f t="shared" si="32"/>
        <v>8.1797649555475832E-2</v>
      </c>
    </row>
    <row r="614" spans="21:24">
      <c r="U614" s="3">
        <v>30.2</v>
      </c>
      <c r="V614" s="4">
        <f t="shared" si="31"/>
        <v>2.0181742653756947E-2</v>
      </c>
      <c r="W614" s="3">
        <f t="shared" si="33"/>
        <v>2</v>
      </c>
      <c r="X614" s="3">
        <f t="shared" si="32"/>
        <v>4.0363485307513894E-2</v>
      </c>
    </row>
    <row r="615" spans="21:24">
      <c r="U615" s="3">
        <v>30.25</v>
      </c>
      <c r="V615" s="4">
        <f t="shared" si="31"/>
        <v>1.9916687592001787E-2</v>
      </c>
      <c r="W615" s="3">
        <f t="shared" si="33"/>
        <v>4</v>
      </c>
      <c r="X615" s="3">
        <f t="shared" si="32"/>
        <v>7.9666750368007147E-2</v>
      </c>
    </row>
    <row r="616" spans="21:24">
      <c r="U616" s="3">
        <v>30.3</v>
      </c>
      <c r="V616" s="4">
        <f t="shared" si="31"/>
        <v>1.9654233395790116E-2</v>
      </c>
      <c r="W616" s="3">
        <f t="shared" si="33"/>
        <v>2</v>
      </c>
      <c r="X616" s="3">
        <f t="shared" si="32"/>
        <v>3.9308466791580232E-2</v>
      </c>
    </row>
    <row r="617" spans="21:24">
      <c r="U617" s="3">
        <v>30.35</v>
      </c>
      <c r="V617" s="4">
        <f t="shared" si="31"/>
        <v>1.9394366200776711E-2</v>
      </c>
      <c r="W617" s="3">
        <f t="shared" si="33"/>
        <v>4</v>
      </c>
      <c r="X617" s="3">
        <f t="shared" si="32"/>
        <v>7.7577464803106844E-2</v>
      </c>
    </row>
    <row r="618" spans="21:24">
      <c r="U618" s="3">
        <v>30.4</v>
      </c>
      <c r="V618" s="4">
        <f t="shared" si="31"/>
        <v>1.9137072087456075E-2</v>
      </c>
      <c r="W618" s="3">
        <f t="shared" si="33"/>
        <v>2</v>
      </c>
      <c r="X618" s="3">
        <f t="shared" si="32"/>
        <v>3.827414417491215E-2</v>
      </c>
    </row>
    <row r="619" spans="21:24">
      <c r="U619" s="3">
        <v>30.45</v>
      </c>
      <c r="V619" s="4">
        <f t="shared" si="31"/>
        <v>1.8882337082538031E-2</v>
      </c>
      <c r="W619" s="3">
        <f t="shared" si="33"/>
        <v>4</v>
      </c>
      <c r="X619" s="3">
        <f t="shared" si="32"/>
        <v>7.5529348330152124E-2</v>
      </c>
    </row>
    <row r="620" spans="21:24">
      <c r="U620" s="3">
        <v>30.5</v>
      </c>
      <c r="V620" s="4">
        <f t="shared" si="31"/>
        <v>1.8630147160326797E-2</v>
      </c>
      <c r="W620" s="3">
        <f t="shared" si="33"/>
        <v>2</v>
      </c>
      <c r="X620" s="3">
        <f t="shared" si="32"/>
        <v>3.7260294320653593E-2</v>
      </c>
    </row>
    <row r="621" spans="21:24">
      <c r="U621" s="3">
        <v>30.55</v>
      </c>
      <c r="V621" s="4">
        <f t="shared" si="31"/>
        <v>1.8380488244104192E-2</v>
      </c>
      <c r="W621" s="3">
        <f t="shared" si="33"/>
        <v>4</v>
      </c>
      <c r="X621" s="3">
        <f t="shared" si="32"/>
        <v>7.3521952976416768E-2</v>
      </c>
    </row>
    <row r="622" spans="21:24">
      <c r="U622" s="3">
        <v>30.6</v>
      </c>
      <c r="V622" s="4">
        <f t="shared" si="31"/>
        <v>1.8133346207516141E-2</v>
      </c>
      <c r="W622" s="3">
        <f t="shared" si="33"/>
        <v>2</v>
      </c>
      <c r="X622" s="3">
        <f t="shared" si="32"/>
        <v>3.6266692415032283E-2</v>
      </c>
    </row>
    <row r="623" spans="21:24">
      <c r="U623" s="3">
        <v>30.65</v>
      </c>
      <c r="V623" s="4">
        <f t="shared" si="31"/>
        <v>1.7888706875962404E-2</v>
      </c>
      <c r="W623" s="3">
        <f t="shared" si="33"/>
        <v>4</v>
      </c>
      <c r="X623" s="3">
        <f t="shared" si="32"/>
        <v>7.1554827503849616E-2</v>
      </c>
    </row>
    <row r="624" spans="21:24">
      <c r="U624" s="3">
        <v>30.7</v>
      </c>
      <c r="V624" s="4">
        <f t="shared" si="31"/>
        <v>1.764655602798948E-2</v>
      </c>
      <c r="W624" s="3">
        <f t="shared" si="33"/>
        <v>2</v>
      </c>
      <c r="X624" s="3">
        <f t="shared" si="32"/>
        <v>3.5293112055978959E-2</v>
      </c>
    </row>
    <row r="625" spans="21:24">
      <c r="U625" s="3">
        <v>30.75</v>
      </c>
      <c r="V625" s="4">
        <f t="shared" si="31"/>
        <v>1.7406879396685903E-2</v>
      </c>
      <c r="W625" s="3">
        <f t="shared" si="33"/>
        <v>4</v>
      </c>
      <c r="X625" s="3">
        <f t="shared" si="32"/>
        <v>6.9627517586743612E-2</v>
      </c>
    </row>
    <row r="626" spans="21:24">
      <c r="U626" s="3">
        <v>30.8</v>
      </c>
      <c r="V626" s="4">
        <f t="shared" si="31"/>
        <v>1.7169662671080627E-2</v>
      </c>
      <c r="W626" s="3">
        <f t="shared" si="33"/>
        <v>2</v>
      </c>
      <c r="X626" s="3">
        <f t="shared" si="32"/>
        <v>3.4339325342161255E-2</v>
      </c>
    </row>
    <row r="627" spans="21:24">
      <c r="U627" s="3">
        <v>30.85</v>
      </c>
      <c r="V627" s="4">
        <f t="shared" si="31"/>
        <v>1.693489149754359E-2</v>
      </c>
      <c r="W627" s="3">
        <f t="shared" si="33"/>
        <v>4</v>
      </c>
      <c r="X627" s="3">
        <f t="shared" si="32"/>
        <v>6.7739565990174361E-2</v>
      </c>
    </row>
    <row r="628" spans="21:24">
      <c r="U628" s="3">
        <v>30.9</v>
      </c>
      <c r="V628" s="4">
        <f t="shared" si="31"/>
        <v>1.670255148118804E-2</v>
      </c>
      <c r="W628" s="3">
        <f t="shared" si="33"/>
        <v>2</v>
      </c>
      <c r="X628" s="3">
        <f t="shared" si="32"/>
        <v>3.3405102962376081E-2</v>
      </c>
    </row>
    <row r="629" spans="21:24">
      <c r="U629" s="3">
        <v>30.95</v>
      </c>
      <c r="V629" s="4">
        <f t="shared" si="31"/>
        <v>1.6472628187275597E-2</v>
      </c>
      <c r="W629" s="3">
        <f t="shared" si="33"/>
        <v>4</v>
      </c>
      <c r="X629" s="3">
        <f t="shared" si="32"/>
        <v>6.589051274910239E-2</v>
      </c>
    </row>
    <row r="630" spans="21:24">
      <c r="U630" s="3">
        <v>31</v>
      </c>
      <c r="V630" s="4">
        <f t="shared" si="31"/>
        <v>1.6245107142622259E-2</v>
      </c>
      <c r="W630" s="3">
        <f t="shared" si="33"/>
        <v>2</v>
      </c>
      <c r="X630" s="3">
        <f t="shared" si="32"/>
        <v>3.2490214285244519E-2</v>
      </c>
    </row>
    <row r="631" spans="21:24">
      <c r="U631" s="3">
        <v>31.05</v>
      </c>
      <c r="V631" s="4">
        <f t="shared" si="31"/>
        <v>1.6019973837004823E-2</v>
      </c>
      <c r="W631" s="3">
        <f t="shared" si="33"/>
        <v>4</v>
      </c>
      <c r="X631" s="3">
        <f t="shared" si="32"/>
        <v>6.4079895348019292E-2</v>
      </c>
    </row>
    <row r="632" spans="21:24">
      <c r="U632" s="3">
        <v>31.1</v>
      </c>
      <c r="V632" s="4">
        <f t="shared" si="31"/>
        <v>1.5797213724573024E-2</v>
      </c>
      <c r="W632" s="3">
        <f t="shared" si="33"/>
        <v>2</v>
      </c>
      <c r="X632" s="3">
        <f t="shared" si="32"/>
        <v>3.1594427449146048E-2</v>
      </c>
    </row>
    <row r="633" spans="21:24">
      <c r="U633" s="3">
        <v>31.15</v>
      </c>
      <c r="V633" s="4">
        <f t="shared" si="31"/>
        <v>1.5576812225256031E-2</v>
      </c>
      <c r="W633" s="3">
        <f t="shared" si="33"/>
        <v>4</v>
      </c>
      <c r="X633" s="3">
        <f t="shared" si="32"/>
        <v>6.2307248901024126E-2</v>
      </c>
    </row>
    <row r="634" spans="21:24">
      <c r="U634" s="3">
        <v>31.2</v>
      </c>
      <c r="V634" s="4">
        <f t="shared" si="31"/>
        <v>1.5358754726175108E-2</v>
      </c>
      <c r="W634" s="3">
        <f t="shared" si="33"/>
        <v>2</v>
      </c>
      <c r="X634" s="3">
        <f t="shared" si="32"/>
        <v>3.0717509452350217E-2</v>
      </c>
    </row>
    <row r="635" spans="21:24">
      <c r="U635" s="3">
        <v>31.25</v>
      </c>
      <c r="V635" s="4">
        <f t="shared" si="31"/>
        <v>1.5143026583054085E-2</v>
      </c>
      <c r="W635" s="3">
        <f t="shared" si="33"/>
        <v>4</v>
      </c>
      <c r="X635" s="3">
        <f t="shared" si="32"/>
        <v>6.0572106332216338E-2</v>
      </c>
    </row>
    <row r="636" spans="21:24">
      <c r="U636" s="3">
        <v>31.3</v>
      </c>
      <c r="V636" s="4">
        <f t="shared" si="31"/>
        <v>1.4929613121631356E-2</v>
      </c>
      <c r="W636" s="3">
        <f t="shared" si="33"/>
        <v>2</v>
      </c>
      <c r="X636" s="3">
        <f t="shared" si="32"/>
        <v>2.9859226243262711E-2</v>
      </c>
    </row>
    <row r="637" spans="21:24">
      <c r="U637" s="3">
        <v>31.35</v>
      </c>
      <c r="V637" s="4">
        <f t="shared" si="31"/>
        <v>1.4718499639071195E-2</v>
      </c>
      <c r="W637" s="3">
        <f t="shared" si="33"/>
        <v>4</v>
      </c>
      <c r="X637" s="3">
        <f t="shared" si="32"/>
        <v>5.8873998556284779E-2</v>
      </c>
    </row>
    <row r="638" spans="21:24">
      <c r="U638" s="3">
        <v>31.4</v>
      </c>
      <c r="V638" s="4">
        <f t="shared" si="31"/>
        <v>1.4509671405375301E-2</v>
      </c>
      <c r="W638" s="3">
        <f t="shared" si="33"/>
        <v>2</v>
      </c>
      <c r="X638" s="3">
        <f t="shared" si="32"/>
        <v>2.9019342810750602E-2</v>
      </c>
    </row>
    <row r="639" spans="21:24">
      <c r="U639" s="3">
        <v>31.45</v>
      </c>
      <c r="V639" s="4">
        <f t="shared" si="31"/>
        <v>1.4303113664794285E-2</v>
      </c>
      <c r="W639" s="3">
        <f t="shared" si="33"/>
        <v>4</v>
      </c>
      <c r="X639" s="3">
        <f t="shared" si="32"/>
        <v>5.7212454659177139E-2</v>
      </c>
    </row>
    <row r="640" spans="21:24">
      <c r="U640" s="3">
        <v>31.5</v>
      </c>
      <c r="V640" s="4">
        <f t="shared" si="31"/>
        <v>1.4098811637237642E-2</v>
      </c>
      <c r="W640" s="3">
        <f t="shared" si="33"/>
        <v>2</v>
      </c>
      <c r="X640" s="3">
        <f t="shared" si="32"/>
        <v>2.8197623274475284E-2</v>
      </c>
    </row>
    <row r="641" spans="21:24">
      <c r="U641" s="3">
        <v>31.55</v>
      </c>
      <c r="V641" s="4">
        <f t="shared" si="31"/>
        <v>1.389675051968384E-2</v>
      </c>
      <c r="W641" s="3">
        <f t="shared" si="33"/>
        <v>4</v>
      </c>
      <c r="X641" s="3">
        <f t="shared" si="32"/>
        <v>5.5587002078735362E-2</v>
      </c>
    </row>
    <row r="642" spans="21:24">
      <c r="U642" s="3">
        <v>31.6</v>
      </c>
      <c r="V642" s="4">
        <f t="shared" si="31"/>
        <v>1.36969154875888E-2</v>
      </c>
      <c r="W642" s="3">
        <f t="shared" si="33"/>
        <v>2</v>
      </c>
      <c r="X642" s="3">
        <f t="shared" si="32"/>
        <v>2.7393830975177599E-2</v>
      </c>
    </row>
    <row r="643" spans="21:24">
      <c r="U643" s="3">
        <v>31.65</v>
      </c>
      <c r="V643" s="4">
        <f t="shared" si="31"/>
        <v>1.349929169629319E-2</v>
      </c>
      <c r="W643" s="3">
        <f t="shared" si="33"/>
        <v>4</v>
      </c>
      <c r="X643" s="3">
        <f t="shared" si="32"/>
        <v>5.3997166785172759E-2</v>
      </c>
    </row>
    <row r="644" spans="21:24">
      <c r="U644" s="3">
        <v>31.7</v>
      </c>
      <c r="V644" s="4">
        <f t="shared" si="31"/>
        <v>1.3303864282428452E-2</v>
      </c>
      <c r="W644" s="3">
        <f t="shared" si="33"/>
        <v>2</v>
      </c>
      <c r="X644" s="3">
        <f t="shared" si="32"/>
        <v>2.6607728564856905E-2</v>
      </c>
    </row>
    <row r="645" spans="21:24">
      <c r="U645" s="3">
        <v>31.75</v>
      </c>
      <c r="V645" s="4">
        <f t="shared" si="31"/>
        <v>1.3110618365320547E-2</v>
      </c>
      <c r="W645" s="3">
        <f t="shared" si="33"/>
        <v>4</v>
      </c>
      <c r="X645" s="3">
        <f t="shared" si="32"/>
        <v>5.2442473461282189E-2</v>
      </c>
    </row>
    <row r="646" spans="21:24">
      <c r="U646" s="3">
        <v>31.8</v>
      </c>
      <c r="V646" s="4">
        <f t="shared" si="31"/>
        <v>1.2919539048392109E-2</v>
      </c>
      <c r="W646" s="3">
        <f t="shared" si="33"/>
        <v>2</v>
      </c>
      <c r="X646" s="3">
        <f t="shared" si="32"/>
        <v>2.5839078096784217E-2</v>
      </c>
    </row>
    <row r="647" spans="21:24">
      <c r="U647" s="3">
        <v>31.85</v>
      </c>
      <c r="V647" s="4">
        <f t="shared" si="31"/>
        <v>1.2730611420562562E-2</v>
      </c>
      <c r="W647" s="3">
        <f t="shared" si="33"/>
        <v>4</v>
      </c>
      <c r="X647" s="3">
        <f t="shared" si="32"/>
        <v>5.0922445682250246E-2</v>
      </c>
    </row>
    <row r="648" spans="21:24">
      <c r="U648" s="3">
        <v>31.9</v>
      </c>
      <c r="V648" s="4">
        <f t="shared" si="31"/>
        <v>1.2543820557645042E-2</v>
      </c>
      <c r="W648" s="3">
        <f t="shared" si="33"/>
        <v>2</v>
      </c>
      <c r="X648" s="3">
        <f t="shared" si="32"/>
        <v>2.5087641115290084E-2</v>
      </c>
    </row>
    <row r="649" spans="21:24">
      <c r="U649" s="3">
        <v>31.95</v>
      </c>
      <c r="V649" s="4">
        <f t="shared" si="31"/>
        <v>1.2359151523741604E-2</v>
      </c>
      <c r="W649" s="3">
        <f t="shared" si="33"/>
        <v>4</v>
      </c>
      <c r="X649" s="3">
        <f t="shared" si="32"/>
        <v>4.9436606094966418E-2</v>
      </c>
    </row>
    <row r="650" spans="21:24">
      <c r="U650" s="3">
        <v>32</v>
      </c>
      <c r="V650" s="4">
        <f t="shared" si="31"/>
        <v>1.2176589372634964E-2</v>
      </c>
      <c r="W650" s="3">
        <f t="shared" si="33"/>
        <v>2</v>
      </c>
      <c r="X650" s="3">
        <f t="shared" si="32"/>
        <v>2.4353178745269929E-2</v>
      </c>
    </row>
    <row r="651" spans="21:24">
      <c r="U651" s="3">
        <v>32.049999999999997</v>
      </c>
      <c r="V651" s="4">
        <f t="shared" ref="V651:V714" si="34">EXP(-(B$3*(70+U651)+0.5*B$4*((70+U651)^2)+(B$5/LN(B$6))*((B$6^(70+U651))-1)))</f>
        <v>1.1996119149175925E-2</v>
      </c>
      <c r="W651" s="3">
        <f t="shared" si="33"/>
        <v>4</v>
      </c>
      <c r="X651" s="3">
        <f t="shared" ref="X651:X714" si="35">V651*W651</f>
        <v>4.7984476596703698E-2</v>
      </c>
    </row>
    <row r="652" spans="21:24">
      <c r="U652" s="3">
        <v>32.1</v>
      </c>
      <c r="V652" s="4">
        <f t="shared" si="34"/>
        <v>1.1817725890671538E-2</v>
      </c>
      <c r="W652" s="3">
        <f t="shared" si="33"/>
        <v>2</v>
      </c>
      <c r="X652" s="3">
        <f t="shared" si="35"/>
        <v>2.3635451781343075E-2</v>
      </c>
    </row>
    <row r="653" spans="21:24">
      <c r="U653" s="3">
        <v>32.15</v>
      </c>
      <c r="V653" s="4">
        <f t="shared" si="34"/>
        <v>1.1641394628263899E-2</v>
      </c>
      <c r="W653" s="3">
        <f t="shared" ref="W653:W716" si="36">IF(W652=4,2,4)</f>
        <v>4</v>
      </c>
      <c r="X653" s="3">
        <f t="shared" si="35"/>
        <v>4.6565578513055594E-2</v>
      </c>
    </row>
    <row r="654" spans="21:24">
      <c r="U654" s="3">
        <v>32.200000000000003</v>
      </c>
      <c r="V654" s="4">
        <f t="shared" si="34"/>
        <v>1.1467110388309748E-2</v>
      </c>
      <c r="W654" s="3">
        <f t="shared" si="36"/>
        <v>2</v>
      </c>
      <c r="X654" s="3">
        <f t="shared" si="35"/>
        <v>2.2934220776619496E-2</v>
      </c>
    </row>
    <row r="655" spans="21:24">
      <c r="U655" s="3">
        <v>32.25</v>
      </c>
      <c r="V655" s="4">
        <f t="shared" si="34"/>
        <v>1.1294858193753646E-2</v>
      </c>
      <c r="W655" s="3">
        <f t="shared" si="36"/>
        <v>4</v>
      </c>
      <c r="X655" s="3">
        <f t="shared" si="35"/>
        <v>4.5179432775014586E-2</v>
      </c>
    </row>
    <row r="656" spans="21:24">
      <c r="U656" s="3">
        <v>32.299999999999997</v>
      </c>
      <c r="V656" s="4">
        <f t="shared" si="34"/>
        <v>1.1124623065498026E-2</v>
      </c>
      <c r="W656" s="3">
        <f t="shared" si="36"/>
        <v>2</v>
      </c>
      <c r="X656" s="3">
        <f t="shared" si="35"/>
        <v>2.2249246130996051E-2</v>
      </c>
    </row>
    <row r="657" spans="21:24">
      <c r="U657" s="3">
        <v>32.35</v>
      </c>
      <c r="V657" s="4">
        <f t="shared" si="34"/>
        <v>1.0956390023767909E-2</v>
      </c>
      <c r="W657" s="3">
        <f t="shared" si="36"/>
        <v>4</v>
      </c>
      <c r="X657" s="3">
        <f t="shared" si="35"/>
        <v>4.3825560095071638E-2</v>
      </c>
    </row>
    <row r="658" spans="21:24">
      <c r="U658" s="3">
        <v>32.4</v>
      </c>
      <c r="V658" s="4">
        <f t="shared" si="34"/>
        <v>1.0790144089471522E-2</v>
      </c>
      <c r="W658" s="3">
        <f t="shared" si="36"/>
        <v>2</v>
      </c>
      <c r="X658" s="3">
        <f t="shared" si="35"/>
        <v>2.1580288178943044E-2</v>
      </c>
    </row>
    <row r="659" spans="21:24">
      <c r="U659" s="3">
        <v>32.450000000000003</v>
      </c>
      <c r="V659" s="4">
        <f t="shared" si="34"/>
        <v>1.0625870285555823E-2</v>
      </c>
      <c r="W659" s="3">
        <f t="shared" si="36"/>
        <v>4</v>
      </c>
      <c r="X659" s="3">
        <f t="shared" si="35"/>
        <v>4.2503481142223291E-2</v>
      </c>
    </row>
    <row r="660" spans="21:24">
      <c r="U660" s="3">
        <v>32.5</v>
      </c>
      <c r="V660" s="4">
        <f t="shared" si="34"/>
        <v>1.0463553638356514E-2</v>
      </c>
      <c r="W660" s="3">
        <f t="shared" si="36"/>
        <v>2</v>
      </c>
      <c r="X660" s="3">
        <f t="shared" si="35"/>
        <v>2.0927107276713028E-2</v>
      </c>
    </row>
    <row r="661" spans="21:24">
      <c r="U661" s="3">
        <v>32.549999999999997</v>
      </c>
      <c r="V661" s="4">
        <f t="shared" si="34"/>
        <v>1.0303179178943189E-2</v>
      </c>
      <c r="W661" s="3">
        <f t="shared" si="36"/>
        <v>4</v>
      </c>
      <c r="X661" s="3">
        <f t="shared" si="35"/>
        <v>4.1212716715772757E-2</v>
      </c>
    </row>
    <row r="662" spans="21:24">
      <c r="U662" s="3">
        <v>32.6</v>
      </c>
      <c r="V662" s="4">
        <f t="shared" si="34"/>
        <v>1.014473194445855E-2</v>
      </c>
      <c r="W662" s="3">
        <f t="shared" si="36"/>
        <v>2</v>
      </c>
      <c r="X662" s="3">
        <f t="shared" si="35"/>
        <v>2.02894638889171E-2</v>
      </c>
    </row>
    <row r="663" spans="21:24">
      <c r="U663" s="3">
        <v>32.65</v>
      </c>
      <c r="V663" s="4">
        <f t="shared" si="34"/>
        <v>9.9881969794517987E-3</v>
      </c>
      <c r="W663" s="3">
        <f t="shared" si="36"/>
        <v>4</v>
      </c>
      <c r="X663" s="3">
        <f t="shared" si="35"/>
        <v>3.9952787917807195E-2</v>
      </c>
    </row>
    <row r="664" spans="21:24">
      <c r="U664" s="3">
        <v>32.700000000000003</v>
      </c>
      <c r="V664" s="4">
        <f t="shared" si="34"/>
        <v>9.8335593372063552E-3</v>
      </c>
      <c r="W664" s="3">
        <f t="shared" si="36"/>
        <v>2</v>
      </c>
      <c r="X664" s="3">
        <f t="shared" si="35"/>
        <v>1.966711867441271E-2</v>
      </c>
    </row>
    <row r="665" spans="21:24">
      <c r="U665" s="3">
        <v>32.75</v>
      </c>
      <c r="V665" s="4">
        <f t="shared" si="34"/>
        <v>9.6808040810606854E-3</v>
      </c>
      <c r="W665" s="3">
        <f t="shared" si="36"/>
        <v>4</v>
      </c>
      <c r="X665" s="3">
        <f t="shared" si="35"/>
        <v>3.8723216324242742E-2</v>
      </c>
    </row>
    <row r="666" spans="21:24">
      <c r="U666" s="3">
        <v>32.799999999999997</v>
      </c>
      <c r="V666" s="4">
        <f t="shared" si="34"/>
        <v>9.5299162857231962E-3</v>
      </c>
      <c r="W666" s="3">
        <f t="shared" si="36"/>
        <v>2</v>
      </c>
      <c r="X666" s="3">
        <f t="shared" si="35"/>
        <v>1.9059832571446392E-2</v>
      </c>
    </row>
    <row r="667" spans="21:24">
      <c r="U667" s="3">
        <v>32.85</v>
      </c>
      <c r="V667" s="4">
        <f t="shared" si="34"/>
        <v>9.3808810385803479E-3</v>
      </c>
      <c r="W667" s="3">
        <f t="shared" si="36"/>
        <v>4</v>
      </c>
      <c r="X667" s="3">
        <f t="shared" si="35"/>
        <v>3.7523524154321392E-2</v>
      </c>
    </row>
    <row r="668" spans="21:24">
      <c r="U668" s="3">
        <v>32.9</v>
      </c>
      <c r="V668" s="4">
        <f t="shared" si="34"/>
        <v>9.233683440997514E-3</v>
      </c>
      <c r="W668" s="3">
        <f t="shared" si="36"/>
        <v>2</v>
      </c>
      <c r="X668" s="3">
        <f t="shared" si="35"/>
        <v>1.8467366881995028E-2</v>
      </c>
    </row>
    <row r="669" spans="21:24">
      <c r="U669" s="3">
        <v>32.950000000000003</v>
      </c>
      <c r="V669" s="4">
        <f t="shared" si="34"/>
        <v>9.0883086096133197E-3</v>
      </c>
      <c r="W669" s="3">
        <f t="shared" si="36"/>
        <v>4</v>
      </c>
      <c r="X669" s="3">
        <f t="shared" si="35"/>
        <v>3.6353234438453279E-2</v>
      </c>
    </row>
    <row r="670" spans="21:24">
      <c r="U670" s="3">
        <v>33</v>
      </c>
      <c r="V670" s="4">
        <f t="shared" si="34"/>
        <v>8.9447416776263031E-3</v>
      </c>
      <c r="W670" s="3">
        <f t="shared" si="36"/>
        <v>2</v>
      </c>
      <c r="X670" s="3">
        <f t="shared" si="35"/>
        <v>1.7889483355252606E-2</v>
      </c>
    </row>
    <row r="671" spans="21:24">
      <c r="U671" s="3">
        <v>33.049999999999997</v>
      </c>
      <c r="V671" s="4">
        <f t="shared" si="34"/>
        <v>8.8029677960730825E-3</v>
      </c>
      <c r="W671" s="3">
        <f t="shared" si="36"/>
        <v>4</v>
      </c>
      <c r="X671" s="3">
        <f t="shared" si="35"/>
        <v>3.521187118429233E-2</v>
      </c>
    </row>
    <row r="672" spans="21:24">
      <c r="U672" s="3">
        <v>33.1</v>
      </c>
      <c r="V672" s="4">
        <f t="shared" si="34"/>
        <v>8.6629721351020629E-3</v>
      </c>
      <c r="W672" s="3">
        <f t="shared" si="36"/>
        <v>2</v>
      </c>
      <c r="X672" s="3">
        <f t="shared" si="35"/>
        <v>1.7325944270204126E-2</v>
      </c>
    </row>
    <row r="673" spans="21:24">
      <c r="U673" s="3">
        <v>33.15</v>
      </c>
      <c r="V673" s="4">
        <f t="shared" si="34"/>
        <v>8.5247398852346216E-3</v>
      </c>
      <c r="W673" s="3">
        <f t="shared" si="36"/>
        <v>4</v>
      </c>
      <c r="X673" s="3">
        <f t="shared" si="35"/>
        <v>3.4098959540938487E-2</v>
      </c>
    </row>
    <row r="674" spans="21:24">
      <c r="U674" s="3">
        <v>33.200000000000003</v>
      </c>
      <c r="V674" s="4">
        <f t="shared" si="34"/>
        <v>8.3882562586217648E-3</v>
      </c>
      <c r="W674" s="3">
        <f t="shared" si="36"/>
        <v>2</v>
      </c>
      <c r="X674" s="3">
        <f t="shared" si="35"/>
        <v>1.677651251724353E-2</v>
      </c>
    </row>
    <row r="675" spans="21:24">
      <c r="U675" s="3">
        <v>33.25</v>
      </c>
      <c r="V675" s="4">
        <f t="shared" si="34"/>
        <v>8.2535064902907376E-3</v>
      </c>
      <c r="W675" s="3">
        <f t="shared" si="36"/>
        <v>4</v>
      </c>
      <c r="X675" s="3">
        <f t="shared" si="35"/>
        <v>3.301402596116295E-2</v>
      </c>
    </row>
    <row r="676" spans="21:24">
      <c r="U676" s="3">
        <v>33.299999999999997</v>
      </c>
      <c r="V676" s="4">
        <f t="shared" si="34"/>
        <v>8.1204758393836896E-3</v>
      </c>
      <c r="W676" s="3">
        <f t="shared" si="36"/>
        <v>2</v>
      </c>
      <c r="X676" s="3">
        <f t="shared" si="35"/>
        <v>1.6240951678767379E-2</v>
      </c>
    </row>
    <row r="677" spans="21:24">
      <c r="U677" s="3">
        <v>33.35</v>
      </c>
      <c r="V677" s="4">
        <f t="shared" si="34"/>
        <v>7.9891495903873424E-3</v>
      </c>
      <c r="W677" s="3">
        <f t="shared" si="36"/>
        <v>4</v>
      </c>
      <c r="X677" s="3">
        <f t="shared" si="35"/>
        <v>3.195659836154937E-2</v>
      </c>
    </row>
    <row r="678" spans="21:24">
      <c r="U678" s="3">
        <v>33.4</v>
      </c>
      <c r="V678" s="4">
        <f t="shared" si="34"/>
        <v>7.8595130543538515E-3</v>
      </c>
      <c r="W678" s="3">
        <f t="shared" si="36"/>
        <v>2</v>
      </c>
      <c r="X678" s="3">
        <f t="shared" si="35"/>
        <v>1.5719026108707703E-2</v>
      </c>
    </row>
    <row r="679" spans="21:24">
      <c r="U679" s="3">
        <v>33.450000000000003</v>
      </c>
      <c r="V679" s="4">
        <f t="shared" si="34"/>
        <v>7.7315515701126252E-3</v>
      </c>
      <c r="W679" s="3">
        <f t="shared" si="36"/>
        <v>4</v>
      </c>
      <c r="X679" s="3">
        <f t="shared" si="35"/>
        <v>3.0926206280450501E-2</v>
      </c>
    </row>
    <row r="680" spans="21:24">
      <c r="U680" s="3">
        <v>33.5</v>
      </c>
      <c r="V680" s="4">
        <f t="shared" si="34"/>
        <v>7.6052505054726204E-3</v>
      </c>
      <c r="W680" s="3">
        <f t="shared" si="36"/>
        <v>2</v>
      </c>
      <c r="X680" s="3">
        <f t="shared" si="35"/>
        <v>1.5210501010945241E-2</v>
      </c>
    </row>
    <row r="681" spans="21:24">
      <c r="U681" s="3">
        <v>33.549999999999997</v>
      </c>
      <c r="V681" s="4">
        <f t="shared" si="34"/>
        <v>7.4805952584152966E-3</v>
      </c>
      <c r="W681" s="3">
        <f t="shared" si="36"/>
        <v>4</v>
      </c>
      <c r="X681" s="3">
        <f t="shared" si="35"/>
        <v>2.9922381033661186E-2</v>
      </c>
    </row>
    <row r="682" spans="21:24">
      <c r="U682" s="3">
        <v>33.6</v>
      </c>
      <c r="V682" s="4">
        <f t="shared" si="34"/>
        <v>7.3575712582779071E-3</v>
      </c>
      <c r="W682" s="3">
        <f t="shared" si="36"/>
        <v>2</v>
      </c>
      <c r="X682" s="3">
        <f t="shared" si="35"/>
        <v>1.4715142516555814E-2</v>
      </c>
    </row>
    <row r="683" spans="21:24">
      <c r="U683" s="3">
        <v>33.65</v>
      </c>
      <c r="V683" s="4">
        <f t="shared" si="34"/>
        <v>7.2361639669267716E-3</v>
      </c>
      <c r="W683" s="3">
        <f t="shared" si="36"/>
        <v>4</v>
      </c>
      <c r="X683" s="3">
        <f t="shared" si="35"/>
        <v>2.8944655867707086E-2</v>
      </c>
    </row>
    <row r="684" spans="21:24">
      <c r="U684" s="3">
        <v>33.700000000000003</v>
      </c>
      <c r="V684" s="4">
        <f t="shared" si="34"/>
        <v>7.1163588799207662E-3</v>
      </c>
      <c r="W684" s="3">
        <f t="shared" si="36"/>
        <v>2</v>
      </c>
      <c r="X684" s="3">
        <f t="shared" si="35"/>
        <v>1.4232717759841532E-2</v>
      </c>
    </row>
    <row r="685" spans="21:24">
      <c r="U685" s="3">
        <v>33.75</v>
      </c>
      <c r="V685" s="4">
        <f t="shared" si="34"/>
        <v>6.9981415276642502E-3</v>
      </c>
      <c r="W685" s="3">
        <f t="shared" si="36"/>
        <v>4</v>
      </c>
      <c r="X685" s="3">
        <f t="shared" si="35"/>
        <v>2.7992566110657001E-2</v>
      </c>
    </row>
    <row r="686" spans="21:24">
      <c r="U686" s="3">
        <v>33.799999999999997</v>
      </c>
      <c r="V686" s="4">
        <f t="shared" si="34"/>
        <v>6.8814974765498112E-3</v>
      </c>
      <c r="W686" s="3">
        <f t="shared" si="36"/>
        <v>2</v>
      </c>
      <c r="X686" s="3">
        <f t="shared" si="35"/>
        <v>1.3762994953099622E-2</v>
      </c>
    </row>
    <row r="687" spans="21:24">
      <c r="U687" s="3">
        <v>33.85</v>
      </c>
      <c r="V687" s="4">
        <f t="shared" si="34"/>
        <v>6.766412330090516E-3</v>
      </c>
      <c r="W687" s="3">
        <f t="shared" si="36"/>
        <v>4</v>
      </c>
      <c r="X687" s="3">
        <f t="shared" si="35"/>
        <v>2.7065649320362064E-2</v>
      </c>
    </row>
    <row r="688" spans="21:24">
      <c r="U688" s="3">
        <v>33.9</v>
      </c>
      <c r="V688" s="4">
        <f t="shared" si="34"/>
        <v>6.6528717300410574E-3</v>
      </c>
      <c r="W688" s="3">
        <f t="shared" si="36"/>
        <v>2</v>
      </c>
      <c r="X688" s="3">
        <f t="shared" si="35"/>
        <v>1.3305743460082115E-2</v>
      </c>
    </row>
    <row r="689" spans="21:24">
      <c r="U689" s="3">
        <v>33.950000000000003</v>
      </c>
      <c r="V689" s="4">
        <f t="shared" si="34"/>
        <v>6.5408613575084649E-3</v>
      </c>
      <c r="W689" s="3">
        <f t="shared" si="36"/>
        <v>4</v>
      </c>
      <c r="X689" s="3">
        <f t="shared" si="35"/>
        <v>2.616344543003386E-2</v>
      </c>
    </row>
    <row r="690" spans="21:24">
      <c r="U690" s="3">
        <v>34</v>
      </c>
      <c r="V690" s="4">
        <f t="shared" si="34"/>
        <v>6.4303669340514758E-3</v>
      </c>
      <c r="W690" s="3">
        <f t="shared" si="36"/>
        <v>2</v>
      </c>
      <c r="X690" s="3">
        <f t="shared" si="35"/>
        <v>1.2860733868102952E-2</v>
      </c>
    </row>
    <row r="691" spans="21:24">
      <c r="U691" s="3">
        <v>34.049999999999997</v>
      </c>
      <c r="V691" s="4">
        <f t="shared" si="34"/>
        <v>6.3213742227678782E-3</v>
      </c>
      <c r="W691" s="3">
        <f t="shared" si="36"/>
        <v>4</v>
      </c>
      <c r="X691" s="3">
        <f t="shared" si="35"/>
        <v>2.5285496891071513E-2</v>
      </c>
    </row>
    <row r="692" spans="21:24">
      <c r="U692" s="3">
        <v>34.1</v>
      </c>
      <c r="V692" s="4">
        <f t="shared" si="34"/>
        <v>6.2138690293729619E-3</v>
      </c>
      <c r="W692" s="3">
        <f t="shared" si="36"/>
        <v>2</v>
      </c>
      <c r="X692" s="3">
        <f t="shared" si="35"/>
        <v>1.2427738058745924E-2</v>
      </c>
    </row>
    <row r="693" spans="21:24">
      <c r="U693" s="3">
        <v>34.15</v>
      </c>
      <c r="V693" s="4">
        <f t="shared" si="34"/>
        <v>6.1078372032629868E-3</v>
      </c>
      <c r="W693" s="3">
        <f t="shared" si="36"/>
        <v>4</v>
      </c>
      <c r="X693" s="3">
        <f t="shared" si="35"/>
        <v>2.4431348813051947E-2</v>
      </c>
    </row>
    <row r="694" spans="21:24">
      <c r="U694" s="3">
        <v>34.200000000000003</v>
      </c>
      <c r="V694" s="4">
        <f t="shared" si="34"/>
        <v>6.0032646385695396E-3</v>
      </c>
      <c r="W694" s="3">
        <f t="shared" si="36"/>
        <v>2</v>
      </c>
      <c r="X694" s="3">
        <f t="shared" si="35"/>
        <v>1.2006529277139079E-2</v>
      </c>
    </row>
    <row r="695" spans="21:24">
      <c r="U695" s="3">
        <v>34.25</v>
      </c>
      <c r="V695" s="4">
        <f t="shared" si="34"/>
        <v>5.9001372752008046E-3</v>
      </c>
      <c r="W695" s="3">
        <f t="shared" si="36"/>
        <v>4</v>
      </c>
      <c r="X695" s="3">
        <f t="shared" si="35"/>
        <v>2.3600549100803218E-2</v>
      </c>
    </row>
    <row r="696" spans="21:24">
      <c r="U696" s="3">
        <v>34.299999999999997</v>
      </c>
      <c r="V696" s="4">
        <f t="shared" si="34"/>
        <v>5.7984410998713418E-3</v>
      </c>
      <c r="W696" s="3">
        <f t="shared" si="36"/>
        <v>2</v>
      </c>
      <c r="X696" s="3">
        <f t="shared" si="35"/>
        <v>1.1596882199742684E-2</v>
      </c>
    </row>
    <row r="697" spans="21:24">
      <c r="U697" s="3">
        <v>34.35</v>
      </c>
      <c r="V697" s="4">
        <f t="shared" si="34"/>
        <v>5.6981621471192912E-3</v>
      </c>
      <c r="W697" s="3">
        <f t="shared" si="36"/>
        <v>4</v>
      </c>
      <c r="X697" s="3">
        <f t="shared" si="35"/>
        <v>2.2792648588477165E-2</v>
      </c>
    </row>
    <row r="698" spans="21:24">
      <c r="U698" s="3">
        <v>34.4</v>
      </c>
      <c r="V698" s="4">
        <f t="shared" si="34"/>
        <v>5.59928650031161E-3</v>
      </c>
      <c r="W698" s="3">
        <f t="shared" si="36"/>
        <v>2</v>
      </c>
      <c r="X698" s="3">
        <f t="shared" si="35"/>
        <v>1.119857300062322E-2</v>
      </c>
    </row>
    <row r="699" spans="21:24">
      <c r="U699" s="3">
        <v>34.450000000000003</v>
      </c>
      <c r="V699" s="4">
        <f t="shared" si="34"/>
        <v>5.5018002926367467E-3</v>
      </c>
      <c r="W699" s="3">
        <f t="shared" si="36"/>
        <v>4</v>
      </c>
      <c r="X699" s="3">
        <f t="shared" si="35"/>
        <v>2.2007201170546987E-2</v>
      </c>
    </row>
    <row r="700" spans="21:24">
      <c r="U700" s="3">
        <v>34.5</v>
      </c>
      <c r="V700" s="4">
        <f t="shared" si="34"/>
        <v>5.4056897080846066E-3</v>
      </c>
      <c r="W700" s="3">
        <f t="shared" si="36"/>
        <v>2</v>
      </c>
      <c r="X700" s="3">
        <f t="shared" si="35"/>
        <v>1.0811379416169213E-2</v>
      </c>
    </row>
    <row r="701" spans="21:24">
      <c r="U701" s="3">
        <v>34.549999999999997</v>
      </c>
      <c r="V701" s="4">
        <f t="shared" si="34"/>
        <v>5.3109409824139983E-3</v>
      </c>
      <c r="W701" s="3">
        <f t="shared" si="36"/>
        <v>4</v>
      </c>
      <c r="X701" s="3">
        <f t="shared" si="35"/>
        <v>2.1243763929655993E-2</v>
      </c>
    </row>
    <row r="702" spans="21:24">
      <c r="U702" s="3">
        <v>34.6</v>
      </c>
      <c r="V702" s="4">
        <f t="shared" si="34"/>
        <v>5.2175404041071302E-3</v>
      </c>
      <c r="W702" s="3">
        <f t="shared" si="36"/>
        <v>2</v>
      </c>
      <c r="X702" s="3">
        <f t="shared" si="35"/>
        <v>1.043508080821426E-2</v>
      </c>
    </row>
    <row r="703" spans="21:24">
      <c r="U703" s="3">
        <v>34.65</v>
      </c>
      <c r="V703" s="4">
        <f t="shared" si="34"/>
        <v>5.1254743153111406E-3</v>
      </c>
      <c r="W703" s="3">
        <f t="shared" si="36"/>
        <v>4</v>
      </c>
      <c r="X703" s="3">
        <f t="shared" si="35"/>
        <v>2.0501897261244562E-2</v>
      </c>
    </row>
    <row r="704" spans="21:24">
      <c r="U704" s="3">
        <v>34.700000000000003</v>
      </c>
      <c r="V704" s="4">
        <f t="shared" si="34"/>
        <v>5.0347291127666354E-3</v>
      </c>
      <c r="W704" s="3">
        <f t="shared" si="36"/>
        <v>2</v>
      </c>
      <c r="X704" s="3">
        <f t="shared" si="35"/>
        <v>1.0069458225533271E-2</v>
      </c>
    </row>
    <row r="705" spans="21:24">
      <c r="U705" s="3">
        <v>34.75</v>
      </c>
      <c r="V705" s="4">
        <f t="shared" si="34"/>
        <v>4.945291248722743E-3</v>
      </c>
      <c r="W705" s="3">
        <f t="shared" si="36"/>
        <v>4</v>
      </c>
      <c r="X705" s="3">
        <f t="shared" si="35"/>
        <v>1.9781164994890972E-2</v>
      </c>
    </row>
    <row r="706" spans="21:24">
      <c r="U706" s="3">
        <v>34.799999999999997</v>
      </c>
      <c r="V706" s="4">
        <f t="shared" si="34"/>
        <v>4.8571472318391521E-3</v>
      </c>
      <c r="W706" s="3">
        <f t="shared" si="36"/>
        <v>2</v>
      </c>
      <c r="X706" s="3">
        <f t="shared" si="35"/>
        <v>9.7142944636783041E-3</v>
      </c>
    </row>
    <row r="707" spans="21:24">
      <c r="U707" s="3">
        <v>34.85</v>
      </c>
      <c r="V707" s="4">
        <f t="shared" si="34"/>
        <v>4.7702836280745656E-3</v>
      </c>
      <c r="W707" s="3">
        <f t="shared" si="36"/>
        <v>4</v>
      </c>
      <c r="X707" s="3">
        <f t="shared" si="35"/>
        <v>1.9081134512298262E-2</v>
      </c>
    </row>
    <row r="708" spans="21:24">
      <c r="U708" s="3">
        <v>34.9</v>
      </c>
      <c r="V708" s="4">
        <f t="shared" si="34"/>
        <v>4.684687061561465E-3</v>
      </c>
      <c r="W708" s="3">
        <f t="shared" si="36"/>
        <v>2</v>
      </c>
      <c r="X708" s="3">
        <f t="shared" si="35"/>
        <v>9.36937412312293E-3</v>
      </c>
    </row>
    <row r="709" spans="21:24">
      <c r="U709" s="3">
        <v>34.950000000000003</v>
      </c>
      <c r="V709" s="4">
        <f t="shared" si="34"/>
        <v>4.6003442154674791E-3</v>
      </c>
      <c r="W709" s="3">
        <f t="shared" si="36"/>
        <v>4</v>
      </c>
      <c r="X709" s="3">
        <f t="shared" si="35"/>
        <v>1.8401376861869916E-2</v>
      </c>
    </row>
    <row r="710" spans="21:24">
      <c r="U710" s="3">
        <v>35</v>
      </c>
      <c r="V710" s="4">
        <f t="shared" si="34"/>
        <v>4.5172418328428849E-3</v>
      </c>
      <c r="W710" s="3">
        <f t="shared" si="36"/>
        <v>2</v>
      </c>
      <c r="X710" s="3">
        <f t="shared" si="35"/>
        <v>9.0344836656857698E-3</v>
      </c>
    </row>
    <row r="711" spans="21:24">
      <c r="U711" s="3">
        <v>35.049999999999997</v>
      </c>
      <c r="V711" s="4">
        <f t="shared" si="34"/>
        <v>4.4353667174535337E-3</v>
      </c>
      <c r="W711" s="3">
        <f t="shared" si="36"/>
        <v>4</v>
      </c>
      <c r="X711" s="3">
        <f t="shared" si="35"/>
        <v>1.7741466869814135E-2</v>
      </c>
    </row>
    <row r="712" spans="21:24">
      <c r="U712" s="3">
        <v>35.1</v>
      </c>
      <c r="V712" s="4">
        <f t="shared" si="34"/>
        <v>4.3547057346018329E-3</v>
      </c>
      <c r="W712" s="3">
        <f t="shared" si="36"/>
        <v>2</v>
      </c>
      <c r="X712" s="3">
        <f t="shared" si="35"/>
        <v>8.7094114692036657E-3</v>
      </c>
    </row>
    <row r="713" spans="21:24">
      <c r="U713" s="3">
        <v>35.15</v>
      </c>
      <c r="V713" s="4">
        <f t="shared" si="34"/>
        <v>4.2752458119309457E-3</v>
      </c>
      <c r="W713" s="3">
        <f t="shared" si="36"/>
        <v>4</v>
      </c>
      <c r="X713" s="3">
        <f t="shared" si="35"/>
        <v>1.7100983247723783E-2</v>
      </c>
    </row>
    <row r="714" spans="21:24">
      <c r="U714" s="3">
        <v>35.200000000000003</v>
      </c>
      <c r="V714" s="4">
        <f t="shared" si="34"/>
        <v>4.1969739402169335E-3</v>
      </c>
      <c r="W714" s="3">
        <f t="shared" si="36"/>
        <v>2</v>
      </c>
      <c r="X714" s="3">
        <f t="shared" si="35"/>
        <v>8.393947880433867E-3</v>
      </c>
    </row>
    <row r="715" spans="21:24">
      <c r="U715" s="3">
        <v>35.25</v>
      </c>
      <c r="V715" s="4">
        <f t="shared" ref="V715:V778" si="37">EXP(-(B$3*(70+U715)+0.5*B$4*((70+U715)^2)+(B$5/LN(B$6))*((B$6^(70+U715))-1)))</f>
        <v>4.1198771741456875E-3</v>
      </c>
      <c r="W715" s="3">
        <f t="shared" si="36"/>
        <v>4</v>
      </c>
      <c r="X715" s="3">
        <f t="shared" ref="X715:X778" si="38">V715*W715</f>
        <v>1.647950869658275E-2</v>
      </c>
    </row>
    <row r="716" spans="21:24">
      <c r="U716" s="3">
        <v>35.299999999999997</v>
      </c>
      <c r="V716" s="4">
        <f t="shared" si="37"/>
        <v>4.0439426330759259E-3</v>
      </c>
      <c r="W716" s="3">
        <f t="shared" si="36"/>
        <v>2</v>
      </c>
      <c r="X716" s="3">
        <f t="shared" si="38"/>
        <v>8.0878852661518518E-3</v>
      </c>
    </row>
    <row r="717" spans="21:24">
      <c r="U717" s="3">
        <v>35.35</v>
      </c>
      <c r="V717" s="4">
        <f t="shared" si="37"/>
        <v>3.9691575017875257E-3</v>
      </c>
      <c r="W717" s="3">
        <f t="shared" ref="W717:W780" si="39">IF(W716=4,2,4)</f>
        <v>4</v>
      </c>
      <c r="X717" s="3">
        <f t="shared" si="38"/>
        <v>1.5876630007150103E-2</v>
      </c>
    </row>
    <row r="718" spans="21:24">
      <c r="U718" s="3">
        <v>35.4</v>
      </c>
      <c r="V718" s="4">
        <f t="shared" si="37"/>
        <v>3.8955090312155992E-3</v>
      </c>
      <c r="W718" s="3">
        <f t="shared" si="39"/>
        <v>2</v>
      </c>
      <c r="X718" s="3">
        <f t="shared" si="38"/>
        <v>7.7910180624311985E-3</v>
      </c>
    </row>
    <row r="719" spans="21:24">
      <c r="U719" s="3">
        <v>35.450000000000003</v>
      </c>
      <c r="V719" s="4">
        <f t="shared" si="37"/>
        <v>3.8229845391699832E-3</v>
      </c>
      <c r="W719" s="3">
        <f t="shared" si="39"/>
        <v>4</v>
      </c>
      <c r="X719" s="3">
        <f t="shared" si="38"/>
        <v>1.5291938156679933E-2</v>
      </c>
    </row>
    <row r="720" spans="21:24">
      <c r="U720" s="3">
        <v>35.5</v>
      </c>
      <c r="V720" s="4">
        <f t="shared" si="37"/>
        <v>3.7515714110399789E-3</v>
      </c>
      <c r="W720" s="3">
        <f t="shared" si="39"/>
        <v>2</v>
      </c>
      <c r="X720" s="3">
        <f t="shared" si="38"/>
        <v>7.5031428220799579E-3</v>
      </c>
    </row>
    <row r="721" spans="21:24">
      <c r="U721" s="3">
        <v>35.549999999999997</v>
      </c>
      <c r="V721" s="4">
        <f t="shared" si="37"/>
        <v>3.6812571004846083E-3</v>
      </c>
      <c r="W721" s="3">
        <f t="shared" si="39"/>
        <v>4</v>
      </c>
      <c r="X721" s="3">
        <f t="shared" si="38"/>
        <v>1.4725028401938433E-2</v>
      </c>
    </row>
    <row r="722" spans="21:24">
      <c r="U722" s="3">
        <v>35.6</v>
      </c>
      <c r="V722" s="4">
        <f t="shared" si="37"/>
        <v>3.6120291301080243E-3</v>
      </c>
      <c r="W722" s="3">
        <f t="shared" si="39"/>
        <v>2</v>
      </c>
      <c r="X722" s="3">
        <f t="shared" si="38"/>
        <v>7.2240582602160486E-3</v>
      </c>
    </row>
    <row r="723" spans="21:24">
      <c r="U723" s="3">
        <v>35.65</v>
      </c>
      <c r="V723" s="4">
        <f t="shared" si="37"/>
        <v>3.5438750921201411E-3</v>
      </c>
      <c r="W723" s="3">
        <f t="shared" si="39"/>
        <v>4</v>
      </c>
      <c r="X723" s="3">
        <f t="shared" si="38"/>
        <v>1.4175500368480564E-2</v>
      </c>
    </row>
    <row r="724" spans="21:24">
      <c r="U724" s="3">
        <v>35.700000000000003</v>
      </c>
      <c r="V724" s="4">
        <f t="shared" si="37"/>
        <v>3.4767826489825481E-3</v>
      </c>
      <c r="W724" s="3">
        <f t="shared" si="39"/>
        <v>2</v>
      </c>
      <c r="X724" s="3">
        <f t="shared" si="38"/>
        <v>6.9535652979650963E-3</v>
      </c>
    </row>
    <row r="725" spans="21:24">
      <c r="U725" s="3">
        <v>35.75</v>
      </c>
      <c r="V725" s="4">
        <f t="shared" si="37"/>
        <v>3.4107395340392606E-3</v>
      </c>
      <c r="W725" s="3">
        <f t="shared" si="39"/>
        <v>4</v>
      </c>
      <c r="X725" s="3">
        <f t="shared" si="38"/>
        <v>1.3642958136157042E-2</v>
      </c>
    </row>
    <row r="726" spans="21:24">
      <c r="U726" s="3">
        <v>35.799999999999997</v>
      </c>
      <c r="V726" s="4">
        <f t="shared" si="37"/>
        <v>3.3457335521328182E-3</v>
      </c>
      <c r="W726" s="3">
        <f t="shared" si="39"/>
        <v>2</v>
      </c>
      <c r="X726" s="3">
        <f t="shared" si="38"/>
        <v>6.6914671042656365E-3</v>
      </c>
    </row>
    <row r="727" spans="21:24">
      <c r="U727" s="3">
        <v>35.85</v>
      </c>
      <c r="V727" s="4">
        <f t="shared" si="37"/>
        <v>3.281752580205289E-3</v>
      </c>
      <c r="W727" s="3">
        <f t="shared" si="39"/>
        <v>4</v>
      </c>
      <c r="X727" s="3">
        <f t="shared" si="38"/>
        <v>1.3127010320821156E-2</v>
      </c>
    </row>
    <row r="728" spans="21:24">
      <c r="U728" s="3">
        <v>35.9</v>
      </c>
      <c r="V728" s="4">
        <f t="shared" si="37"/>
        <v>3.2187845678841695E-3</v>
      </c>
      <c r="W728" s="3">
        <f t="shared" si="39"/>
        <v>2</v>
      </c>
      <c r="X728" s="3">
        <f t="shared" si="38"/>
        <v>6.437569135768339E-3</v>
      </c>
    </row>
    <row r="729" spans="21:24">
      <c r="U729" s="3">
        <v>35.950000000000003</v>
      </c>
      <c r="V729" s="4">
        <f t="shared" si="37"/>
        <v>3.1568175380534552E-3</v>
      </c>
      <c r="W729" s="3">
        <f t="shared" si="39"/>
        <v>4</v>
      </c>
      <c r="X729" s="3">
        <f t="shared" si="38"/>
        <v>1.2627270152213821E-2</v>
      </c>
    </row>
    <row r="730" spans="21:24">
      <c r="U730" s="3">
        <v>36</v>
      </c>
      <c r="V730" s="4">
        <f t="shared" si="37"/>
        <v>3.0958395874094648E-3</v>
      </c>
      <c r="W730" s="3">
        <f t="shared" si="39"/>
        <v>2</v>
      </c>
      <c r="X730" s="3">
        <f t="shared" si="38"/>
        <v>6.1916791748189296E-3</v>
      </c>
    </row>
    <row r="731" spans="21:24">
      <c r="U731" s="3">
        <v>36.049999999999997</v>
      </c>
      <c r="V731" s="4">
        <f t="shared" si="37"/>
        <v>3.0358388870011929E-3</v>
      </c>
      <c r="W731" s="3">
        <f t="shared" si="39"/>
        <v>4</v>
      </c>
      <c r="X731" s="3">
        <f t="shared" si="38"/>
        <v>1.2143355548004772E-2</v>
      </c>
    </row>
    <row r="732" spans="21:24">
      <c r="U732" s="3">
        <v>36.1</v>
      </c>
      <c r="V732" s="4">
        <f t="shared" si="37"/>
        <v>2.9768036827568919E-3</v>
      </c>
      <c r="W732" s="3">
        <f t="shared" si="39"/>
        <v>2</v>
      </c>
      <c r="X732" s="3">
        <f t="shared" si="38"/>
        <v>5.9536073655137838E-3</v>
      </c>
    </row>
    <row r="733" spans="21:24">
      <c r="U733" s="3">
        <v>36.15</v>
      </c>
      <c r="V733" s="4">
        <f t="shared" si="37"/>
        <v>2.9187222959935516E-3</v>
      </c>
      <c r="W733" s="3">
        <f t="shared" si="39"/>
        <v>4</v>
      </c>
      <c r="X733" s="3">
        <f t="shared" si="38"/>
        <v>1.1674889183974206E-2</v>
      </c>
    </row>
    <row r="734" spans="21:24">
      <c r="U734" s="3">
        <v>36.200000000000003</v>
      </c>
      <c r="V734" s="4">
        <f t="shared" si="37"/>
        <v>2.8615831239127911E-3</v>
      </c>
      <c r="W734" s="3">
        <f t="shared" si="39"/>
        <v>2</v>
      </c>
      <c r="X734" s="3">
        <f t="shared" si="38"/>
        <v>5.7231662478255821E-3</v>
      </c>
    </row>
    <row r="735" spans="21:24">
      <c r="U735" s="3">
        <v>36.25</v>
      </c>
      <c r="V735" s="4">
        <f t="shared" si="37"/>
        <v>2.8053746400807881E-3</v>
      </c>
      <c r="W735" s="3">
        <f t="shared" si="39"/>
        <v>4</v>
      </c>
      <c r="X735" s="3">
        <f t="shared" si="38"/>
        <v>1.1221498560323152E-2</v>
      </c>
    </row>
    <row r="736" spans="21:24">
      <c r="U736" s="3">
        <v>36.299999999999997</v>
      </c>
      <c r="V736" s="4">
        <f t="shared" si="37"/>
        <v>2.7500853948933751E-3</v>
      </c>
      <c r="W736" s="3">
        <f t="shared" si="39"/>
        <v>2</v>
      </c>
      <c r="X736" s="3">
        <f t="shared" si="38"/>
        <v>5.5001707897867503E-3</v>
      </c>
    </row>
    <row r="737" spans="21:24">
      <c r="U737" s="3">
        <v>36.35</v>
      </c>
      <c r="V737" s="4">
        <f t="shared" si="37"/>
        <v>2.6957040160257213E-3</v>
      </c>
      <c r="W737" s="3">
        <f t="shared" si="39"/>
        <v>4</v>
      </c>
      <c r="X737" s="3">
        <f t="shared" si="38"/>
        <v>1.0782816064102885E-2</v>
      </c>
    </row>
    <row r="738" spans="21:24">
      <c r="U738" s="3">
        <v>36.4</v>
      </c>
      <c r="V738" s="4">
        <f t="shared" si="37"/>
        <v>2.6422192088669848E-3</v>
      </c>
      <c r="W738" s="3">
        <f t="shared" si="39"/>
        <v>2</v>
      </c>
      <c r="X738" s="3">
        <f t="shared" si="38"/>
        <v>5.2844384177339696E-3</v>
      </c>
    </row>
    <row r="739" spans="21:24">
      <c r="U739" s="3">
        <v>36.450000000000003</v>
      </c>
      <c r="V739" s="4">
        <f t="shared" si="37"/>
        <v>2.5896197569397952E-3</v>
      </c>
      <c r="W739" s="3">
        <f t="shared" si="39"/>
        <v>4</v>
      </c>
      <c r="X739" s="3">
        <f t="shared" si="38"/>
        <v>1.0358479027759181E-2</v>
      </c>
    </row>
    <row r="740" spans="21:24">
      <c r="U740" s="3">
        <v>36.5</v>
      </c>
      <c r="V740" s="4">
        <f t="shared" si="37"/>
        <v>2.5378945223044113E-3</v>
      </c>
      <c r="W740" s="3">
        <f t="shared" si="39"/>
        <v>2</v>
      </c>
      <c r="X740" s="3">
        <f t="shared" si="38"/>
        <v>5.0757890446088225E-3</v>
      </c>
    </row>
    <row r="741" spans="21:24">
      <c r="U741" s="3">
        <v>36.549999999999997</v>
      </c>
      <c r="V741" s="4">
        <f t="shared" si="37"/>
        <v>2.4870324459478829E-3</v>
      </c>
      <c r="W741" s="3">
        <f t="shared" si="39"/>
        <v>4</v>
      </c>
      <c r="X741" s="3">
        <f t="shared" si="38"/>
        <v>9.9481297837915317E-3</v>
      </c>
    </row>
    <row r="742" spans="21:24">
      <c r="U742" s="3">
        <v>36.6</v>
      </c>
      <c r="V742" s="4">
        <f t="shared" si="37"/>
        <v>2.4370225481580151E-3</v>
      </c>
      <c r="W742" s="3">
        <f t="shared" si="39"/>
        <v>2</v>
      </c>
      <c r="X742" s="3">
        <f t="shared" si="38"/>
        <v>4.8740450963160303E-3</v>
      </c>
    </row>
    <row r="743" spans="21:24">
      <c r="U743" s="3">
        <v>36.65</v>
      </c>
      <c r="V743" s="4">
        <f t="shared" si="37"/>
        <v>2.3878539288821614E-3</v>
      </c>
      <c r="W743" s="3">
        <f t="shared" si="39"/>
        <v>4</v>
      </c>
      <c r="X743" s="3">
        <f t="shared" si="38"/>
        <v>9.5514157155286456E-3</v>
      </c>
    </row>
    <row r="744" spans="21:24">
      <c r="U744" s="3">
        <v>36.700000000000003</v>
      </c>
      <c r="V744" s="4">
        <f t="shared" si="37"/>
        <v>2.3395157680710472E-3</v>
      </c>
      <c r="W744" s="3">
        <f t="shared" si="39"/>
        <v>2</v>
      </c>
      <c r="X744" s="3">
        <f t="shared" si="38"/>
        <v>4.6790315361420944E-3</v>
      </c>
    </row>
    <row r="745" spans="21:24">
      <c r="U745" s="3">
        <v>36.75</v>
      </c>
      <c r="V745" s="4">
        <f t="shared" si="37"/>
        <v>2.2919973260073236E-3</v>
      </c>
      <c r="W745" s="3">
        <f t="shared" si="39"/>
        <v>4</v>
      </c>
      <c r="X745" s="3">
        <f t="shared" si="38"/>
        <v>9.1679893040292944E-3</v>
      </c>
    </row>
    <row r="746" spans="21:24">
      <c r="U746" s="3">
        <v>36.799999999999997</v>
      </c>
      <c r="V746" s="4">
        <f t="shared" si="37"/>
        <v>2.2452879436192555E-3</v>
      </c>
      <c r="W746" s="3">
        <f t="shared" si="39"/>
        <v>2</v>
      </c>
      <c r="X746" s="3">
        <f t="shared" si="38"/>
        <v>4.4905758872385111E-3</v>
      </c>
    </row>
    <row r="747" spans="21:24">
      <c r="U747" s="3">
        <v>36.85</v>
      </c>
      <c r="V747" s="4">
        <f t="shared" si="37"/>
        <v>2.1993770427793501E-3</v>
      </c>
      <c r="W747" s="3">
        <f t="shared" si="39"/>
        <v>4</v>
      </c>
      <c r="X747" s="3">
        <f t="shared" si="38"/>
        <v>8.7975081711174005E-3</v>
      </c>
    </row>
    <row r="748" spans="21:24">
      <c r="U748" s="3">
        <v>36.9</v>
      </c>
      <c r="V748" s="4">
        <f t="shared" si="37"/>
        <v>2.1542541265879224E-3</v>
      </c>
      <c r="W748" s="3">
        <f t="shared" si="39"/>
        <v>2</v>
      </c>
      <c r="X748" s="3">
        <f t="shared" si="38"/>
        <v>4.3085082531758448E-3</v>
      </c>
    </row>
    <row r="749" spans="21:24">
      <c r="U749" s="3">
        <v>36.950000000000003</v>
      </c>
      <c r="V749" s="4">
        <f t="shared" si="37"/>
        <v>2.1099087796418977E-3</v>
      </c>
      <c r="W749" s="3">
        <f t="shared" si="39"/>
        <v>4</v>
      </c>
      <c r="X749" s="3">
        <f t="shared" si="38"/>
        <v>8.4396351185675907E-3</v>
      </c>
    </row>
    <row r="750" spans="21:24">
      <c r="U750" s="3">
        <v>37</v>
      </c>
      <c r="V750" s="4">
        <f t="shared" si="37"/>
        <v>2.0663306682886435E-3</v>
      </c>
      <c r="W750" s="3">
        <f t="shared" si="39"/>
        <v>2</v>
      </c>
      <c r="X750" s="3">
        <f t="shared" si="38"/>
        <v>4.132661336577287E-3</v>
      </c>
    </row>
    <row r="751" spans="21:24">
      <c r="U751" s="3">
        <v>37.049999999999997</v>
      </c>
      <c r="V751" s="4">
        <f t="shared" si="37"/>
        <v>2.0235095408646319E-3</v>
      </c>
      <c r="W751" s="3">
        <f t="shared" si="39"/>
        <v>4</v>
      </c>
      <c r="X751" s="3">
        <f t="shared" si="38"/>
        <v>8.0940381634585275E-3</v>
      </c>
    </row>
    <row r="752" spans="21:24">
      <c r="U752" s="3">
        <v>37.1</v>
      </c>
      <c r="V752" s="4">
        <f t="shared" si="37"/>
        <v>1.981435227920352E-3</v>
      </c>
      <c r="W752" s="3">
        <f t="shared" si="39"/>
        <v>2</v>
      </c>
      <c r="X752" s="3">
        <f t="shared" si="38"/>
        <v>3.962870455840704E-3</v>
      </c>
    </row>
    <row r="753" spans="21:24">
      <c r="U753" s="3">
        <v>37.15</v>
      </c>
      <c r="V753" s="4">
        <f t="shared" si="37"/>
        <v>1.9400976424290761E-3</v>
      </c>
      <c r="W753" s="3">
        <f t="shared" si="39"/>
        <v>4</v>
      </c>
      <c r="X753" s="3">
        <f t="shared" si="38"/>
        <v>7.7603905697163043E-3</v>
      </c>
    </row>
    <row r="754" spans="21:24">
      <c r="U754" s="3">
        <v>37.200000000000003</v>
      </c>
      <c r="V754" s="4">
        <f t="shared" si="37"/>
        <v>1.8994867799820585E-3</v>
      </c>
      <c r="W754" s="3">
        <f t="shared" si="39"/>
        <v>2</v>
      </c>
      <c r="X754" s="3">
        <f t="shared" si="38"/>
        <v>3.7989735599641169E-3</v>
      </c>
    </row>
    <row r="755" spans="21:24">
      <c r="U755" s="3">
        <v>37.25</v>
      </c>
      <c r="V755" s="4">
        <f t="shared" si="37"/>
        <v>1.8595927189685993E-3</v>
      </c>
      <c r="W755" s="3">
        <f t="shared" si="39"/>
        <v>4</v>
      </c>
      <c r="X755" s="3">
        <f t="shared" si="38"/>
        <v>7.438370875874397E-3</v>
      </c>
    </row>
    <row r="756" spans="21:24">
      <c r="U756" s="3">
        <v>37.299999999999997</v>
      </c>
      <c r="V756" s="4">
        <f t="shared" si="37"/>
        <v>1.8204056207417928E-3</v>
      </c>
      <c r="W756" s="3">
        <f t="shared" si="39"/>
        <v>2</v>
      </c>
      <c r="X756" s="3">
        <f t="shared" si="38"/>
        <v>3.6408112414835856E-3</v>
      </c>
    </row>
    <row r="757" spans="21:24">
      <c r="U757" s="3">
        <v>37.35</v>
      </c>
      <c r="V757" s="4">
        <f t="shared" si="37"/>
        <v>1.7819157297696453E-3</v>
      </c>
      <c r="W757" s="3">
        <f t="shared" si="39"/>
        <v>4</v>
      </c>
      <c r="X757" s="3">
        <f t="shared" si="38"/>
        <v>7.1276629190785814E-3</v>
      </c>
    </row>
    <row r="758" spans="21:24">
      <c r="U758" s="3">
        <v>37.4</v>
      </c>
      <c r="V758" s="4">
        <f t="shared" si="37"/>
        <v>1.7441133737718998E-3</v>
      </c>
      <c r="W758" s="3">
        <f t="shared" si="39"/>
        <v>2</v>
      </c>
      <c r="X758" s="3">
        <f t="shared" si="38"/>
        <v>3.4882267475437995E-3</v>
      </c>
    </row>
    <row r="759" spans="21:24">
      <c r="U759" s="3">
        <v>37.450000000000003</v>
      </c>
      <c r="V759" s="4">
        <f t="shared" si="37"/>
        <v>1.7069889638425466E-3</v>
      </c>
      <c r="W759" s="3">
        <f t="shared" si="39"/>
        <v>4</v>
      </c>
      <c r="X759" s="3">
        <f t="shared" si="38"/>
        <v>6.8279558553701863E-3</v>
      </c>
    </row>
    <row r="760" spans="21:24">
      <c r="U760" s="3">
        <v>37.5</v>
      </c>
      <c r="V760" s="4">
        <f t="shared" si="37"/>
        <v>1.67053299455799E-3</v>
      </c>
      <c r="W760" s="3">
        <f t="shared" si="39"/>
        <v>2</v>
      </c>
      <c r="X760" s="3">
        <f t="shared" si="38"/>
        <v>3.3410659891159799E-3</v>
      </c>
    </row>
    <row r="761" spans="21:24">
      <c r="U761" s="3">
        <v>37.549999999999997</v>
      </c>
      <c r="V761" s="4">
        <f t="shared" si="37"/>
        <v>1.6347360440711655E-3</v>
      </c>
      <c r="W761" s="3">
        <f t="shared" si="39"/>
        <v>4</v>
      </c>
      <c r="X761" s="3">
        <f t="shared" si="38"/>
        <v>6.5389441762846619E-3</v>
      </c>
    </row>
    <row r="762" spans="21:24">
      <c r="U762" s="3">
        <v>37.6</v>
      </c>
      <c r="V762" s="4">
        <f t="shared" si="37"/>
        <v>1.5995887741915274E-3</v>
      </c>
      <c r="W762" s="3">
        <f t="shared" si="39"/>
        <v>2</v>
      </c>
      <c r="X762" s="3">
        <f t="shared" si="38"/>
        <v>3.1991775483830548E-3</v>
      </c>
    </row>
    <row r="763" spans="21:24">
      <c r="U763" s="3">
        <v>37.65</v>
      </c>
      <c r="V763" s="4">
        <f t="shared" si="37"/>
        <v>1.5650819304510618E-3</v>
      </c>
      <c r="W763" s="3">
        <f t="shared" si="39"/>
        <v>4</v>
      </c>
      <c r="X763" s="3">
        <f t="shared" si="38"/>
        <v>6.260327721804247E-3</v>
      </c>
    </row>
    <row r="764" spans="21:24">
      <c r="U764" s="3">
        <v>37.700000000000003</v>
      </c>
      <c r="V764" s="4">
        <f t="shared" si="37"/>
        <v>1.5312063421564395E-3</v>
      </c>
      <c r="W764" s="3">
        <f t="shared" si="39"/>
        <v>2</v>
      </c>
      <c r="X764" s="3">
        <f t="shared" si="38"/>
        <v>3.062412684312879E-3</v>
      </c>
    </row>
    <row r="765" spans="21:24">
      <c r="U765" s="3">
        <v>37.75</v>
      </c>
      <c r="V765" s="4">
        <f t="shared" si="37"/>
        <v>1.4979529224273098E-3</v>
      </c>
      <c r="W765" s="3">
        <f t="shared" si="39"/>
        <v>4</v>
      </c>
      <c r="X765" s="3">
        <f t="shared" si="38"/>
        <v>5.991811689709239E-3</v>
      </c>
    </row>
    <row r="766" spans="21:24">
      <c r="U766" s="3">
        <v>37.799999999999997</v>
      </c>
      <c r="V766" s="4">
        <f t="shared" si="37"/>
        <v>1.4653126682209387E-3</v>
      </c>
      <c r="W766" s="3">
        <f t="shared" si="39"/>
        <v>2</v>
      </c>
      <c r="X766" s="3">
        <f t="shared" si="38"/>
        <v>2.9306253364418775E-3</v>
      </c>
    </row>
    <row r="767" spans="21:24">
      <c r="U767" s="3">
        <v>37.85</v>
      </c>
      <c r="V767" s="4">
        <f t="shared" si="37"/>
        <v>1.4332766603433057E-3</v>
      </c>
      <c r="W767" s="3">
        <f t="shared" si="39"/>
        <v>4</v>
      </c>
      <c r="X767" s="3">
        <f t="shared" si="38"/>
        <v>5.7331066413732227E-3</v>
      </c>
    </row>
    <row r="768" spans="21:24">
      <c r="U768" s="3">
        <v>37.9</v>
      </c>
      <c r="V768" s="4">
        <f t="shared" si="37"/>
        <v>1.4018360634465627E-3</v>
      </c>
      <c r="W768" s="3">
        <f t="shared" si="39"/>
        <v>2</v>
      </c>
      <c r="X768" s="3">
        <f t="shared" si="38"/>
        <v>2.8036721268931255E-3</v>
      </c>
    </row>
    <row r="769" spans="21:24">
      <c r="U769" s="3">
        <v>37.950000000000003</v>
      </c>
      <c r="V769" s="4">
        <f t="shared" si="37"/>
        <v>1.3709821260132909E-3</v>
      </c>
      <c r="W769" s="3">
        <f t="shared" si="39"/>
        <v>4</v>
      </c>
      <c r="X769" s="3">
        <f t="shared" si="38"/>
        <v>5.4839285040531637E-3</v>
      </c>
    </row>
    <row r="770" spans="21:24">
      <c r="U770" s="3">
        <v>38</v>
      </c>
      <c r="V770" s="4">
        <f t="shared" si="37"/>
        <v>1.3407061803273801E-3</v>
      </c>
      <c r="W770" s="3">
        <f t="shared" si="39"/>
        <v>2</v>
      </c>
      <c r="X770" s="3">
        <f t="shared" si="38"/>
        <v>2.6814123606547602E-3</v>
      </c>
    </row>
    <row r="771" spans="21:24">
      <c r="U771" s="3">
        <v>38.049999999999997</v>
      </c>
      <c r="V771" s="4">
        <f t="shared" si="37"/>
        <v>1.3109996424315491E-3</v>
      </c>
      <c r="W771" s="3">
        <f t="shared" si="39"/>
        <v>4</v>
      </c>
      <c r="X771" s="3">
        <f t="shared" si="38"/>
        <v>5.2439985697261965E-3</v>
      </c>
    </row>
    <row r="772" spans="21:24">
      <c r="U772" s="3">
        <v>38.1</v>
      </c>
      <c r="V772" s="4">
        <f t="shared" si="37"/>
        <v>1.2818540120725394E-3</v>
      </c>
      <c r="W772" s="3">
        <f t="shared" si="39"/>
        <v>2</v>
      </c>
      <c r="X772" s="3">
        <f t="shared" si="38"/>
        <v>2.5637080241450788E-3</v>
      </c>
    </row>
    <row r="773" spans="21:24">
      <c r="U773" s="3">
        <v>38.15</v>
      </c>
      <c r="V773" s="4">
        <f t="shared" si="37"/>
        <v>1.2532608726323739E-3</v>
      </c>
      <c r="W773" s="3">
        <f t="shared" si="39"/>
        <v>4</v>
      </c>
      <c r="X773" s="3">
        <f t="shared" si="38"/>
        <v>5.0130434905294955E-3</v>
      </c>
    </row>
    <row r="774" spans="21:24">
      <c r="U774" s="3">
        <v>38.200000000000003</v>
      </c>
      <c r="V774" s="4">
        <f t="shared" si="37"/>
        <v>1.2252118910476195E-3</v>
      </c>
      <c r="W774" s="3">
        <f t="shared" si="39"/>
        <v>2</v>
      </c>
      <c r="X774" s="3">
        <f t="shared" si="38"/>
        <v>2.450423782095239E-3</v>
      </c>
    </row>
    <row r="775" spans="21:24">
      <c r="U775" s="3">
        <v>38.25</v>
      </c>
      <c r="V775" s="4">
        <f t="shared" si="37"/>
        <v>1.1976988177155702E-3</v>
      </c>
      <c r="W775" s="3">
        <f t="shared" si="39"/>
        <v>4</v>
      </c>
      <c r="X775" s="3">
        <f t="shared" si="38"/>
        <v>4.790795270862281E-3</v>
      </c>
    </row>
    <row r="776" spans="21:24">
      <c r="U776" s="3">
        <v>38.299999999999997</v>
      </c>
      <c r="V776" s="4">
        <f t="shared" si="37"/>
        <v>1.1707134863880547E-3</v>
      </c>
      <c r="W776" s="3">
        <f t="shared" si="39"/>
        <v>2</v>
      </c>
      <c r="X776" s="3">
        <f t="shared" si="38"/>
        <v>2.3414269727761094E-3</v>
      </c>
    </row>
    <row r="777" spans="21:24">
      <c r="U777" s="3">
        <v>38.35</v>
      </c>
      <c r="V777" s="4">
        <f t="shared" si="37"/>
        <v>1.1442478140527206E-3</v>
      </c>
      <c r="W777" s="3">
        <f t="shared" si="39"/>
        <v>4</v>
      </c>
      <c r="X777" s="3">
        <f t="shared" si="38"/>
        <v>4.5769912562108822E-3</v>
      </c>
    </row>
    <row r="778" spans="21:24">
      <c r="U778" s="3">
        <v>38.4</v>
      </c>
      <c r="V778" s="4">
        <f t="shared" si="37"/>
        <v>1.118293800802082E-3</v>
      </c>
      <c r="W778" s="3">
        <f t="shared" si="39"/>
        <v>2</v>
      </c>
      <c r="X778" s="3">
        <f t="shared" si="38"/>
        <v>2.236587601604164E-3</v>
      </c>
    </row>
    <row r="779" spans="21:24">
      <c r="U779" s="3">
        <v>38.450000000000003</v>
      </c>
      <c r="V779" s="4">
        <f t="shared" ref="V779:V842" si="40">EXP(-(B$3*(70+U779)+0.5*B$4*((70+U779)^2)+(B$5/LN(B$6))*((B$6^(70+U779))-1)))</f>
        <v>1.0928435296904328E-3</v>
      </c>
      <c r="W779" s="3">
        <f t="shared" si="39"/>
        <v>4</v>
      </c>
      <c r="X779" s="3">
        <f t="shared" ref="X779:X842" si="41">V779*W779</f>
        <v>4.3713741187617313E-3</v>
      </c>
    </row>
    <row r="780" spans="21:24">
      <c r="U780" s="3">
        <v>38.5</v>
      </c>
      <c r="V780" s="4">
        <f t="shared" si="40"/>
        <v>1.0678891665786734E-3</v>
      </c>
      <c r="W780" s="3">
        <f t="shared" si="39"/>
        <v>2</v>
      </c>
      <c r="X780" s="3">
        <f t="shared" si="41"/>
        <v>2.1357783331573468E-3</v>
      </c>
    </row>
    <row r="781" spans="21:24">
      <c r="U781" s="3">
        <v>38.549999999999997</v>
      </c>
      <c r="V781" s="4">
        <f t="shared" si="40"/>
        <v>1.043422959967327E-3</v>
      </c>
      <c r="W781" s="3">
        <f t="shared" ref="W781:W844" si="42">IF(W780=4,2,4)</f>
        <v>4</v>
      </c>
      <c r="X781" s="3">
        <f t="shared" si="41"/>
        <v>4.173691839869308E-3</v>
      </c>
    </row>
    <row r="782" spans="21:24">
      <c r="U782" s="3">
        <v>38.6</v>
      </c>
      <c r="V782" s="4">
        <f t="shared" si="40"/>
        <v>1.0194372408177891E-3</v>
      </c>
      <c r="W782" s="3">
        <f t="shared" si="42"/>
        <v>2</v>
      </c>
      <c r="X782" s="3">
        <f t="shared" si="41"/>
        <v>2.0388744816355782E-3</v>
      </c>
    </row>
    <row r="783" spans="21:24">
      <c r="U783" s="3">
        <v>38.65</v>
      </c>
      <c r="V783" s="4">
        <f t="shared" si="40"/>
        <v>9.9592442236198504E-4</v>
      </c>
      <c r="W783" s="3">
        <f t="shared" si="42"/>
        <v>4</v>
      </c>
      <c r="X783" s="3">
        <f t="shared" si="41"/>
        <v>3.9836976894479402E-3</v>
      </c>
    </row>
    <row r="784" spans="21:24">
      <c r="U784" s="3">
        <v>38.700000000000003</v>
      </c>
      <c r="V784" s="4">
        <f t="shared" si="40"/>
        <v>9.7287699990061176E-4</v>
      </c>
      <c r="W784" s="3">
        <f t="shared" si="42"/>
        <v>2</v>
      </c>
      <c r="X784" s="3">
        <f t="shared" si="41"/>
        <v>1.9457539998012235E-3</v>
      </c>
    </row>
    <row r="785" spans="21:24">
      <c r="U785" s="3">
        <v>38.75</v>
      </c>
      <c r="V785" s="4">
        <f t="shared" si="40"/>
        <v>9.5028755059002135E-4</v>
      </c>
      <c r="W785" s="3">
        <f t="shared" si="42"/>
        <v>4</v>
      </c>
      <c r="X785" s="3">
        <f t="shared" si="41"/>
        <v>3.8011502023600854E-3</v>
      </c>
    </row>
    <row r="786" spans="21:24">
      <c r="U786" s="3">
        <v>38.799999999999997</v>
      </c>
      <c r="V786" s="4">
        <f t="shared" si="40"/>
        <v>9.281487332180098E-4</v>
      </c>
      <c r="W786" s="3">
        <f t="shared" si="42"/>
        <v>2</v>
      </c>
      <c r="X786" s="3">
        <f t="shared" si="41"/>
        <v>1.8562974664360196E-3</v>
      </c>
    </row>
    <row r="787" spans="21:24">
      <c r="U787" s="3">
        <v>38.85</v>
      </c>
      <c r="V787" s="4">
        <f t="shared" si="40"/>
        <v>9.0645328796860891E-4</v>
      </c>
      <c r="W787" s="3">
        <f t="shared" si="42"/>
        <v>4</v>
      </c>
      <c r="X787" s="3">
        <f t="shared" si="41"/>
        <v>3.6258131518744356E-3</v>
      </c>
    </row>
    <row r="788" spans="21:24">
      <c r="U788" s="3">
        <v>38.9</v>
      </c>
      <c r="V788" s="4">
        <f t="shared" si="40"/>
        <v>8.8519403617598003E-4</v>
      </c>
      <c r="W788" s="3">
        <f t="shared" si="42"/>
        <v>2</v>
      </c>
      <c r="X788" s="3">
        <f t="shared" si="41"/>
        <v>1.7703880723519601E-3</v>
      </c>
    </row>
    <row r="789" spans="21:24">
      <c r="U789" s="3">
        <v>38.950000000000003</v>
      </c>
      <c r="V789" s="4">
        <f t="shared" si="40"/>
        <v>8.6436388006770463E-4</v>
      </c>
      <c r="W789" s="3">
        <f t="shared" si="42"/>
        <v>4</v>
      </c>
      <c r="X789" s="3">
        <f t="shared" si="41"/>
        <v>3.4574555202708185E-3</v>
      </c>
    </row>
    <row r="790" spans="21:24">
      <c r="U790" s="3">
        <v>39</v>
      </c>
      <c r="V790" s="4">
        <f t="shared" si="40"/>
        <v>8.4395580249750028E-4</v>
      </c>
      <c r="W790" s="3">
        <f t="shared" si="42"/>
        <v>2</v>
      </c>
      <c r="X790" s="3">
        <f t="shared" si="41"/>
        <v>1.6879116049950006E-3</v>
      </c>
    </row>
    <row r="791" spans="21:24">
      <c r="U791" s="3">
        <v>39.049999999999997</v>
      </c>
      <c r="V791" s="4">
        <f t="shared" si="40"/>
        <v>8.2396286666741895E-4</v>
      </c>
      <c r="W791" s="3">
        <f t="shared" si="42"/>
        <v>4</v>
      </c>
      <c r="X791" s="3">
        <f t="shared" si="41"/>
        <v>3.2958514666696758E-3</v>
      </c>
    </row>
    <row r="792" spans="21:24">
      <c r="U792" s="3">
        <v>39.1</v>
      </c>
      <c r="V792" s="4">
        <f t="shared" si="40"/>
        <v>8.043782158403184E-4</v>
      </c>
      <c r="W792" s="3">
        <f t="shared" si="42"/>
        <v>2</v>
      </c>
      <c r="X792" s="3">
        <f t="shared" si="41"/>
        <v>1.6087564316806368E-3</v>
      </c>
    </row>
    <row r="793" spans="21:24">
      <c r="U793" s="3">
        <v>39.15</v>
      </c>
      <c r="V793" s="4">
        <f t="shared" si="40"/>
        <v>7.8519507304161869E-4</v>
      </c>
      <c r="W793" s="3">
        <f t="shared" si="42"/>
        <v>4</v>
      </c>
      <c r="X793" s="3">
        <f t="shared" si="41"/>
        <v>3.1407802921664747E-3</v>
      </c>
    </row>
    <row r="794" spans="21:24">
      <c r="U794" s="3">
        <v>39.200000000000003</v>
      </c>
      <c r="V794" s="4">
        <f t="shared" si="40"/>
        <v>7.6640674075169639E-4</v>
      </c>
      <c r="W794" s="3">
        <f t="shared" si="42"/>
        <v>2</v>
      </c>
      <c r="X794" s="3">
        <f t="shared" si="41"/>
        <v>1.5328134815033928E-3</v>
      </c>
    </row>
    <row r="795" spans="21:24">
      <c r="U795" s="3">
        <v>39.25</v>
      </c>
      <c r="V795" s="4">
        <f t="shared" si="40"/>
        <v>7.4800660058832176E-4</v>
      </c>
      <c r="W795" s="3">
        <f t="shared" si="42"/>
        <v>4</v>
      </c>
      <c r="X795" s="3">
        <f t="shared" si="41"/>
        <v>2.992026402353287E-3</v>
      </c>
    </row>
    <row r="796" spans="21:24">
      <c r="U796" s="3">
        <v>39.299999999999997</v>
      </c>
      <c r="V796" s="4">
        <f t="shared" si="40"/>
        <v>7.2998811297963226E-4</v>
      </c>
      <c r="W796" s="3">
        <f t="shared" si="42"/>
        <v>2</v>
      </c>
      <c r="X796" s="3">
        <f t="shared" si="41"/>
        <v>1.4599762259592645E-3</v>
      </c>
    </row>
    <row r="797" spans="21:24">
      <c r="U797" s="3">
        <v>39.35</v>
      </c>
      <c r="V797" s="4">
        <f t="shared" si="40"/>
        <v>7.1234481682767598E-4</v>
      </c>
      <c r="W797" s="3">
        <f t="shared" si="42"/>
        <v>4</v>
      </c>
      <c r="X797" s="3">
        <f t="shared" si="41"/>
        <v>2.8493792673107039E-3</v>
      </c>
    </row>
    <row r="798" spans="21:24">
      <c r="U798" s="3">
        <v>39.4</v>
      </c>
      <c r="V798" s="4">
        <f t="shared" si="40"/>
        <v>6.9507032916277689E-4</v>
      </c>
      <c r="W798" s="3">
        <f t="shared" si="42"/>
        <v>2</v>
      </c>
      <c r="X798" s="3">
        <f t="shared" si="41"/>
        <v>1.3901406583255538E-3</v>
      </c>
    </row>
    <row r="799" spans="21:24">
      <c r="U799" s="3">
        <v>39.450000000000003</v>
      </c>
      <c r="V799" s="4">
        <f t="shared" si="40"/>
        <v>6.7815834478886108E-4</v>
      </c>
      <c r="W799" s="3">
        <f t="shared" si="42"/>
        <v>4</v>
      </c>
      <c r="X799" s="3">
        <f t="shared" si="41"/>
        <v>2.7126333791554443E-3</v>
      </c>
    </row>
    <row r="800" spans="21:24">
      <c r="U800" s="3">
        <v>39.5</v>
      </c>
      <c r="V800" s="4">
        <f t="shared" si="40"/>
        <v>6.6160263591988019E-4</v>
      </c>
      <c r="W800" s="3">
        <f t="shared" si="42"/>
        <v>2</v>
      </c>
      <c r="X800" s="3">
        <f t="shared" si="41"/>
        <v>1.3232052718397604E-3</v>
      </c>
    </row>
    <row r="801" spans="21:24">
      <c r="U801" s="3">
        <v>39.549999999999997</v>
      </c>
      <c r="V801" s="4">
        <f t="shared" si="40"/>
        <v>6.4539705180757562E-4</v>
      </c>
      <c r="W801" s="3">
        <f t="shared" si="42"/>
        <v>4</v>
      </c>
      <c r="X801" s="3">
        <f t="shared" si="41"/>
        <v>2.5815882072303025E-3</v>
      </c>
    </row>
    <row r="802" spans="21:24">
      <c r="U802" s="3">
        <v>39.6</v>
      </c>
      <c r="V802" s="4">
        <f t="shared" si="40"/>
        <v>6.2953551836071055E-4</v>
      </c>
      <c r="W802" s="3">
        <f t="shared" si="42"/>
        <v>2</v>
      </c>
      <c r="X802" s="3">
        <f t="shared" si="41"/>
        <v>1.2590710367214211E-3</v>
      </c>
    </row>
    <row r="803" spans="21:24">
      <c r="U803" s="3">
        <v>39.65</v>
      </c>
      <c r="V803" s="4">
        <f t="shared" si="40"/>
        <v>6.1401203775594132E-4</v>
      </c>
      <c r="W803" s="3">
        <f t="shared" si="42"/>
        <v>4</v>
      </c>
      <c r="X803" s="3">
        <f t="shared" si="41"/>
        <v>2.4560481510237653E-3</v>
      </c>
    </row>
    <row r="804" spans="21:24">
      <c r="U804" s="3">
        <v>39.700000000000003</v>
      </c>
      <c r="V804" s="4">
        <f t="shared" si="40"/>
        <v>5.9882068804055662E-4</v>
      </c>
      <c r="W804" s="3">
        <f t="shared" si="42"/>
        <v>2</v>
      </c>
      <c r="X804" s="3">
        <f t="shared" si="41"/>
        <v>1.1976413760811132E-3</v>
      </c>
    </row>
    <row r="805" spans="21:24">
      <c r="U805" s="3">
        <v>39.75</v>
      </c>
      <c r="V805" s="4">
        <f t="shared" si="40"/>
        <v>5.8395562272716534E-4</v>
      </c>
      <c r="W805" s="3">
        <f t="shared" si="42"/>
        <v>4</v>
      </c>
      <c r="X805" s="3">
        <f t="shared" si="41"/>
        <v>2.3358224909086614E-3</v>
      </c>
    </row>
    <row r="806" spans="21:24">
      <c r="U806" s="3">
        <v>39.799999999999997</v>
      </c>
      <c r="V806" s="4">
        <f t="shared" si="40"/>
        <v>5.6941107038061857E-4</v>
      </c>
      <c r="W806" s="3">
        <f t="shared" si="42"/>
        <v>2</v>
      </c>
      <c r="X806" s="3">
        <f t="shared" si="41"/>
        <v>1.1388221407612371E-3</v>
      </c>
    </row>
    <row r="807" spans="21:24">
      <c r="U807" s="3">
        <v>39.85</v>
      </c>
      <c r="V807" s="4">
        <f t="shared" si="40"/>
        <v>5.5518133419728462E-4</v>
      </c>
      <c r="W807" s="3">
        <f t="shared" si="42"/>
        <v>4</v>
      </c>
      <c r="X807" s="3">
        <f t="shared" si="41"/>
        <v>2.2207253367891385E-3</v>
      </c>
    </row>
    <row r="808" spans="21:24">
      <c r="U808" s="3">
        <v>39.9</v>
      </c>
      <c r="V808" s="4">
        <f t="shared" si="40"/>
        <v>5.41260791576831E-4</v>
      </c>
      <c r="W808" s="3">
        <f t="shared" si="42"/>
        <v>2</v>
      </c>
      <c r="X808" s="3">
        <f t="shared" si="41"/>
        <v>1.082521583153662E-3</v>
      </c>
    </row>
    <row r="809" spans="21:24">
      <c r="U809" s="3">
        <v>39.950000000000003</v>
      </c>
      <c r="V809" s="4">
        <f t="shared" si="40"/>
        <v>5.2764389368678197E-4</v>
      </c>
      <c r="W809" s="3">
        <f t="shared" si="42"/>
        <v>4</v>
      </c>
      <c r="X809" s="3">
        <f t="shared" si="41"/>
        <v>2.1105755747471279E-3</v>
      </c>
    </row>
    <row r="810" spans="21:24">
      <c r="U810" s="3">
        <v>40</v>
      </c>
      <c r="V810" s="4">
        <f t="shared" si="40"/>
        <v>5.1432516501994524E-4</v>
      </c>
      <c r="W810" s="3">
        <f t="shared" si="42"/>
        <v>2</v>
      </c>
      <c r="X810" s="3">
        <f t="shared" si="41"/>
        <v>1.0286503300398905E-3</v>
      </c>
    </row>
    <row r="811" spans="21:24">
      <c r="U811" s="3">
        <v>40.049999999999997</v>
      </c>
      <c r="V811" s="4">
        <f t="shared" si="40"/>
        <v>5.0129920294482086E-4</v>
      </c>
      <c r="W811" s="3">
        <f t="shared" si="42"/>
        <v>4</v>
      </c>
      <c r="X811" s="3">
        <f t="shared" si="41"/>
        <v>2.0051968117792834E-3</v>
      </c>
    </row>
    <row r="812" spans="21:24">
      <c r="U812" s="3">
        <v>40.1</v>
      </c>
      <c r="V812" s="4">
        <f t="shared" si="40"/>
        <v>4.885606772495921E-4</v>
      </c>
      <c r="W812" s="3">
        <f t="shared" si="42"/>
        <v>2</v>
      </c>
      <c r="X812" s="3">
        <f t="shared" si="41"/>
        <v>9.771213544991842E-4</v>
      </c>
    </row>
    <row r="813" spans="21:24">
      <c r="U813" s="3">
        <v>40.15</v>
      </c>
      <c r="V813" s="4">
        <f t="shared" si="40"/>
        <v>4.7610432967910865E-4</v>
      </c>
      <c r="W813" s="3">
        <f t="shared" si="42"/>
        <v>4</v>
      </c>
      <c r="X813" s="3">
        <f t="shared" si="41"/>
        <v>1.9044173187164346E-3</v>
      </c>
    </row>
    <row r="814" spans="21:24">
      <c r="U814" s="3">
        <v>40.200000000000003</v>
      </c>
      <c r="V814" s="4">
        <f t="shared" si="40"/>
        <v>4.639249734658509E-4</v>
      </c>
      <c r="W814" s="3">
        <f t="shared" si="42"/>
        <v>2</v>
      </c>
      <c r="X814" s="3">
        <f t="shared" si="41"/>
        <v>9.2784994693170179E-4</v>
      </c>
    </row>
    <row r="815" spans="21:24">
      <c r="U815" s="3">
        <v>40.25</v>
      </c>
      <c r="V815" s="4">
        <f t="shared" si="40"/>
        <v>4.5201749285451786E-4</v>
      </c>
      <c r="W815" s="3">
        <f t="shared" si="42"/>
        <v>4</v>
      </c>
      <c r="X815" s="3">
        <f t="shared" si="41"/>
        <v>1.8080699714180715E-3</v>
      </c>
    </row>
    <row r="816" spans="21:24">
      <c r="U816" s="3">
        <v>40.299999999999997</v>
      </c>
      <c r="V816" s="4">
        <f t="shared" si="40"/>
        <v>4.4037684262068105E-4</v>
      </c>
      <c r="W816" s="3">
        <f t="shared" si="42"/>
        <v>2</v>
      </c>
      <c r="X816" s="3">
        <f t="shared" si="41"/>
        <v>8.8075368524136209E-4</v>
      </c>
    </row>
    <row r="817" spans="21:24">
      <c r="U817" s="3">
        <v>40.35</v>
      </c>
      <c r="V817" s="4">
        <f t="shared" si="40"/>
        <v>4.2899804758355465E-4</v>
      </c>
      <c r="W817" s="3">
        <f t="shared" si="42"/>
        <v>4</v>
      </c>
      <c r="X817" s="3">
        <f t="shared" si="41"/>
        <v>1.7159921903342186E-3</v>
      </c>
    </row>
    <row r="818" spans="21:24">
      <c r="U818" s="3">
        <v>40.4</v>
      </c>
      <c r="V818" s="4">
        <f t="shared" si="40"/>
        <v>4.1787620211314027E-4</v>
      </c>
      <c r="W818" s="3">
        <f t="shared" si="42"/>
        <v>2</v>
      </c>
      <c r="X818" s="3">
        <f t="shared" si="41"/>
        <v>8.3575240422628053E-4</v>
      </c>
    </row>
    <row r="819" spans="21:24">
      <c r="U819" s="3">
        <v>40.450000000000003</v>
      </c>
      <c r="V819" s="4">
        <f t="shared" si="40"/>
        <v>4.0700646963191215E-4</v>
      </c>
      <c r="W819" s="3">
        <f t="shared" si="42"/>
        <v>4</v>
      </c>
      <c r="X819" s="3">
        <f t="shared" si="41"/>
        <v>1.6280258785276486E-3</v>
      </c>
    </row>
    <row r="820" spans="21:24">
      <c r="U820" s="3">
        <v>40.5</v>
      </c>
      <c r="V820" s="4">
        <f t="shared" si="40"/>
        <v>3.9638408211117501E-4</v>
      </c>
      <c r="W820" s="3">
        <f t="shared" si="42"/>
        <v>2</v>
      </c>
      <c r="X820" s="3">
        <f t="shared" si="41"/>
        <v>7.9276816422235003E-4</v>
      </c>
    </row>
    <row r="821" spans="21:24">
      <c r="U821" s="3">
        <v>40.549999999999997</v>
      </c>
      <c r="V821" s="4">
        <f t="shared" si="40"/>
        <v>3.8600433956234852E-4</v>
      </c>
      <c r="W821" s="3">
        <f t="shared" si="42"/>
        <v>4</v>
      </c>
      <c r="X821" s="3">
        <f t="shared" si="41"/>
        <v>1.5440173582493941E-3</v>
      </c>
    </row>
    <row r="822" spans="21:24">
      <c r="U822" s="3">
        <v>40.6</v>
      </c>
      <c r="V822" s="4">
        <f t="shared" si="40"/>
        <v>3.7586260952330778E-4</v>
      </c>
      <c r="W822" s="3">
        <f t="shared" si="42"/>
        <v>2</v>
      </c>
      <c r="X822" s="3">
        <f t="shared" si="41"/>
        <v>7.5172521904661555E-4</v>
      </c>
    </row>
    <row r="823" spans="21:24">
      <c r="U823" s="3">
        <v>40.65</v>
      </c>
      <c r="V823" s="4">
        <f t="shared" si="40"/>
        <v>3.6595432653997777E-4</v>
      </c>
      <c r="W823" s="3">
        <f t="shared" si="42"/>
        <v>4</v>
      </c>
      <c r="X823" s="3">
        <f t="shared" si="41"/>
        <v>1.4638173061599111E-3</v>
      </c>
    </row>
    <row r="824" spans="21:24">
      <c r="U824" s="3">
        <v>40.700000000000003</v>
      </c>
      <c r="V824" s="4">
        <f t="shared" si="40"/>
        <v>3.5627499164336997E-4</v>
      </c>
      <c r="W824" s="3">
        <f t="shared" si="42"/>
        <v>2</v>
      </c>
      <c r="X824" s="3">
        <f t="shared" si="41"/>
        <v>7.1254998328673994E-4</v>
      </c>
    </row>
    <row r="825" spans="21:24">
      <c r="U825" s="3">
        <v>40.75</v>
      </c>
      <c r="V825" s="4">
        <f t="shared" si="40"/>
        <v>3.4682017182220714E-4</v>
      </c>
      <c r="W825" s="3">
        <f t="shared" si="42"/>
        <v>4</v>
      </c>
      <c r="X825" s="3">
        <f t="shared" si="41"/>
        <v>1.3872806872888286E-3</v>
      </c>
    </row>
    <row r="826" spans="21:24">
      <c r="U826" s="3">
        <v>40.799999999999997</v>
      </c>
      <c r="V826" s="4">
        <f t="shared" si="40"/>
        <v>3.3758549949135735E-4</v>
      </c>
      <c r="W826" s="3">
        <f t="shared" si="42"/>
        <v>2</v>
      </c>
      <c r="X826" s="3">
        <f t="shared" si="41"/>
        <v>6.7517099898271469E-4</v>
      </c>
    </row>
    <row r="827" spans="21:24">
      <c r="U827" s="3">
        <v>40.85</v>
      </c>
      <c r="V827" s="4">
        <f t="shared" si="40"/>
        <v>3.2856667195624149E-4</v>
      </c>
      <c r="W827" s="3">
        <f t="shared" si="42"/>
        <v>4</v>
      </c>
      <c r="X827" s="3">
        <f t="shared" si="41"/>
        <v>1.314266687824966E-3</v>
      </c>
    </row>
    <row r="828" spans="21:24">
      <c r="U828" s="3">
        <v>40.9</v>
      </c>
      <c r="V828" s="4">
        <f t="shared" si="40"/>
        <v>3.1975945087335685E-4</v>
      </c>
      <c r="W828" s="3">
        <f t="shared" si="42"/>
        <v>2</v>
      </c>
      <c r="X828" s="3">
        <f t="shared" si="41"/>
        <v>6.395189017467137E-4</v>
      </c>
    </row>
    <row r="829" spans="21:24">
      <c r="U829" s="3">
        <v>40.950000000000003</v>
      </c>
      <c r="V829" s="4">
        <f t="shared" si="40"/>
        <v>3.111596617071591E-4</v>
      </c>
      <c r="W829" s="3">
        <f t="shared" si="42"/>
        <v>4</v>
      </c>
      <c r="X829" s="3">
        <f t="shared" si="41"/>
        <v>1.2446386468286364E-3</v>
      </c>
    </row>
    <row r="830" spans="21:24">
      <c r="U830" s="3">
        <v>41</v>
      </c>
      <c r="V830" s="4">
        <f t="shared" si="40"/>
        <v>3.0276319318342629E-4</v>
      </c>
      <c r="W830" s="3">
        <f t="shared" si="42"/>
        <v>2</v>
      </c>
      <c r="X830" s="3">
        <f t="shared" si="41"/>
        <v>6.0552638636685258E-4</v>
      </c>
    </row>
    <row r="831" spans="21:24">
      <c r="U831" s="3">
        <v>41.05</v>
      </c>
      <c r="V831" s="4">
        <f t="shared" si="40"/>
        <v>2.9456599673923102E-4</v>
      </c>
      <c r="W831" s="3">
        <f t="shared" si="42"/>
        <v>4</v>
      </c>
      <c r="X831" s="3">
        <f t="shared" si="41"/>
        <v>1.1782639869569241E-3</v>
      </c>
    </row>
    <row r="832" spans="21:24">
      <c r="U832" s="3">
        <v>41.1</v>
      </c>
      <c r="V832" s="4">
        <f t="shared" si="40"/>
        <v>2.8656408596996428E-4</v>
      </c>
      <c r="W832" s="3">
        <f t="shared" si="42"/>
        <v>2</v>
      </c>
      <c r="X832" s="3">
        <f t="shared" si="41"/>
        <v>5.7312817193992855E-4</v>
      </c>
    </row>
    <row r="833" spans="21:24">
      <c r="U833" s="3">
        <v>41.15</v>
      </c>
      <c r="V833" s="4">
        <f t="shared" si="40"/>
        <v>2.7875353607309631E-4</v>
      </c>
      <c r="W833" s="3">
        <f t="shared" si="42"/>
        <v>4</v>
      </c>
      <c r="X833" s="3">
        <f t="shared" si="41"/>
        <v>1.1150141442923852E-3</v>
      </c>
    </row>
    <row r="834" spans="21:24">
      <c r="U834" s="3">
        <v>41.2</v>
      </c>
      <c r="V834" s="4">
        <f t="shared" si="40"/>
        <v>2.7113048328935516E-4</v>
      </c>
      <c r="W834" s="3">
        <f t="shared" si="42"/>
        <v>2</v>
      </c>
      <c r="X834" s="3">
        <f t="shared" si="41"/>
        <v>5.4226096657871033E-4</v>
      </c>
    </row>
    <row r="835" spans="21:24">
      <c r="U835" s="3">
        <v>41.25</v>
      </c>
      <c r="V835" s="4">
        <f t="shared" si="40"/>
        <v>2.6369112434115736E-4</v>
      </c>
      <c r="W835" s="3">
        <f t="shared" si="42"/>
        <v>4</v>
      </c>
      <c r="X835" s="3">
        <f t="shared" si="41"/>
        <v>1.0547644973646294E-3</v>
      </c>
    </row>
    <row r="836" spans="21:24">
      <c r="U836" s="3">
        <v>41.3</v>
      </c>
      <c r="V836" s="4">
        <f t="shared" si="40"/>
        <v>2.5643171586862376E-4</v>
      </c>
      <c r="W836" s="3">
        <f t="shared" si="42"/>
        <v>2</v>
      </c>
      <c r="X836" s="3">
        <f t="shared" si="41"/>
        <v>5.1286343173724753E-4</v>
      </c>
    </row>
    <row r="837" spans="21:24">
      <c r="U837" s="3">
        <v>41.35</v>
      </c>
      <c r="V837" s="4">
        <f t="shared" si="40"/>
        <v>2.4934857386326576E-4</v>
      </c>
      <c r="W837" s="3">
        <f t="shared" si="42"/>
        <v>4</v>
      </c>
      <c r="X837" s="3">
        <f t="shared" si="41"/>
        <v>9.9739429545306303E-4</v>
      </c>
    </row>
    <row r="838" spans="21:24">
      <c r="U838" s="3">
        <v>41.4</v>
      </c>
      <c r="V838" s="4">
        <f t="shared" si="40"/>
        <v>2.4243807309956209E-4</v>
      </c>
      <c r="W838" s="3">
        <f t="shared" si="42"/>
        <v>2</v>
      </c>
      <c r="X838" s="3">
        <f t="shared" si="41"/>
        <v>4.8487614619912417E-4</v>
      </c>
    </row>
    <row r="839" spans="21:24">
      <c r="U839" s="3">
        <v>41.45</v>
      </c>
      <c r="V839" s="4">
        <f t="shared" si="40"/>
        <v>2.3569664656457581E-4</v>
      </c>
      <c r="W839" s="3">
        <f t="shared" si="42"/>
        <v>4</v>
      </c>
      <c r="X839" s="3">
        <f t="shared" si="41"/>
        <v>9.4278658625830322E-4</v>
      </c>
    </row>
    <row r="840" spans="21:24">
      <c r="U840" s="3">
        <v>41.5</v>
      </c>
      <c r="V840" s="4">
        <f t="shared" si="40"/>
        <v>2.2912078488575321E-4</v>
      </c>
      <c r="W840" s="3">
        <f t="shared" si="42"/>
        <v>2</v>
      </c>
      <c r="X840" s="3">
        <f t="shared" si="41"/>
        <v>4.5824156977150642E-4</v>
      </c>
    </row>
    <row r="841" spans="21:24">
      <c r="U841" s="3">
        <v>41.55</v>
      </c>
      <c r="V841" s="4">
        <f t="shared" si="40"/>
        <v>2.2270703575711298E-4</v>
      </c>
      <c r="W841" s="3">
        <f t="shared" si="42"/>
        <v>4</v>
      </c>
      <c r="X841" s="3">
        <f t="shared" si="41"/>
        <v>8.9082814302845191E-4</v>
      </c>
    </row>
    <row r="842" spans="21:24">
      <c r="U842" s="3">
        <v>41.6</v>
      </c>
      <c r="V842" s="4">
        <f t="shared" si="40"/>
        <v>2.1645200336395341E-4</v>
      </c>
      <c r="W842" s="3">
        <f t="shared" si="42"/>
        <v>2</v>
      </c>
      <c r="X842" s="3">
        <f t="shared" si="41"/>
        <v>4.3290400672790682E-4</v>
      </c>
    </row>
    <row r="843" spans="21:24">
      <c r="U843" s="3">
        <v>41.65</v>
      </c>
      <c r="V843" s="4">
        <f t="shared" ref="V843:V906" si="43">EXP(-(B$3*(70+U843)+0.5*B$4*((70+U843)^2)+(B$5/LN(B$6))*((B$6^(70+U843))-1)))</f>
        <v>2.1035234780624682E-4</v>
      </c>
      <c r="W843" s="3">
        <f t="shared" si="42"/>
        <v>4</v>
      </c>
      <c r="X843" s="3">
        <f t="shared" ref="X843:X906" si="44">V843*W843</f>
        <v>8.414093912249873E-4</v>
      </c>
    </row>
    <row r="844" spans="21:24">
      <c r="U844" s="3">
        <v>41.7</v>
      </c>
      <c r="V844" s="4">
        <f t="shared" si="43"/>
        <v>2.0440478452089697E-4</v>
      </c>
      <c r="W844" s="3">
        <f t="shared" si="42"/>
        <v>2</v>
      </c>
      <c r="X844" s="3">
        <f t="shared" si="44"/>
        <v>4.0880956904179393E-4</v>
      </c>
    </row>
    <row r="845" spans="21:24">
      <c r="U845" s="3">
        <v>41.75</v>
      </c>
      <c r="V845" s="4">
        <f t="shared" si="43"/>
        <v>1.9860608370298453E-4</v>
      </c>
      <c r="W845" s="3">
        <f t="shared" ref="W845:W908" si="45">IF(W844=4,2,4)</f>
        <v>4</v>
      </c>
      <c r="X845" s="3">
        <f t="shared" si="44"/>
        <v>7.9442433481193811E-4</v>
      </c>
    </row>
    <row r="846" spans="21:24">
      <c r="U846" s="3">
        <v>41.8</v>
      </c>
      <c r="V846" s="4">
        <f t="shared" si="43"/>
        <v>1.9295306972619137E-4</v>
      </c>
      <c r="W846" s="3">
        <f t="shared" si="45"/>
        <v>2</v>
      </c>
      <c r="X846" s="3">
        <f t="shared" si="44"/>
        <v>3.8590613945238273E-4</v>
      </c>
    </row>
    <row r="847" spans="21:24">
      <c r="U847" s="3">
        <v>41.85</v>
      </c>
      <c r="V847" s="4">
        <f t="shared" si="43"/>
        <v>1.8744262056254312E-4</v>
      </c>
      <c r="W847" s="3">
        <f t="shared" si="45"/>
        <v>4</v>
      </c>
      <c r="X847" s="3">
        <f t="shared" si="44"/>
        <v>7.4977048225017249E-4</v>
      </c>
    </row>
    <row r="848" spans="21:24">
      <c r="U848" s="3">
        <v>41.9</v>
      </c>
      <c r="V848" s="4">
        <f t="shared" si="43"/>
        <v>1.8207166720160889E-4</v>
      </c>
      <c r="W848" s="3">
        <f t="shared" si="45"/>
        <v>2</v>
      </c>
      <c r="X848" s="3">
        <f t="shared" si="44"/>
        <v>3.6414333440321778E-4</v>
      </c>
    </row>
    <row r="849" spans="21:24">
      <c r="U849" s="3">
        <v>41.95</v>
      </c>
      <c r="V849" s="4">
        <f t="shared" si="43"/>
        <v>1.7683719306934388E-4</v>
      </c>
      <c r="W849" s="3">
        <f t="shared" si="45"/>
        <v>4</v>
      </c>
      <c r="X849" s="3">
        <f t="shared" si="44"/>
        <v>7.0734877227737552E-4</v>
      </c>
    </row>
    <row r="850" spans="21:24">
      <c r="U850" s="3">
        <v>42</v>
      </c>
      <c r="V850" s="4">
        <f t="shared" si="43"/>
        <v>1.7173623344669307E-4</v>
      </c>
      <c r="W850" s="3">
        <f t="shared" si="45"/>
        <v>2</v>
      </c>
      <c r="X850" s="3">
        <f t="shared" si="44"/>
        <v>3.4347246689338614E-4</v>
      </c>
    </row>
    <row r="851" spans="21:24">
      <c r="U851" s="3">
        <v>42.05</v>
      </c>
      <c r="V851" s="4">
        <f t="shared" si="43"/>
        <v>1.6676587488807939E-4</v>
      </c>
      <c r="W851" s="3">
        <f t="shared" si="45"/>
        <v>4</v>
      </c>
      <c r="X851" s="3">
        <f t="shared" si="44"/>
        <v>6.6706349955231756E-4</v>
      </c>
    </row>
    <row r="852" spans="21:24">
      <c r="U852" s="3">
        <v>42.1</v>
      </c>
      <c r="V852" s="4">
        <f t="shared" si="43"/>
        <v>1.6192325464007499E-4</v>
      </c>
      <c r="W852" s="3">
        <f t="shared" si="45"/>
        <v>2</v>
      </c>
      <c r="X852" s="3">
        <f t="shared" si="44"/>
        <v>3.2384650928014998E-4</v>
      </c>
    </row>
    <row r="853" spans="21:24">
      <c r="U853" s="3">
        <v>42.15</v>
      </c>
      <c r="V853" s="4">
        <f t="shared" si="43"/>
        <v>1.5720556006011783E-4</v>
      </c>
      <c r="W853" s="3">
        <f t="shared" si="45"/>
        <v>4</v>
      </c>
      <c r="X853" s="3">
        <f t="shared" si="44"/>
        <v>6.2882224024047131E-4</v>
      </c>
    </row>
    <row r="854" spans="21:24">
      <c r="U854" s="3">
        <v>42.2</v>
      </c>
      <c r="V854" s="4">
        <f t="shared" si="43"/>
        <v>1.5261002803570816E-4</v>
      </c>
      <c r="W854" s="3">
        <f t="shared" si="45"/>
        <v>2</v>
      </c>
      <c r="X854" s="3">
        <f t="shared" si="44"/>
        <v>3.0522005607141632E-4</v>
      </c>
    </row>
    <row r="855" spans="21:24">
      <c r="U855" s="3">
        <v>42.25</v>
      </c>
      <c r="V855" s="4">
        <f t="shared" si="43"/>
        <v>1.4813394440403693E-4</v>
      </c>
      <c r="W855" s="3">
        <f t="shared" si="45"/>
        <v>4</v>
      </c>
      <c r="X855" s="3">
        <f t="shared" si="44"/>
        <v>5.9253577761614773E-4</v>
      </c>
    </row>
    <row r="856" spans="21:24">
      <c r="U856" s="3">
        <v>42.3</v>
      </c>
      <c r="V856" s="4">
        <f t="shared" si="43"/>
        <v>1.4377464337226805E-4</v>
      </c>
      <c r="W856" s="3">
        <f t="shared" si="45"/>
        <v>2</v>
      </c>
      <c r="X856" s="3">
        <f t="shared" si="44"/>
        <v>2.8754928674453611E-4</v>
      </c>
    </row>
    <row r="857" spans="21:24">
      <c r="U857" s="3">
        <v>42.35</v>
      </c>
      <c r="V857" s="4">
        <f t="shared" si="43"/>
        <v>1.3952950693857193E-4</v>
      </c>
      <c r="W857" s="3">
        <f t="shared" si="45"/>
        <v>4</v>
      </c>
      <c r="X857" s="3">
        <f t="shared" si="44"/>
        <v>5.5811802775428772E-4</v>
      </c>
    </row>
    <row r="858" spans="21:24">
      <c r="U858" s="3">
        <v>42.4</v>
      </c>
      <c r="V858" s="4">
        <f t="shared" si="43"/>
        <v>1.3539596431406961E-4</v>
      </c>
      <c r="W858" s="3">
        <f t="shared" si="45"/>
        <v>2</v>
      </c>
      <c r="X858" s="3">
        <f t="shared" si="44"/>
        <v>2.7079192862813922E-4</v>
      </c>
    </row>
    <row r="859" spans="21:24">
      <c r="U859" s="3">
        <v>42.45</v>
      </c>
      <c r="V859" s="4">
        <f t="shared" si="43"/>
        <v>1.3137149134580877E-4</v>
      </c>
      <c r="W859" s="3">
        <f t="shared" si="45"/>
        <v>4</v>
      </c>
      <c r="X859" s="3">
        <f t="shared" si="44"/>
        <v>5.2548596538323506E-4</v>
      </c>
    </row>
    <row r="860" spans="21:24">
      <c r="U860" s="3">
        <v>42.5</v>
      </c>
      <c r="V860" s="4">
        <f t="shared" si="43"/>
        <v>1.2745360994089551E-4</v>
      </c>
      <c r="W860" s="3">
        <f t="shared" si="45"/>
        <v>2</v>
      </c>
      <c r="X860" s="3">
        <f t="shared" si="44"/>
        <v>2.5490721988179102E-4</v>
      </c>
    </row>
    <row r="861" spans="21:24">
      <c r="U861" s="3">
        <v>42.55</v>
      </c>
      <c r="V861" s="4">
        <f t="shared" si="43"/>
        <v>1.2363988749192355E-4</v>
      </c>
      <c r="W861" s="3">
        <f t="shared" si="45"/>
        <v>4</v>
      </c>
      <c r="X861" s="3">
        <f t="shared" si="44"/>
        <v>4.9455954996769421E-4</v>
      </c>
    </row>
    <row r="862" spans="21:24">
      <c r="U862" s="3">
        <v>42.6</v>
      </c>
      <c r="V862" s="4">
        <f t="shared" si="43"/>
        <v>1.1992793630381899E-4</v>
      </c>
      <c r="W862" s="3">
        <f t="shared" si="45"/>
        <v>2</v>
      </c>
      <c r="X862" s="3">
        <f t="shared" si="44"/>
        <v>2.3985587260763798E-4</v>
      </c>
    </row>
    <row r="863" spans="21:24">
      <c r="U863" s="3">
        <v>42.65</v>
      </c>
      <c r="V863" s="4">
        <f t="shared" si="43"/>
        <v>1.1631541302222077E-4</v>
      </c>
      <c r="W863" s="3">
        <f t="shared" si="45"/>
        <v>4</v>
      </c>
      <c r="X863" s="3">
        <f t="shared" si="44"/>
        <v>4.6526165208888307E-4</v>
      </c>
    </row>
    <row r="864" spans="21:24">
      <c r="U864" s="3">
        <v>42.7</v>
      </c>
      <c r="V864" s="4">
        <f t="shared" si="43"/>
        <v>1.1280001806353022E-4</v>
      </c>
      <c r="W864" s="3">
        <f t="shared" si="45"/>
        <v>2</v>
      </c>
      <c r="X864" s="3">
        <f t="shared" si="44"/>
        <v>2.2560003612706044E-4</v>
      </c>
    </row>
    <row r="865" spans="21:24">
      <c r="U865" s="3">
        <v>42.75</v>
      </c>
      <c r="V865" s="4">
        <f t="shared" si="43"/>
        <v>1.0937949504673096E-4</v>
      </c>
      <c r="W865" s="3">
        <f t="shared" si="45"/>
        <v>4</v>
      </c>
      <c r="X865" s="3">
        <f t="shared" si="44"/>
        <v>4.3751798018692382E-4</v>
      </c>
    </row>
    <row r="866" spans="21:24">
      <c r="U866" s="3">
        <v>42.8</v>
      </c>
      <c r="V866" s="4">
        <f t="shared" si="43"/>
        <v>1.0605163022711364E-4</v>
      </c>
      <c r="W866" s="3">
        <f t="shared" si="45"/>
        <v>2</v>
      </c>
      <c r="X866" s="3">
        <f t="shared" si="44"/>
        <v>2.1210326045422728E-4</v>
      </c>
    </row>
    <row r="867" spans="21:24">
      <c r="U867" s="3">
        <v>42.85</v>
      </c>
      <c r="V867" s="4">
        <f t="shared" si="43"/>
        <v>1.0281425193201398E-4</v>
      </c>
      <c r="W867" s="3">
        <f t="shared" si="45"/>
        <v>4</v>
      </c>
      <c r="X867" s="3">
        <f t="shared" si="44"/>
        <v>4.1125700772805593E-4</v>
      </c>
    </row>
    <row r="868" spans="21:24">
      <c r="U868" s="3">
        <v>42.9</v>
      </c>
      <c r="V868" s="4">
        <f t="shared" si="43"/>
        <v>9.9665229998666802E-5</v>
      </c>
      <c r="W868" s="3">
        <f t="shared" si="45"/>
        <v>2</v>
      </c>
      <c r="X868" s="3">
        <f t="shared" si="44"/>
        <v>1.993304599973336E-4</v>
      </c>
    </row>
    <row r="869" spans="21:24">
      <c r="U869" s="3">
        <v>42.95</v>
      </c>
      <c r="V869" s="4">
        <f t="shared" si="43"/>
        <v>9.6602475214307623E-5</v>
      </c>
      <c r="W869" s="3">
        <f t="shared" si="45"/>
        <v>4</v>
      </c>
      <c r="X869" s="3">
        <f t="shared" si="44"/>
        <v>3.8640990085723049E-4</v>
      </c>
    </row>
    <row r="870" spans="21:24">
      <c r="U870" s="3">
        <v>43</v>
      </c>
      <c r="V870" s="4">
        <f t="shared" si="43"/>
        <v>9.3623938758607221E-5</v>
      </c>
      <c r="W870" s="3">
        <f t="shared" si="45"/>
        <v>2</v>
      </c>
      <c r="X870" s="3">
        <f t="shared" si="44"/>
        <v>1.8724787751721444E-4</v>
      </c>
    </row>
    <row r="871" spans="21:24">
      <c r="U871" s="3">
        <v>43.05</v>
      </c>
      <c r="V871" s="4">
        <f t="shared" si="43"/>
        <v>9.0727611648537321E-5</v>
      </c>
      <c r="W871" s="3">
        <f t="shared" si="45"/>
        <v>4</v>
      </c>
      <c r="X871" s="3">
        <f t="shared" si="44"/>
        <v>3.6291044659414928E-4</v>
      </c>
    </row>
    <row r="872" spans="21:24">
      <c r="U872" s="3">
        <v>43.1</v>
      </c>
      <c r="V872" s="4">
        <f t="shared" si="43"/>
        <v>8.7911524185856673E-5</v>
      </c>
      <c r="W872" s="3">
        <f t="shared" si="45"/>
        <v>2</v>
      </c>
      <c r="X872" s="3">
        <f t="shared" si="44"/>
        <v>1.7582304837171335E-4</v>
      </c>
    </row>
    <row r="873" spans="21:24">
      <c r="U873" s="3">
        <v>43.15</v>
      </c>
      <c r="V873" s="4">
        <f t="shared" si="43"/>
        <v>8.5173745407147715E-5</v>
      </c>
      <c r="W873" s="3">
        <f t="shared" si="45"/>
        <v>4</v>
      </c>
      <c r="X873" s="3">
        <f t="shared" si="44"/>
        <v>3.4069498162859086E-4</v>
      </c>
    </row>
    <row r="874" spans="21:24">
      <c r="U874" s="3">
        <v>43.2</v>
      </c>
      <c r="V874" s="4">
        <f t="shared" si="43"/>
        <v>8.2512382536686883E-5</v>
      </c>
      <c r="W874" s="3">
        <f t="shared" si="45"/>
        <v>2</v>
      </c>
      <c r="X874" s="3">
        <f t="shared" si="44"/>
        <v>1.6502476507337377E-4</v>
      </c>
    </row>
    <row r="875" spans="21:24">
      <c r="U875" s="3">
        <v>43.25</v>
      </c>
      <c r="V875" s="4">
        <f t="shared" si="43"/>
        <v>7.9925580442120154E-5</v>
      </c>
      <c r="W875" s="3">
        <f t="shared" si="45"/>
        <v>4</v>
      </c>
      <c r="X875" s="3">
        <f t="shared" si="44"/>
        <v>3.1970232176848062E-4</v>
      </c>
    </row>
    <row r="876" spans="21:24">
      <c r="U876" s="3">
        <v>43.3</v>
      </c>
      <c r="V876" s="4">
        <f t="shared" si="43"/>
        <v>7.7411521093097188E-5</v>
      </c>
      <c r="W876" s="3">
        <f t="shared" si="45"/>
        <v>2</v>
      </c>
      <c r="X876" s="3">
        <f t="shared" si="44"/>
        <v>1.5482304218619438E-4</v>
      </c>
    </row>
    <row r="877" spans="21:24">
      <c r="U877" s="3">
        <v>43.35</v>
      </c>
      <c r="V877" s="4">
        <f t="shared" si="43"/>
        <v>7.4968423022926941E-5</v>
      </c>
      <c r="W877" s="3">
        <f t="shared" si="45"/>
        <v>4</v>
      </c>
      <c r="X877" s="3">
        <f t="shared" si="44"/>
        <v>2.9987369209170776E-4</v>
      </c>
    </row>
    <row r="878" spans="21:24">
      <c r="U878" s="3">
        <v>43.4</v>
      </c>
      <c r="V878" s="4">
        <f t="shared" si="43"/>
        <v>7.2594540793361349E-5</v>
      </c>
      <c r="W878" s="3">
        <f t="shared" si="45"/>
        <v>2</v>
      </c>
      <c r="X878" s="3">
        <f t="shared" si="44"/>
        <v>1.451890815867227E-4</v>
      </c>
    </row>
    <row r="879" spans="21:24">
      <c r="U879" s="3">
        <v>43.45</v>
      </c>
      <c r="V879" s="4">
        <f t="shared" si="43"/>
        <v>7.0288164462586103E-5</v>
      </c>
      <c r="W879" s="3">
        <f t="shared" si="45"/>
        <v>4</v>
      </c>
      <c r="X879" s="3">
        <f t="shared" si="44"/>
        <v>2.8115265785034441E-4</v>
      </c>
    </row>
    <row r="880" spans="21:24">
      <c r="U880" s="3">
        <v>43.5</v>
      </c>
      <c r="V880" s="4">
        <f t="shared" si="43"/>
        <v>6.8047619056500107E-5</v>
      </c>
      <c r="W880" s="3">
        <f t="shared" si="45"/>
        <v>2</v>
      </c>
      <c r="X880" s="3">
        <f t="shared" si="44"/>
        <v>1.3609523811300021E-4</v>
      </c>
    </row>
    <row r="881" spans="21:24">
      <c r="U881" s="3">
        <v>43.55</v>
      </c>
      <c r="V881" s="4">
        <f t="shared" si="43"/>
        <v>6.5871264043372636E-5</v>
      </c>
      <c r="W881" s="3">
        <f t="shared" si="45"/>
        <v>4</v>
      </c>
      <c r="X881" s="3">
        <f t="shared" si="44"/>
        <v>2.6348505617349054E-4</v>
      </c>
    </row>
    <row r="882" spans="21:24">
      <c r="U882" s="3">
        <v>43.6</v>
      </c>
      <c r="V882" s="4">
        <f t="shared" si="43"/>
        <v>6.3757492811953442E-5</v>
      </c>
      <c r="W882" s="3">
        <f t="shared" si="45"/>
        <v>2</v>
      </c>
      <c r="X882" s="3">
        <f t="shared" si="44"/>
        <v>1.2751498562390688E-4</v>
      </c>
    </row>
    <row r="883" spans="21:24">
      <c r="U883" s="3">
        <v>43.65</v>
      </c>
      <c r="V883" s="4">
        <f t="shared" si="43"/>
        <v>6.1704732153112501E-5</v>
      </c>
      <c r="W883" s="3">
        <f t="shared" si="45"/>
        <v>4</v>
      </c>
      <c r="X883" s="3">
        <f t="shared" si="44"/>
        <v>2.4681892861245E-4</v>
      </c>
    </row>
    <row r="884" spans="21:24">
      <c r="U884" s="3">
        <v>43.7</v>
      </c>
      <c r="V884" s="4">
        <f t="shared" si="43"/>
        <v>5.9711441745087861E-5</v>
      </c>
      <c r="W884" s="3">
        <f t="shared" si="45"/>
        <v>2</v>
      </c>
      <c r="X884" s="3">
        <f t="shared" si="44"/>
        <v>1.1942288349017572E-4</v>
      </c>
    </row>
    <row r="885" spans="21:24">
      <c r="U885" s="3">
        <v>43.75</v>
      </c>
      <c r="V885" s="4">
        <f t="shared" si="43"/>
        <v>5.7776113642406775E-5</v>
      </c>
      <c r="W885" s="3">
        <f t="shared" si="45"/>
        <v>4</v>
      </c>
      <c r="X885" s="3">
        <f t="shared" si="44"/>
        <v>2.311044545696271E-4</v>
      </c>
    </row>
    <row r="886" spans="21:24">
      <c r="U886" s="3">
        <v>43.8</v>
      </c>
      <c r="V886" s="4">
        <f t="shared" si="43"/>
        <v>5.5897271768559144E-5</v>
      </c>
      <c r="W886" s="3">
        <f t="shared" si="45"/>
        <v>2</v>
      </c>
      <c r="X886" s="3">
        <f t="shared" si="44"/>
        <v>1.1179454353711829E-4</v>
      </c>
    </row>
    <row r="887" spans="21:24">
      <c r="U887" s="3">
        <v>43.85</v>
      </c>
      <c r="V887" s="4">
        <f t="shared" si="43"/>
        <v>5.40734714124855E-5</v>
      </c>
      <c r="W887" s="3">
        <f t="shared" si="45"/>
        <v>4</v>
      </c>
      <c r="X887" s="3">
        <f t="shared" si="44"/>
        <v>2.16293885649942E-4</v>
      </c>
    </row>
    <row r="888" spans="21:24">
      <c r="U888" s="3">
        <v>43.9</v>
      </c>
      <c r="V888" s="4">
        <f t="shared" si="43"/>
        <v>5.2303298728941327E-5</v>
      </c>
      <c r="W888" s="3">
        <f t="shared" si="45"/>
        <v>2</v>
      </c>
      <c r="X888" s="3">
        <f t="shared" si="44"/>
        <v>1.0460659745788265E-4</v>
      </c>
    </row>
    <row r="889" spans="21:24">
      <c r="U889" s="3">
        <v>43.95</v>
      </c>
      <c r="V889" s="4">
        <f t="shared" si="43"/>
        <v>5.0585370242813117E-5</v>
      </c>
      <c r="W889" s="3">
        <f t="shared" si="45"/>
        <v>4</v>
      </c>
      <c r="X889" s="3">
        <f t="shared" si="44"/>
        <v>2.0234148097125247E-4</v>
      </c>
    </row>
    <row r="890" spans="21:24">
      <c r="U890" s="3">
        <v>44</v>
      </c>
      <c r="V890" s="4">
        <f t="shared" si="43"/>
        <v>4.8918332357430885E-5</v>
      </c>
      <c r="W890" s="3">
        <f t="shared" si="45"/>
        <v>2</v>
      </c>
      <c r="X890" s="3">
        <f t="shared" si="44"/>
        <v>9.783666471486177E-5</v>
      </c>
    </row>
    <row r="891" spans="21:24">
      <c r="U891" s="3">
        <v>44.05</v>
      </c>
      <c r="V891" s="4">
        <f t="shared" si="43"/>
        <v>4.7300860866934586E-5</v>
      </c>
      <c r="W891" s="3">
        <f t="shared" si="45"/>
        <v>4</v>
      </c>
      <c r="X891" s="3">
        <f t="shared" si="44"/>
        <v>1.8920344346773835E-4</v>
      </c>
    </row>
    <row r="892" spans="21:24">
      <c r="U892" s="3">
        <v>44.1</v>
      </c>
      <c r="V892" s="4">
        <f t="shared" si="43"/>
        <v>4.5731660472796341E-5</v>
      </c>
      <c r="W892" s="3">
        <f t="shared" si="45"/>
        <v>2</v>
      </c>
      <c r="X892" s="3">
        <f t="shared" si="44"/>
        <v>9.1463320945592681E-5</v>
      </c>
    </row>
    <row r="893" spans="21:24">
      <c r="U893" s="3">
        <v>44.15</v>
      </c>
      <c r="V893" s="4">
        <f t="shared" si="43"/>
        <v>4.420946430445719E-5</v>
      </c>
      <c r="W893" s="3">
        <f t="shared" si="45"/>
        <v>4</v>
      </c>
      <c r="X893" s="3">
        <f t="shared" si="44"/>
        <v>1.7683785721782876E-4</v>
      </c>
    </row>
    <row r="894" spans="21:24">
      <c r="U894" s="3">
        <v>44.2</v>
      </c>
      <c r="V894" s="4">
        <f t="shared" si="43"/>
        <v>4.2733033444232415E-5</v>
      </c>
      <c r="W894" s="3">
        <f t="shared" si="45"/>
        <v>2</v>
      </c>
      <c r="X894" s="3">
        <f t="shared" si="44"/>
        <v>8.5466066888464831E-5</v>
      </c>
    </row>
    <row r="895" spans="21:24">
      <c r="U895" s="3">
        <v>44.25</v>
      </c>
      <c r="V895" s="4">
        <f t="shared" si="43"/>
        <v>4.1301156456464791E-5</v>
      </c>
      <c r="W895" s="3">
        <f t="shared" si="45"/>
        <v>4</v>
      </c>
      <c r="X895" s="3">
        <f t="shared" si="44"/>
        <v>1.6520462582585917E-4</v>
      </c>
    </row>
    <row r="896" spans="21:24">
      <c r="U896" s="3">
        <v>44.3</v>
      </c>
      <c r="V896" s="4">
        <f t="shared" si="43"/>
        <v>3.9912648921005872E-5</v>
      </c>
      <c r="W896" s="3">
        <f t="shared" si="45"/>
        <v>2</v>
      </c>
      <c r="X896" s="3">
        <f t="shared" si="44"/>
        <v>7.9825297842011744E-5</v>
      </c>
    </row>
    <row r="897" spans="21:24">
      <c r="U897" s="3">
        <v>44.35</v>
      </c>
      <c r="V897" s="4">
        <f t="shared" si="43"/>
        <v>3.8566352971053302E-5</v>
      </c>
      <c r="W897" s="3">
        <f t="shared" si="45"/>
        <v>4</v>
      </c>
      <c r="X897" s="3">
        <f t="shared" si="44"/>
        <v>1.5426541188421321E-4</v>
      </c>
    </row>
    <row r="898" spans="21:24">
      <c r="U898" s="3">
        <v>44.4</v>
      </c>
      <c r="V898" s="4">
        <f t="shared" si="43"/>
        <v>3.7261136835395121E-5</v>
      </c>
      <c r="W898" s="3">
        <f t="shared" si="45"/>
        <v>2</v>
      </c>
      <c r="X898" s="3">
        <f t="shared" si="44"/>
        <v>7.4522273670790242E-5</v>
      </c>
    </row>
    <row r="899" spans="21:24">
      <c r="U899" s="3">
        <v>44.45</v>
      </c>
      <c r="V899" s="4">
        <f t="shared" si="43"/>
        <v>3.5995894385099358E-5</v>
      </c>
      <c r="W899" s="3">
        <f t="shared" si="45"/>
        <v>4</v>
      </c>
      <c r="X899" s="3">
        <f t="shared" si="44"/>
        <v>1.4398357754039743E-4</v>
      </c>
    </row>
    <row r="900" spans="21:24">
      <c r="U900" s="3">
        <v>44.5</v>
      </c>
      <c r="V900" s="4">
        <f t="shared" si="43"/>
        <v>3.4769544684680923E-5</v>
      </c>
      <c r="W900" s="3">
        <f t="shared" si="45"/>
        <v>2</v>
      </c>
      <c r="X900" s="3">
        <f t="shared" si="44"/>
        <v>6.9539089369361845E-5</v>
      </c>
    </row>
    <row r="901" spans="21:24">
      <c r="U901" s="3">
        <v>44.55</v>
      </c>
      <c r="V901" s="4">
        <f t="shared" si="43"/>
        <v>3.3581031547789055E-5</v>
      </c>
      <c r="W901" s="3">
        <f t="shared" si="45"/>
        <v>4</v>
      </c>
      <c r="X901" s="3">
        <f t="shared" si="44"/>
        <v>1.3432412619115622E-4</v>
      </c>
    </row>
    <row r="902" spans="21:24">
      <c r="U902" s="3">
        <v>44.6</v>
      </c>
      <c r="V902" s="4">
        <f t="shared" si="43"/>
        <v>3.2429323097443322E-5</v>
      </c>
      <c r="W902" s="3">
        <f t="shared" si="45"/>
        <v>2</v>
      </c>
      <c r="X902" s="3">
        <f t="shared" si="44"/>
        <v>6.4858646194886643E-5</v>
      </c>
    </row>
    <row r="903" spans="21:24">
      <c r="U903" s="3">
        <v>44.65</v>
      </c>
      <c r="V903" s="4">
        <f t="shared" si="43"/>
        <v>3.1313411330850474E-5</v>
      </c>
      <c r="W903" s="3">
        <f t="shared" si="45"/>
        <v>4</v>
      </c>
      <c r="X903" s="3">
        <f t="shared" si="44"/>
        <v>1.2525364532340189E-4</v>
      </c>
    </row>
    <row r="904" spans="21:24">
      <c r="U904" s="3">
        <v>44.7</v>
      </c>
      <c r="V904" s="4">
        <f t="shared" si="43"/>
        <v>3.0232311688832758E-5</v>
      </c>
      <c r="W904" s="3">
        <f t="shared" si="45"/>
        <v>2</v>
      </c>
      <c r="X904" s="3">
        <f t="shared" si="44"/>
        <v>6.0464623377665516E-5</v>
      </c>
    </row>
    <row r="905" spans="21:24">
      <c r="U905" s="3">
        <v>44.75</v>
      </c>
      <c r="V905" s="4">
        <f t="shared" si="43"/>
        <v>2.9185062629889443E-5</v>
      </c>
      <c r="W905" s="3">
        <f t="shared" si="45"/>
        <v>4</v>
      </c>
      <c r="X905" s="3">
        <f t="shared" si="44"/>
        <v>1.1674025051955777E-4</v>
      </c>
    </row>
    <row r="906" spans="21:24">
      <c r="U906" s="3">
        <v>44.8</v>
      </c>
      <c r="V906" s="4">
        <f t="shared" si="43"/>
        <v>2.8170725208923024E-5</v>
      </c>
      <c r="W906" s="3">
        <f t="shared" si="45"/>
        <v>2</v>
      </c>
      <c r="X906" s="3">
        <f t="shared" si="44"/>
        <v>5.6341450417846048E-5</v>
      </c>
    </row>
    <row r="907" spans="21:24">
      <c r="U907" s="3">
        <v>44.85</v>
      </c>
      <c r="V907" s="4">
        <f t="shared" ref="V907:V970" si="46">EXP(-(B$3*(70+U907)+0.5*B$4*((70+U907)^2)+(B$5/LN(B$6))*((B$6^(70+U907))-1)))</f>
        <v>2.7188382660648619E-5</v>
      </c>
      <c r="W907" s="3">
        <f t="shared" si="45"/>
        <v>4</v>
      </c>
      <c r="X907" s="3">
        <f t="shared" ref="X907:X970" si="47">V907*W907</f>
        <v>1.0875353064259447E-4</v>
      </c>
    </row>
    <row r="908" spans="21:24">
      <c r="U908" s="3">
        <v>44.9</v>
      </c>
      <c r="V908" s="4">
        <f t="shared" si="46"/>
        <v>2.6237139987705069E-5</v>
      </c>
      <c r="W908" s="3">
        <f t="shared" si="45"/>
        <v>2</v>
      </c>
      <c r="X908" s="3">
        <f t="shared" si="47"/>
        <v>5.2474279975410138E-5</v>
      </c>
    </row>
    <row r="909" spans="21:24">
      <c r="U909" s="3">
        <v>44.95</v>
      </c>
      <c r="V909" s="4">
        <f t="shared" si="46"/>
        <v>2.5316123553492771E-5</v>
      </c>
      <c r="W909" s="3">
        <f t="shared" ref="W909:W972" si="48">IF(W908=4,2,4)</f>
        <v>4</v>
      </c>
      <c r="X909" s="3">
        <f t="shared" si="47"/>
        <v>1.0126449421397108E-4</v>
      </c>
    </row>
    <row r="910" spans="21:24">
      <c r="U910" s="3">
        <v>45</v>
      </c>
      <c r="V910" s="4">
        <f t="shared" si="46"/>
        <v>2.4424480679748922E-5</v>
      </c>
      <c r="W910" s="3">
        <f t="shared" si="48"/>
        <v>2</v>
      </c>
      <c r="X910" s="3">
        <f t="shared" si="47"/>
        <v>4.8848961359497845E-5</v>
      </c>
    </row>
    <row r="911" spans="21:24">
      <c r="U911" s="3">
        <v>45.05</v>
      </c>
      <c r="V911" s="4">
        <f t="shared" si="46"/>
        <v>2.3561379248869224E-5</v>
      </c>
      <c r="W911" s="3">
        <f t="shared" si="48"/>
        <v>4</v>
      </c>
      <c r="X911" s="3">
        <f t="shared" si="47"/>
        <v>9.4245516995476896E-5</v>
      </c>
    </row>
    <row r="912" spans="21:24">
      <c r="U912" s="3">
        <v>45.1</v>
      </c>
      <c r="V912" s="4">
        <f t="shared" si="46"/>
        <v>2.2726007311018557E-5</v>
      </c>
      <c r="W912" s="3">
        <f t="shared" si="48"/>
        <v>2</v>
      </c>
      <c r="X912" s="3">
        <f t="shared" si="47"/>
        <v>4.5452014622037113E-5</v>
      </c>
    </row>
    <row r="913" spans="21:24">
      <c r="U913" s="3">
        <v>45.15</v>
      </c>
      <c r="V913" s="4">
        <f t="shared" si="46"/>
        <v>2.1917572695987483E-5</v>
      </c>
      <c r="W913" s="3">
        <f t="shared" si="48"/>
        <v>4</v>
      </c>
      <c r="X913" s="3">
        <f t="shared" si="47"/>
        <v>8.767029078394993E-5</v>
      </c>
    </row>
    <row r="914" spans="21:24">
      <c r="U914" s="3">
        <v>45.2</v>
      </c>
      <c r="V914" s="4">
        <f t="shared" si="46"/>
        <v>2.113530262985852E-5</v>
      </c>
      <c r="W914" s="3">
        <f t="shared" si="48"/>
        <v>2</v>
      </c>
      <c r="X914" s="3">
        <f t="shared" si="47"/>
        <v>4.2270605259717041E-5</v>
      </c>
    </row>
    <row r="915" spans="21:24">
      <c r="U915" s="3">
        <v>45.25</v>
      </c>
      <c r="V915" s="4">
        <f t="shared" si="46"/>
        <v>2.0378443356453771E-5</v>
      </c>
      <c r="W915" s="3">
        <f t="shared" si="48"/>
        <v>4</v>
      </c>
      <c r="X915" s="3">
        <f t="shared" si="47"/>
        <v>8.1513773425815082E-5</v>
      </c>
    </row>
    <row r="916" spans="21:24">
      <c r="U916" s="3">
        <v>45.3</v>
      </c>
      <c r="V916" s="4">
        <f t="shared" si="46"/>
        <v>1.964625976358422E-5</v>
      </c>
      <c r="W916" s="3">
        <f t="shared" si="48"/>
        <v>2</v>
      </c>
      <c r="X916" s="3">
        <f t="shared" si="47"/>
        <v>3.929251952716844E-5</v>
      </c>
    </row>
    <row r="917" spans="21:24">
      <c r="U917" s="3">
        <v>45.35</v>
      </c>
      <c r="V917" s="4">
        <f t="shared" si="46"/>
        <v>1.8938035014097596E-5</v>
      </c>
      <c r="W917" s="3">
        <f t="shared" si="48"/>
        <v>4</v>
      </c>
      <c r="X917" s="3">
        <f t="shared" si="47"/>
        <v>7.5752140056390384E-5</v>
      </c>
    </row>
    <row r="918" spans="21:24">
      <c r="U918" s="3">
        <v>45.4</v>
      </c>
      <c r="V918" s="4">
        <f t="shared" si="46"/>
        <v>1.8253070181729687E-5</v>
      </c>
      <c r="W918" s="3">
        <f t="shared" si="48"/>
        <v>2</v>
      </c>
      <c r="X918" s="3">
        <f t="shared" si="47"/>
        <v>3.6506140363459373E-5</v>
      </c>
    </row>
    <row r="919" spans="21:24">
      <c r="U919" s="3">
        <v>45.45</v>
      </c>
      <c r="V919" s="4">
        <f t="shared" si="46"/>
        <v>1.7590683891757989E-5</v>
      </c>
      <c r="W919" s="3">
        <f t="shared" si="48"/>
        <v>4</v>
      </c>
      <c r="X919" s="3">
        <f t="shared" si="47"/>
        <v>7.0362735567031955E-5</v>
      </c>
    </row>
    <row r="920" spans="21:24">
      <c r="U920" s="3">
        <v>45.5</v>
      </c>
      <c r="V920" s="4">
        <f t="shared" si="46"/>
        <v>1.6950211966453642E-5</v>
      </c>
      <c r="W920" s="3">
        <f t="shared" si="48"/>
        <v>2</v>
      </c>
      <c r="X920" s="3">
        <f t="shared" si="47"/>
        <v>3.3900423932907283E-5</v>
      </c>
    </row>
    <row r="921" spans="21:24">
      <c r="U921" s="3">
        <v>45.55</v>
      </c>
      <c r="V921" s="4">
        <f t="shared" si="46"/>
        <v>1.6331007075331284E-5</v>
      </c>
      <c r="W921" s="3">
        <f t="shared" si="48"/>
        <v>4</v>
      </c>
      <c r="X921" s="3">
        <f t="shared" si="47"/>
        <v>6.5324028301325137E-5</v>
      </c>
    </row>
    <row r="922" spans="21:24">
      <c r="U922" s="3">
        <v>45.6</v>
      </c>
      <c r="V922" s="4">
        <f t="shared" si="46"/>
        <v>1.5732438390188847E-5</v>
      </c>
      <c r="W922" s="3">
        <f t="shared" si="48"/>
        <v>2</v>
      </c>
      <c r="X922" s="3">
        <f t="shared" si="47"/>
        <v>3.1464876780377694E-5</v>
      </c>
    </row>
    <row r="923" spans="21:24">
      <c r="U923" s="3">
        <v>45.65</v>
      </c>
      <c r="V923" s="4">
        <f t="shared" si="46"/>
        <v>1.5153891244931389E-5</v>
      </c>
      <c r="W923" s="3">
        <f t="shared" si="48"/>
        <v>4</v>
      </c>
      <c r="X923" s="3">
        <f t="shared" si="47"/>
        <v>6.0615564979725555E-5</v>
      </c>
    </row>
    <row r="924" spans="21:24">
      <c r="U924" s="3">
        <v>45.7</v>
      </c>
      <c r="V924" s="4">
        <f t="shared" si="46"/>
        <v>1.459476680017101E-5</v>
      </c>
      <c r="W924" s="3">
        <f t="shared" si="48"/>
        <v>2</v>
      </c>
      <c r="X924" s="3">
        <f t="shared" si="47"/>
        <v>2.9189533600342021E-5</v>
      </c>
    </row>
    <row r="925" spans="21:24">
      <c r="U925" s="3">
        <v>45.75</v>
      </c>
      <c r="V925" s="4">
        <f t="shared" si="46"/>
        <v>1.4054481712590138E-5</v>
      </c>
      <c r="W925" s="3">
        <f t="shared" si="48"/>
        <v>4</v>
      </c>
      <c r="X925" s="3">
        <f t="shared" si="47"/>
        <v>5.6217926850360554E-5</v>
      </c>
    </row>
    <row r="926" spans="21:24">
      <c r="U926" s="3">
        <v>45.8</v>
      </c>
      <c r="V926" s="4">
        <f t="shared" si="46"/>
        <v>1.3532467809060273E-5</v>
      </c>
      <c r="W926" s="3">
        <f t="shared" si="48"/>
        <v>2</v>
      </c>
      <c r="X926" s="3">
        <f t="shared" si="47"/>
        <v>2.7064935618120546E-5</v>
      </c>
    </row>
    <row r="927" spans="21:24">
      <c r="U927" s="3">
        <v>45.85</v>
      </c>
      <c r="V927" s="4">
        <f t="shared" si="46"/>
        <v>1.3028171765500455E-5</v>
      </c>
      <c r="W927" s="3">
        <f t="shared" si="48"/>
        <v>4</v>
      </c>
      <c r="X927" s="3">
        <f t="shared" si="47"/>
        <v>5.211268706200182E-5</v>
      </c>
    </row>
    <row r="928" spans="21:24">
      <c r="U928" s="3">
        <v>45.9</v>
      </c>
      <c r="V928" s="4">
        <f t="shared" si="46"/>
        <v>1.2541054790460516E-5</v>
      </c>
      <c r="W928" s="3">
        <f t="shared" si="48"/>
        <v>2</v>
      </c>
      <c r="X928" s="3">
        <f t="shared" si="47"/>
        <v>2.5082109580921033E-5</v>
      </c>
    </row>
    <row r="929" spans="21:24">
      <c r="U929" s="3">
        <v>45.95</v>
      </c>
      <c r="V929" s="4">
        <f t="shared" si="46"/>
        <v>1.2070592313416123E-5</v>
      </c>
      <c r="W929" s="3">
        <f t="shared" si="48"/>
        <v>4</v>
      </c>
      <c r="X929" s="3">
        <f t="shared" si="47"/>
        <v>4.8282369253664493E-5</v>
      </c>
    </row>
    <row r="930" spans="21:24">
      <c r="U930" s="3">
        <v>46</v>
      </c>
      <c r="V930" s="4">
        <f t="shared" si="46"/>
        <v>1.1616273677754806E-5</v>
      </c>
      <c r="W930" s="3">
        <f t="shared" si="48"/>
        <v>2</v>
      </c>
      <c r="X930" s="3">
        <f t="shared" si="47"/>
        <v>2.3232547355509611E-5</v>
      </c>
    </row>
    <row r="931" spans="21:24">
      <c r="U931" s="3">
        <v>46.05</v>
      </c>
      <c r="V931" s="4">
        <f t="shared" si="46"/>
        <v>1.1177601838432379E-5</v>
      </c>
      <c r="W931" s="3">
        <f t="shared" si="48"/>
        <v>4</v>
      </c>
      <c r="X931" s="3">
        <f t="shared" si="47"/>
        <v>4.4710407353729514E-5</v>
      </c>
    </row>
    <row r="932" spans="21:24">
      <c r="U932" s="3">
        <v>46.1</v>
      </c>
      <c r="V932" s="4">
        <f t="shared" si="46"/>
        <v>1.0754093064293965E-5</v>
      </c>
      <c r="W932" s="3">
        <f t="shared" si="48"/>
        <v>2</v>
      </c>
      <c r="X932" s="3">
        <f t="shared" si="47"/>
        <v>2.150818612858793E-5</v>
      </c>
    </row>
    <row r="933" spans="21:24">
      <c r="U933" s="3">
        <v>46.15</v>
      </c>
      <c r="V933" s="4">
        <f t="shared" si="46"/>
        <v>1.0345276645011473E-5</v>
      </c>
      <c r="W933" s="3">
        <f t="shared" si="48"/>
        <v>4</v>
      </c>
      <c r="X933" s="3">
        <f t="shared" si="47"/>
        <v>4.1381106580045891E-5</v>
      </c>
    </row>
    <row r="934" spans="21:24">
      <c r="U934" s="3">
        <v>46.2</v>
      </c>
      <c r="V934" s="4">
        <f t="shared" si="46"/>
        <v>9.9506946026427371E-6</v>
      </c>
      <c r="W934" s="3">
        <f t="shared" si="48"/>
        <v>2</v>
      </c>
      <c r="X934" s="3">
        <f t="shared" si="47"/>
        <v>1.9901389205285474E-5</v>
      </c>
    </row>
    <row r="935" spans="21:24">
      <c r="U935" s="3">
        <v>46.25</v>
      </c>
      <c r="V935" s="4">
        <f t="shared" si="46"/>
        <v>9.5699014077704605E-6</v>
      </c>
      <c r="W935" s="3">
        <f t="shared" si="48"/>
        <v>4</v>
      </c>
      <c r="X935" s="3">
        <f t="shared" si="47"/>
        <v>3.8279605631081842E-5</v>
      </c>
    </row>
    <row r="936" spans="21:24">
      <c r="U936" s="3">
        <v>46.3</v>
      </c>
      <c r="V936" s="4">
        <f t="shared" si="46"/>
        <v>9.2024637002041879E-6</v>
      </c>
      <c r="W936" s="3">
        <f t="shared" si="48"/>
        <v>2</v>
      </c>
      <c r="X936" s="3">
        <f t="shared" si="47"/>
        <v>1.8404927400408376E-5</v>
      </c>
    </row>
    <row r="937" spans="21:24">
      <c r="U937" s="3">
        <v>46.35</v>
      </c>
      <c r="V937" s="4">
        <f t="shared" si="46"/>
        <v>8.847960014215003E-6</v>
      </c>
      <c r="W937" s="3">
        <f t="shared" si="48"/>
        <v>4</v>
      </c>
      <c r="X937" s="3">
        <f t="shared" si="47"/>
        <v>3.5391840056860012E-5</v>
      </c>
    </row>
    <row r="938" spans="21:24">
      <c r="U938" s="3">
        <v>46.4</v>
      </c>
      <c r="V938" s="4">
        <f t="shared" si="46"/>
        <v>8.5059805082781779E-6</v>
      </c>
      <c r="W938" s="3">
        <f t="shared" si="48"/>
        <v>2</v>
      </c>
      <c r="X938" s="3">
        <f t="shared" si="47"/>
        <v>1.7011961016556356E-5</v>
      </c>
    </row>
    <row r="939" spans="21:24">
      <c r="U939" s="3">
        <v>46.45</v>
      </c>
      <c r="V939" s="4">
        <f t="shared" si="46"/>
        <v>8.1761266992949334E-6</v>
      </c>
      <c r="W939" s="3">
        <f t="shared" si="48"/>
        <v>4</v>
      </c>
      <c r="X939" s="3">
        <f t="shared" si="47"/>
        <v>3.2704506797179734E-5</v>
      </c>
    </row>
    <row r="940" spans="21:24">
      <c r="U940" s="3">
        <v>46.5</v>
      </c>
      <c r="V940" s="4">
        <f t="shared" si="46"/>
        <v>7.85801120126214E-6</v>
      </c>
      <c r="W940" s="3">
        <f t="shared" si="48"/>
        <v>2</v>
      </c>
      <c r="X940" s="3">
        <f t="shared" si="47"/>
        <v>1.571602240252428E-5</v>
      </c>
    </row>
    <row r="941" spans="21:24">
      <c r="U941" s="3">
        <v>46.55</v>
      </c>
      <c r="V941" s="4">
        <f t="shared" si="46"/>
        <v>7.5512574683620264E-6</v>
      </c>
      <c r="W941" s="3">
        <f t="shared" si="48"/>
        <v>4</v>
      </c>
      <c r="X941" s="3">
        <f t="shared" si="47"/>
        <v>3.0205029873448106E-5</v>
      </c>
    </row>
    <row r="942" spans="21:24">
      <c r="U942" s="3">
        <v>46.6</v>
      </c>
      <c r="V942" s="4">
        <f t="shared" si="46"/>
        <v>7.2554995424388034E-6</v>
      </c>
      <c r="W942" s="3">
        <f t="shared" si="48"/>
        <v>2</v>
      </c>
      <c r="X942" s="3">
        <f t="shared" si="47"/>
        <v>1.4510999084877607E-5</v>
      </c>
    </row>
    <row r="943" spans="21:24">
      <c r="U943" s="3">
        <v>46.65</v>
      </c>
      <c r="V943" s="4">
        <f t="shared" si="46"/>
        <v>6.97038180483032E-6</v>
      </c>
      <c r="W943" s="3">
        <f t="shared" si="48"/>
        <v>4</v>
      </c>
      <c r="X943" s="3">
        <f t="shared" si="47"/>
        <v>2.788152721932128E-5</v>
      </c>
    </row>
    <row r="944" spans="21:24">
      <c r="U944" s="3">
        <v>46.7</v>
      </c>
      <c r="V944" s="4">
        <f t="shared" si="46"/>
        <v>6.6955587325218194E-6</v>
      </c>
      <c r="W944" s="3">
        <f t="shared" si="48"/>
        <v>2</v>
      </c>
      <c r="X944" s="3">
        <f t="shared" si="47"/>
        <v>1.3391117465043639E-5</v>
      </c>
    </row>
    <row r="945" spans="21:24">
      <c r="U945" s="3">
        <v>46.75</v>
      </c>
      <c r="V945" s="4">
        <f t="shared" si="46"/>
        <v>6.4306946585865407E-6</v>
      </c>
      <c r="W945" s="3">
        <f t="shared" si="48"/>
        <v>4</v>
      </c>
      <c r="X945" s="3">
        <f t="shared" si="47"/>
        <v>2.5722778634346163E-5</v>
      </c>
    </row>
    <row r="946" spans="21:24">
      <c r="U946" s="3">
        <v>46.8</v>
      </c>
      <c r="V946" s="4">
        <f t="shared" si="46"/>
        <v>6.1754635368797016E-6</v>
      </c>
      <c r="W946" s="3">
        <f t="shared" si="48"/>
        <v>2</v>
      </c>
      <c r="X946" s="3">
        <f t="shared" si="47"/>
        <v>1.2350927073759403E-5</v>
      </c>
    </row>
    <row r="947" spans="21:24">
      <c r="U947" s="3">
        <v>46.85</v>
      </c>
      <c r="V947" s="4">
        <f t="shared" si="46"/>
        <v>5.9295487109492017E-6</v>
      </c>
      <c r="W947" s="3">
        <f t="shared" si="48"/>
        <v>4</v>
      </c>
      <c r="X947" s="3">
        <f t="shared" si="47"/>
        <v>2.3718194843796807E-5</v>
      </c>
    </row>
    <row r="948" spans="21:24">
      <c r="U948" s="3">
        <v>46.9</v>
      </c>
      <c r="V948" s="4">
        <f t="shared" si="46"/>
        <v>5.6926426871258486E-6</v>
      </c>
      <c r="W948" s="3">
        <f t="shared" si="48"/>
        <v>2</v>
      </c>
      <c r="X948" s="3">
        <f t="shared" si="47"/>
        <v>1.1385285374251697E-5</v>
      </c>
    </row>
    <row r="949" spans="21:24">
      <c r="U949" s="3">
        <v>46.95</v>
      </c>
      <c r="V949" s="4">
        <f t="shared" si="46"/>
        <v>5.4644469117576788E-6</v>
      </c>
      <c r="W949" s="3">
        <f t="shared" si="48"/>
        <v>4</v>
      </c>
      <c r="X949" s="3">
        <f t="shared" si="47"/>
        <v>2.1857787647030715E-5</v>
      </c>
    </row>
    <row r="950" spans="21:24">
      <c r="U950" s="3">
        <v>47</v>
      </c>
      <c r="V950" s="4">
        <f t="shared" si="46"/>
        <v>5.2446715525483387E-6</v>
      </c>
      <c r="W950" s="3">
        <f t="shared" si="48"/>
        <v>2</v>
      </c>
      <c r="X950" s="3">
        <f t="shared" si="47"/>
        <v>1.0489343105096677E-5</v>
      </c>
    </row>
    <row r="951" spans="21:24">
      <c r="U951" s="3">
        <v>47.05</v>
      </c>
      <c r="V951" s="4">
        <f t="shared" si="46"/>
        <v>5.0330352839603237E-6</v>
      </c>
      <c r="W951" s="3">
        <f t="shared" si="48"/>
        <v>4</v>
      </c>
      <c r="X951" s="3">
        <f t="shared" si="47"/>
        <v>2.0132141135841295E-5</v>
      </c>
    </row>
    <row r="952" spans="21:24">
      <c r="U952" s="3">
        <v>47.1</v>
      </c>
      <c r="V952" s="4">
        <f t="shared" si="46"/>
        <v>4.8292650766503091E-6</v>
      </c>
      <c r="W952" s="3">
        <f t="shared" si="48"/>
        <v>2</v>
      </c>
      <c r="X952" s="3">
        <f t="shared" si="47"/>
        <v>9.6585301533006183E-6</v>
      </c>
    </row>
    <row r="953" spans="21:24">
      <c r="U953" s="3">
        <v>47.15</v>
      </c>
      <c r="V953" s="4">
        <f t="shared" si="46"/>
        <v>4.6330959908838126E-6</v>
      </c>
      <c r="W953" s="3">
        <f t="shared" si="48"/>
        <v>4</v>
      </c>
      <c r="X953" s="3">
        <f t="shared" si="47"/>
        <v>1.853238396353525E-5</v>
      </c>
    </row>
    <row r="954" spans="21:24">
      <c r="U954" s="3">
        <v>47.2</v>
      </c>
      <c r="V954" s="4">
        <f t="shared" si="46"/>
        <v>4.4442709739022904E-6</v>
      </c>
      <c r="W954" s="3">
        <f t="shared" si="48"/>
        <v>2</v>
      </c>
      <c r="X954" s="3">
        <f t="shared" si="47"/>
        <v>8.8885419478045808E-6</v>
      </c>
    </row>
    <row r="955" spans="21:24">
      <c r="U955" s="3">
        <v>47.25</v>
      </c>
      <c r="V955" s="4">
        <f t="shared" si="46"/>
        <v>4.2625406611925461E-6</v>
      </c>
      <c r="W955" s="3">
        <f t="shared" si="48"/>
        <v>4</v>
      </c>
      <c r="X955" s="3">
        <f t="shared" si="47"/>
        <v>1.7050162644770184E-5</v>
      </c>
    </row>
    <row r="956" spans="21:24">
      <c r="U956" s="3">
        <v>47.3</v>
      </c>
      <c r="V956" s="4">
        <f t="shared" si="46"/>
        <v>4.0876631816210734E-6</v>
      </c>
      <c r="W956" s="3">
        <f t="shared" si="48"/>
        <v>2</v>
      </c>
      <c r="X956" s="3">
        <f t="shared" si="47"/>
        <v>8.1753263632421467E-6</v>
      </c>
    </row>
    <row r="957" spans="21:24">
      <c r="U957" s="3">
        <v>47.35</v>
      </c>
      <c r="V957" s="4">
        <f t="shared" si="46"/>
        <v>3.919403966389223E-6</v>
      </c>
      <c r="W957" s="3">
        <f t="shared" si="48"/>
        <v>4</v>
      </c>
      <c r="X957" s="3">
        <f t="shared" si="47"/>
        <v>1.5677615865556892E-5</v>
      </c>
    </row>
    <row r="958" spans="21:24">
      <c r="U958" s="3">
        <v>47.4</v>
      </c>
      <c r="V958" s="4">
        <f t="shared" si="46"/>
        <v>3.757535561767955E-6</v>
      </c>
      <c r="W958" s="3">
        <f t="shared" si="48"/>
        <v>2</v>
      </c>
      <c r="X958" s="3">
        <f t="shared" si="47"/>
        <v>7.5150711235359099E-6</v>
      </c>
    </row>
    <row r="959" spans="21:24">
      <c r="U959" s="3">
        <v>47.45</v>
      </c>
      <c r="V959" s="4">
        <f t="shared" si="46"/>
        <v>3.6018374455687252E-6</v>
      </c>
      <c r="W959" s="3">
        <f t="shared" si="48"/>
        <v>4</v>
      </c>
      <c r="X959" s="3">
        <f t="shared" si="47"/>
        <v>1.4407349782274901E-5</v>
      </c>
    </row>
    <row r="960" spans="21:24">
      <c r="U960" s="3">
        <v>47.5</v>
      </c>
      <c r="V960" s="4">
        <f t="shared" si="46"/>
        <v>3.4520958473067071E-6</v>
      </c>
      <c r="W960" s="3">
        <f t="shared" si="48"/>
        <v>2</v>
      </c>
      <c r="X960" s="3">
        <f t="shared" si="47"/>
        <v>6.9041916946134141E-6</v>
      </c>
    </row>
    <row r="961" spans="21:24">
      <c r="U961" s="3">
        <v>47.55</v>
      </c>
      <c r="V961" s="4">
        <f t="shared" si="46"/>
        <v>3.3081035720135542E-6</v>
      </c>
      <c r="W961" s="3">
        <f t="shared" si="48"/>
        <v>4</v>
      </c>
      <c r="X961" s="3">
        <f t="shared" si="47"/>
        <v>1.3232414288054217E-5</v>
      </c>
    </row>
    <row r="962" spans="21:24">
      <c r="U962" s="3">
        <v>47.6</v>
      </c>
      <c r="V962" s="4">
        <f t="shared" si="46"/>
        <v>3.169659827654845E-6</v>
      </c>
      <c r="W962" s="3">
        <f t="shared" si="48"/>
        <v>2</v>
      </c>
      <c r="X962" s="3">
        <f t="shared" si="47"/>
        <v>6.3393196553096899E-6</v>
      </c>
    </row>
    <row r="963" spans="21:24">
      <c r="U963" s="3">
        <v>47.65</v>
      </c>
      <c r="V963" s="4">
        <f t="shared" si="46"/>
        <v>3.0365700561083691E-6</v>
      </c>
      <c r="W963" s="3">
        <f t="shared" si="48"/>
        <v>4</v>
      </c>
      <c r="X963" s="3">
        <f t="shared" si="47"/>
        <v>1.2146280224433476E-5</v>
      </c>
    </row>
    <row r="964" spans="21:24">
      <c r="U964" s="3">
        <v>47.7</v>
      </c>
      <c r="V964" s="4">
        <f t="shared" si="46"/>
        <v>2.9086457676583848E-6</v>
      </c>
      <c r="W964" s="3">
        <f t="shared" si="48"/>
        <v>2</v>
      </c>
      <c r="X964" s="3">
        <f t="shared" si="47"/>
        <v>5.8172915353167697E-6</v>
      </c>
    </row>
    <row r="965" spans="21:24">
      <c r="U965" s="3">
        <v>47.75</v>
      </c>
      <c r="V965" s="4">
        <f t="shared" si="46"/>
        <v>2.7857043789607338E-6</v>
      </c>
      <c r="W965" s="3">
        <f t="shared" si="48"/>
        <v>4</v>
      </c>
      <c r="X965" s="3">
        <f t="shared" si="47"/>
        <v>1.1142817515842935E-5</v>
      </c>
    </row>
    <row r="966" spans="21:24">
      <c r="U966" s="3">
        <v>47.8</v>
      </c>
      <c r="V966" s="4">
        <f t="shared" si="46"/>
        <v>2.6675690544343588E-6</v>
      </c>
      <c r="W966" s="3">
        <f t="shared" si="48"/>
        <v>2</v>
      </c>
      <c r="X966" s="3">
        <f t="shared" si="47"/>
        <v>5.3351381088687175E-6</v>
      </c>
    </row>
    <row r="967" spans="21:24">
      <c r="U967" s="3">
        <v>47.85</v>
      </c>
      <c r="V967" s="4">
        <f t="shared" si="46"/>
        <v>2.5540685510332772E-6</v>
      </c>
      <c r="W967" s="3">
        <f t="shared" si="48"/>
        <v>4</v>
      </c>
      <c r="X967" s="3">
        <f t="shared" si="47"/>
        <v>1.0216274204133109E-5</v>
      </c>
    </row>
    <row r="968" spans="21:24">
      <c r="U968" s="3">
        <v>47.9</v>
      </c>
      <c r="V968" s="4">
        <f t="shared" si="46"/>
        <v>2.4450370663537026E-6</v>
      </c>
      <c r="W968" s="3">
        <f t="shared" si="48"/>
        <v>2</v>
      </c>
      <c r="X968" s="3">
        <f t="shared" si="47"/>
        <v>4.8900741327074052E-6</v>
      </c>
    </row>
    <row r="969" spans="21:24">
      <c r="U969" s="3">
        <v>47.95</v>
      </c>
      <c r="V969" s="4">
        <f t="shared" si="46"/>
        <v>2.3403140900310263E-6</v>
      </c>
      <c r="W969" s="3">
        <f t="shared" si="48"/>
        <v>4</v>
      </c>
      <c r="X969" s="3">
        <f t="shared" si="47"/>
        <v>9.3612563601241053E-6</v>
      </c>
    </row>
    <row r="970" spans="21:24">
      <c r="U970" s="3">
        <v>48</v>
      </c>
      <c r="V970" s="4">
        <f t="shared" si="46"/>
        <v>2.2397442583804577E-6</v>
      </c>
      <c r="W970" s="3">
        <f t="shared" si="48"/>
        <v>2</v>
      </c>
      <c r="X970" s="3">
        <f t="shared" si="47"/>
        <v>4.4794885167609154E-6</v>
      </c>
    </row>
    <row r="971" spans="21:24">
      <c r="U971" s="3">
        <v>48.05</v>
      </c>
      <c r="V971" s="4">
        <f t="shared" ref="V971:V1034" si="49">EXP(-(B$3*(70+U971)+0.5*B$4*((70+U971)^2)+(B$5/LN(B$6))*((B$6^(70+U971))-1)))</f>
        <v>2.1431772122349153E-6</v>
      </c>
      <c r="W971" s="3">
        <f t="shared" si="48"/>
        <v>4</v>
      </c>
      <c r="X971" s="3">
        <f t="shared" ref="X971:X1034" si="50">V971*W971</f>
        <v>8.5727088489396611E-6</v>
      </c>
    </row>
    <row r="972" spans="21:24">
      <c r="U972" s="3">
        <v>48.1</v>
      </c>
      <c r="V972" s="4">
        <f t="shared" si="49"/>
        <v>2.0504674579375186E-6</v>
      </c>
      <c r="W972" s="3">
        <f t="shared" si="48"/>
        <v>2</v>
      </c>
      <c r="X972" s="3">
        <f t="shared" si="50"/>
        <v>4.1009349158750372E-6</v>
      </c>
    </row>
    <row r="973" spans="21:24">
      <c r="U973" s="3">
        <v>48.15</v>
      </c>
      <c r="V973" s="4">
        <f t="shared" si="49"/>
        <v>1.9614742314366908E-6</v>
      </c>
      <c r="W973" s="3">
        <f t="shared" ref="W973:W1036" si="51">IF(W972=4,2,4)</f>
        <v>4</v>
      </c>
      <c r="X973" s="3">
        <f t="shared" si="50"/>
        <v>7.8458969257467632E-6</v>
      </c>
    </row>
    <row r="974" spans="21:24">
      <c r="U974" s="3">
        <v>48.2</v>
      </c>
      <c r="V974" s="4">
        <f t="shared" si="49"/>
        <v>1.8760613654441877E-6</v>
      </c>
      <c r="W974" s="3">
        <f t="shared" si="51"/>
        <v>2</v>
      </c>
      <c r="X974" s="3">
        <f t="shared" si="50"/>
        <v>3.7521227308883755E-6</v>
      </c>
    </row>
    <row r="975" spans="21:24">
      <c r="U975" s="3">
        <v>48.25</v>
      </c>
      <c r="V975" s="4">
        <f t="shared" si="49"/>
        <v>1.7940971596060505E-6</v>
      </c>
      <c r="W975" s="3">
        <f t="shared" si="51"/>
        <v>4</v>
      </c>
      <c r="X975" s="3">
        <f t="shared" si="50"/>
        <v>7.1763886384242018E-6</v>
      </c>
    </row>
    <row r="976" spans="21:24">
      <c r="U976" s="3">
        <v>48.3</v>
      </c>
      <c r="V976" s="4">
        <f t="shared" si="49"/>
        <v>1.71545425364228E-6</v>
      </c>
      <c r="W976" s="3">
        <f t="shared" si="51"/>
        <v>2</v>
      </c>
      <c r="X976" s="3">
        <f t="shared" si="50"/>
        <v>3.43090850728456E-6</v>
      </c>
    </row>
    <row r="977" spans="21:24">
      <c r="U977" s="3">
        <v>48.35</v>
      </c>
      <c r="V977" s="4">
        <f t="shared" si="49"/>
        <v>1.6400095034085363E-6</v>
      </c>
      <c r="W977" s="3">
        <f t="shared" si="51"/>
        <v>4</v>
      </c>
      <c r="X977" s="3">
        <f t="shared" si="50"/>
        <v>6.5600380136341452E-6</v>
      </c>
    </row>
    <row r="978" spans="21:24">
      <c r="U978" s="3">
        <v>48.4</v>
      </c>
      <c r="V978" s="4">
        <f t="shared" si="49"/>
        <v>1.5676438598345945E-6</v>
      </c>
      <c r="W978" s="3">
        <f t="shared" si="51"/>
        <v>2</v>
      </c>
      <c r="X978" s="3">
        <f t="shared" si="50"/>
        <v>3.135287719669189E-6</v>
      </c>
    </row>
    <row r="979" spans="21:24">
      <c r="U979" s="3">
        <v>48.45</v>
      </c>
      <c r="V979" s="4">
        <f t="shared" si="49"/>
        <v>1.4982422506934206E-6</v>
      </c>
      <c r="W979" s="3">
        <f t="shared" si="51"/>
        <v>4</v>
      </c>
      <c r="X979" s="3">
        <f t="shared" si="50"/>
        <v>5.9929690027736825E-6</v>
      </c>
    </row>
    <row r="980" spans="21:24">
      <c r="U980" s="3">
        <v>48.5</v>
      </c>
      <c r="V980" s="4">
        <f t="shared" si="49"/>
        <v>1.4316934651553567E-6</v>
      </c>
      <c r="W980" s="3">
        <f t="shared" si="51"/>
        <v>2</v>
      </c>
      <c r="X980" s="3">
        <f t="shared" si="50"/>
        <v>2.8633869303107135E-6</v>
      </c>
    </row>
    <row r="981" spans="21:24">
      <c r="U981" s="3">
        <v>48.55</v>
      </c>
      <c r="V981" s="4">
        <f t="shared" si="49"/>
        <v>1.3678900410820871E-6</v>
      </c>
      <c r="W981" s="3">
        <f t="shared" si="51"/>
        <v>4</v>
      </c>
      <c r="X981" s="3">
        <f t="shared" si="50"/>
        <v>5.4715601643283483E-6</v>
      </c>
    </row>
    <row r="982" spans="21:24">
      <c r="U982" s="3">
        <v>48.6</v>
      </c>
      <c r="V982" s="4">
        <f t="shared" si="49"/>
        <v>1.3067281550144464E-6</v>
      </c>
      <c r="W982" s="3">
        <f t="shared" si="51"/>
        <v>2</v>
      </c>
      <c r="X982" s="3">
        <f t="shared" si="50"/>
        <v>2.6134563100288929E-6</v>
      </c>
    </row>
    <row r="983" spans="21:24">
      <c r="U983" s="3">
        <v>48.65</v>
      </c>
      <c r="V983" s="4">
        <f t="shared" si="49"/>
        <v>1.2481075148096539E-6</v>
      </c>
      <c r="W983" s="3">
        <f t="shared" si="51"/>
        <v>4</v>
      </c>
      <c r="X983" s="3">
        <f t="shared" si="50"/>
        <v>4.9924300592386157E-6</v>
      </c>
    </row>
    <row r="984" spans="21:24">
      <c r="U984" s="3">
        <v>48.7</v>
      </c>
      <c r="V984" s="4">
        <f t="shared" si="49"/>
        <v>1.1919312548823147E-6</v>
      </c>
      <c r="W984" s="3">
        <f t="shared" si="51"/>
        <v>2</v>
      </c>
      <c r="X984" s="3">
        <f t="shared" si="50"/>
        <v>2.3838625097646294E-6</v>
      </c>
    </row>
    <row r="985" spans="21:24">
      <c r="U985" s="3">
        <v>48.75</v>
      </c>
      <c r="V985" s="4">
        <f t="shared" si="49"/>
        <v>1.1381058340047042E-6</v>
      </c>
      <c r="W985" s="3">
        <f t="shared" si="51"/>
        <v>4</v>
      </c>
      <c r="X985" s="3">
        <f t="shared" si="50"/>
        <v>4.5524233360188166E-6</v>
      </c>
    </row>
    <row r="986" spans="21:24">
      <c r="U986" s="3">
        <v>48.8</v>
      </c>
      <c r="V986" s="4">
        <f t="shared" si="49"/>
        <v>1.0865409356215905E-6</v>
      </c>
      <c r="W986" s="3">
        <f t="shared" si="51"/>
        <v>2</v>
      </c>
      <c r="X986" s="3">
        <f t="shared" si="50"/>
        <v>2.173081871243181E-6</v>
      </c>
    </row>
    <row r="987" spans="21:24">
      <c r="U987" s="3">
        <v>48.85</v>
      </c>
      <c r="V987" s="4">
        <f t="shared" si="49"/>
        <v>1.0371493706352958E-6</v>
      </c>
      <c r="W987" s="3">
        <f t="shared" si="51"/>
        <v>4</v>
      </c>
      <c r="X987" s="3">
        <f t="shared" si="50"/>
        <v>4.1485974825411833E-6</v>
      </c>
    </row>
    <row r="988" spans="21:24">
      <c r="U988" s="3">
        <v>48.9</v>
      </c>
      <c r="V988" s="4">
        <f t="shared" si="49"/>
        <v>9.8984698261685089E-7</v>
      </c>
      <c r="W988" s="3">
        <f t="shared" si="51"/>
        <v>2</v>
      </c>
      <c r="X988" s="3">
        <f t="shared" si="50"/>
        <v>1.9796939652337018E-6</v>
      </c>
    </row>
    <row r="989" spans="21:24">
      <c r="U989" s="3">
        <v>48.95</v>
      </c>
      <c r="V989" s="4">
        <f t="shared" si="49"/>
        <v>9.4455255539953366E-7</v>
      </c>
      <c r="W989" s="3">
        <f t="shared" si="51"/>
        <v>4</v>
      </c>
      <c r="X989" s="3">
        <f t="shared" si="50"/>
        <v>3.7782102215981347E-6</v>
      </c>
    </row>
    <row r="990" spans="21:24">
      <c r="U990" s="3">
        <v>49</v>
      </c>
      <c r="V990" s="4">
        <f t="shared" si="49"/>
        <v>9.0118772301089865E-7</v>
      </c>
      <c r="W990" s="3">
        <f t="shared" si="51"/>
        <v>2</v>
      </c>
      <c r="X990" s="3">
        <f t="shared" si="50"/>
        <v>1.8023754460217973E-6</v>
      </c>
    </row>
    <row r="991" spans="21:24">
      <c r="U991" s="3">
        <v>49.05</v>
      </c>
      <c r="V991" s="4">
        <f t="shared" si="49"/>
        <v>8.5967688190007467E-7</v>
      </c>
      <c r="W991" s="3">
        <f t="shared" si="51"/>
        <v>4</v>
      </c>
      <c r="X991" s="3">
        <f t="shared" si="50"/>
        <v>3.4387075276002987E-6</v>
      </c>
    </row>
    <row r="992" spans="21:24">
      <c r="U992" s="3">
        <v>49.1</v>
      </c>
      <c r="V992" s="4">
        <f t="shared" si="49"/>
        <v>8.1994710541850306E-7</v>
      </c>
      <c r="W992" s="3">
        <f t="shared" si="51"/>
        <v>2</v>
      </c>
      <c r="X992" s="3">
        <f t="shared" si="50"/>
        <v>1.6398942108370061E-6</v>
      </c>
    </row>
    <row r="993" spans="21:24">
      <c r="U993" s="3">
        <v>49.15</v>
      </c>
      <c r="V993" s="4">
        <f t="shared" si="49"/>
        <v>7.8192806050899535E-7</v>
      </c>
      <c r="W993" s="3">
        <f t="shared" si="51"/>
        <v>4</v>
      </c>
      <c r="X993" s="3">
        <f t="shared" si="50"/>
        <v>3.1277122420359814E-6</v>
      </c>
    </row>
    <row r="994" spans="21:24">
      <c r="U994" s="3">
        <v>49.2</v>
      </c>
      <c r="V994" s="4">
        <f t="shared" si="49"/>
        <v>7.4555192656356765E-7</v>
      </c>
      <c r="W994" s="3">
        <f t="shared" si="51"/>
        <v>2</v>
      </c>
      <c r="X994" s="3">
        <f t="shared" si="50"/>
        <v>1.4911038531271353E-6</v>
      </c>
    </row>
    <row r="995" spans="21:24">
      <c r="U995" s="3">
        <v>49.25</v>
      </c>
      <c r="V995" s="4">
        <f t="shared" si="49"/>
        <v>7.1075331640616955E-7</v>
      </c>
      <c r="W995" s="3">
        <f t="shared" si="51"/>
        <v>4</v>
      </c>
      <c r="X995" s="3">
        <f t="shared" si="50"/>
        <v>2.8430132656246782E-6</v>
      </c>
    </row>
    <row r="996" spans="21:24">
      <c r="U996" s="3">
        <v>49.3</v>
      </c>
      <c r="V996" s="4">
        <f t="shared" si="49"/>
        <v>6.7746919935967067E-7</v>
      </c>
      <c r="W996" s="3">
        <f t="shared" si="51"/>
        <v>2</v>
      </c>
      <c r="X996" s="3">
        <f t="shared" si="50"/>
        <v>1.3549383987193413E-6</v>
      </c>
    </row>
    <row r="997" spans="21:24">
      <c r="U997" s="3">
        <v>49.35</v>
      </c>
      <c r="V997" s="4">
        <f t="shared" si="49"/>
        <v>6.45638826355495E-7</v>
      </c>
      <c r="W997" s="3">
        <f t="shared" si="51"/>
        <v>4</v>
      </c>
      <c r="X997" s="3">
        <f t="shared" si="50"/>
        <v>2.58255530542198E-6</v>
      </c>
    </row>
    <row r="998" spans="21:24">
      <c r="U998" s="3">
        <v>49.4</v>
      </c>
      <c r="V998" s="4">
        <f t="shared" si="49"/>
        <v>6.1520365704518982E-7</v>
      </c>
      <c r="W998" s="3">
        <f t="shared" si="51"/>
        <v>2</v>
      </c>
      <c r="X998" s="3">
        <f t="shared" si="50"/>
        <v>1.2304073140903796E-6</v>
      </c>
    </row>
    <row r="999" spans="21:24">
      <c r="U999" s="3">
        <v>49.45</v>
      </c>
      <c r="V999" s="4">
        <f t="shared" si="49"/>
        <v>5.8610728887343037E-7</v>
      </c>
      <c r="W999" s="3">
        <f t="shared" si="51"/>
        <v>4</v>
      </c>
      <c r="X999" s="3">
        <f t="shared" si="50"/>
        <v>2.3444291554937215E-6</v>
      </c>
    </row>
    <row r="1000" spans="21:24">
      <c r="U1000" s="3">
        <v>49.5</v>
      </c>
      <c r="V1000" s="4">
        <f t="shared" si="49"/>
        <v>5.5829538807244325E-7</v>
      </c>
      <c r="W1000" s="3">
        <f t="shared" si="51"/>
        <v>2</v>
      </c>
      <c r="X1000" s="3">
        <f t="shared" si="50"/>
        <v>1.1165907761448865E-6</v>
      </c>
    </row>
    <row r="1001" spans="21:24">
      <c r="U1001" s="3">
        <v>49.55</v>
      </c>
      <c r="V1001" s="4">
        <f t="shared" si="49"/>
        <v>5.3171562253818764E-7</v>
      </c>
      <c r="W1001" s="3">
        <f t="shared" si="51"/>
        <v>4</v>
      </c>
      <c r="X1001" s="3">
        <f t="shared" si="50"/>
        <v>2.1268624901527505E-6</v>
      </c>
    </row>
    <row r="1002" spans="21:24">
      <c r="U1002" s="3">
        <v>49.6</v>
      </c>
      <c r="V1002" s="4">
        <f t="shared" si="49"/>
        <v>5.0631759654913465E-7</v>
      </c>
      <c r="W1002" s="3">
        <f t="shared" si="51"/>
        <v>2</v>
      </c>
      <c r="X1002" s="3">
        <f t="shared" si="50"/>
        <v>1.0126351930982693E-6</v>
      </c>
    </row>
    <row r="1003" spans="21:24">
      <c r="U1003" s="3">
        <v>49.65</v>
      </c>
      <c r="V1003" s="4">
        <f t="shared" si="49"/>
        <v>4.820527872886692E-7</v>
      </c>
      <c r="W1003" s="3">
        <f t="shared" si="51"/>
        <v>4</v>
      </c>
      <c r="X1003" s="3">
        <f t="shared" si="50"/>
        <v>1.9282111491546768E-6</v>
      </c>
    </row>
    <row r="1004" spans="21:24">
      <c r="U1004" s="3">
        <v>49.7</v>
      </c>
      <c r="V1004" s="4">
        <f t="shared" si="49"/>
        <v>4.5887448313303917E-7</v>
      </c>
      <c r="W1004" s="3">
        <f t="shared" si="51"/>
        <v>2</v>
      </c>
      <c r="X1004" s="3">
        <f t="shared" si="50"/>
        <v>9.1774896626607833E-7</v>
      </c>
    </row>
    <row r="1005" spans="21:24">
      <c r="U1005" s="3">
        <v>49.75</v>
      </c>
      <c r="V1005" s="4">
        <f t="shared" si="49"/>
        <v>4.3673772366669331E-7</v>
      </c>
      <c r="W1005" s="3">
        <f t="shared" si="51"/>
        <v>4</v>
      </c>
      <c r="X1005" s="3">
        <f t="shared" si="50"/>
        <v>1.7469508946667732E-6</v>
      </c>
    </row>
    <row r="1006" spans="21:24">
      <c r="U1006" s="3">
        <v>49.8</v>
      </c>
      <c r="V1006" s="4">
        <f t="shared" si="49"/>
        <v>4.1559924138766182E-7</v>
      </c>
      <c r="W1006" s="3">
        <f t="shared" si="51"/>
        <v>2</v>
      </c>
      <c r="X1006" s="3">
        <f t="shared" si="50"/>
        <v>8.3119848277532364E-7</v>
      </c>
    </row>
    <row r="1007" spans="21:24">
      <c r="U1007" s="3">
        <v>49.85</v>
      </c>
      <c r="V1007" s="4">
        <f t="shared" si="49"/>
        <v>3.9541740506594722E-7</v>
      </c>
      <c r="W1007" s="3">
        <f t="shared" si="51"/>
        <v>4</v>
      </c>
      <c r="X1007" s="3">
        <f t="shared" si="50"/>
        <v>1.5816696202637889E-6</v>
      </c>
    </row>
    <row r="1008" spans="21:24">
      <c r="U1008" s="3">
        <v>49.9</v>
      </c>
      <c r="V1008" s="4">
        <f t="shared" si="49"/>
        <v>3.7615216471834578E-7</v>
      </c>
      <c r="W1008" s="3">
        <f t="shared" si="51"/>
        <v>2</v>
      </c>
      <c r="X1008" s="3">
        <f t="shared" si="50"/>
        <v>7.5230432943669156E-7</v>
      </c>
    </row>
    <row r="1009" spans="21:24">
      <c r="U1009" s="3">
        <v>49.95</v>
      </c>
      <c r="V1009" s="4">
        <f t="shared" si="49"/>
        <v>3.5776499816370475E-7</v>
      </c>
      <c r="W1009" s="3">
        <f t="shared" si="51"/>
        <v>4</v>
      </c>
      <c r="X1009" s="3">
        <f t="shared" si="50"/>
        <v>1.431059992654819E-6</v>
      </c>
    </row>
    <row r="1010" spans="21:24">
      <c r="U1010" s="3">
        <v>50</v>
      </c>
      <c r="V1010" s="4">
        <f t="shared" si="49"/>
        <v>3.4021885912287547E-7</v>
      </c>
      <c r="W1010" s="3">
        <f t="shared" si="51"/>
        <v>2</v>
      </c>
      <c r="X1010" s="3">
        <f t="shared" si="50"/>
        <v>6.8043771824575094E-7</v>
      </c>
    </row>
    <row r="1011" spans="21:24">
      <c r="U1011" s="3">
        <v>50.05</v>
      </c>
      <c r="V1011" s="4">
        <f t="shared" si="49"/>
        <v>3.2347812682820204E-7</v>
      </c>
      <c r="W1011" s="3">
        <f t="shared" si="51"/>
        <v>4</v>
      </c>
      <c r="X1011" s="3">
        <f t="shared" si="50"/>
        <v>1.2939125073128082E-6</v>
      </c>
    </row>
    <row r="1012" spans="21:24">
      <c r="U1012" s="3">
        <v>50.1</v>
      </c>
      <c r="V1012" s="4">
        <f t="shared" si="49"/>
        <v>3.0750855710841311E-7</v>
      </c>
      <c r="W1012" s="3">
        <f t="shared" si="51"/>
        <v>2</v>
      </c>
      <c r="X1012" s="3">
        <f t="shared" si="50"/>
        <v>6.1501711421682622E-7</v>
      </c>
    </row>
    <row r="1013" spans="21:24">
      <c r="U1013" s="3">
        <v>50.15</v>
      </c>
      <c r="V1013" s="4">
        <f t="shared" si="49"/>
        <v>2.9227723491369327E-7</v>
      </c>
      <c r="W1013" s="3">
        <f t="shared" si="51"/>
        <v>4</v>
      </c>
      <c r="X1013" s="3">
        <f t="shared" si="50"/>
        <v>1.1691089396547731E-6</v>
      </c>
    </row>
    <row r="1014" spans="21:24">
      <c r="U1014" s="3">
        <v>50.2</v>
      </c>
      <c r="V1014" s="4">
        <f t="shared" si="49"/>
        <v>2.7775252824839386E-7</v>
      </c>
      <c r="W1014" s="3">
        <f t="shared" si="51"/>
        <v>2</v>
      </c>
      <c r="X1014" s="3">
        <f t="shared" si="50"/>
        <v>5.5550505649678772E-7</v>
      </c>
    </row>
    <row r="1015" spans="21:24">
      <c r="U1015" s="3">
        <v>50.25</v>
      </c>
      <c r="V1015" s="4">
        <f t="shared" si="49"/>
        <v>2.639040434774103E-7</v>
      </c>
      <c r="W1015" s="3">
        <f t="shared" si="51"/>
        <v>4</v>
      </c>
      <c r="X1015" s="3">
        <f t="shared" si="50"/>
        <v>1.0556161739096412E-6</v>
      </c>
    </row>
    <row r="1016" spans="21:24">
      <c r="U1016" s="3">
        <v>50.3</v>
      </c>
      <c r="V1016" s="4">
        <f t="shared" si="49"/>
        <v>2.5070258197390528E-7</v>
      </c>
      <c r="W1016" s="3">
        <f t="shared" si="51"/>
        <v>2</v>
      </c>
      <c r="X1016" s="3">
        <f t="shared" si="50"/>
        <v>5.0140516394781056E-7</v>
      </c>
    </row>
    <row r="1017" spans="21:24">
      <c r="U1017" s="3">
        <v>50.35</v>
      </c>
      <c r="V1017" s="4">
        <f t="shared" si="49"/>
        <v>2.3812009807602703E-7</v>
      </c>
      <c r="W1017" s="3">
        <f t="shared" si="51"/>
        <v>4</v>
      </c>
      <c r="X1017" s="3">
        <f t="shared" si="50"/>
        <v>9.5248039230410813E-7</v>
      </c>
    </row>
    <row r="1018" spans="21:24">
      <c r="U1018" s="3">
        <v>50.4</v>
      </c>
      <c r="V1018" s="4">
        <f t="shared" si="49"/>
        <v>2.2612965832096789E-7</v>
      </c>
      <c r="W1018" s="3">
        <f t="shared" si="51"/>
        <v>2</v>
      </c>
      <c r="X1018" s="3">
        <f t="shared" si="50"/>
        <v>4.5225931664193579E-7</v>
      </c>
    </row>
    <row r="1019" spans="21:24">
      <c r="U1019" s="3">
        <v>50.45</v>
      </c>
      <c r="V1019" s="4">
        <f t="shared" si="49"/>
        <v>2.1470540192513014E-7</v>
      </c>
      <c r="W1019" s="3">
        <f t="shared" si="51"/>
        <v>4</v>
      </c>
      <c r="X1019" s="3">
        <f t="shared" si="50"/>
        <v>8.5882160770052056E-7</v>
      </c>
    </row>
    <row r="1020" spans="21:24">
      <c r="U1020" s="3">
        <v>50.5</v>
      </c>
      <c r="V1020" s="4">
        <f t="shared" si="49"/>
        <v>2.0382250247970944E-7</v>
      </c>
      <c r="W1020" s="3">
        <f t="shared" si="51"/>
        <v>2</v>
      </c>
      <c r="X1020" s="3">
        <f t="shared" si="50"/>
        <v>4.0764500495941888E-7</v>
      </c>
    </row>
    <row r="1021" spans="21:24">
      <c r="U1021" s="3">
        <v>50.55</v>
      </c>
      <c r="V1021" s="4">
        <f t="shared" si="49"/>
        <v>1.9345713083149765E-7</v>
      </c>
      <c r="W1021" s="3">
        <f t="shared" si="51"/>
        <v>4</v>
      </c>
      <c r="X1021" s="3">
        <f t="shared" si="50"/>
        <v>7.7382852332599061E-7</v>
      </c>
    </row>
    <row r="1022" spans="21:24">
      <c r="U1022" s="3">
        <v>50.6</v>
      </c>
      <c r="V1022" s="4">
        <f t="shared" si="49"/>
        <v>1.8358641911912523E-7</v>
      </c>
      <c r="W1022" s="3">
        <f t="shared" si="51"/>
        <v>2</v>
      </c>
      <c r="X1022" s="3">
        <f t="shared" si="50"/>
        <v>3.6717283823825046E-7</v>
      </c>
    </row>
    <row r="1023" spans="21:24">
      <c r="U1023" s="3">
        <v>50.65</v>
      </c>
      <c r="V1023" s="4">
        <f t="shared" si="49"/>
        <v>1.7418842593564147E-7</v>
      </c>
      <c r="W1023" s="3">
        <f t="shared" si="51"/>
        <v>4</v>
      </c>
      <c r="X1023" s="3">
        <f t="shared" si="50"/>
        <v>6.9675370374256586E-7</v>
      </c>
    </row>
    <row r="1024" spans="21:24">
      <c r="U1024" s="3">
        <v>50.7</v>
      </c>
      <c r="V1024" s="4">
        <f t="shared" si="49"/>
        <v>1.6524210258864636E-7</v>
      </c>
      <c r="W1024" s="3">
        <f t="shared" si="51"/>
        <v>2</v>
      </c>
      <c r="X1024" s="3">
        <f t="shared" si="50"/>
        <v>3.3048420517729272E-7</v>
      </c>
    </row>
    <row r="1025" spans="21:24">
      <c r="U1025" s="3">
        <v>50.75</v>
      </c>
      <c r="V1025" s="4">
        <f t="shared" si="49"/>
        <v>1.5672726042978575E-7</v>
      </c>
      <c r="W1025" s="3">
        <f t="shared" si="51"/>
        <v>4</v>
      </c>
      <c r="X1025" s="3">
        <f t="shared" si="50"/>
        <v>6.26909041719143E-7</v>
      </c>
    </row>
    <row r="1026" spans="21:24">
      <c r="U1026" s="3">
        <v>50.8</v>
      </c>
      <c r="V1026" s="4">
        <f t="shared" si="49"/>
        <v>1.4862453922590786E-7</v>
      </c>
      <c r="W1026" s="3">
        <f t="shared" si="51"/>
        <v>2</v>
      </c>
      <c r="X1026" s="3">
        <f t="shared" si="50"/>
        <v>2.9724907845181572E-7</v>
      </c>
    </row>
    <row r="1027" spans="21:24">
      <c r="U1027" s="3">
        <v>50.85</v>
      </c>
      <c r="V1027" s="4">
        <f t="shared" si="49"/>
        <v>1.4091537654465796E-7</v>
      </c>
      <c r="W1027" s="3">
        <f t="shared" si="51"/>
        <v>4</v>
      </c>
      <c r="X1027" s="3">
        <f t="shared" si="50"/>
        <v>5.6366150617863185E-7</v>
      </c>
    </row>
    <row r="1028" spans="21:24">
      <c r="U1028" s="3">
        <v>50.9</v>
      </c>
      <c r="V1028" s="4">
        <f t="shared" si="49"/>
        <v>1.3358197812779362E-7</v>
      </c>
      <c r="W1028" s="3">
        <f t="shared" si="51"/>
        <v>2</v>
      </c>
      <c r="X1028" s="3">
        <f t="shared" si="50"/>
        <v>2.6716395625558724E-7</v>
      </c>
    </row>
    <row r="1029" spans="21:24">
      <c r="U1029" s="3">
        <v>50.95</v>
      </c>
      <c r="V1029" s="4">
        <f t="shared" si="49"/>
        <v>1.2660728922601968E-7</v>
      </c>
      <c r="W1029" s="3">
        <f t="shared" si="51"/>
        <v>4</v>
      </c>
      <c r="X1029" s="3">
        <f t="shared" si="50"/>
        <v>5.0642915690407874E-7</v>
      </c>
    </row>
    <row r="1030" spans="21:24">
      <c r="U1030" s="3">
        <v>51</v>
      </c>
      <c r="V1030" s="4">
        <f t="shared" si="49"/>
        <v>1.1997496686956185E-7</v>
      </c>
      <c r="W1030" s="3">
        <f t="shared" si="51"/>
        <v>2</v>
      </c>
      <c r="X1030" s="3">
        <f t="shared" si="50"/>
        <v>2.399499337391237E-7</v>
      </c>
    </row>
    <row r="1031" spans="21:24">
      <c r="U1031" s="3">
        <v>51.05</v>
      </c>
      <c r="V1031" s="4">
        <f t="shared" si="49"/>
        <v>1.1366935304924019E-7</v>
      </c>
      <c r="W1031" s="3">
        <f t="shared" si="51"/>
        <v>4</v>
      </c>
      <c r="X1031" s="3">
        <f t="shared" si="50"/>
        <v>4.5467741219696076E-7</v>
      </c>
    </row>
    <row r="1032" spans="21:24">
      <c r="U1032" s="3">
        <v>51.1</v>
      </c>
      <c r="V1032" s="4">
        <f t="shared" si="49"/>
        <v>1.0767544878346492E-7</v>
      </c>
      <c r="W1032" s="3">
        <f t="shared" si="51"/>
        <v>2</v>
      </c>
      <c r="X1032" s="3">
        <f t="shared" si="50"/>
        <v>2.1535089756692985E-7</v>
      </c>
    </row>
    <row r="1033" spans="21:24">
      <c r="U1033" s="3">
        <v>51.15</v>
      </c>
      <c r="V1033" s="4">
        <f t="shared" si="49"/>
        <v>1.0197888904650297E-7</v>
      </c>
      <c r="W1033" s="3">
        <f t="shared" si="51"/>
        <v>4</v>
      </c>
      <c r="X1033" s="3">
        <f t="shared" si="50"/>
        <v>4.0791555618601187E-7</v>
      </c>
    </row>
    <row r="1034" spans="21:24">
      <c r="U1034" s="3">
        <v>51.2</v>
      </c>
      <c r="V1034" s="4">
        <f t="shared" si="49"/>
        <v>9.6565918534644046E-8</v>
      </c>
      <c r="W1034" s="3">
        <f t="shared" si="51"/>
        <v>2</v>
      </c>
      <c r="X1034" s="3">
        <f t="shared" si="50"/>
        <v>1.9313183706928809E-7</v>
      </c>
    </row>
    <row r="1035" spans="21:24">
      <c r="U1035" s="3">
        <v>51.25</v>
      </c>
      <c r="V1035" s="4">
        <f t="shared" ref="V1035:V1098" si="52">EXP(-(B$3*(70+U1035)+0.5*B$4*((70+U1035)^2)+(B$5/LN(B$6))*((B$6^(70+U1035))-1)))</f>
        <v>9.1423368246672679E-8</v>
      </c>
      <c r="W1035" s="3">
        <f t="shared" si="51"/>
        <v>4</v>
      </c>
      <c r="X1035" s="3">
        <f t="shared" ref="X1035:X1098" si="53">V1035*W1035</f>
        <v>3.6569347298669072E-7</v>
      </c>
    </row>
    <row r="1036" spans="21:24">
      <c r="U1036" s="3">
        <v>51.3</v>
      </c>
      <c r="V1036" s="4">
        <f t="shared" si="52"/>
        <v>8.6538632855941411E-8</v>
      </c>
      <c r="W1036" s="3">
        <f t="shared" si="51"/>
        <v>2</v>
      </c>
      <c r="X1036" s="3">
        <f t="shared" si="53"/>
        <v>1.7307726571188282E-7</v>
      </c>
    </row>
    <row r="1037" spans="21:24">
      <c r="U1037" s="3">
        <v>51.35</v>
      </c>
      <c r="V1037" s="4">
        <f t="shared" si="52"/>
        <v>8.1899648851634023E-8</v>
      </c>
      <c r="W1037" s="3">
        <f t="shared" ref="W1037:W1100" si="54">IF(W1036=4,2,4)</f>
        <v>4</v>
      </c>
      <c r="X1037" s="3">
        <f t="shared" si="53"/>
        <v>3.2759859540653609E-7</v>
      </c>
    </row>
    <row r="1038" spans="21:24">
      <c r="U1038" s="3">
        <v>51.4</v>
      </c>
      <c r="V1038" s="4">
        <f t="shared" si="52"/>
        <v>7.7494873427329256E-8</v>
      </c>
      <c r="W1038" s="3">
        <f t="shared" si="54"/>
        <v>2</v>
      </c>
      <c r="X1038" s="3">
        <f t="shared" si="53"/>
        <v>1.5498974685465851E-7</v>
      </c>
    </row>
    <row r="1039" spans="21:24">
      <c r="U1039" s="3">
        <v>51.45</v>
      </c>
      <c r="V1039" s="4">
        <f t="shared" si="52"/>
        <v>7.3313264095438479E-8</v>
      </c>
      <c r="W1039" s="3">
        <f t="shared" si="54"/>
        <v>4</v>
      </c>
      <c r="X1039" s="3">
        <f t="shared" si="53"/>
        <v>2.9325305638175391E-7</v>
      </c>
    </row>
    <row r="1040" spans="21:24">
      <c r="U1040" s="3">
        <v>51.5</v>
      </c>
      <c r="V1040" s="4">
        <f t="shared" si="52"/>
        <v>6.9344259006534213E-8</v>
      </c>
      <c r="W1040" s="3">
        <f t="shared" si="54"/>
        <v>2</v>
      </c>
      <c r="X1040" s="3">
        <f t="shared" si="53"/>
        <v>1.3868851801306843E-7</v>
      </c>
    </row>
    <row r="1041" spans="21:24">
      <c r="U1041" s="3">
        <v>51.55</v>
      </c>
      <c r="V1041" s="4">
        <f t="shared" si="52"/>
        <v>6.5577757953049244E-8</v>
      </c>
      <c r="W1041" s="3">
        <f t="shared" si="54"/>
        <v>4</v>
      </c>
      <c r="X1041" s="3">
        <f t="shared" si="53"/>
        <v>2.6231103181219698E-7</v>
      </c>
    </row>
    <row r="1042" spans="21:24">
      <c r="U1042" s="3">
        <v>51.6</v>
      </c>
      <c r="V1042" s="4">
        <f t="shared" si="52"/>
        <v>6.2004104037290583E-8</v>
      </c>
      <c r="W1042" s="3">
        <f t="shared" si="54"/>
        <v>2</v>
      </c>
      <c r="X1042" s="3">
        <f t="shared" si="53"/>
        <v>1.2400820807458117E-7</v>
      </c>
    </row>
    <row r="1043" spans="21:24">
      <c r="U1043" s="3">
        <v>51.65</v>
      </c>
      <c r="V1043" s="4">
        <f t="shared" si="52"/>
        <v>5.8614065984111772E-8</v>
      </c>
      <c r="W1043" s="3">
        <f t="shared" si="54"/>
        <v>4</v>
      </c>
      <c r="X1043" s="3">
        <f t="shared" si="53"/>
        <v>2.3445626393644709E-7</v>
      </c>
    </row>
    <row r="1044" spans="21:24">
      <c r="U1044" s="3">
        <v>51.7</v>
      </c>
      <c r="V1044" s="4">
        <f t="shared" si="52"/>
        <v>5.539882107910279E-8</v>
      </c>
      <c r="W1044" s="3">
        <f t="shared" si="54"/>
        <v>2</v>
      </c>
      <c r="X1044" s="3">
        <f t="shared" si="53"/>
        <v>1.1079764215820558E-7</v>
      </c>
    </row>
    <row r="1045" spans="21:24">
      <c r="U1045" s="3">
        <v>51.75</v>
      </c>
      <c r="V1045" s="4">
        <f t="shared" si="52"/>
        <v>5.234993871351647E-8</v>
      </c>
      <c r="W1045" s="3">
        <f t="shared" si="54"/>
        <v>4</v>
      </c>
      <c r="X1045" s="3">
        <f t="shared" si="53"/>
        <v>2.0939975485406588E-7</v>
      </c>
    </row>
    <row r="1046" spans="21:24">
      <c r="U1046" s="3">
        <v>51.8</v>
      </c>
      <c r="V1046" s="4">
        <f t="shared" si="52"/>
        <v>4.9459364517629341E-8</v>
      </c>
      <c r="W1046" s="3">
        <f t="shared" si="54"/>
        <v>2</v>
      </c>
      <c r="X1046" s="3">
        <f t="shared" si="53"/>
        <v>9.8918729035258683E-8</v>
      </c>
    </row>
    <row r="1047" spans="21:24">
      <c r="U1047" s="3">
        <v>51.85</v>
      </c>
      <c r="V1047" s="4">
        <f t="shared" si="52"/>
        <v>4.6719405064644889E-8</v>
      </c>
      <c r="W1047" s="3">
        <f t="shared" si="54"/>
        <v>4</v>
      </c>
      <c r="X1047" s="3">
        <f t="shared" si="53"/>
        <v>1.8687762025857956E-7</v>
      </c>
    </row>
    <row r="1048" spans="21:24">
      <c r="U1048" s="3">
        <v>51.9</v>
      </c>
      <c r="V1048" s="4">
        <f t="shared" si="52"/>
        <v>4.4122713127666078E-8</v>
      </c>
      <c r="W1048" s="3">
        <f t="shared" si="54"/>
        <v>2</v>
      </c>
      <c r="X1048" s="3">
        <f t="shared" si="53"/>
        <v>8.8245426255332157E-8</v>
      </c>
    </row>
    <row r="1049" spans="21:24">
      <c r="U1049" s="3">
        <v>51.95</v>
      </c>
      <c r="V1049" s="4">
        <f t="shared" si="52"/>
        <v>4.1662273472689936E-8</v>
      </c>
      <c r="W1049" s="3">
        <f t="shared" si="54"/>
        <v>4</v>
      </c>
      <c r="X1049" s="3">
        <f t="shared" si="53"/>
        <v>1.6664909389075974E-7</v>
      </c>
    </row>
    <row r="1050" spans="21:24">
      <c r="U1050" s="3">
        <v>52</v>
      </c>
      <c r="V1050" s="4">
        <f t="shared" si="52"/>
        <v>3.9331389170963461E-8</v>
      </c>
      <c r="W1050" s="3">
        <f t="shared" si="54"/>
        <v>2</v>
      </c>
      <c r="X1050" s="3">
        <f t="shared" si="53"/>
        <v>7.8662778341926921E-8</v>
      </c>
    </row>
    <row r="1051" spans="21:24">
      <c r="U1051" s="3">
        <v>52.05</v>
      </c>
      <c r="V1051" s="4">
        <f t="shared" si="52"/>
        <v>3.7123668414456816E-8</v>
      </c>
      <c r="W1051" s="3">
        <f t="shared" si="54"/>
        <v>4</v>
      </c>
      <c r="X1051" s="3">
        <f t="shared" si="53"/>
        <v>1.4849467365782727E-7</v>
      </c>
    </row>
    <row r="1052" spans="21:24">
      <c r="U1052" s="3">
        <v>52.1</v>
      </c>
      <c r="V1052" s="4">
        <f t="shared" si="52"/>
        <v>3.5033011818678665E-8</v>
      </c>
      <c r="W1052" s="3">
        <f t="shared" si="54"/>
        <v>2</v>
      </c>
      <c r="X1052" s="3">
        <f t="shared" si="53"/>
        <v>7.006602363735733E-8</v>
      </c>
    </row>
    <row r="1053" spans="21:24">
      <c r="U1053" s="3">
        <v>52.15</v>
      </c>
      <c r="V1053" s="4">
        <f t="shared" si="52"/>
        <v>3.3053600197241572E-8</v>
      </c>
      <c r="W1053" s="3">
        <f t="shared" si="54"/>
        <v>4</v>
      </c>
      <c r="X1053" s="3">
        <f t="shared" si="53"/>
        <v>1.3221440078896629E-7</v>
      </c>
    </row>
    <row r="1054" spans="21:24">
      <c r="U1054" s="3">
        <v>52.2</v>
      </c>
      <c r="V1054" s="4">
        <f t="shared" si="52"/>
        <v>3.117988279326814E-8</v>
      </c>
      <c r="W1054" s="3">
        <f t="shared" si="54"/>
        <v>2</v>
      </c>
      <c r="X1054" s="3">
        <f t="shared" si="53"/>
        <v>6.2359765586536281E-8</v>
      </c>
    </row>
    <row r="1055" spans="21:24">
      <c r="U1055" s="3">
        <v>52.25</v>
      </c>
      <c r="V1055" s="4">
        <f t="shared" si="52"/>
        <v>2.9406565952851215E-8</v>
      </c>
      <c r="W1055" s="3">
        <f t="shared" si="54"/>
        <v>4</v>
      </c>
      <c r="X1055" s="3">
        <f t="shared" si="53"/>
        <v>1.1762626381140486E-7</v>
      </c>
    </row>
    <row r="1056" spans="21:24">
      <c r="U1056" s="3">
        <v>52.3</v>
      </c>
      <c r="V1056" s="4">
        <f t="shared" si="52"/>
        <v>2.7728602226309156E-8</v>
      </c>
      <c r="W1056" s="3">
        <f t="shared" si="54"/>
        <v>2</v>
      </c>
      <c r="X1056" s="3">
        <f t="shared" si="53"/>
        <v>5.5457204452618313E-8</v>
      </c>
    </row>
    <row r="1057" spans="21:24">
      <c r="U1057" s="3">
        <v>52.35</v>
      </c>
      <c r="V1057" s="4">
        <f t="shared" si="52"/>
        <v>2.6141179883280346E-8</v>
      </c>
      <c r="W1057" s="3">
        <f t="shared" si="54"/>
        <v>4</v>
      </c>
      <c r="X1057" s="3">
        <f t="shared" si="53"/>
        <v>1.0456471953312138E-7</v>
      </c>
    </row>
    <row r="1058" spans="21:24">
      <c r="U1058" s="3">
        <v>52.4</v>
      </c>
      <c r="V1058" s="4">
        <f t="shared" si="52"/>
        <v>2.4639712828087668E-8</v>
      </c>
      <c r="W1058" s="3">
        <f t="shared" si="54"/>
        <v>2</v>
      </c>
      <c r="X1058" s="3">
        <f t="shared" si="53"/>
        <v>4.9279425656175335E-8</v>
      </c>
    </row>
    <row r="1059" spans="21:24">
      <c r="U1059" s="3">
        <v>52.45</v>
      </c>
      <c r="V1059" s="4">
        <f t="shared" si="52"/>
        <v>2.321983090215371E-8</v>
      </c>
      <c r="W1059" s="3">
        <f t="shared" si="54"/>
        <v>4</v>
      </c>
      <c r="X1059" s="3">
        <f t="shared" si="53"/>
        <v>9.2879323608614839E-8</v>
      </c>
    </row>
    <row r="1060" spans="21:24">
      <c r="U1060" s="3">
        <v>52.5</v>
      </c>
      <c r="V1060" s="4">
        <f t="shared" si="52"/>
        <v>2.1877370560601497E-8</v>
      </c>
      <c r="W1060" s="3">
        <f t="shared" si="54"/>
        <v>2</v>
      </c>
      <c r="X1060" s="3">
        <f t="shared" si="53"/>
        <v>4.3754741121202994E-8</v>
      </c>
    </row>
    <row r="1061" spans="21:24">
      <c r="U1061" s="3">
        <v>52.55</v>
      </c>
      <c r="V1061" s="4">
        <f t="shared" si="52"/>
        <v>2.0608365910520825E-8</v>
      </c>
      <c r="W1061" s="3">
        <f t="shared" si="54"/>
        <v>4</v>
      </c>
      <c r="X1061" s="3">
        <f t="shared" si="53"/>
        <v>8.24334636420833E-8</v>
      </c>
    </row>
    <row r="1062" spans="21:24">
      <c r="U1062" s="3">
        <v>52.6</v>
      </c>
      <c r="V1062" s="4">
        <f t="shared" si="52"/>
        <v>1.9409040098710438E-8</v>
      </c>
      <c r="W1062" s="3">
        <f t="shared" si="54"/>
        <v>2</v>
      </c>
      <c r="X1062" s="3">
        <f t="shared" si="53"/>
        <v>3.8818080197420877E-8</v>
      </c>
    </row>
    <row r="1063" spans="21:24">
      <c r="U1063" s="3">
        <v>52.65</v>
      </c>
      <c r="V1063" s="4">
        <f t="shared" si="52"/>
        <v>1.8275797037059282E-8</v>
      </c>
      <c r="W1063" s="3">
        <f t="shared" si="54"/>
        <v>4</v>
      </c>
      <c r="X1063" s="3">
        <f t="shared" si="53"/>
        <v>7.3103188148237128E-8</v>
      </c>
    </row>
    <row r="1064" spans="21:24">
      <c r="U1064" s="3">
        <v>52.7</v>
      </c>
      <c r="V1064" s="4">
        <f t="shared" si="52"/>
        <v>1.7205213454034167E-8</v>
      </c>
      <c r="W1064" s="3">
        <f t="shared" si="54"/>
        <v>2</v>
      </c>
      <c r="X1064" s="3">
        <f t="shared" si="53"/>
        <v>3.4410426908068333E-8</v>
      </c>
    </row>
    <row r="1065" spans="21:24">
      <c r="U1065" s="3">
        <v>52.75</v>
      </c>
      <c r="V1065" s="4">
        <f t="shared" si="52"/>
        <v>1.6194031261077308E-8</v>
      </c>
      <c r="W1065" s="3">
        <f t="shared" si="54"/>
        <v>4</v>
      </c>
      <c r="X1065" s="3">
        <f t="shared" si="53"/>
        <v>6.4776125044309234E-8</v>
      </c>
    </row>
    <row r="1066" spans="21:24">
      <c r="U1066" s="3">
        <v>52.8</v>
      </c>
      <c r="V1066" s="4">
        <f t="shared" si="52"/>
        <v>1.5239150223025346E-8</v>
      </c>
      <c r="W1066" s="3">
        <f t="shared" si="54"/>
        <v>2</v>
      </c>
      <c r="X1066" s="3">
        <f t="shared" si="53"/>
        <v>3.0478300446050693E-8</v>
      </c>
    </row>
    <row r="1067" spans="21:24">
      <c r="U1067" s="3">
        <v>52.85</v>
      </c>
      <c r="V1067" s="4">
        <f t="shared" si="52"/>
        <v>1.4337620921972389E-8</v>
      </c>
      <c r="W1067" s="3">
        <f t="shared" si="54"/>
        <v>4</v>
      </c>
      <c r="X1067" s="3">
        <f t="shared" si="53"/>
        <v>5.7350483687889557E-8</v>
      </c>
    </row>
    <row r="1068" spans="21:24">
      <c r="U1068" s="3">
        <v>52.9</v>
      </c>
      <c r="V1068" s="4">
        <f t="shared" si="52"/>
        <v>1.3486638004300094E-8</v>
      </c>
      <c r="W1068" s="3">
        <f t="shared" si="54"/>
        <v>2</v>
      </c>
      <c r="X1068" s="3">
        <f t="shared" si="53"/>
        <v>2.6973276008600188E-8</v>
      </c>
    </row>
    <row r="1069" spans="21:24">
      <c r="U1069" s="3">
        <v>52.95</v>
      </c>
      <c r="V1069" s="4">
        <f t="shared" si="52"/>
        <v>1.2683533700899445E-8</v>
      </c>
      <c r="W1069" s="3">
        <f t="shared" si="54"/>
        <v>4</v>
      </c>
      <c r="X1069" s="3">
        <f t="shared" si="53"/>
        <v>5.0734134803597779E-8</v>
      </c>
    </row>
    <row r="1070" spans="21:24">
      <c r="U1070" s="3">
        <v>53</v>
      </c>
      <c r="V1070" s="4">
        <f t="shared" si="52"/>
        <v>1.1925771610889454E-8</v>
      </c>
      <c r="W1070" s="3">
        <f t="shared" si="54"/>
        <v>2</v>
      </c>
      <c r="X1070" s="3">
        <f t="shared" si="53"/>
        <v>2.3851543221778909E-8</v>
      </c>
    </row>
    <row r="1071" spans="21:24">
      <c r="U1071" s="3">
        <v>53.05</v>
      </c>
      <c r="V1071" s="4">
        <f t="shared" si="52"/>
        <v>1.1210940739428167E-8</v>
      </c>
      <c r="W1071" s="3">
        <f t="shared" si="54"/>
        <v>4</v>
      </c>
      <c r="X1071" s="3">
        <f t="shared" si="53"/>
        <v>4.4843762957712669E-8</v>
      </c>
    </row>
    <row r="1072" spans="21:24">
      <c r="U1072" s="3">
        <v>53.1</v>
      </c>
      <c r="V1072" s="4">
        <f t="shared" si="52"/>
        <v>1.0536749780512015E-8</v>
      </c>
      <c r="W1072" s="3">
        <f t="shared" si="54"/>
        <v>2</v>
      </c>
      <c r="X1072" s="3">
        <f t="shared" si="53"/>
        <v>2.107349956102403E-8</v>
      </c>
    </row>
    <row r="1073" spans="21:24">
      <c r="U1073" s="3">
        <v>53.15</v>
      </c>
      <c r="V1073" s="4">
        <f t="shared" si="52"/>
        <v>9.9010216358655694E-9</v>
      </c>
      <c r="W1073" s="3">
        <f t="shared" si="54"/>
        <v>4</v>
      </c>
      <c r="X1073" s="3">
        <f t="shared" si="53"/>
        <v>3.9604086543462278E-8</v>
      </c>
    </row>
    <row r="1074" spans="21:24">
      <c r="U1074" s="3">
        <v>53.2</v>
      </c>
      <c r="V1074" s="4">
        <f t="shared" si="52"/>
        <v>9.3016881613833322E-9</v>
      </c>
      <c r="W1074" s="3">
        <f t="shared" si="54"/>
        <v>2</v>
      </c>
      <c r="X1074" s="3">
        <f t="shared" si="53"/>
        <v>1.8603376322766664E-8</v>
      </c>
    </row>
    <row r="1075" spans="21:24">
      <c r="U1075" s="3">
        <v>53.25</v>
      </c>
      <c r="V1075" s="4">
        <f t="shared" si="52"/>
        <v>8.7367851327655076E-9</v>
      </c>
      <c r="W1075" s="3">
        <f t="shared" si="54"/>
        <v>4</v>
      </c>
      <c r="X1075" s="3">
        <f t="shared" si="53"/>
        <v>3.494714053106203E-8</v>
      </c>
    </row>
    <row r="1076" spans="21:24">
      <c r="U1076" s="3">
        <v>53.3</v>
      </c>
      <c r="V1076" s="4">
        <f t="shared" si="52"/>
        <v>8.204447422292614E-9</v>
      </c>
      <c r="W1076" s="3">
        <f t="shared" si="54"/>
        <v>2</v>
      </c>
      <c r="X1076" s="3">
        <f t="shared" si="53"/>
        <v>1.6408894844585228E-8</v>
      </c>
    </row>
    <row r="1077" spans="21:24">
      <c r="U1077" s="3">
        <v>53.35</v>
      </c>
      <c r="V1077" s="4">
        <f t="shared" si="52"/>
        <v>7.7029043789107578E-9</v>
      </c>
      <c r="W1077" s="3">
        <f t="shared" si="54"/>
        <v>4</v>
      </c>
      <c r="X1077" s="3">
        <f t="shared" si="53"/>
        <v>3.0811617515643031E-8</v>
      </c>
    </row>
    <row r="1078" spans="21:24">
      <c r="U1078" s="3">
        <v>53.4</v>
      </c>
      <c r="V1078" s="4">
        <f t="shared" si="52"/>
        <v>7.2304754040523589E-9</v>
      </c>
      <c r="W1078" s="3">
        <f t="shared" si="54"/>
        <v>2</v>
      </c>
      <c r="X1078" s="3">
        <f t="shared" si="53"/>
        <v>1.4460950808104718E-8</v>
      </c>
    </row>
    <row r="1079" spans="21:24">
      <c r="U1079" s="3">
        <v>53.45</v>
      </c>
      <c r="V1079" s="4">
        <f t="shared" si="52"/>
        <v>6.7855657158513242E-9</v>
      </c>
      <c r="W1079" s="3">
        <f t="shared" si="54"/>
        <v>4</v>
      </c>
      <c r="X1079" s="3">
        <f t="shared" si="53"/>
        <v>2.7142262863405297E-8</v>
      </c>
    </row>
    <row r="1080" spans="21:24">
      <c r="U1080" s="3">
        <v>53.5</v>
      </c>
      <c r="V1080" s="4">
        <f t="shared" si="52"/>
        <v>6.3666622946448624E-9</v>
      </c>
      <c r="W1080" s="3">
        <f t="shared" si="54"/>
        <v>2</v>
      </c>
      <c r="X1080" s="3">
        <f t="shared" si="53"/>
        <v>1.2733324589289725E-8</v>
      </c>
    </row>
    <row r="1081" spans="21:24">
      <c r="U1081" s="3">
        <v>53.55</v>
      </c>
      <c r="V1081" s="4">
        <f t="shared" si="52"/>
        <v>5.9723300028808349E-9</v>
      </c>
      <c r="W1081" s="3">
        <f t="shared" si="54"/>
        <v>4</v>
      </c>
      <c r="X1081" s="3">
        <f t="shared" si="53"/>
        <v>2.388932001152334E-8</v>
      </c>
    </row>
    <row r="1082" spans="21:24">
      <c r="U1082" s="3">
        <v>53.6</v>
      </c>
      <c r="V1082" s="4">
        <f t="shared" si="52"/>
        <v>5.6012078727713195E-9</v>
      </c>
      <c r="W1082" s="3">
        <f t="shared" si="54"/>
        <v>2</v>
      </c>
      <c r="X1082" s="3">
        <f t="shared" si="53"/>
        <v>1.1202415745542639E-8</v>
      </c>
    </row>
    <row r="1083" spans="21:24">
      <c r="U1083" s="3">
        <v>53.65</v>
      </c>
      <c r="V1083" s="4">
        <f t="shared" si="52"/>
        <v>5.2520055552460131E-9</v>
      </c>
      <c r="W1083" s="3">
        <f t="shared" si="54"/>
        <v>4</v>
      </c>
      <c r="X1083" s="3">
        <f t="shared" si="53"/>
        <v>2.1008022220984052E-8</v>
      </c>
    </row>
    <row r="1084" spans="21:24">
      <c r="U1084" s="3">
        <v>53.7</v>
      </c>
      <c r="V1084" s="4">
        <f t="shared" si="52"/>
        <v>4.9234999239749088E-9</v>
      </c>
      <c r="W1084" s="3">
        <f t="shared" si="54"/>
        <v>2</v>
      </c>
      <c r="X1084" s="3">
        <f t="shared" si="53"/>
        <v>9.8469998479498175E-9</v>
      </c>
    </row>
    <row r="1085" spans="21:24">
      <c r="U1085" s="3">
        <v>53.75</v>
      </c>
      <c r="V1085" s="4">
        <f t="shared" si="52"/>
        <v>4.6145318284291926E-9</v>
      </c>
      <c r="W1085" s="3">
        <f t="shared" si="54"/>
        <v>4</v>
      </c>
      <c r="X1085" s="3">
        <f t="shared" si="53"/>
        <v>1.845812731371677E-8</v>
      </c>
    </row>
    <row r="1086" spans="21:24">
      <c r="U1086" s="3">
        <v>53.8</v>
      </c>
      <c r="V1086" s="4">
        <f t="shared" si="52"/>
        <v>4.3240029901527569E-9</v>
      </c>
      <c r="W1086" s="3">
        <f t="shared" si="54"/>
        <v>2</v>
      </c>
      <c r="X1086" s="3">
        <f t="shared" si="53"/>
        <v>8.6480059803055139E-9</v>
      </c>
    </row>
    <row r="1087" spans="21:24">
      <c r="U1087" s="3">
        <v>53.85</v>
      </c>
      <c r="V1087" s="4">
        <f t="shared" si="52"/>
        <v>4.0508730366104649E-9</v>
      </c>
      <c r="W1087" s="3">
        <f t="shared" si="54"/>
        <v>4</v>
      </c>
      <c r="X1087" s="3">
        <f t="shared" si="53"/>
        <v>1.620349214644186E-8</v>
      </c>
    </row>
    <row r="1088" spans="21:24">
      <c r="U1088" s="3">
        <v>53.9</v>
      </c>
      <c r="V1088" s="4">
        <f t="shared" si="52"/>
        <v>3.7941566671682645E-9</v>
      </c>
      <c r="W1088" s="3">
        <f t="shared" si="54"/>
        <v>2</v>
      </c>
      <c r="X1088" s="3">
        <f t="shared" si="53"/>
        <v>7.5883133343365291E-9</v>
      </c>
    </row>
    <row r="1089" spans="21:24">
      <c r="U1089" s="3">
        <v>53.95</v>
      </c>
      <c r="V1089" s="4">
        <f t="shared" si="52"/>
        <v>3.5529209459474884E-9</v>
      </c>
      <c r="W1089" s="3">
        <f t="shared" si="54"/>
        <v>4</v>
      </c>
      <c r="X1089" s="3">
        <f t="shared" si="53"/>
        <v>1.4211683783789954E-8</v>
      </c>
    </row>
    <row r="1090" spans="21:24">
      <c r="U1090" s="3">
        <v>54</v>
      </c>
      <c r="V1090" s="4">
        <f t="shared" si="52"/>
        <v>3.3262827164711871E-9</v>
      </c>
      <c r="W1090" s="3">
        <f t="shared" si="54"/>
        <v>2</v>
      </c>
      <c r="X1090" s="3">
        <f t="shared" si="53"/>
        <v>6.6525654329423741E-9</v>
      </c>
    </row>
    <row r="1091" spans="21:24">
      <c r="U1091" s="3">
        <v>54.05</v>
      </c>
      <c r="V1091" s="4">
        <f t="shared" si="52"/>
        <v>3.1134061331982056E-9</v>
      </c>
      <c r="W1091" s="3">
        <f t="shared" si="54"/>
        <v>4</v>
      </c>
      <c r="X1091" s="3">
        <f t="shared" si="53"/>
        <v>1.2453624532792822E-8</v>
      </c>
    </row>
    <row r="1092" spans="21:24">
      <c r="U1092" s="3">
        <v>54.1</v>
      </c>
      <c r="V1092" s="4">
        <f t="shared" si="52"/>
        <v>2.9135003052167589E-9</v>
      </c>
      <c r="W1092" s="3">
        <f t="shared" si="54"/>
        <v>2</v>
      </c>
      <c r="X1092" s="3">
        <f t="shared" si="53"/>
        <v>5.8270006104335178E-9</v>
      </c>
    </row>
    <row r="1093" spans="21:24">
      <c r="U1093" s="3">
        <v>54.15</v>
      </c>
      <c r="V1093" s="4">
        <f t="shared" si="52"/>
        <v>2.7258170475148793E-9</v>
      </c>
      <c r="W1093" s="3">
        <f t="shared" si="54"/>
        <v>4</v>
      </c>
      <c r="X1093" s="3">
        <f t="shared" si="53"/>
        <v>1.0903268190059517E-8</v>
      </c>
    </row>
    <row r="1094" spans="21:24">
      <c r="U1094" s="3">
        <v>54.2</v>
      </c>
      <c r="V1094" s="4">
        <f t="shared" si="52"/>
        <v>2.5496487354343679E-9</v>
      </c>
      <c r="W1094" s="3">
        <f t="shared" si="54"/>
        <v>2</v>
      </c>
      <c r="X1094" s="3">
        <f t="shared" si="53"/>
        <v>5.0992974708687357E-9</v>
      </c>
    </row>
    <row r="1095" spans="21:24">
      <c r="U1095" s="3">
        <v>54.25</v>
      </c>
      <c r="V1095" s="4">
        <f t="shared" si="52"/>
        <v>2.3843262580461647E-9</v>
      </c>
      <c r="W1095" s="3">
        <f t="shared" si="54"/>
        <v>4</v>
      </c>
      <c r="X1095" s="3">
        <f t="shared" si="53"/>
        <v>9.5373050321846589E-9</v>
      </c>
    </row>
    <row r="1096" spans="21:24">
      <c r="U1096" s="3">
        <v>54.3</v>
      </c>
      <c r="V1096" s="4">
        <f t="shared" si="52"/>
        <v>2.2292170663521205E-9</v>
      </c>
      <c r="W1096" s="3">
        <f t="shared" si="54"/>
        <v>2</v>
      </c>
      <c r="X1096" s="3">
        <f t="shared" si="53"/>
        <v>4.4584341327042411E-9</v>
      </c>
    </row>
    <row r="1097" spans="21:24">
      <c r="U1097" s="3">
        <v>54.35</v>
      </c>
      <c r="V1097" s="4">
        <f t="shared" si="52"/>
        <v>2.0837233123586695E-9</v>
      </c>
      <c r="W1097" s="3">
        <f t="shared" si="54"/>
        <v>4</v>
      </c>
      <c r="X1097" s="3">
        <f t="shared" si="53"/>
        <v>8.334893249434678E-9</v>
      </c>
    </row>
    <row r="1098" spans="21:24">
      <c r="U1098" s="3">
        <v>54.4</v>
      </c>
      <c r="V1098" s="4">
        <f t="shared" si="52"/>
        <v>1.9472800752136532E-9</v>
      </c>
      <c r="W1098" s="3">
        <f t="shared" si="54"/>
        <v>2</v>
      </c>
      <c r="X1098" s="3">
        <f t="shared" si="53"/>
        <v>3.8945601504273065E-9</v>
      </c>
    </row>
    <row r="1099" spans="21:24">
      <c r="U1099" s="3">
        <v>54.45</v>
      </c>
      <c r="V1099" s="4">
        <f t="shared" ref="V1099:V1162" si="55">EXP(-(B$3*(70+U1099)+0.5*B$4*((70+U1099)^2)+(B$5/LN(B$6))*((B$6^(70+U1099))-1)))</f>
        <v>1.8193536707360441E-9</v>
      </c>
      <c r="W1099" s="3">
        <f t="shared" si="54"/>
        <v>4</v>
      </c>
      <c r="X1099" s="3">
        <f t="shared" ref="X1099:X1162" si="56">V1099*W1099</f>
        <v>7.2774146829441763E-9</v>
      </c>
    </row>
    <row r="1100" spans="21:24">
      <c r="U1100" s="3">
        <v>54.5</v>
      </c>
      <c r="V1100" s="4">
        <f t="shared" si="55"/>
        <v>1.6994400408029017E-9</v>
      </c>
      <c r="W1100" s="3">
        <f t="shared" si="54"/>
        <v>2</v>
      </c>
      <c r="X1100" s="3">
        <f t="shared" si="56"/>
        <v>3.3988800816058033E-9</v>
      </c>
    </row>
    <row r="1101" spans="21:24">
      <c r="U1101" s="3">
        <v>54.55</v>
      </c>
      <c r="V1101" s="4">
        <f t="shared" si="55"/>
        <v>1.587063219189479E-9</v>
      </c>
      <c r="W1101" s="3">
        <f t="shared" ref="W1101:W1164" si="57">IF(W1100=4,2,4)</f>
        <v>4</v>
      </c>
      <c r="X1101" s="3">
        <f t="shared" si="56"/>
        <v>6.3482528767579159E-9</v>
      </c>
    </row>
    <row r="1102" spans="21:24">
      <c r="U1102" s="3">
        <v>54.6</v>
      </c>
      <c r="V1102" s="4">
        <f t="shared" si="55"/>
        <v>1.4817738705836584E-9</v>
      </c>
      <c r="W1102" s="3">
        <f t="shared" si="57"/>
        <v>2</v>
      </c>
      <c r="X1102" s="3">
        <f t="shared" si="56"/>
        <v>2.9635477411673169E-9</v>
      </c>
    </row>
    <row r="1103" spans="21:24">
      <c r="U1103" s="3">
        <v>54.65</v>
      </c>
      <c r="V1103" s="4">
        <f t="shared" si="55"/>
        <v>1.3831478996214574E-9</v>
      </c>
      <c r="W1103" s="3">
        <f t="shared" si="57"/>
        <v>4</v>
      </c>
      <c r="X1103" s="3">
        <f t="shared" si="56"/>
        <v>5.5325915984858297E-9</v>
      </c>
    </row>
    <row r="1104" spans="21:24">
      <c r="U1104" s="3">
        <v>54.7</v>
      </c>
      <c r="V1104" s="4">
        <f t="shared" si="55"/>
        <v>1.2907851269067606E-9</v>
      </c>
      <c r="W1104" s="3">
        <f t="shared" si="57"/>
        <v>2</v>
      </c>
      <c r="X1104" s="3">
        <f t="shared" si="56"/>
        <v>2.5815702538135213E-9</v>
      </c>
    </row>
    <row r="1105" spans="21:24">
      <c r="U1105" s="3">
        <v>54.75</v>
      </c>
      <c r="V1105" s="4">
        <f t="shared" si="55"/>
        <v>1.2043080290959291E-9</v>
      </c>
      <c r="W1105" s="3">
        <f t="shared" si="57"/>
        <v>4</v>
      </c>
      <c r="X1105" s="3">
        <f t="shared" si="56"/>
        <v>4.8172321163837163E-9</v>
      </c>
    </row>
    <row r="1106" spans="21:24">
      <c r="U1106" s="3">
        <v>54.8</v>
      </c>
      <c r="V1106" s="4">
        <f t="shared" si="55"/>
        <v>1.1233605402386311E-9</v>
      </c>
      <c r="W1106" s="3">
        <f t="shared" si="57"/>
        <v>2</v>
      </c>
      <c r="X1106" s="3">
        <f t="shared" si="56"/>
        <v>2.2467210804772623E-9</v>
      </c>
    </row>
    <row r="1107" spans="21:24">
      <c r="U1107" s="3">
        <v>54.85</v>
      </c>
      <c r="V1107" s="4">
        <f t="shared" si="55"/>
        <v>1.0476069116752657E-9</v>
      </c>
      <c r="W1107" s="3">
        <f t="shared" si="57"/>
        <v>4</v>
      </c>
      <c r="X1107" s="3">
        <f t="shared" si="56"/>
        <v>4.1904276467010627E-9</v>
      </c>
    </row>
    <row r="1108" spans="21:24">
      <c r="U1108" s="3">
        <v>54.9</v>
      </c>
      <c r="V1108" s="4">
        <f t="shared" si="55"/>
        <v>9.7673062789545804E-10</v>
      </c>
      <c r="W1108" s="3">
        <f t="shared" si="57"/>
        <v>2</v>
      </c>
      <c r="X1108" s="3">
        <f t="shared" si="56"/>
        <v>1.9534612557909161E-9</v>
      </c>
    </row>
    <row r="1109" spans="21:24">
      <c r="U1109" s="3">
        <v>54.95</v>
      </c>
      <c r="V1109" s="4">
        <f t="shared" si="55"/>
        <v>9.1043337586430507E-10</v>
      </c>
      <c r="W1109" s="3">
        <f t="shared" si="57"/>
        <v>4</v>
      </c>
      <c r="X1109" s="3">
        <f t="shared" si="56"/>
        <v>3.6417335034572203E-9</v>
      </c>
    </row>
    <row r="1110" spans="21:24">
      <c r="U1110" s="3">
        <v>55</v>
      </c>
      <c r="V1110" s="4">
        <f t="shared" si="55"/>
        <v>8.4843406542023189E-10</v>
      </c>
      <c r="W1110" s="3">
        <f t="shared" si="57"/>
        <v>2</v>
      </c>
      <c r="X1110" s="3">
        <f t="shared" si="56"/>
        <v>1.6968681308404638E-9</v>
      </c>
    </row>
    <row r="1111" spans="21:24">
      <c r="U1111" s="3">
        <v>55.05</v>
      </c>
      <c r="V1111" s="4">
        <f t="shared" si="55"/>
        <v>7.9046789844363012E-10</v>
      </c>
      <c r="W1111" s="3">
        <f t="shared" si="57"/>
        <v>4</v>
      </c>
      <c r="X1111" s="3">
        <f t="shared" si="56"/>
        <v>3.1618715937745205E-9</v>
      </c>
    </row>
    <row r="1112" spans="21:24">
      <c r="U1112" s="3">
        <v>55.1</v>
      </c>
      <c r="V1112" s="4">
        <f t="shared" si="55"/>
        <v>7.362854845890454E-10</v>
      </c>
      <c r="W1112" s="3">
        <f t="shared" si="57"/>
        <v>2</v>
      </c>
      <c r="X1112" s="3">
        <f t="shared" si="56"/>
        <v>1.4725709691780908E-9</v>
      </c>
    </row>
    <row r="1113" spans="21:24">
      <c r="U1113" s="3">
        <v>55.15</v>
      </c>
      <c r="V1113" s="4">
        <f t="shared" si="55"/>
        <v>6.8565200145674583E-10</v>
      </c>
      <c r="W1113" s="3">
        <f t="shared" si="57"/>
        <v>4</v>
      </c>
      <c r="X1113" s="3">
        <f t="shared" si="56"/>
        <v>2.7426080058269833E-9</v>
      </c>
    </row>
    <row r="1114" spans="21:24">
      <c r="U1114" s="3">
        <v>55.2</v>
      </c>
      <c r="V1114" s="4">
        <f t="shared" si="55"/>
        <v>6.3834639717293155E-10</v>
      </c>
      <c r="W1114" s="3">
        <f t="shared" si="57"/>
        <v>2</v>
      </c>
      <c r="X1114" s="3">
        <f t="shared" si="56"/>
        <v>1.2766927943458631E-9</v>
      </c>
    </row>
    <row r="1115" spans="21:24">
      <c r="U1115" s="3">
        <v>55.25</v>
      </c>
      <c r="V1115" s="4">
        <f t="shared" si="55"/>
        <v>5.941606334238068E-10</v>
      </c>
      <c r="W1115" s="3">
        <f t="shared" si="57"/>
        <v>4</v>
      </c>
      <c r="X1115" s="3">
        <f t="shared" si="56"/>
        <v>2.3766425336952272E-9</v>
      </c>
    </row>
    <row r="1116" spans="21:24">
      <c r="U1116" s="3">
        <v>55.3</v>
      </c>
      <c r="V1116" s="4">
        <f t="shared" si="55"/>
        <v>5.5289896707259994E-10</v>
      </c>
      <c r="W1116" s="3">
        <f t="shared" si="57"/>
        <v>2</v>
      </c>
      <c r="X1116" s="3">
        <f t="shared" si="56"/>
        <v>1.1057979341451999E-9</v>
      </c>
    </row>
    <row r="1117" spans="21:24">
      <c r="U1117" s="3">
        <v>55.35</v>
      </c>
      <c r="V1117" s="4">
        <f t="shared" si="55"/>
        <v>5.1437726856388281E-10</v>
      </c>
      <c r="W1117" s="3">
        <f t="shared" si="57"/>
        <v>4</v>
      </c>
      <c r="X1117" s="3">
        <f t="shared" si="56"/>
        <v>2.0575090742555312E-9</v>
      </c>
    </row>
    <row r="1118" spans="21:24">
      <c r="U1118" s="3">
        <v>55.4</v>
      </c>
      <c r="V1118" s="4">
        <f t="shared" si="55"/>
        <v>4.7842237539468935E-10</v>
      </c>
      <c r="W1118" s="3">
        <f t="shared" si="57"/>
        <v>2</v>
      </c>
      <c r="X1118" s="3">
        <f t="shared" si="56"/>
        <v>9.5684475078937871E-10</v>
      </c>
    </row>
    <row r="1119" spans="21:24">
      <c r="U1119" s="3">
        <v>55.45</v>
      </c>
      <c r="V1119" s="4">
        <f t="shared" si="55"/>
        <v>4.4487147900338386E-10</v>
      </c>
      <c r="W1119" s="3">
        <f t="shared" si="57"/>
        <v>4</v>
      </c>
      <c r="X1119" s="3">
        <f t="shared" si="56"/>
        <v>1.7794859160135354E-9</v>
      </c>
    </row>
    <row r="1120" spans="21:24">
      <c r="U1120" s="3">
        <v>55.5</v>
      </c>
      <c r="V1120" s="4">
        <f t="shared" si="55"/>
        <v>4.1357154349657122E-10</v>
      </c>
      <c r="W1120" s="3">
        <f t="shared" si="57"/>
        <v>2</v>
      </c>
      <c r="X1120" s="3">
        <f t="shared" si="56"/>
        <v>8.2714308699314244E-10</v>
      </c>
    </row>
    <row r="1121" spans="21:24">
      <c r="U1121" s="3">
        <v>55.55</v>
      </c>
      <c r="V1121" s="4">
        <f t="shared" si="55"/>
        <v>3.8437875470099541E-10</v>
      </c>
      <c r="W1121" s="3">
        <f t="shared" si="57"/>
        <v>4</v>
      </c>
      <c r="X1121" s="3">
        <f t="shared" si="56"/>
        <v>1.5375150188039816E-9</v>
      </c>
    </row>
    <row r="1122" spans="21:24">
      <c r="U1122" s="3">
        <v>55.6</v>
      </c>
      <c r="V1122" s="4">
        <f t="shared" si="55"/>
        <v>3.5715799809174449E-10</v>
      </c>
      <c r="W1122" s="3">
        <f t="shared" si="57"/>
        <v>2</v>
      </c>
      <c r="X1122" s="3">
        <f t="shared" si="56"/>
        <v>7.1431599618348899E-10</v>
      </c>
    </row>
    <row r="1123" spans="21:24">
      <c r="U1123" s="3">
        <v>55.65</v>
      </c>
      <c r="V1123" s="4">
        <f t="shared" si="55"/>
        <v>3.3178236420982699E-10</v>
      </c>
      <c r="W1123" s="3">
        <f t="shared" si="57"/>
        <v>4</v>
      </c>
      <c r="X1123" s="3">
        <f t="shared" si="56"/>
        <v>1.327129456839308E-9</v>
      </c>
    </row>
    <row r="1124" spans="21:24">
      <c r="U1124" s="3">
        <v>55.7</v>
      </c>
      <c r="V1124" s="4">
        <f t="shared" si="55"/>
        <v>3.08132680242301E-10</v>
      </c>
      <c r="W1124" s="3">
        <f t="shared" si="57"/>
        <v>2</v>
      </c>
      <c r="X1124" s="3">
        <f t="shared" si="56"/>
        <v>6.16265360484602E-10</v>
      </c>
    </row>
    <row r="1125" spans="21:24">
      <c r="U1125" s="3">
        <v>55.75</v>
      </c>
      <c r="V1125" s="4">
        <f t="shared" si="55"/>
        <v>2.8609706649507439E-10</v>
      </c>
      <c r="W1125" s="3">
        <f t="shared" si="57"/>
        <v>4</v>
      </c>
      <c r="X1125" s="3">
        <f t="shared" si="56"/>
        <v>1.1443882659802976E-9</v>
      </c>
    </row>
    <row r="1126" spans="21:24">
      <c r="U1126" s="3">
        <v>55.8</v>
      </c>
      <c r="V1126" s="4">
        <f t="shared" si="55"/>
        <v>2.6557051654419898E-10</v>
      </c>
      <c r="W1126" s="3">
        <f t="shared" si="57"/>
        <v>2</v>
      </c>
      <c r="X1126" s="3">
        <f t="shared" si="56"/>
        <v>5.3114103308839796E-10</v>
      </c>
    </row>
    <row r="1127" spans="21:24">
      <c r="U1127" s="3">
        <v>55.85</v>
      </c>
      <c r="V1127" s="4">
        <f t="shared" si="55"/>
        <v>2.4645449990452723E-10</v>
      </c>
      <c r="W1127" s="3">
        <f t="shared" si="57"/>
        <v>4</v>
      </c>
      <c r="X1127" s="3">
        <f t="shared" si="56"/>
        <v>9.8581799961810891E-10</v>
      </c>
    </row>
    <row r="1128" spans="21:24">
      <c r="U1128" s="3">
        <v>55.9</v>
      </c>
      <c r="V1128" s="4">
        <f t="shared" si="55"/>
        <v>2.2865658610584789E-10</v>
      </c>
      <c r="W1128" s="3">
        <f t="shared" si="57"/>
        <v>2</v>
      </c>
      <c r="X1128" s="3">
        <f t="shared" si="56"/>
        <v>4.5731317221169578E-10</v>
      </c>
    </row>
    <row r="1129" spans="21:24">
      <c r="U1129" s="3">
        <v>55.95</v>
      </c>
      <c r="V1129" s="4">
        <f t="shared" si="55"/>
        <v>2.1209008911593671E-10</v>
      </c>
      <c r="W1129" s="3">
        <f t="shared" si="57"/>
        <v>4</v>
      </c>
      <c r="X1129" s="3">
        <f t="shared" si="56"/>
        <v>8.4836035646374685E-10</v>
      </c>
    </row>
    <row r="1130" spans="21:24">
      <c r="U1130" s="3">
        <v>56</v>
      </c>
      <c r="V1130" s="4">
        <f t="shared" si="55"/>
        <v>1.9667373109713925E-10</v>
      </c>
      <c r="W1130" s="3">
        <f t="shared" si="57"/>
        <v>2</v>
      </c>
      <c r="X1130" s="3">
        <f t="shared" si="56"/>
        <v>3.933474621942785E-10</v>
      </c>
    </row>
    <row r="1131" spans="21:24">
      <c r="U1131" s="3">
        <v>56.05</v>
      </c>
      <c r="V1131" s="4">
        <f t="shared" si="55"/>
        <v>1.8233132452867989E-10</v>
      </c>
      <c r="W1131" s="3">
        <f t="shared" si="57"/>
        <v>4</v>
      </c>
      <c r="X1131" s="3">
        <f t="shared" si="56"/>
        <v>7.2932529811471958E-10</v>
      </c>
    </row>
    <row r="1132" spans="21:24">
      <c r="U1132" s="3">
        <v>56.1</v>
      </c>
      <c r="V1132" s="4">
        <f t="shared" si="55"/>
        <v>1.6899147177113854E-10</v>
      </c>
      <c r="W1132" s="3">
        <f t="shared" si="57"/>
        <v>2</v>
      </c>
      <c r="X1132" s="3">
        <f t="shared" si="56"/>
        <v>3.3798294354227707E-10</v>
      </c>
    </row>
    <row r="1133" spans="21:24">
      <c r="U1133" s="3">
        <v>56.15</v>
      </c>
      <c r="V1133" s="4">
        <f t="shared" si="55"/>
        <v>1.5658728119007972E-10</v>
      </c>
      <c r="W1133" s="3">
        <f t="shared" si="57"/>
        <v>4</v>
      </c>
      <c r="X1133" s="3">
        <f t="shared" si="56"/>
        <v>6.2634912476031888E-10</v>
      </c>
    </row>
    <row r="1134" spans="21:24">
      <c r="U1134" s="3">
        <v>56.2</v>
      </c>
      <c r="V1134" s="4">
        <f t="shared" si="55"/>
        <v>1.4505609899817244E-10</v>
      </c>
      <c r="W1134" s="3">
        <f t="shared" si="57"/>
        <v>2</v>
      </c>
      <c r="X1134" s="3">
        <f t="shared" si="56"/>
        <v>2.9011219799634488E-10</v>
      </c>
    </row>
    <row r="1135" spans="21:24">
      <c r="U1135" s="3">
        <v>56.25</v>
      </c>
      <c r="V1135" s="4">
        <f t="shared" si="55"/>
        <v>1.3433925601209773E-10</v>
      </c>
      <c r="W1135" s="3">
        <f t="shared" si="57"/>
        <v>4</v>
      </c>
      <c r="X1135" s="3">
        <f t="shared" si="56"/>
        <v>5.3735702404839093E-10</v>
      </c>
    </row>
    <row r="1136" spans="21:24">
      <c r="U1136" s="3">
        <v>56.3</v>
      </c>
      <c r="V1136" s="4">
        <f t="shared" si="55"/>
        <v>1.2438182855873309E-10</v>
      </c>
      <c r="W1136" s="3">
        <f t="shared" si="57"/>
        <v>2</v>
      </c>
      <c r="X1136" s="3">
        <f t="shared" si="56"/>
        <v>2.4876365711746617E-10</v>
      </c>
    </row>
    <row r="1137" spans="21:24">
      <c r="U1137" s="3">
        <v>56.35</v>
      </c>
      <c r="V1137" s="4">
        <f t="shared" si="55"/>
        <v>1.1513241280029558E-10</v>
      </c>
      <c r="W1137" s="3">
        <f t="shared" si="57"/>
        <v>4</v>
      </c>
      <c r="X1137" s="3">
        <f t="shared" si="56"/>
        <v>4.6052965120118232E-10</v>
      </c>
    </row>
    <row r="1138" spans="21:24">
      <c r="U1138" s="3">
        <v>56.4</v>
      </c>
      <c r="V1138" s="4">
        <f t="shared" si="55"/>
        <v>1.0654291178247309E-10</v>
      </c>
      <c r="W1138" s="3">
        <f t="shared" si="57"/>
        <v>2</v>
      </c>
      <c r="X1138" s="3">
        <f t="shared" si="56"/>
        <v>2.1308582356494617E-10</v>
      </c>
    </row>
    <row r="1139" spans="21:24">
      <c r="U1139" s="3">
        <v>56.45</v>
      </c>
      <c r="V1139" s="4">
        <f t="shared" si="55"/>
        <v>9.8568334542286901E-11</v>
      </c>
      <c r="W1139" s="3">
        <f t="shared" si="57"/>
        <v>4</v>
      </c>
      <c r="X1139" s="3">
        <f t="shared" si="56"/>
        <v>3.942733381691476E-10</v>
      </c>
    </row>
    <row r="1140" spans="21:24">
      <c r="U1140" s="3">
        <v>56.5</v>
      </c>
      <c r="V1140" s="4">
        <f t="shared" si="55"/>
        <v>9.1166606643879999E-11</v>
      </c>
      <c r="W1140" s="3">
        <f t="shared" si="57"/>
        <v>2</v>
      </c>
      <c r="X1140" s="3">
        <f t="shared" si="56"/>
        <v>1.8233321328776E-10</v>
      </c>
    </row>
    <row r="1141" spans="21:24">
      <c r="U1141" s="3">
        <v>56.55</v>
      </c>
      <c r="V1141" s="4">
        <f t="shared" si="55"/>
        <v>8.4298391540514364E-11</v>
      </c>
      <c r="W1141" s="3">
        <f t="shared" si="57"/>
        <v>4</v>
      </c>
      <c r="X1141" s="3">
        <f t="shared" si="56"/>
        <v>3.3719356616205746E-10</v>
      </c>
    </row>
    <row r="1142" spans="21:24">
      <c r="U1142" s="3">
        <v>56.6</v>
      </c>
      <c r="V1142" s="4">
        <f t="shared" si="55"/>
        <v>7.7926922189830832E-11</v>
      </c>
      <c r="W1142" s="3">
        <f t="shared" si="57"/>
        <v>2</v>
      </c>
      <c r="X1142" s="3">
        <f t="shared" si="56"/>
        <v>1.5585384437966166E-10</v>
      </c>
    </row>
    <row r="1143" spans="21:24">
      <c r="U1143" s="3">
        <v>56.65</v>
      </c>
      <c r="V1143" s="4">
        <f t="shared" si="55"/>
        <v>7.2017842377179517E-11</v>
      </c>
      <c r="W1143" s="3">
        <f t="shared" si="57"/>
        <v>4</v>
      </c>
      <c r="X1143" s="3">
        <f t="shared" si="56"/>
        <v>2.8807136950871807E-10</v>
      </c>
    </row>
    <row r="1144" spans="21:24">
      <c r="U1144" s="3">
        <v>56.7</v>
      </c>
      <c r="V1144" s="4">
        <f t="shared" si="55"/>
        <v>6.6539057228086991E-11</v>
      </c>
      <c r="W1144" s="3">
        <f t="shared" si="57"/>
        <v>2</v>
      </c>
      <c r="X1144" s="3">
        <f t="shared" si="56"/>
        <v>1.3307811445617398E-10</v>
      </c>
    </row>
    <row r="1145" spans="21:24">
      <c r="U1145" s="3">
        <v>56.75</v>
      </c>
      <c r="V1145" s="4">
        <f t="shared" si="55"/>
        <v>6.1460592416340636E-11</v>
      </c>
      <c r="W1145" s="3">
        <f t="shared" si="57"/>
        <v>4</v>
      </c>
      <c r="X1145" s="3">
        <f t="shared" si="56"/>
        <v>2.4584236966536254E-10</v>
      </c>
    </row>
    <row r="1146" spans="21:24">
      <c r="U1146" s="3">
        <v>56.8</v>
      </c>
      <c r="V1146" s="4">
        <f t="shared" si="55"/>
        <v>5.6754461598311008E-11</v>
      </c>
      <c r="W1146" s="3">
        <f t="shared" si="57"/>
        <v>2</v>
      </c>
      <c r="X1146" s="3">
        <f t="shared" si="56"/>
        <v>1.1350892319662202E-10</v>
      </c>
    </row>
    <row r="1147" spans="21:24">
      <c r="U1147" s="3">
        <v>56.85</v>
      </c>
      <c r="V1147" s="4">
        <f t="shared" si="55"/>
        <v>5.2394541627286476E-11</v>
      </c>
      <c r="W1147" s="3">
        <f t="shared" si="57"/>
        <v>4</v>
      </c>
      <c r="X1147" s="3">
        <f t="shared" si="56"/>
        <v>2.095781665091459E-10</v>
      </c>
    </row>
    <row r="1148" spans="21:24">
      <c r="U1148" s="3">
        <v>56.9</v>
      </c>
      <c r="V1148" s="4">
        <f t="shared" si="55"/>
        <v>4.8356455123723941E-11</v>
      </c>
      <c r="W1148" s="3">
        <f t="shared" si="57"/>
        <v>2</v>
      </c>
      <c r="X1148" s="3">
        <f t="shared" si="56"/>
        <v>9.6712910247447882E-11</v>
      </c>
    </row>
    <row r="1149" spans="21:24">
      <c r="U1149" s="3">
        <v>56.95</v>
      </c>
      <c r="V1149" s="4">
        <f t="shared" si="55"/>
        <v>4.46174599984655E-11</v>
      </c>
      <c r="W1149" s="3">
        <f t="shared" si="57"/>
        <v>4</v>
      </c>
      <c r="X1149" s="3">
        <f t="shared" si="56"/>
        <v>1.78469839993862E-10</v>
      </c>
    </row>
    <row r="1150" spans="21:24">
      <c r="U1150" s="3">
        <v>57</v>
      </c>
      <c r="V1150" s="4">
        <f t="shared" si="55"/>
        <v>4.1156345546149386E-11</v>
      </c>
      <c r="W1150" s="3">
        <f t="shared" si="57"/>
        <v>2</v>
      </c>
      <c r="X1150" s="3">
        <f t="shared" si="56"/>
        <v>8.2312691092298771E-11</v>
      </c>
    </row>
    <row r="1151" spans="21:24">
      <c r="U1151" s="3">
        <v>57.05</v>
      </c>
      <c r="V1151" s="4">
        <f t="shared" si="55"/>
        <v>3.7953334745362647E-11</v>
      </c>
      <c r="W1151" s="3">
        <f t="shared" si="57"/>
        <v>4</v>
      </c>
      <c r="X1151" s="3">
        <f t="shared" si="56"/>
        <v>1.5181333898145059E-10</v>
      </c>
    </row>
    <row r="1152" spans="21:24">
      <c r="U1152" s="3">
        <v>57.1</v>
      </c>
      <c r="V1152" s="4">
        <f t="shared" si="55"/>
        <v>3.4989992420610939E-11</v>
      </c>
      <c r="W1152" s="3">
        <f t="shared" si="57"/>
        <v>2</v>
      </c>
      <c r="X1152" s="3">
        <f t="shared" si="56"/>
        <v>6.9979984841221878E-11</v>
      </c>
    </row>
    <row r="1153" spans="21:24">
      <c r="U1153" s="3">
        <v>57.15</v>
      </c>
      <c r="V1153" s="4">
        <f t="shared" si="55"/>
        <v>3.2249138938462977E-11</v>
      </c>
      <c r="W1153" s="3">
        <f t="shared" si="57"/>
        <v>4</v>
      </c>
      <c r="X1153" s="3">
        <f t="shared" si="56"/>
        <v>1.2899655575385191E-10</v>
      </c>
    </row>
    <row r="1154" spans="21:24">
      <c r="U1154" s="3">
        <v>57.2</v>
      </c>
      <c r="V1154" s="4">
        <f t="shared" si="55"/>
        <v>2.9714769127454755E-11</v>
      </c>
      <c r="W1154" s="3">
        <f t="shared" si="57"/>
        <v>2</v>
      </c>
      <c r="X1154" s="3">
        <f t="shared" si="56"/>
        <v>5.9429538254909509E-11</v>
      </c>
    </row>
    <row r="1155" spans="21:24">
      <c r="U1155" s="3">
        <v>57.25</v>
      </c>
      <c r="V1155" s="4">
        <f t="shared" si="55"/>
        <v>2.7371976126965469E-11</v>
      </c>
      <c r="W1155" s="3">
        <f t="shared" si="57"/>
        <v>4</v>
      </c>
      <c r="X1155" s="3">
        <f t="shared" si="56"/>
        <v>1.0948790450786188E-10</v>
      </c>
    </row>
    <row r="1156" spans="21:24">
      <c r="U1156" s="3">
        <v>57.3</v>
      </c>
      <c r="V1156" s="4">
        <f t="shared" si="55"/>
        <v>2.520687988577864E-11</v>
      </c>
      <c r="W1156" s="3">
        <f t="shared" si="57"/>
        <v>2</v>
      </c>
      <c r="X1156" s="3">
        <f t="shared" si="56"/>
        <v>5.0413759771557281E-11</v>
      </c>
    </row>
    <row r="1157" spans="21:24">
      <c r="U1157" s="3">
        <v>57.35</v>
      </c>
      <c r="V1157" s="4">
        <f t="shared" si="55"/>
        <v>2.3206560045503158E-11</v>
      </c>
      <c r="W1157" s="3">
        <f t="shared" si="57"/>
        <v>4</v>
      </c>
      <c r="X1157" s="3">
        <f t="shared" si="56"/>
        <v>9.2826240182012633E-11</v>
      </c>
    </row>
    <row r="1158" spans="21:24">
      <c r="U1158" s="3">
        <v>57.4</v>
      </c>
      <c r="V1158" s="4">
        <f t="shared" si="55"/>
        <v>2.1358992957939654E-11</v>
      </c>
      <c r="W1158" s="3">
        <f t="shared" si="57"/>
        <v>2</v>
      </c>
      <c r="X1158" s="3">
        <f t="shared" si="56"/>
        <v>4.2717985915879308E-11</v>
      </c>
    </row>
    <row r="1159" spans="21:24">
      <c r="U1159" s="3">
        <v>57.45</v>
      </c>
      <c r="V1159" s="4">
        <f t="shared" si="55"/>
        <v>1.9652992598688534E-11</v>
      </c>
      <c r="W1159" s="3">
        <f t="shared" si="57"/>
        <v>4</v>
      </c>
      <c r="X1159" s="3">
        <f t="shared" si="56"/>
        <v>7.8611970394754137E-11</v>
      </c>
    </row>
    <row r="1160" spans="21:24">
      <c r="U1160" s="3">
        <v>57.5</v>
      </c>
      <c r="V1160" s="4">
        <f t="shared" si="55"/>
        <v>1.8078155151891985E-11</v>
      </c>
      <c r="W1160" s="3">
        <f t="shared" si="57"/>
        <v>2</v>
      </c>
      <c r="X1160" s="3">
        <f t="shared" si="56"/>
        <v>3.615631030378397E-11</v>
      </c>
    </row>
    <row r="1161" spans="21:24">
      <c r="U1161" s="3">
        <v>57.55</v>
      </c>
      <c r="V1161" s="4">
        <f t="shared" si="55"/>
        <v>1.6624807052989926E-11</v>
      </c>
      <c r="W1161" s="3">
        <f t="shared" si="57"/>
        <v>4</v>
      </c>
      <c r="X1161" s="3">
        <f t="shared" si="56"/>
        <v>6.6499228211959704E-11</v>
      </c>
    </row>
    <row r="1162" spans="21:24">
      <c r="U1162" s="3">
        <v>57.6</v>
      </c>
      <c r="V1162" s="4">
        <f t="shared" si="55"/>
        <v>1.5283956287789147E-11</v>
      </c>
      <c r="W1162" s="3">
        <f t="shared" si="57"/>
        <v>2</v>
      </c>
      <c r="X1162" s="3">
        <f t="shared" si="56"/>
        <v>3.0567912575578295E-11</v>
      </c>
    </row>
    <row r="1163" spans="21:24">
      <c r="U1163" s="3">
        <v>57.65</v>
      </c>
      <c r="V1163" s="4">
        <f t="shared" ref="V1163:V1210" si="58">EXP(-(B$3*(70+U1163)+0.5*B$4*((70+U1163)^2)+(B$5/LN(B$6))*((B$6^(70+U1163))-1)))</f>
        <v>1.4047246756987606E-11</v>
      </c>
      <c r="W1163" s="3">
        <f t="shared" si="57"/>
        <v>4</v>
      </c>
      <c r="X1163" s="3">
        <f t="shared" ref="X1163:X1210" si="59">V1163*W1163</f>
        <v>5.6188987027950425E-11</v>
      </c>
    </row>
    <row r="1164" spans="21:24">
      <c r="U1164" s="3">
        <v>57.7</v>
      </c>
      <c r="V1164" s="4">
        <f t="shared" si="58"/>
        <v>1.2906915525652802E-11</v>
      </c>
      <c r="W1164" s="3">
        <f t="shared" si="57"/>
        <v>2</v>
      </c>
      <c r="X1164" s="3">
        <f t="shared" si="59"/>
        <v>2.5813831051305604E-11</v>
      </c>
    </row>
    <row r="1165" spans="21:24">
      <c r="U1165" s="3">
        <v>57.75</v>
      </c>
      <c r="V1165" s="4">
        <f t="shared" si="58"/>
        <v>1.1855752786951827E-11</v>
      </c>
      <c r="W1165" s="3">
        <f t="shared" ref="W1165:W1209" si="60">IF(W1164=4,2,4)</f>
        <v>4</v>
      </c>
      <c r="X1165" s="3">
        <f t="shared" si="59"/>
        <v>4.742301114780731E-11</v>
      </c>
    </row>
    <row r="1166" spans="21:24">
      <c r="U1166" s="3">
        <v>57.8</v>
      </c>
      <c r="V1166" s="4">
        <f t="shared" si="58"/>
        <v>1.088706437878059E-11</v>
      </c>
      <c r="W1166" s="3">
        <f t="shared" si="60"/>
        <v>2</v>
      </c>
      <c r="X1166" s="3">
        <f t="shared" si="59"/>
        <v>2.177412875756118E-11</v>
      </c>
    </row>
    <row r="1167" spans="21:24">
      <c r="U1167" s="3">
        <v>57.85</v>
      </c>
      <c r="V1167" s="4">
        <f t="shared" si="58"/>
        <v>9.9946367008145051E-12</v>
      </c>
      <c r="W1167" s="3">
        <f t="shared" si="60"/>
        <v>4</v>
      </c>
      <c r="X1167" s="3">
        <f t="shared" si="59"/>
        <v>3.9978546803258021E-11</v>
      </c>
    </row>
    <row r="1168" spans="21:24">
      <c r="U1168" s="3">
        <v>57.9</v>
      </c>
      <c r="V1168" s="4">
        <f t="shared" si="58"/>
        <v>9.1727038879282935E-12</v>
      </c>
      <c r="W1168" s="3">
        <f t="shared" si="60"/>
        <v>2</v>
      </c>
      <c r="X1168" s="3">
        <f t="shared" si="59"/>
        <v>1.8345407775856587E-11</v>
      </c>
    </row>
    <row r="1169" spans="21:24">
      <c r="U1169" s="3">
        <v>57.95</v>
      </c>
      <c r="V1169" s="4">
        <f t="shared" si="58"/>
        <v>8.4159171039469362E-12</v>
      </c>
      <c r="W1169" s="3">
        <f t="shared" si="60"/>
        <v>4</v>
      </c>
      <c r="X1169" s="3">
        <f t="shared" si="59"/>
        <v>3.3663668415787745E-11</v>
      </c>
    </row>
    <row r="1170" spans="21:24">
      <c r="U1170" s="3">
        <v>58</v>
      </c>
      <c r="V1170" s="4">
        <f t="shared" si="58"/>
        <v>7.7193158272803078E-12</v>
      </c>
      <c r="W1170" s="3">
        <f t="shared" si="60"/>
        <v>2</v>
      </c>
      <c r="X1170" s="3">
        <f t="shared" si="59"/>
        <v>1.5438631654560616E-11</v>
      </c>
    </row>
    <row r="1171" spans="21:24">
      <c r="U1171" s="3">
        <v>58.05</v>
      </c>
      <c r="V1171" s="4">
        <f t="shared" si="58"/>
        <v>7.0783010072144944E-12</v>
      </c>
      <c r="W1171" s="3">
        <f t="shared" si="60"/>
        <v>4</v>
      </c>
      <c r="X1171" s="3">
        <f t="shared" si="59"/>
        <v>2.8313204028857978E-11</v>
      </c>
    </row>
    <row r="1172" spans="21:24">
      <c r="U1172" s="3">
        <v>58.1</v>
      </c>
      <c r="V1172" s="4">
        <f t="shared" si="58"/>
        <v>6.4886099765015111E-12</v>
      </c>
      <c r="W1172" s="3">
        <f t="shared" si="60"/>
        <v>2</v>
      </c>
      <c r="X1172" s="3">
        <f t="shared" si="59"/>
        <v>1.2977219953003022E-11</v>
      </c>
    </row>
    <row r="1173" spans="21:24">
      <c r="U1173" s="3">
        <v>58.15</v>
      </c>
      <c r="V1173" s="4">
        <f t="shared" si="58"/>
        <v>5.9462930123072692E-12</v>
      </c>
      <c r="W1173" s="3">
        <f t="shared" si="60"/>
        <v>4</v>
      </c>
      <c r="X1173" s="3">
        <f t="shared" si="59"/>
        <v>2.3785172049229077E-11</v>
      </c>
    </row>
    <row r="1174" spans="21:24">
      <c r="U1174" s="3">
        <v>58.2</v>
      </c>
      <c r="V1174" s="4">
        <f t="shared" si="58"/>
        <v>5.4476914438427759E-12</v>
      </c>
      <c r="W1174" s="3">
        <f t="shared" si="60"/>
        <v>2</v>
      </c>
      <c r="X1174" s="3">
        <f t="shared" si="59"/>
        <v>1.0895382887685552E-11</v>
      </c>
    </row>
    <row r="1175" spans="21:24">
      <c r="U1175" s="3">
        <v>58.25</v>
      </c>
      <c r="V1175" s="4">
        <f t="shared" si="58"/>
        <v>4.9894172107340772E-12</v>
      </c>
      <c r="W1175" s="3">
        <f t="shared" si="60"/>
        <v>4</v>
      </c>
      <c r="X1175" s="3">
        <f t="shared" si="59"/>
        <v>1.9957668842936309E-11</v>
      </c>
    </row>
    <row r="1176" spans="21:24">
      <c r="U1176" s="3">
        <v>58.3</v>
      </c>
      <c r="V1176" s="4">
        <f t="shared" si="58"/>
        <v>4.5683337817871401E-12</v>
      </c>
      <c r="W1176" s="3">
        <f t="shared" si="60"/>
        <v>2</v>
      </c>
      <c r="X1176" s="3">
        <f t="shared" si="59"/>
        <v>9.1366675635742801E-12</v>
      </c>
    </row>
    <row r="1177" spans="21:24">
      <c r="U1177" s="3">
        <v>58.35</v>
      </c>
      <c r="V1177" s="4">
        <f t="shared" si="58"/>
        <v>4.1815383489963624E-12</v>
      </c>
      <c r="W1177" s="3">
        <f t="shared" si="60"/>
        <v>4</v>
      </c>
      <c r="X1177" s="3">
        <f t="shared" si="59"/>
        <v>1.6726153395985449E-11</v>
      </c>
    </row>
    <row r="1178" spans="21:24">
      <c r="U1178" s="3">
        <v>58.4</v>
      </c>
      <c r="V1178" s="4">
        <f t="shared" si="58"/>
        <v>3.8263452166315646E-12</v>
      </c>
      <c r="W1178" s="3">
        <f t="shared" si="60"/>
        <v>2</v>
      </c>
      <c r="X1178" s="3">
        <f t="shared" si="59"/>
        <v>7.6526904332631292E-12</v>
      </c>
    </row>
    <row r="1179" spans="21:24">
      <c r="U1179" s="3">
        <v>58.45</v>
      </c>
      <c r="V1179" s="4">
        <f t="shared" si="58"/>
        <v>3.5002703099162918E-12</v>
      </c>
      <c r="W1179" s="3">
        <f t="shared" si="60"/>
        <v>4</v>
      </c>
      <c r="X1179" s="3">
        <f t="shared" si="59"/>
        <v>1.4001081239665167E-11</v>
      </c>
    </row>
    <row r="1180" spans="21:24">
      <c r="U1180" s="3">
        <v>58.5</v>
      </c>
      <c r="V1180" s="4">
        <f t="shared" si="58"/>
        <v>3.201016732257993E-12</v>
      </c>
      <c r="W1180" s="3">
        <f t="shared" si="60"/>
        <v>2</v>
      </c>
      <c r="X1180" s="3">
        <f t="shared" si="59"/>
        <v>6.4020334645159861E-12</v>
      </c>
    </row>
    <row r="1181" spans="21:24">
      <c r="U1181" s="3">
        <v>58.55</v>
      </c>
      <c r="V1181" s="4">
        <f t="shared" si="58"/>
        <v>2.9264613041921057E-12</v>
      </c>
      <c r="W1181" s="3">
        <f t="shared" si="60"/>
        <v>4</v>
      </c>
      <c r="X1181" s="3">
        <f t="shared" si="59"/>
        <v>1.1705845216768423E-11</v>
      </c>
    </row>
    <row r="1182" spans="21:24">
      <c r="U1182" s="3">
        <v>58.6</v>
      </c>
      <c r="V1182" s="4">
        <f t="shared" si="58"/>
        <v>2.6746420211720662E-12</v>
      </c>
      <c r="W1182" s="3">
        <f t="shared" si="60"/>
        <v>2</v>
      </c>
      <c r="X1182" s="3">
        <f t="shared" si="59"/>
        <v>5.3492840423441323E-12</v>
      </c>
    </row>
    <row r="1183" spans="21:24">
      <c r="U1183" s="3">
        <v>58.65</v>
      </c>
      <c r="V1183" s="4">
        <f t="shared" si="58"/>
        <v>2.4437463710986773E-12</v>
      </c>
      <c r="W1183" s="3">
        <f t="shared" si="60"/>
        <v>4</v>
      </c>
      <c r="X1183" s="3">
        <f t="shared" si="59"/>
        <v>9.774985484394709E-12</v>
      </c>
    </row>
    <row r="1184" spans="21:24">
      <c r="U1184" s="3">
        <v>58.7</v>
      </c>
      <c r="V1184" s="4">
        <f t="shared" si="58"/>
        <v>2.2321004560264567E-12</v>
      </c>
      <c r="W1184" s="3">
        <f t="shared" si="60"/>
        <v>2</v>
      </c>
      <c r="X1184" s="3">
        <f t="shared" si="59"/>
        <v>4.4642009120529133E-12</v>
      </c>
    </row>
    <row r="1185" spans="21:24">
      <c r="U1185" s="3">
        <v>58.75</v>
      </c>
      <c r="V1185" s="4">
        <f t="shared" si="58"/>
        <v>2.038158865840945E-12</v>
      </c>
      <c r="W1185" s="3">
        <f t="shared" si="60"/>
        <v>4</v>
      </c>
      <c r="X1185" s="3">
        <f t="shared" si="59"/>
        <v>8.1526354633637798E-12</v>
      </c>
    </row>
    <row r="1186" spans="21:24">
      <c r="U1186" s="3">
        <v>58.8</v>
      </c>
      <c r="V1186" s="4">
        <f t="shared" si="58"/>
        <v>1.860495254866777E-12</v>
      </c>
      <c r="W1186" s="3">
        <f t="shared" si="60"/>
        <v>2</v>
      </c>
      <c r="X1186" s="3">
        <f t="shared" si="59"/>
        <v>3.720990509733554E-12</v>
      </c>
    </row>
    <row r="1187" spans="21:24">
      <c r="U1187" s="3">
        <v>58.85</v>
      </c>
      <c r="V1187" s="4">
        <f t="shared" si="58"/>
        <v>1.6977935753565163E-12</v>
      </c>
      <c r="W1187" s="3">
        <f t="shared" si="60"/>
        <v>4</v>
      </c>
      <c r="X1187" s="3">
        <f t="shared" si="59"/>
        <v>6.7911743014260651E-12</v>
      </c>
    </row>
    <row r="1188" spans="21:24">
      <c r="U1188" s="3">
        <v>58.9</v>
      </c>
      <c r="V1188" s="4">
        <f t="shared" si="58"/>
        <v>1.5488399246293684E-12</v>
      </c>
      <c r="W1188" s="3">
        <f t="shared" si="60"/>
        <v>2</v>
      </c>
      <c r="X1188" s="3">
        <f t="shared" si="59"/>
        <v>3.0976798492587368E-12</v>
      </c>
    </row>
    <row r="1189" spans="21:24">
      <c r="U1189" s="3">
        <v>58.95</v>
      </c>
      <c r="V1189" s="4">
        <f t="shared" si="58"/>
        <v>1.4125149652960676E-12</v>
      </c>
      <c r="W1189" s="3">
        <f t="shared" si="60"/>
        <v>4</v>
      </c>
      <c r="X1189" s="3">
        <f t="shared" si="59"/>
        <v>5.6500598611842705E-12</v>
      </c>
    </row>
    <row r="1190" spans="21:24">
      <c r="U1190" s="3">
        <v>59</v>
      </c>
      <c r="V1190" s="4">
        <f t="shared" si="58"/>
        <v>1.2877868805087469E-12</v>
      </c>
      <c r="W1190" s="3">
        <f t="shared" si="60"/>
        <v>2</v>
      </c>
      <c r="X1190" s="3">
        <f t="shared" si="59"/>
        <v>2.5755737610174939E-12</v>
      </c>
    </row>
    <row r="1191" spans="21:24">
      <c r="U1191" s="3">
        <v>59.05</v>
      </c>
      <c r="V1191" s="4">
        <f t="shared" si="58"/>
        <v>1.1737048285487467E-12</v>
      </c>
      <c r="W1191" s="3">
        <f t="shared" si="60"/>
        <v>4</v>
      </c>
      <c r="X1191" s="3">
        <f t="shared" si="59"/>
        <v>4.6948193141949868E-12</v>
      </c>
    </row>
    <row r="1192" spans="21:24">
      <c r="U1192" s="3">
        <v>59.1</v>
      </c>
      <c r="V1192" s="4">
        <f t="shared" si="58"/>
        <v>1.069392863294079E-12</v>
      </c>
      <c r="W1192" s="3">
        <f t="shared" si="60"/>
        <v>2</v>
      </c>
      <c r="X1192" s="3">
        <f t="shared" si="59"/>
        <v>2.1387857265881581E-12</v>
      </c>
    </row>
    <row r="1193" spans="21:24">
      <c r="U1193" s="3">
        <v>59.15</v>
      </c>
      <c r="V1193" s="4">
        <f t="shared" si="58"/>
        <v>9.7404428920207073E-13</v>
      </c>
      <c r="W1193" s="3">
        <f t="shared" si="60"/>
        <v>4</v>
      </c>
      <c r="X1193" s="3">
        <f t="shared" si="59"/>
        <v>3.8961771568082829E-12</v>
      </c>
    </row>
    <row r="1194" spans="21:24">
      <c r="U1194" s="3">
        <v>59.2</v>
      </c>
      <c r="V1194" s="4">
        <f t="shared" si="58"/>
        <v>8.869164214376154E-13</v>
      </c>
      <c r="W1194" s="3">
        <f t="shared" si="60"/>
        <v>2</v>
      </c>
      <c r="X1194" s="3">
        <f t="shared" si="59"/>
        <v>1.7738328428752308E-12</v>
      </c>
    </row>
    <row r="1195" spans="21:24">
      <c r="U1195" s="3">
        <v>59.25</v>
      </c>
      <c r="V1195" s="4">
        <f t="shared" si="58"/>
        <v>8.0732572362422558E-13</v>
      </c>
      <c r="W1195" s="3">
        <f t="shared" si="60"/>
        <v>4</v>
      </c>
      <c r="X1195" s="3">
        <f t="shared" si="59"/>
        <v>3.2293028944969023E-12</v>
      </c>
    </row>
    <row r="1196" spans="21:24">
      <c r="U1196" s="3">
        <v>59.3</v>
      </c>
      <c r="V1196" s="4">
        <f t="shared" si="58"/>
        <v>7.346432974614574E-13</v>
      </c>
      <c r="W1196" s="3">
        <f t="shared" si="60"/>
        <v>2</v>
      </c>
      <c r="X1196" s="3">
        <f t="shared" si="59"/>
        <v>1.4692865949229148E-12</v>
      </c>
    </row>
    <row r="1197" spans="21:24">
      <c r="U1197" s="3">
        <v>59.35</v>
      </c>
      <c r="V1197" s="4">
        <f t="shared" si="58"/>
        <v>6.6829070009436379E-13</v>
      </c>
      <c r="W1197" s="3">
        <f t="shared" si="60"/>
        <v>4</v>
      </c>
      <c r="X1197" s="3">
        <f t="shared" si="59"/>
        <v>2.6731628003774552E-12</v>
      </c>
    </row>
    <row r="1198" spans="21:24">
      <c r="U1198" s="3">
        <v>59.4</v>
      </c>
      <c r="V1198" s="4">
        <f t="shared" si="58"/>
        <v>6.0773606667783365E-13</v>
      </c>
      <c r="W1198" s="3">
        <f t="shared" si="60"/>
        <v>2</v>
      </c>
      <c r="X1198" s="3">
        <f t="shared" si="59"/>
        <v>1.2154721333556673E-12</v>
      </c>
    </row>
    <row r="1199" spans="21:24">
      <c r="U1199" s="3">
        <v>59.45</v>
      </c>
      <c r="V1199" s="4">
        <f t="shared" si="58"/>
        <v>5.5249051703473326E-13</v>
      </c>
      <c r="W1199" s="3">
        <f t="shared" si="60"/>
        <v>4</v>
      </c>
      <c r="X1199" s="3">
        <f t="shared" si="59"/>
        <v>2.209962068138933E-12</v>
      </c>
    </row>
    <row r="1200" spans="21:24">
      <c r="U1200" s="3">
        <v>59.5</v>
      </c>
      <c r="V1200" s="4">
        <f t="shared" si="58"/>
        <v>5.0210482667951916E-13</v>
      </c>
      <c r="W1200" s="3">
        <f t="shared" si="60"/>
        <v>2</v>
      </c>
      <c r="X1200" s="3">
        <f t="shared" si="59"/>
        <v>1.0042096533590383E-12</v>
      </c>
    </row>
    <row r="1201" spans="21:24">
      <c r="U1201" s="3">
        <v>59.55</v>
      </c>
      <c r="V1201" s="4">
        <f t="shared" si="58"/>
        <v>4.5616634376729211E-13</v>
      </c>
      <c r="W1201" s="3">
        <f t="shared" si="60"/>
        <v>4</v>
      </c>
      <c r="X1201" s="3">
        <f t="shared" si="59"/>
        <v>1.8246653750691684E-12</v>
      </c>
    </row>
    <row r="1202" spans="21:24">
      <c r="U1202" s="3">
        <v>59.6</v>
      </c>
      <c r="V1202" s="4">
        <f t="shared" si="58"/>
        <v>4.1429613473842633E-13</v>
      </c>
      <c r="W1202" s="3">
        <f t="shared" si="60"/>
        <v>2</v>
      </c>
      <c r="X1202" s="3">
        <f t="shared" si="59"/>
        <v>8.2859226947685266E-13</v>
      </c>
    </row>
    <row r="1203" spans="21:24">
      <c r="U1203" s="3">
        <v>59.65</v>
      </c>
      <c r="V1203" s="4">
        <f t="shared" si="58"/>
        <v>3.7614634256491592E-13</v>
      </c>
      <c r="W1203" s="3">
        <f t="shared" si="60"/>
        <v>4</v>
      </c>
      <c r="X1203" s="3">
        <f t="shared" si="59"/>
        <v>1.5045853702596637E-12</v>
      </c>
    </row>
    <row r="1204" spans="21:24">
      <c r="U1204" s="3">
        <v>59.7</v>
      </c>
      <c r="V1204" s="4">
        <f t="shared" si="58"/>
        <v>3.4139774257167238E-13</v>
      </c>
      <c r="W1204" s="3">
        <f t="shared" si="60"/>
        <v>2</v>
      </c>
      <c r="X1204" s="3">
        <f t="shared" si="59"/>
        <v>6.8279548514334476E-13</v>
      </c>
    </row>
    <row r="1205" spans="21:24">
      <c r="U1205" s="3">
        <v>59.75</v>
      </c>
      <c r="V1205" s="4">
        <f t="shared" si="58"/>
        <v>3.0975748180584048E-13</v>
      </c>
      <c r="W1205" s="3">
        <f t="shared" si="60"/>
        <v>4</v>
      </c>
      <c r="X1205" s="3">
        <f t="shared" si="59"/>
        <v>1.2390299272233619E-12</v>
      </c>
    </row>
    <row r="1206" spans="21:24">
      <c r="U1206" s="3">
        <v>59.8</v>
      </c>
      <c r="V1206" s="4">
        <f t="shared" si="58"/>
        <v>2.8095698886604857E-13</v>
      </c>
      <c r="W1206" s="3">
        <f t="shared" si="60"/>
        <v>2</v>
      </c>
      <c r="X1206" s="3">
        <f t="shared" si="59"/>
        <v>5.6191397773209714E-13</v>
      </c>
    </row>
    <row r="1207" spans="21:24">
      <c r="U1207" s="3">
        <v>59.85</v>
      </c>
      <c r="V1207" s="4">
        <f t="shared" si="58"/>
        <v>2.5475004198336181E-13</v>
      </c>
      <c r="W1207" s="3">
        <f t="shared" si="60"/>
        <v>4</v>
      </c>
      <c r="X1207" s="3">
        <f t="shared" si="59"/>
        <v>1.0190001679334472E-12</v>
      </c>
    </row>
    <row r="1208" spans="21:24">
      <c r="U1208" s="3">
        <v>59.9</v>
      </c>
      <c r="V1208" s="4">
        <f t="shared" si="58"/>
        <v>2.309109839698856E-13</v>
      </c>
      <c r="W1208" s="3">
        <f t="shared" si="60"/>
        <v>2</v>
      </c>
      <c r="X1208" s="3">
        <f t="shared" si="59"/>
        <v>4.6182196793977121E-13</v>
      </c>
    </row>
    <row r="1209" spans="21:24">
      <c r="U1209" s="3">
        <v>59.95</v>
      </c>
      <c r="V1209" s="4">
        <f t="shared" si="58"/>
        <v>2.0923307342448949E-13</v>
      </c>
      <c r="W1209" s="3">
        <f t="shared" si="60"/>
        <v>4</v>
      </c>
      <c r="X1209" s="3">
        <f t="shared" si="59"/>
        <v>8.3693229369795796E-13</v>
      </c>
    </row>
    <row r="1210" spans="21:24">
      <c r="U1210" s="3">
        <v>60</v>
      </c>
      <c r="V1210" s="4">
        <f t="shared" si="58"/>
        <v>1.8952696230736351E-13</v>
      </c>
      <c r="W1210" s="3">
        <v>1</v>
      </c>
      <c r="X1210" s="3">
        <f t="shared" si="59"/>
        <v>1.8952696230736351E-13</v>
      </c>
    </row>
  </sheetData>
  <phoneticPr fontId="4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="125" zoomScaleNormal="125" zoomScalePageLayoutView="125" workbookViewId="0"/>
  </sheetViews>
  <sheetFormatPr baseColWidth="10" defaultRowHeight="12" x14ac:dyDescent="0"/>
  <sheetData>
    <row r="1" spans="1:10" ht="15">
      <c r="A1" s="70" t="s">
        <v>735</v>
      </c>
    </row>
    <row r="3" spans="1:10">
      <c r="A3" s="52" t="s">
        <v>9</v>
      </c>
      <c r="B3" s="51">
        <v>1E-4</v>
      </c>
    </row>
    <row r="4" spans="1:10">
      <c r="A4" s="52" t="s">
        <v>10</v>
      </c>
      <c r="B4" s="51">
        <v>4.0000000000000002E-4</v>
      </c>
      <c r="C4" s="9"/>
      <c r="D4" s="6"/>
      <c r="E4" s="9"/>
      <c r="F4" s="6"/>
      <c r="G4" s="9"/>
      <c r="H4" s="6"/>
      <c r="I4" s="9"/>
      <c r="J4" s="6"/>
    </row>
    <row r="5" spans="1:10">
      <c r="A5" s="52" t="s">
        <v>24</v>
      </c>
      <c r="B5" s="51">
        <v>1.07</v>
      </c>
      <c r="C5" s="9"/>
      <c r="D5" s="6"/>
      <c r="E5" s="9"/>
      <c r="F5" s="6"/>
      <c r="G5" s="9"/>
      <c r="H5" s="6"/>
      <c r="I5" s="9"/>
      <c r="J5" s="6"/>
    </row>
    <row r="6" spans="1:10">
      <c r="A6" s="52" t="s">
        <v>74</v>
      </c>
      <c r="B6" s="61">
        <v>0.05</v>
      </c>
      <c r="C6" s="9"/>
      <c r="D6" s="6"/>
      <c r="E6" s="9"/>
      <c r="F6" s="6"/>
      <c r="G6" s="9"/>
      <c r="H6" s="6"/>
      <c r="I6" s="9"/>
      <c r="J6" s="6"/>
    </row>
    <row r="7" spans="1:10">
      <c r="A7" s="52" t="s">
        <v>82</v>
      </c>
      <c r="B7" s="51">
        <v>30</v>
      </c>
      <c r="C7" s="9"/>
      <c r="D7" s="6"/>
      <c r="E7" s="9"/>
      <c r="F7" s="6"/>
      <c r="G7" s="9"/>
      <c r="H7" s="6"/>
      <c r="I7" s="9"/>
      <c r="J7" s="6"/>
    </row>
    <row r="8" spans="1:10">
      <c r="A8" s="9" t="s">
        <v>27</v>
      </c>
      <c r="B8" s="18">
        <f>EXP(-B3)</f>
        <v>0.99990000499983334</v>
      </c>
      <c r="C8" s="9"/>
      <c r="D8" s="6"/>
      <c r="E8" s="9"/>
      <c r="F8" s="6"/>
      <c r="G8" s="9"/>
      <c r="H8" s="6"/>
      <c r="I8" s="9"/>
      <c r="J8" s="6"/>
    </row>
    <row r="9" spans="1:10">
      <c r="A9" s="9" t="s">
        <v>25</v>
      </c>
      <c r="B9" s="18">
        <f>EXP(-B4/LN(B5))</f>
        <v>0.99410541106603345</v>
      </c>
      <c r="C9" s="9"/>
      <c r="D9" s="6"/>
      <c r="E9" s="9"/>
      <c r="F9" s="6"/>
      <c r="G9" s="9"/>
      <c r="H9" s="6"/>
      <c r="I9" s="9"/>
      <c r="J9" s="6"/>
    </row>
    <row r="10" spans="1:10">
      <c r="A10" s="9"/>
      <c r="B10" s="6"/>
      <c r="C10" s="9"/>
      <c r="D10" s="6"/>
      <c r="E10" s="9"/>
      <c r="F10" s="6"/>
      <c r="G10" s="9"/>
      <c r="H10" s="6"/>
      <c r="I10" s="9"/>
      <c r="J10" s="6"/>
    </row>
    <row r="11" spans="1:10">
      <c r="A11" s="9"/>
      <c r="B11" s="6"/>
      <c r="C11" s="9"/>
      <c r="D11" s="6"/>
      <c r="E11" s="9"/>
      <c r="F11" s="6"/>
      <c r="G11" s="9"/>
      <c r="H11" s="6"/>
      <c r="I11" s="9"/>
      <c r="J11" s="6"/>
    </row>
    <row r="12" spans="1:10">
      <c r="B12" t="s">
        <v>296</v>
      </c>
    </row>
    <row r="13" spans="1:10">
      <c r="A13" s="66" t="s">
        <v>178</v>
      </c>
      <c r="B13" s="66" t="s">
        <v>91</v>
      </c>
      <c r="C13" s="66" t="s">
        <v>298</v>
      </c>
      <c r="D13" s="66" t="s">
        <v>299</v>
      </c>
      <c r="E13" s="66" t="s">
        <v>297</v>
      </c>
      <c r="F13" s="66" t="s">
        <v>85</v>
      </c>
      <c r="G13" s="66" t="s">
        <v>86</v>
      </c>
    </row>
    <row r="14" spans="1:10">
      <c r="A14" s="66">
        <v>0</v>
      </c>
      <c r="B14" s="10">
        <f>(B$8^A14)*B$9^((B$5^B$7)*((B$5^A14)-1))</f>
        <v>1</v>
      </c>
      <c r="C14" s="10">
        <f>EXP(-0.02*A14)</f>
        <v>1</v>
      </c>
      <c r="D14" s="10"/>
      <c r="E14" s="10">
        <f>B14*C14</f>
        <v>1</v>
      </c>
      <c r="F14" s="10">
        <f>(1+B$6)^-A14</f>
        <v>1</v>
      </c>
      <c r="G14" s="10">
        <f>E14*F14</f>
        <v>1</v>
      </c>
    </row>
    <row r="15" spans="1:10">
      <c r="A15" s="66">
        <v>1</v>
      </c>
      <c r="B15" s="10">
        <f t="shared" ref="B15:B48" si="0">(B$8^A15)*B$9^((B$5^B$7)*((B$5^A15)-1))</f>
        <v>0.99675500448440302</v>
      </c>
      <c r="C15" s="10">
        <f t="shared" ref="C15:C44" si="1">EXP(-0.02*A15)</f>
        <v>0.98019867330675525</v>
      </c>
      <c r="D15" s="66"/>
      <c r="E15" s="10">
        <f t="shared" ref="E15:E43" si="2">B15*C15</f>
        <v>0.97701793300748074</v>
      </c>
      <c r="F15" s="10">
        <f t="shared" ref="F15:F48" si="3">(1+B$6)^-A15</f>
        <v>0.95238095238095233</v>
      </c>
      <c r="G15" s="10">
        <f>E15*F15</f>
        <v>0.93049326953093403</v>
      </c>
    </row>
    <row r="16" spans="1:10">
      <c r="A16" s="66">
        <v>2</v>
      </c>
      <c r="B16" s="10">
        <f t="shared" si="0"/>
        <v>0.99330147292901283</v>
      </c>
      <c r="C16" s="10">
        <f t="shared" si="1"/>
        <v>0.96078943915232318</v>
      </c>
      <c r="D16" s="66"/>
      <c r="E16" s="10">
        <f t="shared" si="2"/>
        <v>0.95435356508464275</v>
      </c>
      <c r="F16" s="10">
        <f t="shared" si="3"/>
        <v>0.90702947845804982</v>
      </c>
      <c r="G16" s="10">
        <f t="shared" ref="G16:G48" si="4">E16*F16</f>
        <v>0.86562681640330397</v>
      </c>
    </row>
    <row r="17" spans="1:7">
      <c r="A17" s="66">
        <v>3</v>
      </c>
      <c r="B17" s="10">
        <f t="shared" si="0"/>
        <v>0.98962637187722491</v>
      </c>
      <c r="C17" s="10">
        <f t="shared" si="1"/>
        <v>0.94176453358424872</v>
      </c>
      <c r="D17" s="66"/>
      <c r="E17" s="10">
        <f t="shared" si="2"/>
        <v>0.93199501853362698</v>
      </c>
      <c r="F17" s="10">
        <f t="shared" si="3"/>
        <v>0.86383759853147601</v>
      </c>
      <c r="G17" s="10">
        <f t="shared" si="4"/>
        <v>0.80509233865338681</v>
      </c>
    </row>
    <row r="18" spans="1:7">
      <c r="A18" s="66">
        <v>4</v>
      </c>
      <c r="B18" s="10">
        <f t="shared" si="0"/>
        <v>0.98571597093503116</v>
      </c>
      <c r="C18" s="10">
        <f t="shared" si="1"/>
        <v>0.92311634638663576</v>
      </c>
      <c r="D18" s="66"/>
      <c r="E18" s="10">
        <f t="shared" si="2"/>
        <v>0.90993052566450117</v>
      </c>
      <c r="F18" s="10">
        <f t="shared" si="3"/>
        <v>0.82270247479188197</v>
      </c>
      <c r="G18" s="10">
        <f t="shared" si="4"/>
        <v>0.74860209535286315</v>
      </c>
    </row>
    <row r="19" spans="1:7">
      <c r="A19" s="66">
        <v>5</v>
      </c>
      <c r="B19" s="10">
        <f t="shared" si="0"/>
        <v>0.98155582300458666</v>
      </c>
      <c r="C19" s="10">
        <f t="shared" si="1"/>
        <v>0.90483741803595952</v>
      </c>
      <c r="D19" s="66"/>
      <c r="E19" s="10">
        <f t="shared" si="2"/>
        <v>0.88814843654563147</v>
      </c>
      <c r="F19" s="10">
        <f t="shared" si="3"/>
        <v>0.78352616646845896</v>
      </c>
      <c r="G19" s="10">
        <f t="shared" si="4"/>
        <v>0.69588753974155404</v>
      </c>
    </row>
    <row r="20" spans="1:7">
      <c r="A20" s="66">
        <v>6</v>
      </c>
      <c r="B20" s="10">
        <f t="shared" si="0"/>
        <v>0.9771307468847813</v>
      </c>
      <c r="C20" s="10">
        <f t="shared" si="1"/>
        <v>0.88692043671715748</v>
      </c>
      <c r="D20" s="66"/>
      <c r="E20" s="10">
        <f t="shared" si="2"/>
        <v>0.86663722875681248</v>
      </c>
      <c r="F20" s="10">
        <f t="shared" si="3"/>
        <v>0.74621539663662761</v>
      </c>
      <c r="G20" s="10">
        <f t="shared" si="4"/>
        <v>0.64669804339683257</v>
      </c>
    </row>
    <row r="21" spans="1:7">
      <c r="A21" s="66">
        <v>7</v>
      </c>
      <c r="B21" s="10">
        <f t="shared" si="0"/>
        <v>0.97242481285261551</v>
      </c>
      <c r="C21" s="10">
        <f t="shared" si="1"/>
        <v>0.86935823539880586</v>
      </c>
      <c r="D21" s="66"/>
      <c r="E21" s="10">
        <f t="shared" si="2"/>
        <v>0.84538551935956385</v>
      </c>
      <c r="F21" s="10">
        <f t="shared" si="3"/>
        <v>0.71068133013012147</v>
      </c>
      <c r="G21" s="10">
        <f t="shared" si="4"/>
        <v>0.60079970537119842</v>
      </c>
    </row>
    <row r="22" spans="1:7">
      <c r="A22" s="66">
        <v>8</v>
      </c>
      <c r="B22" s="10">
        <f t="shared" si="0"/>
        <v>0.96742133192729818</v>
      </c>
      <c r="C22" s="10">
        <f t="shared" si="1"/>
        <v>0.85214378896621135</v>
      </c>
      <c r="D22" s="66"/>
      <c r="E22" s="10">
        <f t="shared" si="2"/>
        <v>0.82438207931526664</v>
      </c>
      <c r="F22" s="10">
        <f t="shared" si="3"/>
        <v>0.67683936202868722</v>
      </c>
      <c r="G22" s="10">
        <f t="shared" si="4"/>
        <v>0.5579742406316277</v>
      </c>
    </row>
    <row r="23" spans="1:7">
      <c r="A23" s="66">
        <v>9</v>
      </c>
      <c r="B23" s="10">
        <f t="shared" si="0"/>
        <v>0.96210284961583659</v>
      </c>
      <c r="C23" s="10">
        <f t="shared" si="1"/>
        <v>0.835270211411272</v>
      </c>
      <c r="D23" s="66"/>
      <c r="E23" s="10">
        <f t="shared" si="2"/>
        <v>0.80361585059800711</v>
      </c>
      <c r="F23" s="10">
        <f t="shared" si="3"/>
        <v>0.64460891621779726</v>
      </c>
      <c r="G23" s="10">
        <f t="shared" si="4"/>
        <v>0.51801794250942468</v>
      </c>
    </row>
    <row r="24" spans="1:7">
      <c r="A24" s="66">
        <v>10</v>
      </c>
      <c r="B24" s="10">
        <f t="shared" si="0"/>
        <v>0.95645114504468309</v>
      </c>
      <c r="C24" s="10">
        <f t="shared" si="1"/>
        <v>0.81873075307798182</v>
      </c>
      <c r="D24" s="66"/>
      <c r="E24" s="10">
        <f t="shared" si="2"/>
        <v>0.78307596626473142</v>
      </c>
      <c r="F24" s="10">
        <f t="shared" si="3"/>
        <v>0.61391325354075932</v>
      </c>
      <c r="G24" s="10">
        <f t="shared" si="4"/>
        <v>0.48074071421915515</v>
      </c>
    </row>
    <row r="25" spans="1:7">
      <c r="A25" s="66">
        <v>11</v>
      </c>
      <c r="B25" s="10">
        <f t="shared" si="0"/>
        <v>0.95044723649680873</v>
      </c>
      <c r="C25" s="10">
        <f t="shared" si="1"/>
        <v>0.80251879796247849</v>
      </c>
      <c r="D25" s="66"/>
      <c r="E25" s="10">
        <f t="shared" si="2"/>
        <v>0.76275177376017844</v>
      </c>
      <c r="F25" s="10">
        <f t="shared" si="3"/>
        <v>0.5846792890864374</v>
      </c>
      <c r="G25" s="10">
        <f t="shared" si="4"/>
        <v>0.44596516483152027</v>
      </c>
    </row>
    <row r="26" spans="1:7">
      <c r="A26" s="66">
        <v>12</v>
      </c>
      <c r="B26" s="10">
        <f t="shared" si="0"/>
        <v>0.94407139449718014</v>
      </c>
      <c r="C26" s="10">
        <f t="shared" si="1"/>
        <v>0.78662786106655347</v>
      </c>
      <c r="D26" s="66"/>
      <c r="E26" s="10">
        <f t="shared" si="2"/>
        <v>0.74263286174743526</v>
      </c>
      <c r="F26" s="10">
        <f t="shared" si="3"/>
        <v>0.5568374181775595</v>
      </c>
      <c r="G26" s="10">
        <f t="shared" si="4"/>
        <v>0.41352576538925434</v>
      </c>
    </row>
    <row r="27" spans="1:7">
      <c r="A27" s="66">
        <v>13</v>
      </c>
      <c r="B27" s="10">
        <f t="shared" si="0"/>
        <v>0.93730316372154732</v>
      </c>
      <c r="C27" s="10">
        <f t="shared" si="1"/>
        <v>0.77105158580356625</v>
      </c>
      <c r="D27" s="66"/>
      <c r="E27" s="10">
        <f t="shared" si="2"/>
        <v>0.72270909076619871</v>
      </c>
      <c r="F27" s="10">
        <f t="shared" si="3"/>
        <v>0.53032135064529462</v>
      </c>
      <c r="G27" s="10">
        <f t="shared" si="4"/>
        <v>0.38326806113876333</v>
      </c>
    </row>
    <row r="28" spans="1:7">
      <c r="A28" s="66">
        <v>14</v>
      </c>
      <c r="B28" s="10">
        <f t="shared" si="0"/>
        <v>0.93012139514283609</v>
      </c>
      <c r="C28" s="10">
        <f t="shared" si="1"/>
        <v>0.75578374145572547</v>
      </c>
      <c r="D28" s="66"/>
      <c r="E28" s="10">
        <f t="shared" si="2"/>
        <v>0.70297062802907195</v>
      </c>
      <c r="F28" s="10">
        <f t="shared" si="3"/>
        <v>0.50506795299551888</v>
      </c>
      <c r="G28" s="10">
        <f t="shared" si="4"/>
        <v>0.35504793611461771</v>
      </c>
    </row>
    <row r="29" spans="1:7">
      <c r="A29" s="66">
        <v>15</v>
      </c>
      <c r="B29" s="10">
        <f t="shared" si="0"/>
        <v>0.92250428997488321</v>
      </c>
      <c r="C29" s="10">
        <f t="shared" si="1"/>
        <v>0.74081822068171788</v>
      </c>
      <c r="D29" s="66"/>
      <c r="E29" s="10">
        <f t="shared" si="2"/>
        <v>0.68340798667044445</v>
      </c>
      <c r="F29" s="10">
        <f t="shared" si="3"/>
        <v>0.48101709809097021</v>
      </c>
      <c r="G29" s="10">
        <f t="shared" si="4"/>
        <v>0.32873092656040964</v>
      </c>
    </row>
    <row r="30" spans="1:7">
      <c r="A30" s="66">
        <v>16</v>
      </c>
      <c r="B30" s="10">
        <f t="shared" si="0"/>
        <v>0.91442945712280577</v>
      </c>
      <c r="C30" s="10">
        <f t="shared" si="1"/>
        <v>0.72614903707369094</v>
      </c>
      <c r="D30" s="66"/>
      <c r="E30" s="10">
        <f t="shared" si="2"/>
        <v>0.66401206976154337</v>
      </c>
      <c r="F30" s="10">
        <f t="shared" si="3"/>
        <v>0.45811152199140021</v>
      </c>
      <c r="G30" s="10">
        <f t="shared" si="4"/>
        <v>0.30419157989912043</v>
      </c>
    </row>
    <row r="31" spans="1:7">
      <c r="A31" s="66">
        <v>17</v>
      </c>
      <c r="B31" s="10">
        <f t="shared" si="0"/>
        <v>0.90587398600023128</v>
      </c>
      <c r="C31" s="10">
        <f t="shared" si="1"/>
        <v>0.71177032276260965</v>
      </c>
      <c r="D31" s="66"/>
      <c r="E31" s="10">
        <f t="shared" si="2"/>
        <v>0.64477421939763635</v>
      </c>
      <c r="F31" s="10">
        <f t="shared" si="3"/>
        <v>0.43629668761085727</v>
      </c>
      <c r="G31" s="10">
        <f t="shared" si="4"/>
        <v>0.28131285618006491</v>
      </c>
    </row>
    <row r="32" spans="1:7">
      <c r="A32" s="66">
        <v>18</v>
      </c>
      <c r="B32" s="10">
        <f t="shared" si="0"/>
        <v>0.89681453672228706</v>
      </c>
      <c r="C32" s="10">
        <f t="shared" si="1"/>
        <v>0.69767632607103103</v>
      </c>
      <c r="D32" s="66"/>
      <c r="E32" s="10">
        <f t="shared" si="2"/>
        <v>0.62568627114749897</v>
      </c>
      <c r="F32" s="10">
        <f t="shared" si="3"/>
        <v>0.41552065486748313</v>
      </c>
      <c r="G32" s="10">
        <f t="shared" si="4"/>
        <v>0.25998556912880239</v>
      </c>
    </row>
    <row r="33" spans="1:7">
      <c r="A33" s="66">
        <v>19</v>
      </c>
      <c r="B33" s="10">
        <f t="shared" si="0"/>
        <v>0.88722744982500235</v>
      </c>
      <c r="C33" s="10">
        <f t="shared" si="1"/>
        <v>0.68386140921235583</v>
      </c>
      <c r="D33" s="66"/>
      <c r="E33" s="10">
        <f t="shared" si="2"/>
        <v>0.60674061412921088</v>
      </c>
      <c r="F33" s="10">
        <f t="shared" si="3"/>
        <v>0.39573395701665059</v>
      </c>
      <c r="G33" s="10">
        <f t="shared" si="4"/>
        <v>0.24010786411206533</v>
      </c>
    </row>
    <row r="34" spans="1:7">
      <c r="A34" s="66">
        <v>20</v>
      </c>
      <c r="B34" s="10">
        <f t="shared" si="0"/>
        <v>0.87708887779060873</v>
      </c>
      <c r="C34" s="10">
        <f t="shared" si="1"/>
        <v>0.67032004603563933</v>
      </c>
      <c r="D34" s="66"/>
      <c r="E34" s="10">
        <f t="shared" si="2"/>
        <v>0.58793025693794809</v>
      </c>
      <c r="F34" s="10">
        <f t="shared" si="3"/>
        <v>0.37688948287300061</v>
      </c>
      <c r="G34" s="10">
        <f t="shared" si="4"/>
        <v>0.22158473050273364</v>
      </c>
    </row>
    <row r="35" spans="1:7">
      <c r="A35" s="66">
        <v>21</v>
      </c>
      <c r="B35" s="10">
        <f t="shared" si="0"/>
        <v>0.86637494076672239</v>
      </c>
      <c r="C35" s="10">
        <f t="shared" si="1"/>
        <v>0.65704681981505675</v>
      </c>
      <c r="D35" s="66"/>
      <c r="E35" s="10">
        <f t="shared" si="2"/>
        <v>0.5692488995982331</v>
      </c>
      <c r="F35" s="10">
        <f t="shared" si="3"/>
        <v>0.35894236464095297</v>
      </c>
      <c r="G35" s="10">
        <f t="shared" si="4"/>
        <v>0.20432754609105022</v>
      </c>
    </row>
    <row r="36" spans="1:7">
      <c r="A36" s="66">
        <v>22</v>
      </c>
      <c r="B36" s="10">
        <f t="shared" si="0"/>
        <v>0.85506190894640133</v>
      </c>
      <c r="C36" s="10">
        <f t="shared" si="1"/>
        <v>0.64403642108314141</v>
      </c>
      <c r="D36" s="66"/>
      <c r="E36" s="10">
        <f t="shared" si="2"/>
        <v>0.55069101164235923</v>
      </c>
      <c r="F36" s="10">
        <f t="shared" si="3"/>
        <v>0.3418498710866219</v>
      </c>
      <c r="G36" s="10">
        <f t="shared" si="4"/>
        <v>0.18825365133850192</v>
      </c>
    </row>
    <row r="37" spans="1:7">
      <c r="A37" s="66">
        <v>23</v>
      </c>
      <c r="B37" s="10">
        <f t="shared" si="0"/>
        <v>0.84312641411456435</v>
      </c>
      <c r="C37" s="10">
        <f t="shared" si="1"/>
        <v>0.63128364550692595</v>
      </c>
      <c r="D37" s="66"/>
      <c r="E37" s="10">
        <f t="shared" si="2"/>
        <v>0.53225191632542423</v>
      </c>
      <c r="F37" s="10">
        <f t="shared" si="3"/>
        <v>0.32557130579678267</v>
      </c>
      <c r="G37" s="10">
        <f t="shared" si="4"/>
        <v>0.17328595141090827</v>
      </c>
    </row>
    <row r="38" spans="1:7">
      <c r="A38" s="66">
        <v>24</v>
      </c>
      <c r="B38" s="10">
        <f t="shared" si="0"/>
        <v>0.83054569285102653</v>
      </c>
      <c r="C38" s="10">
        <f t="shared" si="1"/>
        <v>0.61878339180614084</v>
      </c>
      <c r="D38" s="66"/>
      <c r="E38" s="10">
        <f t="shared" si="2"/>
        <v>0.51392788087233943</v>
      </c>
      <c r="F38" s="10">
        <f t="shared" si="3"/>
        <v>0.31006791028265024</v>
      </c>
      <c r="G38" s="10">
        <f t="shared" si="4"/>
        <v>0.15935254405807711</v>
      </c>
    </row>
    <row r="39" spans="1:7">
      <c r="A39" s="66">
        <v>25</v>
      </c>
      <c r="B39" s="10">
        <f t="shared" si="0"/>
        <v>0.81729786379598512</v>
      </c>
      <c r="C39" s="10">
        <f t="shared" si="1"/>
        <v>0.60653065971263342</v>
      </c>
      <c r="D39" s="66"/>
      <c r="E39" s="10">
        <f t="shared" si="2"/>
        <v>0.49571621250990489</v>
      </c>
      <c r="F39" s="10">
        <f t="shared" si="3"/>
        <v>0.29530277169776209</v>
      </c>
      <c r="G39" s="10">
        <f t="shared" si="4"/>
        <v>0.14638637152969175</v>
      </c>
    </row>
    <row r="40" spans="1:7">
      <c r="A40" s="66">
        <v>26</v>
      </c>
      <c r="B40" s="10">
        <f t="shared" si="0"/>
        <v>0.80336224121220157</v>
      </c>
      <c r="C40" s="10">
        <f t="shared" si="1"/>
        <v>0.59452054797019438</v>
      </c>
      <c r="D40" s="66"/>
      <c r="E40" s="10">
        <f t="shared" si="2"/>
        <v>0.47761535986404152</v>
      </c>
      <c r="F40" s="10">
        <f t="shared" si="3"/>
        <v>0.28124073495024959</v>
      </c>
      <c r="G40" s="10">
        <f t="shared" si="4"/>
        <v>0.13432489483169097</v>
      </c>
    </row>
    <row r="41" spans="1:7">
      <c r="A41" s="66">
        <v>27</v>
      </c>
      <c r="B41" s="10">
        <f t="shared" si="0"/>
        <v>0.78871968679891102</v>
      </c>
      <c r="C41" s="10">
        <f t="shared" si="1"/>
        <v>0.58274825237398964</v>
      </c>
      <c r="D41" s="66"/>
      <c r="E41" s="10">
        <f t="shared" si="2"/>
        <v>0.45962501909502584</v>
      </c>
      <c r="F41" s="10">
        <f t="shared" si="3"/>
        <v>0.2678483190002377</v>
      </c>
      <c r="G41" s="10">
        <f t="shared" si="4"/>
        <v>0.12310978873505482</v>
      </c>
    </row>
    <row r="42" spans="1:7">
      <c r="A42" s="66">
        <v>28</v>
      </c>
      <c r="B42" s="10">
        <f t="shared" si="0"/>
        <v>0.77335300130269991</v>
      </c>
      <c r="C42" s="10">
        <f t="shared" si="1"/>
        <v>0.57120906384881487</v>
      </c>
      <c r="D42" s="66"/>
      <c r="E42" s="10">
        <f t="shared" si="2"/>
        <v>0.44174624389878653</v>
      </c>
      <c r="F42" s="10">
        <f t="shared" si="3"/>
        <v>0.25509363714308358</v>
      </c>
      <c r="G42" s="10">
        <f t="shared" si="4"/>
        <v>0.11268665605043715</v>
      </c>
    </row>
    <row r="43" spans="1:7">
      <c r="A43" s="66">
        <v>29</v>
      </c>
      <c r="B43" s="10">
        <f t="shared" si="0"/>
        <v>0.75724735690499367</v>
      </c>
      <c r="C43" s="10">
        <f t="shared" si="1"/>
        <v>0.55989836656540204</v>
      </c>
      <c r="D43" s="66"/>
      <c r="E43" s="10">
        <f t="shared" si="2"/>
        <v>0.42398155821707395</v>
      </c>
      <c r="F43" s="10">
        <f t="shared" si="3"/>
        <v>0.24294632108865097</v>
      </c>
      <c r="G43" s="10">
        <f t="shared" si="4"/>
        <v>0.10300475977827181</v>
      </c>
    </row>
    <row r="44" spans="1:7">
      <c r="A44" s="66">
        <v>30</v>
      </c>
      <c r="B44" s="10">
        <f t="shared" si="0"/>
        <v>0.74039077061736913</v>
      </c>
      <c r="C44" s="10">
        <f t="shared" si="1"/>
        <v>0.54881163609402639</v>
      </c>
      <c r="D44" s="66">
        <v>0.6</v>
      </c>
      <c r="E44" s="10">
        <f>B44*C44*D44</f>
        <v>0.24380104210286119</v>
      </c>
      <c r="F44" s="10">
        <f t="shared" si="3"/>
        <v>0.23137744865585813</v>
      </c>
      <c r="G44" s="10">
        <f t="shared" si="4"/>
        <v>5.6410063101399469E-2</v>
      </c>
    </row>
    <row r="45" spans="1:7">
      <c r="A45" s="66">
        <v>31</v>
      </c>
      <c r="B45" s="10">
        <f t="shared" si="0"/>
        <v>0.72277461795641851</v>
      </c>
      <c r="C45" s="10">
        <f>C$44</f>
        <v>0.54881163609402639</v>
      </c>
      <c r="D45" s="66">
        <f>D44*0.6</f>
        <v>0.36</v>
      </c>
      <c r="E45" s="10">
        <f>B45*C45*D45</f>
        <v>0.14280016341884288</v>
      </c>
      <c r="F45" s="10">
        <f t="shared" si="3"/>
        <v>0.220359474910341</v>
      </c>
      <c r="G45" s="10">
        <f t="shared" si="4"/>
        <v>3.1467369028087104E-2</v>
      </c>
    </row>
    <row r="46" spans="1:7">
      <c r="A46" s="66">
        <v>32</v>
      </c>
      <c r="B46" s="10">
        <f t="shared" si="0"/>
        <v>0.70439418497113626</v>
      </c>
      <c r="C46" s="10">
        <f>C$44</f>
        <v>0.54881163609402639</v>
      </c>
      <c r="D46" s="66">
        <f>D45*0.6</f>
        <v>0.216</v>
      </c>
      <c r="E46" s="10">
        <f>B46*C46*D46</f>
        <v>8.3501220623571543E-2</v>
      </c>
      <c r="F46" s="10">
        <f t="shared" si="3"/>
        <v>0.20986616658127716</v>
      </c>
      <c r="G46" s="10">
        <f t="shared" si="4"/>
        <v>1.7524081077126441E-2</v>
      </c>
    </row>
    <row r="47" spans="1:7">
      <c r="A47" s="66">
        <v>33</v>
      </c>
      <c r="B47" s="10">
        <f t="shared" si="0"/>
        <v>0.68524925523095437</v>
      </c>
      <c r="C47" s="10">
        <f>C$44</f>
        <v>0.54881163609402639</v>
      </c>
      <c r="D47" s="66">
        <f>D46*0.6</f>
        <v>0.12959999999999999</v>
      </c>
      <c r="E47" s="10">
        <f>B47*C47*D47</f>
        <v>4.8739030330458497E-2</v>
      </c>
      <c r="F47" s="10">
        <f t="shared" si="3"/>
        <v>0.19987253960121634</v>
      </c>
      <c r="G47" s="10">
        <f t="shared" si="4"/>
        <v>9.7415937698494496E-3</v>
      </c>
    </row>
    <row r="48" spans="1:7">
      <c r="A48" s="66">
        <v>34</v>
      </c>
      <c r="B48" s="10">
        <f t="shared" si="0"/>
        <v>0.66534472662836508</v>
      </c>
      <c r="C48" s="10">
        <f>C$44</f>
        <v>0.54881163609402639</v>
      </c>
      <c r="D48" s="66">
        <f>D47*0.6</f>
        <v>7.7759999999999996E-2</v>
      </c>
      <c r="E48" s="10">
        <f>B48*C48*D48</f>
        <v>2.8393980640303781E-2</v>
      </c>
      <c r="F48" s="10">
        <f t="shared" si="3"/>
        <v>0.19035479962020604</v>
      </c>
      <c r="G48" s="10">
        <f t="shared" si="4"/>
        <v>5.4049304952050363E-3</v>
      </c>
    </row>
    <row r="49" spans="7:7">
      <c r="G49" s="57">
        <f>SUM(G14:G48)*10000</f>
        <v>125489.33360962987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4"/>
  <sheetViews>
    <sheetView zoomScale="125" zoomScaleNormal="125" zoomScalePageLayoutView="125" workbookViewId="0"/>
  </sheetViews>
  <sheetFormatPr baseColWidth="10" defaultRowHeight="12" x14ac:dyDescent="0"/>
  <cols>
    <col min="2" max="2" width="10.83203125" style="8" customWidth="1"/>
    <col min="3" max="3" width="10.83203125" style="8"/>
  </cols>
  <sheetData>
    <row r="1" spans="1:9" ht="15">
      <c r="A1" s="70" t="s">
        <v>738</v>
      </c>
      <c r="E1" s="66"/>
      <c r="F1" s="66"/>
      <c r="G1" s="4"/>
      <c r="H1" s="66"/>
      <c r="I1" s="4"/>
    </row>
    <row r="2" spans="1:9">
      <c r="E2" s="66"/>
      <c r="F2" s="66"/>
      <c r="G2" s="4"/>
      <c r="H2" s="66"/>
      <c r="I2" s="4"/>
    </row>
    <row r="3" spans="1:9">
      <c r="A3" s="52" t="s">
        <v>270</v>
      </c>
      <c r="B3" s="92">
        <v>1E-4</v>
      </c>
      <c r="E3" s="66"/>
      <c r="F3" s="66"/>
      <c r="G3" s="4"/>
      <c r="H3" s="66"/>
      <c r="I3" s="4"/>
    </row>
    <row r="4" spans="1:9">
      <c r="A4" s="52" t="s">
        <v>271</v>
      </c>
      <c r="B4" s="92">
        <v>2.9999999999999997E-4</v>
      </c>
      <c r="E4" s="66"/>
      <c r="F4" s="66"/>
      <c r="G4" s="4"/>
      <c r="H4" s="66"/>
      <c r="I4" s="4"/>
    </row>
    <row r="5" spans="1:9">
      <c r="A5" s="52" t="s">
        <v>24</v>
      </c>
      <c r="B5" s="107">
        <v>1.075</v>
      </c>
      <c r="E5" s="66"/>
      <c r="F5" s="66"/>
      <c r="G5" s="4"/>
      <c r="H5" s="66"/>
      <c r="I5" s="4"/>
    </row>
    <row r="6" spans="1:9">
      <c r="A6" s="9" t="s">
        <v>27</v>
      </c>
      <c r="B6" s="18">
        <f>EXP(-B3)</f>
        <v>0.99990000499983334</v>
      </c>
      <c r="E6" s="66"/>
      <c r="F6" s="66"/>
      <c r="G6" s="4"/>
      <c r="H6" s="66"/>
      <c r="I6" s="4"/>
    </row>
    <row r="7" spans="1:9">
      <c r="A7" s="9" t="s">
        <v>25</v>
      </c>
      <c r="B7" s="18">
        <f>EXP(-B4/LN(B5))</f>
        <v>0.99586039972363061</v>
      </c>
      <c r="E7" s="66"/>
      <c r="F7" s="66"/>
      <c r="G7" s="4"/>
      <c r="H7" s="66"/>
      <c r="I7" s="4"/>
    </row>
    <row r="8" spans="1:9">
      <c r="E8" s="66"/>
      <c r="F8" s="66"/>
      <c r="G8" s="4"/>
      <c r="H8" s="66"/>
      <c r="I8" s="4"/>
    </row>
    <row r="9" spans="1:9">
      <c r="A9" s="1" t="s">
        <v>2</v>
      </c>
      <c r="B9" s="10"/>
      <c r="C9" s="10"/>
      <c r="D9" s="4"/>
      <c r="E9" s="66"/>
      <c r="F9" s="4"/>
      <c r="H9" s="1" t="s">
        <v>3</v>
      </c>
    </row>
    <row r="10" spans="1:9">
      <c r="A10" s="1"/>
      <c r="B10" s="10"/>
      <c r="C10" s="10"/>
      <c r="D10" s="4"/>
      <c r="E10" s="66" t="s">
        <v>120</v>
      </c>
      <c r="F10" s="4"/>
      <c r="H10" s="1"/>
    </row>
    <row r="11" spans="1:9">
      <c r="A11" s="66"/>
      <c r="B11" s="26"/>
      <c r="C11" s="26"/>
      <c r="D11" s="90"/>
      <c r="E11" s="66" t="s">
        <v>121</v>
      </c>
      <c r="F11" s="4"/>
      <c r="H11" s="66"/>
    </row>
    <row r="12" spans="1:9">
      <c r="A12" s="66" t="s">
        <v>0</v>
      </c>
      <c r="B12" s="26" t="s">
        <v>13</v>
      </c>
      <c r="C12" s="26" t="s">
        <v>273</v>
      </c>
      <c r="D12" s="90" t="s">
        <v>272</v>
      </c>
      <c r="E12" s="66" t="s">
        <v>22</v>
      </c>
      <c r="F12" s="4" t="s">
        <v>23</v>
      </c>
      <c r="H12" s="66" t="s">
        <v>23</v>
      </c>
    </row>
    <row r="13" spans="1:9">
      <c r="A13" s="66">
        <v>0</v>
      </c>
      <c r="B13" s="10">
        <f t="shared" ref="B13:B76" si="0">(B$6^A13)*B$7^((B$5^30)*((B$5^A13)-1))</f>
        <v>1</v>
      </c>
      <c r="C13" s="10">
        <f t="shared" ref="C13:C76" si="1">(B$6^A13)*B$7^((B$5^40)*((B$5^A13)-1))</f>
        <v>1</v>
      </c>
      <c r="D13" s="4">
        <f t="shared" ref="D13:D76" si="2">B$3+B$4*(B$5^(30+A13))</f>
        <v>2.7264865566906703E-3</v>
      </c>
      <c r="E13" s="66">
        <v>1</v>
      </c>
      <c r="F13" s="4">
        <f>B13*C13*D13*E13</f>
        <v>2.7264865566906703E-3</v>
      </c>
      <c r="H13" s="66">
        <f>B13*(1-C13)*D13*E13</f>
        <v>0</v>
      </c>
    </row>
    <row r="14" spans="1:9">
      <c r="A14" s="66">
        <v>0.05</v>
      </c>
      <c r="B14" s="10">
        <f t="shared" si="0"/>
        <v>0.99986344727332932</v>
      </c>
      <c r="C14" s="10">
        <f t="shared" si="1"/>
        <v>0.99972388458770833</v>
      </c>
      <c r="D14" s="4">
        <f t="shared" si="2"/>
        <v>2.736001211246408E-3</v>
      </c>
      <c r="E14" s="66">
        <v>4</v>
      </c>
      <c r="F14" s="4">
        <f>B14*C14*D14*E14</f>
        <v>1.0939489015509635E-2</v>
      </c>
      <c r="H14" s="4">
        <f>B14*(1-C14)*D14*E14</f>
        <v>3.0213957737173554E-6</v>
      </c>
    </row>
    <row r="15" spans="1:9">
      <c r="A15" s="66">
        <v>0.1</v>
      </c>
      <c r="B15" s="10">
        <f t="shared" si="0"/>
        <v>0.99972643672967287</v>
      </c>
      <c r="C15" s="10">
        <f t="shared" si="1"/>
        <v>0.99944686368292102</v>
      </c>
      <c r="D15" s="4">
        <f t="shared" si="2"/>
        <v>2.7455503333881645E-3</v>
      </c>
      <c r="E15" s="66">
        <f>IF(E14=4,2,4)</f>
        <v>2</v>
      </c>
      <c r="F15" s="4">
        <f>B15*C15*D15*E15</f>
        <v>5.4865620070218618E-3</v>
      </c>
      <c r="H15" s="4">
        <f t="shared" ref="H15:H78" si="3">B15*(1-C15)*D15*E15</f>
        <v>3.036496298368854E-6</v>
      </c>
    </row>
    <row r="16" spans="1:9">
      <c r="A16" s="66">
        <v>0.15</v>
      </c>
      <c r="B16" s="10">
        <f t="shared" si="0"/>
        <v>0.99958896683656329</v>
      </c>
      <c r="C16" s="10">
        <f t="shared" si="1"/>
        <v>0.99916893452528188</v>
      </c>
      <c r="D16" s="4">
        <f t="shared" si="2"/>
        <v>2.7551340479774838E-3</v>
      </c>
      <c r="E16" s="66">
        <f t="shared" ref="E16:E79" si="4">IF(E15=4,2,4)</f>
        <v>4</v>
      </c>
      <c r="F16" s="4">
        <f t="shared" ref="F16:F79" si="5">B16*C16*D16*E16</f>
        <v>1.1006851363479481E-2</v>
      </c>
      <c r="H16" s="4">
        <f t="shared" si="3"/>
        <v>9.1550225767256177E-6</v>
      </c>
    </row>
    <row r="17" spans="1:8">
      <c r="A17" s="66">
        <v>0.2</v>
      </c>
      <c r="B17" s="10">
        <f t="shared" si="0"/>
        <v>0.9994510360568627</v>
      </c>
      <c r="C17" s="10">
        <f t="shared" si="1"/>
        <v>0.99889009434797238</v>
      </c>
      <c r="D17" s="4">
        <f t="shared" si="2"/>
        <v>2.7647524803282356E-3</v>
      </c>
      <c r="E17" s="66">
        <f t="shared" si="4"/>
        <v>2</v>
      </c>
      <c r="F17" s="4">
        <f t="shared" si="5"/>
        <v>5.5203356021182514E-3</v>
      </c>
      <c r="H17" s="4">
        <f t="shared" si="3"/>
        <v>6.1338596914205979E-6</v>
      </c>
    </row>
    <row r="18" spans="1:8">
      <c r="A18" s="66">
        <v>0.25</v>
      </c>
      <c r="B18" s="10">
        <f t="shared" si="0"/>
        <v>0.99931264284875165</v>
      </c>
      <c r="C18" s="10">
        <f t="shared" si="1"/>
        <v>0.99861034037771113</v>
      </c>
      <c r="D18" s="4">
        <f t="shared" si="2"/>
        <v>2.7744057562082464E-3</v>
      </c>
      <c r="E18" s="66">
        <f t="shared" si="4"/>
        <v>4</v>
      </c>
      <c r="F18" s="4">
        <f t="shared" si="5"/>
        <v>1.1074583676030066E-2</v>
      </c>
      <c r="H18" s="4">
        <f t="shared" si="3"/>
        <v>1.5411318254943614E-5</v>
      </c>
    </row>
    <row r="19" spans="1:8">
      <c r="A19" s="66">
        <v>0.3</v>
      </c>
      <c r="B19" s="10">
        <f t="shared" si="0"/>
        <v>0.99917378566571846</v>
      </c>
      <c r="C19" s="10">
        <f t="shared" si="1"/>
        <v>0.99832966983475457</v>
      </c>
      <c r="D19" s="4">
        <f t="shared" si="2"/>
        <v>2.7840940018409462E-3</v>
      </c>
      <c r="E19" s="66">
        <f t="shared" si="4"/>
        <v>2</v>
      </c>
      <c r="F19" s="4">
        <f t="shared" si="5"/>
        <v>5.5542944589308625E-3</v>
      </c>
      <c r="H19" s="4">
        <f t="shared" si="3"/>
        <v>9.2930280064133241E-6</v>
      </c>
    </row>
    <row r="20" spans="1:8">
      <c r="A20" s="66">
        <v>0.35</v>
      </c>
      <c r="B20" s="10">
        <f t="shared" si="0"/>
        <v>0.99903446295654819</v>
      </c>
      <c r="C20" s="10">
        <f t="shared" si="1"/>
        <v>0.99804807993289657</v>
      </c>
      <c r="D20" s="4">
        <f t="shared" si="2"/>
        <v>2.793817343907021E-3</v>
      </c>
      <c r="E20" s="66">
        <f t="shared" si="4"/>
        <v>4</v>
      </c>
      <c r="F20" s="4">
        <f t="shared" si="5"/>
        <v>1.1142687068009851E-2</v>
      </c>
      <c r="H20" s="4">
        <f t="shared" si="3"/>
        <v>2.1792171065510831E-5</v>
      </c>
    </row>
    <row r="21" spans="1:8">
      <c r="A21" s="66">
        <v>0.4</v>
      </c>
      <c r="B21" s="10">
        <f t="shared" si="0"/>
        <v>0.99889467316531189</v>
      </c>
      <c r="C21" s="10">
        <f t="shared" si="1"/>
        <v>0.99776556787946924</v>
      </c>
      <c r="D21" s="4">
        <f t="shared" si="2"/>
        <v>2.8035759095460648E-3</v>
      </c>
      <c r="E21" s="66">
        <f t="shared" si="4"/>
        <v>2</v>
      </c>
      <c r="F21" s="4">
        <f t="shared" si="5"/>
        <v>5.5884391320100337E-3</v>
      </c>
      <c r="H21" s="4">
        <f t="shared" si="3"/>
        <v>1.2514951710282611E-5</v>
      </c>
    </row>
    <row r="22" spans="1:8">
      <c r="A22" s="66">
        <v>0.45</v>
      </c>
      <c r="B22" s="10">
        <f t="shared" si="0"/>
        <v>0.99875441473135573</v>
      </c>
      <c r="C22" s="10">
        <f t="shared" si="1"/>
        <v>0.99748213087534332</v>
      </c>
      <c r="D22" s="4">
        <f t="shared" si="2"/>
        <v>2.8133698263582501E-3</v>
      </c>
      <c r="E22" s="66">
        <f t="shared" si="4"/>
        <v>4</v>
      </c>
      <c r="F22" s="4">
        <f t="shared" si="5"/>
        <v>1.121116264269568E-2</v>
      </c>
      <c r="H22" s="4">
        <f t="shared" si="3"/>
        <v>2.8299494693479941E-5</v>
      </c>
    </row>
    <row r="23" spans="1:8">
      <c r="A23" s="66">
        <v>0.5</v>
      </c>
      <c r="B23" s="10">
        <f t="shared" si="0"/>
        <v>0.99861368608929024</v>
      </c>
      <c r="C23" s="10">
        <f t="shared" si="1"/>
        <v>0.99719776611492861</v>
      </c>
      <c r="D23" s="4">
        <f t="shared" si="2"/>
        <v>2.8231992224059853E-3</v>
      </c>
      <c r="E23" s="66">
        <f t="shared" si="4"/>
        <v>2</v>
      </c>
      <c r="F23" s="4">
        <f t="shared" si="5"/>
        <v>5.6227701700439772E-3</v>
      </c>
      <c r="H23" s="4">
        <f t="shared" si="3"/>
        <v>1.5800594058540967E-5</v>
      </c>
    </row>
    <row r="24" spans="1:8">
      <c r="A24" s="66">
        <v>0.55000000000000004</v>
      </c>
      <c r="B24" s="10">
        <f t="shared" si="0"/>
        <v>0.99847248566897973</v>
      </c>
      <c r="C24" s="10">
        <f t="shared" si="1"/>
        <v>0.99691247078617495</v>
      </c>
      <c r="D24" s="4">
        <f t="shared" si="2"/>
        <v>2.8330642262155994E-3</v>
      </c>
      <c r="E24" s="66">
        <f t="shared" si="4"/>
        <v>4</v>
      </c>
      <c r="F24" s="4">
        <f t="shared" si="5"/>
        <v>1.1280011491486427E-2</v>
      </c>
      <c r="H24" s="4">
        <f t="shared" si="3"/>
        <v>3.493522855098941E-5</v>
      </c>
    </row>
    <row r="25" spans="1:8">
      <c r="A25" s="66">
        <v>0.6</v>
      </c>
      <c r="B25" s="10">
        <f t="shared" si="0"/>
        <v>0.99833081189553108</v>
      </c>
      <c r="C25" s="10">
        <f t="shared" si="1"/>
        <v>0.99662624207057326</v>
      </c>
      <c r="D25" s="4">
        <f t="shared" si="2"/>
        <v>2.842964966779014E-3</v>
      </c>
      <c r="E25" s="66">
        <f t="shared" si="4"/>
        <v>2</v>
      </c>
      <c r="F25" s="4">
        <f t="shared" si="5"/>
        <v>5.6572881157045335E-3</v>
      </c>
      <c r="H25" s="4">
        <f t="shared" si="3"/>
        <v>1.9150931245555402E-5</v>
      </c>
    </row>
    <row r="26" spans="1:8">
      <c r="A26" s="66">
        <v>0.65</v>
      </c>
      <c r="B26" s="10">
        <f t="shared" si="0"/>
        <v>0.99818866318928279</v>
      </c>
      <c r="C26" s="10">
        <f t="shared" si="1"/>
        <v>0.99633907714315606</v>
      </c>
      <c r="D26" s="4">
        <f t="shared" si="2"/>
        <v>2.8529015735554368E-3</v>
      </c>
      <c r="E26" s="66">
        <f t="shared" si="4"/>
        <v>4</v>
      </c>
      <c r="F26" s="4">
        <f t="shared" si="5"/>
        <v>1.1349234693592416E-2</v>
      </c>
      <c r="H26" s="4">
        <f t="shared" si="3"/>
        <v>4.170133807919381E-5</v>
      </c>
    </row>
    <row r="27" spans="1:8">
      <c r="A27" s="66">
        <v>0.7</v>
      </c>
      <c r="B27" s="10">
        <f t="shared" si="0"/>
        <v>0.99804603796579483</v>
      </c>
      <c r="C27" s="10">
        <f t="shared" si="1"/>
        <v>0.99605097317250002</v>
      </c>
      <c r="D27" s="4">
        <f t="shared" si="2"/>
        <v>2.8628741764730524E-3</v>
      </c>
      <c r="E27" s="66">
        <f t="shared" si="4"/>
        <v>2</v>
      </c>
      <c r="F27" s="4">
        <f t="shared" si="5"/>
        <v>5.6919935054908369E-3</v>
      </c>
      <c r="H27" s="4">
        <f t="shared" si="3"/>
        <v>2.2566952556198314E-5</v>
      </c>
    </row>
    <row r="28" spans="1:8">
      <c r="A28" s="66">
        <v>0.75</v>
      </c>
      <c r="B28" s="10">
        <f t="shared" si="0"/>
        <v>0.99790293463583779</v>
      </c>
      <c r="C28" s="10">
        <f t="shared" si="1"/>
        <v>0.9957619273207261</v>
      </c>
      <c r="D28" s="4">
        <f t="shared" si="2"/>
        <v>2.8728829059307187E-3</v>
      </c>
      <c r="E28" s="66">
        <f t="shared" si="4"/>
        <v>4</v>
      </c>
      <c r="F28" s="4">
        <f t="shared" si="5"/>
        <v>1.1418833315720659E-2</v>
      </c>
      <c r="H28" s="4">
        <f t="shared" si="3"/>
        <v>4.8599815052931871E-5</v>
      </c>
    </row>
    <row r="29" spans="1:8">
      <c r="A29" s="66">
        <v>0.8</v>
      </c>
      <c r="B29" s="10">
        <f t="shared" si="0"/>
        <v>0.9977593516053811</v>
      </c>
      <c r="C29" s="10">
        <f t="shared" si="1"/>
        <v>0.99547193674350132</v>
      </c>
      <c r="D29" s="4">
        <f t="shared" si="2"/>
        <v>2.8829278927996744E-3</v>
      </c>
      <c r="E29" s="66">
        <f t="shared" si="4"/>
        <v>2</v>
      </c>
      <c r="F29" s="4">
        <f t="shared" si="5"/>
        <v>5.7268868695708732E-3</v>
      </c>
      <c r="H29" s="4">
        <f t="shared" si="3"/>
        <v>2.6049660518868385E-5</v>
      </c>
    </row>
    <row r="30" spans="1:8">
      <c r="A30" s="66">
        <v>0.85</v>
      </c>
      <c r="B30" s="10">
        <f t="shared" si="0"/>
        <v>0.99761528727558313</v>
      </c>
      <c r="C30" s="10">
        <f t="shared" si="1"/>
        <v>0.99518099859004128</v>
      </c>
      <c r="D30" s="4">
        <f t="shared" si="2"/>
        <v>2.8930092684252492E-3</v>
      </c>
      <c r="E30" s="66">
        <f t="shared" si="4"/>
        <v>4</v>
      </c>
      <c r="F30" s="4">
        <f t="shared" si="5"/>
        <v>1.1488808411755739E-2</v>
      </c>
      <c r="H30" s="4">
        <f t="shared" si="3"/>
        <v>5.563267788817946E-5</v>
      </c>
    </row>
    <row r="31" spans="1:8">
      <c r="A31" s="66">
        <v>0.9</v>
      </c>
      <c r="B31" s="10">
        <f t="shared" si="0"/>
        <v>0.99747074004278069</v>
      </c>
      <c r="C31" s="10">
        <f t="shared" si="1"/>
        <v>0.99488911000311164</v>
      </c>
      <c r="D31" s="4">
        <f t="shared" si="2"/>
        <v>2.9031271646285809E-3</v>
      </c>
      <c r="E31" s="66">
        <f t="shared" si="4"/>
        <v>2</v>
      </c>
      <c r="F31" s="4">
        <f t="shared" si="5"/>
        <v>5.7619687316208283E-3</v>
      </c>
      <c r="H31" s="4">
        <f t="shared" si="3"/>
        <v>2.9600071059911676E-5</v>
      </c>
    </row>
    <row r="32" spans="1:8">
      <c r="A32" s="66">
        <v>0.95</v>
      </c>
      <c r="B32" s="10">
        <f t="shared" si="0"/>
        <v>0.99732570829847711</v>
      </c>
      <c r="C32" s="10">
        <f t="shared" si="1"/>
        <v>0.99459626811902946</v>
      </c>
      <c r="D32" s="4">
        <f t="shared" si="2"/>
        <v>2.9132817137083431E-3</v>
      </c>
      <c r="E32" s="66">
        <f t="shared" si="4"/>
        <v>4</v>
      </c>
      <c r="F32" s="4">
        <f t="shared" si="5"/>
        <v>1.1559161022436459E-2</v>
      </c>
      <c r="H32" s="4">
        <f t="shared" si="3"/>
        <v>6.2801971952238065E-5</v>
      </c>
    </row>
    <row r="33" spans="1:8">
      <c r="A33" s="66">
        <v>1</v>
      </c>
      <c r="B33" s="10">
        <f t="shared" si="0"/>
        <v>0.99718019042933259</v>
      </c>
      <c r="C33" s="10">
        <f t="shared" si="1"/>
        <v>0.99430247006766692</v>
      </c>
      <c r="D33" s="4">
        <f t="shared" si="2"/>
        <v>2.9234730484424703E-3</v>
      </c>
      <c r="E33" s="66">
        <f t="shared" si="4"/>
        <v>2</v>
      </c>
      <c r="F33" s="4">
        <f t="shared" si="5"/>
        <v>5.7972396086623541E-3</v>
      </c>
      <c r="H33" s="4">
        <f t="shared" si="3"/>
        <v>3.3219213659413744E-5</v>
      </c>
    </row>
    <row r="34" spans="1:8">
      <c r="A34" s="66">
        <v>1.05</v>
      </c>
      <c r="B34" s="10">
        <f t="shared" si="0"/>
        <v>0.99703418481715267</v>
      </c>
      <c r="C34" s="10">
        <f t="shared" si="1"/>
        <v>0.99400771297245216</v>
      </c>
      <c r="D34" s="4">
        <f t="shared" si="2"/>
        <v>2.9337013020898886E-3</v>
      </c>
      <c r="E34" s="66">
        <f t="shared" si="4"/>
        <v>4</v>
      </c>
      <c r="F34" s="4">
        <f t="shared" si="5"/>
        <v>1.1629892175028108E-2</v>
      </c>
      <c r="H34" s="4">
        <f t="shared" si="3"/>
        <v>7.0109769876737789E-5</v>
      </c>
    </row>
    <row r="35" spans="1:8">
      <c r="A35" s="66">
        <v>1.1000000000000001</v>
      </c>
      <c r="B35" s="10">
        <f t="shared" si="0"/>
        <v>0.99688768983887821</v>
      </c>
      <c r="C35" s="10">
        <f t="shared" si="1"/>
        <v>0.99371199395037313</v>
      </c>
      <c r="D35" s="4">
        <f t="shared" si="2"/>
        <v>2.9439666083922772E-3</v>
      </c>
      <c r="E35" s="66">
        <f t="shared" si="4"/>
        <v>2</v>
      </c>
      <c r="F35" s="4">
        <f t="shared" si="5"/>
        <v>5.8327000108975612E-3</v>
      </c>
      <c r="H35" s="4">
        <f t="shared" si="3"/>
        <v>3.690813150838775E-5</v>
      </c>
    </row>
    <row r="36" spans="1:8">
      <c r="A36" s="66">
        <v>1.1499999999999999</v>
      </c>
      <c r="B36" s="10">
        <f t="shared" si="0"/>
        <v>0.99674070386657365</v>
      </c>
      <c r="C36" s="10">
        <f t="shared" si="1"/>
        <v>0.99341531011197937</v>
      </c>
      <c r="D36" s="4">
        <f t="shared" si="2"/>
        <v>2.9542691015757953E-3</v>
      </c>
      <c r="E36" s="66">
        <f t="shared" si="4"/>
        <v>4</v>
      </c>
      <c r="F36" s="4">
        <f t="shared" si="5"/>
        <v>1.1701002882990318E-2</v>
      </c>
      <c r="H36" s="4">
        <f t="shared" si="3"/>
        <v>7.7558171873394753E-5</v>
      </c>
    </row>
    <row r="37" spans="1:8">
      <c r="A37" s="66">
        <v>1.2</v>
      </c>
      <c r="B37" s="10">
        <f t="shared" si="0"/>
        <v>0.99659322526741723</v>
      </c>
      <c r="C37" s="10">
        <f t="shared" si="1"/>
        <v>0.99311765856138534</v>
      </c>
      <c r="D37" s="4">
        <f t="shared" si="2"/>
        <v>2.9646089163528539E-3</v>
      </c>
      <c r="E37" s="66">
        <f t="shared" si="4"/>
        <v>2</v>
      </c>
      <c r="F37" s="4">
        <f t="shared" si="5"/>
        <v>5.8683504415419103E-3</v>
      </c>
      <c r="H37" s="4">
        <f t="shared" si="3"/>
        <v>4.0667881667356441E-5</v>
      </c>
    </row>
    <row r="38" spans="1:8">
      <c r="A38" s="66">
        <v>1.25</v>
      </c>
      <c r="B38" s="10">
        <f t="shared" si="0"/>
        <v>0.99644525240368964</v>
      </c>
      <c r="C38" s="10">
        <f t="shared" si="1"/>
        <v>0.99281903639627378</v>
      </c>
      <c r="D38" s="4">
        <f t="shared" si="2"/>
        <v>2.9749861879238646E-3</v>
      </c>
      <c r="E38" s="66">
        <f t="shared" si="4"/>
        <v>4</v>
      </c>
      <c r="F38" s="4">
        <f t="shared" si="5"/>
        <v>1.1772494145640572E-2</v>
      </c>
      <c r="H38" s="4">
        <f t="shared" si="3"/>
        <v>8.5149306052571003E-5</v>
      </c>
    </row>
    <row r="39" spans="1:8">
      <c r="A39" s="66">
        <v>1.3</v>
      </c>
      <c r="B39" s="10">
        <f t="shared" si="0"/>
        <v>0.99629678363276331</v>
      </c>
      <c r="C39" s="10">
        <f t="shared" si="1"/>
        <v>0.99251944070789833</v>
      </c>
      <c r="D39" s="4">
        <f t="shared" si="2"/>
        <v>2.9854010519790174E-3</v>
      </c>
      <c r="E39" s="66">
        <f t="shared" si="4"/>
        <v>2</v>
      </c>
      <c r="F39" s="4">
        <f t="shared" si="5"/>
        <v>5.9041913966548015E-3</v>
      </c>
      <c r="H39" s="4">
        <f t="shared" si="3"/>
        <v>4.4499535226324322E-5</v>
      </c>
    </row>
    <row r="40" spans="1:8">
      <c r="A40" s="66">
        <v>1.35</v>
      </c>
      <c r="B40" s="10">
        <f t="shared" si="0"/>
        <v>0.99614781730709256</v>
      </c>
      <c r="C40" s="10">
        <f t="shared" si="1"/>
        <v>0.99221886858108754</v>
      </c>
      <c r="D40" s="4">
        <f t="shared" si="2"/>
        <v>2.9958536447000474E-3</v>
      </c>
      <c r="E40" s="66">
        <f t="shared" si="4"/>
        <v>4</v>
      </c>
      <c r="F40" s="4">
        <f t="shared" si="5"/>
        <v>1.1844366947813193E-2</v>
      </c>
      <c r="H40" s="4">
        <f t="shared" si="3"/>
        <v>9.2885328744608158E-5</v>
      </c>
    </row>
    <row r="41" spans="1:8">
      <c r="A41" s="66">
        <v>1.4</v>
      </c>
      <c r="B41" s="10">
        <f t="shared" si="0"/>
        <v>0.9959983517742016</v>
      </c>
      <c r="C41" s="10">
        <f t="shared" si="1"/>
        <v>0.99191731709424802</v>
      </c>
      <c r="D41" s="4">
        <f t="shared" si="2"/>
        <v>3.0063441027620196E-3</v>
      </c>
      <c r="E41" s="66">
        <f t="shared" si="4"/>
        <v>2</v>
      </c>
      <c r="F41" s="4">
        <f t="shared" si="5"/>
        <v>5.9402233649679765E-3</v>
      </c>
      <c r="H41" s="4">
        <f t="shared" si="3"/>
        <v>4.8404177466147795E-5</v>
      </c>
    </row>
    <row r="42" spans="1:8">
      <c r="A42" s="66">
        <v>1.45</v>
      </c>
      <c r="B42" s="10">
        <f t="shared" si="0"/>
        <v>0.99584838537667442</v>
      </c>
      <c r="C42" s="10">
        <f t="shared" si="1"/>
        <v>0.99161478331936814</v>
      </c>
      <c r="D42" s="4">
        <f t="shared" si="2"/>
        <v>3.0168725633351184E-3</v>
      </c>
      <c r="E42" s="66">
        <f t="shared" si="4"/>
        <v>4</v>
      </c>
      <c r="F42" s="4">
        <f t="shared" si="5"/>
        <v>1.1916622259513886E-2</v>
      </c>
      <c r="H42" s="4">
        <f t="shared" si="3"/>
        <v>1.0076842482397975E-4</v>
      </c>
    </row>
    <row r="43" spans="1:8">
      <c r="A43" s="66">
        <v>1.5</v>
      </c>
      <c r="B43" s="10">
        <f t="shared" si="0"/>
        <v>0.99569791645214456</v>
      </c>
      <c r="C43" s="10">
        <f t="shared" si="1"/>
        <v>0.99131126432202277</v>
      </c>
      <c r="D43" s="4">
        <f t="shared" si="2"/>
        <v>3.0274391640864344E-3</v>
      </c>
      <c r="E43" s="66">
        <f t="shared" si="4"/>
        <v>2</v>
      </c>
      <c r="F43" s="4">
        <f t="shared" si="5"/>
        <v>5.9764468277116569E-3</v>
      </c>
      <c r="H43" s="4">
        <f t="shared" si="3"/>
        <v>5.2382908021313102E-5</v>
      </c>
    </row>
    <row r="44" spans="1:8">
      <c r="A44" s="66">
        <v>1.55</v>
      </c>
      <c r="B44" s="10">
        <f t="shared" si="0"/>
        <v>0.99554694333328364</v>
      </c>
      <c r="C44" s="10">
        <f t="shared" si="1"/>
        <v>0.99100675716137654</v>
      </c>
      <c r="D44" s="4">
        <f t="shared" si="2"/>
        <v>3.0380440431817687E-3</v>
      </c>
      <c r="E44" s="66">
        <f t="shared" si="4"/>
        <v>4</v>
      </c>
      <c r="F44" s="4">
        <f t="shared" si="5"/>
        <v>1.1989261035569769E-2</v>
      </c>
      <c r="H44" s="4">
        <f t="shared" si="3"/>
        <v>1.0880080803623343E-4</v>
      </c>
    </row>
    <row r="45" spans="1:8">
      <c r="A45" s="66">
        <v>1.6</v>
      </c>
      <c r="B45" s="10">
        <f t="shared" si="0"/>
        <v>0.99539546434779114</v>
      </c>
      <c r="C45" s="10">
        <f t="shared" si="1"/>
        <v>0.99070125889018879</v>
      </c>
      <c r="D45" s="4">
        <f t="shared" si="2"/>
        <v>3.0486873392874397E-3</v>
      </c>
      <c r="E45" s="66">
        <f t="shared" si="4"/>
        <v>2</v>
      </c>
      <c r="F45" s="4">
        <f t="shared" si="5"/>
        <v>6.0128622584384077E-3</v>
      </c>
      <c r="H45" s="4">
        <f t="shared" si="3"/>
        <v>5.6436841044098162E-5</v>
      </c>
    </row>
    <row r="46" spans="1:8">
      <c r="A46" s="66">
        <v>1.65</v>
      </c>
      <c r="B46" s="10">
        <f t="shared" si="0"/>
        <v>0.99524347781838352</v>
      </c>
      <c r="C46" s="10">
        <f t="shared" si="1"/>
        <v>0.99039476655481729</v>
      </c>
      <c r="D46" s="4">
        <f t="shared" si="2"/>
        <v>3.0593691915720943E-3</v>
      </c>
      <c r="E46" s="66">
        <f t="shared" si="4"/>
        <v>4</v>
      </c>
      <c r="F46" s="4">
        <f t="shared" si="5"/>
        <v>1.206228421527478E-2</v>
      </c>
      <c r="H46" s="4">
        <f t="shared" si="3"/>
        <v>1.1698472132772935E-4</v>
      </c>
    </row>
    <row r="47" spans="1:8">
      <c r="A47" s="66">
        <v>1.7</v>
      </c>
      <c r="B47" s="10">
        <f t="shared" si="0"/>
        <v>0.99509098206278379</v>
      </c>
      <c r="C47" s="10">
        <f t="shared" si="1"/>
        <v>0.99008727719522416</v>
      </c>
      <c r="D47" s="4">
        <f t="shared" si="2"/>
        <v>3.0700897397085312E-3</v>
      </c>
      <c r="E47" s="66">
        <f t="shared" si="4"/>
        <v>2</v>
      </c>
      <c r="F47" s="4">
        <f t="shared" si="5"/>
        <v>6.0494701228447217E-3</v>
      </c>
      <c r="H47" s="4">
        <f t="shared" si="3"/>
        <v>6.0567105370154982E-5</v>
      </c>
    </row>
    <row r="48" spans="1:8">
      <c r="A48" s="66">
        <v>1.75</v>
      </c>
      <c r="B48" s="10">
        <f t="shared" si="0"/>
        <v>0.99493797539371065</v>
      </c>
      <c r="C48" s="10">
        <f t="shared" si="1"/>
        <v>0.9897787878449793</v>
      </c>
      <c r="D48" s="4">
        <f t="shared" si="2"/>
        <v>3.0808491238755228E-3</v>
      </c>
      <c r="E48" s="66">
        <f t="shared" si="4"/>
        <v>4</v>
      </c>
      <c r="F48" s="4">
        <f t="shared" si="5"/>
        <v>1.2135692722030602E-2</v>
      </c>
      <c r="H48" s="4">
        <f t="shared" si="3"/>
        <v>1.2532243717819802E-4</v>
      </c>
    </row>
    <row r="49" spans="1:8">
      <c r="A49" s="66">
        <v>1.8</v>
      </c>
      <c r="B49" s="10">
        <f t="shared" si="0"/>
        <v>0.9947844561188679</v>
      </c>
      <c r="C49" s="10">
        <f t="shared" si="1"/>
        <v>0.98946929553126683</v>
      </c>
      <c r="D49" s="4">
        <f t="shared" si="2"/>
        <v>3.0916474847596503E-3</v>
      </c>
      <c r="E49" s="66">
        <f t="shared" si="4"/>
        <v>2</v>
      </c>
      <c r="F49" s="4">
        <f t="shared" si="5"/>
        <v>6.0862708785903068E-3</v>
      </c>
      <c r="H49" s="4">
        <f t="shared" si="3"/>
        <v>6.4774844685482381E-5</v>
      </c>
    </row>
    <row r="50" spans="1:8">
      <c r="A50" s="66">
        <v>1.85</v>
      </c>
      <c r="B50" s="10">
        <f t="shared" si="0"/>
        <v>0.99463042254093437</v>
      </c>
      <c r="C50" s="10">
        <f t="shared" si="1"/>
        <v>0.98915879727488931</v>
      </c>
      <c r="D50" s="4">
        <f t="shared" si="2"/>
        <v>3.1024849635571433E-3</v>
      </c>
      <c r="E50" s="66">
        <f t="shared" si="4"/>
        <v>4</v>
      </c>
      <c r="F50" s="4">
        <f t="shared" si="5"/>
        <v>1.2209487462982851E-2</v>
      </c>
      <c r="H50" s="4">
        <f t="shared" si="3"/>
        <v>1.3381625793609537E-4</v>
      </c>
    </row>
    <row r="51" spans="1:8">
      <c r="A51" s="66">
        <v>1.9</v>
      </c>
      <c r="B51" s="10">
        <f t="shared" si="0"/>
        <v>0.99447587295755191</v>
      </c>
      <c r="C51" s="10">
        <f t="shared" si="1"/>
        <v>0.9888472900902735</v>
      </c>
      <c r="D51" s="4">
        <f t="shared" si="2"/>
        <v>3.1133617019757248E-3</v>
      </c>
      <c r="E51" s="66">
        <f t="shared" si="4"/>
        <v>2</v>
      </c>
      <c r="F51" s="4">
        <f t="shared" si="5"/>
        <v>6.1232649751150276E-3</v>
      </c>
      <c r="H51" s="4">
        <f t="shared" si="3"/>
        <v>6.9061217694809236E-5</v>
      </c>
    </row>
    <row r="52" spans="1:8">
      <c r="A52" s="66">
        <v>1.95</v>
      </c>
      <c r="B52" s="10">
        <f t="shared" si="0"/>
        <v>0.99432080566131698</v>
      </c>
      <c r="C52" s="10">
        <f t="shared" si="1"/>
        <v>0.98853477098547682</v>
      </c>
      <c r="D52" s="4">
        <f t="shared" si="2"/>
        <v>3.1242778422364693E-3</v>
      </c>
      <c r="E52" s="66">
        <f t="shared" si="4"/>
        <v>4</v>
      </c>
      <c r="F52" s="4">
        <f t="shared" si="5"/>
        <v>1.2283669328652694E-2</v>
      </c>
      <c r="H52" s="4">
        <f t="shared" si="3"/>
        <v>1.4246851615677409E-4</v>
      </c>
    </row>
    <row r="53" spans="1:8">
      <c r="A53" s="66">
        <v>2</v>
      </c>
      <c r="B53" s="10">
        <f t="shared" si="0"/>
        <v>0.99416521893976739</v>
      </c>
      <c r="C53" s="10">
        <f t="shared" si="1"/>
        <v>0.98822123696219133</v>
      </c>
      <c r="D53" s="4">
        <f t="shared" si="2"/>
        <v>3.1352335270756555E-3</v>
      </c>
      <c r="E53" s="66">
        <f t="shared" si="4"/>
        <v>2</v>
      </c>
      <c r="F53" s="4">
        <f t="shared" si="5"/>
        <v>6.1604528534535581E-3</v>
      </c>
      <c r="H53" s="4">
        <f t="shared" si="3"/>
        <v>7.3427398291378665E-5</v>
      </c>
    </row>
    <row r="54" spans="1:8">
      <c r="A54" s="66">
        <v>2.0499999999999998</v>
      </c>
      <c r="B54" s="10">
        <f t="shared" si="0"/>
        <v>0.99400911107537415</v>
      </c>
      <c r="C54" s="10">
        <f t="shared" si="1"/>
        <v>0.98790668501575185</v>
      </c>
      <c r="D54" s="4">
        <f t="shared" si="2"/>
        <v>3.1462288997466288E-3</v>
      </c>
      <c r="E54" s="66">
        <f t="shared" si="4"/>
        <v>4</v>
      </c>
      <c r="F54" s="4">
        <f t="shared" si="5"/>
        <v>1.2358239192563738E-2</v>
      </c>
      <c r="H54" s="4">
        <f t="shared" si="3"/>
        <v>1.5128157494345818E-4</v>
      </c>
    </row>
    <row r="55" spans="1:8">
      <c r="A55" s="66">
        <v>2.1</v>
      </c>
      <c r="B55" s="10">
        <f t="shared" si="0"/>
        <v>0.99385248034552975</v>
      </c>
      <c r="C55" s="10">
        <f t="shared" si="1"/>
        <v>0.98759111213514084</v>
      </c>
      <c r="D55" s="4">
        <f t="shared" si="2"/>
        <v>3.1572641040216978E-3</v>
      </c>
      <c r="E55" s="66">
        <f t="shared" si="4"/>
        <v>2</v>
      </c>
      <c r="F55" s="4">
        <f t="shared" si="5"/>
        <v>6.1978349460475981E-3</v>
      </c>
      <c r="H55" s="4">
        <f t="shared" si="3"/>
        <v>7.7874575728144107E-5</v>
      </c>
    </row>
    <row r="56" spans="1:8">
      <c r="A56" s="66">
        <v>2.15</v>
      </c>
      <c r="B56" s="10">
        <f t="shared" si="0"/>
        <v>0.99369532502253732</v>
      </c>
      <c r="C56" s="10">
        <f t="shared" si="1"/>
        <v>0.98727451530299526</v>
      </c>
      <c r="D56" s="4">
        <f t="shared" si="2"/>
        <v>3.16833928419398E-3</v>
      </c>
      <c r="E56" s="66">
        <f t="shared" si="4"/>
        <v>4</v>
      </c>
      <c r="F56" s="4">
        <f t="shared" si="5"/>
        <v>1.2433197910864214E-2</v>
      </c>
      <c r="H56" s="4">
        <f t="shared" si="3"/>
        <v>1.6025782829102655E-4</v>
      </c>
    </row>
    <row r="57" spans="1:8">
      <c r="A57" s="66">
        <v>2.2000000000000002</v>
      </c>
      <c r="B57" s="10">
        <f t="shared" si="0"/>
        <v>0.99353764337360118</v>
      </c>
      <c r="C57" s="10">
        <f t="shared" si="1"/>
        <v>0.98695689149561328</v>
      </c>
      <c r="D57" s="4">
        <f t="shared" si="2"/>
        <v>3.1794545850793192E-3</v>
      </c>
      <c r="E57" s="66">
        <f t="shared" si="4"/>
        <v>2</v>
      </c>
      <c r="F57" s="4">
        <f t="shared" si="5"/>
        <v>6.2354116765558371E-3</v>
      </c>
      <c r="H57" s="4">
        <f t="shared" si="3"/>
        <v>8.2403954790358935E-5</v>
      </c>
    </row>
    <row r="58" spans="1:8">
      <c r="A58" s="66">
        <v>2.25</v>
      </c>
      <c r="B58" s="10">
        <f t="shared" si="0"/>
        <v>0.99337943366081538</v>
      </c>
      <c r="C58" s="10">
        <f t="shared" si="1"/>
        <v>0.98663823768296099</v>
      </c>
      <c r="D58" s="4">
        <f t="shared" si="2"/>
        <v>3.1906101520181545E-3</v>
      </c>
      <c r="E58" s="66">
        <f t="shared" si="4"/>
        <v>4</v>
      </c>
      <c r="F58" s="4">
        <f t="shared" si="5"/>
        <v>1.2508546321944357E-2</v>
      </c>
      <c r="H58" s="4">
        <f t="shared" si="3"/>
        <v>1.693997014326129E-4</v>
      </c>
    </row>
    <row r="59" spans="1:8">
      <c r="A59" s="66">
        <v>2.2999999999999998</v>
      </c>
      <c r="B59" s="10">
        <f t="shared" si="0"/>
        <v>0.99322069414115355</v>
      </c>
      <c r="C59" s="10">
        <f t="shared" si="1"/>
        <v>0.98631855082867947</v>
      </c>
      <c r="D59" s="4">
        <f t="shared" si="2"/>
        <v>3.2018061308774423E-3</v>
      </c>
      <c r="E59" s="66">
        <f t="shared" si="4"/>
        <v>2</v>
      </c>
      <c r="F59" s="4">
        <f t="shared" si="5"/>
        <v>6.2731834596614112E-3</v>
      </c>
      <c r="H59" s="4">
        <f t="shared" si="3"/>
        <v>8.7016755969577229E-5</v>
      </c>
    </row>
    <row r="60" spans="1:8">
      <c r="A60" s="66">
        <v>2.35</v>
      </c>
      <c r="B60" s="10">
        <f t="shared" si="0"/>
        <v>0.99306142306645862</v>
      </c>
      <c r="C60" s="10">
        <f t="shared" si="1"/>
        <v>0.98599782789009205</v>
      </c>
      <c r="D60" s="4">
        <f t="shared" si="2"/>
        <v>3.2130426680525509E-3</v>
      </c>
      <c r="E60" s="66">
        <f t="shared" si="4"/>
        <v>4</v>
      </c>
      <c r="F60" s="4">
        <f t="shared" si="5"/>
        <v>1.2584285246049064E-2</v>
      </c>
      <c r="H60" s="4">
        <f t="shared" si="3"/>
        <v>1.787096511890044E-4</v>
      </c>
    </row>
    <row r="61" spans="1:8">
      <c r="A61" s="66">
        <v>2.4</v>
      </c>
      <c r="B61" s="10">
        <f t="shared" si="0"/>
        <v>0.99290161868343174</v>
      </c>
      <c r="C61" s="10">
        <f t="shared" si="1"/>
        <v>0.98567606581821177</v>
      </c>
      <c r="D61" s="4">
        <f t="shared" si="2"/>
        <v>3.2243199104691712E-3</v>
      </c>
      <c r="E61" s="66">
        <f t="shared" si="4"/>
        <v>2</v>
      </c>
      <c r="F61" s="4">
        <f t="shared" si="5"/>
        <v>6.3111507008770575E-3</v>
      </c>
      <c r="H61" s="4">
        <f t="shared" si="3"/>
        <v>9.1714215639057849E-5</v>
      </c>
    </row>
    <row r="62" spans="1:8">
      <c r="A62" s="66">
        <v>2.4500000000000002</v>
      </c>
      <c r="B62" s="10">
        <f t="shared" si="0"/>
        <v>0.99274127923362299</v>
      </c>
      <c r="C62" s="10">
        <f t="shared" si="1"/>
        <v>0.98535326155774949</v>
      </c>
      <c r="D62" s="4">
        <f t="shared" si="2"/>
        <v>3.2356380055852539E-3</v>
      </c>
      <c r="E62" s="66">
        <f t="shared" si="4"/>
        <v>4</v>
      </c>
      <c r="F62" s="4">
        <f t="shared" si="5"/>
        <v>1.266041548488569E-2</v>
      </c>
      <c r="H62" s="4">
        <f t="shared" si="3"/>
        <v>1.8819016632084384E-4</v>
      </c>
    </row>
    <row r="63" spans="1:8">
      <c r="A63" s="66">
        <v>2.5</v>
      </c>
      <c r="B63" s="10">
        <f t="shared" si="0"/>
        <v>0.99258040295341943</v>
      </c>
      <c r="C63" s="10">
        <f t="shared" si="1"/>
        <v>0.98502941204712047</v>
      </c>
      <c r="D63" s="4">
        <f t="shared" si="2"/>
        <v>3.2469971013929172E-3</v>
      </c>
      <c r="E63" s="66">
        <f t="shared" si="4"/>
        <v>2</v>
      </c>
      <c r="F63" s="4">
        <f t="shared" si="5"/>
        <v>6.3493137963477721E-3</v>
      </c>
      <c r="H63" s="4">
        <f t="shared" si="3"/>
        <v>9.6497586230560956E-5</v>
      </c>
    </row>
    <row r="64" spans="1:8">
      <c r="A64" s="66">
        <v>2.5499999999999998</v>
      </c>
      <c r="B64" s="10">
        <f t="shared" si="0"/>
        <v>0.99241898807403583</v>
      </c>
      <c r="C64" s="10">
        <f t="shared" si="1"/>
        <v>0.98470451421845384</v>
      </c>
      <c r="D64" s="4">
        <f t="shared" si="2"/>
        <v>3.2583973464204003E-3</v>
      </c>
      <c r="E64" s="66">
        <f t="shared" si="4"/>
        <v>4</v>
      </c>
      <c r="F64" s="4">
        <f t="shared" si="5"/>
        <v>1.2736937821226983E-2</v>
      </c>
      <c r="H64" s="4">
        <f t="shared" si="3"/>
        <v>1.9784376788364665E-4</v>
      </c>
    </row>
    <row r="65" spans="1:8">
      <c r="A65" s="66">
        <v>2.6</v>
      </c>
      <c r="B65" s="10">
        <f t="shared" si="0"/>
        <v>0.99225703282150401</v>
      </c>
      <c r="C65" s="10">
        <f t="shared" si="1"/>
        <v>0.98437856499760101</v>
      </c>
      <c r="D65" s="4">
        <f t="shared" si="2"/>
        <v>3.269838889733998E-3</v>
      </c>
      <c r="E65" s="66">
        <f t="shared" si="4"/>
        <v>2</v>
      </c>
      <c r="F65" s="4">
        <f t="shared" si="5"/>
        <v>6.3876731326510741E-3</v>
      </c>
      <c r="H65" s="4">
        <f t="shared" si="3"/>
        <v>1.0136813641256222E-4</v>
      </c>
    </row>
    <row r="66" spans="1:8">
      <c r="A66" s="66">
        <v>2.65</v>
      </c>
      <c r="B66" s="10">
        <f t="shared" si="0"/>
        <v>0.99209453541666215</v>
      </c>
      <c r="C66" s="10">
        <f t="shared" si="1"/>
        <v>0.98405156130414262</v>
      </c>
      <c r="D66" s="4">
        <f t="shared" si="2"/>
        <v>3.2813218809400013E-3</v>
      </c>
      <c r="E66" s="66">
        <f t="shared" si="4"/>
        <v>4</v>
      </c>
      <c r="F66" s="4">
        <f t="shared" si="5"/>
        <v>1.2813853018509213E-2</v>
      </c>
      <c r="H66" s="4">
        <f t="shared" si="3"/>
        <v>2.076730095855811E-4</v>
      </c>
    </row>
    <row r="67" spans="1:8">
      <c r="A67" s="66">
        <v>2.7</v>
      </c>
      <c r="B67" s="10">
        <f t="shared" si="0"/>
        <v>0.9919314940751448</v>
      </c>
      <c r="C67" s="10">
        <f t="shared" si="1"/>
        <v>0.98372350005139875</v>
      </c>
      <c r="D67" s="4">
        <f t="shared" si="2"/>
        <v>3.2928464701866729E-3</v>
      </c>
      <c r="E67" s="66">
        <f t="shared" si="4"/>
        <v>2</v>
      </c>
      <c r="F67" s="4">
        <f t="shared" si="5"/>
        <v>6.4262290865948271E-3</v>
      </c>
      <c r="H67" s="4">
        <f t="shared" si="3"/>
        <v>1.0632715126983904E-4</v>
      </c>
    </row>
    <row r="68" spans="1:8">
      <c r="A68" s="66">
        <v>2.75</v>
      </c>
      <c r="B68" s="10">
        <f t="shared" si="0"/>
        <v>0.99176790700737227</v>
      </c>
      <c r="C68" s="10">
        <f t="shared" si="1"/>
        <v>0.98339437814643749</v>
      </c>
      <c r="D68" s="4">
        <f t="shared" si="2"/>
        <v>3.3044128081661868E-3</v>
      </c>
      <c r="E68" s="66">
        <f t="shared" si="4"/>
        <v>4</v>
      </c>
      <c r="F68" s="4">
        <f t="shared" si="5"/>
        <v>1.2891161820425236E-2</v>
      </c>
      <c r="H68" s="4">
        <f t="shared" si="3"/>
        <v>2.1768047814809397E-4</v>
      </c>
    </row>
    <row r="69" spans="1:8">
      <c r="A69" s="66">
        <v>2.8</v>
      </c>
      <c r="B69" s="10">
        <f t="shared" si="0"/>
        <v>0.99160377241854059</v>
      </c>
      <c r="C69" s="10">
        <f t="shared" si="1"/>
        <v>0.98306419249008403</v>
      </c>
      <c r="D69" s="4">
        <f t="shared" si="2"/>
        <v>3.3160210461166224E-3</v>
      </c>
      <c r="E69" s="66">
        <f t="shared" si="4"/>
        <v>2</v>
      </c>
      <c r="F69" s="4">
        <f t="shared" si="5"/>
        <v>6.4649820250125625E-3</v>
      </c>
      <c r="H69" s="4">
        <f t="shared" si="3"/>
        <v>1.1137593248447395E-4</v>
      </c>
    </row>
    <row r="70" spans="1:8">
      <c r="A70" s="66">
        <v>2.85</v>
      </c>
      <c r="B70" s="10">
        <f t="shared" si="0"/>
        <v>0.99143908850861107</v>
      </c>
      <c r="C70" s="10">
        <f t="shared" si="1"/>
        <v>0.98273293997693012</v>
      </c>
      <c r="D70" s="4">
        <f t="shared" si="2"/>
        <v>3.3276713358239289E-3</v>
      </c>
      <c r="E70" s="66">
        <f t="shared" si="4"/>
        <v>4</v>
      </c>
      <c r="F70" s="4">
        <f t="shared" si="5"/>
        <v>1.2968864950512771E-2</v>
      </c>
      <c r="H70" s="4">
        <f t="shared" si="3"/>
        <v>2.278687936692629E-4</v>
      </c>
    </row>
    <row r="71" spans="1:8">
      <c r="A71" s="66">
        <v>2.9</v>
      </c>
      <c r="B71" s="10">
        <f t="shared" si="0"/>
        <v>0.99127385347229968</v>
      </c>
      <c r="C71" s="10">
        <f t="shared" si="1"/>
        <v>0.9824006174953438</v>
      </c>
      <c r="D71" s="4">
        <f t="shared" si="2"/>
        <v>3.3393638296239044E-3</v>
      </c>
      <c r="E71" s="66">
        <f t="shared" si="4"/>
        <v>2</v>
      </c>
      <c r="F71" s="4">
        <f t="shared" si="5"/>
        <v>6.5039323045563719E-3</v>
      </c>
      <c r="H71" s="4">
        <f t="shared" si="3"/>
        <v>1.165157985182356E-4</v>
      </c>
    </row>
    <row r="72" spans="1:8">
      <c r="A72" s="66">
        <v>2.95</v>
      </c>
      <c r="B72" s="10">
        <f t="shared" si="0"/>
        <v>0.99110806549906727</v>
      </c>
      <c r="C72" s="10">
        <f t="shared" si="1"/>
        <v>0.98206722192747886</v>
      </c>
      <c r="D72" s="4">
        <f t="shared" si="2"/>
        <v>3.3510986804042059E-3</v>
      </c>
      <c r="E72" s="66">
        <f t="shared" si="4"/>
        <v>4</v>
      </c>
      <c r="F72" s="4">
        <f t="shared" si="5"/>
        <v>1.3046963111737586E-2</v>
      </c>
      <c r="H72" s="4">
        <f t="shared" si="3"/>
        <v>2.3824060998997216E-4</v>
      </c>
    </row>
    <row r="73" spans="1:8">
      <c r="A73" s="66">
        <v>3</v>
      </c>
      <c r="B73" s="10">
        <f t="shared" si="0"/>
        <v>0.99094172277310955</v>
      </c>
      <c r="C73" s="10">
        <f t="shared" si="1"/>
        <v>0.98173275014928574</v>
      </c>
      <c r="D73" s="4">
        <f t="shared" si="2"/>
        <v>3.3628760416063294E-3</v>
      </c>
      <c r="E73" s="66">
        <f t="shared" si="4"/>
        <v>2</v>
      </c>
      <c r="F73" s="4">
        <f t="shared" si="5"/>
        <v>6.5430802714872248E-3</v>
      </c>
      <c r="H73" s="4">
        <f t="shared" si="3"/>
        <v>1.2174808479635746E-4</v>
      </c>
    </row>
    <row r="74" spans="1:8">
      <c r="A74" s="66">
        <v>3.05</v>
      </c>
      <c r="B74" s="10">
        <f t="shared" si="0"/>
        <v>0.99077482347334611</v>
      </c>
      <c r="C74" s="10">
        <f t="shared" si="1"/>
        <v>0.98139719903052125</v>
      </c>
      <c r="D74" s="4">
        <f t="shared" si="2"/>
        <v>3.3746960672276262E-3</v>
      </c>
      <c r="E74" s="66">
        <f t="shared" si="4"/>
        <v>4</v>
      </c>
      <c r="F74" s="4">
        <f t="shared" si="5"/>
        <v>1.3125456986071744E-2</v>
      </c>
      <c r="H74" s="4">
        <f t="shared" si="3"/>
        <v>2.487986150628431E-4</v>
      </c>
    </row>
    <row r="75" spans="1:8">
      <c r="A75" s="66">
        <v>3.1</v>
      </c>
      <c r="B75" s="10">
        <f t="shared" si="0"/>
        <v>0.99060736577341046</v>
      </c>
      <c r="C75" s="10">
        <f t="shared" si="1"/>
        <v>0.98106056543475917</v>
      </c>
      <c r="D75" s="4">
        <f t="shared" si="2"/>
        <v>3.3865589118233252E-3</v>
      </c>
      <c r="E75" s="66">
        <f t="shared" si="4"/>
        <v>2</v>
      </c>
      <c r="F75" s="4">
        <f t="shared" si="5"/>
        <v>6.5824262614628546E-3</v>
      </c>
      <c r="H75" s="4">
        <f t="shared" si="3"/>
        <v>1.2707414389268813E-4</v>
      </c>
    </row>
    <row r="76" spans="1:8">
      <c r="A76" s="66">
        <v>3.15</v>
      </c>
      <c r="B76" s="10">
        <f t="shared" si="0"/>
        <v>0.99043934784164045</v>
      </c>
      <c r="C76" s="10">
        <f t="shared" si="1"/>
        <v>0.98072284621940142</v>
      </c>
      <c r="D76" s="4">
        <f t="shared" si="2"/>
        <v>3.3984647305085286E-3</v>
      </c>
      <c r="E76" s="66">
        <f t="shared" si="4"/>
        <v>4</v>
      </c>
      <c r="F76" s="4">
        <f t="shared" si="5"/>
        <v>1.3204347234066808E-2</v>
      </c>
      <c r="H76" s="4">
        <f t="shared" si="3"/>
        <v>2.595455313239258E-4</v>
      </c>
    </row>
    <row r="77" spans="1:8">
      <c r="A77" s="66">
        <v>3.2</v>
      </c>
      <c r="B77" s="10">
        <f t="shared" ref="B77:B140" si="6">(B$6^A77)*B$7^((B$5^30)*((B$5^A77)-1))</f>
        <v>0.99027076784106738</v>
      </c>
      <c r="C77" s="10">
        <f t="shared" ref="C77:C140" si="7">(B$6^A77)*B$7^((B$5^40)*((B$5^A77)-1))</f>
        <v>0.98038403823568865</v>
      </c>
      <c r="D77" s="4">
        <f t="shared" ref="D77:D140" si="8">B$3+B$4*(B$5^(30+A77))</f>
        <v>3.4104136789602679E-3</v>
      </c>
      <c r="E77" s="66">
        <f t="shared" si="4"/>
        <v>2</v>
      </c>
      <c r="F77" s="4">
        <f t="shared" si="5"/>
        <v>6.6219705993230933E-3</v>
      </c>
      <c r="H77" s="4">
        <f t="shared" si="3"/>
        <v>1.3249534571623458E-4</v>
      </c>
    </row>
    <row r="78" spans="1:8">
      <c r="A78" s="66">
        <v>3.25</v>
      </c>
      <c r="B78" s="10">
        <f t="shared" si="6"/>
        <v>0.99010162392940648</v>
      </c>
      <c r="C78" s="10">
        <f t="shared" si="7"/>
        <v>0.98004413832871196</v>
      </c>
      <c r="D78" s="4">
        <f t="shared" si="8"/>
        <v>3.4224059134195166E-3</v>
      </c>
      <c r="E78" s="66">
        <f t="shared" si="4"/>
        <v>4</v>
      </c>
      <c r="F78" s="4">
        <f t="shared" si="5"/>
        <v>1.3283634494421917E-2</v>
      </c>
      <c r="H78" s="4">
        <f t="shared" si="3"/>
        <v>2.7048411606715077E-4</v>
      </c>
    </row>
    <row r="79" spans="1:8">
      <c r="A79" s="66">
        <v>3.3</v>
      </c>
      <c r="B79" s="10">
        <f t="shared" si="6"/>
        <v>0.98993191425904603</v>
      </c>
      <c r="C79" s="10">
        <f t="shared" si="7"/>
        <v>0.97970314333742392</v>
      </c>
      <c r="D79" s="4">
        <f t="shared" si="8"/>
        <v>3.4344415906932503E-3</v>
      </c>
      <c r="E79" s="66">
        <f t="shared" si="4"/>
        <v>2</v>
      </c>
      <c r="F79" s="4">
        <f t="shared" si="5"/>
        <v>6.6617135988726343E-3</v>
      </c>
      <c r="H79" s="4">
        <f t="shared" ref="H79:H142" si="9">B79*(1-C79)*D79*E79</f>
        <v>1.3801307769907071E-4</v>
      </c>
    </row>
    <row r="80" spans="1:8">
      <c r="A80" s="66">
        <v>3.35</v>
      </c>
      <c r="B80" s="10">
        <f t="shared" si="6"/>
        <v>0.98976163697703801</v>
      </c>
      <c r="C80" s="10">
        <f t="shared" si="7"/>
        <v>0.9793610500946508</v>
      </c>
      <c r="D80" s="4">
        <f t="shared" si="8"/>
        <v>3.4465208681564922E-3</v>
      </c>
      <c r="E80" s="66">
        <f t="shared" ref="E80:E143" si="10">IF(E79=4,2,4)</f>
        <v>4</v>
      </c>
      <c r="F80" s="4">
        <f t="shared" ref="F80:F143" si="11">B80*C80*D80*E80</f>
        <v>1.336331938354684E-2</v>
      </c>
      <c r="H80" s="4">
        <f t="shared" si="9"/>
        <v>2.816171618215263E-4</v>
      </c>
    </row>
    <row r="81" spans="1:8">
      <c r="A81" s="66">
        <v>3.4</v>
      </c>
      <c r="B81" s="10">
        <f t="shared" si="6"/>
        <v>0.98959079022508811</v>
      </c>
      <c r="C81" s="10">
        <f t="shared" si="7"/>
        <v>0.97901785542710473</v>
      </c>
      <c r="D81" s="4">
        <f t="shared" si="8"/>
        <v>3.4586439037543591E-3</v>
      </c>
      <c r="E81" s="66">
        <f t="shared" si="10"/>
        <v>2</v>
      </c>
      <c r="F81" s="4">
        <f t="shared" si="11"/>
        <v>6.7016555626613012E-3</v>
      </c>
      <c r="H81" s="4">
        <f t="shared" si="9"/>
        <v>1.4362874498561896E-4</v>
      </c>
    </row>
    <row r="82" spans="1:8">
      <c r="A82" s="66">
        <v>3.45</v>
      </c>
      <c r="B82" s="10">
        <f t="shared" si="6"/>
        <v>0.98941937213954489</v>
      </c>
      <c r="C82" s="10">
        <f t="shared" si="7"/>
        <v>0.97867355615539497</v>
      </c>
      <c r="D82" s="4">
        <f t="shared" si="8"/>
        <v>3.4708108560041464E-3</v>
      </c>
      <c r="E82" s="66">
        <f t="shared" si="10"/>
        <v>4</v>
      </c>
      <c r="F82" s="4">
        <f t="shared" si="11"/>
        <v>1.3443402495119905E-2</v>
      </c>
      <c r="H82" s="4">
        <f t="shared" si="9"/>
        <v>2.9294749673105012E-4</v>
      </c>
    </row>
    <row r="83" spans="1:8">
      <c r="A83" s="66">
        <v>3.5</v>
      </c>
      <c r="B83" s="10">
        <f t="shared" si="6"/>
        <v>0.98924738085139052</v>
      </c>
      <c r="C83" s="10">
        <f t="shared" si="7"/>
        <v>0.97832814909404153</v>
      </c>
      <c r="D83" s="4">
        <f t="shared" si="8"/>
        <v>3.4830218839973855E-3</v>
      </c>
      <c r="E83" s="66">
        <f t="shared" si="10"/>
        <v>2</v>
      </c>
      <c r="F83" s="4">
        <f t="shared" si="11"/>
        <v>6.7417967817616871E-3</v>
      </c>
      <c r="H83" s="4">
        <f t="shared" si="9"/>
        <v>1.4934377062329152E-4</v>
      </c>
    </row>
    <row r="84" spans="1:8">
      <c r="A84" s="66">
        <v>3.55</v>
      </c>
      <c r="B84" s="10">
        <f t="shared" si="6"/>
        <v>0.98907481448623036</v>
      </c>
      <c r="C84" s="10">
        <f t="shared" si="7"/>
        <v>0.97798163105148739</v>
      </c>
      <c r="D84" s="4">
        <f t="shared" si="8"/>
        <v>3.4952771474019303E-3</v>
      </c>
      <c r="E84" s="66">
        <f t="shared" si="10"/>
        <v>4</v>
      </c>
      <c r="F84" s="4">
        <f t="shared" si="11"/>
        <v>1.3523884399640725E-2</v>
      </c>
      <c r="H84" s="4">
        <f t="shared" si="9"/>
        <v>3.0447798493737422E-4</v>
      </c>
    </row>
    <row r="85" spans="1:8">
      <c r="A85" s="66">
        <v>3.6</v>
      </c>
      <c r="B85" s="10">
        <f t="shared" si="6"/>
        <v>0.98890167116428351</v>
      </c>
      <c r="C85" s="10">
        <f t="shared" si="7"/>
        <v>0.97763399883011137</v>
      </c>
      <c r="D85" s="4">
        <f t="shared" si="8"/>
        <v>3.507576806464048E-3</v>
      </c>
      <c r="E85" s="66">
        <f t="shared" si="10"/>
        <v>2</v>
      </c>
      <c r="F85" s="4">
        <f t="shared" si="11"/>
        <v>6.7821375355442623E-3</v>
      </c>
      <c r="H85" s="4">
        <f t="shared" si="9"/>
        <v>1.55159595754493E-4</v>
      </c>
    </row>
    <row r="86" spans="1:8">
      <c r="A86" s="66">
        <v>3.65</v>
      </c>
      <c r="B86" s="10">
        <f t="shared" si="6"/>
        <v>0.98872794900037253</v>
      </c>
      <c r="C86" s="10">
        <f t="shared" si="7"/>
        <v>0.97728524922624216</v>
      </c>
      <c r="D86" s="4">
        <f t="shared" si="8"/>
        <v>3.5199210220105016E-3</v>
      </c>
      <c r="E86" s="66">
        <f t="shared" si="10"/>
        <v>4</v>
      </c>
      <c r="F86" s="4">
        <f t="shared" si="11"/>
        <v>1.3604765643977812E-2</v>
      </c>
      <c r="H86" s="4">
        <f t="shared" si="9"/>
        <v>3.1621152696514166E-4</v>
      </c>
    </row>
    <row r="87" spans="1:8">
      <c r="A87" s="66">
        <v>3.7</v>
      </c>
      <c r="B87" s="10">
        <f t="shared" si="6"/>
        <v>0.98855364610391339</v>
      </c>
      <c r="C87" s="10">
        <f t="shared" si="7"/>
        <v>0.97693537903017102</v>
      </c>
      <c r="D87" s="4">
        <f t="shared" si="8"/>
        <v>3.5323099554506717E-3</v>
      </c>
      <c r="E87" s="66">
        <f t="shared" si="10"/>
        <v>2</v>
      </c>
      <c r="F87" s="4">
        <f t="shared" si="11"/>
        <v>6.8226780914498637E-3</v>
      </c>
      <c r="H87" s="4">
        <f t="shared" si="9"/>
        <v>1.6107767980996351E-4</v>
      </c>
    </row>
    <row r="88" spans="1:8">
      <c r="A88" s="66">
        <v>3.75</v>
      </c>
      <c r="B88" s="10">
        <f t="shared" si="6"/>
        <v>0.98837876057890572</v>
      </c>
      <c r="C88" s="10">
        <f t="shared" si="7"/>
        <v>0.97658438502616529</v>
      </c>
      <c r="D88" s="4">
        <f t="shared" si="8"/>
        <v>3.5447437687786509E-3</v>
      </c>
      <c r="E88" s="66">
        <f t="shared" si="10"/>
        <v>4</v>
      </c>
      <c r="F88" s="4">
        <f t="shared" si="11"/>
        <v>1.3686046750910945E-2</v>
      </c>
      <c r="H88" s="4">
        <f t="shared" si="9"/>
        <v>3.2815106011002421E-4</v>
      </c>
    </row>
    <row r="89" spans="1:8">
      <c r="A89" s="66">
        <v>3.8</v>
      </c>
      <c r="B89" s="10">
        <f t="shared" si="6"/>
        <v>0.98820329052392375</v>
      </c>
      <c r="C89" s="10">
        <f t="shared" si="7"/>
        <v>0.97623226399248397</v>
      </c>
      <c r="D89" s="4">
        <f t="shared" si="8"/>
        <v>3.5572226245753694E-3</v>
      </c>
      <c r="E89" s="66">
        <f t="shared" si="10"/>
        <v>2</v>
      </c>
      <c r="F89" s="4">
        <f t="shared" si="11"/>
        <v>6.8634187047595758E-3</v>
      </c>
      <c r="H89" s="4">
        <f t="shared" si="9"/>
        <v>1.6709950070348126E-4</v>
      </c>
    </row>
    <row r="90" spans="1:8">
      <c r="A90" s="66">
        <v>3.85</v>
      </c>
      <c r="B90" s="10">
        <f t="shared" si="6"/>
        <v>0.98802723403210491</v>
      </c>
      <c r="C90" s="10">
        <f t="shared" si="7"/>
        <v>0.97587901270139032</v>
      </c>
      <c r="D90" s="4">
        <f t="shared" si="8"/>
        <v>3.5697466860107234E-3</v>
      </c>
      <c r="E90" s="66">
        <f t="shared" si="10"/>
        <v>4</v>
      </c>
      <c r="F90" s="4">
        <f t="shared" si="11"/>
        <v>1.3767728218668335E-2</v>
      </c>
      <c r="H90" s="4">
        <f t="shared" si="9"/>
        <v>3.4029955882945674E-4</v>
      </c>
    </row>
    <row r="91" spans="1:8">
      <c r="A91" s="66">
        <v>3.9</v>
      </c>
      <c r="B91" s="10">
        <f t="shared" si="6"/>
        <v>0.98785058919114166</v>
      </c>
      <c r="C91" s="10">
        <f t="shared" si="7"/>
        <v>0.97552462791916761</v>
      </c>
      <c r="D91" s="4">
        <f t="shared" si="8"/>
        <v>3.5823161168456971E-3</v>
      </c>
      <c r="E91" s="66">
        <f t="shared" si="10"/>
        <v>2</v>
      </c>
      <c r="F91" s="4">
        <f t="shared" si="11"/>
        <v>6.9043596183620166E-3</v>
      </c>
      <c r="H91" s="4">
        <f t="shared" si="9"/>
        <v>1.7322655502787225E-4</v>
      </c>
    </row>
    <row r="92" spans="1:8">
      <c r="A92" s="66">
        <v>3.95</v>
      </c>
      <c r="B92" s="10">
        <f t="shared" si="6"/>
        <v>0.98767335408327073</v>
      </c>
      <c r="C92" s="10">
        <f t="shared" si="7"/>
        <v>0.97516910640613308</v>
      </c>
      <c r="D92" s="4">
        <f t="shared" si="8"/>
        <v>3.5949310814345201E-3</v>
      </c>
      <c r="E92" s="66">
        <f t="shared" si="10"/>
        <v>4</v>
      </c>
      <c r="F92" s="4">
        <f t="shared" si="11"/>
        <v>1.3849810520458533E-2</v>
      </c>
      <c r="H92" s="4">
        <f t="shared" si="9"/>
        <v>3.5266003513599576E-4</v>
      </c>
    </row>
    <row r="93" spans="1:8">
      <c r="A93" s="66">
        <v>4</v>
      </c>
      <c r="B93" s="10">
        <f t="shared" si="6"/>
        <v>0.98749552678526387</v>
      </c>
      <c r="C93" s="10">
        <f t="shared" si="7"/>
        <v>0.97481244491665375</v>
      </c>
      <c r="D93" s="4">
        <f t="shared" si="8"/>
        <v>3.6075917447268039E-3</v>
      </c>
      <c r="E93" s="66">
        <f t="shared" si="10"/>
        <v>2</v>
      </c>
      <c r="F93" s="4">
        <f t="shared" si="11"/>
        <v>6.9455010625179593E-3</v>
      </c>
      <c r="H93" s="4">
        <f t="shared" si="9"/>
        <v>1.794603582523696E-4</v>
      </c>
    </row>
    <row r="94" spans="1:8">
      <c r="A94" s="66">
        <v>4.05</v>
      </c>
      <c r="B94" s="10">
        <f t="shared" si="6"/>
        <v>0.98731710536841777</v>
      </c>
      <c r="C94" s="10">
        <f t="shared" si="7"/>
        <v>0.97445464019916128</v>
      </c>
      <c r="D94" s="4">
        <f t="shared" si="8"/>
        <v>3.6202982722696982E-3</v>
      </c>
      <c r="E94" s="66">
        <f t="shared" si="10"/>
        <v>4</v>
      </c>
      <c r="F94" s="4">
        <f t="shared" si="11"/>
        <v>1.3932294103997062E-2</v>
      </c>
      <c r="H94" s="4">
        <f t="shared" si="9"/>
        <v>3.6523553899334718E-4</v>
      </c>
    </row>
    <row r="95" spans="1:8">
      <c r="A95" s="66">
        <v>4.0999999999999996</v>
      </c>
      <c r="B95" s="10">
        <f t="shared" si="6"/>
        <v>0.98713808789854496</v>
      </c>
      <c r="C95" s="10">
        <f t="shared" si="7"/>
        <v>0.97409568899616794</v>
      </c>
      <c r="D95" s="4">
        <f t="shared" si="8"/>
        <v>3.6330508302100748E-3</v>
      </c>
      <c r="E95" s="66">
        <f t="shared" si="10"/>
        <v>2</v>
      </c>
      <c r="F95" s="4">
        <f t="shared" si="11"/>
        <v>6.9868432546223132E-3</v>
      </c>
      <c r="H95" s="4">
        <f t="shared" si="9"/>
        <v>1.8580244492127571E-4</v>
      </c>
    </row>
    <row r="96" spans="1:8">
      <c r="A96" s="66">
        <v>4.1500000000000004</v>
      </c>
      <c r="B96" s="10">
        <f t="shared" si="6"/>
        <v>0.98695847243596346</v>
      </c>
      <c r="C96" s="10">
        <f t="shared" si="7"/>
        <v>0.97373558804428262</v>
      </c>
      <c r="D96" s="4">
        <f t="shared" si="8"/>
        <v>3.6458495852966684E-3</v>
      </c>
      <c r="E96" s="66">
        <f t="shared" si="10"/>
        <v>4</v>
      </c>
      <c r="F96" s="4">
        <f t="shared" si="11"/>
        <v>1.4015179391027765E-2</v>
      </c>
      <c r="H96" s="4">
        <f t="shared" si="9"/>
        <v>3.7802915871499741E-4</v>
      </c>
    </row>
    <row r="97" spans="1:8">
      <c r="A97" s="66">
        <v>4.2</v>
      </c>
      <c r="B97" s="10">
        <f t="shared" si="6"/>
        <v>0.98677825703548794</v>
      </c>
      <c r="C97" s="10">
        <f t="shared" si="7"/>
        <v>0.97337433407422636</v>
      </c>
      <c r="D97" s="4">
        <f t="shared" si="8"/>
        <v>3.6586947048822867E-3</v>
      </c>
      <c r="E97" s="66">
        <f t="shared" si="10"/>
        <v>2</v>
      </c>
      <c r="F97" s="4">
        <f t="shared" si="11"/>
        <v>7.0283863989634952E-3</v>
      </c>
      <c r="H97" s="4">
        <f t="shared" si="9"/>
        <v>1.9225436885392843E-4</v>
      </c>
    </row>
    <row r="98" spans="1:8">
      <c r="A98" s="66">
        <v>4.25</v>
      </c>
      <c r="B98" s="10">
        <f t="shared" si="6"/>
        <v>0.98659743974641978</v>
      </c>
      <c r="C98" s="10">
        <f t="shared" si="7"/>
        <v>0.97301192381084967</v>
      </c>
      <c r="D98" s="4">
        <f t="shared" si="8"/>
        <v>3.6715863569259802E-3</v>
      </c>
      <c r="E98" s="66">
        <f t="shared" si="10"/>
        <v>4</v>
      </c>
      <c r="F98" s="4">
        <f t="shared" si="11"/>
        <v>1.4098466776838774E-2</v>
      </c>
      <c r="H98" s="4">
        <f t="shared" si="9"/>
        <v>3.9104402136545211E-4</v>
      </c>
    </row>
    <row r="99" spans="1:8">
      <c r="A99" s="66">
        <v>4.3</v>
      </c>
      <c r="B99" s="10">
        <f t="shared" si="6"/>
        <v>0.98641601861253758</v>
      </c>
      <c r="C99" s="10">
        <f t="shared" si="7"/>
        <v>0.97264835397314875</v>
      </c>
      <c r="D99" s="4">
        <f t="shared" si="8"/>
        <v>3.6845247099952442E-3</v>
      </c>
      <c r="E99" s="66">
        <f t="shared" si="10"/>
        <v>2</v>
      </c>
      <c r="F99" s="4">
        <f t="shared" si="11"/>
        <v>7.0701306864800742E-3</v>
      </c>
      <c r="H99" s="4">
        <f t="shared" si="9"/>
        <v>1.988177033459724E-4</v>
      </c>
    </row>
    <row r="100" spans="1:8">
      <c r="A100" s="66">
        <v>4.3499999999999996</v>
      </c>
      <c r="B100" s="10">
        <f t="shared" si="6"/>
        <v>0.98623399167208758</v>
      </c>
      <c r="C100" s="10">
        <f t="shared" si="7"/>
        <v>0.97228362127428281</v>
      </c>
      <c r="D100" s="4">
        <f t="shared" si="8"/>
        <v>3.6975099332682295E-3</v>
      </c>
      <c r="E100" s="66">
        <f t="shared" si="10"/>
        <v>4</v>
      </c>
      <c r="F100" s="4">
        <f t="shared" si="11"/>
        <v>1.418215662977323E-2</v>
      </c>
      <c r="H100" s="4">
        <f t="shared" si="9"/>
        <v>4.0428329316405083E-4</v>
      </c>
    </row>
    <row r="101" spans="1:8">
      <c r="A101" s="66">
        <v>4.4000000000000004</v>
      </c>
      <c r="B101" s="10">
        <f t="shared" si="6"/>
        <v>0.98605135695777457</v>
      </c>
      <c r="C101" s="10">
        <f t="shared" si="7"/>
        <v>0.97191772242159125</v>
      </c>
      <c r="D101" s="4">
        <f t="shared" si="8"/>
        <v>3.7105421965359358E-3</v>
      </c>
      <c r="E101" s="66">
        <f t="shared" si="10"/>
        <v>2</v>
      </c>
      <c r="F101" s="4">
        <f t="shared" si="11"/>
        <v>7.1120762945147825E-3</v>
      </c>
      <c r="H101" s="4">
        <f t="shared" si="9"/>
        <v>2.0549404137189958E-4</v>
      </c>
    </row>
    <row r="102" spans="1:8">
      <c r="A102" s="66">
        <v>4.45</v>
      </c>
      <c r="B102" s="10">
        <f t="shared" si="6"/>
        <v>0.98586811249675166</v>
      </c>
      <c r="C102" s="10">
        <f t="shared" si="7"/>
        <v>0.97155065411661101</v>
      </c>
      <c r="D102" s="4">
        <f t="shared" si="8"/>
        <v>3.7236216702044578E-3</v>
      </c>
      <c r="E102" s="66">
        <f t="shared" si="10"/>
        <v>4</v>
      </c>
      <c r="F102" s="4">
        <f t="shared" si="11"/>
        <v>1.4266249290734546E-2</v>
      </c>
      <c r="H102" s="4">
        <f t="shared" si="9"/>
        <v>4.1775017989133652E-4</v>
      </c>
    </row>
    <row r="103" spans="1:8">
      <c r="A103" s="66">
        <v>4.5</v>
      </c>
      <c r="B103" s="10">
        <f t="shared" si="6"/>
        <v>0.98568425631061218</v>
      </c>
      <c r="C103" s="10">
        <f t="shared" si="7"/>
        <v>0.97118241305509534</v>
      </c>
      <c r="D103" s="4">
        <f t="shared" si="8"/>
        <v>3.7367485252971897E-3</v>
      </c>
      <c r="E103" s="66">
        <f t="shared" si="10"/>
        <v>2</v>
      </c>
      <c r="F103" s="4">
        <f t="shared" si="11"/>
        <v>7.1542233865657997E-3</v>
      </c>
      <c r="H103" s="4">
        <f t="shared" si="9"/>
        <v>2.1228499578887481E-4</v>
      </c>
    </row>
    <row r="104" spans="1:8">
      <c r="A104" s="66">
        <v>4.55</v>
      </c>
      <c r="B104" s="10">
        <f t="shared" si="6"/>
        <v>0.98549978641537905</v>
      </c>
      <c r="C104" s="10">
        <f t="shared" si="7"/>
        <v>0.97081299592703052</v>
      </c>
      <c r="D104" s="4">
        <f t="shared" si="8"/>
        <v>3.7499229334570748E-3</v>
      </c>
      <c r="E104" s="66">
        <f t="shared" si="10"/>
        <v>4</v>
      </c>
      <c r="F104" s="4">
        <f t="shared" si="11"/>
        <v>1.4350745072686353E-2</v>
      </c>
      <c r="H104" s="4">
        <f t="shared" si="9"/>
        <v>4.3144792729796314E-4</v>
      </c>
    </row>
    <row r="105" spans="1:8">
      <c r="A105" s="66">
        <v>4.5999999999999996</v>
      </c>
      <c r="B105" s="10">
        <f t="shared" si="6"/>
        <v>0.98531470082149641</v>
      </c>
      <c r="C105" s="10">
        <f t="shared" si="7"/>
        <v>0.97044239941665633</v>
      </c>
      <c r="D105" s="4">
        <f t="shared" si="8"/>
        <v>3.7631450669488517E-3</v>
      </c>
      <c r="E105" s="66">
        <f t="shared" si="10"/>
        <v>2</v>
      </c>
      <c r="F105" s="4">
        <f t="shared" si="11"/>
        <v>7.1965721120353827E-3</v>
      </c>
      <c r="H105" s="4">
        <f t="shared" si="9"/>
        <v>2.1919219954181327E-4</v>
      </c>
    </row>
    <row r="106" spans="1:8">
      <c r="A106" s="66">
        <v>4.6500000000000004</v>
      </c>
      <c r="B106" s="10">
        <f t="shared" si="6"/>
        <v>0.98512899753381966</v>
      </c>
      <c r="C106" s="10">
        <f t="shared" si="7"/>
        <v>0.97007062020248291</v>
      </c>
      <c r="D106" s="4">
        <f t="shared" si="8"/>
        <v>3.7764150986612892E-3</v>
      </c>
      <c r="E106" s="66">
        <f t="shared" si="10"/>
        <v>4</v>
      </c>
      <c r="F106" s="4">
        <f t="shared" si="11"/>
        <v>1.4435644260147013E-2</v>
      </c>
      <c r="H106" s="4">
        <f t="shared" si="9"/>
        <v>4.4537982151609303E-4</v>
      </c>
    </row>
    <row r="107" spans="1:8">
      <c r="A107" s="66">
        <v>4.7</v>
      </c>
      <c r="B107" s="10">
        <f t="shared" si="6"/>
        <v>0.98494267455160689</v>
      </c>
      <c r="C107" s="10">
        <f t="shared" si="7"/>
        <v>0.96969765495731097</v>
      </c>
      <c r="D107" s="4">
        <f t="shared" si="8"/>
        <v>3.7897332021094719E-3</v>
      </c>
      <c r="E107" s="66">
        <f t="shared" si="10"/>
        <v>2</v>
      </c>
      <c r="F107" s="4">
        <f t="shared" si="11"/>
        <v>7.2391226059757589E-3</v>
      </c>
      <c r="H107" s="4">
        <f t="shared" si="9"/>
        <v>2.2621730586969873E-4</v>
      </c>
    </row>
    <row r="108" spans="1:8">
      <c r="A108" s="66">
        <v>4.75</v>
      </c>
      <c r="B108" s="10">
        <f t="shared" si="6"/>
        <v>0.98475572986850912</v>
      </c>
      <c r="C108" s="10">
        <f t="shared" si="7"/>
        <v>0.96932350034825077</v>
      </c>
      <c r="D108" s="4">
        <f t="shared" si="8"/>
        <v>3.8030995514370496E-3</v>
      </c>
      <c r="E108" s="66">
        <f t="shared" si="10"/>
        <v>4</v>
      </c>
      <c r="F108" s="4">
        <f t="shared" si="11"/>
        <v>1.4520947108678676E-2</v>
      </c>
      <c r="H108" s="4">
        <f t="shared" si="9"/>
        <v>4.5954918947328945E-4</v>
      </c>
    </row>
    <row r="109" spans="1:8">
      <c r="A109" s="66">
        <v>4.8</v>
      </c>
      <c r="B109" s="10">
        <f t="shared" si="6"/>
        <v>0.98456816147256132</v>
      </c>
      <c r="C109" s="10">
        <f t="shared" si="7"/>
        <v>0.96894815303674198</v>
      </c>
      <c r="D109" s="4">
        <f t="shared" si="8"/>
        <v>3.816514321418522E-3</v>
      </c>
      <c r="E109" s="66">
        <f t="shared" si="10"/>
        <v>2</v>
      </c>
      <c r="F109" s="4">
        <f t="shared" si="11"/>
        <v>7.2818749888323188E-3</v>
      </c>
      <c r="H109" s="4">
        <f t="shared" si="9"/>
        <v>2.3336198851314928E-4</v>
      </c>
    </row>
    <row r="110" spans="1:8">
      <c r="A110" s="66">
        <v>4.8499999999999996</v>
      </c>
      <c r="B110" s="10">
        <f t="shared" si="6"/>
        <v>0.98437996734617339</v>
      </c>
      <c r="C110" s="10">
        <f t="shared" si="7"/>
        <v>0.9685716096785737</v>
      </c>
      <c r="D110" s="4">
        <f t="shared" si="8"/>
        <v>3.8299776874615261E-3</v>
      </c>
      <c r="E110" s="66">
        <f t="shared" si="10"/>
        <v>4</v>
      </c>
      <c r="F110" s="4">
        <f t="shared" si="11"/>
        <v>1.4606653844370959E-2</v>
      </c>
      <c r="H110" s="4">
        <f t="shared" si="9"/>
        <v>4.739593993088395E-4</v>
      </c>
    </row>
    <row r="111" spans="1:8">
      <c r="A111" s="66">
        <v>4.9000000000000004</v>
      </c>
      <c r="B111" s="10">
        <f t="shared" si="6"/>
        <v>0.98419114546612119</v>
      </c>
      <c r="C111" s="10">
        <f t="shared" si="7"/>
        <v>0.9681938669239043</v>
      </c>
      <c r="D111" s="4">
        <f t="shared" si="8"/>
        <v>3.8434898256091247E-3</v>
      </c>
      <c r="E111" s="66">
        <f t="shared" si="10"/>
        <v>2</v>
      </c>
      <c r="F111" s="4">
        <f t="shared" si="11"/>
        <v>7.3248293661840732E-3</v>
      </c>
      <c r="H111" s="4">
        <f t="shared" si="9"/>
        <v>2.4062794192318004E-4</v>
      </c>
    </row>
    <row r="112" spans="1:8">
      <c r="A112" s="66">
        <v>4.95</v>
      </c>
      <c r="B112" s="10">
        <f t="shared" si="6"/>
        <v>0.98400169380353741</v>
      </c>
      <c r="C112" s="10">
        <f t="shared" si="7"/>
        <v>0.96781492141728276</v>
      </c>
      <c r="D112" s="4">
        <f t="shared" si="8"/>
        <v>3.8570509125421086E-3</v>
      </c>
      <c r="E112" s="66">
        <f t="shared" si="10"/>
        <v>4</v>
      </c>
      <c r="F112" s="4">
        <f t="shared" si="11"/>
        <v>1.4692764663319148E-2</v>
      </c>
      <c r="H112" s="4">
        <f t="shared" si="9"/>
        <v>4.8861386079250969E-4</v>
      </c>
    </row>
    <row r="113" spans="1:8">
      <c r="A113" s="66">
        <v>5</v>
      </c>
      <c r="B113" s="10">
        <f t="shared" si="6"/>
        <v>0.9838116103239023</v>
      </c>
      <c r="C113" s="10">
        <f t="shared" si="7"/>
        <v>0.96743476979766885</v>
      </c>
      <c r="D113" s="4">
        <f t="shared" si="8"/>
        <v>3.8706611255813141E-3</v>
      </c>
      <c r="E113" s="66">
        <f t="shared" si="10"/>
        <v>2</v>
      </c>
      <c r="F113" s="4">
        <f t="shared" si="11"/>
        <v>7.3679858284813786E-3</v>
      </c>
      <c r="H113" s="4">
        <f t="shared" si="9"/>
        <v>2.4801688147118309E-4</v>
      </c>
    </row>
    <row r="114" spans="1:8">
      <c r="A114" s="66">
        <v>5.05</v>
      </c>
      <c r="B114" s="10">
        <f t="shared" si="6"/>
        <v>0.98362089298703514</v>
      </c>
      <c r="C114" s="10">
        <f t="shared" si="7"/>
        <v>0.96705340869845491</v>
      </c>
      <c r="D114" s="4">
        <f t="shared" si="8"/>
        <v>3.8843206426899257E-3</v>
      </c>
      <c r="E114" s="66">
        <f t="shared" si="10"/>
        <v>4</v>
      </c>
      <c r="F114" s="4">
        <f t="shared" si="11"/>
        <v>1.4779279731096877E-2</v>
      </c>
      <c r="H114" s="4">
        <f t="shared" si="9"/>
        <v>5.0351602574567921E-4</v>
      </c>
    </row>
    <row r="115" spans="1:8">
      <c r="A115" s="66">
        <v>5.0999999999999996</v>
      </c>
      <c r="B115" s="10">
        <f t="shared" si="6"/>
        <v>0.98342953974708514</v>
      </c>
      <c r="C115" s="10">
        <f t="shared" si="7"/>
        <v>0.96667083474748716</v>
      </c>
      <c r="D115" s="4">
        <f t="shared" si="8"/>
        <v>3.8980296424758285E-3</v>
      </c>
      <c r="E115" s="66">
        <f t="shared" si="10"/>
        <v>2</v>
      </c>
      <c r="F115" s="4">
        <f t="shared" si="11"/>
        <v>7.4113444507809155E-3</v>
      </c>
      <c r="H115" s="4">
        <f t="shared" si="9"/>
        <v>2.5553054366008246E-4</v>
      </c>
    </row>
    <row r="116" spans="1:8">
      <c r="A116" s="66">
        <v>5.15</v>
      </c>
      <c r="B116" s="10">
        <f t="shared" si="6"/>
        <v>0.98323754855252254</v>
      </c>
      <c r="C116" s="10">
        <f t="shared" si="7"/>
        <v>0.96628704456708736</v>
      </c>
      <c r="D116" s="4">
        <f t="shared" si="8"/>
        <v>3.9117883041939186E-3</v>
      </c>
      <c r="E116" s="66">
        <f t="shared" si="10"/>
        <v>4</v>
      </c>
      <c r="F116" s="4">
        <f t="shared" si="11"/>
        <v>1.4866199182223401E-2</v>
      </c>
      <c r="H116" s="4">
        <f t="shared" si="9"/>
        <v>5.1866938846483075E-4</v>
      </c>
    </row>
    <row r="117" spans="1:8">
      <c r="A117" s="66">
        <v>5.2</v>
      </c>
      <c r="B117" s="10">
        <f t="shared" si="6"/>
        <v>0.98304491734612987</v>
      </c>
      <c r="C117" s="10">
        <f t="shared" si="7"/>
        <v>0.96590203477407544</v>
      </c>
      <c r="D117" s="4">
        <f t="shared" si="8"/>
        <v>3.9255968077484583E-3</v>
      </c>
      <c r="E117" s="66">
        <f t="shared" si="10"/>
        <v>2</v>
      </c>
      <c r="F117" s="4">
        <f t="shared" si="11"/>
        <v>7.4549052924779641E-3</v>
      </c>
      <c r="H117" s="4">
        <f t="shared" si="9"/>
        <v>2.6317068633666493E-4</v>
      </c>
    </row>
    <row r="118" spans="1:8">
      <c r="A118" s="66">
        <v>5.25</v>
      </c>
      <c r="B118" s="10">
        <f t="shared" si="6"/>
        <v>0.98285164406499348</v>
      </c>
      <c r="C118" s="10">
        <f t="shared" si="7"/>
        <v>0.96551580197979159</v>
      </c>
      <c r="D118" s="4">
        <f t="shared" si="8"/>
        <v>3.9394553336954295E-3</v>
      </c>
      <c r="E118" s="66">
        <f t="shared" si="10"/>
        <v>4</v>
      </c>
      <c r="F118" s="4">
        <f t="shared" si="11"/>
        <v>1.4953523119625278E-2</v>
      </c>
      <c r="H118" s="4">
        <f t="shared" si="9"/>
        <v>5.3407748614736346E-4</v>
      </c>
    </row>
    <row r="119" spans="1:8">
      <c r="A119" s="66">
        <v>5.3</v>
      </c>
      <c r="B119" s="10">
        <f t="shared" si="6"/>
        <v>0.98265772664049422</v>
      </c>
      <c r="C119" s="10">
        <f t="shared" si="7"/>
        <v>0.9651283427901195</v>
      </c>
      <c r="D119" s="4">
        <f t="shared" si="8"/>
        <v>3.9533640632448876E-3</v>
      </c>
      <c r="E119" s="66">
        <f t="shared" si="10"/>
        <v>2</v>
      </c>
      <c r="F119" s="4">
        <f t="shared" si="11"/>
        <v>7.4986683970358443E-3</v>
      </c>
      <c r="H119" s="4">
        <f t="shared" si="9"/>
        <v>2.7093908890505242E-4</v>
      </c>
    </row>
    <row r="120" spans="1:8">
      <c r="A120" s="66">
        <v>5.35</v>
      </c>
      <c r="B120" s="10">
        <f t="shared" si="6"/>
        <v>0.98246316299829883</v>
      </c>
      <c r="C120" s="10">
        <f t="shared" si="7"/>
        <v>0.96473965380550908</v>
      </c>
      <c r="D120" s="4">
        <f t="shared" si="8"/>
        <v>3.9673231782633451E-3</v>
      </c>
      <c r="E120" s="66">
        <f t="shared" si="10"/>
        <v>4</v>
      </c>
      <c r="F120" s="4">
        <f t="shared" si="11"/>
        <v>1.5041251614092607E-2</v>
      </c>
      <c r="H120" s="4">
        <f t="shared" si="9"/>
        <v>5.4974389931967168E-4</v>
      </c>
    </row>
    <row r="121" spans="1:8">
      <c r="A121" s="66">
        <v>5.4</v>
      </c>
      <c r="B121" s="10">
        <f t="shared" si="6"/>
        <v>0.98226795105835241</v>
      </c>
      <c r="C121" s="10">
        <f t="shared" si="7"/>
        <v>0.96434973162100035</v>
      </c>
      <c r="D121" s="4">
        <f t="shared" si="8"/>
        <v>3.9813328612761318E-3</v>
      </c>
      <c r="E121" s="66">
        <f t="shared" si="10"/>
        <v>2</v>
      </c>
      <c r="F121" s="4">
        <f t="shared" si="11"/>
        <v>7.5426337917126772E-3</v>
      </c>
      <c r="H121" s="4">
        <f t="shared" si="9"/>
        <v>2.7883755254130978E-4</v>
      </c>
    </row>
    <row r="122" spans="1:8">
      <c r="A122" s="66">
        <v>5.45</v>
      </c>
      <c r="B122" s="10">
        <f t="shared" si="6"/>
        <v>0.98207208873486795</v>
      </c>
      <c r="C122" s="10">
        <f t="shared" si="7"/>
        <v>0.96395857282624653</v>
      </c>
      <c r="D122" s="4">
        <f t="shared" si="8"/>
        <v>3.9953932954697917E-3</v>
      </c>
      <c r="E122" s="66">
        <f t="shared" si="10"/>
        <v>4</v>
      </c>
      <c r="F122" s="4">
        <f t="shared" si="11"/>
        <v>1.5129384703729737E-2</v>
      </c>
      <c r="H122" s="4">
        <f t="shared" si="9"/>
        <v>5.6567225226748677E-4</v>
      </c>
    </row>
    <row r="123" spans="1:8">
      <c r="A123" s="66">
        <v>5.5</v>
      </c>
      <c r="B123" s="10">
        <f t="shared" si="6"/>
        <v>0.98187557393631963</v>
      </c>
      <c r="C123" s="10">
        <f t="shared" si="7"/>
        <v>0.96356617400553946</v>
      </c>
      <c r="D123" s="4">
        <f t="shared" si="8"/>
        <v>4.0095046646944797E-3</v>
      </c>
      <c r="E123" s="66">
        <f t="shared" si="10"/>
        <v>2</v>
      </c>
      <c r="F123" s="4">
        <f t="shared" si="11"/>
        <v>7.5868014872853152E-3</v>
      </c>
      <c r="H123" s="4">
        <f t="shared" si="9"/>
        <v>2.868679004091716E-4</v>
      </c>
    </row>
    <row r="124" spans="1:8">
      <c r="A124" s="66">
        <v>5.55</v>
      </c>
      <c r="B124" s="10">
        <f t="shared" si="6"/>
        <v>0.98167840456543309</v>
      </c>
      <c r="C124" s="10">
        <f t="shared" si="7"/>
        <v>0.96317253173783302</v>
      </c>
      <c r="D124" s="4">
        <f t="shared" si="8"/>
        <v>4.0236671534663558E-3</v>
      </c>
      <c r="E124" s="66">
        <f t="shared" si="10"/>
        <v>4</v>
      </c>
      <c r="F124" s="4">
        <f t="shared" si="11"/>
        <v>1.5217922393400352E-2</v>
      </c>
      <c r="H124" s="4">
        <f t="shared" si="9"/>
        <v>5.818662134684068E-4</v>
      </c>
    </row>
    <row r="125" spans="1:8">
      <c r="A125" s="66">
        <v>5.6</v>
      </c>
      <c r="B125" s="10">
        <f t="shared" si="6"/>
        <v>0.98148057851917736</v>
      </c>
      <c r="C125" s="10">
        <f t="shared" si="7"/>
        <v>0.96277764259676768</v>
      </c>
      <c r="D125" s="4">
        <f t="shared" si="8"/>
        <v>4.0378809469700143E-3</v>
      </c>
      <c r="E125" s="66">
        <f t="shared" si="10"/>
        <v>2</v>
      </c>
      <c r="F125" s="4">
        <f t="shared" si="11"/>
        <v>7.6311714777705444E-3</v>
      </c>
      <c r="H125" s="4">
        <f t="shared" si="9"/>
        <v>2.9503197787684212E-4</v>
      </c>
    </row>
    <row r="126" spans="1:8">
      <c r="A126" s="66">
        <v>5.65</v>
      </c>
      <c r="B126" s="10">
        <f t="shared" si="6"/>
        <v>0.98128209368875707</v>
      </c>
      <c r="C126" s="10">
        <f t="shared" si="7"/>
        <v>0.96238150315069737</v>
      </c>
      <c r="D126" s="4">
        <f t="shared" si="8"/>
        <v>4.0521462310608861E-3</v>
      </c>
      <c r="E126" s="66">
        <f t="shared" si="10"/>
        <v>4</v>
      </c>
      <c r="F126" s="4">
        <f t="shared" si="11"/>
        <v>1.530686465416712E-2</v>
      </c>
      <c r="H126" s="4">
        <f t="shared" si="9"/>
        <v>5.9832949602660942E-4</v>
      </c>
    </row>
    <row r="127" spans="1:8">
      <c r="A127" s="66">
        <v>5.7</v>
      </c>
      <c r="B127" s="10">
        <f t="shared" si="6"/>
        <v>0.98108294795960316</v>
      </c>
      <c r="C127" s="10">
        <f t="shared" si="7"/>
        <v>0.961984109962713</v>
      </c>
      <c r="D127" s="4">
        <f t="shared" si="8"/>
        <v>4.0664631922676829E-3</v>
      </c>
      <c r="E127" s="66">
        <f t="shared" si="10"/>
        <v>2</v>
      </c>
      <c r="F127" s="4">
        <f t="shared" si="11"/>
        <v>7.675743740143506E-3</v>
      </c>
      <c r="H127" s="4">
        <f t="shared" si="9"/>
        <v>3.0333165273488757E-4</v>
      </c>
    </row>
    <row r="128" spans="1:8">
      <c r="A128" s="66">
        <v>5.75</v>
      </c>
      <c r="B128" s="10">
        <f t="shared" si="6"/>
        <v>0.98088313921136538</v>
      </c>
      <c r="C128" s="10">
        <f t="shared" si="7"/>
        <v>0.96158545959066977</v>
      </c>
      <c r="D128" s="4">
        <f t="shared" si="8"/>
        <v>4.0808320177948294E-3</v>
      </c>
      <c r="E128" s="66">
        <f t="shared" si="10"/>
        <v>4</v>
      </c>
      <c r="F128" s="4">
        <f t="shared" si="11"/>
        <v>1.5396211422725729E-2</v>
      </c>
      <c r="H128" s="4">
        <f t="shared" si="9"/>
        <v>6.1506585810964143E-4</v>
      </c>
    </row>
    <row r="129" spans="1:8">
      <c r="A129" s="66">
        <v>5.8</v>
      </c>
      <c r="B129" s="10">
        <f t="shared" si="6"/>
        <v>0.98068266531790316</v>
      </c>
      <c r="C129" s="10">
        <f t="shared" si="7"/>
        <v>0.96118554858721206</v>
      </c>
      <c r="D129" s="4">
        <f t="shared" si="8"/>
        <v>4.0952528955249118E-3</v>
      </c>
      <c r="E129" s="66">
        <f t="shared" si="10"/>
        <v>2</v>
      </c>
      <c r="F129" s="4">
        <f t="shared" si="11"/>
        <v>7.7205182340533019E-3</v>
      </c>
      <c r="H129" s="4">
        <f t="shared" si="9"/>
        <v>3.1176881541515941E-4</v>
      </c>
    </row>
    <row r="130" spans="1:8">
      <c r="A130" s="66">
        <v>5.85</v>
      </c>
      <c r="B130" s="10">
        <f t="shared" si="6"/>
        <v>0.98048152414727874</v>
      </c>
      <c r="C130" s="10">
        <f t="shared" si="7"/>
        <v>0.96078437349980161</v>
      </c>
      <c r="D130" s="4">
        <f t="shared" si="8"/>
        <v>4.1097260140211412E-3</v>
      </c>
      <c r="E130" s="66">
        <f t="shared" si="10"/>
        <v>4</v>
      </c>
      <c r="F130" s="4">
        <f t="shared" si="11"/>
        <v>1.5485962600833337E-2</v>
      </c>
      <c r="H130" s="4">
        <f t="shared" si="9"/>
        <v>6.3207910338733907E-4</v>
      </c>
    </row>
    <row r="131" spans="1:8">
      <c r="A131" s="66">
        <v>5.9</v>
      </c>
      <c r="B131" s="10">
        <f t="shared" si="6"/>
        <v>0.98027971356174781</v>
      </c>
      <c r="C131" s="10">
        <f t="shared" si="7"/>
        <v>0.96038193087074308</v>
      </c>
      <c r="D131" s="4">
        <f t="shared" si="8"/>
        <v>4.1242515625298098E-3</v>
      </c>
      <c r="E131" s="66">
        <f t="shared" si="10"/>
        <v>2</v>
      </c>
      <c r="F131" s="4">
        <f t="shared" si="11"/>
        <v>7.7654949015358759E-3</v>
      </c>
      <c r="H131" s="4">
        <f t="shared" si="9"/>
        <v>3.2034537921074997E-4</v>
      </c>
    </row>
    <row r="132" spans="1:8">
      <c r="A132" s="66">
        <v>5.95</v>
      </c>
      <c r="B132" s="10">
        <f t="shared" si="6"/>
        <v>0.98007723141775205</v>
      </c>
      <c r="C132" s="10">
        <f t="shared" si="7"/>
        <v>0.95997821723721155</v>
      </c>
      <c r="D132" s="4">
        <f t="shared" si="8"/>
        <v>4.1388297309827675E-3</v>
      </c>
      <c r="E132" s="66">
        <f t="shared" si="10"/>
        <v>4</v>
      </c>
      <c r="F132" s="4">
        <f t="shared" si="11"/>
        <v>1.5576118054731565E-2</v>
      </c>
      <c r="H132" s="4">
        <f t="shared" si="9"/>
        <v>6.4937308147271721E-4</v>
      </c>
    </row>
    <row r="133" spans="1:8">
      <c r="A133" s="66">
        <v>6</v>
      </c>
      <c r="B133" s="10">
        <f t="shared" si="6"/>
        <v>0.97987407556591133</v>
      </c>
      <c r="C133" s="10">
        <f t="shared" si="7"/>
        <v>0.95957322913128085</v>
      </c>
      <c r="D133" s="4">
        <f t="shared" si="8"/>
        <v>4.1534607099999133E-3</v>
      </c>
      <c r="E133" s="66">
        <f t="shared" si="10"/>
        <v>2</v>
      </c>
      <c r="F133" s="4">
        <f t="shared" si="11"/>
        <v>7.8106736667240472E-3</v>
      </c>
      <c r="H133" s="4">
        <f t="shared" si="9"/>
        <v>3.290632804969508E-4</v>
      </c>
    </row>
    <row r="134" spans="1:8">
      <c r="A134" s="66">
        <v>6.05</v>
      </c>
      <c r="B134" s="10">
        <f t="shared" si="6"/>
        <v>0.97967024385101509</v>
      </c>
      <c r="C134" s="10">
        <f t="shared" si="7"/>
        <v>0.95916696307995064</v>
      </c>
      <c r="D134" s="4">
        <f t="shared" si="8"/>
        <v>4.1681446908916706E-3</v>
      </c>
      <c r="E134" s="66">
        <f t="shared" si="10"/>
        <v>4</v>
      </c>
      <c r="F134" s="4">
        <f t="shared" si="11"/>
        <v>1.5666677614563744E-2</v>
      </c>
      <c r="H134" s="4">
        <f t="shared" si="9"/>
        <v>6.6695168836488467E-4</v>
      </c>
    </row>
    <row r="135" spans="1:8">
      <c r="A135" s="66">
        <v>6.1</v>
      </c>
      <c r="B135" s="10">
        <f t="shared" si="6"/>
        <v>0.97946573411201487</v>
      </c>
      <c r="C135" s="10">
        <f t="shared" si="7"/>
        <v>0.95875941560517564</v>
      </c>
      <c r="D135" s="4">
        <f t="shared" si="8"/>
        <v>4.1828818656615167E-3</v>
      </c>
      <c r="E135" s="66">
        <f t="shared" si="10"/>
        <v>2</v>
      </c>
      <c r="F135" s="4">
        <f t="shared" si="11"/>
        <v>7.8560544355548052E-3</v>
      </c>
      <c r="H135" s="4">
        <f t="shared" si="9"/>
        <v>3.3792447895317782E-4</v>
      </c>
    </row>
    <row r="136" spans="1:8">
      <c r="A136" s="66">
        <v>6.15</v>
      </c>
      <c r="B136" s="10">
        <f t="shared" si="6"/>
        <v>0.97926054418201647</v>
      </c>
      <c r="C136" s="10">
        <f t="shared" si="7"/>
        <v>0.95835058322389333</v>
      </c>
      <c r="D136" s="4">
        <f t="shared" si="8"/>
        <v>4.1976724270084628E-3</v>
      </c>
      <c r="E136" s="66">
        <f t="shared" si="10"/>
        <v>4</v>
      </c>
      <c r="F136" s="4">
        <f t="shared" si="11"/>
        <v>1.5757641073786768E-2</v>
      </c>
      <c r="H136" s="4">
        <f t="shared" si="9"/>
        <v>6.8481886689384514E-4</v>
      </c>
    </row>
    <row r="137" spans="1:8">
      <c r="A137" s="66">
        <v>6.2</v>
      </c>
      <c r="B137" s="10">
        <f t="shared" si="6"/>
        <v>0.97905467188827222</v>
      </c>
      <c r="C137" s="10">
        <f t="shared" si="7"/>
        <v>0.95794046244805386</v>
      </c>
      <c r="D137" s="4">
        <f t="shared" si="8"/>
        <v>4.2125165683295929E-3</v>
      </c>
      <c r="E137" s="66">
        <f t="shared" si="10"/>
        <v>2</v>
      </c>
      <c r="F137" s="4">
        <f t="shared" si="11"/>
        <v>7.9016370954738211E-3</v>
      </c>
      <c r="H137" s="4">
        <f t="shared" si="9"/>
        <v>3.4693095778585878E-4</v>
      </c>
    </row>
    <row r="138" spans="1:8">
      <c r="A138" s="66">
        <v>6.25</v>
      </c>
      <c r="B138" s="10">
        <f t="shared" si="6"/>
        <v>0.97884811505217295</v>
      </c>
      <c r="C138" s="10">
        <f t="shared" si="7"/>
        <v>0.95752904978464903</v>
      </c>
      <c r="D138" s="4">
        <f t="shared" si="8"/>
        <v>4.2274144837225851E-3</v>
      </c>
      <c r="E138" s="66">
        <f t="shared" si="10"/>
        <v>4</v>
      </c>
      <c r="F138" s="4">
        <f t="shared" si="11"/>
        <v>1.5849008188577221E-2</v>
      </c>
      <c r="H138" s="4">
        <f t="shared" si="9"/>
        <v>7.0297860716720816E-4</v>
      </c>
    </row>
    <row r="139" spans="1:8">
      <c r="A139" s="66">
        <v>6.3</v>
      </c>
      <c r="B139" s="10">
        <f t="shared" si="6"/>
        <v>0.97864087148924039</v>
      </c>
      <c r="C139" s="10">
        <f t="shared" si="7"/>
        <v>0.95711634173574278</v>
      </c>
      <c r="D139" s="4">
        <f t="shared" si="8"/>
        <v>4.2423663679882545E-3</v>
      </c>
      <c r="E139" s="66">
        <f t="shared" si="10"/>
        <v>2</v>
      </c>
      <c r="F139" s="4">
        <f t="shared" si="11"/>
        <v>7.9474215151371028E-3</v>
      </c>
      <c r="H139" s="4">
        <f t="shared" si="9"/>
        <v>3.5608472395223486E-4</v>
      </c>
    </row>
    <row r="140" spans="1:8">
      <c r="A140" s="66">
        <v>6.35</v>
      </c>
      <c r="B140" s="10">
        <f t="shared" si="6"/>
        <v>0.97843293900911998</v>
      </c>
      <c r="C140" s="10">
        <f t="shared" si="7"/>
        <v>0.95670233479849998</v>
      </c>
      <c r="D140" s="4">
        <f t="shared" si="8"/>
        <v>4.2573724166330967E-3</v>
      </c>
      <c r="E140" s="66">
        <f t="shared" si="10"/>
        <v>4</v>
      </c>
      <c r="F140" s="4">
        <f t="shared" si="11"/>
        <v>1.594077867723204E-2</v>
      </c>
      <c r="H140" s="4">
        <f t="shared" si="9"/>
        <v>7.2143494701868013E-4</v>
      </c>
    </row>
    <row r="141" spans="1:8">
      <c r="A141" s="66">
        <v>6.4</v>
      </c>
      <c r="B141" s="10">
        <f t="shared" ref="B141:B204" si="12">(B$6^A141)*B$7^((B$5^30)*((B$5^A141)-1))</f>
        <v>0.97822431541557298</v>
      </c>
      <c r="C141" s="10">
        <f t="shared" ref="C141:C204" si="13">(B$6^A141)*B$7^((B$5^40)*((B$5^A141)-1))</f>
        <v>0.95628702546521893</v>
      </c>
      <c r="D141" s="4">
        <f t="shared" ref="D141:D204" si="14">B$3+B$4*(B$5^(30+A141))</f>
        <v>4.2724328258718419E-3</v>
      </c>
      <c r="E141" s="66">
        <f t="shared" si="10"/>
        <v>2</v>
      </c>
      <c r="F141" s="4">
        <f t="shared" si="11"/>
        <v>7.9934075441099473E-3</v>
      </c>
      <c r="H141" s="4">
        <f t="shared" si="9"/>
        <v>3.6538780838506072E-4</v>
      </c>
    </row>
    <row r="142" spans="1:8">
      <c r="A142" s="66">
        <v>6.45</v>
      </c>
      <c r="B142" s="10">
        <f t="shared" si="12"/>
        <v>0.97801499850646911</v>
      </c>
      <c r="C142" s="10">
        <f t="shared" si="13"/>
        <v>0.95587041022336061</v>
      </c>
      <c r="D142" s="4">
        <f t="shared" si="14"/>
        <v>4.2875477926300268E-3</v>
      </c>
      <c r="E142" s="66">
        <f t="shared" si="10"/>
        <v>4</v>
      </c>
      <c r="F142" s="4">
        <f t="shared" si="11"/>
        <v>1.6032952219563534E-2</v>
      </c>
      <c r="H142" s="4">
        <f t="shared" si="9"/>
        <v>7.4019197245834721E-4</v>
      </c>
    </row>
    <row r="143" spans="1:8">
      <c r="A143" s="66">
        <v>6.5</v>
      </c>
      <c r="B143" s="10">
        <f t="shared" si="12"/>
        <v>0.97780498607377886</v>
      </c>
      <c r="C143" s="10">
        <f t="shared" si="13"/>
        <v>0.95545248555558082</v>
      </c>
      <c r="D143" s="4">
        <f t="shared" si="14"/>
        <v>4.3027175145465644E-3</v>
      </c>
      <c r="E143" s="66">
        <f t="shared" si="10"/>
        <v>2</v>
      </c>
      <c r="F143" s="4">
        <f t="shared" si="11"/>
        <v>8.0395950125630496E-3</v>
      </c>
      <c r="H143" s="4">
        <f t="shared" ref="H143:H206" si="15">B143*(1-C143)*D143*E143</f>
        <v>3.7484226621816542E-4</v>
      </c>
    </row>
    <row r="144" spans="1:8">
      <c r="A144" s="66">
        <v>6.55</v>
      </c>
      <c r="B144" s="10">
        <f t="shared" si="12"/>
        <v>0.9775942759035664</v>
      </c>
      <c r="C144" s="10">
        <f t="shared" si="13"/>
        <v>0.95503324793976196</v>
      </c>
      <c r="D144" s="4">
        <f t="shared" si="14"/>
        <v>4.3179421899763324E-3</v>
      </c>
      <c r="E144" s="66">
        <f t="shared" ref="E144:E207" si="16">IF(E143=4,2,4)</f>
        <v>4</v>
      </c>
      <c r="F144" s="4">
        <f t="shared" ref="F144:F207" si="17">B144*C144*D144*E144</f>
        <v>1.6125528456288837E-2</v>
      </c>
      <c r="H144" s="4">
        <f t="shared" si="15"/>
        <v>7.5925381812465352E-4</v>
      </c>
    </row>
    <row r="145" spans="1:8">
      <c r="A145" s="66">
        <v>6.6</v>
      </c>
      <c r="B145" s="10">
        <f t="shared" si="12"/>
        <v>0.97738286577598232</v>
      </c>
      <c r="C145" s="10">
        <f t="shared" si="13"/>
        <v>0.9546126938490449</v>
      </c>
      <c r="D145" s="4">
        <f t="shared" si="14"/>
        <v>4.3332220179927656E-3</v>
      </c>
      <c r="E145" s="66">
        <f t="shared" si="16"/>
        <v>2</v>
      </c>
      <c r="F145" s="4">
        <f t="shared" si="17"/>
        <v>8.0859837309658483E-3</v>
      </c>
      <c r="H145" s="4">
        <f t="shared" si="15"/>
        <v>3.8445017701286069E-4</v>
      </c>
    </row>
    <row r="146" spans="1:8">
      <c r="A146" s="66">
        <v>6.65</v>
      </c>
      <c r="B146" s="10">
        <f t="shared" si="12"/>
        <v>0.97717075346525628</v>
      </c>
      <c r="C146" s="10">
        <f t="shared" si="13"/>
        <v>0.95419081975186115</v>
      </c>
      <c r="D146" s="4">
        <f t="shared" si="14"/>
        <v>4.3485571983904528E-3</v>
      </c>
      <c r="E146" s="66">
        <f t="shared" si="16"/>
        <v>4</v>
      </c>
      <c r="F146" s="4">
        <f t="shared" si="17"/>
        <v>1.6218506988413844E-2</v>
      </c>
      <c r="H146" s="4">
        <f t="shared" si="15"/>
        <v>7.7862466773800693E-4</v>
      </c>
    </row>
    <row r="147" spans="1:8">
      <c r="A147" s="66">
        <v>6.7</v>
      </c>
      <c r="B147" s="10">
        <f t="shared" si="12"/>
        <v>0.97695793673969034</v>
      </c>
      <c r="C147" s="10">
        <f t="shared" si="13"/>
        <v>0.95376762211196697</v>
      </c>
      <c r="D147" s="4">
        <f t="shared" si="14"/>
        <v>4.363947931687759E-3</v>
      </c>
      <c r="E147" s="66">
        <f t="shared" si="16"/>
        <v>2</v>
      </c>
      <c r="F147" s="4">
        <f t="shared" si="17"/>
        <v>8.1325734897770788E-3</v>
      </c>
      <c r="H147" s="4">
        <f t="shared" si="15"/>
        <v>3.9421364498514556E-4</v>
      </c>
    </row>
    <row r="148" spans="1:8">
      <c r="A148" s="66">
        <v>6.75</v>
      </c>
      <c r="B148" s="10">
        <f t="shared" si="12"/>
        <v>0.97674441336165063</v>
      </c>
      <c r="C148" s="10">
        <f t="shared" si="13"/>
        <v>0.95334309738847545</v>
      </c>
      <c r="D148" s="4">
        <f t="shared" si="14"/>
        <v>4.3793944191294395E-3</v>
      </c>
      <c r="E148" s="66">
        <f t="shared" si="16"/>
        <v>4</v>
      </c>
      <c r="F148" s="4">
        <f t="shared" si="17"/>
        <v>1.631188737661152E-2</v>
      </c>
      <c r="H148" s="4">
        <f t="shared" si="15"/>
        <v>7.9830875455596552E-4</v>
      </c>
    </row>
    <row r="149" spans="1:8">
      <c r="A149" s="66">
        <v>6.8</v>
      </c>
      <c r="B149" s="10">
        <f t="shared" si="12"/>
        <v>0.97653018108756162</v>
      </c>
      <c r="C149" s="10">
        <f t="shared" si="13"/>
        <v>0.95291724203589001</v>
      </c>
      <c r="D149" s="4">
        <f t="shared" si="14"/>
        <v>4.39489686268928E-3</v>
      </c>
      <c r="E149" s="66">
        <f t="shared" si="16"/>
        <v>2</v>
      </c>
      <c r="F149" s="4">
        <f t="shared" si="17"/>
        <v>8.1793640591325649E-3</v>
      </c>
      <c r="H149" s="4">
        <f t="shared" si="15"/>
        <v>4.0413479923367198E-4</v>
      </c>
    </row>
    <row r="150" spans="1:8">
      <c r="A150" s="66">
        <v>6.85</v>
      </c>
      <c r="B150" s="10">
        <f t="shared" si="12"/>
        <v>0.97631523766789852</v>
      </c>
      <c r="C150" s="10">
        <f t="shared" si="13"/>
        <v>0.95249005250413976</v>
      </c>
      <c r="D150" s="4">
        <f t="shared" si="14"/>
        <v>4.4104554650727275E-3</v>
      </c>
      <c r="E150" s="66">
        <f t="shared" si="16"/>
        <v>4</v>
      </c>
      <c r="F150" s="4">
        <f t="shared" si="17"/>
        <v>1.6405669140594679E-2</v>
      </c>
      <c r="H150" s="4">
        <f t="shared" si="15"/>
        <v>8.1831036182996794E-4</v>
      </c>
    </row>
    <row r="151" spans="1:8">
      <c r="A151" s="66">
        <v>6.9</v>
      </c>
      <c r="B151" s="10">
        <f t="shared" si="12"/>
        <v>0.97609958084718074</v>
      </c>
      <c r="C151" s="10">
        <f t="shared" si="13"/>
        <v>0.95206152523861309</v>
      </c>
      <c r="D151" s="4">
        <f t="shared" si="14"/>
        <v>4.4260704297195445E-3</v>
      </c>
      <c r="E151" s="66">
        <f t="shared" si="16"/>
        <v>2</v>
      </c>
      <c r="F151" s="4">
        <f t="shared" si="17"/>
        <v>8.2263551885302117E-3</v>
      </c>
      <c r="H151" s="4">
        <f t="shared" si="15"/>
        <v>4.1421579396848585E-4</v>
      </c>
    </row>
    <row r="152" spans="1:8">
      <c r="A152" s="66">
        <v>6.95</v>
      </c>
      <c r="B152" s="10">
        <f t="shared" si="12"/>
        <v>0.97588320836396458</v>
      </c>
      <c r="C152" s="10">
        <f t="shared" si="13"/>
        <v>0.95163165668019289</v>
      </c>
      <c r="D152" s="4">
        <f t="shared" si="14"/>
        <v>4.4417419608064751E-3</v>
      </c>
      <c r="E152" s="66">
        <f t="shared" si="16"/>
        <v>4</v>
      </c>
      <c r="F152" s="4">
        <f t="shared" si="17"/>
        <v>1.649985175848323E-2</v>
      </c>
      <c r="H152" s="4">
        <f t="shared" si="15"/>
        <v>8.3863382326344882E-4</v>
      </c>
    </row>
    <row r="153" spans="1:8">
      <c r="A153" s="66">
        <v>7</v>
      </c>
      <c r="B153" s="10">
        <f t="shared" si="12"/>
        <v>0.97566611795083713</v>
      </c>
      <c r="C153" s="10">
        <f t="shared" si="13"/>
        <v>0.95120044326529163</v>
      </c>
      <c r="D153" s="4">
        <f t="shared" si="14"/>
        <v>4.457470263249907E-3</v>
      </c>
      <c r="E153" s="66">
        <f t="shared" si="16"/>
        <v>2</v>
      </c>
      <c r="F153" s="4">
        <f t="shared" si="17"/>
        <v>8.2735466065122429E-3</v>
      </c>
      <c r="H153" s="4">
        <f t="shared" si="15"/>
        <v>4.2445880874042311E-4</v>
      </c>
    </row>
    <row r="154" spans="1:8">
      <c r="A154" s="66">
        <v>7.05</v>
      </c>
      <c r="B154" s="10">
        <f t="shared" si="12"/>
        <v>0.97544830733440879</v>
      </c>
      <c r="C154" s="10">
        <f t="shared" si="13"/>
        <v>0.95076788142588697</v>
      </c>
      <c r="D154" s="4">
        <f t="shared" si="14"/>
        <v>4.4732555427085463E-3</v>
      </c>
      <c r="E154" s="66">
        <f t="shared" si="16"/>
        <v>4</v>
      </c>
      <c r="F154" s="4">
        <f t="shared" si="17"/>
        <v>1.6594434666165881E-2</v>
      </c>
      <c r="H154" s="4">
        <f t="shared" si="15"/>
        <v>8.5928352347137472E-4</v>
      </c>
    </row>
    <row r="155" spans="1:8">
      <c r="A155" s="66">
        <v>7.1</v>
      </c>
      <c r="B155" s="10">
        <f t="shared" si="12"/>
        <v>0.97522977423530754</v>
      </c>
      <c r="C155" s="10">
        <f t="shared" si="13"/>
        <v>0.95033396758955835</v>
      </c>
      <c r="D155" s="4">
        <f t="shared" si="14"/>
        <v>4.48909800558613E-3</v>
      </c>
      <c r="E155" s="66">
        <f t="shared" si="16"/>
        <v>2</v>
      </c>
      <c r="F155" s="4">
        <f t="shared" si="17"/>
        <v>8.3209380203446443E-3</v>
      </c>
      <c r="H155" s="4">
        <f t="shared" si="15"/>
        <v>4.348660486712187E-4</v>
      </c>
    </row>
    <row r="156" spans="1:8">
      <c r="A156" s="66">
        <v>7.15</v>
      </c>
      <c r="B156" s="10">
        <f t="shared" si="12"/>
        <v>0.97501051636817193</v>
      </c>
      <c r="C156" s="10">
        <f t="shared" si="13"/>
        <v>0.94989869817952366</v>
      </c>
      <c r="D156" s="4">
        <f t="shared" si="14"/>
        <v>4.5049978590340975E-3</v>
      </c>
      <c r="E156" s="66">
        <f t="shared" si="16"/>
        <v>4</v>
      </c>
      <c r="F156" s="4">
        <f t="shared" si="17"/>
        <v>1.6689417256656309E-2</v>
      </c>
      <c r="H156" s="4">
        <f t="shared" si="15"/>
        <v>8.802638984410691E-4</v>
      </c>
    </row>
    <row r="157" spans="1:8">
      <c r="A157" s="66">
        <v>7.2</v>
      </c>
      <c r="B157" s="10">
        <f t="shared" si="12"/>
        <v>0.9747905314416444</v>
      </c>
      <c r="C157" s="10">
        <f t="shared" si="13"/>
        <v>0.94946206961467505</v>
      </c>
      <c r="D157" s="4">
        <f t="shared" si="14"/>
        <v>4.5209553109543128E-3</v>
      </c>
      <c r="E157" s="66">
        <f t="shared" si="16"/>
        <v>2</v>
      </c>
      <c r="F157" s="4">
        <f t="shared" si="17"/>
        <v>8.3685291156939453E-3</v>
      </c>
      <c r="H157" s="4">
        <f t="shared" si="15"/>
        <v>4.4543974468421322E-4</v>
      </c>
    </row>
    <row r="158" spans="1:8">
      <c r="A158" s="66">
        <v>7.25</v>
      </c>
      <c r="B158" s="10">
        <f t="shared" si="12"/>
        <v>0.97456981715836544</v>
      </c>
      <c r="C158" s="10">
        <f t="shared" si="13"/>
        <v>0.94902407830961799</v>
      </c>
      <c r="D158" s="4">
        <f t="shared" si="14"/>
        <v>4.5369705700017788E-3</v>
      </c>
      <c r="E158" s="66">
        <f t="shared" si="16"/>
        <v>4</v>
      </c>
      <c r="F158" s="4">
        <f t="shared" si="17"/>
        <v>1.6784798879443834E-2</v>
      </c>
      <c r="H158" s="4">
        <f t="shared" si="15"/>
        <v>9.015794359942418E-4</v>
      </c>
    </row>
    <row r="159" spans="1:8">
      <c r="A159" s="66">
        <v>7.3</v>
      </c>
      <c r="B159" s="10">
        <f t="shared" si="12"/>
        <v>0.97434837121496709</v>
      </c>
      <c r="C159" s="10">
        <f t="shared" si="13"/>
        <v>0.94858472067470734</v>
      </c>
      <c r="D159" s="4">
        <f t="shared" si="14"/>
        <v>4.5530438455873741E-3</v>
      </c>
      <c r="E159" s="66">
        <f t="shared" si="16"/>
        <v>2</v>
      </c>
      <c r="F159" s="4">
        <f t="shared" si="17"/>
        <v>8.4163195563010992E-3</v>
      </c>
      <c r="H159" s="4">
        <f t="shared" si="15"/>
        <v>4.5618215373567763E-4</v>
      </c>
    </row>
    <row r="160" spans="1:8">
      <c r="A160" s="66">
        <v>7.35</v>
      </c>
      <c r="B160" s="10">
        <f t="shared" si="12"/>
        <v>0.97412619130206635</v>
      </c>
      <c r="C160" s="10">
        <f t="shared" si="13"/>
        <v>0.9481439931160871</v>
      </c>
      <c r="D160" s="4">
        <f t="shared" si="14"/>
        <v>4.5691753478805785E-3</v>
      </c>
      <c r="E160" s="66">
        <f t="shared" si="16"/>
        <v>4</v>
      </c>
      <c r="F160" s="4">
        <f t="shared" si="17"/>
        <v>1.6880578839838605E-2</v>
      </c>
      <c r="H160" s="4">
        <f t="shared" si="15"/>
        <v>9.2323467625020274E-4</v>
      </c>
    </row>
    <row r="161" spans="1:8">
      <c r="A161" s="66">
        <v>7.4</v>
      </c>
      <c r="B161" s="10">
        <f t="shared" si="12"/>
        <v>0.97390327510425945</v>
      </c>
      <c r="C161" s="10">
        <f t="shared" si="13"/>
        <v>0.94770189203572852</v>
      </c>
      <c r="D161" s="4">
        <f t="shared" si="14"/>
        <v>4.5853652878122281E-3</v>
      </c>
      <c r="E161" s="66">
        <f t="shared" si="16"/>
        <v>2</v>
      </c>
      <c r="F161" s="4">
        <f t="shared" si="17"/>
        <v>8.4643089836527498E-3</v>
      </c>
      <c r="H161" s="4">
        <f t="shared" si="15"/>
        <v>4.6709555904667945E-4</v>
      </c>
    </row>
    <row r="162" spans="1:8">
      <c r="A162" s="66">
        <v>7.45</v>
      </c>
      <c r="B162" s="10">
        <f t="shared" si="12"/>
        <v>0.97367962030011601</v>
      </c>
      <c r="C162" s="10">
        <f t="shared" si="13"/>
        <v>0.94725841383146858</v>
      </c>
      <c r="D162" s="4">
        <f t="shared" si="14"/>
        <v>4.6016138770772789E-3</v>
      </c>
      <c r="E162" s="66">
        <f t="shared" si="16"/>
        <v>4</v>
      </c>
      <c r="F162" s="4">
        <f t="shared" si="17"/>
        <v>1.6976756398311303E-2</v>
      </c>
      <c r="H162" s="4">
        <f t="shared" si="15"/>
        <v>9.4523421209009644E-4</v>
      </c>
    </row>
    <row r="163" spans="1:8">
      <c r="A163" s="66">
        <v>7.5</v>
      </c>
      <c r="B163" s="10">
        <f t="shared" si="12"/>
        <v>0.97345522456217215</v>
      </c>
      <c r="C163" s="10">
        <f t="shared" si="13"/>
        <v>0.94681355489705066</v>
      </c>
      <c r="D163" s="4">
        <f t="shared" si="14"/>
        <v>4.6179213281375558E-3</v>
      </c>
      <c r="E163" s="66">
        <f t="shared" si="16"/>
        <v>2</v>
      </c>
      <c r="F163" s="4">
        <f t="shared" si="17"/>
        <v>8.5124970166497171E-3</v>
      </c>
      <c r="H163" s="4">
        <f t="shared" si="15"/>
        <v>4.781822703354609E-4</v>
      </c>
    </row>
    <row r="164" spans="1:8">
      <c r="A164" s="66">
        <v>7.55</v>
      </c>
      <c r="B164" s="10">
        <f t="shared" si="12"/>
        <v>0.97323008555692547</v>
      </c>
      <c r="C164" s="10">
        <f t="shared" si="13"/>
        <v>0.94636731162216348</v>
      </c>
      <c r="D164" s="4">
        <f t="shared" si="14"/>
        <v>4.6342878542245574E-3</v>
      </c>
      <c r="E164" s="66">
        <f t="shared" si="16"/>
        <v>4</v>
      </c>
      <c r="F164" s="4">
        <f t="shared" si="17"/>
        <v>1.707333076982737E-2</v>
      </c>
      <c r="H164" s="4">
        <f t="shared" si="15"/>
        <v>9.6758268962217418E-4</v>
      </c>
    </row>
    <row r="165" spans="1:8">
      <c r="A165" s="66">
        <v>7.6</v>
      </c>
      <c r="B165" s="10">
        <f t="shared" si="12"/>
        <v>0.97300420094482887</v>
      </c>
      <c r="C165" s="10">
        <f t="shared" si="13"/>
        <v>0.94591968039248253</v>
      </c>
      <c r="D165" s="4">
        <f t="shared" si="14"/>
        <v>4.650713669342223E-3</v>
      </c>
      <c r="E165" s="66">
        <f t="shared" si="16"/>
        <v>2</v>
      </c>
      <c r="F165" s="4">
        <f t="shared" si="17"/>
        <v>8.5608832512727509E-3</v>
      </c>
      <c r="H165" s="4">
        <f t="shared" si="15"/>
        <v>4.8944462405029485E-4</v>
      </c>
    </row>
    <row r="166" spans="1:8">
      <c r="A166" s="66">
        <v>7.65</v>
      </c>
      <c r="B166" s="10">
        <f t="shared" si="12"/>
        <v>0.97277756838028451</v>
      </c>
      <c r="C166" s="10">
        <f t="shared" si="13"/>
        <v>0.94547065758971027</v>
      </c>
      <c r="D166" s="4">
        <f t="shared" si="14"/>
        <v>4.6671989882697352E-3</v>
      </c>
      <c r="E166" s="66">
        <f t="shared" si="16"/>
        <v>4</v>
      </c>
      <c r="F166" s="4">
        <f t="shared" si="17"/>
        <v>1.7170301123175916E-2</v>
      </c>
      <c r="H166" s="4">
        <f t="shared" si="15"/>
        <v>9.90284808647912E-4</v>
      </c>
    </row>
    <row r="167" spans="1:8">
      <c r="A167" s="66">
        <v>7.7</v>
      </c>
      <c r="B167" s="10">
        <f t="shared" si="12"/>
        <v>0.97255018551163874</v>
      </c>
      <c r="C167" s="10">
        <f t="shared" si="13"/>
        <v>0.94502023959161718</v>
      </c>
      <c r="D167" s="4">
        <f t="shared" si="14"/>
        <v>4.6837440265643411E-3</v>
      </c>
      <c r="E167" s="66">
        <f t="shared" si="16"/>
        <v>2</v>
      </c>
      <c r="F167" s="4">
        <f t="shared" si="17"/>
        <v>8.6094672602456037E-3</v>
      </c>
      <c r="H167" s="4">
        <f t="shared" si="15"/>
        <v>5.0088498360275561E-4</v>
      </c>
    </row>
    <row r="168" spans="1:8">
      <c r="A168" s="66">
        <v>7.75</v>
      </c>
      <c r="B168" s="10">
        <f t="shared" si="12"/>
        <v>0.97232204998117611</v>
      </c>
      <c r="C168" s="10">
        <f t="shared" si="13"/>
        <v>0.9445684227720843</v>
      </c>
      <c r="D168" s="4">
        <f t="shared" si="14"/>
        <v>4.7003490005641472E-3</v>
      </c>
      <c r="E168" s="66">
        <f t="shared" si="16"/>
        <v>4</v>
      </c>
      <c r="F168" s="4">
        <f t="shared" si="17"/>
        <v>1.7267666580293033E-2</v>
      </c>
      <c r="H168" s="4">
        <f t="shared" si="15"/>
        <v>1.0133453231289836E-3</v>
      </c>
    </row>
    <row r="169" spans="1:8">
      <c r="A169" s="66">
        <v>7.8</v>
      </c>
      <c r="B169" s="10">
        <f t="shared" si="12"/>
        <v>0.97209315942511387</v>
      </c>
      <c r="C169" s="10">
        <f t="shared" si="13"/>
        <v>0.94411520350114519</v>
      </c>
      <c r="D169" s="4">
        <f t="shared" si="14"/>
        <v>4.7170141273909756E-3</v>
      </c>
      <c r="E169" s="66">
        <f t="shared" si="16"/>
        <v>2</v>
      </c>
      <c r="F169" s="4">
        <f t="shared" si="17"/>
        <v>8.6582485926953844E-3</v>
      </c>
      <c r="H169" s="4">
        <f t="shared" si="15"/>
        <v>5.1250573960139663E-4</v>
      </c>
    </row>
    <row r="170" spans="1:8">
      <c r="A170" s="66">
        <v>7.85</v>
      </c>
      <c r="B170" s="10">
        <f t="shared" si="12"/>
        <v>0.97186351147359684</v>
      </c>
      <c r="C170" s="10">
        <f t="shared" si="13"/>
        <v>0.94366057814502824</v>
      </c>
      <c r="D170" s="4">
        <f t="shared" si="14"/>
        <v>4.7337396249531819E-3</v>
      </c>
      <c r="E170" s="66">
        <f t="shared" si="16"/>
        <v>4</v>
      </c>
      <c r="F170" s="4">
        <f t="shared" si="17"/>
        <v>1.7365426215579911E-2</v>
      </c>
      <c r="H170" s="4">
        <f t="shared" si="15"/>
        <v>1.0367690416549136E-3</v>
      </c>
    </row>
    <row r="171" spans="1:8">
      <c r="A171" s="66">
        <v>7.9</v>
      </c>
      <c r="B171" s="10">
        <f t="shared" si="12"/>
        <v>0.97163310375069178</v>
      </c>
      <c r="C171" s="10">
        <f t="shared" si="13"/>
        <v>0.94320454306620005</v>
      </c>
      <c r="D171" s="4">
        <f t="shared" si="14"/>
        <v>4.7505257119485091E-3</v>
      </c>
      <c r="E171" s="66">
        <f t="shared" si="16"/>
        <v>2</v>
      </c>
      <c r="F171" s="4">
        <f t="shared" si="17"/>
        <v>8.7072267738102539E-3</v>
      </c>
      <c r="H171" s="4">
        <f t="shared" si="15"/>
        <v>5.2430931008573491E-4</v>
      </c>
    </row>
    <row r="172" spans="1:8">
      <c r="A172" s="66">
        <v>7.95</v>
      </c>
      <c r="B172" s="10">
        <f t="shared" si="12"/>
        <v>0.97140193387438212</v>
      </c>
      <c r="C172" s="10">
        <f t="shared" si="13"/>
        <v>0.94274709462340922</v>
      </c>
      <c r="D172" s="4">
        <f t="shared" si="14"/>
        <v>4.7673726078669605E-3</v>
      </c>
      <c r="E172" s="66">
        <f t="shared" si="16"/>
        <v>4</v>
      </c>
      <c r="F172" s="4">
        <f t="shared" si="17"/>
        <v>1.7463579055215492E-2</v>
      </c>
      <c r="H172" s="4">
        <f t="shared" si="15"/>
        <v>1.0605608279113949E-3</v>
      </c>
    </row>
    <row r="173" spans="1:8">
      <c r="A173" s="66">
        <v>8</v>
      </c>
      <c r="B173" s="10">
        <f t="shared" si="12"/>
        <v>0.97116999945656335</v>
      </c>
      <c r="C173" s="10">
        <f t="shared" si="13"/>
        <v>0.94228822917173016</v>
      </c>
      <c r="D173" s="4">
        <f t="shared" si="14"/>
        <v>4.7842805329936493E-3</v>
      </c>
      <c r="E173" s="66">
        <f t="shared" si="16"/>
        <v>2</v>
      </c>
      <c r="F173" s="4">
        <f t="shared" si="17"/>
        <v>8.7564013044944319E-3</v>
      </c>
      <c r="H173" s="4">
        <f t="shared" si="15"/>
        <v>5.3629814076054552E-4</v>
      </c>
    </row>
    <row r="174" spans="1:8">
      <c r="A174" s="66">
        <v>8.0500000000000007</v>
      </c>
      <c r="B174" s="10">
        <f t="shared" si="12"/>
        <v>0.97093729810303719</v>
      </c>
      <c r="C174" s="10">
        <f t="shared" si="13"/>
        <v>0.94182794306260753</v>
      </c>
      <c r="D174" s="4">
        <f t="shared" si="14"/>
        <v>4.8012497084116874E-3</v>
      </c>
      <c r="E174" s="66">
        <f t="shared" si="16"/>
        <v>4</v>
      </c>
      <c r="F174" s="4">
        <f t="shared" si="17"/>
        <v>1.7562124076463858E-2</v>
      </c>
      <c r="H174" s="4">
        <f t="shared" si="15"/>
        <v>1.0847256011490992E-3</v>
      </c>
    </row>
    <row r="175" spans="1:8">
      <c r="A175" s="66">
        <v>8.1</v>
      </c>
      <c r="B175" s="10">
        <f t="shared" si="12"/>
        <v>0.97070382741350736</v>
      </c>
      <c r="C175" s="10">
        <f t="shared" si="13"/>
        <v>0.9413662326439014</v>
      </c>
      <c r="D175" s="4">
        <f t="shared" si="14"/>
        <v>4.8182803560050903E-3</v>
      </c>
      <c r="E175" s="66">
        <f t="shared" si="16"/>
        <v>2</v>
      </c>
      <c r="F175" s="4">
        <f t="shared" si="17"/>
        <v>8.8057716610205287E-3</v>
      </c>
      <c r="H175" s="4">
        <f t="shared" si="15"/>
        <v>5.4847470523038686E-4</v>
      </c>
    </row>
    <row r="176" spans="1:8">
      <c r="A176" s="66">
        <v>8.15</v>
      </c>
      <c r="B176" s="10">
        <f t="shared" si="12"/>
        <v>0.97046958498157376</v>
      </c>
      <c r="C176" s="10">
        <f t="shared" si="13"/>
        <v>0.94090309425993279</v>
      </c>
      <c r="D176" s="4">
        <f t="shared" si="14"/>
        <v>4.8353726984616532E-3</v>
      </c>
      <c r="E176" s="66">
        <f t="shared" si="16"/>
        <v>4</v>
      </c>
      <c r="F176" s="4">
        <f t="shared" si="17"/>
        <v>1.76610602069763E-2</v>
      </c>
      <c r="H176" s="4">
        <f t="shared" si="15"/>
        <v>1.1092683366529508E-3</v>
      </c>
    </row>
    <row r="177" spans="1:8">
      <c r="A177" s="66">
        <v>8.1999999999999993</v>
      </c>
      <c r="B177" s="10">
        <f t="shared" si="12"/>
        <v>0.97023456839472888</v>
      </c>
      <c r="C177" s="10">
        <f t="shared" si="13"/>
        <v>0.94043852425152952</v>
      </c>
      <c r="D177" s="4">
        <f t="shared" si="14"/>
        <v>4.8525269592758864E-3</v>
      </c>
      <c r="E177" s="66">
        <f t="shared" si="16"/>
        <v>2</v>
      </c>
      <c r="F177" s="4">
        <f t="shared" si="17"/>
        <v>8.8553372946793326E-3</v>
      </c>
      <c r="H177" s="4">
        <f t="shared" si="15"/>
        <v>5.6084150523431887E-4</v>
      </c>
    </row>
    <row r="178" spans="1:8">
      <c r="A178" s="66">
        <v>8.25</v>
      </c>
      <c r="B178" s="10">
        <f t="shared" si="12"/>
        <v>0.96999877523435196</v>
      </c>
      <c r="C178" s="10">
        <f t="shared" si="13"/>
        <v>0.93997251895607237</v>
      </c>
      <c r="D178" s="4">
        <f t="shared" si="14"/>
        <v>4.869743362751912E-3</v>
      </c>
      <c r="E178" s="66">
        <f t="shared" si="16"/>
        <v>4</v>
      </c>
      <c r="F178" s="4">
        <f t="shared" si="17"/>
        <v>1.7760386324088183E-2</v>
      </c>
      <c r="H178" s="4">
        <f t="shared" si="15"/>
        <v>1.1341940662116926E-3</v>
      </c>
    </row>
    <row r="179" spans="1:8">
      <c r="A179" s="66">
        <v>8.3000000000000007</v>
      </c>
      <c r="B179" s="10">
        <f t="shared" si="12"/>
        <v>0.96976220307570538</v>
      </c>
      <c r="C179" s="10">
        <f t="shared" si="13"/>
        <v>0.9395050747075423</v>
      </c>
      <c r="D179" s="4">
        <f t="shared" si="14"/>
        <v>4.887022134006427E-3</v>
      </c>
      <c r="E179" s="66">
        <f t="shared" si="16"/>
        <v>2</v>
      </c>
      <c r="F179" s="4">
        <f t="shared" si="17"/>
        <v>8.9050976314268594E-3</v>
      </c>
      <c r="H179" s="4">
        <f t="shared" si="15"/>
        <v>5.7340107088075642E-4</v>
      </c>
    </row>
    <row r="180" spans="1:8">
      <c r="A180" s="66">
        <v>8.35</v>
      </c>
      <c r="B180" s="10">
        <f t="shared" si="12"/>
        <v>0.96952484948792927</v>
      </c>
      <c r="C180" s="10">
        <f t="shared" si="13"/>
        <v>0.93903618783656795</v>
      </c>
      <c r="D180" s="4">
        <f t="shared" si="14"/>
        <v>4.904363498971622E-3</v>
      </c>
      <c r="E180" s="66">
        <f t="shared" si="16"/>
        <v>4</v>
      </c>
      <c r="F180" s="4">
        <f t="shared" si="17"/>
        <v>1.7860101254110514E-2</v>
      </c>
      <c r="H180" s="4">
        <f t="shared" si="15"/>
        <v>1.1595078785877114E-3</v>
      </c>
    </row>
    <row r="181" spans="1:8">
      <c r="A181" s="66">
        <v>8.4</v>
      </c>
      <c r="B181" s="10">
        <f t="shared" si="12"/>
        <v>0.96928671203403771</v>
      </c>
      <c r="C181" s="10">
        <f t="shared" si="13"/>
        <v>0.93856585467047293</v>
      </c>
      <c r="D181" s="4">
        <f t="shared" si="14"/>
        <v>4.9217676843981446E-3</v>
      </c>
      <c r="E181" s="66">
        <f t="shared" si="16"/>
        <v>2</v>
      </c>
      <c r="F181" s="4">
        <f t="shared" si="17"/>
        <v>8.9550520715289059E-3</v>
      </c>
      <c r="H181" s="4">
        <f t="shared" si="15"/>
        <v>5.861559608824077E-4</v>
      </c>
    </row>
    <row r="182" spans="1:8">
      <c r="A182" s="66">
        <v>8.4499999999999993</v>
      </c>
      <c r="B182" s="10">
        <f t="shared" si="12"/>
        <v>0.96904778827091442</v>
      </c>
      <c r="C182" s="10">
        <f t="shared" si="13"/>
        <v>0.93809407153332491</v>
      </c>
      <c r="D182" s="4">
        <f t="shared" si="14"/>
        <v>4.9392349178580749E-3</v>
      </c>
      <c r="E182" s="66">
        <f t="shared" si="16"/>
        <v>4</v>
      </c>
      <c r="F182" s="4">
        <f t="shared" si="17"/>
        <v>1.7960203771616414E-2</v>
      </c>
      <c r="H182" s="4">
        <f t="shared" si="15"/>
        <v>1.1852149199869416E-3</v>
      </c>
    </row>
    <row r="183" spans="1:8">
      <c r="A183" s="66">
        <v>8.5</v>
      </c>
      <c r="B183" s="10">
        <f t="shared" si="12"/>
        <v>0.96880807574930772</v>
      </c>
      <c r="C183" s="10">
        <f t="shared" si="13"/>
        <v>0.93762083474598401</v>
      </c>
      <c r="D183" s="4">
        <f t="shared" si="14"/>
        <v>4.9567654277478728E-3</v>
      </c>
      <c r="E183" s="66">
        <f t="shared" si="16"/>
        <v>2</v>
      </c>
      <c r="F183" s="4">
        <f t="shared" si="17"/>
        <v>9.0051999892029819E-3</v>
      </c>
      <c r="H183" s="4">
        <f t="shared" si="15"/>
        <v>5.9910876279123967E-4</v>
      </c>
    </row>
    <row r="184" spans="1:8">
      <c r="A184" s="66">
        <v>8.5500000000000007</v>
      </c>
      <c r="B184" s="10">
        <f t="shared" si="12"/>
        <v>0.9685675720138277</v>
      </c>
      <c r="C184" s="10">
        <f t="shared" si="13"/>
        <v>0.93714614062615209</v>
      </c>
      <c r="D184" s="4">
        <f t="shared" si="14"/>
        <v>4.9743594432913995E-3</v>
      </c>
      <c r="E184" s="66">
        <f t="shared" si="16"/>
        <v>4</v>
      </c>
      <c r="F184" s="4">
        <f t="shared" si="17"/>
        <v>1.8060692598722443E-2</v>
      </c>
      <c r="H184" s="4">
        <f t="shared" si="15"/>
        <v>1.2113203945287824E-3</v>
      </c>
    </row>
    <row r="185" spans="1:8">
      <c r="A185" s="66">
        <v>8.6</v>
      </c>
      <c r="B185" s="10">
        <f t="shared" si="12"/>
        <v>0.96832627460294129</v>
      </c>
      <c r="C185" s="10">
        <f t="shared" si="13"/>
        <v>0.93666998548842284</v>
      </c>
      <c r="D185" s="4">
        <f t="shared" si="14"/>
        <v>4.9920171945428892E-3</v>
      </c>
      <c r="E185" s="66">
        <f t="shared" si="16"/>
        <v>2</v>
      </c>
      <c r="F185" s="4">
        <f t="shared" si="17"/>
        <v>9.0555407322576685E-3</v>
      </c>
      <c r="H185" s="4">
        <f t="shared" si="15"/>
        <v>6.12262093233417E-4</v>
      </c>
    </row>
    <row r="186" spans="1:8">
      <c r="A186" s="66">
        <v>8.65</v>
      </c>
      <c r="B186" s="10">
        <f t="shared" si="12"/>
        <v>0.96808418104896832</v>
      </c>
      <c r="C186" s="10">
        <f t="shared" si="13"/>
        <v>0.93619236564433206</v>
      </c>
      <c r="D186" s="4">
        <f t="shared" si="14"/>
        <v>5.0097389123899645E-3</v>
      </c>
      <c r="E186" s="66">
        <f t="shared" si="16"/>
        <v>4</v>
      </c>
      <c r="F186" s="4">
        <f t="shared" si="17"/>
        <v>1.816156640436483E-2</v>
      </c>
      <c r="H186" s="4">
        <f t="shared" si="15"/>
        <v>1.2378295647159231E-3</v>
      </c>
    </row>
    <row r="187" spans="1:8">
      <c r="A187" s="66">
        <v>8.6999999999999993</v>
      </c>
      <c r="B187" s="10">
        <f t="shared" si="12"/>
        <v>0.96784128887807863</v>
      </c>
      <c r="C187" s="10">
        <f t="shared" si="13"/>
        <v>0.93571327740240839</v>
      </c>
      <c r="D187" s="4">
        <f t="shared" si="14"/>
        <v>5.0275248285566671E-3</v>
      </c>
      <c r="E187" s="66">
        <f t="shared" si="16"/>
        <v>2</v>
      </c>
      <c r="F187" s="4">
        <f t="shared" si="17"/>
        <v>9.1060736217294935E-3</v>
      </c>
      <c r="H187" s="4">
        <f t="shared" si="15"/>
        <v>6.25618598144158E-4</v>
      </c>
    </row>
    <row r="188" spans="1:8">
      <c r="A188" s="66">
        <v>8.75</v>
      </c>
      <c r="B188" s="10">
        <f t="shared" si="12"/>
        <v>0.96759759561028702</v>
      </c>
      <c r="C188" s="10">
        <f t="shared" si="13"/>
        <v>0.93523271706822497</v>
      </c>
      <c r="D188" s="4">
        <f t="shared" si="14"/>
        <v>5.0453751756064586E-3</v>
      </c>
      <c r="E188" s="66">
        <f t="shared" si="16"/>
        <v>4</v>
      </c>
      <c r="F188" s="4">
        <f t="shared" si="17"/>
        <v>1.8262823803570655E-2</v>
      </c>
      <c r="H188" s="4">
        <f t="shared" si="15"/>
        <v>1.2647477519039027E-3</v>
      </c>
    </row>
    <row r="189" spans="1:8">
      <c r="A189" s="66">
        <v>8.8000000000000007</v>
      </c>
      <c r="B189" s="10">
        <f t="shared" si="12"/>
        <v>0.96735309875945075</v>
      </c>
      <c r="C189" s="10">
        <f t="shared" si="13"/>
        <v>0.93475068094445068</v>
      </c>
      <c r="D189" s="4">
        <f t="shared" si="14"/>
        <v>5.0632901869452976E-3</v>
      </c>
      <c r="E189" s="66">
        <f t="shared" si="16"/>
        <v>2</v>
      </c>
      <c r="F189" s="4">
        <f t="shared" si="17"/>
        <v>9.1567979515172673E-3</v>
      </c>
      <c r="H189" s="4">
        <f t="shared" si="15"/>
        <v>6.3918095300243656E-4</v>
      </c>
    </row>
    <row r="190" spans="1:8">
      <c r="A190" s="66">
        <v>8.85</v>
      </c>
      <c r="B190" s="10">
        <f t="shared" si="12"/>
        <v>0.96710779583326567</v>
      </c>
      <c r="C190" s="10">
        <f t="shared" si="13"/>
        <v>0.93426716533090348</v>
      </c>
      <c r="D190" s="4">
        <f t="shared" si="14"/>
        <v>5.0812700968246704E-3</v>
      </c>
      <c r="E190" s="66">
        <f t="shared" si="16"/>
        <v>4</v>
      </c>
      <c r="F190" s="4">
        <f t="shared" si="17"/>
        <v>1.836446335672403E-2</v>
      </c>
      <c r="H190" s="4">
        <f t="shared" si="15"/>
        <v>1.2920803367703368E-3</v>
      </c>
    </row>
    <row r="191" spans="1:8">
      <c r="A191" s="66">
        <v>8.9</v>
      </c>
      <c r="B191" s="10">
        <f t="shared" si="12"/>
        <v>0.96686168433326247</v>
      </c>
      <c r="C191" s="10">
        <f t="shared" si="13"/>
        <v>0.93378216652460244</v>
      </c>
      <c r="D191" s="4">
        <f t="shared" si="14"/>
        <v>5.0993151403446466E-3</v>
      </c>
      <c r="E191" s="66">
        <f t="shared" si="16"/>
        <v>2</v>
      </c>
      <c r="F191" s="4">
        <f t="shared" si="17"/>
        <v>9.2077129880139778E-3</v>
      </c>
      <c r="H191" s="4">
        <f t="shared" si="15"/>
        <v>6.5295186306548575E-4</v>
      </c>
    </row>
    <row r="192" spans="1:8">
      <c r="A192" s="66">
        <v>8.9499999999999993</v>
      </c>
      <c r="B192" s="10">
        <f t="shared" si="12"/>
        <v>0.96661476175480432</v>
      </c>
      <c r="C192" s="10">
        <f t="shared" si="13"/>
        <v>0.9332956808198215</v>
      </c>
      <c r="D192" s="4">
        <f t="shared" si="14"/>
        <v>5.1174255534569826E-3</v>
      </c>
      <c r="E192" s="66">
        <f t="shared" si="16"/>
        <v>4</v>
      </c>
      <c r="F192" s="4">
        <f t="shared" si="17"/>
        <v>1.8466483568827425E-2</v>
      </c>
      <c r="H192" s="4">
        <f t="shared" si="15"/>
        <v>1.3198327597836507E-3</v>
      </c>
    </row>
    <row r="193" spans="1:8">
      <c r="A193" s="66">
        <v>9</v>
      </c>
      <c r="B193" s="10">
        <f t="shared" si="12"/>
        <v>0.96636702558708221</v>
      </c>
      <c r="C193" s="10">
        <f t="shared" si="13"/>
        <v>0.93280770450814365</v>
      </c>
      <c r="D193" s="4">
        <f t="shared" si="14"/>
        <v>5.135601572968173E-3</v>
      </c>
      <c r="E193" s="66">
        <f t="shared" si="16"/>
        <v>2</v>
      </c>
      <c r="F193" s="4">
        <f t="shared" si="17"/>
        <v>9.2588179697361671E-3</v>
      </c>
      <c r="H193" s="4">
        <f t="shared" si="15"/>
        <v>6.6693406360302074E-4</v>
      </c>
    </row>
    <row r="194" spans="1:8">
      <c r="A194" s="66">
        <v>9.0500000000000007</v>
      </c>
      <c r="B194" s="10">
        <f t="shared" si="12"/>
        <v>0.96611847331311362</v>
      </c>
      <c r="C194" s="10">
        <f t="shared" si="13"/>
        <v>0.93231823387851454</v>
      </c>
      <c r="D194" s="4">
        <f t="shared" si="14"/>
        <v>5.1538434365425607E-3</v>
      </c>
      <c r="E194" s="66">
        <f t="shared" si="16"/>
        <v>4</v>
      </c>
      <c r="F194" s="4">
        <f t="shared" si="17"/>
        <v>1.8568882888758013E-2</v>
      </c>
      <c r="H194" s="4">
        <f t="shared" si="15"/>
        <v>1.3480105216712268E-3</v>
      </c>
    </row>
    <row r="195" spans="1:8">
      <c r="A195" s="66">
        <v>9.1</v>
      </c>
      <c r="B195" s="10">
        <f t="shared" si="12"/>
        <v>0.96586910240973833</v>
      </c>
      <c r="C195" s="10">
        <f t="shared" si="13"/>
        <v>0.93182726521729886</v>
      </c>
      <c r="D195" s="4">
        <f t="shared" si="14"/>
        <v>5.1721513827054713E-3</v>
      </c>
      <c r="E195" s="66">
        <f t="shared" si="16"/>
        <v>2</v>
      </c>
      <c r="F195" s="4">
        <f t="shared" si="17"/>
        <v>9.3101121069509053E-3</v>
      </c>
      <c r="H195" s="4">
        <f t="shared" si="15"/>
        <v>6.811303201311352E-4</v>
      </c>
    </row>
    <row r="196" spans="1:8">
      <c r="A196" s="66">
        <v>9.15</v>
      </c>
      <c r="B196" s="10">
        <f t="shared" si="12"/>
        <v>0.96561891034761571</v>
      </c>
      <c r="C196" s="10">
        <f t="shared" si="13"/>
        <v>0.93133479480833425</v>
      </c>
      <c r="D196" s="4">
        <f t="shared" si="14"/>
        <v>5.1905256508462767E-3</v>
      </c>
      <c r="E196" s="66">
        <f t="shared" si="16"/>
        <v>4</v>
      </c>
      <c r="F196" s="4">
        <f t="shared" si="17"/>
        <v>1.8671659708519313E-2</v>
      </c>
      <c r="H196" s="4">
        <f t="shared" si="15"/>
        <v>1.3766191838868076E-3</v>
      </c>
    </row>
    <row r="197" spans="1:8">
      <c r="A197" s="66">
        <v>9.1999999999999993</v>
      </c>
      <c r="B197" s="10">
        <f t="shared" si="12"/>
        <v>0.96536789459122296</v>
      </c>
      <c r="C197" s="10">
        <f t="shared" si="13"/>
        <v>0.93084081893298909</v>
      </c>
      <c r="D197" s="4">
        <f t="shared" si="14"/>
        <v>5.2089664812215771E-3</v>
      </c>
      <c r="E197" s="66">
        <f t="shared" si="16"/>
        <v>2</v>
      </c>
      <c r="F197" s="4">
        <f t="shared" si="17"/>
        <v>9.36159458130046E-3</v>
      </c>
      <c r="H197" s="4">
        <f t="shared" si="15"/>
        <v>6.9554342864579048E-4</v>
      </c>
    </row>
    <row r="198" spans="1:8">
      <c r="A198" s="66">
        <v>9.25</v>
      </c>
      <c r="B198" s="10">
        <f t="shared" si="12"/>
        <v>0.96511605259885103</v>
      </c>
      <c r="C198" s="10">
        <f t="shared" si="13"/>
        <v>0.93034533387021756</v>
      </c>
      <c r="D198" s="4">
        <f t="shared" si="14"/>
        <v>5.2274741149583052E-3</v>
      </c>
      <c r="E198" s="66">
        <f t="shared" si="16"/>
        <v>4</v>
      </c>
      <c r="F198" s="4">
        <f t="shared" si="17"/>
        <v>1.8774812362487927E-2</v>
      </c>
      <c r="H198" s="4">
        <f t="shared" si="15"/>
        <v>1.4056643690769982E-3</v>
      </c>
    </row>
    <row r="199" spans="1:8">
      <c r="A199" s="66">
        <v>9.3000000000000007</v>
      </c>
      <c r="B199" s="10">
        <f t="shared" si="12"/>
        <v>0.96486338182260334</v>
      </c>
      <c r="C199" s="10">
        <f t="shared" si="13"/>
        <v>0.92984833589661731</v>
      </c>
      <c r="D199" s="4">
        <f t="shared" si="14"/>
        <v>5.2460487940569067E-3</v>
      </c>
      <c r="E199" s="66">
        <f t="shared" si="16"/>
        <v>2</v>
      </c>
      <c r="F199" s="4">
        <f t="shared" si="17"/>
        <v>9.413264545424448E-3</v>
      </c>
      <c r="H199" s="4">
        <f t="shared" si="15"/>
        <v>7.1017621585582657E-4</v>
      </c>
    </row>
    <row r="200" spans="1:8">
      <c r="A200" s="66">
        <v>9.35</v>
      </c>
      <c r="B200" s="10">
        <f t="shared" si="12"/>
        <v>0.96460987970839274</v>
      </c>
      <c r="C200" s="10">
        <f t="shared" si="13"/>
        <v>0.9293498212864878</v>
      </c>
      <c r="D200" s="4">
        <f t="shared" si="14"/>
        <v>5.2646907613944941E-3</v>
      </c>
      <c r="E200" s="66">
        <f t="shared" si="16"/>
        <v>4</v>
      </c>
      <c r="F200" s="4">
        <f t="shared" si="17"/>
        <v>1.8878339126655708E-2</v>
      </c>
      <c r="H200" s="4">
        <f t="shared" si="15"/>
        <v>1.4351517615468095E-3</v>
      </c>
    </row>
    <row r="201" spans="1:8">
      <c r="A201" s="66">
        <v>9.4</v>
      </c>
      <c r="B201" s="10">
        <f t="shared" si="12"/>
        <v>0.96435554369593923</v>
      </c>
      <c r="C201" s="10">
        <f t="shared" si="13"/>
        <v>0.9288497863118873</v>
      </c>
      <c r="D201" s="4">
        <f t="shared" si="14"/>
        <v>5.2834002607280058E-3</v>
      </c>
      <c r="E201" s="66">
        <f t="shared" si="16"/>
        <v>2</v>
      </c>
      <c r="F201" s="4">
        <f t="shared" si="17"/>
        <v>9.4651211225797935E-3</v>
      </c>
      <c r="H201" s="4">
        <f t="shared" si="15"/>
        <v>7.250315394154522E-4</v>
      </c>
    </row>
    <row r="202" spans="1:8">
      <c r="A202" s="66">
        <v>9.4499999999999993</v>
      </c>
      <c r="B202" s="10">
        <f t="shared" si="12"/>
        <v>0.96410037121876879</v>
      </c>
      <c r="C202" s="10">
        <f t="shared" si="13"/>
        <v>0.92834822724269306</v>
      </c>
      <c r="D202" s="4">
        <f t="shared" si="14"/>
        <v>5.3021775366974304E-3</v>
      </c>
      <c r="E202" s="66">
        <f t="shared" si="16"/>
        <v>4</v>
      </c>
      <c r="F202" s="4">
        <f t="shared" si="17"/>
        <v>1.8982238217867247E-2</v>
      </c>
      <c r="H202" s="4">
        <f t="shared" si="15"/>
        <v>1.4650871077239907E-3</v>
      </c>
    </row>
    <row r="203" spans="1:8">
      <c r="A203" s="66">
        <v>9.5</v>
      </c>
      <c r="B203" s="10">
        <f t="shared" si="12"/>
        <v>0.96384435970420934</v>
      </c>
      <c r="C203" s="10">
        <f t="shared" si="13"/>
        <v>0.92784514034665921</v>
      </c>
      <c r="D203" s="4">
        <f t="shared" si="14"/>
        <v>5.3210228348289637E-3</v>
      </c>
      <c r="E203" s="66">
        <f t="shared" si="16"/>
        <v>2</v>
      </c>
      <c r="F203" s="4">
        <f t="shared" si="17"/>
        <v>9.5171634062583034E-3</v>
      </c>
      <c r="H203" s="4">
        <f t="shared" si="15"/>
        <v>7.401122881560946E-4</v>
      </c>
    </row>
    <row r="204" spans="1:8">
      <c r="A204" s="66">
        <v>9.5500000000000007</v>
      </c>
      <c r="B204" s="10">
        <f t="shared" si="12"/>
        <v>0.96358750657339143</v>
      </c>
      <c r="C204" s="10">
        <f t="shared" si="13"/>
        <v>0.9273405218894778</v>
      </c>
      <c r="D204" s="4">
        <f t="shared" si="14"/>
        <v>5.3399364015382523E-3</v>
      </c>
      <c r="E204" s="66">
        <f t="shared" si="16"/>
        <v>4</v>
      </c>
      <c r="F204" s="4">
        <f t="shared" si="17"/>
        <v>1.9086507793052838E-2</v>
      </c>
      <c r="H204" s="4">
        <f t="shared" si="15"/>
        <v>1.4954762166220937E-3</v>
      </c>
    </row>
    <row r="205" spans="1:8">
      <c r="A205" s="66">
        <v>9.6</v>
      </c>
      <c r="B205" s="10">
        <f t="shared" ref="B205:B213" si="18">(B$6^A205)*B$7^((B$5^30)*((B$5^A205)-1))</f>
        <v>0.96332980924124367</v>
      </c>
      <c r="C205" s="10">
        <f t="shared" ref="C205:C213" si="19">(B$6^A205)*B$7^((B$5^40)*((B$5^A205)-1))</f>
        <v>0.92683436813483855</v>
      </c>
      <c r="D205" s="4">
        <f t="shared" ref="D205:D213" si="20">B$3+B$4*(B$5^(30+A205))</f>
        <v>5.3589184841336063E-3</v>
      </c>
      <c r="E205" s="66">
        <f t="shared" si="16"/>
        <v>2</v>
      </c>
      <c r="F205" s="4">
        <f t="shared" si="17"/>
        <v>9.5693904598020199E-3</v>
      </c>
      <c r="H205" s="4">
        <f t="shared" si="15"/>
        <v>7.5542138231758237E-4</v>
      </c>
    </row>
    <row r="206" spans="1:8">
      <c r="A206" s="66">
        <v>9.65</v>
      </c>
      <c r="B206" s="10">
        <f t="shared" si="18"/>
        <v>0.96307126511649388</v>
      </c>
      <c r="C206" s="10">
        <f t="shared" si="19"/>
        <v>0.92632667534449031</v>
      </c>
      <c r="D206" s="4">
        <f t="shared" si="20"/>
        <v>5.3779693308192121E-3</v>
      </c>
      <c r="E206" s="66">
        <f t="shared" si="16"/>
        <v>4</v>
      </c>
      <c r="F206" s="4">
        <f t="shared" si="17"/>
        <v>1.9191145948456969E-2</v>
      </c>
      <c r="H206" s="4">
        <f t="shared" si="15"/>
        <v>1.526324960302083E-3</v>
      </c>
    </row>
    <row r="207" spans="1:8">
      <c r="A207" s="66">
        <v>9.6999999999999993</v>
      </c>
      <c r="B207" s="10">
        <f t="shared" si="18"/>
        <v>0.96281187160166515</v>
      </c>
      <c r="C207" s="10">
        <f t="shared" si="19"/>
        <v>0.92581743977830222</v>
      </c>
      <c r="D207" s="4">
        <f t="shared" si="20"/>
        <v>5.397089190698417E-3</v>
      </c>
      <c r="E207" s="66">
        <f t="shared" si="16"/>
        <v>2</v>
      </c>
      <c r="F207" s="4">
        <f t="shared" si="17"/>
        <v>9.6218013160163686E-3</v>
      </c>
      <c r="H207" s="4">
        <f t="shared" ref="H207:H213" si="21">B207*(1-C207)*D207*E207</f>
        <v>7.709617737785495E-4</v>
      </c>
    </row>
    <row r="208" spans="1:8">
      <c r="A208" s="66">
        <v>9.75</v>
      </c>
      <c r="B208" s="10">
        <f t="shared" si="18"/>
        <v>0.96255162609307587</v>
      </c>
      <c r="C208" s="10">
        <f t="shared" si="19"/>
        <v>0.92530665769432596</v>
      </c>
      <c r="D208" s="4">
        <f t="shared" si="20"/>
        <v>5.4162783137769437E-3</v>
      </c>
      <c r="E208" s="66">
        <f>IF(E207=4,2,4)</f>
        <v>4</v>
      </c>
      <c r="F208" s="4">
        <f t="shared" ref="F208:F213" si="22">B208*C208*D208*E208</f>
        <v>1.9296150718862311E-2</v>
      </c>
      <c r="H208" s="4">
        <f t="shared" si="21"/>
        <v>1.557639274332327E-3</v>
      </c>
    </row>
    <row r="209" spans="1:8">
      <c r="A209" s="66">
        <v>9.8000000000000007</v>
      </c>
      <c r="B209" s="10">
        <f t="shared" si="18"/>
        <v>0.96229052598083809</v>
      </c>
      <c r="C209" s="10">
        <f t="shared" si="19"/>
        <v>0.92479432534885897</v>
      </c>
      <c r="D209" s="4">
        <f t="shared" si="20"/>
        <v>5.435536950966195E-3</v>
      </c>
      <c r="E209" s="66">
        <f>IF(E208=4,2,4)</f>
        <v>2</v>
      </c>
      <c r="F209" s="4">
        <f t="shared" si="22"/>
        <v>9.6743949767810703E-3</v>
      </c>
      <c r="H209" s="4">
        <f t="shared" si="21"/>
        <v>7.8673644628601087E-4</v>
      </c>
    </row>
    <row r="210" spans="1:8">
      <c r="A210" s="66">
        <v>9.85</v>
      </c>
      <c r="B210" s="10">
        <f t="shared" si="18"/>
        <v>0.962028568648856</v>
      </c>
      <c r="C210" s="10">
        <f t="shared" si="19"/>
        <v>0.9242804389965068</v>
      </c>
      <c r="D210" s="4">
        <f t="shared" si="20"/>
        <v>5.4548653540865202E-3</v>
      </c>
      <c r="E210" s="66">
        <f>IF(E209=4,2,4)</f>
        <v>4</v>
      </c>
      <c r="F210" s="4">
        <f t="shared" si="22"/>
        <v>1.9401520076809526E-2</v>
      </c>
      <c r="H210" s="4">
        <f t="shared" si="21"/>
        <v>1.5894251582468349E-3</v>
      </c>
    </row>
    <row r="211" spans="1:8">
      <c r="A211" s="66">
        <v>9.9</v>
      </c>
      <c r="B211" s="10">
        <f t="shared" si="18"/>
        <v>0.96176575147482546</v>
      </c>
      <c r="C211" s="10">
        <f t="shared" si="19"/>
        <v>0.92376499489024766</v>
      </c>
      <c r="D211" s="4">
        <f t="shared" si="20"/>
        <v>5.4742637758704955E-3</v>
      </c>
      <c r="E211" s="66">
        <f>IF(E210=4,2,4)</f>
        <v>2</v>
      </c>
      <c r="F211" s="4">
        <f t="shared" si="22"/>
        <v>9.7271704126589992E-3</v>
      </c>
      <c r="H211" s="4">
        <f t="shared" si="21"/>
        <v>8.0274841568400636E-4</v>
      </c>
    </row>
    <row r="212" spans="1:8">
      <c r="A212" s="66">
        <v>9.9499999999999993</v>
      </c>
      <c r="B212" s="10">
        <f t="shared" si="18"/>
        <v>0.96150207183023251</v>
      </c>
      <c r="C212" s="10">
        <f t="shared" si="19"/>
        <v>0.92324798928149687</v>
      </c>
      <c r="D212" s="4">
        <f t="shared" si="20"/>
        <v>5.4937324699662563E-3</v>
      </c>
      <c r="E212" s="66">
        <f>IF(E211=4,2,4)</f>
        <v>4</v>
      </c>
      <c r="F212" s="4">
        <f t="shared" si="22"/>
        <v>1.9507251931812724E-2</v>
      </c>
      <c r="H212" s="4">
        <f t="shared" si="21"/>
        <v>1.6216886760015794E-3</v>
      </c>
    </row>
    <row r="213" spans="1:8">
      <c r="A213" s="66">
        <v>10</v>
      </c>
      <c r="B213" s="10">
        <f t="shared" si="18"/>
        <v>0.96123752708035359</v>
      </c>
      <c r="C213" s="10">
        <f t="shared" si="19"/>
        <v>0.92272941842017153</v>
      </c>
      <c r="D213" s="4">
        <f t="shared" si="20"/>
        <v>5.5132716909407856E-3</v>
      </c>
      <c r="E213" s="66">
        <v>1</v>
      </c>
      <c r="F213" s="4">
        <f t="shared" si="22"/>
        <v>4.8900632812514198E-3</v>
      </c>
      <c r="H213" s="4">
        <f t="shared" si="21"/>
        <v>4.0950036507062041E-4</v>
      </c>
    </row>
    <row r="214" spans="1:8">
      <c r="B214" s="10"/>
      <c r="C214" s="10"/>
      <c r="D214" s="4"/>
      <c r="E214" s="66"/>
      <c r="F214" s="68">
        <f>SUM(F13:F213)/60</f>
        <v>3.7256977750953386E-2</v>
      </c>
      <c r="H214" s="68">
        <f>SUM(H13:H213)/60</f>
        <v>1.50549516870132E-3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2"/>
  <sheetViews>
    <sheetView zoomScale="125" zoomScaleNormal="125" zoomScalePageLayoutView="125" workbookViewId="0"/>
  </sheetViews>
  <sheetFormatPr baseColWidth="10" defaultRowHeight="12" x14ac:dyDescent="0"/>
  <sheetData>
    <row r="1" spans="1:6" ht="15">
      <c r="A1" s="71" t="s">
        <v>737</v>
      </c>
      <c r="B1" s="66"/>
      <c r="C1" s="66"/>
      <c r="D1" s="66"/>
      <c r="E1" s="66"/>
      <c r="F1" s="66"/>
    </row>
    <row r="2" spans="1:6" ht="15">
      <c r="A2" s="128"/>
      <c r="B2" s="66"/>
      <c r="C2" s="66"/>
      <c r="D2" s="66"/>
      <c r="E2" s="66"/>
      <c r="F2" s="66"/>
    </row>
    <row r="3" spans="1:6">
      <c r="A3" s="50" t="s">
        <v>10</v>
      </c>
      <c r="B3" s="51">
        <v>2.9999999999999997E-4</v>
      </c>
      <c r="C3" s="66"/>
      <c r="D3" s="66"/>
      <c r="E3" s="66"/>
      <c r="F3" s="66"/>
    </row>
    <row r="4" spans="1:6">
      <c r="A4" s="52" t="s">
        <v>24</v>
      </c>
      <c r="B4" s="51">
        <v>1.07</v>
      </c>
      <c r="C4" s="66"/>
      <c r="D4" s="66"/>
      <c r="E4" s="66"/>
      <c r="F4" s="66"/>
    </row>
    <row r="5" spans="1:6">
      <c r="A5" s="52" t="s">
        <v>9</v>
      </c>
      <c r="B5" s="51">
        <f>0.039221</f>
        <v>3.9220999999999999E-2</v>
      </c>
      <c r="C5" s="66"/>
      <c r="D5" s="66"/>
      <c r="E5" s="66"/>
      <c r="F5" s="66"/>
    </row>
    <row r="6" spans="1:6">
      <c r="A6" s="52" t="s">
        <v>82</v>
      </c>
      <c r="B6" s="51">
        <v>30</v>
      </c>
      <c r="C6" s="66"/>
      <c r="D6" s="66"/>
      <c r="E6" s="66"/>
      <c r="F6" s="66"/>
    </row>
    <row r="7" spans="1:6">
      <c r="A7" s="9" t="s">
        <v>25</v>
      </c>
      <c r="B7" s="18">
        <f>EXP(-B3/LN(B4))</f>
        <v>0.99557579281807829</v>
      </c>
      <c r="C7" s="66"/>
      <c r="D7" s="66"/>
      <c r="E7" s="66"/>
      <c r="F7" s="66"/>
    </row>
    <row r="8" spans="1:6">
      <c r="B8" s="66"/>
      <c r="C8" s="66"/>
      <c r="D8" s="66"/>
      <c r="E8" s="66" t="s">
        <v>120</v>
      </c>
      <c r="F8" s="66"/>
    </row>
    <row r="9" spans="1:6">
      <c r="A9" s="66"/>
      <c r="B9" s="66" t="s">
        <v>275</v>
      </c>
      <c r="C9" s="66" t="s">
        <v>276</v>
      </c>
      <c r="D9" s="66" t="s">
        <v>276</v>
      </c>
      <c r="E9" s="66" t="s">
        <v>121</v>
      </c>
      <c r="F9" s="66"/>
    </row>
    <row r="10" spans="1:6">
      <c r="A10" s="66" t="s">
        <v>0</v>
      </c>
      <c r="B10" s="7" t="s">
        <v>84</v>
      </c>
      <c r="C10" s="7" t="s">
        <v>84</v>
      </c>
      <c r="D10" s="22" t="s">
        <v>277</v>
      </c>
      <c r="E10" s="66" t="s">
        <v>22</v>
      </c>
      <c r="F10" s="66" t="s">
        <v>23</v>
      </c>
    </row>
    <row r="11" spans="1:6">
      <c r="A11" s="66">
        <v>0</v>
      </c>
      <c r="B11" s="10">
        <f t="shared" ref="B11:B74" si="0">B$7^((B$4^B$6)*((B$4^A11)-1))</f>
        <v>1</v>
      </c>
      <c r="C11" s="10">
        <f>B11*EXP(-B$5*A11)</f>
        <v>1</v>
      </c>
      <c r="D11" s="4">
        <f t="shared" ref="D11:D74" si="1">B$5+B$3*(B$4^(B$6+A11))</f>
        <v>4.1504676512798606E-2</v>
      </c>
      <c r="E11" s="66">
        <v>1</v>
      </c>
      <c r="F11" s="4">
        <f>B11*C11*D11*E11</f>
        <v>4.1504676512798606E-2</v>
      </c>
    </row>
    <row r="12" spans="1:6">
      <c r="A12" s="66">
        <v>0.05</v>
      </c>
      <c r="B12" s="10">
        <f t="shared" si="0"/>
        <v>0.99988562935912217</v>
      </c>
      <c r="C12" s="10">
        <f t="shared" ref="C12:C75" si="2">B12*EXP(-B$5*A12)</f>
        <v>0.99792672502811919</v>
      </c>
      <c r="D12" s="4">
        <f t="shared" si="1"/>
        <v>4.1512415118328559E-2</v>
      </c>
      <c r="E12" s="66">
        <v>4</v>
      </c>
      <c r="F12" s="4">
        <f>B12*C12*D12*E12</f>
        <v>0.165686442036072</v>
      </c>
    </row>
    <row r="13" spans="1:6">
      <c r="A13" s="66">
        <v>0.1</v>
      </c>
      <c r="B13" s="10">
        <f t="shared" si="0"/>
        <v>0.99977088430212002</v>
      </c>
      <c r="C13" s="10">
        <f t="shared" si="2"/>
        <v>0.99585736254540425</v>
      </c>
      <c r="D13" s="4">
        <f t="shared" si="1"/>
        <v>4.1520179947369243E-2</v>
      </c>
      <c r="E13" s="66">
        <f>IF(E12=4,2,4)</f>
        <v>2</v>
      </c>
      <c r="F13" s="4">
        <f>B13*C13*D13*E13</f>
        <v>8.2677406756784796E-2</v>
      </c>
    </row>
    <row r="14" spans="1:6">
      <c r="A14" s="66">
        <v>0.15</v>
      </c>
      <c r="B14" s="10">
        <f t="shared" si="0"/>
        <v>0.99965576364795916</v>
      </c>
      <c r="C14" s="10">
        <f t="shared" si="2"/>
        <v>0.99379190473588008</v>
      </c>
      <c r="D14" s="4">
        <f t="shared" si="1"/>
        <v>4.1527971088783255E-2</v>
      </c>
      <c r="E14" s="66">
        <f t="shared" ref="E14:E77" si="3">IF(E13=4,2,4)</f>
        <v>4</v>
      </c>
      <c r="F14" s="4">
        <f t="shared" ref="F14:F77" si="4">B14*C14*D14*E14</f>
        <v>0.16502381919319864</v>
      </c>
    </row>
    <row r="15" spans="1:6">
      <c r="A15" s="66">
        <v>0.2</v>
      </c>
      <c r="B15" s="10">
        <f t="shared" si="0"/>
        <v>0.99954026621218306</v>
      </c>
      <c r="C15" s="10">
        <f t="shared" si="2"/>
        <v>0.99173034379895353</v>
      </c>
      <c r="D15" s="4">
        <f t="shared" si="1"/>
        <v>4.1535788631734294E-2</v>
      </c>
      <c r="E15" s="66">
        <f t="shared" si="3"/>
        <v>2</v>
      </c>
      <c r="F15" s="4">
        <f t="shared" si="4"/>
        <v>8.2346728893421747E-2</v>
      </c>
    </row>
    <row r="16" spans="1:6">
      <c r="A16" s="66">
        <v>0.25</v>
      </c>
      <c r="B16" s="10">
        <f t="shared" si="0"/>
        <v>0.99942439080690593</v>
      </c>
      <c r="C16" s="10">
        <f t="shared" si="2"/>
        <v>0.98967267194938513</v>
      </c>
      <c r="D16" s="4">
        <f t="shared" si="1"/>
        <v>4.1543632665688238E-2</v>
      </c>
      <c r="E16" s="66">
        <f t="shared" si="3"/>
        <v>4</v>
      </c>
      <c r="F16" s="4">
        <f t="shared" si="4"/>
        <v>0.16436372800875693</v>
      </c>
    </row>
    <row r="17" spans="1:6">
      <c r="A17" s="66">
        <v>0.3</v>
      </c>
      <c r="B17" s="10">
        <f t="shared" si="0"/>
        <v>0.99930813624080417</v>
      </c>
      <c r="C17" s="10">
        <f t="shared" si="2"/>
        <v>0.98761888141725951</v>
      </c>
      <c r="D17" s="4">
        <f t="shared" si="1"/>
        <v>4.1551503280414098E-2</v>
      </c>
      <c r="E17" s="66">
        <f t="shared" si="3"/>
        <v>2</v>
      </c>
      <c r="F17" s="4">
        <f t="shared" si="4"/>
        <v>8.2017314287777129E-2</v>
      </c>
    </row>
    <row r="18" spans="1:6">
      <c r="A18" s="66">
        <v>0.35</v>
      </c>
      <c r="B18" s="10">
        <f t="shared" si="0"/>
        <v>0.99919150131910928</v>
      </c>
      <c r="C18" s="10">
        <f t="shared" si="2"/>
        <v>0.98556896444795772</v>
      </c>
      <c r="D18" s="4">
        <f t="shared" si="1"/>
        <v>4.1559400565985109E-2</v>
      </c>
      <c r="E18" s="66">
        <f t="shared" si="3"/>
        <v>4</v>
      </c>
      <c r="F18" s="4">
        <f t="shared" si="4"/>
        <v>0.16370615820620893</v>
      </c>
    </row>
    <row r="19" spans="1:6">
      <c r="A19" s="66">
        <v>0.4</v>
      </c>
      <c r="B19" s="10">
        <f t="shared" si="0"/>
        <v>0.9990744848435994</v>
      </c>
      <c r="C19" s="10">
        <f t="shared" si="2"/>
        <v>0.98352291330212771</v>
      </c>
      <c r="D19" s="4">
        <f t="shared" si="1"/>
        <v>4.1567324612779719E-2</v>
      </c>
      <c r="E19" s="66">
        <f t="shared" si="3"/>
        <v>2</v>
      </c>
      <c r="F19" s="4">
        <f t="shared" si="4"/>
        <v>8.1689157811023469E-2</v>
      </c>
    </row>
    <row r="20" spans="1:6">
      <c r="A20" s="66">
        <v>0.45</v>
      </c>
      <c r="B20" s="10">
        <f t="shared" si="0"/>
        <v>0.99895708561259189</v>
      </c>
      <c r="C20" s="10">
        <f t="shared" si="2"/>
        <v>0.98148072025565669</v>
      </c>
      <c r="D20" s="4">
        <f t="shared" si="1"/>
        <v>4.1575275511482643E-2</v>
      </c>
      <c r="E20" s="66">
        <f t="shared" si="3"/>
        <v>4</v>
      </c>
      <c r="F20" s="4">
        <f t="shared" si="4"/>
        <v>0.16305109954674191</v>
      </c>
    </row>
    <row r="21" spans="1:6">
      <c r="A21" s="66">
        <v>0.5</v>
      </c>
      <c r="B21" s="10">
        <f t="shared" si="0"/>
        <v>0.99883930242093544</v>
      </c>
      <c r="C21" s="10">
        <f t="shared" si="2"/>
        <v>0.97944237759964214</v>
      </c>
      <c r="D21" s="4">
        <f t="shared" si="1"/>
        <v>4.1583253353085901E-2</v>
      </c>
      <c r="E21" s="66">
        <f t="shared" si="3"/>
        <v>2</v>
      </c>
      <c r="F21" s="4">
        <f t="shared" si="4"/>
        <v>8.1362254353155056E-2</v>
      </c>
    </row>
    <row r="22" spans="1:6">
      <c r="A22" s="66">
        <v>0.55000000000000004</v>
      </c>
      <c r="B22" s="10">
        <f t="shared" si="0"/>
        <v>0.99872113406000196</v>
      </c>
      <c r="C22" s="10">
        <f t="shared" si="2"/>
        <v>0.97740787764036319</v>
      </c>
      <c r="D22" s="4">
        <f t="shared" si="1"/>
        <v>4.1591258228889844E-2</v>
      </c>
      <c r="E22" s="66">
        <f t="shared" si="3"/>
        <v>4</v>
      </c>
      <c r="F22" s="4">
        <f t="shared" si="4"/>
        <v>0.16239854182910513</v>
      </c>
    </row>
    <row r="23" spans="1:6">
      <c r="A23" s="66">
        <v>0.6</v>
      </c>
      <c r="B23" s="10">
        <f t="shared" si="0"/>
        <v>0.99860257931767926</v>
      </c>
      <c r="C23" s="10">
        <f t="shared" si="2"/>
        <v>0.97537721269925337</v>
      </c>
      <c r="D23" s="4">
        <f t="shared" si="1"/>
        <v>4.1599290230504217E-2</v>
      </c>
      <c r="E23" s="66">
        <f t="shared" si="3"/>
        <v>2</v>
      </c>
      <c r="F23" s="4">
        <f t="shared" si="4"/>
        <v>8.103659882290655E-2</v>
      </c>
    </row>
    <row r="24" spans="1:6">
      <c r="A24" s="66">
        <v>0.65</v>
      </c>
      <c r="B24" s="10">
        <f t="shared" si="0"/>
        <v>0.99848363697836295</v>
      </c>
      <c r="C24" s="10">
        <f t="shared" si="2"/>
        <v>0.97335037511287115</v>
      </c>
      <c r="D24" s="4">
        <f t="shared" si="1"/>
        <v>4.1607349449849187E-2</v>
      </c>
      <c r="E24" s="66">
        <f t="shared" si="3"/>
        <v>4</v>
      </c>
      <c r="F24" s="4">
        <f t="shared" si="4"/>
        <v>0.16174847488944738</v>
      </c>
    </row>
    <row r="25" spans="1:6">
      <c r="A25" s="66">
        <v>0.7</v>
      </c>
      <c r="B25" s="10">
        <f t="shared" si="0"/>
        <v>0.99836430582294833</v>
      </c>
      <c r="C25" s="10">
        <f t="shared" si="2"/>
        <v>0.97132735723287245</v>
      </c>
      <c r="D25" s="4">
        <f t="shared" si="1"/>
        <v>4.1615435979156422E-2</v>
      </c>
      <c r="E25" s="66">
        <f t="shared" si="3"/>
        <v>2</v>
      </c>
      <c r="F25" s="4">
        <f t="shared" si="4"/>
        <v>8.0712186147671866E-2</v>
      </c>
    </row>
    <row r="26" spans="1:6">
      <c r="A26" s="66">
        <v>0.75</v>
      </c>
      <c r="B26" s="10">
        <f t="shared" si="0"/>
        <v>0.99824458462882326</v>
      </c>
      <c r="C26" s="10">
        <f t="shared" si="2"/>
        <v>0.96930815142598215</v>
      </c>
      <c r="D26" s="4">
        <f t="shared" si="1"/>
        <v>4.1623549910970128E-2</v>
      </c>
      <c r="E26" s="66">
        <f t="shared" si="3"/>
        <v>4</v>
      </c>
      <c r="F26" s="4">
        <f t="shared" si="4"/>
        <v>0.16110088860115515</v>
      </c>
    </row>
    <row r="27" spans="1:6">
      <c r="A27" s="66">
        <v>0.8</v>
      </c>
      <c r="B27" s="10">
        <f t="shared" si="0"/>
        <v>0.99812447216985967</v>
      </c>
      <c r="C27" s="10">
        <f t="shared" si="2"/>
        <v>0.9672927500739662</v>
      </c>
      <c r="D27" s="4">
        <f t="shared" si="1"/>
        <v>4.1631691338148112E-2</v>
      </c>
      <c r="E27" s="66">
        <f t="shared" si="3"/>
        <v>2</v>
      </c>
      <c r="F27" s="4">
        <f t="shared" si="4"/>
        <v>8.0389011273423405E-2</v>
      </c>
    </row>
    <row r="28" spans="1:6">
      <c r="A28" s="66">
        <v>0.85</v>
      </c>
      <c r="B28" s="10">
        <f t="shared" si="0"/>
        <v>0.99800396721640605</v>
      </c>
      <c r="C28" s="10">
        <f t="shared" si="2"/>
        <v>0.96528114557360367</v>
      </c>
      <c r="D28" s="4">
        <f t="shared" si="1"/>
        <v>4.1639860353862836E-2</v>
      </c>
      <c r="E28" s="66">
        <f t="shared" si="3"/>
        <v>4</v>
      </c>
      <c r="F28" s="4">
        <f t="shared" si="4"/>
        <v>0.16045577287469118</v>
      </c>
    </row>
    <row r="29" spans="1:6">
      <c r="A29" s="66">
        <v>0.9</v>
      </c>
      <c r="B29" s="10">
        <f t="shared" si="0"/>
        <v>0.99788306853527964</v>
      </c>
      <c r="C29" s="10">
        <f t="shared" si="2"/>
        <v>0.96327333033665874</v>
      </c>
      <c r="D29" s="4">
        <f t="shared" si="1"/>
        <v>4.1648057051602495E-2</v>
      </c>
      <c r="E29" s="66">
        <f t="shared" si="3"/>
        <v>2</v>
      </c>
      <c r="F29" s="4">
        <f t="shared" si="4"/>
        <v>8.0067069164631466E-2</v>
      </c>
    </row>
    <row r="30" spans="1:6">
      <c r="A30" s="66">
        <v>0.95</v>
      </c>
      <c r="B30" s="10">
        <f t="shared" si="0"/>
        <v>0.99776177488975837</v>
      </c>
      <c r="C30" s="10">
        <f t="shared" si="2"/>
        <v>0.96126929678985262</v>
      </c>
      <c r="D30" s="4">
        <f t="shared" si="1"/>
        <v>4.1656281525172104E-2</v>
      </c>
      <c r="E30" s="66">
        <f t="shared" si="3"/>
        <v>4</v>
      </c>
      <c r="F30" s="4">
        <f t="shared" si="4"/>
        <v>0.15981311765743397</v>
      </c>
    </row>
    <row r="31" spans="1:6">
      <c r="A31" s="66">
        <v>1</v>
      </c>
      <c r="B31" s="10">
        <f t="shared" si="0"/>
        <v>0.99764008503957347</v>
      </c>
      <c r="C31" s="10">
        <f t="shared" si="2"/>
        <v>0.95926903737483615</v>
      </c>
      <c r="D31" s="4">
        <f t="shared" si="1"/>
        <v>4.1664533868694509E-2</v>
      </c>
      <c r="E31" s="66">
        <f t="shared" si="3"/>
        <v>2</v>
      </c>
      <c r="F31" s="4">
        <f t="shared" si="4"/>
        <v>7.9746354804184183E-2</v>
      </c>
    </row>
    <row r="32" spans="1:6">
      <c r="A32" s="66">
        <v>1.05</v>
      </c>
      <c r="B32" s="10">
        <f t="shared" si="0"/>
        <v>0.99751799774090111</v>
      </c>
      <c r="C32" s="10">
        <f t="shared" si="2"/>
        <v>0.95727254454816157</v>
      </c>
      <c r="D32" s="4">
        <f t="shared" si="1"/>
        <v>4.1672814176611561E-2</v>
      </c>
      <c r="E32" s="66">
        <f t="shared" si="3"/>
        <v>4</v>
      </c>
      <c r="F32" s="4">
        <f t="shared" si="4"/>
        <v>0.15917291293351757</v>
      </c>
    </row>
    <row r="33" spans="1:6">
      <c r="A33" s="66">
        <v>1.1000000000000001</v>
      </c>
      <c r="B33" s="10">
        <f t="shared" si="0"/>
        <v>0.99739551174635488</v>
      </c>
      <c r="C33" s="10">
        <f t="shared" si="2"/>
        <v>0.95527981078125512</v>
      </c>
      <c r="D33" s="4">
        <f t="shared" si="1"/>
        <v>4.1681122543685091E-2</v>
      </c>
      <c r="E33" s="66">
        <f t="shared" si="3"/>
        <v>2</v>
      </c>
      <c r="F33" s="4">
        <f t="shared" si="4"/>
        <v>7.9426863193307537E-2</v>
      </c>
    </row>
    <row r="34" spans="1:6">
      <c r="A34" s="66">
        <v>1.1499999999999999</v>
      </c>
      <c r="B34" s="10">
        <f t="shared" si="0"/>
        <v>0.99727262580497789</v>
      </c>
      <c r="C34" s="10">
        <f t="shared" si="2"/>
        <v>0.95329082856038927</v>
      </c>
      <c r="D34" s="4">
        <f t="shared" si="1"/>
        <v>4.1689459064998081E-2</v>
      </c>
      <c r="E34" s="66">
        <f t="shared" si="3"/>
        <v>4</v>
      </c>
      <c r="F34" s="4">
        <f t="shared" si="4"/>
        <v>0.15853514872367191</v>
      </c>
    </row>
    <row r="35" spans="1:6">
      <c r="A35" s="66">
        <v>1.2</v>
      </c>
      <c r="B35" s="10">
        <f t="shared" si="0"/>
        <v>0.99714933866223499</v>
      </c>
      <c r="C35" s="10">
        <f t="shared" si="2"/>
        <v>0.9513055903866553</v>
      </c>
      <c r="D35" s="4">
        <f t="shared" si="1"/>
        <v>4.1697823835955695E-2</v>
      </c>
      <c r="E35" s="66">
        <f t="shared" si="3"/>
        <v>2</v>
      </c>
      <c r="F35" s="4">
        <f t="shared" si="4"/>
        <v>7.9108589351485667E-2</v>
      </c>
    </row>
    <row r="36" spans="1:6">
      <c r="A36" s="66">
        <v>1.25</v>
      </c>
      <c r="B36" s="10">
        <f t="shared" si="0"/>
        <v>0.99702564906000501</v>
      </c>
      <c r="C36" s="10">
        <f t="shared" si="2"/>
        <v>0.94932408877593555</v>
      </c>
      <c r="D36" s="4">
        <f t="shared" si="1"/>
        <v>4.1706216952286414E-2</v>
      </c>
      <c r="E36" s="66">
        <f t="shared" si="3"/>
        <v>4</v>
      </c>
      <c r="F36" s="4">
        <f t="shared" si="4"/>
        <v>0.15789981508506412</v>
      </c>
    </row>
    <row r="37" spans="1:6">
      <c r="A37" s="66">
        <v>1.3</v>
      </c>
      <c r="B37" s="10">
        <f t="shared" si="0"/>
        <v>0.99690155573657269</v>
      </c>
      <c r="C37" s="10">
        <f t="shared" si="2"/>
        <v>0.94734631625887655</v>
      </c>
      <c r="D37" s="4">
        <f t="shared" si="1"/>
        <v>4.1714638510043082E-2</v>
      </c>
      <c r="E37" s="66">
        <f t="shared" si="3"/>
        <v>2</v>
      </c>
      <c r="F37" s="4">
        <f t="shared" si="4"/>
        <v>7.879152831638174E-2</v>
      </c>
    </row>
    <row r="38" spans="1:6">
      <c r="A38" s="66">
        <v>1.35</v>
      </c>
      <c r="B38" s="10">
        <f t="shared" si="0"/>
        <v>0.99677705742662093</v>
      </c>
      <c r="C38" s="10">
        <f t="shared" si="2"/>
        <v>0.94537226538086039</v>
      </c>
      <c r="D38" s="4">
        <f t="shared" si="1"/>
        <v>4.1723088605604065E-2</v>
      </c>
      <c r="E38" s="66">
        <f t="shared" si="3"/>
        <v>4</v>
      </c>
      <c r="F38" s="4">
        <f t="shared" si="4"/>
        <v>0.15726690211114014</v>
      </c>
    </row>
    <row r="39" spans="1:6">
      <c r="A39" s="66">
        <v>1.4</v>
      </c>
      <c r="B39" s="10">
        <f t="shared" si="0"/>
        <v>0.99665215286122333</v>
      </c>
      <c r="C39" s="10">
        <f t="shared" si="2"/>
        <v>0.94340192870197925</v>
      </c>
      <c r="D39" s="4">
        <f t="shared" si="1"/>
        <v>4.1731567335674298E-2</v>
      </c>
      <c r="E39" s="66">
        <f t="shared" si="3"/>
        <v>2</v>
      </c>
      <c r="F39" s="4">
        <f t="shared" si="4"/>
        <v>7.8475675143758805E-2</v>
      </c>
    </row>
    <row r="40" spans="1:6">
      <c r="A40" s="66">
        <v>1.45</v>
      </c>
      <c r="B40" s="10">
        <f t="shared" si="0"/>
        <v>0.9965268407678356</v>
      </c>
      <c r="C40" s="10">
        <f t="shared" si="2"/>
        <v>0.94143529879700594</v>
      </c>
      <c r="D40" s="4">
        <f t="shared" si="1"/>
        <v>4.1740074797286433E-2</v>
      </c>
      <c r="E40" s="66">
        <f t="shared" si="3"/>
        <v>4</v>
      </c>
      <c r="F40" s="4">
        <f t="shared" si="4"/>
        <v>0.15663639993146691</v>
      </c>
    </row>
    <row r="41" spans="1:6">
      <c r="A41" s="66">
        <v>1.5</v>
      </c>
      <c r="B41" s="10">
        <f t="shared" si="0"/>
        <v>0.99640111987028879</v>
      </c>
      <c r="C41" s="10">
        <f t="shared" si="2"/>
        <v>0.93947236825536895</v>
      </c>
      <c r="D41" s="4">
        <f t="shared" si="1"/>
        <v>4.1748611087801916E-2</v>
      </c>
      <c r="E41" s="66">
        <f t="shared" si="3"/>
        <v>2</v>
      </c>
      <c r="F41" s="4">
        <f t="shared" si="4"/>
        <v>7.816102490740108E-2</v>
      </c>
    </row>
    <row r="42" spans="1:6">
      <c r="A42" s="66">
        <v>1.55</v>
      </c>
      <c r="B42" s="10">
        <f t="shared" si="0"/>
        <v>0.9962749888887803</v>
      </c>
      <c r="C42" s="10">
        <f t="shared" si="2"/>
        <v>0.93751312968112333</v>
      </c>
      <c r="D42" s="4">
        <f t="shared" si="1"/>
        <v>4.1757176304912137E-2</v>
      </c>
      <c r="E42" s="66">
        <f t="shared" si="3"/>
        <v>4</v>
      </c>
      <c r="F42" s="4">
        <f t="shared" si="4"/>
        <v>0.15600829871157523</v>
      </c>
    </row>
    <row r="43" spans="1:6">
      <c r="A43" s="66">
        <v>1.6</v>
      </c>
      <c r="B43" s="10">
        <f t="shared" si="0"/>
        <v>0.99614844653986712</v>
      </c>
      <c r="C43" s="10">
        <f t="shared" si="2"/>
        <v>0.93555757569292497</v>
      </c>
      <c r="D43" s="4">
        <f t="shared" si="1"/>
        <v>4.1765770546639512E-2</v>
      </c>
      <c r="E43" s="66">
        <f t="shared" si="3"/>
        <v>2</v>
      </c>
      <c r="F43" s="4">
        <f t="shared" si="4"/>
        <v>7.7847572699035597E-2</v>
      </c>
    </row>
    <row r="44" spans="1:6">
      <c r="A44" s="66">
        <v>1.65</v>
      </c>
      <c r="B44" s="10">
        <f t="shared" si="0"/>
        <v>0.99602149153645725</v>
      </c>
      <c r="C44" s="10">
        <f t="shared" si="2"/>
        <v>0.93360569892400314</v>
      </c>
      <c r="D44" s="4">
        <f t="shared" si="1"/>
        <v>4.177439391133863E-2</v>
      </c>
      <c r="E44" s="66">
        <f t="shared" si="3"/>
        <v>4</v>
      </c>
      <c r="F44" s="4">
        <f t="shared" si="4"/>
        <v>0.1553825886528033</v>
      </c>
    </row>
    <row r="45" spans="1:6">
      <c r="A45" s="66">
        <v>1.7</v>
      </c>
      <c r="B45" s="10">
        <f t="shared" si="0"/>
        <v>0.9958941225878023</v>
      </c>
      <c r="C45" s="10">
        <f t="shared" si="2"/>
        <v>0.9316574920221331</v>
      </c>
      <c r="D45" s="4">
        <f t="shared" si="1"/>
        <v>4.1783046497697374E-2</v>
      </c>
      <c r="E45" s="66">
        <f t="shared" si="3"/>
        <v>2</v>
      </c>
      <c r="F45" s="4">
        <f t="shared" si="4"/>
        <v>7.7535313628254054E-2</v>
      </c>
    </row>
    <row r="46" spans="1:6">
      <c r="A46" s="66">
        <v>1.75</v>
      </c>
      <c r="B46" s="10">
        <f t="shared" si="0"/>
        <v>0.99576633839948947</v>
      </c>
      <c r="C46" s="10">
        <f t="shared" si="2"/>
        <v>0.92971294764960977</v>
      </c>
      <c r="D46" s="4">
        <f t="shared" si="1"/>
        <v>4.1791728404738042E-2</v>
      </c>
      <c r="E46" s="66">
        <f t="shared" si="3"/>
        <v>4</v>
      </c>
      <c r="F46" s="4">
        <f t="shared" si="4"/>
        <v>0.15475925999214071</v>
      </c>
    </row>
    <row r="47" spans="1:6">
      <c r="A47" s="66">
        <v>1.8</v>
      </c>
      <c r="B47" s="10">
        <f t="shared" si="0"/>
        <v>0.99563813767343401</v>
      </c>
      <c r="C47" s="10">
        <f t="shared" si="2"/>
        <v>0.92777205848322097</v>
      </c>
      <c r="D47" s="4">
        <f t="shared" si="1"/>
        <v>4.1800439731818483E-2</v>
      </c>
      <c r="E47" s="66">
        <f t="shared" si="3"/>
        <v>2</v>
      </c>
      <c r="F47" s="4">
        <f t="shared" si="4"/>
        <v>7.7224242822434924E-2</v>
      </c>
    </row>
    <row r="48" spans="1:6">
      <c r="A48" s="66">
        <v>1.85</v>
      </c>
      <c r="B48" s="10">
        <f t="shared" si="0"/>
        <v>0.99550951910787089</v>
      </c>
      <c r="C48" s="10">
        <f t="shared" si="2"/>
        <v>0.9258348172142199</v>
      </c>
      <c r="D48" s="4">
        <f t="shared" si="1"/>
        <v>4.1809180578633233E-2</v>
      </c>
      <c r="E48" s="66">
        <f t="shared" si="3"/>
        <v>4</v>
      </c>
      <c r="F48" s="4">
        <f t="shared" si="4"/>
        <v>0.15413830300207304</v>
      </c>
    </row>
    <row r="49" spans="1:6">
      <c r="A49" s="66">
        <v>1.9</v>
      </c>
      <c r="B49" s="10">
        <f t="shared" si="0"/>
        <v>0.9953804813973478</v>
      </c>
      <c r="C49" s="10">
        <f t="shared" si="2"/>
        <v>0.92390121654829949</v>
      </c>
      <c r="D49" s="4">
        <f t="shared" si="1"/>
        <v>4.1817951045214671E-2</v>
      </c>
      <c r="E49" s="66">
        <f t="shared" si="3"/>
        <v>2</v>
      </c>
      <c r="F49" s="4">
        <f t="shared" si="4"/>
        <v>7.6914355426665956E-2</v>
      </c>
    </row>
    <row r="50" spans="1:6">
      <c r="A50" s="66">
        <v>1.95</v>
      </c>
      <c r="B50" s="10">
        <f t="shared" si="0"/>
        <v>0.99525102323271641</v>
      </c>
      <c r="C50" s="10">
        <f t="shared" si="2"/>
        <v>0.92197124920556461</v>
      </c>
      <c r="D50" s="4">
        <f t="shared" si="1"/>
        <v>4.1826751231934148E-2</v>
      </c>
      <c r="E50" s="66">
        <f t="shared" si="3"/>
        <v>4</v>
      </c>
      <c r="F50" s="4">
        <f t="shared" si="4"/>
        <v>0.15351970799042713</v>
      </c>
    </row>
    <row r="51" spans="1:6">
      <c r="A51" s="66">
        <v>2</v>
      </c>
      <c r="B51" s="10">
        <f t="shared" si="0"/>
        <v>0.99512114330112544</v>
      </c>
      <c r="C51" s="10">
        <f t="shared" si="2"/>
        <v>0.92004490792050653</v>
      </c>
      <c r="D51" s="4">
        <f t="shared" si="1"/>
        <v>4.1835581239503129E-2</v>
      </c>
      <c r="E51" s="66">
        <f t="shared" si="3"/>
        <v>2</v>
      </c>
      <c r="F51" s="4">
        <f t="shared" si="4"/>
        <v>7.6605646603666935E-2</v>
      </c>
    </row>
    <row r="52" spans="1:6">
      <c r="A52" s="66">
        <v>2.0499999999999998</v>
      </c>
      <c r="B52" s="10">
        <f t="shared" si="0"/>
        <v>0.99499084028601215</v>
      </c>
      <c r="C52" s="10">
        <f t="shared" si="2"/>
        <v>0.91812218544197544</v>
      </c>
      <c r="D52" s="4">
        <f t="shared" si="1"/>
        <v>4.1844441168974372E-2</v>
      </c>
      <c r="E52" s="66">
        <f t="shared" si="3"/>
        <v>4</v>
      </c>
      <c r="F52" s="4">
        <f t="shared" si="4"/>
        <v>0.15290346530021681</v>
      </c>
    </row>
    <row r="53" spans="1:6">
      <c r="A53" s="66">
        <v>2.1</v>
      </c>
      <c r="B53" s="10">
        <f t="shared" si="0"/>
        <v>0.99486011286709508</v>
      </c>
      <c r="C53" s="10">
        <f t="shared" si="2"/>
        <v>0.91620307453315475</v>
      </c>
      <c r="D53" s="4">
        <f t="shared" si="1"/>
        <v>4.1853331121743047E-2</v>
      </c>
      <c r="E53" s="66">
        <f t="shared" si="3"/>
        <v>2</v>
      </c>
      <c r="F53" s="4">
        <f t="shared" si="4"/>
        <v>7.6298111533712715E-2</v>
      </c>
    </row>
    <row r="54" spans="1:6">
      <c r="A54" s="66">
        <v>2.15</v>
      </c>
      <c r="B54" s="10">
        <f t="shared" si="0"/>
        <v>0.99472895972036601</v>
      </c>
      <c r="C54" s="10">
        <f t="shared" si="2"/>
        <v>0.91428756797153421</v>
      </c>
      <c r="D54" s="4">
        <f t="shared" si="1"/>
        <v>4.1862251199547951E-2</v>
      </c>
      <c r="E54" s="66">
        <f t="shared" si="3"/>
        <v>4</v>
      </c>
      <c r="F54" s="4">
        <f t="shared" si="4"/>
        <v>0.15228956530948934</v>
      </c>
    </row>
    <row r="55" spans="1:6">
      <c r="A55" s="66">
        <v>2.2000000000000002</v>
      </c>
      <c r="B55" s="10">
        <f t="shared" si="0"/>
        <v>0.99459737951808236</v>
      </c>
      <c r="C55" s="10">
        <f t="shared" si="2"/>
        <v>0.91237565854888403</v>
      </c>
      <c r="D55" s="4">
        <f t="shared" si="1"/>
        <v>4.1871201504472599E-2</v>
      </c>
      <c r="E55" s="66">
        <f t="shared" si="3"/>
        <v>2</v>
      </c>
      <c r="F55" s="4">
        <f t="shared" si="4"/>
        <v>7.5991745414556625E-2</v>
      </c>
    </row>
    <row r="56" spans="1:6">
      <c r="A56" s="66">
        <v>2.25</v>
      </c>
      <c r="B56" s="10">
        <f t="shared" si="0"/>
        <v>0.99446537092875886</v>
      </c>
      <c r="C56" s="10">
        <f t="shared" si="2"/>
        <v>0.91046733907122757</v>
      </c>
      <c r="D56" s="4">
        <f t="shared" si="1"/>
        <v>4.188018213894646E-2</v>
      </c>
      <c r="E56" s="66">
        <f t="shared" si="3"/>
        <v>4</v>
      </c>
      <c r="F56" s="4">
        <f t="shared" si="4"/>
        <v>0.15167799843117238</v>
      </c>
    </row>
    <row r="57" spans="1:6">
      <c r="A57" s="66">
        <v>2.2999999999999998</v>
      </c>
      <c r="B57" s="10">
        <f t="shared" si="0"/>
        <v>0.99433293261716071</v>
      </c>
      <c r="C57" s="10">
        <f t="shared" si="2"/>
        <v>0.90856260235881658</v>
      </c>
      <c r="D57" s="4">
        <f t="shared" si="1"/>
        <v>4.1889193205746099E-2</v>
      </c>
      <c r="E57" s="66">
        <f t="shared" si="3"/>
        <v>2</v>
      </c>
      <c r="F57" s="4">
        <f t="shared" si="4"/>
        <v>7.5686543461353922E-2</v>
      </c>
    </row>
    <row r="58" spans="1:6">
      <c r="A58" s="66">
        <v>2.35</v>
      </c>
      <c r="B58" s="10">
        <f t="shared" si="0"/>
        <v>0.994200063244295</v>
      </c>
      <c r="C58" s="10">
        <f t="shared" si="2"/>
        <v>0.90666144124610371</v>
      </c>
      <c r="D58" s="4">
        <f t="shared" si="1"/>
        <v>4.189823480799635E-2</v>
      </c>
      <c r="E58" s="66">
        <f t="shared" si="3"/>
        <v>4</v>
      </c>
      <c r="F58" s="4">
        <f t="shared" si="4"/>
        <v>0.15106875511292162</v>
      </c>
    </row>
    <row r="59" spans="1:6">
      <c r="A59" s="66">
        <v>2.4</v>
      </c>
      <c r="B59" s="10">
        <f t="shared" si="0"/>
        <v>0.99406676146740325</v>
      </c>
      <c r="C59" s="10">
        <f t="shared" si="2"/>
        <v>0.90476384858171732</v>
      </c>
      <c r="D59" s="4">
        <f t="shared" si="1"/>
        <v>4.1907307049171498E-2</v>
      </c>
      <c r="E59" s="66">
        <f t="shared" si="3"/>
        <v>2</v>
      </c>
      <c r="F59" s="4">
        <f t="shared" si="4"/>
        <v>7.5382500906585978E-2</v>
      </c>
    </row>
    <row r="60" spans="1:6">
      <c r="A60" s="66">
        <v>2.4500000000000002</v>
      </c>
      <c r="B60" s="10">
        <f t="shared" si="0"/>
        <v>0.9939330259399537</v>
      </c>
      <c r="C60" s="10">
        <f t="shared" si="2"/>
        <v>0.90286981722843473</v>
      </c>
      <c r="D60" s="4">
        <f t="shared" si="1"/>
        <v>4.1916410033096485E-2</v>
      </c>
      <c r="E60" s="66">
        <f t="shared" si="3"/>
        <v>4</v>
      </c>
      <c r="F60" s="4">
        <f t="shared" si="4"/>
        <v>0.15046182583696874</v>
      </c>
    </row>
    <row r="61" spans="1:6">
      <c r="A61" s="66">
        <v>2.5</v>
      </c>
      <c r="B61" s="10">
        <f t="shared" si="0"/>
        <v>0.99379885531163359</v>
      </c>
      <c r="C61" s="10">
        <f t="shared" si="2"/>
        <v>0.90097934006315683</v>
      </c>
      <c r="D61" s="4">
        <f t="shared" si="1"/>
        <v>4.1925543863948048E-2</v>
      </c>
      <c r="E61" s="66">
        <f t="shared" si="3"/>
        <v>2</v>
      </c>
      <c r="F61" s="4">
        <f t="shared" si="4"/>
        <v>7.5079612999984294E-2</v>
      </c>
    </row>
    <row r="62" spans="1:6">
      <c r="A62" s="66">
        <v>2.5499999999999998</v>
      </c>
      <c r="B62" s="10">
        <f t="shared" si="0"/>
        <v>0.9936642482283411</v>
      </c>
      <c r="C62" s="10">
        <f t="shared" si="2"/>
        <v>0.89909240997688156</v>
      </c>
      <c r="D62" s="4">
        <f t="shared" si="1"/>
        <v>4.193470864625598E-2</v>
      </c>
      <c r="E62" s="66">
        <f t="shared" si="3"/>
        <v>4</v>
      </c>
      <c r="F62" s="4">
        <f t="shared" si="4"/>
        <v>0.14985720111997028</v>
      </c>
    </row>
    <row r="63" spans="1:6">
      <c r="A63" s="66">
        <v>2.6</v>
      </c>
      <c r="B63" s="10">
        <f t="shared" si="0"/>
        <v>0.99352920333217798</v>
      </c>
      <c r="C63" s="10">
        <f t="shared" si="2"/>
        <v>0.8972090198746786</v>
      </c>
      <c r="D63" s="4">
        <f t="shared" si="1"/>
        <v>4.1943904484904274E-2</v>
      </c>
      <c r="E63" s="66">
        <f t="shared" si="3"/>
        <v>2</v>
      </c>
      <c r="F63" s="4">
        <f t="shared" si="4"/>
        <v>7.4777875008455064E-2</v>
      </c>
    </row>
    <row r="64" spans="1:6">
      <c r="A64" s="66">
        <v>2.65</v>
      </c>
      <c r="B64" s="10">
        <f t="shared" si="0"/>
        <v>0.99339371926144171</v>
      </c>
      <c r="C64" s="10">
        <f t="shared" si="2"/>
        <v>0.8953291626756632</v>
      </c>
      <c r="D64" s="4">
        <f t="shared" si="1"/>
        <v>4.1953131485132335E-2</v>
      </c>
      <c r="E64" s="66">
        <f t="shared" si="3"/>
        <v>4</v>
      </c>
      <c r="F64" s="4">
        <f t="shared" si="4"/>
        <v>0.14925487151285705</v>
      </c>
    </row>
    <row r="65" spans="1:6">
      <c r="A65" s="66">
        <v>2.7</v>
      </c>
      <c r="B65" s="10">
        <f t="shared" si="0"/>
        <v>0.9932577946506177</v>
      </c>
      <c r="C65" s="10">
        <f t="shared" si="2"/>
        <v>0.8934528313129706</v>
      </c>
      <c r="D65" s="4">
        <f t="shared" si="1"/>
        <v>4.1962389752536189E-2</v>
      </c>
      <c r="E65" s="66">
        <f t="shared" si="3"/>
        <v>2</v>
      </c>
      <c r="F65" s="4">
        <f t="shared" si="4"/>
        <v>7.4477282216004068E-2</v>
      </c>
    </row>
    <row r="66" spans="1:6">
      <c r="A66" s="66">
        <v>2.75</v>
      </c>
      <c r="B66" s="10">
        <f t="shared" si="0"/>
        <v>0.9931214281303713</v>
      </c>
      <c r="C66" s="10">
        <f t="shared" si="2"/>
        <v>0.89158001873372994</v>
      </c>
      <c r="D66" s="4">
        <f t="shared" si="1"/>
        <v>4.1971679393069707E-2</v>
      </c>
      <c r="E66" s="66">
        <f t="shared" si="3"/>
        <v>4</v>
      </c>
      <c r="F66" s="4">
        <f t="shared" si="4"/>
        <v>0.1486548276006838</v>
      </c>
    </row>
    <row r="67" spans="1:6">
      <c r="A67" s="66">
        <v>2.8</v>
      </c>
      <c r="B67" s="10">
        <f t="shared" si="0"/>
        <v>0.99298461832754092</v>
      </c>
      <c r="C67" s="10">
        <f t="shared" si="2"/>
        <v>0.88971071789903955</v>
      </c>
      <c r="D67" s="4">
        <f t="shared" si="1"/>
        <v>4.198100051304577E-2</v>
      </c>
      <c r="E67" s="66">
        <f t="shared" si="3"/>
        <v>2</v>
      </c>
      <c r="F67" s="4">
        <f t="shared" si="4"/>
        <v>7.417782992366162E-2</v>
      </c>
    </row>
    <row r="68" spans="1:6">
      <c r="A68" s="66">
        <v>2.85</v>
      </c>
      <c r="B68" s="10">
        <f t="shared" si="0"/>
        <v>0.99284736386512928</v>
      </c>
      <c r="C68" s="10">
        <f t="shared" si="2"/>
        <v>0.88784492178394003</v>
      </c>
      <c r="D68" s="4">
        <f t="shared" si="1"/>
        <v>4.1990353219137556E-2</v>
      </c>
      <c r="E68" s="66">
        <f t="shared" si="3"/>
        <v>4</v>
      </c>
      <c r="F68" s="4">
        <f t="shared" si="4"/>
        <v>0.14805706000247976</v>
      </c>
    </row>
    <row r="69" spans="1:6">
      <c r="A69" s="66">
        <v>2.9</v>
      </c>
      <c r="B69" s="10">
        <f t="shared" si="0"/>
        <v>0.99270966336229649</v>
      </c>
      <c r="C69" s="10">
        <f t="shared" si="2"/>
        <v>0.8859826233773902</v>
      </c>
      <c r="D69" s="4">
        <f t="shared" si="1"/>
        <v>4.1999737618379704E-2</v>
      </c>
      <c r="E69" s="66">
        <f t="shared" si="3"/>
        <v>2</v>
      </c>
      <c r="F69" s="4">
        <f t="shared" si="4"/>
        <v>7.3879513449408088E-2</v>
      </c>
    </row>
    <row r="70" spans="1:6">
      <c r="A70" s="66">
        <v>2.95</v>
      </c>
      <c r="B70" s="10">
        <f t="shared" si="0"/>
        <v>0.99257151543435185</v>
      </c>
      <c r="C70" s="10">
        <f t="shared" si="2"/>
        <v>0.8841238156822403</v>
      </c>
      <c r="D70" s="4">
        <f t="shared" si="1"/>
        <v>4.200915381816954E-2</v>
      </c>
      <c r="E70" s="66">
        <f t="shared" si="3"/>
        <v>4</v>
      </c>
      <c r="F70" s="4">
        <f t="shared" si="4"/>
        <v>0.14746155937109998</v>
      </c>
    </row>
    <row r="71" spans="1:6">
      <c r="A71" s="66">
        <v>3</v>
      </c>
      <c r="B71" s="10">
        <f t="shared" si="0"/>
        <v>0.99243291869274652</v>
      </c>
      <c r="C71" s="10">
        <f t="shared" si="2"/>
        <v>0.8822684917152076</v>
      </c>
      <c r="D71" s="4">
        <f t="shared" si="1"/>
        <v>4.2018601926268342E-2</v>
      </c>
      <c r="E71" s="66">
        <f t="shared" si="3"/>
        <v>2</v>
      </c>
      <c r="F71" s="4">
        <f t="shared" si="4"/>
        <v>7.3582328128099478E-2</v>
      </c>
    </row>
    <row r="72" spans="1:6">
      <c r="A72" s="66">
        <v>3.05</v>
      </c>
      <c r="B72" s="10">
        <f t="shared" si="0"/>
        <v>0.99229387174506578</v>
      </c>
      <c r="C72" s="10">
        <f t="shared" si="2"/>
        <v>0.88041664450685042</v>
      </c>
      <c r="D72" s="4">
        <f t="shared" si="1"/>
        <v>4.2028082050802579E-2</v>
      </c>
      <c r="E72" s="66">
        <f t="shared" si="3"/>
        <v>4</v>
      </c>
      <c r="F72" s="4">
        <f t="shared" si="4"/>
        <v>0.14686831639307654</v>
      </c>
    </row>
    <row r="73" spans="1:6">
      <c r="A73" s="66">
        <v>3.1</v>
      </c>
      <c r="B73" s="10">
        <f t="shared" si="0"/>
        <v>0.99215437319502098</v>
      </c>
      <c r="C73" s="10">
        <f t="shared" si="2"/>
        <v>0.87856826710154323</v>
      </c>
      <c r="D73" s="4">
        <f t="shared" si="1"/>
        <v>4.2037594300265067E-2</v>
      </c>
      <c r="E73" s="66">
        <f t="shared" si="3"/>
        <v>2</v>
      </c>
      <c r="F73" s="4">
        <f t="shared" si="4"/>
        <v>7.3286269311393495E-2</v>
      </c>
    </row>
    <row r="74" spans="1:6">
      <c r="A74" s="66">
        <v>3.15</v>
      </c>
      <c r="B74" s="10">
        <f t="shared" si="0"/>
        <v>0.99201442164244247</v>
      </c>
      <c r="C74" s="10">
        <f t="shared" si="2"/>
        <v>0.87672335255745126</v>
      </c>
      <c r="D74" s="4">
        <f t="shared" si="1"/>
        <v>4.2047138783516305E-2</v>
      </c>
      <c r="E74" s="66">
        <f t="shared" si="3"/>
        <v>4</v>
      </c>
      <c r="F74" s="4">
        <f t="shared" si="4"/>
        <v>0.14627732178847114</v>
      </c>
    </row>
    <row r="75" spans="1:6">
      <c r="A75" s="66">
        <v>3.2</v>
      </c>
      <c r="B75" s="10">
        <f t="shared" ref="B75:B138" si="5">B$7^((B$4^B$6)*((B$4^A75)-1))</f>
        <v>0.99187401568327138</v>
      </c>
      <c r="C75" s="10">
        <f t="shared" si="2"/>
        <v>0.87488189394650528</v>
      </c>
      <c r="D75" s="4">
        <f t="shared" ref="D75:D138" si="6">B$5+B$3*(B$4^(B$6+A75))</f>
        <v>4.2056715609785682E-2</v>
      </c>
      <c r="E75" s="66">
        <f t="shared" si="3"/>
        <v>2</v>
      </c>
      <c r="F75" s="4">
        <f t="shared" si="4"/>
        <v>7.2991332367675729E-2</v>
      </c>
    </row>
    <row r="76" spans="1:6">
      <c r="A76" s="66">
        <v>3.25</v>
      </c>
      <c r="B76" s="10">
        <f t="shared" si="5"/>
        <v>0.99173315390955241</v>
      </c>
      <c r="C76" s="10">
        <f t="shared" ref="C76:C139" si="7">B76*EXP(-B$5*A76)</f>
        <v>0.87304388435437674</v>
      </c>
      <c r="D76" s="4">
        <f t="shared" si="6"/>
        <v>4.2066324888672714E-2</v>
      </c>
      <c r="E76" s="66">
        <f t="shared" si="3"/>
        <v>4</v>
      </c>
      <c r="F76" s="4">
        <f t="shared" si="4"/>
        <v>0.14568856631072774</v>
      </c>
    </row>
    <row r="77" spans="1:6">
      <c r="A77" s="66">
        <v>3.3</v>
      </c>
      <c r="B77" s="10">
        <f t="shared" si="5"/>
        <v>0.99159183490942593</v>
      </c>
      <c r="C77" s="10">
        <f t="shared" si="7"/>
        <v>0.87120931688045233</v>
      </c>
      <c r="D77" s="4">
        <f t="shared" si="6"/>
        <v>4.207596673014833E-2</v>
      </c>
      <c r="E77" s="66">
        <f t="shared" si="3"/>
        <v>2</v>
      </c>
      <c r="F77" s="4">
        <f t="shared" si="4"/>
        <v>7.2697512681986209E-2</v>
      </c>
    </row>
    <row r="78" spans="1:6">
      <c r="A78" s="66">
        <v>3.35</v>
      </c>
      <c r="B78" s="10">
        <f t="shared" si="5"/>
        <v>0.99145005726712054</v>
      </c>
      <c r="C78" s="10">
        <f t="shared" si="7"/>
        <v>0.86937818463780947</v>
      </c>
      <c r="D78" s="4">
        <f t="shared" si="6"/>
        <v>4.2085641244556098E-2</v>
      </c>
      <c r="E78" s="66">
        <f t="shared" ref="E78:E141" si="8">IF(E77=4,2,4)</f>
        <v>4</v>
      </c>
      <c r="F78" s="4">
        <f t="shared" ref="F78:F141" si="9">B78*C78*D78*E78</f>
        <v>0.14510204074652611</v>
      </c>
    </row>
    <row r="79" spans="1:6">
      <c r="A79" s="66">
        <v>3.4</v>
      </c>
      <c r="B79" s="10">
        <f t="shared" si="5"/>
        <v>0.99130781956294511</v>
      </c>
      <c r="C79" s="10">
        <f t="shared" si="7"/>
        <v>0.86755048075319063</v>
      </c>
      <c r="D79" s="4">
        <f t="shared" si="6"/>
        <v>4.2095348542613507E-2</v>
      </c>
      <c r="E79" s="66">
        <f t="shared" si="8"/>
        <v>2</v>
      </c>
      <c r="F79" s="4">
        <f t="shared" si="9"/>
        <v>7.2404805655946342E-2</v>
      </c>
    </row>
    <row r="80" spans="1:6">
      <c r="A80" s="66">
        <v>3.45</v>
      </c>
      <c r="B80" s="10">
        <f t="shared" si="5"/>
        <v>0.99116512037328164</v>
      </c>
      <c r="C80" s="10">
        <f t="shared" si="7"/>
        <v>0.86572619836697973</v>
      </c>
      <c r="D80" s="4">
        <f t="shared" si="6"/>
        <v>4.2105088735413236E-2</v>
      </c>
      <c r="E80" s="66">
        <f t="shared" si="8"/>
        <v>4</v>
      </c>
      <c r="F80" s="4">
        <f t="shared" si="9"/>
        <v>0.14451773591563544</v>
      </c>
    </row>
    <row r="81" spans="1:6">
      <c r="A81" s="66">
        <v>3.5</v>
      </c>
      <c r="B81" s="10">
        <f t="shared" si="5"/>
        <v>0.99102195827057737</v>
      </c>
      <c r="C81" s="10">
        <f t="shared" si="7"/>
        <v>0.86390533063317598</v>
      </c>
      <c r="D81" s="4">
        <f t="shared" si="6"/>
        <v>4.2114861934424416E-2</v>
      </c>
      <c r="E81" s="66">
        <f t="shared" si="8"/>
        <v>2</v>
      </c>
      <c r="F81" s="4">
        <f t="shared" si="9"/>
        <v>7.2113206707685951E-2</v>
      </c>
    </row>
    <row r="82" spans="1:6">
      <c r="A82" s="66">
        <v>3.55</v>
      </c>
      <c r="B82" s="10">
        <f t="shared" si="5"/>
        <v>0.99087833182333696</v>
      </c>
      <c r="C82" s="10">
        <f t="shared" si="7"/>
        <v>0.86208787071936954</v>
      </c>
      <c r="D82" s="4">
        <f t="shared" si="6"/>
        <v>4.2124668251493899E-2</v>
      </c>
      <c r="E82" s="66">
        <f t="shared" si="8"/>
        <v>4</v>
      </c>
      <c r="F82" s="4">
        <f t="shared" si="9"/>
        <v>0.14393564267076947</v>
      </c>
    </row>
    <row r="83" spans="1:6">
      <c r="A83" s="66">
        <v>3.6</v>
      </c>
      <c r="B83" s="10">
        <f t="shared" si="5"/>
        <v>0.99073423959611573</v>
      </c>
      <c r="C83" s="10">
        <f t="shared" si="7"/>
        <v>0.86027381180671769</v>
      </c>
      <c r="D83" s="4">
        <f t="shared" si="6"/>
        <v>4.2134507798847573E-2</v>
      </c>
      <c r="E83" s="66">
        <f t="shared" si="8"/>
        <v>2</v>
      </c>
      <c r="F83" s="4">
        <f t="shared" si="9"/>
        <v>7.1822711271770673E-2</v>
      </c>
    </row>
    <row r="84" spans="1:6">
      <c r="A84" s="66">
        <v>3.65</v>
      </c>
      <c r="B84" s="10">
        <f t="shared" si="5"/>
        <v>0.99058968014951099</v>
      </c>
      <c r="C84" s="10">
        <f t="shared" si="7"/>
        <v>0.85846314708991889</v>
      </c>
      <c r="D84" s="4">
        <f t="shared" si="6"/>
        <v>4.2144380689091598E-2</v>
      </c>
      <c r="E84" s="66">
        <f t="shared" si="8"/>
        <v>4</v>
      </c>
      <c r="F84" s="4">
        <f t="shared" si="9"/>
        <v>0.14335575189744132</v>
      </c>
    </row>
    <row r="85" spans="1:6">
      <c r="A85" s="66">
        <v>3.7</v>
      </c>
      <c r="B85" s="10">
        <f t="shared" si="5"/>
        <v>0.99044465204015542</v>
      </c>
      <c r="C85" s="10">
        <f t="shared" si="7"/>
        <v>0.85665586977718877</v>
      </c>
      <c r="D85" s="4">
        <f t="shared" si="6"/>
        <v>4.2154287035213726E-2</v>
      </c>
      <c r="E85" s="66">
        <f t="shared" si="8"/>
        <v>2</v>
      </c>
      <c r="F85" s="4">
        <f t="shared" si="9"/>
        <v>7.1533314799129888E-2</v>
      </c>
    </row>
    <row r="86" spans="1:6">
      <c r="A86" s="66">
        <v>3.75</v>
      </c>
      <c r="B86" s="10">
        <f t="shared" si="5"/>
        <v>0.99029915382070888</v>
      </c>
      <c r="C86" s="10">
        <f t="shared" si="7"/>
        <v>0.85485197309023586</v>
      </c>
      <c r="D86" s="4">
        <f t="shared" si="6"/>
        <v>4.2164226950584582E-2</v>
      </c>
      <c r="E86" s="66">
        <f t="shared" si="8"/>
        <v>4</v>
      </c>
      <c r="F86" s="4">
        <f t="shared" si="9"/>
        <v>0.142778054513819</v>
      </c>
    </row>
    <row r="87" spans="1:6">
      <c r="A87" s="66">
        <v>3.8</v>
      </c>
      <c r="B87" s="10">
        <f t="shared" si="5"/>
        <v>0.99015318403985131</v>
      </c>
      <c r="C87" s="10">
        <f t="shared" si="7"/>
        <v>0.85305145026423679</v>
      </c>
      <c r="D87" s="4">
        <f t="shared" si="6"/>
        <v>4.2174200548958977E-2</v>
      </c>
      <c r="E87" s="66">
        <f t="shared" si="8"/>
        <v>2</v>
      </c>
      <c r="F87" s="4">
        <f t="shared" si="9"/>
        <v>7.124501275698443E-2</v>
      </c>
    </row>
    <row r="88" spans="1:6">
      <c r="A88" s="66">
        <v>3.85</v>
      </c>
      <c r="B88" s="10">
        <f t="shared" si="5"/>
        <v>0.99000674124227495</v>
      </c>
      <c r="C88" s="10">
        <f t="shared" si="7"/>
        <v>0.85125429454781176</v>
      </c>
      <c r="D88" s="4">
        <f t="shared" si="6"/>
        <v>4.2184207944477192E-2</v>
      </c>
      <c r="E88" s="66">
        <f t="shared" si="8"/>
        <v>4</v>
      </c>
      <c r="F88" s="4">
        <f t="shared" si="9"/>
        <v>0.14220254147058217</v>
      </c>
    </row>
    <row r="89" spans="1:6">
      <c r="A89" s="66">
        <v>3.9</v>
      </c>
      <c r="B89" s="10">
        <f t="shared" si="5"/>
        <v>0.98985982396867689</v>
      </c>
      <c r="C89" s="10">
        <f t="shared" si="7"/>
        <v>0.84946049920300071</v>
      </c>
      <c r="D89" s="4">
        <f t="shared" si="6"/>
        <v>4.2194249251666281E-2</v>
      </c>
      <c r="E89" s="66">
        <f t="shared" si="8"/>
        <v>2</v>
      </c>
      <c r="F89" s="4">
        <f t="shared" si="9"/>
        <v>7.0957800628775144E-2</v>
      </c>
    </row>
    <row r="90" spans="1:6">
      <c r="A90" s="66">
        <v>3.95</v>
      </c>
      <c r="B90" s="10">
        <f t="shared" si="5"/>
        <v>0.98971243075575166</v>
      </c>
      <c r="C90" s="10">
        <f t="shared" si="7"/>
        <v>0.84767005750523861</v>
      </c>
      <c r="D90" s="4">
        <f t="shared" si="6"/>
        <v>4.2204324585441405E-2</v>
      </c>
      <c r="E90" s="66">
        <f t="shared" si="8"/>
        <v>4</v>
      </c>
      <c r="F90" s="4">
        <f t="shared" si="9"/>
        <v>0.14162920375077875</v>
      </c>
    </row>
    <row r="91" spans="1:6">
      <c r="A91" s="66">
        <v>4</v>
      </c>
      <c r="B91" s="10">
        <f t="shared" si="5"/>
        <v>0.98956456013618355</v>
      </c>
      <c r="C91" s="10">
        <f t="shared" si="7"/>
        <v>0.84588296274333097</v>
      </c>
      <c r="D91" s="4">
        <f t="shared" si="6"/>
        <v>4.2214434061107128E-2</v>
      </c>
      <c r="E91" s="66">
        <f t="shared" si="8"/>
        <v>2</v>
      </c>
      <c r="F91" s="4">
        <f t="shared" si="9"/>
        <v>7.0671673914091335E-2</v>
      </c>
    </row>
    <row r="92" spans="1:6">
      <c r="A92" s="66">
        <v>4.05</v>
      </c>
      <c r="B92" s="10">
        <f t="shared" si="5"/>
        <v>0.98941621063863927</v>
      </c>
      <c r="C92" s="10">
        <f t="shared" si="7"/>
        <v>0.84409920821943052</v>
      </c>
      <c r="D92" s="4">
        <f t="shared" si="6"/>
        <v>4.2224577794358759E-2</v>
      </c>
      <c r="E92" s="66">
        <f t="shared" si="8"/>
        <v>4</v>
      </c>
      <c r="F92" s="4">
        <f t="shared" si="9"/>
        <v>0.14105803236968256</v>
      </c>
    </row>
    <row r="93" spans="1:6">
      <c r="A93" s="66">
        <v>4.0999999999999996</v>
      </c>
      <c r="B93" s="10">
        <f t="shared" si="5"/>
        <v>0.98926738078776055</v>
      </c>
      <c r="C93" s="10">
        <f t="shared" si="7"/>
        <v>0.84231878724901221</v>
      </c>
      <c r="D93" s="4">
        <f t="shared" si="6"/>
        <v>4.2234755901283616E-2</v>
      </c>
      <c r="E93" s="66">
        <f t="shared" si="8"/>
        <v>2</v>
      </c>
      <c r="F93" s="4">
        <f t="shared" si="9"/>
        <v>7.0386628128599749E-2</v>
      </c>
    </row>
    <row r="94" spans="1:6">
      <c r="A94" s="66">
        <v>4.1500000000000004</v>
      </c>
      <c r="B94" s="10">
        <f t="shared" si="5"/>
        <v>0.98911806910415645</v>
      </c>
      <c r="C94" s="10">
        <f t="shared" si="7"/>
        <v>0.84054169316084959</v>
      </c>
      <c r="D94" s="4">
        <f t="shared" si="6"/>
        <v>4.2244968498362449E-2</v>
      </c>
      <c r="E94" s="66">
        <f t="shared" si="8"/>
        <v>4</v>
      </c>
      <c r="F94" s="4">
        <f t="shared" si="9"/>
        <v>0.14048901837465116</v>
      </c>
    </row>
    <row r="95" spans="1:6">
      <c r="A95" s="66">
        <v>4.2</v>
      </c>
      <c r="B95" s="10">
        <f t="shared" si="5"/>
        <v>0.98896827410439636</v>
      </c>
      <c r="C95" s="10">
        <f t="shared" si="7"/>
        <v>0.8387679192969909</v>
      </c>
      <c r="D95" s="4">
        <f t="shared" si="6"/>
        <v>4.2255215702470678E-2</v>
      </c>
      <c r="E95" s="66">
        <f t="shared" si="8"/>
        <v>2</v>
      </c>
      <c r="F95" s="4">
        <f t="shared" si="9"/>
        <v>7.0102658803973622E-2</v>
      </c>
    </row>
    <row r="96" spans="1:6">
      <c r="A96" s="66">
        <v>4.25</v>
      </c>
      <c r="B96" s="10">
        <f t="shared" si="5"/>
        <v>0.98881799430100181</v>
      </c>
      <c r="C96" s="10">
        <f t="shared" si="7"/>
        <v>0.83699745901273448</v>
      </c>
      <c r="D96" s="4">
        <f t="shared" si="6"/>
        <v>4.2265497630879806E-2</v>
      </c>
      <c r="E96" s="66">
        <f t="shared" si="8"/>
        <v>4</v>
      </c>
      <c r="F96" s="4">
        <f t="shared" si="9"/>
        <v>0.13992215284498485</v>
      </c>
    </row>
    <row r="97" spans="1:6">
      <c r="A97" s="66">
        <v>4.3</v>
      </c>
      <c r="B97" s="10">
        <f t="shared" si="5"/>
        <v>0.98866722820244002</v>
      </c>
      <c r="C97" s="10">
        <f t="shared" si="7"/>
        <v>0.83523030567660583</v>
      </c>
      <c r="D97" s="4">
        <f t="shared" si="6"/>
        <v>4.2275814401258709E-2</v>
      </c>
      <c r="E97" s="66">
        <f t="shared" si="8"/>
        <v>2</v>
      </c>
      <c r="F97" s="4">
        <f t="shared" si="9"/>
        <v>6.9819761487822263E-2</v>
      </c>
    </row>
    <row r="98" spans="1:6">
      <c r="A98" s="66">
        <v>4.3499999999999996</v>
      </c>
      <c r="B98" s="10">
        <f t="shared" si="5"/>
        <v>0.98851597431311578</v>
      </c>
      <c r="C98" s="10">
        <f t="shared" si="7"/>
        <v>0.83346645267033292</v>
      </c>
      <c r="D98" s="4">
        <f t="shared" si="6"/>
        <v>4.2286166131675025E-2</v>
      </c>
      <c r="E98" s="66">
        <f t="shared" si="8"/>
        <v>4</v>
      </c>
      <c r="F98" s="4">
        <f t="shared" si="9"/>
        <v>0.13935742689178557</v>
      </c>
    </row>
    <row r="99" spans="1:6">
      <c r="A99" s="66">
        <v>4.4000000000000004</v>
      </c>
      <c r="B99" s="10">
        <f t="shared" si="5"/>
        <v>0.98836423113336436</v>
      </c>
      <c r="C99" s="10">
        <f t="shared" si="7"/>
        <v>0.83170589338882284</v>
      </c>
      <c r="D99" s="4">
        <f t="shared" si="6"/>
        <v>4.2296552940596449E-2</v>
      </c>
      <c r="E99" s="66">
        <f t="shared" si="8"/>
        <v>2</v>
      </c>
      <c r="F99" s="4">
        <f t="shared" si="9"/>
        <v>6.9537931743620843E-2</v>
      </c>
    </row>
    <row r="100" spans="1:6">
      <c r="A100" s="66">
        <v>4.45</v>
      </c>
      <c r="B100" s="10">
        <f t="shared" si="5"/>
        <v>0.98821199715944408</v>
      </c>
      <c r="C100" s="10">
        <f t="shared" si="7"/>
        <v>0.82994862124013791</v>
      </c>
      <c r="D100" s="4">
        <f t="shared" si="6"/>
        <v>4.2306974946892166E-2</v>
      </c>
      <c r="E100" s="66">
        <f t="shared" si="8"/>
        <v>4</v>
      </c>
      <c r="F100" s="4">
        <f t="shared" si="9"/>
        <v>0.13879483165781684</v>
      </c>
    </row>
    <row r="101" spans="1:6">
      <c r="A101" s="66">
        <v>4.5</v>
      </c>
      <c r="B101" s="10">
        <f t="shared" si="5"/>
        <v>0.98805927088352907</v>
      </c>
      <c r="C101" s="10">
        <f t="shared" si="7"/>
        <v>0.8281946296454723</v>
      </c>
      <c r="D101" s="4">
        <f t="shared" si="6"/>
        <v>4.2317432269834122E-2</v>
      </c>
      <c r="E101" s="66">
        <f t="shared" si="8"/>
        <v>2</v>
      </c>
      <c r="F101" s="4">
        <f t="shared" si="9"/>
        <v>6.9257165150640301E-2</v>
      </c>
    </row>
    <row r="102" spans="1:6">
      <c r="A102" s="66">
        <v>4.55</v>
      </c>
      <c r="B102" s="10">
        <f t="shared" si="5"/>
        <v>0.98790605079370164</v>
      </c>
      <c r="C102" s="10">
        <f t="shared" si="7"/>
        <v>0.82644391203912793</v>
      </c>
      <c r="D102" s="4">
        <f t="shared" si="6"/>
        <v>4.2327925029098476E-2</v>
      </c>
      <c r="E102" s="66">
        <f t="shared" si="8"/>
        <v>4</v>
      </c>
      <c r="F102" s="4">
        <f t="shared" si="9"/>
        <v>0.13823435831736414</v>
      </c>
    </row>
    <row r="103" spans="1:6">
      <c r="A103" s="66">
        <v>4.5999999999999996</v>
      </c>
      <c r="B103" s="10">
        <f t="shared" si="5"/>
        <v>0.98775233537394547</v>
      </c>
      <c r="C103" s="10">
        <f t="shared" si="7"/>
        <v>0.82469646186849144</v>
      </c>
      <c r="D103" s="4">
        <f t="shared" si="6"/>
        <v>4.2338453344766908E-2</v>
      </c>
      <c r="E103" s="66">
        <f t="shared" si="8"/>
        <v>2</v>
      </c>
      <c r="F103" s="4">
        <f t="shared" si="9"/>
        <v>6.8977457303877832E-2</v>
      </c>
    </row>
    <row r="104" spans="1:6">
      <c r="A104" s="66">
        <v>4.6500000000000004</v>
      </c>
      <c r="B104" s="10">
        <f t="shared" si="5"/>
        <v>0.98759812310413775</v>
      </c>
      <c r="C104" s="10">
        <f t="shared" si="7"/>
        <v>0.82295227259401027</v>
      </c>
      <c r="D104" s="4">
        <f t="shared" si="6"/>
        <v>4.2349017337328008E-2</v>
      </c>
      <c r="E104" s="66">
        <f t="shared" si="8"/>
        <v>4</v>
      </c>
      <c r="F104" s="4">
        <f t="shared" si="9"/>
        <v>0.1376759980760961</v>
      </c>
    </row>
    <row r="105" spans="1:6">
      <c r="A105" s="66">
        <v>4.7</v>
      </c>
      <c r="B105" s="10">
        <f t="shared" si="5"/>
        <v>0.98744341246004219</v>
      </c>
      <c r="C105" s="10">
        <f t="shared" si="7"/>
        <v>0.82121133768916932</v>
      </c>
      <c r="D105" s="4">
        <f t="shared" si="6"/>
        <v>4.2359617127678689E-2</v>
      </c>
      <c r="E105" s="66">
        <f t="shared" si="8"/>
        <v>2</v>
      </c>
      <c r="F105" s="4">
        <f t="shared" si="9"/>
        <v>6.8698803813987463E-2</v>
      </c>
    </row>
    <row r="106" spans="1:6">
      <c r="A106" s="66">
        <v>4.75</v>
      </c>
      <c r="B106" s="10">
        <f t="shared" si="5"/>
        <v>0.9872882019133018</v>
      </c>
      <c r="C106" s="10">
        <f t="shared" si="7"/>
        <v>0.81947365064046773</v>
      </c>
      <c r="D106" s="4">
        <f t="shared" si="6"/>
        <v>4.2370252837125505E-2</v>
      </c>
      <c r="E106" s="66">
        <f t="shared" si="8"/>
        <v>4</v>
      </c>
      <c r="F106" s="4">
        <f t="shared" si="9"/>
        <v>0.13711974217092571</v>
      </c>
    </row>
    <row r="107" spans="1:6">
      <c r="A107" s="66">
        <v>4.8</v>
      </c>
      <c r="B107" s="10">
        <f t="shared" si="5"/>
        <v>0.98713248993143143</v>
      </c>
      <c r="C107" s="10">
        <f t="shared" si="7"/>
        <v>0.81773920494739549</v>
      </c>
      <c r="D107" s="4">
        <f t="shared" si="6"/>
        <v>4.2380924587386105E-2</v>
      </c>
      <c r="E107" s="66">
        <f t="shared" si="8"/>
        <v>2</v>
      </c>
      <c r="F107" s="4">
        <f t="shared" si="9"/>
        <v>6.842120030721098E-2</v>
      </c>
    </row>
    <row r="108" spans="1:6">
      <c r="A108" s="66">
        <v>4.8499999999999996</v>
      </c>
      <c r="B108" s="10">
        <f t="shared" si="5"/>
        <v>0.98697627497781082</v>
      </c>
      <c r="C108" s="10">
        <f t="shared" si="7"/>
        <v>0.8160079941224101</v>
      </c>
      <c r="D108" s="4">
        <f t="shared" si="6"/>
        <v>4.2391632500590595E-2</v>
      </c>
      <c r="E108" s="66">
        <f t="shared" si="8"/>
        <v>4</v>
      </c>
      <c r="F108" s="4">
        <f t="shared" si="9"/>
        <v>0.13656558186987278</v>
      </c>
    </row>
    <row r="109" spans="1:6">
      <c r="A109" s="66">
        <v>4.9000000000000004</v>
      </c>
      <c r="B109" s="10">
        <f t="shared" si="5"/>
        <v>0.98681955551167699</v>
      </c>
      <c r="C109" s="10">
        <f t="shared" si="7"/>
        <v>0.81428001169091302</v>
      </c>
      <c r="D109" s="4">
        <f t="shared" si="6"/>
        <v>4.2402376699282922E-2</v>
      </c>
      <c r="E109" s="66">
        <f t="shared" si="8"/>
        <v>2</v>
      </c>
      <c r="F109" s="4">
        <f t="shared" si="9"/>
        <v>6.8144642425309251E-2</v>
      </c>
    </row>
    <row r="110" spans="1:6">
      <c r="A110" s="66">
        <v>4.95</v>
      </c>
      <c r="B110" s="10">
        <f t="shared" si="5"/>
        <v>0.98666232998811743</v>
      </c>
      <c r="C110" s="10">
        <f t="shared" si="7"/>
        <v>0.81255525119122729</v>
      </c>
      <c r="D110" s="4">
        <f t="shared" si="6"/>
        <v>4.2413157306422304E-2</v>
      </c>
      <c r="E110" s="66">
        <f t="shared" si="8"/>
        <v>4</v>
      </c>
      <c r="F110" s="4">
        <f t="shared" si="9"/>
        <v>0.13601350847192653</v>
      </c>
    </row>
    <row r="111" spans="1:6">
      <c r="A111" s="66">
        <v>5</v>
      </c>
      <c r="B111" s="10">
        <f t="shared" si="5"/>
        <v>0.98650459685806269</v>
      </c>
      <c r="C111" s="10">
        <f t="shared" si="7"/>
        <v>0.81083370617457406</v>
      </c>
      <c r="D111" s="4">
        <f t="shared" si="6"/>
        <v>4.2423974445384628E-2</v>
      </c>
      <c r="E111" s="66">
        <f t="shared" si="8"/>
        <v>2</v>
      </c>
      <c r="F111" s="4">
        <f t="shared" si="9"/>
        <v>6.7869125825493579E-2</v>
      </c>
    </row>
    <row r="112" spans="1:6">
      <c r="A112" s="66">
        <v>5.05</v>
      </c>
      <c r="B112" s="10">
        <f t="shared" si="5"/>
        <v>0.98634635456827913</v>
      </c>
      <c r="C112" s="10">
        <f t="shared" si="7"/>
        <v>0.80911537020504887</v>
      </c>
      <c r="D112" s="4">
        <f t="shared" si="6"/>
        <v>4.2434828239963869E-2</v>
      </c>
      <c r="E112" s="66">
        <f t="shared" si="8"/>
        <v>4</v>
      </c>
      <c r="F112" s="4">
        <f t="shared" si="9"/>
        <v>0.13546351330690912</v>
      </c>
    </row>
    <row r="113" spans="1:6">
      <c r="A113" s="66">
        <v>5.0999999999999996</v>
      </c>
      <c r="B113" s="10">
        <f t="shared" si="5"/>
        <v>0.9861876015613622</v>
      </c>
      <c r="C113" s="10">
        <f t="shared" si="7"/>
        <v>0.80740023685959983</v>
      </c>
      <c r="D113" s="4">
        <f t="shared" si="6"/>
        <v>4.2445718814373472E-2</v>
      </c>
      <c r="E113" s="66">
        <f t="shared" si="8"/>
        <v>2</v>
      </c>
      <c r="F113" s="4">
        <f t="shared" si="9"/>
        <v>6.7594646180357723E-2</v>
      </c>
    </row>
    <row r="114" spans="1:6">
      <c r="A114" s="66">
        <v>5.15</v>
      </c>
      <c r="B114" s="10">
        <f t="shared" si="5"/>
        <v>0.98602833627572872</v>
      </c>
      <c r="C114" s="10">
        <f t="shared" si="7"/>
        <v>0.8056882997280036</v>
      </c>
      <c r="D114" s="4">
        <f t="shared" si="6"/>
        <v>4.2456646293247816E-2</v>
      </c>
      <c r="E114" s="66">
        <f t="shared" si="8"/>
        <v>4</v>
      </c>
      <c r="F114" s="4">
        <f t="shared" si="9"/>
        <v>0.13491558773533927</v>
      </c>
    </row>
    <row r="115" spans="1:6">
      <c r="A115" s="66">
        <v>5.2</v>
      </c>
      <c r="B115" s="10">
        <f t="shared" si="5"/>
        <v>0.98586855714561028</v>
      </c>
      <c r="C115" s="10">
        <f t="shared" si="7"/>
        <v>0.80397955241284358</v>
      </c>
      <c r="D115" s="4">
        <f t="shared" si="6"/>
        <v>4.2467610801643629E-2</v>
      </c>
      <c r="E115" s="66">
        <f t="shared" si="8"/>
        <v>2</v>
      </c>
      <c r="F115" s="4">
        <f t="shared" si="9"/>
        <v>6.7321199177809821E-2</v>
      </c>
    </row>
    <row r="116" spans="1:6">
      <c r="A116" s="66">
        <v>5.25</v>
      </c>
      <c r="B116" s="10">
        <f t="shared" si="5"/>
        <v>0.98570826260104594</v>
      </c>
      <c r="C116" s="10">
        <f t="shared" si="7"/>
        <v>0.80227398852948595</v>
      </c>
      <c r="D116" s="4">
        <f t="shared" si="6"/>
        <v>4.2478612465041393E-2</v>
      </c>
      <c r="E116" s="66">
        <f t="shared" si="8"/>
        <v>4</v>
      </c>
      <c r="F116" s="4">
        <f t="shared" si="9"/>
        <v>0.13436972314829712</v>
      </c>
    </row>
    <row r="117" spans="1:6">
      <c r="A117" s="66">
        <v>5.3</v>
      </c>
      <c r="B117" s="10">
        <f t="shared" si="5"/>
        <v>0.98554745106787511</v>
      </c>
      <c r="C117" s="10">
        <f t="shared" si="7"/>
        <v>0.80057160170605768</v>
      </c>
      <c r="D117" s="4">
        <f t="shared" si="6"/>
        <v>4.2489651409346824E-2</v>
      </c>
      <c r="E117" s="66">
        <f t="shared" si="8"/>
        <v>2</v>
      </c>
      <c r="F117" s="4">
        <f t="shared" si="9"/>
        <v>6.7048780521004922E-2</v>
      </c>
    </row>
    <row r="118" spans="1:6">
      <c r="A118" s="66">
        <v>5.35</v>
      </c>
      <c r="B118" s="10">
        <f t="shared" si="5"/>
        <v>0.98538612096773059</v>
      </c>
      <c r="C118" s="10">
        <f t="shared" si="7"/>
        <v>0.79887238558342355</v>
      </c>
      <c r="D118" s="4">
        <f t="shared" si="6"/>
        <v>4.2500727760892275E-2</v>
      </c>
      <c r="E118" s="66">
        <f t="shared" si="8"/>
        <v>4</v>
      </c>
      <c r="F118" s="4">
        <f t="shared" si="9"/>
        <v>0.13382591096728905</v>
      </c>
    </row>
    <row r="119" spans="1:6">
      <c r="A119" s="66">
        <v>5.4</v>
      </c>
      <c r="B119" s="10">
        <f t="shared" si="5"/>
        <v>0.98522427071803165</v>
      </c>
      <c r="C119" s="10">
        <f t="shared" si="7"/>
        <v>0.79717633381516362</v>
      </c>
      <c r="D119" s="4">
        <f t="shared" si="6"/>
        <v>4.2511841646438203E-2</v>
      </c>
      <c r="E119" s="66">
        <f t="shared" si="8"/>
        <v>2</v>
      </c>
      <c r="F119" s="4">
        <f t="shared" si="9"/>
        <v>6.6777385928277616E-2</v>
      </c>
    </row>
    <row r="120" spans="1:6">
      <c r="A120" s="66">
        <v>5.45</v>
      </c>
      <c r="B120" s="10">
        <f t="shared" si="5"/>
        <v>0.98506189873197658</v>
      </c>
      <c r="C120" s="10">
        <f t="shared" si="7"/>
        <v>0.79548344006755045</v>
      </c>
      <c r="D120" s="4">
        <f t="shared" si="6"/>
        <v>4.2522993193174617E-2</v>
      </c>
      <c r="E120" s="66">
        <f t="shared" si="8"/>
        <v>4</v>
      </c>
      <c r="F120" s="4">
        <f t="shared" si="9"/>
        <v>0.13328414264411365</v>
      </c>
    </row>
    <row r="121" spans="1:6">
      <c r="A121" s="66">
        <v>5.5</v>
      </c>
      <c r="B121" s="10">
        <f t="shared" si="5"/>
        <v>0.98489900341853642</v>
      </c>
      <c r="C121" s="10">
        <f t="shared" si="7"/>
        <v>0.79379369801952637</v>
      </c>
      <c r="D121" s="4">
        <f t="shared" si="6"/>
        <v>4.2534182528722514E-2</v>
      </c>
      <c r="E121" s="66">
        <f t="shared" si="8"/>
        <v>2</v>
      </c>
      <c r="F121" s="4">
        <f t="shared" si="9"/>
        <v>6.6507011133075153E-2</v>
      </c>
    </row>
    <row r="122" spans="1:6">
      <c r="A122" s="66">
        <v>5.55</v>
      </c>
      <c r="B122" s="10">
        <f t="shared" si="5"/>
        <v>0.98473558318244725</v>
      </c>
      <c r="C122" s="10">
        <f t="shared" si="7"/>
        <v>0.79210710136268159</v>
      </c>
      <c r="D122" s="4">
        <f t="shared" si="6"/>
        <v>4.2545409781135371E-2</v>
      </c>
      <c r="E122" s="66">
        <f t="shared" si="8"/>
        <v>4</v>
      </c>
      <c r="F122" s="4">
        <f t="shared" si="9"/>
        <v>0.13274440966072779</v>
      </c>
    </row>
    <row r="123" spans="1:6">
      <c r="A123" s="66">
        <v>5.6</v>
      </c>
      <c r="B123" s="10">
        <f t="shared" si="5"/>
        <v>0.98457163642420398</v>
      </c>
      <c r="C123" s="10">
        <f t="shared" si="7"/>
        <v>0.79042364380123109</v>
      </c>
      <c r="D123" s="4">
        <f t="shared" si="6"/>
        <v>4.255667507890059E-2</v>
      </c>
      <c r="E123" s="66">
        <f t="shared" si="8"/>
        <v>2</v>
      </c>
      <c r="F123" s="4">
        <f t="shared" si="9"/>
        <v>6.6237651883890553E-2</v>
      </c>
    </row>
    <row r="124" spans="1:6">
      <c r="A124" s="66">
        <v>5.65</v>
      </c>
      <c r="B124" s="10">
        <f t="shared" si="5"/>
        <v>0.9844071615400527</v>
      </c>
      <c r="C124" s="10">
        <f t="shared" si="7"/>
        <v>0.7887433190519928</v>
      </c>
      <c r="D124" s="4">
        <f t="shared" si="6"/>
        <v>4.2567978550940973E-2</v>
      </c>
      <c r="E124" s="66">
        <f t="shared" si="8"/>
        <v>4</v>
      </c>
      <c r="F124" s="4">
        <f t="shared" si="9"/>
        <v>0.13220670352911362</v>
      </c>
    </row>
    <row r="125" spans="1:6">
      <c r="A125" s="66">
        <v>5.7</v>
      </c>
      <c r="B125" s="10">
        <f t="shared" si="5"/>
        <v>0.98424215692198436</v>
      </c>
      <c r="C125" s="10">
        <f t="shared" si="7"/>
        <v>0.78706612084436467</v>
      </c>
      <c r="D125" s="4">
        <f t="shared" si="6"/>
        <v>4.2579320326616196E-2</v>
      </c>
      <c r="E125" s="66">
        <f t="shared" si="8"/>
        <v>2</v>
      </c>
      <c r="F125" s="4">
        <f t="shared" si="9"/>
        <v>6.5969303944196395E-2</v>
      </c>
    </row>
    <row r="126" spans="1:6">
      <c r="A126" s="66">
        <v>5.75</v>
      </c>
      <c r="B126" s="10">
        <f t="shared" si="5"/>
        <v>0.98407662095772752</v>
      </c>
      <c r="C126" s="10">
        <f t="shared" si="7"/>
        <v>0.78539204292030296</v>
      </c>
      <c r="D126" s="4">
        <f t="shared" si="6"/>
        <v>4.2590700535724287E-2</v>
      </c>
      <c r="E126" s="66">
        <f t="shared" si="8"/>
        <v>4</v>
      </c>
      <c r="F126" s="4">
        <f t="shared" si="9"/>
        <v>0.1316710157911461</v>
      </c>
    </row>
    <row r="127" spans="1:6">
      <c r="A127" s="66">
        <v>5.8</v>
      </c>
      <c r="B127" s="10">
        <f t="shared" si="5"/>
        <v>0.98391055203074185</v>
      </c>
      <c r="C127" s="10">
        <f t="shared" si="7"/>
        <v>0.78372107903429988</v>
      </c>
      <c r="D127" s="4">
        <f t="shared" si="6"/>
        <v>4.2602119308503134E-2</v>
      </c>
      <c r="E127" s="66">
        <f t="shared" si="8"/>
        <v>2</v>
      </c>
      <c r="F127" s="4">
        <f t="shared" si="9"/>
        <v>6.5701963092378551E-2</v>
      </c>
    </row>
    <row r="128" spans="1:6">
      <c r="A128" s="66">
        <v>5.85</v>
      </c>
      <c r="B128" s="10">
        <f t="shared" si="5"/>
        <v>0.98374394852021096</v>
      </c>
      <c r="C128" s="10">
        <f t="shared" si="7"/>
        <v>0.78205322295336088</v>
      </c>
      <c r="D128" s="4">
        <f t="shared" si="6"/>
        <v>4.2613576775631934E-2</v>
      </c>
      <c r="E128" s="66">
        <f t="shared" si="8"/>
        <v>4</v>
      </c>
      <c r="F128" s="4">
        <f t="shared" si="9"/>
        <v>0.13113733801846106</v>
      </c>
    </row>
    <row r="129" spans="1:6">
      <c r="A129" s="66">
        <v>5.9</v>
      </c>
      <c r="B129" s="10">
        <f t="shared" si="5"/>
        <v>0.98357680880103582</v>
      </c>
      <c r="C129" s="10">
        <f t="shared" si="7"/>
        <v>0.78038846845698318</v>
      </c>
      <c r="D129" s="4">
        <f t="shared" si="6"/>
        <v>4.2625073068232724E-2</v>
      </c>
      <c r="E129" s="66">
        <f t="shared" si="8"/>
        <v>2</v>
      </c>
      <c r="F129" s="4">
        <f t="shared" si="9"/>
        <v>6.5435625121670504E-2</v>
      </c>
    </row>
    <row r="130" spans="1:6">
      <c r="A130" s="66">
        <v>5.95</v>
      </c>
      <c r="B130" s="10">
        <f t="shared" si="5"/>
        <v>0.98340913124382801</v>
      </c>
      <c r="C130" s="10">
        <f t="shared" si="7"/>
        <v>0.7787268093371339</v>
      </c>
      <c r="D130" s="4">
        <f t="shared" si="6"/>
        <v>4.2636608317871867E-2</v>
      </c>
      <c r="E130" s="66">
        <f t="shared" si="8"/>
        <v>4</v>
      </c>
      <c r="F130" s="4">
        <f t="shared" si="9"/>
        <v>0.13060566181232378</v>
      </c>
    </row>
    <row r="131" spans="1:6">
      <c r="A131" s="66">
        <v>6</v>
      </c>
      <c r="B131" s="10">
        <f t="shared" si="5"/>
        <v>0.98324091421490278</v>
      </c>
      <c r="C131" s="10">
        <f t="shared" si="7"/>
        <v>0.777068239398227</v>
      </c>
      <c r="D131" s="4">
        <f t="shared" si="6"/>
        <v>4.2648182656561555E-2</v>
      </c>
      <c r="E131" s="66">
        <f t="shared" si="8"/>
        <v>2</v>
      </c>
      <c r="F131" s="4">
        <f t="shared" si="9"/>
        <v>6.5170285840087799E-2</v>
      </c>
    </row>
    <row r="132" spans="1:6">
      <c r="A132" s="66">
        <v>6.05</v>
      </c>
      <c r="B132" s="10">
        <f t="shared" si="5"/>
        <v>0.98307215607627241</v>
      </c>
      <c r="C132" s="10">
        <f t="shared" si="7"/>
        <v>0.77541275245710239</v>
      </c>
      <c r="D132" s="4">
        <f t="shared" si="6"/>
        <v>4.2659796216761338E-2</v>
      </c>
      <c r="E132" s="66">
        <f t="shared" si="8"/>
        <v>4</v>
      </c>
      <c r="F132" s="4">
        <f t="shared" si="9"/>
        <v>0.13007597880349842</v>
      </c>
    </row>
    <row r="133" spans="1:6">
      <c r="A133" s="66">
        <v>6.1</v>
      </c>
      <c r="B133" s="10">
        <f t="shared" si="5"/>
        <v>0.98290285518563958</v>
      </c>
      <c r="C133" s="10">
        <f t="shared" si="7"/>
        <v>0.7737603423430035</v>
      </c>
      <c r="D133" s="4">
        <f t="shared" si="6"/>
        <v>4.2671449131379616E-2</v>
      </c>
      <c r="E133" s="66">
        <f t="shared" si="8"/>
        <v>2</v>
      </c>
      <c r="F133" s="4">
        <f t="shared" si="9"/>
        <v>6.4905941070362794E-2</v>
      </c>
    </row>
    <row r="134" spans="1:6">
      <c r="A134" s="66">
        <v>6.15</v>
      </c>
      <c r="B134" s="10">
        <f t="shared" si="5"/>
        <v>0.98273300989639056</v>
      </c>
      <c r="C134" s="10">
        <f t="shared" si="7"/>
        <v>0.77211100289755541</v>
      </c>
      <c r="D134" s="4">
        <f t="shared" si="6"/>
        <v>4.2683141533775164E-2</v>
      </c>
      <c r="E134" s="66">
        <f t="shared" si="8"/>
        <v>4</v>
      </c>
      <c r="F134" s="4">
        <f t="shared" si="9"/>
        <v>0.12954828065211788</v>
      </c>
    </row>
    <row r="135" spans="1:6">
      <c r="A135" s="66">
        <v>6.2</v>
      </c>
      <c r="B135" s="10">
        <f t="shared" si="5"/>
        <v>0.98256261855758875</v>
      </c>
      <c r="C135" s="10">
        <f t="shared" si="7"/>
        <v>0.77046472797474364</v>
      </c>
      <c r="D135" s="4">
        <f t="shared" si="6"/>
        <v>4.2694873557758681E-2</v>
      </c>
      <c r="E135" s="66">
        <f t="shared" si="8"/>
        <v>2</v>
      </c>
      <c r="F135" s="4">
        <f t="shared" si="9"/>
        <v>6.4642586649879791E-2</v>
      </c>
    </row>
    <row r="136" spans="1:6">
      <c r="A136" s="66">
        <v>6.25</v>
      </c>
      <c r="B136" s="10">
        <f t="shared" si="5"/>
        <v>0.982391679513968</v>
      </c>
      <c r="C136" s="10">
        <f t="shared" si="7"/>
        <v>0.76882151144089139</v>
      </c>
      <c r="D136" s="4">
        <f t="shared" si="6"/>
        <v>4.2706645337594287E-2</v>
      </c>
      <c r="E136" s="66">
        <f t="shared" si="8"/>
        <v>4</v>
      </c>
      <c r="F136" s="4">
        <f t="shared" si="9"/>
        <v>0.12902255904755422</v>
      </c>
    </row>
    <row r="137" spans="1:6">
      <c r="A137" s="66">
        <v>6.3</v>
      </c>
      <c r="B137" s="10">
        <f t="shared" si="5"/>
        <v>0.98222019110592562</v>
      </c>
      <c r="C137" s="10">
        <f t="shared" si="7"/>
        <v>0.76718134717463893</v>
      </c>
      <c r="D137" s="4">
        <f t="shared" si="6"/>
        <v>4.2718457008001101E-2</v>
      </c>
      <c r="E137" s="66">
        <f t="shared" si="8"/>
        <v>2</v>
      </c>
      <c r="F137" s="4">
        <f t="shared" si="9"/>
        <v>6.4380218430610398E-2</v>
      </c>
    </row>
    <row r="138" spans="1:6">
      <c r="A138" s="66">
        <v>6.35</v>
      </c>
      <c r="B138" s="10">
        <f t="shared" si="5"/>
        <v>0.98204815166951676</v>
      </c>
      <c r="C138" s="10">
        <f t="shared" si="7"/>
        <v>0.76554422906692132</v>
      </c>
      <c r="D138" s="4">
        <f t="shared" si="6"/>
        <v>4.2730308704154736E-2</v>
      </c>
      <c r="E138" s="66">
        <f t="shared" si="8"/>
        <v>4</v>
      </c>
      <c r="F138" s="4">
        <f t="shared" si="9"/>
        <v>0.12849880570828973</v>
      </c>
    </row>
    <row r="139" spans="1:6">
      <c r="A139" s="66">
        <v>6.4</v>
      </c>
      <c r="B139" s="10">
        <f t="shared" ref="B139:B202" si="10">B$7^((B$4^B$6)*((B$4^A139)-1))</f>
        <v>0.98187555953644667</v>
      </c>
      <c r="C139" s="10">
        <f t="shared" si="7"/>
        <v>0.76391015102094717</v>
      </c>
      <c r="D139" s="4">
        <f t="shared" ref="D139:D202" si="11">B$5+B$3*(B$4^(B$6+A139))</f>
        <v>4.2742200561688877E-2</v>
      </c>
      <c r="E139" s="66">
        <f t="shared" si="8"/>
        <v>2</v>
      </c>
      <c r="F139" s="4">
        <f t="shared" si="9"/>
        <v>6.4118832279049354E-2</v>
      </c>
    </row>
    <row r="140" spans="1:6">
      <c r="A140" s="66">
        <v>6.45</v>
      </c>
      <c r="B140" s="10">
        <f t="shared" si="10"/>
        <v>0.98170241303406525</v>
      </c>
      <c r="C140" s="10">
        <f t="shared" ref="C140:C203" si="12">B140*EXP(-B$5*A140)</f>
        <v>0.7622791069521766</v>
      </c>
      <c r="D140" s="4">
        <f t="shared" si="11"/>
        <v>4.2754132716696841E-2</v>
      </c>
      <c r="E140" s="66">
        <f t="shared" si="8"/>
        <v>4</v>
      </c>
      <c r="F140" s="4">
        <f t="shared" si="9"/>
        <v>0.12797701238178888</v>
      </c>
    </row>
    <row r="141" spans="1:6">
      <c r="A141" s="66">
        <v>6.5</v>
      </c>
      <c r="B141" s="10">
        <f t="shared" si="10"/>
        <v>0.98152871048535972</v>
      </c>
      <c r="C141" s="10">
        <f t="shared" si="12"/>
        <v>0.76065109078830051</v>
      </c>
      <c r="D141" s="4">
        <f t="shared" si="11"/>
        <v>4.276610530573309E-2</v>
      </c>
      <c r="E141" s="66">
        <f t="shared" si="8"/>
        <v>2</v>
      </c>
      <c r="F141" s="4">
        <f t="shared" si="9"/>
        <v>6.3858424076150361E-2</v>
      </c>
    </row>
    <row r="142" spans="1:6">
      <c r="A142" s="66">
        <v>6.55</v>
      </c>
      <c r="B142" s="10">
        <f t="shared" si="10"/>
        <v>0.98135445020894896</v>
      </c>
      <c r="C142" s="10">
        <f t="shared" si="12"/>
        <v>0.75902609646921859</v>
      </c>
      <c r="D142" s="4">
        <f t="shared" si="11"/>
        <v>4.2778118465814849E-2</v>
      </c>
      <c r="E142" s="66">
        <f t="shared" ref="E142:E205" si="13">IF(E141=4,2,4)</f>
        <v>4</v>
      </c>
      <c r="F142" s="4">
        <f t="shared" ref="F142:F205" si="14">B142*C142*D142*E142</f>
        <v>0.12745717084437025</v>
      </c>
    </row>
    <row r="143" spans="1:6">
      <c r="A143" s="66">
        <v>6.6</v>
      </c>
      <c r="B143" s="10">
        <f t="shared" si="10"/>
        <v>0.98117963051907631</v>
      </c>
      <c r="C143" s="10">
        <f t="shared" si="12"/>
        <v>0.75740411794701823</v>
      </c>
      <c r="D143" s="4">
        <f t="shared" si="11"/>
        <v>4.2790172334423629E-2</v>
      </c>
      <c r="E143" s="66">
        <f t="shared" si="13"/>
        <v>2</v>
      </c>
      <c r="F143" s="4">
        <f t="shared" si="14"/>
        <v>6.3598989717262452E-2</v>
      </c>
    </row>
    <row r="144" spans="1:6">
      <c r="A144" s="66">
        <v>6.65</v>
      </c>
      <c r="B144" s="10">
        <f t="shared" si="10"/>
        <v>0.98100424972560374</v>
      </c>
      <c r="C144" s="10">
        <f t="shared" si="12"/>
        <v>0.75578514918595319</v>
      </c>
      <c r="D144" s="4">
        <f t="shared" si="11"/>
        <v>4.2802267049506841E-2</v>
      </c>
      <c r="E144" s="66">
        <f t="shared" si="13"/>
        <v>4</v>
      </c>
      <c r="F144" s="4">
        <f t="shared" si="14"/>
        <v>0.12693927290107976</v>
      </c>
    </row>
    <row r="145" spans="1:6">
      <c r="A145" s="66">
        <v>6.7</v>
      </c>
      <c r="B145" s="10">
        <f t="shared" si="10"/>
        <v>0.98082830613400551</v>
      </c>
      <c r="C145" s="10">
        <f t="shared" si="12"/>
        <v>0.7541691841624224</v>
      </c>
      <c r="D145" s="4">
        <f t="shared" si="11"/>
        <v>4.2814402749479327E-2</v>
      </c>
      <c r="E145" s="66">
        <f t="shared" si="13"/>
        <v>2</v>
      </c>
      <c r="F145" s="4">
        <f t="shared" si="14"/>
        <v>6.3340525112066698E-2</v>
      </c>
    </row>
    <row r="146" spans="1:6">
      <c r="A146" s="66">
        <v>6.75</v>
      </c>
      <c r="B146" s="10">
        <f t="shared" si="10"/>
        <v>0.98065179804536118</v>
      </c>
      <c r="C146" s="10">
        <f t="shared" si="12"/>
        <v>0.75255621686494845</v>
      </c>
      <c r="D146" s="4">
        <f t="shared" si="11"/>
        <v>4.2826579573224992E-2</v>
      </c>
      <c r="E146" s="66">
        <f t="shared" si="13"/>
        <v>4</v>
      </c>
      <c r="F146" s="4">
        <f t="shared" si="14"/>
        <v>0.12642331038556415</v>
      </c>
    </row>
    <row r="147" spans="1:6">
      <c r="A147" s="66">
        <v>6.8</v>
      </c>
      <c r="B147" s="10">
        <f t="shared" si="10"/>
        <v>0.98047472375634992</v>
      </c>
      <c r="C147" s="10">
        <f t="shared" si="12"/>
        <v>0.75094624129415666</v>
      </c>
      <c r="D147" s="4">
        <f t="shared" si="11"/>
        <v>4.2838797660098356E-2</v>
      </c>
      <c r="E147" s="66">
        <f t="shared" si="13"/>
        <v>2</v>
      </c>
      <c r="F147" s="4">
        <f t="shared" si="14"/>
        <v>6.3083026184512989E-2</v>
      </c>
    </row>
    <row r="148" spans="1:6">
      <c r="A148" s="66">
        <v>6.85</v>
      </c>
      <c r="B148" s="10">
        <f t="shared" si="10"/>
        <v>0.98029708155924433</v>
      </c>
      <c r="C148" s="10">
        <f t="shared" si="12"/>
        <v>0.74933925146275449</v>
      </c>
      <c r="D148" s="4">
        <f t="shared" si="11"/>
        <v>4.2851057149926167E-2</v>
      </c>
      <c r="E148" s="66">
        <f t="shared" si="13"/>
        <v>4</v>
      </c>
      <c r="F148" s="4">
        <f t="shared" si="14"/>
        <v>0.12590927515994485</v>
      </c>
    </row>
    <row r="149" spans="1:6">
      <c r="A149" s="66">
        <v>6.9</v>
      </c>
      <c r="B149" s="10">
        <f t="shared" si="10"/>
        <v>0.98011886974190365</v>
      </c>
      <c r="C149" s="10">
        <f t="shared" si="12"/>
        <v>0.74773524139550918</v>
      </c>
      <c r="D149" s="4">
        <f t="shared" si="11"/>
        <v>4.2863358183009015E-2</v>
      </c>
      <c r="E149" s="66">
        <f t="shared" si="13"/>
        <v>2</v>
      </c>
      <c r="F149" s="4">
        <f t="shared" si="14"/>
        <v>6.2826488872757325E-2</v>
      </c>
    </row>
    <row r="150" spans="1:6">
      <c r="A150" s="66">
        <v>6.95</v>
      </c>
      <c r="B150" s="10">
        <f t="shared" si="10"/>
        <v>0.97994008658776799</v>
      </c>
      <c r="C150" s="10">
        <f t="shared" si="12"/>
        <v>0.74613420512922868</v>
      </c>
      <c r="D150" s="4">
        <f t="shared" si="11"/>
        <v>4.2875700900122903E-2</v>
      </c>
      <c r="E150" s="66">
        <f t="shared" si="13"/>
        <v>4</v>
      </c>
      <c r="F150" s="4">
        <f t="shared" si="14"/>
        <v>0.12539715911469326</v>
      </c>
    </row>
    <row r="151" spans="1:6">
      <c r="A151" s="66">
        <v>7</v>
      </c>
      <c r="B151" s="10">
        <f t="shared" si="10"/>
        <v>0.97976073037585187</v>
      </c>
      <c r="C151" s="10">
        <f t="shared" si="12"/>
        <v>0.74453613671273855</v>
      </c>
      <c r="D151" s="4">
        <f t="shared" si="11"/>
        <v>4.288808544252086E-2</v>
      </c>
      <c r="E151" s="66">
        <f t="shared" si="13"/>
        <v>2</v>
      </c>
      <c r="F151" s="4">
        <f t="shared" si="14"/>
        <v>6.2570909129099364E-2</v>
      </c>
    </row>
    <row r="152" spans="1:6">
      <c r="A152" s="66">
        <v>7.05</v>
      </c>
      <c r="B152" s="10">
        <f t="shared" si="10"/>
        <v>0.97958079938073828</v>
      </c>
      <c r="C152" s="10">
        <f t="shared" si="12"/>
        <v>0.74294103020686264</v>
      </c>
      <c r="D152" s="4">
        <f t="shared" si="11"/>
        <v>4.2900511951934638E-2</v>
      </c>
      <c r="E152" s="66">
        <f t="shared" si="13"/>
        <v>4</v>
      </c>
      <c r="F152" s="4">
        <f t="shared" si="14"/>
        <v>0.12488695416850552</v>
      </c>
    </row>
    <row r="153" spans="1:6">
      <c r="A153" s="66">
        <v>7.1</v>
      </c>
      <c r="B153" s="10">
        <f t="shared" si="10"/>
        <v>0.9794002918725726</v>
      </c>
      <c r="C153" s="10">
        <f t="shared" si="12"/>
        <v>0.74134887968440222</v>
      </c>
      <c r="D153" s="4">
        <f t="shared" si="11"/>
        <v>4.2912980570576187E-2</v>
      </c>
      <c r="E153" s="66">
        <f t="shared" si="13"/>
        <v>2</v>
      </c>
      <c r="F153" s="4">
        <f t="shared" si="14"/>
        <v>6.2316282919920231E-2</v>
      </c>
    </row>
    <row r="154" spans="1:6">
      <c r="A154" s="66">
        <v>7.15</v>
      </c>
      <c r="B154" s="10">
        <f t="shared" si="10"/>
        <v>0.97921920611705648</v>
      </c>
      <c r="C154" s="10">
        <f t="shared" si="12"/>
        <v>0.7397596792301141</v>
      </c>
      <c r="D154" s="4">
        <f t="shared" si="11"/>
        <v>4.2925491441139427E-2</v>
      </c>
      <c r="E154" s="66">
        <f t="shared" si="13"/>
        <v>4</v>
      </c>
      <c r="F154" s="4">
        <f t="shared" si="14"/>
        <v>0.12437865226817903</v>
      </c>
    </row>
    <row r="155" spans="1:6">
      <c r="A155" s="66">
        <v>7.2</v>
      </c>
      <c r="B155" s="10">
        <f t="shared" si="10"/>
        <v>0.97903754037544166</v>
      </c>
      <c r="C155" s="10">
        <f t="shared" si="12"/>
        <v>0.7381734229406911</v>
      </c>
      <c r="D155" s="4">
        <f t="shared" si="11"/>
        <v>4.2938044706801785E-2</v>
      </c>
      <c r="E155" s="66">
        <f t="shared" si="13"/>
        <v>2</v>
      </c>
      <c r="F155" s="4">
        <f t="shared" si="14"/>
        <v>6.2062606225620723E-2</v>
      </c>
    </row>
    <row r="156" spans="1:6">
      <c r="A156" s="66">
        <v>7.25</v>
      </c>
      <c r="B156" s="10">
        <f t="shared" si="10"/>
        <v>0.978855292904524</v>
      </c>
      <c r="C156" s="10">
        <f t="shared" si="12"/>
        <v>0.73659010492474042</v>
      </c>
      <c r="D156" s="4">
        <f t="shared" si="11"/>
        <v>4.2950640511225886E-2</v>
      </c>
      <c r="E156" s="66">
        <f t="shared" si="13"/>
        <v>4</v>
      </c>
      <c r="F156" s="4">
        <f t="shared" si="14"/>
        <v>0.12387224538848879</v>
      </c>
    </row>
    <row r="157" spans="1:6">
      <c r="A157" s="66">
        <v>7.3</v>
      </c>
      <c r="B157" s="10">
        <f t="shared" si="10"/>
        <v>0.97867246195663771</v>
      </c>
      <c r="C157" s="10">
        <f t="shared" si="12"/>
        <v>0.73500971930276371</v>
      </c>
      <c r="D157" s="4">
        <f t="shared" si="11"/>
        <v>4.2963278998561179E-2</v>
      </c>
      <c r="E157" s="66">
        <f t="shared" si="13"/>
        <v>2</v>
      </c>
      <c r="F157" s="4">
        <f t="shared" si="14"/>
        <v>6.1809875040559681E-2</v>
      </c>
    </row>
    <row r="158" spans="1:6">
      <c r="A158" s="66">
        <v>7.35</v>
      </c>
      <c r="B158" s="10">
        <f t="shared" si="10"/>
        <v>0.97848904577964924</v>
      </c>
      <c r="C158" s="10">
        <f t="shared" si="12"/>
        <v>0.73343226020713648</v>
      </c>
      <c r="D158" s="4">
        <f t="shared" si="11"/>
        <v>4.2975960313445562E-2</v>
      </c>
      <c r="E158" s="66">
        <f t="shared" si="13"/>
        <v>4</v>
      </c>
      <c r="F158" s="4">
        <f t="shared" si="14"/>
        <v>0.12336772553206467</v>
      </c>
    </row>
    <row r="159" spans="1:6">
      <c r="A159" s="66">
        <v>7.4</v>
      </c>
      <c r="B159" s="10">
        <f t="shared" si="10"/>
        <v>0.97830504261695139</v>
      </c>
      <c r="C159" s="10">
        <f t="shared" si="12"/>
        <v>0.73185772178208708</v>
      </c>
      <c r="D159" s="4">
        <f t="shared" si="11"/>
        <v>4.2988684601007097E-2</v>
      </c>
      <c r="E159" s="66">
        <f t="shared" si="13"/>
        <v>2</v>
      </c>
      <c r="F159" s="4">
        <f t="shared" si="14"/>
        <v>6.1558085372992885E-2</v>
      </c>
    </row>
    <row r="160" spans="1:6">
      <c r="A160" s="66">
        <v>7.45</v>
      </c>
      <c r="B160" s="10">
        <f t="shared" si="10"/>
        <v>0.97812045070745768</v>
      </c>
      <c r="C160" s="10">
        <f t="shared" si="12"/>
        <v>0.73028609818367685</v>
      </c>
      <c r="D160" s="4">
        <f t="shared" si="11"/>
        <v>4.3001452006865615E-2</v>
      </c>
      <c r="E160" s="66">
        <f t="shared" si="13"/>
        <v>4</v>
      </c>
      <c r="F160" s="4">
        <f t="shared" si="14"/>
        <v>0.12286508472926939</v>
      </c>
    </row>
    <row r="161" spans="1:6">
      <c r="A161" s="66">
        <v>7.5</v>
      </c>
      <c r="B161" s="10">
        <f t="shared" si="10"/>
        <v>0.97793526828559596</v>
      </c>
      <c r="C161" s="10">
        <f t="shared" si="12"/>
        <v>0.728717383579779</v>
      </c>
      <c r="D161" s="4">
        <f t="shared" si="11"/>
        <v>4.3014262677134402E-2</v>
      </c>
      <c r="E161" s="66">
        <f t="shared" si="13"/>
        <v>2</v>
      </c>
      <c r="F161" s="4">
        <f t="shared" si="14"/>
        <v>6.1307233245012062E-2</v>
      </c>
    </row>
    <row r="162" spans="1:6">
      <c r="A162" s="66">
        <v>7.55</v>
      </c>
      <c r="B162" s="10">
        <f t="shared" si="10"/>
        <v>0.97774949358130347</v>
      </c>
      <c r="C162" s="10">
        <f t="shared" si="12"/>
        <v>0.72715157215005921</v>
      </c>
      <c r="D162" s="4">
        <f t="shared" si="11"/>
        <v>4.3027116758421885E-2</v>
      </c>
      <c r="E162" s="66">
        <f t="shared" si="13"/>
        <v>4</v>
      </c>
      <c r="F162" s="4">
        <f t="shared" si="14"/>
        <v>0.12236431503807688</v>
      </c>
    </row>
    <row r="163" spans="1:6">
      <c r="A163" s="66">
        <v>7.6</v>
      </c>
      <c r="B163" s="10">
        <f t="shared" si="10"/>
        <v>0.97756312482002017</v>
      </c>
      <c r="C163" s="10">
        <f t="shared" si="12"/>
        <v>0.72558865808595419</v>
      </c>
      <c r="D163" s="4">
        <f t="shared" si="11"/>
        <v>4.3040014397833282E-2</v>
      </c>
      <c r="E163" s="66">
        <f t="shared" si="13"/>
        <v>2</v>
      </c>
      <c r="F163" s="4">
        <f t="shared" si="14"/>
        <v>6.1057314692484342E-2</v>
      </c>
    </row>
    <row r="164" spans="1:6">
      <c r="A164" s="66">
        <v>7.65</v>
      </c>
      <c r="B164" s="10">
        <f t="shared" si="10"/>
        <v>0.97737616022268381</v>
      </c>
      <c r="C164" s="10">
        <f t="shared" si="12"/>
        <v>0.72402863559065267</v>
      </c>
      <c r="D164" s="4">
        <f t="shared" si="11"/>
        <v>4.3052955742972319E-2</v>
      </c>
      <c r="E164" s="66">
        <f t="shared" si="13"/>
        <v>4</v>
      </c>
      <c r="F164" s="4">
        <f t="shared" si="14"/>
        <v>0.12186540854395146</v>
      </c>
    </row>
    <row r="165" spans="1:6">
      <c r="A165" s="66">
        <v>7.7</v>
      </c>
      <c r="B165" s="10">
        <f t="shared" si="10"/>
        <v>0.97718859800572377</v>
      </c>
      <c r="C165" s="10">
        <f t="shared" si="12"/>
        <v>0.72247149887907436</v>
      </c>
      <c r="D165" s="4">
        <f t="shared" si="11"/>
        <v>4.3065940941942882E-2</v>
      </c>
      <c r="E165" s="66">
        <f t="shared" si="13"/>
        <v>2</v>
      </c>
      <c r="F165" s="4">
        <f t="shared" si="14"/>
        <v>6.0808325764991948E-2</v>
      </c>
    </row>
    <row r="166" spans="1:6">
      <c r="A166" s="66">
        <v>7.75</v>
      </c>
      <c r="B166" s="10">
        <f t="shared" si="10"/>
        <v>0.9770004363810556</v>
      </c>
      <c r="C166" s="10">
        <f t="shared" si="12"/>
        <v>0.72091724217784992</v>
      </c>
      <c r="D166" s="4">
        <f t="shared" si="11"/>
        <v>4.3078970143350742E-2</v>
      </c>
      <c r="E166" s="66">
        <f t="shared" si="13"/>
        <v>4</v>
      </c>
      <c r="F166" s="4">
        <f t="shared" si="14"/>
        <v>0.12136835735972783</v>
      </c>
    </row>
    <row r="167" spans="1:6">
      <c r="A167" s="66">
        <v>7.8</v>
      </c>
      <c r="B167" s="10">
        <f t="shared" si="10"/>
        <v>0.97681167355607545</v>
      </c>
      <c r="C167" s="10">
        <f t="shared" si="12"/>
        <v>0.71936585972530087</v>
      </c>
      <c r="D167" s="4">
        <f t="shared" si="11"/>
        <v>4.3092043496305237E-2</v>
      </c>
      <c r="E167" s="66">
        <f t="shared" si="13"/>
        <v>2</v>
      </c>
      <c r="F167" s="4">
        <f t="shared" si="14"/>
        <v>6.0560262525772249E-2</v>
      </c>
    </row>
    <row r="168" spans="1:6">
      <c r="A168" s="66">
        <v>7.85</v>
      </c>
      <c r="B168" s="10">
        <f t="shared" si="10"/>
        <v>0.97662230773365455</v>
      </c>
      <c r="C168" s="10">
        <f t="shared" si="12"/>
        <v>0.71781734577141987</v>
      </c>
      <c r="D168" s="4">
        <f t="shared" si="11"/>
        <v>4.3105161150420998E-2</v>
      </c>
      <c r="E168" s="66">
        <f t="shared" si="13"/>
        <v>4</v>
      </c>
      <c r="F168" s="4">
        <f t="shared" si="14"/>
        <v>0.12087315362549098</v>
      </c>
    </row>
    <row r="169" spans="1:6">
      <c r="A169" s="66">
        <v>7.9</v>
      </c>
      <c r="B169" s="10">
        <f t="shared" si="10"/>
        <v>0.9764323371121334</v>
      </c>
      <c r="C169" s="10">
        <f t="shared" si="12"/>
        <v>0.71627169457785067</v>
      </c>
      <c r="D169" s="4">
        <f t="shared" si="11"/>
        <v>4.311832325581965E-2</v>
      </c>
      <c r="E169" s="66">
        <f t="shared" si="13"/>
        <v>2</v>
      </c>
      <c r="F169" s="4">
        <f t="shared" si="14"/>
        <v>6.0313121051658133E-2</v>
      </c>
    </row>
    <row r="170" spans="1:6">
      <c r="A170" s="66">
        <v>7.95</v>
      </c>
      <c r="B170" s="10">
        <f t="shared" si="10"/>
        <v>0.9762417598853167</v>
      </c>
      <c r="C170" s="10">
        <f t="shared" si="12"/>
        <v>0.71472890041786774</v>
      </c>
      <c r="D170" s="4">
        <f t="shared" si="11"/>
        <v>4.31315299631315E-2</v>
      </c>
      <c r="E170" s="66">
        <f t="shared" si="13"/>
        <v>4</v>
      </c>
      <c r="F170" s="4">
        <f t="shared" si="14"/>
        <v>0.12037978950845774</v>
      </c>
    </row>
    <row r="171" spans="1:6">
      <c r="A171" s="66">
        <v>8</v>
      </c>
      <c r="B171" s="10">
        <f t="shared" si="10"/>
        <v>0.97605057424246788</v>
      </c>
      <c r="C171" s="10">
        <f t="shared" si="12"/>
        <v>0.71318895757635692</v>
      </c>
      <c r="D171" s="4">
        <f t="shared" si="11"/>
        <v>4.3144781423497321E-2</v>
      </c>
      <c r="E171" s="66">
        <f t="shared" si="13"/>
        <v>2</v>
      </c>
      <c r="F171" s="4">
        <f t="shared" si="14"/>
        <v>6.0066897433018684E-2</v>
      </c>
    </row>
    <row r="172" spans="1:6">
      <c r="A172" s="66">
        <v>8.0500000000000007</v>
      </c>
      <c r="B172" s="10">
        <f t="shared" si="10"/>
        <v>0.97585877836830326</v>
      </c>
      <c r="C172" s="10">
        <f t="shared" si="12"/>
        <v>0.711651860349795</v>
      </c>
      <c r="D172" s="4">
        <f t="shared" si="11"/>
        <v>4.3158077788570059E-2</v>
      </c>
      <c r="E172" s="66">
        <f t="shared" si="13"/>
        <v>4</v>
      </c>
      <c r="F172" s="4">
        <f t="shared" si="14"/>
        <v>0.11988825720285817</v>
      </c>
    </row>
    <row r="173" spans="1:6">
      <c r="A173" s="66">
        <v>8.1</v>
      </c>
      <c r="B173" s="10">
        <f t="shared" si="10"/>
        <v>0.97566637044298721</v>
      </c>
      <c r="C173" s="10">
        <f t="shared" si="12"/>
        <v>0.71011760304623062</v>
      </c>
      <c r="D173" s="4">
        <f t="shared" si="11"/>
        <v>4.3171419210516523E-2</v>
      </c>
      <c r="E173" s="66">
        <f t="shared" si="13"/>
        <v>2</v>
      </c>
      <c r="F173" s="4">
        <f t="shared" si="14"/>
        <v>5.982158777370019E-2</v>
      </c>
    </row>
    <row r="174" spans="1:6">
      <c r="A174" s="66">
        <v>8.15</v>
      </c>
      <c r="B174" s="10">
        <f t="shared" si="10"/>
        <v>0.97547334864212676</v>
      </c>
      <c r="C174" s="10">
        <f t="shared" si="12"/>
        <v>0.70858617998526419</v>
      </c>
      <c r="D174" s="4">
        <f t="shared" si="11"/>
        <v>4.3184805842019183E-2</v>
      </c>
      <c r="E174" s="66">
        <f t="shared" si="13"/>
        <v>4</v>
      </c>
      <c r="F174" s="4">
        <f t="shared" si="14"/>
        <v>0.11939854892981797</v>
      </c>
    </row>
    <row r="175" spans="1:6">
      <c r="A175" s="66">
        <v>8.1999999999999993</v>
      </c>
      <c r="B175" s="10">
        <f t="shared" si="10"/>
        <v>0.97527971113676615</v>
      </c>
      <c r="C175" s="10">
        <f t="shared" si="12"/>
        <v>0.707057585498028</v>
      </c>
      <c r="D175" s="4">
        <f t="shared" si="11"/>
        <v>4.3198237836277915E-2</v>
      </c>
      <c r="E175" s="66">
        <f t="shared" si="13"/>
        <v>2</v>
      </c>
      <c r="F175" s="4">
        <f t="shared" si="14"/>
        <v>5.957718819096746E-2</v>
      </c>
    </row>
    <row r="176" spans="1:6">
      <c r="A176" s="66">
        <v>8.25</v>
      </c>
      <c r="B176" s="10">
        <f t="shared" si="10"/>
        <v>0.97508545609338171</v>
      </c>
      <c r="C176" s="10">
        <f t="shared" si="12"/>
        <v>0.70553181392716713</v>
      </c>
      <c r="D176" s="4">
        <f t="shared" si="11"/>
        <v>4.3211715347011702E-2</v>
      </c>
      <c r="E176" s="66">
        <f t="shared" si="13"/>
        <v>4</v>
      </c>
      <c r="F176" s="4">
        <f t="shared" si="14"/>
        <v>0.11891065693724151</v>
      </c>
    </row>
    <row r="177" spans="1:6">
      <c r="A177" s="66">
        <v>8.3000000000000007</v>
      </c>
      <c r="B177" s="10">
        <f t="shared" si="10"/>
        <v>0.97489058167387654</v>
      </c>
      <c r="C177" s="10">
        <f t="shared" si="12"/>
        <v>0.70400885962681925</v>
      </c>
      <c r="D177" s="4">
        <f t="shared" si="11"/>
        <v>4.3225238528460455E-2</v>
      </c>
      <c r="E177" s="66">
        <f t="shared" si="13"/>
        <v>2</v>
      </c>
      <c r="F177" s="4">
        <f t="shared" si="14"/>
        <v>5.9333694815445419E-2</v>
      </c>
    </row>
    <row r="178" spans="1:6">
      <c r="A178" s="66">
        <v>8.35</v>
      </c>
      <c r="B178" s="10">
        <f t="shared" si="10"/>
        <v>0.97469508603557597</v>
      </c>
      <c r="C178" s="10">
        <f t="shared" si="12"/>
        <v>0.70248871696259596</v>
      </c>
      <c r="D178" s="4">
        <f t="shared" si="11"/>
        <v>4.3238807535386753E-2</v>
      </c>
      <c r="E178" s="66">
        <f t="shared" si="13"/>
        <v>4</v>
      </c>
      <c r="F178" s="4">
        <f t="shared" si="14"/>
        <v>0.11842457349969528</v>
      </c>
    </row>
    <row r="179" spans="1:6">
      <c r="A179" s="66">
        <v>8.4</v>
      </c>
      <c r="B179" s="10">
        <f t="shared" si="10"/>
        <v>0.97449896733122165</v>
      </c>
      <c r="C179" s="10">
        <f t="shared" si="12"/>
        <v>0.70097138031156203</v>
      </c>
      <c r="D179" s="4">
        <f t="shared" si="11"/>
        <v>4.3252422523077594E-2</v>
      </c>
      <c r="E179" s="66">
        <f t="shared" si="13"/>
        <v>2</v>
      </c>
      <c r="F179" s="4">
        <f t="shared" si="14"/>
        <v>5.9091103791061257E-2</v>
      </c>
    </row>
    <row r="180" spans="1:6">
      <c r="A180" s="66">
        <v>8.4499999999999993</v>
      </c>
      <c r="B180" s="10">
        <f t="shared" si="10"/>
        <v>0.97430222370896713</v>
      </c>
      <c r="C180" s="10">
        <f t="shared" si="12"/>
        <v>0.69945684406221764</v>
      </c>
      <c r="D180" s="4">
        <f t="shared" si="11"/>
        <v>4.3266083647346208E-2</v>
      </c>
      <c r="E180" s="66">
        <f t="shared" si="13"/>
        <v>4</v>
      </c>
      <c r="F180" s="4">
        <f t="shared" si="14"/>
        <v>0.1179402909182924</v>
      </c>
    </row>
    <row r="181" spans="1:6">
      <c r="A181" s="66">
        <v>8.5</v>
      </c>
      <c r="B181" s="10">
        <f t="shared" si="10"/>
        <v>0.97410485331237251</v>
      </c>
      <c r="C181" s="10">
        <f t="shared" si="12"/>
        <v>0.69794510261447718</v>
      </c>
      <c r="D181" s="4">
        <f t="shared" si="11"/>
        <v>4.3279791064533814E-2</v>
      </c>
      <c r="E181" s="66">
        <f t="shared" si="13"/>
        <v>2</v>
      </c>
      <c r="F181" s="4">
        <f t="shared" si="14"/>
        <v>5.8849411274986531E-2</v>
      </c>
    </row>
    <row r="182" spans="1:6">
      <c r="A182" s="66">
        <v>8.5500000000000007</v>
      </c>
      <c r="B182" s="10">
        <f t="shared" si="10"/>
        <v>0.97390685428039991</v>
      </c>
      <c r="C182" s="10">
        <f t="shared" si="12"/>
        <v>0.69643615037965156</v>
      </c>
      <c r="D182" s="4">
        <f t="shared" si="11"/>
        <v>4.329354493151142E-2</v>
      </c>
      <c r="E182" s="66">
        <f t="shared" si="13"/>
        <v>4</v>
      </c>
      <c r="F182" s="4">
        <f t="shared" si="14"/>
        <v>0.11745780152057746</v>
      </c>
    </row>
    <row r="183" spans="1:6">
      <c r="A183" s="66">
        <v>8.6</v>
      </c>
      <c r="B183" s="10">
        <f t="shared" si="10"/>
        <v>0.97370822474740815</v>
      </c>
      <c r="C183" s="10">
        <f t="shared" si="12"/>
        <v>0.69492998178042809</v>
      </c>
      <c r="D183" s="4">
        <f t="shared" si="11"/>
        <v>4.3307345405681617E-2</v>
      </c>
      <c r="E183" s="66">
        <f t="shared" si="13"/>
        <v>2</v>
      </c>
      <c r="F183" s="4">
        <f t="shared" si="14"/>
        <v>5.8608613437579928E-2</v>
      </c>
    </row>
    <row r="184" spans="1:6">
      <c r="A184" s="66">
        <v>8.65</v>
      </c>
      <c r="B184" s="10">
        <f t="shared" si="10"/>
        <v>0.97350896284314803</v>
      </c>
      <c r="C184" s="10">
        <f t="shared" si="12"/>
        <v>0.69342659125085127</v>
      </c>
      <c r="D184" s="4">
        <f t="shared" si="11"/>
        <v>4.3321192644980383E-2</v>
      </c>
      <c r="E184" s="66">
        <f t="shared" si="13"/>
        <v>4</v>
      </c>
      <c r="F184" s="4">
        <f t="shared" si="14"/>
        <v>0.11697709766041212</v>
      </c>
    </row>
    <row r="185" spans="1:6">
      <c r="A185" s="66">
        <v>8.6999999999999993</v>
      </c>
      <c r="B185" s="10">
        <f t="shared" si="10"/>
        <v>0.97330906669275763</v>
      </c>
      <c r="C185" s="10">
        <f t="shared" si="12"/>
        <v>0.69192597323630378</v>
      </c>
      <c r="D185" s="4">
        <f t="shared" si="11"/>
        <v>4.3335086807878884E-2</v>
      </c>
      <c r="E185" s="66">
        <f t="shared" si="13"/>
        <v>2</v>
      </c>
      <c r="F185" s="4">
        <f t="shared" si="14"/>
        <v>5.836870646233016E-2</v>
      </c>
    </row>
    <row r="186" spans="1:6">
      <c r="A186" s="66">
        <v>8.75</v>
      </c>
      <c r="B186" s="10">
        <f t="shared" si="10"/>
        <v>0.97310853441675782</v>
      </c>
      <c r="C186" s="10">
        <f t="shared" si="12"/>
        <v>0.69042812219348759</v>
      </c>
      <c r="D186" s="4">
        <f t="shared" si="11"/>
        <v>4.3349028053385294E-2</v>
      </c>
      <c r="E186" s="66">
        <f t="shared" si="13"/>
        <v>4</v>
      </c>
      <c r="F186" s="4">
        <f t="shared" si="14"/>
        <v>0.11649817171786125</v>
      </c>
    </row>
    <row r="187" spans="1:6">
      <c r="A187" s="66">
        <v>8.8000000000000007</v>
      </c>
      <c r="B187" s="10">
        <f t="shared" si="10"/>
        <v>0.97290736413104684</v>
      </c>
      <c r="C187" s="10">
        <f t="shared" si="12"/>
        <v>0.68893303259040461</v>
      </c>
      <c r="D187" s="4">
        <f t="shared" si="11"/>
        <v>4.3363016541046608E-2</v>
      </c>
      <c r="E187" s="66">
        <f t="shared" si="13"/>
        <v>2</v>
      </c>
      <c r="F187" s="4">
        <f t="shared" si="14"/>
        <v>5.812968654579935E-2</v>
      </c>
    </row>
    <row r="188" spans="1:6">
      <c r="A188" s="66">
        <v>8.85</v>
      </c>
      <c r="B188" s="10">
        <f t="shared" si="10"/>
        <v>0.9727055539468964</v>
      </c>
      <c r="C188" s="10">
        <f t="shared" si="12"/>
        <v>0.68744069890633774</v>
      </c>
      <c r="D188" s="4">
        <f t="shared" si="11"/>
        <v>4.3377052430950469E-2</v>
      </c>
      <c r="E188" s="66">
        <f t="shared" si="13"/>
        <v>4</v>
      </c>
      <c r="F188" s="4">
        <f t="shared" si="14"/>
        <v>0.11602101609908018</v>
      </c>
    </row>
    <row r="189" spans="1:6">
      <c r="A189" s="66">
        <v>8.9</v>
      </c>
      <c r="B189" s="10">
        <f t="shared" si="10"/>
        <v>0.97250310197094658</v>
      </c>
      <c r="C189" s="10">
        <f t="shared" si="12"/>
        <v>0.68595111563183175</v>
      </c>
      <c r="D189" s="4">
        <f t="shared" si="11"/>
        <v>4.3391135883727019E-2</v>
      </c>
      <c r="E189" s="66">
        <f t="shared" si="13"/>
        <v>2</v>
      </c>
      <c r="F189" s="4">
        <f t="shared" si="14"/>
        <v>5.7891549897566598E-2</v>
      </c>
    </row>
    <row r="190" spans="1:6">
      <c r="A190" s="66">
        <v>8.9499999999999993</v>
      </c>
      <c r="B190" s="10">
        <f t="shared" si="10"/>
        <v>0.97230000630520153</v>
      </c>
      <c r="C190" s="10">
        <f t="shared" si="12"/>
        <v>0.68446427726867498</v>
      </c>
      <c r="D190" s="4">
        <f t="shared" si="11"/>
        <v>4.3405267060550708E-2</v>
      </c>
      <c r="E190" s="66">
        <f t="shared" si="13"/>
        <v>4</v>
      </c>
      <c r="F190" s="4">
        <f t="shared" si="14"/>
        <v>0.11554562323620203</v>
      </c>
    </row>
    <row r="191" spans="1:6">
      <c r="A191" s="66">
        <v>9</v>
      </c>
      <c r="B191" s="10">
        <f t="shared" si="10"/>
        <v>0.97209626504702507</v>
      </c>
      <c r="C191" s="10">
        <f t="shared" si="12"/>
        <v>0.68298017832987945</v>
      </c>
      <c r="D191" s="4">
        <f t="shared" si="11"/>
        <v>4.3419446123142136E-2</v>
      </c>
      <c r="E191" s="66">
        <f t="shared" si="13"/>
        <v>2</v>
      </c>
      <c r="F191" s="4">
        <f t="shared" si="14"/>
        <v>5.7654292740171968E-2</v>
      </c>
    </row>
    <row r="192" spans="1:6">
      <c r="A192" s="66">
        <v>9.0500000000000007</v>
      </c>
      <c r="B192" s="10">
        <f t="shared" si="10"/>
        <v>0.97189187628913576</v>
      </c>
      <c r="C192" s="10">
        <f t="shared" si="12"/>
        <v>0.68149881333966311</v>
      </c>
      <c r="D192" s="4">
        <f t="shared" si="11"/>
        <v>4.3433673233769968E-2</v>
      </c>
      <c r="E192" s="66">
        <f t="shared" si="13"/>
        <v>4</v>
      </c>
      <c r="F192" s="4">
        <f t="shared" si="14"/>
        <v>0.11507198558722601</v>
      </c>
    </row>
    <row r="193" spans="1:6">
      <c r="A193" s="66">
        <v>9.1</v>
      </c>
      <c r="B193" s="10">
        <f t="shared" si="10"/>
        <v>0.97168683811960332</v>
      </c>
      <c r="C193" s="10">
        <f t="shared" si="12"/>
        <v>0.68002017683343041</v>
      </c>
      <c r="D193" s="4">
        <f t="shared" si="11"/>
        <v>4.3447948555252677E-2</v>
      </c>
      <c r="E193" s="66">
        <f t="shared" si="13"/>
        <v>2</v>
      </c>
      <c r="F193" s="4">
        <f t="shared" si="14"/>
        <v>5.7417911309060744E-2</v>
      </c>
    </row>
    <row r="194" spans="1:6">
      <c r="A194" s="66">
        <v>9.15</v>
      </c>
      <c r="B194" s="10">
        <f t="shared" si="10"/>
        <v>0.97148114862184365</v>
      </c>
      <c r="C194" s="10">
        <f t="shared" si="12"/>
        <v>0.6785442633577542</v>
      </c>
      <c r="D194" s="4">
        <f t="shared" si="11"/>
        <v>4.3462272250960533E-2</v>
      </c>
      <c r="E194" s="66">
        <f t="shared" si="13"/>
        <v>4</v>
      </c>
      <c r="F194" s="4">
        <f t="shared" si="14"/>
        <v>0.11460009563590655</v>
      </c>
    </row>
    <row r="195" spans="1:6">
      <c r="A195" s="66">
        <v>9.1999999999999993</v>
      </c>
      <c r="B195" s="10">
        <f t="shared" si="10"/>
        <v>0.97127480587461446</v>
      </c>
      <c r="C195" s="10">
        <f t="shared" si="12"/>
        <v>0.67707106747035584</v>
      </c>
      <c r="D195" s="4">
        <f t="shared" si="11"/>
        <v>4.3476644484817369E-2</v>
      </c>
      <c r="E195" s="66">
        <f t="shared" si="13"/>
        <v>2</v>
      </c>
      <c r="F195" s="4">
        <f t="shared" si="14"/>
        <v>5.7182401852528229E-2</v>
      </c>
    </row>
    <row r="196" spans="1:6">
      <c r="A196" s="66">
        <v>9.25</v>
      </c>
      <c r="B196" s="10">
        <f t="shared" si="10"/>
        <v>0.97106780795201186</v>
      </c>
      <c r="C196" s="10">
        <f t="shared" si="12"/>
        <v>0.67560058374008847</v>
      </c>
      <c r="D196" s="4">
        <f t="shared" si="11"/>
        <v>4.3491065421302523E-2</v>
      </c>
      <c r="E196" s="66">
        <f t="shared" si="13"/>
        <v>4</v>
      </c>
      <c r="F196" s="4">
        <f t="shared" si="14"/>
        <v>0.1141299458916427</v>
      </c>
    </row>
    <row r="197" spans="1:6">
      <c r="A197" s="66">
        <v>9.3000000000000007</v>
      </c>
      <c r="B197" s="10">
        <f t="shared" si="10"/>
        <v>0.97086015292346528</v>
      </c>
      <c r="C197" s="10">
        <f t="shared" si="12"/>
        <v>0.67413280674691667</v>
      </c>
      <c r="D197" s="4">
        <f t="shared" si="11"/>
        <v>4.3505535225452689E-2</v>
      </c>
      <c r="E197" s="66">
        <f t="shared" si="13"/>
        <v>2</v>
      </c>
      <c r="F197" s="4">
        <f t="shared" si="14"/>
        <v>5.6947760631664561E-2</v>
      </c>
    </row>
    <row r="198" spans="1:6">
      <c r="A198" s="66">
        <v>9.35</v>
      </c>
      <c r="B198" s="10">
        <f t="shared" si="10"/>
        <v>0.97065183885373385</v>
      </c>
      <c r="C198" s="10">
        <f t="shared" si="12"/>
        <v>0.67266773108189892</v>
      </c>
      <c r="D198" s="4">
        <f t="shared" si="11"/>
        <v>4.3520054062863828E-2</v>
      </c>
      <c r="E198" s="66">
        <f t="shared" si="13"/>
        <v>4</v>
      </c>
      <c r="F198" s="4">
        <f t="shared" si="14"/>
        <v>0.11366152888936873</v>
      </c>
    </row>
    <row r="199" spans="1:6">
      <c r="A199" s="66">
        <v>9.4</v>
      </c>
      <c r="B199" s="10">
        <f t="shared" si="10"/>
        <v>0.97044286380290234</v>
      </c>
      <c r="C199" s="10">
        <f t="shared" si="12"/>
        <v>0.67120535134716919</v>
      </c>
      <c r="D199" s="4">
        <f t="shared" si="11"/>
        <v>4.3534622099693027E-2</v>
      </c>
      <c r="E199" s="66">
        <f t="shared" si="13"/>
        <v>2</v>
      </c>
      <c r="F199" s="4">
        <f t="shared" si="14"/>
        <v>5.6713983920300158E-2</v>
      </c>
    </row>
    <row r="200" spans="1:6">
      <c r="A200" s="66">
        <v>9.4499999999999993</v>
      </c>
      <c r="B200" s="10">
        <f t="shared" si="10"/>
        <v>0.97023322582637683</v>
      </c>
      <c r="C200" s="10">
        <f t="shared" si="12"/>
        <v>0.66974566215591769</v>
      </c>
      <c r="D200" s="4">
        <f t="shared" si="11"/>
        <v>4.3549239502660445E-2</v>
      </c>
      <c r="E200" s="66">
        <f t="shared" si="13"/>
        <v>4</v>
      </c>
      <c r="F200" s="4">
        <f t="shared" si="14"/>
        <v>0.11319483718944491</v>
      </c>
    </row>
    <row r="201" spans="1:6">
      <c r="A201" s="66">
        <v>9.5</v>
      </c>
      <c r="B201" s="10">
        <f t="shared" si="10"/>
        <v>0.97002292297488124</v>
      </c>
      <c r="C201" s="10">
        <f t="shared" si="12"/>
        <v>0.66828865813237381</v>
      </c>
      <c r="D201" s="4">
        <f t="shared" si="11"/>
        <v>4.3563906439051184E-2</v>
      </c>
      <c r="E201" s="66">
        <f t="shared" si="13"/>
        <v>2</v>
      </c>
      <c r="F201" s="4">
        <f t="shared" si="14"/>
        <v>5.6481068004951347E-2</v>
      </c>
    </row>
    <row r="202" spans="1:6">
      <c r="A202" s="66">
        <v>9.5500000000000007</v>
      </c>
      <c r="B202" s="10">
        <f t="shared" si="10"/>
        <v>0.96981195329445313</v>
      </c>
      <c r="C202" s="10">
        <f t="shared" si="12"/>
        <v>0.66683433391178648</v>
      </c>
      <c r="D202" s="4">
        <f t="shared" si="11"/>
        <v>4.3578623076717213E-2</v>
      </c>
      <c r="E202" s="66">
        <f t="shared" si="13"/>
        <v>4</v>
      </c>
      <c r="F202" s="4">
        <f t="shared" si="14"/>
        <v>0.11272986337754931</v>
      </c>
    </row>
    <row r="203" spans="1:6">
      <c r="A203" s="66">
        <v>9.6</v>
      </c>
      <c r="B203" s="10">
        <f t="shared" ref="B203:B266" si="15">B$7^((B$4^B$6)*((B$4^A203)-1))</f>
        <v>0.96960031482643982</v>
      </c>
      <c r="C203" s="10">
        <f t="shared" si="12"/>
        <v>0.66538268414040713</v>
      </c>
      <c r="D203" s="4">
        <f t="shared" ref="D203:D266" si="16">B$5+B$3*(B$4^(B$6+A203))</f>
        <v>4.359338958407933E-2</v>
      </c>
      <c r="E203" s="66">
        <f t="shared" si="13"/>
        <v>2</v>
      </c>
      <c r="F203" s="4">
        <f t="shared" si="14"/>
        <v>5.6249009184766441E-2</v>
      </c>
    </row>
    <row r="204" spans="1:6">
      <c r="A204" s="66">
        <v>9.65</v>
      </c>
      <c r="B204" s="10">
        <f t="shared" si="15"/>
        <v>0.96938800560749494</v>
      </c>
      <c r="C204" s="10">
        <f t="shared" ref="C204:C267" si="17">B204*EXP(-B$5*A204)</f>
        <v>0.66393370347547032</v>
      </c>
      <c r="D204" s="4">
        <f t="shared" si="16"/>
        <v>4.3608206130129008E-2</v>
      </c>
      <c r="E204" s="66">
        <f t="shared" si="13"/>
        <v>4</v>
      </c>
      <c r="F204" s="4">
        <f t="shared" si="14"/>
        <v>0.11226660006457026</v>
      </c>
    </row>
    <row r="205" spans="1:6">
      <c r="A205" s="66">
        <v>9.6999999999999993</v>
      </c>
      <c r="B205" s="10">
        <f t="shared" si="15"/>
        <v>0.96917502366957442</v>
      </c>
      <c r="C205" s="10">
        <f t="shared" si="17"/>
        <v>0.66248738658517659</v>
      </c>
      <c r="D205" s="4">
        <f t="shared" si="16"/>
        <v>4.3623072884430403E-2</v>
      </c>
      <c r="E205" s="66">
        <f t="shared" si="13"/>
        <v>2</v>
      </c>
      <c r="F205" s="4">
        <f t="shared" si="14"/>
        <v>5.6017803771472051E-2</v>
      </c>
    </row>
    <row r="206" spans="1:6">
      <c r="A206" s="66">
        <v>9.75</v>
      </c>
      <c r="B206" s="10">
        <f t="shared" si="15"/>
        <v>0.96896136703993296</v>
      </c>
      <c r="C206" s="10">
        <f t="shared" si="17"/>
        <v>0.66104372814867352</v>
      </c>
      <c r="D206" s="4">
        <f t="shared" si="16"/>
        <v>4.3637990017122263E-2</v>
      </c>
      <c r="E206" s="66">
        <f t="shared" ref="E206:E269" si="18">IF(E205=4,2,4)</f>
        <v>4</v>
      </c>
      <c r="F206" s="4">
        <f t="shared" ref="F206:F269" si="19">B206*C206*D206*E206</f>
        <v>0.11180503988649926</v>
      </c>
    </row>
    <row r="207" spans="1:6">
      <c r="A207" s="66">
        <v>9.8000000000000007</v>
      </c>
      <c r="B207" s="10">
        <f t="shared" si="15"/>
        <v>0.96874703374112059</v>
      </c>
      <c r="C207" s="10">
        <f t="shared" si="17"/>
        <v>0.65960272285603871</v>
      </c>
      <c r="D207" s="4">
        <f t="shared" si="16"/>
        <v>4.3652957698919866E-2</v>
      </c>
      <c r="E207" s="66">
        <f t="shared" si="18"/>
        <v>2</v>
      </c>
      <c r="F207" s="4">
        <f t="shared" si="19"/>
        <v>5.5787448089319867E-2</v>
      </c>
    </row>
    <row r="208" spans="1:6">
      <c r="A208" s="66">
        <v>9.85</v>
      </c>
      <c r="B208" s="10">
        <f t="shared" si="15"/>
        <v>0.96853202179097897</v>
      </c>
      <c r="C208" s="10">
        <f t="shared" si="17"/>
        <v>0.65816436540826051</v>
      </c>
      <c r="D208" s="4">
        <f t="shared" si="16"/>
        <v>4.3667976101117008E-2</v>
      </c>
      <c r="E208" s="66">
        <f t="shared" si="18"/>
        <v>4</v>
      </c>
      <c r="F208" s="4">
        <f t="shared" si="19"/>
        <v>0.11134517550432516</v>
      </c>
    </row>
    <row r="209" spans="1:6">
      <c r="A209" s="66">
        <v>9.9</v>
      </c>
      <c r="B209" s="10">
        <f t="shared" si="15"/>
        <v>0.96831632920263777</v>
      </c>
      <c r="C209" s="10">
        <f t="shared" si="17"/>
        <v>0.65672865051722096</v>
      </c>
      <c r="D209" s="4">
        <f t="shared" si="16"/>
        <v>4.3683045395587913E-2</v>
      </c>
      <c r="E209" s="66">
        <f t="shared" si="18"/>
        <v>2</v>
      </c>
      <c r="F209" s="4">
        <f t="shared" si="19"/>
        <v>5.555793847503377E-2</v>
      </c>
    </row>
    <row r="210" spans="1:6">
      <c r="A210" s="66">
        <v>9.9499999999999993</v>
      </c>
      <c r="B210" s="10">
        <f t="shared" si="15"/>
        <v>0.96809995398451187</v>
      </c>
      <c r="C210" s="10">
        <f t="shared" si="17"/>
        <v>0.65529557290567786</v>
      </c>
      <c r="D210" s="4">
        <f t="shared" si="16"/>
        <v>4.3698165754789256E-2</v>
      </c>
      <c r="E210" s="66">
        <f t="shared" si="18"/>
        <v>4</v>
      </c>
      <c r="F210" s="4">
        <f t="shared" si="19"/>
        <v>0.11088699960392825</v>
      </c>
    </row>
    <row r="211" spans="1:6">
      <c r="A211" s="66">
        <v>10</v>
      </c>
      <c r="B211" s="10">
        <f t="shared" si="15"/>
        <v>0.96788289414029727</v>
      </c>
      <c r="C211" s="10">
        <f t="shared" si="17"/>
        <v>0.65386512730724611</v>
      </c>
      <c r="D211" s="4">
        <f t="shared" si="16"/>
        <v>4.3713337351762083E-2</v>
      </c>
      <c r="E211" s="66">
        <f t="shared" si="18"/>
        <v>2</v>
      </c>
      <c r="F211" s="4">
        <f t="shared" si="19"/>
        <v>5.5329271277757185E-2</v>
      </c>
    </row>
    <row r="212" spans="1:6">
      <c r="A212" s="66">
        <v>10.050000000000001</v>
      </c>
      <c r="B212" s="10">
        <f t="shared" si="15"/>
        <v>0.96766514766896816</v>
      </c>
      <c r="C212" s="10">
        <f t="shared" si="17"/>
        <v>0.65243730846638082</v>
      </c>
      <c r="D212" s="4">
        <f t="shared" si="16"/>
        <v>4.372856036013386E-2</v>
      </c>
      <c r="E212" s="66">
        <f t="shared" si="18"/>
        <v>4</v>
      </c>
      <c r="F212" s="4">
        <f t="shared" si="19"/>
        <v>0.11043050489597582</v>
      </c>
    </row>
    <row r="213" spans="1:6">
      <c r="A213" s="66">
        <v>10.1</v>
      </c>
      <c r="B213" s="10">
        <f t="shared" si="15"/>
        <v>0.96744671256477421</v>
      </c>
      <c r="C213" s="10">
        <f t="shared" si="17"/>
        <v>0.65101211113835944</v>
      </c>
      <c r="D213" s="4">
        <f t="shared" si="16"/>
        <v>4.3743834954120368E-2</v>
      </c>
      <c r="E213" s="66">
        <f t="shared" si="18"/>
        <v>2</v>
      </c>
      <c r="F213" s="4">
        <f t="shared" si="19"/>
        <v>5.5101442859000947E-2</v>
      </c>
    </row>
    <row r="214" spans="1:6">
      <c r="A214" s="66">
        <v>10.15</v>
      </c>
      <c r="B214" s="10">
        <f t="shared" si="15"/>
        <v>0.96722758681723664</v>
      </c>
      <c r="C214" s="10">
        <f t="shared" si="17"/>
        <v>0.64958953008926346</v>
      </c>
      <c r="D214" s="4">
        <f t="shared" si="16"/>
        <v>4.3759161308527771E-2</v>
      </c>
      <c r="E214" s="66">
        <f t="shared" si="18"/>
        <v>4</v>
      </c>
      <c r="F214" s="4">
        <f t="shared" si="19"/>
        <v>0.10997568411581811</v>
      </c>
    </row>
    <row r="215" spans="1:6">
      <c r="A215" s="66">
        <v>10.199999999999999</v>
      </c>
      <c r="B215" s="10">
        <f t="shared" si="15"/>
        <v>0.96700776841114533</v>
      </c>
      <c r="C215" s="10">
        <f t="shared" si="17"/>
        <v>0.64816956009596105</v>
      </c>
      <c r="D215" s="4">
        <f t="shared" si="16"/>
        <v>4.3774539598754582E-2</v>
      </c>
      <c r="E215" s="66">
        <f t="shared" si="18"/>
        <v>2</v>
      </c>
      <c r="F215" s="4">
        <f t="shared" si="19"/>
        <v>5.4874449592591468E-2</v>
      </c>
    </row>
    <row r="216" spans="1:6">
      <c r="A216" s="66">
        <v>10.25</v>
      </c>
      <c r="B216" s="10">
        <f t="shared" si="15"/>
        <v>0.96678725532655618</v>
      </c>
      <c r="C216" s="10">
        <f t="shared" si="17"/>
        <v>0.64675219594608946</v>
      </c>
      <c r="D216" s="4">
        <f t="shared" si="16"/>
        <v>4.3789970000793696E-2</v>
      </c>
      <c r="E216" s="66">
        <f t="shared" si="18"/>
        <v>4</v>
      </c>
      <c r="F216" s="4">
        <f t="shared" si="19"/>
        <v>0.10952253002338468</v>
      </c>
    </row>
    <row r="217" spans="1:6">
      <c r="A217" s="66">
        <v>10.3</v>
      </c>
      <c r="B217" s="10">
        <f t="shared" si="15"/>
        <v>0.96656604553878811</v>
      </c>
      <c r="C217" s="10">
        <f t="shared" si="17"/>
        <v>0.64533743243803809</v>
      </c>
      <c r="D217" s="4">
        <f t="shared" si="16"/>
        <v>4.3805452691234377E-2</v>
      </c>
      <c r="E217" s="66">
        <f t="shared" si="18"/>
        <v>2</v>
      </c>
      <c r="F217" s="4">
        <f t="shared" si="19"/>
        <v>5.4648287864619179E-2</v>
      </c>
    </row>
    <row r="218" spans="1:6">
      <c r="A218" s="66">
        <v>10.35</v>
      </c>
      <c r="B218" s="10">
        <f t="shared" si="15"/>
        <v>0.96634413701841959</v>
      </c>
      <c r="C218" s="10">
        <f t="shared" si="17"/>
        <v>0.64392526438092967</v>
      </c>
      <c r="D218" s="4">
        <f t="shared" si="16"/>
        <v>4.3820987847264292E-2</v>
      </c>
      <c r="E218" s="66">
        <f t="shared" si="18"/>
        <v>4</v>
      </c>
      <c r="F218" s="4">
        <f t="shared" si="19"/>
        <v>0.10907103540308227</v>
      </c>
    </row>
    <row r="219" spans="1:6">
      <c r="A219" s="66">
        <v>10.4</v>
      </c>
      <c r="B219" s="10">
        <f t="shared" si="15"/>
        <v>0.96612152773128668</v>
      </c>
      <c r="C219" s="10">
        <f t="shared" si="17"/>
        <v>0.64251568659460401</v>
      </c>
      <c r="D219" s="4">
        <f t="shared" si="16"/>
        <v>4.3836575646671538E-2</v>
      </c>
      <c r="E219" s="66">
        <f t="shared" si="18"/>
        <v>2</v>
      </c>
      <c r="F219" s="4">
        <f t="shared" si="19"/>
        <v>5.4422954073387562E-2</v>
      </c>
    </row>
    <row r="220" spans="1:6">
      <c r="A220" s="66">
        <v>10.45</v>
      </c>
      <c r="B220" s="10">
        <f t="shared" si="15"/>
        <v>0.96589821563847966</v>
      </c>
      <c r="C220" s="10">
        <f t="shared" si="17"/>
        <v>0.64110869390959968</v>
      </c>
      <c r="D220" s="4">
        <f t="shared" si="16"/>
        <v>4.3852216267846675E-2</v>
      </c>
      <c r="E220" s="66">
        <f t="shared" si="18"/>
        <v>4</v>
      </c>
      <c r="F220" s="4">
        <f t="shared" si="19"/>
        <v>0.10862119306369263</v>
      </c>
    </row>
    <row r="221" spans="1:6">
      <c r="A221" s="66">
        <v>10.5</v>
      </c>
      <c r="B221" s="10">
        <f t="shared" si="15"/>
        <v>0.96567419869634086</v>
      </c>
      <c r="C221" s="10">
        <f t="shared" si="17"/>
        <v>0.6397042811671374</v>
      </c>
      <c r="D221" s="4">
        <f t="shared" si="16"/>
        <v>4.3867909889784763E-2</v>
      </c>
      <c r="E221" s="66">
        <f t="shared" si="18"/>
        <v>2</v>
      </c>
      <c r="F221" s="4">
        <f t="shared" si="19"/>
        <v>5.4198444629362283E-2</v>
      </c>
    </row>
    <row r="222" spans="1:6">
      <c r="A222" s="66">
        <v>10.55</v>
      </c>
      <c r="B222" s="10">
        <f t="shared" si="15"/>
        <v>0.9654494748564616</v>
      </c>
      <c r="C222" s="10">
        <f t="shared" si="17"/>
        <v>0.63830244321910212</v>
      </c>
      <c r="D222" s="4">
        <f t="shared" si="16"/>
        <v>4.3883656692087422E-2</v>
      </c>
      <c r="E222" s="66">
        <f t="shared" si="18"/>
        <v>4</v>
      </c>
      <c r="F222" s="4">
        <f t="shared" si="19"/>
        <v>0.1081729958382715</v>
      </c>
    </row>
    <row r="223" spans="1:6">
      <c r="A223" s="66">
        <v>10.6</v>
      </c>
      <c r="B223" s="10">
        <f t="shared" si="15"/>
        <v>0.96522404206567991</v>
      </c>
      <c r="C223" s="10">
        <f t="shared" si="17"/>
        <v>0.63690317492802617</v>
      </c>
      <c r="D223" s="4">
        <f t="shared" si="16"/>
        <v>4.389945685496488E-2</v>
      </c>
      <c r="E223" s="66">
        <f t="shared" si="18"/>
        <v>2</v>
      </c>
      <c r="F223" s="4">
        <f t="shared" si="19"/>
        <v>5.3974755955120877E-2</v>
      </c>
    </row>
    <row r="224" spans="1:6">
      <c r="A224" s="66">
        <v>10.65</v>
      </c>
      <c r="B224" s="10">
        <f t="shared" si="15"/>
        <v>0.96499789826607818</v>
      </c>
      <c r="C224" s="10">
        <f t="shared" si="17"/>
        <v>0.63550647116707182</v>
      </c>
      <c r="D224" s="4">
        <f t="shared" si="16"/>
        <v>4.3915310559238037E-2</v>
      </c>
      <c r="E224" s="66">
        <f t="shared" si="18"/>
        <v>4</v>
      </c>
      <c r="F224" s="4">
        <f t="shared" si="19"/>
        <v>0.10772643658404826</v>
      </c>
    </row>
    <row r="225" spans="1:6">
      <c r="A225" s="66">
        <v>10.7</v>
      </c>
      <c r="B225" s="10">
        <f t="shared" si="15"/>
        <v>0.96477104139498082</v>
      </c>
      <c r="C225" s="10">
        <f t="shared" si="17"/>
        <v>0.63411232682001439</v>
      </c>
      <c r="D225" s="4">
        <f t="shared" si="16"/>
        <v>4.3931217986340532E-2</v>
      </c>
      <c r="E225" s="66">
        <f t="shared" si="18"/>
        <v>2</v>
      </c>
      <c r="F225" s="4">
        <f t="shared" si="19"/>
        <v>5.3751884485302777E-2</v>
      </c>
    </row>
    <row r="226" spans="1:6">
      <c r="A226" s="66">
        <v>10.75</v>
      </c>
      <c r="B226" s="10">
        <f t="shared" si="15"/>
        <v>0.96454346938495128</v>
      </c>
      <c r="C226" s="10">
        <f t="shared" si="17"/>
        <v>0.6327207367812242</v>
      </c>
      <c r="D226" s="4">
        <f t="shared" si="16"/>
        <v>4.3947179318320824E-2</v>
      </c>
      <c r="E226" s="66">
        <f t="shared" si="18"/>
        <v>4</v>
      </c>
      <c r="F226" s="4">
        <f t="shared" si="19"/>
        <v>0.10728150818232643</v>
      </c>
    </row>
    <row r="227" spans="1:6">
      <c r="A227" s="66">
        <v>10.8</v>
      </c>
      <c r="B227" s="10">
        <f t="shared" si="15"/>
        <v>0.96431518016379092</v>
      </c>
      <c r="C227" s="10">
        <f t="shared" si="17"/>
        <v>0.63133169595565086</v>
      </c>
      <c r="D227" s="4">
        <f t="shared" si="16"/>
        <v>4.3963194737844255E-2</v>
      </c>
      <c r="E227" s="66">
        <f t="shared" si="18"/>
        <v>2</v>
      </c>
      <c r="F227" s="4">
        <f t="shared" si="19"/>
        <v>5.3529826666559574E-2</v>
      </c>
    </row>
    <row r="228" spans="1:6">
      <c r="A228" s="66">
        <v>10.85</v>
      </c>
      <c r="B228" s="10">
        <f t="shared" si="15"/>
        <v>0.96408617165453614</v>
      </c>
      <c r="C228" s="10">
        <f t="shared" si="17"/>
        <v>0.62994519925880588</v>
      </c>
      <c r="D228" s="4">
        <f t="shared" si="16"/>
        <v>4.3979264428195199E-2</v>
      </c>
      <c r="E228" s="66">
        <f t="shared" si="18"/>
        <v>4</v>
      </c>
      <c r="F228" s="4">
        <f t="shared" si="19"/>
        <v>0.10683820353838447</v>
      </c>
    </row>
    <row r="229" spans="1:6">
      <c r="A229" s="66">
        <v>10.9</v>
      </c>
      <c r="B229" s="10">
        <f t="shared" si="15"/>
        <v>0.96385644177545626</v>
      </c>
      <c r="C229" s="10">
        <f t="shared" si="17"/>
        <v>0.62856124161674443</v>
      </c>
      <c r="D229" s="4">
        <f t="shared" si="16"/>
        <v>4.3995388573279066E-2</v>
      </c>
      <c r="E229" s="66">
        <f t="shared" si="18"/>
        <v>2</v>
      </c>
      <c r="F229" s="4">
        <f t="shared" si="19"/>
        <v>5.3308578957506021E-2</v>
      </c>
    </row>
    <row r="230" spans="1:6">
      <c r="A230" s="66">
        <v>10.95</v>
      </c>
      <c r="B230" s="10">
        <f t="shared" si="15"/>
        <v>0.96362598844005187</v>
      </c>
      <c r="C230" s="10">
        <f t="shared" si="17"/>
        <v>0.62717981796605016</v>
      </c>
      <c r="D230" s="4">
        <f t="shared" si="16"/>
        <v>4.4011567357624508E-2</v>
      </c>
      <c r="E230" s="66">
        <f t="shared" si="18"/>
        <v>4</v>
      </c>
      <c r="F230" s="4">
        <f t="shared" si="19"/>
        <v>0.10639651558137807</v>
      </c>
    </row>
    <row r="231" spans="1:6">
      <c r="A231" s="66">
        <v>11</v>
      </c>
      <c r="B231" s="10">
        <f t="shared" si="15"/>
        <v>0.96339480955705292</v>
      </c>
      <c r="C231" s="10">
        <f t="shared" si="17"/>
        <v>0.62580092325381709</v>
      </c>
      <c r="D231" s="4">
        <f t="shared" si="16"/>
        <v>4.4027800966385429E-2</v>
      </c>
      <c r="E231" s="66">
        <f t="shared" si="18"/>
        <v>2</v>
      </c>
      <c r="F231" s="4">
        <f t="shared" si="19"/>
        <v>5.3088137828670855E-2</v>
      </c>
    </row>
    <row r="232" spans="1:6">
      <c r="A232" s="66">
        <v>11.05</v>
      </c>
      <c r="B232" s="10">
        <f t="shared" si="15"/>
        <v>0.96316290303041641</v>
      </c>
      <c r="C232" s="10">
        <f t="shared" si="17"/>
        <v>0.62442455243763362</v>
      </c>
      <c r="D232" s="4">
        <f t="shared" si="16"/>
        <v>4.4044089585343234E-2</v>
      </c>
      <c r="E232" s="66">
        <f t="shared" si="18"/>
        <v>4</v>
      </c>
      <c r="F232" s="4">
        <f t="shared" si="19"/>
        <v>0.10595643726424255</v>
      </c>
    </row>
    <row r="233" spans="1:6">
      <c r="A233" s="66">
        <v>11.1</v>
      </c>
      <c r="B233" s="10">
        <f t="shared" si="15"/>
        <v>0.96293026675932503</v>
      </c>
      <c r="C233" s="10">
        <f t="shared" si="17"/>
        <v>0.62305070048556488</v>
      </c>
      <c r="D233" s="4">
        <f t="shared" si="16"/>
        <v>4.4060433400908795E-2</v>
      </c>
      <c r="E233" s="66">
        <f t="shared" si="18"/>
        <v>2</v>
      </c>
      <c r="F233" s="4">
        <f t="shared" si="19"/>
        <v>5.2868499762448562E-2</v>
      </c>
    </row>
    <row r="234" spans="1:6">
      <c r="A234" s="66">
        <v>11.15</v>
      </c>
      <c r="B234" s="10">
        <f t="shared" si="15"/>
        <v>0.96269689863818564</v>
      </c>
      <c r="C234" s="10">
        <f t="shared" si="17"/>
        <v>0.6216793623761373</v>
      </c>
      <c r="D234" s="4">
        <f t="shared" si="16"/>
        <v>4.407683260012471E-2</v>
      </c>
      <c r="E234" s="66">
        <f t="shared" si="18"/>
        <v>4</v>
      </c>
      <c r="F234" s="4">
        <f t="shared" si="19"/>
        <v>0.10551796156359644</v>
      </c>
    </row>
    <row r="235" spans="1:6">
      <c r="A235" s="66">
        <v>11.2</v>
      </c>
      <c r="B235" s="10">
        <f t="shared" si="15"/>
        <v>0.96246279655662703</v>
      </c>
      <c r="C235" s="10">
        <f t="shared" si="17"/>
        <v>0.62031053309832007</v>
      </c>
      <c r="D235" s="4">
        <f t="shared" si="16"/>
        <v>4.4093287370667408E-2</v>
      </c>
      <c r="E235" s="66">
        <f t="shared" si="18"/>
        <v>2</v>
      </c>
      <c r="F235" s="4">
        <f t="shared" si="19"/>
        <v>5.2649661253051233E-2</v>
      </c>
    </row>
    <row r="236" spans="1:6">
      <c r="A236" s="66">
        <v>11.25</v>
      </c>
      <c r="B236" s="10">
        <f t="shared" si="15"/>
        <v>0.96222795839949882</v>
      </c>
      <c r="C236" s="10">
        <f t="shared" si="17"/>
        <v>0.61894420765151015</v>
      </c>
      <c r="D236" s="4">
        <f t="shared" si="16"/>
        <v>4.4109797900849256E-2</v>
      </c>
      <c r="E236" s="66">
        <f t="shared" si="18"/>
        <v>4</v>
      </c>
      <c r="F236" s="4">
        <f t="shared" si="19"/>
        <v>0.10508108147964555</v>
      </c>
    </row>
    <row r="237" spans="1:6">
      <c r="A237" s="66">
        <v>11.3</v>
      </c>
      <c r="B237" s="10">
        <f t="shared" si="15"/>
        <v>0.96199238204687021</v>
      </c>
      <c r="C237" s="10">
        <f t="shared" si="17"/>
        <v>0.61758038104551494</v>
      </c>
      <c r="D237" s="4">
        <f t="shared" si="16"/>
        <v>4.4126364379620787E-2</v>
      </c>
      <c r="E237" s="66">
        <f t="shared" si="18"/>
        <v>2</v>
      </c>
      <c r="F237" s="4">
        <f t="shared" si="19"/>
        <v>5.243161880646071E-2</v>
      </c>
    </row>
    <row r="238" spans="1:6">
      <c r="A238" s="66">
        <v>11.35</v>
      </c>
      <c r="B238" s="10">
        <f t="shared" si="15"/>
        <v>0.96175606537402814</v>
      </c>
      <c r="C238" s="10">
        <f t="shared" si="17"/>
        <v>0.61621904830053598</v>
      </c>
      <c r="D238" s="4">
        <f t="shared" si="16"/>
        <v>4.4142986996572799E-2</v>
      </c>
      <c r="E238" s="66">
        <f t="shared" si="18"/>
        <v>4</v>
      </c>
      <c r="F238" s="4">
        <f t="shared" si="19"/>
        <v>0.10464579003608813</v>
      </c>
    </row>
    <row r="239" spans="1:6">
      <c r="A239" s="66">
        <v>11.4</v>
      </c>
      <c r="B239" s="10">
        <f t="shared" si="15"/>
        <v>0.96151900625147613</v>
      </c>
      <c r="C239" s="10">
        <f t="shared" si="17"/>
        <v>0.61486020444715206</v>
      </c>
      <c r="D239" s="4">
        <f t="shared" si="16"/>
        <v>4.4159665941938549E-2</v>
      </c>
      <c r="E239" s="66">
        <f t="shared" si="18"/>
        <v>2</v>
      </c>
      <c r="F239" s="4">
        <f t="shared" si="19"/>
        <v>5.2214368940381568E-2</v>
      </c>
    </row>
    <row r="240" spans="1:6">
      <c r="A240" s="66">
        <v>11.45</v>
      </c>
      <c r="B240" s="10">
        <f t="shared" si="15"/>
        <v>0.96128120254493354</v>
      </c>
      <c r="C240" s="10">
        <f t="shared" si="17"/>
        <v>0.61350384452630335</v>
      </c>
      <c r="D240" s="4">
        <f t="shared" si="16"/>
        <v>4.4176401406595942E-2</v>
      </c>
      <c r="E240" s="66">
        <f t="shared" si="18"/>
        <v>4</v>
      </c>
      <c r="F240" s="4">
        <f t="shared" si="19"/>
        <v>0.10421208028002049</v>
      </c>
    </row>
    <row r="241" spans="1:6">
      <c r="A241" s="66">
        <v>11.5</v>
      </c>
      <c r="B241" s="10">
        <f t="shared" si="15"/>
        <v>0.9610426521153338</v>
      </c>
      <c r="C241" s="10">
        <f t="shared" si="17"/>
        <v>0.61214996358927443</v>
      </c>
      <c r="D241" s="4">
        <f t="shared" si="16"/>
        <v>4.4193193582069697E-2</v>
      </c>
      <c r="E241" s="66">
        <f t="shared" si="18"/>
        <v>2</v>
      </c>
      <c r="F241" s="4">
        <f t="shared" si="19"/>
        <v>5.1997908184193947E-2</v>
      </c>
    </row>
    <row r="242" spans="1:6">
      <c r="A242" s="66">
        <v>11.55</v>
      </c>
      <c r="B242" s="10">
        <f t="shared" si="15"/>
        <v>0.96080335281882367</v>
      </c>
      <c r="C242" s="10">
        <f t="shared" si="17"/>
        <v>0.61079855669767835</v>
      </c>
      <c r="D242" s="4">
        <f t="shared" si="16"/>
        <v>4.4210042660533543E-2</v>
      </c>
      <c r="E242" s="66">
        <f t="shared" si="18"/>
        <v>4</v>
      </c>
      <c r="F242" s="4">
        <f t="shared" si="19"/>
        <v>0.10377994528184371</v>
      </c>
    </row>
    <row r="243" spans="1:6">
      <c r="A243" s="66">
        <v>11.6</v>
      </c>
      <c r="B243" s="10">
        <f t="shared" si="15"/>
        <v>0.96056330250676247</v>
      </c>
      <c r="C243" s="10">
        <f t="shared" si="17"/>
        <v>0.60944961892344018</v>
      </c>
      <c r="D243" s="4">
        <f t="shared" si="16"/>
        <v>4.4226948834812423E-2</v>
      </c>
      <c r="E243" s="66">
        <f t="shared" si="18"/>
        <v>2</v>
      </c>
      <c r="F243" s="4">
        <f t="shared" si="19"/>
        <v>5.1782233078907135E-2</v>
      </c>
    </row>
    <row r="244" spans="1:6">
      <c r="A244" s="66">
        <v>11.65</v>
      </c>
      <c r="B244" s="10">
        <f t="shared" si="15"/>
        <v>0.96032249902572098</v>
      </c>
      <c r="C244" s="10">
        <f t="shared" si="17"/>
        <v>0.60810314534878074</v>
      </c>
      <c r="D244" s="4">
        <f t="shared" si="16"/>
        <v>4.4243912298384702E-2</v>
      </c>
      <c r="E244" s="66">
        <f t="shared" si="18"/>
        <v>4</v>
      </c>
      <c r="F244" s="4">
        <f t="shared" si="19"/>
        <v>0.10334937813517088</v>
      </c>
    </row>
    <row r="245" spans="1:6">
      <c r="A245" s="66">
        <v>11.7</v>
      </c>
      <c r="B245" s="10">
        <f t="shared" si="15"/>
        <v>0.96008094021748092</v>
      </c>
      <c r="C245" s="10">
        <f t="shared" si="17"/>
        <v>0.60675913106620027</v>
      </c>
      <c r="D245" s="4">
        <f t="shared" si="16"/>
        <v>4.4260933245384375E-2</v>
      </c>
      <c r="E245" s="66">
        <f t="shared" si="18"/>
        <v>2</v>
      </c>
      <c r="F245" s="4">
        <f t="shared" si="19"/>
        <v>5.1567340177113501E-2</v>
      </c>
    </row>
    <row r="246" spans="1:6">
      <c r="A246" s="66">
        <v>11.75</v>
      </c>
      <c r="B246" s="10">
        <f t="shared" si="15"/>
        <v>0.95983862391903363</v>
      </c>
      <c r="C246" s="10">
        <f t="shared" si="17"/>
        <v>0.60541757117846262</v>
      </c>
      <c r="D246" s="4">
        <f t="shared" si="16"/>
        <v>4.4278011870603276E-2</v>
      </c>
      <c r="E246" s="66">
        <f t="shared" si="18"/>
        <v>4</v>
      </c>
      <c r="F246" s="4">
        <f t="shared" si="19"/>
        <v>0.10292037195673535</v>
      </c>
    </row>
    <row r="247" spans="1:6">
      <c r="A247" s="66">
        <v>11.8</v>
      </c>
      <c r="B247" s="10">
        <f t="shared" si="15"/>
        <v>0.95959554796258062</v>
      </c>
      <c r="C247" s="10">
        <f t="shared" si="17"/>
        <v>0.60407846079857908</v>
      </c>
      <c r="D247" s="4">
        <f t="shared" si="16"/>
        <v>4.4295148369493359E-2</v>
      </c>
      <c r="E247" s="66">
        <f t="shared" si="18"/>
        <v>2</v>
      </c>
      <c r="F247" s="4">
        <f t="shared" si="19"/>
        <v>5.1353226042942686E-2</v>
      </c>
    </row>
    <row r="248" spans="1:6">
      <c r="A248" s="66">
        <v>11.85</v>
      </c>
      <c r="B248" s="10">
        <f t="shared" si="15"/>
        <v>0.95935171017553178</v>
      </c>
      <c r="C248" s="10">
        <f t="shared" si="17"/>
        <v>0.60274179504979164</v>
      </c>
      <c r="D248" s="4">
        <f t="shared" si="16"/>
        <v>4.431234293816886E-2</v>
      </c>
      <c r="E248" s="66">
        <f t="shared" si="18"/>
        <v>4</v>
      </c>
      <c r="F248" s="4">
        <f t="shared" si="19"/>
        <v>0.10249291988629987</v>
      </c>
    </row>
    <row r="249" spans="1:6">
      <c r="A249" s="66">
        <v>11.9</v>
      </c>
      <c r="B249" s="10">
        <f t="shared" si="15"/>
        <v>0.95910710838050595</v>
      </c>
      <c r="C249" s="10">
        <f t="shared" si="17"/>
        <v>0.60140756906555781</v>
      </c>
      <c r="D249" s="4">
        <f t="shared" si="16"/>
        <v>4.43295957734086E-2</v>
      </c>
      <c r="E249" s="66">
        <f t="shared" si="18"/>
        <v>2</v>
      </c>
      <c r="F249" s="4">
        <f t="shared" si="19"/>
        <v>5.1139887252016375E-2</v>
      </c>
    </row>
    <row r="250" spans="1:6">
      <c r="A250" s="66">
        <v>11.95</v>
      </c>
      <c r="B250" s="10">
        <f t="shared" si="15"/>
        <v>0.95886174039533023</v>
      </c>
      <c r="C250" s="10">
        <f t="shared" si="17"/>
        <v>0.60007577798953438</v>
      </c>
      <c r="D250" s="4">
        <f t="shared" si="16"/>
        <v>4.4346907072658218E-2</v>
      </c>
      <c r="E250" s="66">
        <f t="shared" si="18"/>
        <v>4</v>
      </c>
      <c r="F250" s="4">
        <f t="shared" si="19"/>
        <v>0.10206701508656602</v>
      </c>
    </row>
    <row r="251" spans="1:6">
      <c r="A251" s="66">
        <v>12</v>
      </c>
      <c r="B251" s="10">
        <f t="shared" si="15"/>
        <v>0.95861560403303969</v>
      </c>
      <c r="C251" s="10">
        <f t="shared" si="17"/>
        <v>0.5987464169755613</v>
      </c>
      <c r="D251" s="4">
        <f t="shared" si="16"/>
        <v>4.4364277034032409E-2</v>
      </c>
      <c r="E251" s="66">
        <f t="shared" si="18"/>
        <v>2</v>
      </c>
      <c r="F251" s="4">
        <f t="shared" si="19"/>
        <v>5.0927320391403436E-2</v>
      </c>
    </row>
    <row r="252" spans="1:6">
      <c r="A252" s="66">
        <v>12.05</v>
      </c>
      <c r="B252" s="10">
        <f t="shared" si="15"/>
        <v>0.95836869710187711</v>
      </c>
      <c r="C252" s="10">
        <f t="shared" si="17"/>
        <v>0.59741948118764598</v>
      </c>
      <c r="D252" s="4">
        <f t="shared" si="16"/>
        <v>4.4381705856317261E-2</v>
      </c>
      <c r="E252" s="66">
        <f t="shared" si="18"/>
        <v>4</v>
      </c>
      <c r="F252" s="4">
        <f t="shared" si="19"/>
        <v>0.10164265074308521</v>
      </c>
    </row>
    <row r="253" spans="1:6">
      <c r="A253" s="66">
        <v>12.1</v>
      </c>
      <c r="B253" s="10">
        <f t="shared" si="15"/>
        <v>0.95812101740529343</v>
      </c>
      <c r="C253" s="10">
        <f t="shared" si="17"/>
        <v>0.59609496579994758</v>
      </c>
      <c r="D253" s="4">
        <f t="shared" si="16"/>
        <v>4.4399193738972408E-2</v>
      </c>
      <c r="E253" s="66">
        <f t="shared" si="18"/>
        <v>2</v>
      </c>
      <c r="F253" s="4">
        <f t="shared" si="19"/>
        <v>5.071552205957533E-2</v>
      </c>
    </row>
    <row r="254" spans="1:6">
      <c r="A254" s="66">
        <v>12.15</v>
      </c>
      <c r="B254" s="10">
        <f t="shared" si="15"/>
        <v>0.95787256274194732</v>
      </c>
      <c r="C254" s="10">
        <f t="shared" si="17"/>
        <v>0.59477286599676082</v>
      </c>
      <c r="D254" s="4">
        <f t="shared" si="16"/>
        <v>4.4416740882133446E-2</v>
      </c>
      <c r="E254" s="66">
        <f t="shared" si="18"/>
        <v>4</v>
      </c>
      <c r="F254" s="4">
        <f t="shared" si="19"/>
        <v>0.10121982006417</v>
      </c>
    </row>
    <row r="255" spans="1:6">
      <c r="A255" s="66">
        <v>12.2</v>
      </c>
      <c r="B255" s="10">
        <f t="shared" si="15"/>
        <v>0.95762333090570584</v>
      </c>
      <c r="C255" s="10">
        <f t="shared" si="17"/>
        <v>0.59345317697250077</v>
      </c>
      <c r="D255" s="4">
        <f t="shared" si="16"/>
        <v>4.4434347486614123E-2</v>
      </c>
      <c r="E255" s="66">
        <f t="shared" si="18"/>
        <v>2</v>
      </c>
      <c r="F255" s="4">
        <f t="shared" si="19"/>
        <v>5.050448886636217E-2</v>
      </c>
    </row>
    <row r="256" spans="1:6">
      <c r="A256" s="66">
        <v>12.25</v>
      </c>
      <c r="B256" s="10">
        <f t="shared" si="15"/>
        <v>0.95737331968564376</v>
      </c>
      <c r="C256" s="10">
        <f t="shared" si="17"/>
        <v>0.59213589393168664</v>
      </c>
      <c r="D256" s="4">
        <f t="shared" si="16"/>
        <v>4.4452013753908705E-2</v>
      </c>
      <c r="E256" s="66">
        <f t="shared" si="18"/>
        <v>4</v>
      </c>
      <c r="F256" s="4">
        <f t="shared" si="19"/>
        <v>0.10079851628080642</v>
      </c>
    </row>
    <row r="257" spans="1:6">
      <c r="A257" s="66">
        <v>12.3</v>
      </c>
      <c r="B257" s="10">
        <f t="shared" si="15"/>
        <v>0.95712252686604515</v>
      </c>
      <c r="C257" s="10">
        <f t="shared" si="17"/>
        <v>0.59082101208892668</v>
      </c>
      <c r="D257" s="4">
        <f t="shared" si="16"/>
        <v>4.4469739886194244E-2</v>
      </c>
      <c r="E257" s="66">
        <f t="shared" si="18"/>
        <v>2</v>
      </c>
      <c r="F257" s="4">
        <f t="shared" si="19"/>
        <v>5.0294217432909009E-2</v>
      </c>
    </row>
    <row r="258" spans="1:6">
      <c r="A258" s="66">
        <v>12.35</v>
      </c>
      <c r="B258" s="10">
        <f t="shared" si="15"/>
        <v>0.95687095022640267</v>
      </c>
      <c r="C258" s="10">
        <f t="shared" si="17"/>
        <v>0.58950852666890186</v>
      </c>
      <c r="D258" s="4">
        <f t="shared" si="16"/>
        <v>4.4487526086332892E-2</v>
      </c>
      <c r="E258" s="66">
        <f t="shared" si="18"/>
        <v>4</v>
      </c>
      <c r="F258" s="4">
        <f t="shared" si="19"/>
        <v>0.10037873264656709</v>
      </c>
    </row>
    <row r="259" spans="1:6">
      <c r="A259" s="66">
        <v>12.4</v>
      </c>
      <c r="B259" s="10">
        <f t="shared" si="15"/>
        <v>0.95661858754141882</v>
      </c>
      <c r="C259" s="10">
        <f t="shared" si="17"/>
        <v>0.5881984329063511</v>
      </c>
      <c r="D259" s="4">
        <f t="shared" si="16"/>
        <v>4.4505372557874248E-2</v>
      </c>
      <c r="E259" s="66">
        <f t="shared" si="18"/>
        <v>2</v>
      </c>
      <c r="F259" s="4">
        <f t="shared" si="19"/>
        <v>5.0084704391632651E-2</v>
      </c>
    </row>
    <row r="260" spans="1:6">
      <c r="A260" s="66">
        <v>12.45</v>
      </c>
      <c r="B260" s="10">
        <f t="shared" si="15"/>
        <v>0.95636543658100637</v>
      </c>
      <c r="C260" s="10">
        <f t="shared" si="17"/>
        <v>0.58689072604605541</v>
      </c>
      <c r="D260" s="4">
        <f t="shared" si="16"/>
        <v>4.4523279505057661E-2</v>
      </c>
      <c r="E260" s="66">
        <f t="shared" si="18"/>
        <v>4</v>
      </c>
      <c r="F260" s="4">
        <f t="shared" si="19"/>
        <v>9.9960462437525252E-2</v>
      </c>
    </row>
    <row r="261" spans="1:6">
      <c r="A261" s="66">
        <v>12.5</v>
      </c>
      <c r="B261" s="10">
        <f t="shared" si="15"/>
        <v>0.95611149511028903</v>
      </c>
      <c r="C261" s="10">
        <f t="shared" si="17"/>
        <v>0.58558540134282233</v>
      </c>
      <c r="D261" s="4">
        <f t="shared" si="16"/>
        <v>4.4541247132814578E-2</v>
      </c>
      <c r="E261" s="66">
        <f t="shared" si="18"/>
        <v>2</v>
      </c>
      <c r="F261" s="4">
        <f t="shared" si="19"/>
        <v>4.9875946386178913E-2</v>
      </c>
    </row>
    <row r="262" spans="1:6">
      <c r="A262" s="66">
        <v>12.55</v>
      </c>
      <c r="B262" s="10">
        <f t="shared" si="15"/>
        <v>0.95585676088960247</v>
      </c>
      <c r="C262" s="10">
        <f t="shared" si="17"/>
        <v>0.58428245406147072</v>
      </c>
      <c r="D262" s="4">
        <f t="shared" si="16"/>
        <v>4.4559275646770889E-2</v>
      </c>
      <c r="E262" s="66">
        <f t="shared" si="18"/>
        <v>4</v>
      </c>
      <c r="F262" s="4">
        <f t="shared" si="19"/>
        <v>9.9543698952169649E-2</v>
      </c>
    </row>
    <row r="263" spans="1:6">
      <c r="A263" s="66">
        <v>12.6</v>
      </c>
      <c r="B263" s="10">
        <f t="shared" si="15"/>
        <v>0.95560123167449484</v>
      </c>
      <c r="C263" s="10">
        <f t="shared" si="17"/>
        <v>0.58298187947681535</v>
      </c>
      <c r="D263" s="4">
        <f t="shared" si="16"/>
        <v>4.457736525324929E-2</v>
      </c>
      <c r="E263" s="66">
        <f t="shared" si="18"/>
        <v>2</v>
      </c>
      <c r="F263" s="4">
        <f t="shared" si="19"/>
        <v>4.9667940071380187E-2</v>
      </c>
    </row>
    <row r="264" spans="1:6">
      <c r="A264" s="66">
        <v>12.65</v>
      </c>
      <c r="B264" s="10">
        <f t="shared" si="15"/>
        <v>0.95534490521572857</v>
      </c>
      <c r="C264" s="10">
        <f t="shared" si="17"/>
        <v>0.58168367287365141</v>
      </c>
      <c r="D264" s="4">
        <f t="shared" si="16"/>
        <v>4.4595516159271632E-2</v>
      </c>
      <c r="E264" s="66">
        <f t="shared" si="18"/>
        <v>4</v>
      </c>
      <c r="F264" s="4">
        <f t="shared" si="19"/>
        <v>9.9128435511320223E-2</v>
      </c>
    </row>
    <row r="265" spans="1:6">
      <c r="A265" s="66">
        <v>12.7</v>
      </c>
      <c r="B265" s="10">
        <f t="shared" si="15"/>
        <v>0.95508777925928057</v>
      </c>
      <c r="C265" s="10">
        <f t="shared" si="17"/>
        <v>0.58038782954673951</v>
      </c>
      <c r="D265" s="4">
        <f t="shared" si="16"/>
        <v>4.4613728572561281E-2</v>
      </c>
      <c r="E265" s="66">
        <f t="shared" si="18"/>
        <v>2</v>
      </c>
      <c r="F265" s="4">
        <f t="shared" si="19"/>
        <v>4.9460682113213597E-2</v>
      </c>
    </row>
    <row r="266" spans="1:6">
      <c r="A266" s="66">
        <v>12.75</v>
      </c>
      <c r="B266" s="10">
        <f t="shared" si="15"/>
        <v>0.95482985154634425</v>
      </c>
      <c r="C266" s="10">
        <f t="shared" si="17"/>
        <v>0.57909434480079003</v>
      </c>
      <c r="D266" s="4">
        <f t="shared" si="16"/>
        <v>4.4632002701545506E-2</v>
      </c>
      <c r="E266" s="66">
        <f t="shared" si="18"/>
        <v>4</v>
      </c>
      <c r="F266" s="4">
        <f t="shared" si="19"/>
        <v>9.8714665458044623E-2</v>
      </c>
    </row>
    <row r="267" spans="1:6">
      <c r="A267" s="66">
        <v>12.8</v>
      </c>
      <c r="B267" s="10">
        <f t="shared" ref="B267:B330" si="20">B$7^((B$4^B$6)*((B$4^A267)-1))</f>
        <v>0.95457111981333065</v>
      </c>
      <c r="C267" s="10">
        <f t="shared" si="17"/>
        <v>0.57780321395044898</v>
      </c>
      <c r="D267" s="4">
        <f t="shared" ref="D267:D330" si="21">B$5+B$3*(B$4^(B$6+A267))</f>
        <v>4.4650338755357892E-2</v>
      </c>
      <c r="E267" s="66">
        <f t="shared" si="18"/>
        <v>2</v>
      </c>
      <c r="F267" s="4">
        <f t="shared" si="19"/>
        <v>4.925416918875939E-2</v>
      </c>
    </row>
    <row r="268" spans="1:6">
      <c r="A268" s="66">
        <v>12.85</v>
      </c>
      <c r="B268" s="10">
        <f t="shared" si="20"/>
        <v>0.95431158179186948</v>
      </c>
      <c r="C268" s="10">
        <f t="shared" ref="C268:C331" si="22">B268*EXP(-B$5*A268)</f>
        <v>0.57651443232028154</v>
      </c>
      <c r="D268" s="4">
        <f t="shared" si="21"/>
        <v>4.466873694384068E-2</v>
      </c>
      <c r="E268" s="66">
        <f t="shared" si="18"/>
        <v>4</v>
      </c>
      <c r="F268" s="4">
        <f t="shared" si="19"/>
        <v>9.8302382157575974E-2</v>
      </c>
    </row>
    <row r="269" spans="1:6">
      <c r="A269" s="66">
        <v>12.9</v>
      </c>
      <c r="B269" s="10">
        <f t="shared" si="20"/>
        <v>0.95405123520881141</v>
      </c>
      <c r="C269" s="10">
        <f t="shared" si="22"/>
        <v>0.57522799524475743</v>
      </c>
      <c r="D269" s="4">
        <f t="shared" si="21"/>
        <v>4.4687197477547208E-2</v>
      </c>
      <c r="E269" s="66">
        <f t="shared" si="18"/>
        <v>2</v>
      </c>
      <c r="F269" s="4">
        <f t="shared" si="19"/>
        <v>4.9048397986160119E-2</v>
      </c>
    </row>
    <row r="270" spans="1:6">
      <c r="A270" s="66">
        <v>12.95</v>
      </c>
      <c r="B270" s="10">
        <f t="shared" si="20"/>
        <v>0.95379007778622937</v>
      </c>
      <c r="C270" s="10">
        <f t="shared" si="22"/>
        <v>0.57394389806823654</v>
      </c>
      <c r="D270" s="4">
        <f t="shared" si="21"/>
        <v>4.47057205677443E-2</v>
      </c>
      <c r="E270" s="66">
        <f t="shared" ref="E270:E333" si="23">IF(E269=4,2,4)</f>
        <v>4</v>
      </c>
      <c r="F270" s="4">
        <f t="shared" ref="F270:F333" si="24">B270*C270*D270*E270</f>
        <v>9.7891578997230846E-2</v>
      </c>
    </row>
    <row r="271" spans="1:6">
      <c r="A271" s="66">
        <v>13</v>
      </c>
      <c r="B271" s="10">
        <f t="shared" si="20"/>
        <v>0.95352810724142023</v>
      </c>
      <c r="C271" s="10">
        <f t="shared" si="22"/>
        <v>0.57266213614495309</v>
      </c>
      <c r="D271" s="4">
        <f t="shared" si="21"/>
        <v>4.472430642641468E-2</v>
      </c>
      <c r="E271" s="66">
        <f t="shared" si="23"/>
        <v>2</v>
      </c>
      <c r="F271" s="4">
        <f t="shared" si="24"/>
        <v>4.8843365204579825E-2</v>
      </c>
    </row>
    <row r="272" spans="1:6">
      <c r="A272" s="66">
        <v>13.05</v>
      </c>
      <c r="B272" s="10">
        <f t="shared" si="20"/>
        <v>0.95326532128690666</v>
      </c>
      <c r="C272" s="10">
        <f t="shared" si="22"/>
        <v>0.57138270483900111</v>
      </c>
      <c r="D272" s="4">
        <f t="shared" si="21"/>
        <v>4.4742955266259467E-2</v>
      </c>
      <c r="E272" s="66">
        <f t="shared" si="23"/>
        <v>4</v>
      </c>
      <c r="F272" s="4">
        <f t="shared" si="24"/>
        <v>9.7482249386328809E-2</v>
      </c>
    </row>
    <row r="273" spans="1:6">
      <c r="A273" s="66">
        <v>13.1</v>
      </c>
      <c r="B273" s="10">
        <f t="shared" si="20"/>
        <v>0.95300171763043973</v>
      </c>
      <c r="C273" s="10">
        <f t="shared" si="22"/>
        <v>0.5701055995243195</v>
      </c>
      <c r="D273" s="4">
        <f t="shared" si="21"/>
        <v>4.4761667300700476E-2</v>
      </c>
      <c r="E273" s="66">
        <f t="shared" si="23"/>
        <v>2</v>
      </c>
      <c r="F273" s="4">
        <f t="shared" si="24"/>
        <v>4.8639067554164028E-2</v>
      </c>
    </row>
    <row r="274" spans="1:6">
      <c r="A274" s="66">
        <v>13.15</v>
      </c>
      <c r="B274" s="10">
        <f t="shared" si="20"/>
        <v>0.95273729397500018</v>
      </c>
      <c r="C274" s="10">
        <f t="shared" si="22"/>
        <v>0.56883081558467674</v>
      </c>
      <c r="D274" s="4">
        <f t="shared" si="21"/>
        <v>4.4780442743882785E-2</v>
      </c>
      <c r="E274" s="66">
        <f t="shared" si="23"/>
        <v>4</v>
      </c>
      <c r="F274" s="4">
        <f t="shared" si="24"/>
        <v>9.7074386756112449E-2</v>
      </c>
    </row>
    <row r="275" spans="1:6">
      <c r="A275" s="66">
        <v>13.2</v>
      </c>
      <c r="B275" s="10">
        <f t="shared" si="20"/>
        <v>0.95247204801880148</v>
      </c>
      <c r="C275" s="10">
        <f t="shared" si="22"/>
        <v>0.56755834841365727</v>
      </c>
      <c r="D275" s="4">
        <f t="shared" si="21"/>
        <v>4.4799281810677112E-2</v>
      </c>
      <c r="E275" s="66">
        <f t="shared" si="23"/>
        <v>2</v>
      </c>
      <c r="F275" s="4">
        <f t="shared" si="24"/>
        <v>4.8435501755999949E-2</v>
      </c>
    </row>
    <row r="276" spans="1:6">
      <c r="A276" s="66">
        <v>13.25</v>
      </c>
      <c r="B276" s="10">
        <f t="shared" si="20"/>
        <v>0.95220597745529145</v>
      </c>
      <c r="C276" s="10">
        <f t="shared" si="22"/>
        <v>0.56628819341464498</v>
      </c>
      <c r="D276" s="4">
        <f t="shared" si="21"/>
        <v>4.4818184716682315E-2</v>
      </c>
      <c r="E276" s="66">
        <f t="shared" si="23"/>
        <v>4</v>
      </c>
      <c r="F276" s="4">
        <f t="shared" si="24"/>
        <v>9.6667984559668602E-2</v>
      </c>
    </row>
    <row r="277" spans="1:6">
      <c r="A277" s="66">
        <v>13.3</v>
      </c>
      <c r="B277" s="10">
        <f t="shared" si="20"/>
        <v>0.95193907997315497</v>
      </c>
      <c r="C277" s="10">
        <f t="shared" si="22"/>
        <v>0.56502034600080997</v>
      </c>
      <c r="D277" s="4">
        <f t="shared" si="21"/>
        <v>4.4837151678227841E-2</v>
      </c>
      <c r="E277" s="66">
        <f t="shared" si="23"/>
        <v>2</v>
      </c>
      <c r="F277" s="4">
        <f t="shared" si="24"/>
        <v>4.8232664542077357E-2</v>
      </c>
    </row>
    <row r="278" spans="1:6">
      <c r="A278" s="66">
        <v>13.35</v>
      </c>
      <c r="B278" s="10">
        <f t="shared" si="20"/>
        <v>0.95167135325631702</v>
      </c>
      <c r="C278" s="10">
        <f t="shared" si="22"/>
        <v>0.56375480159509339</v>
      </c>
      <c r="D278" s="4">
        <f t="shared" si="21"/>
        <v>4.4856182912376197E-2</v>
      </c>
      <c r="E278" s="66">
        <f t="shared" si="23"/>
        <v>4</v>
      </c>
      <c r="F278" s="4">
        <f t="shared" si="24"/>
        <v>9.6263036271850053E-2</v>
      </c>
    </row>
    <row r="279" spans="1:6">
      <c r="A279" s="66">
        <v>13.4</v>
      </c>
      <c r="B279" s="10">
        <f t="shared" si="20"/>
        <v>0.95140279498394453</v>
      </c>
      <c r="C279" s="10">
        <f t="shared" si="22"/>
        <v>0.56249155563019249</v>
      </c>
      <c r="D279" s="4">
        <f t="shared" si="21"/>
        <v>4.4875278636925447E-2</v>
      </c>
      <c r="E279" s="66">
        <f t="shared" si="23"/>
        <v>2</v>
      </c>
      <c r="F279" s="4">
        <f t="shared" si="24"/>
        <v>4.8030552655249754E-2</v>
      </c>
    </row>
    <row r="280" spans="1:6">
      <c r="A280" s="66">
        <v>13.45</v>
      </c>
      <c r="B280" s="10">
        <f t="shared" si="20"/>
        <v>0.95113340283045</v>
      </c>
      <c r="C280" s="10">
        <f t="shared" si="22"/>
        <v>0.56123060354854637</v>
      </c>
      <c r="D280" s="4">
        <f t="shared" si="21"/>
        <v>4.4894439070411699E-2</v>
      </c>
      <c r="E280" s="66">
        <f t="shared" si="23"/>
        <v>4</v>
      </c>
      <c r="F280" s="4">
        <f t="shared" si="24"/>
        <v>9.585953538919878E-2</v>
      </c>
    </row>
    <row r="281" spans="1:6">
      <c r="A281" s="66">
        <v>13.5</v>
      </c>
      <c r="B281" s="10">
        <f t="shared" si="20"/>
        <v>0.95086317446549384</v>
      </c>
      <c r="C281" s="10">
        <f t="shared" si="22"/>
        <v>0.5599719408023216</v>
      </c>
      <c r="D281" s="4">
        <f t="shared" si="21"/>
        <v>4.4913664432111595E-2</v>
      </c>
      <c r="E281" s="66">
        <f t="shared" si="23"/>
        <v>2</v>
      </c>
      <c r="F281" s="4">
        <f t="shared" si="24"/>
        <v>4.7829162849196021E-2</v>
      </c>
    </row>
    <row r="282" spans="1:6">
      <c r="A282" s="66">
        <v>13.55</v>
      </c>
      <c r="B282" s="10">
        <f t="shared" si="20"/>
        <v>0.9505921075539876</v>
      </c>
      <c r="C282" s="10">
        <f t="shared" si="22"/>
        <v>0.5587155628533973</v>
      </c>
      <c r="D282" s="4">
        <f t="shared" si="21"/>
        <v>4.4932954942044856E-2</v>
      </c>
      <c r="E282" s="66">
        <f t="shared" si="23"/>
        <v>4</v>
      </c>
      <c r="F282" s="4">
        <f t="shared" si="24"/>
        <v>9.5457475429869543E-2</v>
      </c>
    </row>
    <row r="283" spans="1:6">
      <c r="A283" s="66">
        <v>13.6</v>
      </c>
      <c r="B283" s="10">
        <f t="shared" si="20"/>
        <v>0.95032019975609738</v>
      </c>
      <c r="C283" s="10">
        <f t="shared" si="22"/>
        <v>0.55746146517335127</v>
      </c>
      <c r="D283" s="4">
        <f t="shared" si="21"/>
        <v>4.4952310820976747E-2</v>
      </c>
      <c r="E283" s="66">
        <f t="shared" si="23"/>
        <v>2</v>
      </c>
      <c r="F283" s="4">
        <f t="shared" si="24"/>
        <v>4.7628491888382689E-2</v>
      </c>
    </row>
    <row r="284" spans="1:6">
      <c r="A284" s="66">
        <v>13.65</v>
      </c>
      <c r="B284" s="10">
        <f t="shared" si="20"/>
        <v>0.95004744872724667</v>
      </c>
      <c r="C284" s="10">
        <f t="shared" si="22"/>
        <v>0.55620964324344491</v>
      </c>
      <c r="D284" s="4">
        <f t="shared" si="21"/>
        <v>4.4971732290420646E-2</v>
      </c>
      <c r="E284" s="66">
        <f t="shared" si="23"/>
        <v>4</v>
      </c>
      <c r="F284" s="4">
        <f t="shared" si="24"/>
        <v>9.5056849933554968E-2</v>
      </c>
    </row>
    <row r="285" spans="1:6">
      <c r="A285" s="66">
        <v>13.7</v>
      </c>
      <c r="B285" s="10">
        <f t="shared" si="20"/>
        <v>0.94977385211812004</v>
      </c>
      <c r="C285" s="10">
        <f t="shared" si="22"/>
        <v>0.5549600925546091</v>
      </c>
      <c r="D285" s="4">
        <f t="shared" si="21"/>
        <v>4.4991219572640566E-2</v>
      </c>
      <c r="E285" s="66">
        <f t="shared" si="23"/>
        <v>2</v>
      </c>
      <c r="F285" s="4">
        <f t="shared" si="24"/>
        <v>4.7428536548026465E-2</v>
      </c>
    </row>
    <row r="286" spans="1:6">
      <c r="A286" s="66">
        <v>13.75</v>
      </c>
      <c r="B286" s="10">
        <f t="shared" si="20"/>
        <v>0.94949940757466667</v>
      </c>
      <c r="C286" s="10">
        <f t="shared" si="22"/>
        <v>0.55371280860743033</v>
      </c>
      <c r="D286" s="4">
        <f t="shared" si="21"/>
        <v>4.5010772890653694E-2</v>
      </c>
      <c r="E286" s="66">
        <f t="shared" si="23"/>
        <v>4</v>
      </c>
      <c r="F286" s="4">
        <f t="shared" si="24"/>
        <v>9.4657652461410793E-2</v>
      </c>
    </row>
    <row r="287" spans="1:6">
      <c r="A287" s="66">
        <v>13.8</v>
      </c>
      <c r="B287" s="10">
        <f t="shared" si="20"/>
        <v>0.94922411273810414</v>
      </c>
      <c r="C287" s="10">
        <f t="shared" si="22"/>
        <v>0.55246778691213616</v>
      </c>
      <c r="D287" s="4">
        <f t="shared" si="21"/>
        <v>4.5030392468232941E-2</v>
      </c>
      <c r="E287" s="66">
        <f t="shared" si="23"/>
        <v>2</v>
      </c>
      <c r="F287" s="4">
        <f t="shared" si="24"/>
        <v>4.7229293614057373E-2</v>
      </c>
    </row>
    <row r="288" spans="1:6">
      <c r="A288" s="66">
        <v>13.85</v>
      </c>
      <c r="B288" s="10">
        <f t="shared" si="20"/>
        <v>0.94894796524492164</v>
      </c>
      <c r="C288" s="10">
        <f t="shared" si="22"/>
        <v>0.55122502298858045</v>
      </c>
      <c r="D288" s="4">
        <f t="shared" si="21"/>
        <v>4.5050078529909526E-2</v>
      </c>
      <c r="E288" s="66">
        <f t="shared" si="23"/>
        <v>4</v>
      </c>
      <c r="F288" s="4">
        <f t="shared" si="24"/>
        <v>9.4259876595983214E-2</v>
      </c>
    </row>
    <row r="289" spans="1:6">
      <c r="A289" s="66">
        <v>13.9</v>
      </c>
      <c r="B289" s="10">
        <f t="shared" si="20"/>
        <v>0.94867096272688456</v>
      </c>
      <c r="C289" s="10">
        <f t="shared" si="22"/>
        <v>0.54998451236623025</v>
      </c>
      <c r="D289" s="4">
        <f t="shared" si="21"/>
        <v>4.5069831300975513E-2</v>
      </c>
      <c r="E289" s="66">
        <f t="shared" si="23"/>
        <v>2</v>
      </c>
      <c r="F289" s="4">
        <f t="shared" si="24"/>
        <v>4.7030759883082397E-2</v>
      </c>
    </row>
    <row r="290" spans="1:6">
      <c r="A290" s="66">
        <v>13.95</v>
      </c>
      <c r="B290" s="10">
        <f t="shared" si="20"/>
        <v>0.94839310281103806</v>
      </c>
      <c r="C290" s="10">
        <f t="shared" si="22"/>
        <v>0.54874625058415105</v>
      </c>
      <c r="D290" s="4">
        <f t="shared" si="21"/>
        <v>4.5089651007486395E-2</v>
      </c>
      <c r="E290" s="66">
        <f t="shared" si="23"/>
        <v>4</v>
      </c>
      <c r="F290" s="4">
        <f t="shared" si="24"/>
        <v>9.3863515941136011E-2</v>
      </c>
    </row>
    <row r="291" spans="1:6">
      <c r="A291" s="66">
        <v>14</v>
      </c>
      <c r="B291" s="10">
        <f t="shared" si="20"/>
        <v>0.94811438311971163</v>
      </c>
      <c r="C291" s="10">
        <f t="shared" si="22"/>
        <v>0.54751023319099246</v>
      </c>
      <c r="D291" s="4">
        <f t="shared" si="21"/>
        <v>4.5109537876263706E-2</v>
      </c>
      <c r="E291" s="66">
        <f t="shared" si="23"/>
        <v>2</v>
      </c>
      <c r="F291" s="4">
        <f t="shared" si="24"/>
        <v>4.683293216234951E-2</v>
      </c>
    </row>
    <row r="292" spans="1:6">
      <c r="A292" s="66">
        <v>14.05</v>
      </c>
      <c r="B292" s="10">
        <f t="shared" si="20"/>
        <v>0.94783480127052278</v>
      </c>
      <c r="C292" s="10">
        <f t="shared" si="22"/>
        <v>0.54627645574497441</v>
      </c>
      <c r="D292" s="4">
        <f t="shared" si="21"/>
        <v>4.5129492134897628E-2</v>
      </c>
      <c r="E292" s="66">
        <f t="shared" si="23"/>
        <v>4</v>
      </c>
      <c r="F292" s="4">
        <f t="shared" si="24"/>
        <v>9.34685641219795E-2</v>
      </c>
    </row>
    <row r="293" spans="1:6">
      <c r="A293" s="66">
        <v>14.1</v>
      </c>
      <c r="B293" s="10">
        <f t="shared" si="20"/>
        <v>0.94755435487638207</v>
      </c>
      <c r="C293" s="10">
        <f t="shared" si="22"/>
        <v>0.54504491381387354</v>
      </c>
      <c r="D293" s="4">
        <f t="shared" si="21"/>
        <v>4.5149514011749513E-2</v>
      </c>
      <c r="E293" s="66">
        <f t="shared" si="23"/>
        <v>2</v>
      </c>
      <c r="F293" s="4">
        <f t="shared" si="24"/>
        <v>4.6635807269712205E-2</v>
      </c>
    </row>
    <row r="294" spans="1:6">
      <c r="A294" s="66">
        <v>14.15</v>
      </c>
      <c r="B294" s="10">
        <f t="shared" si="20"/>
        <v>0.94727304154549752</v>
      </c>
      <c r="C294" s="10">
        <f t="shared" si="22"/>
        <v>0.54381560297500908</v>
      </c>
      <c r="D294" s="4">
        <f t="shared" si="21"/>
        <v>4.5169603735954578E-2</v>
      </c>
      <c r="E294" s="66">
        <f t="shared" si="23"/>
        <v>4</v>
      </c>
      <c r="F294" s="4">
        <f t="shared" si="24"/>
        <v>9.3075014784799973E-2</v>
      </c>
    </row>
    <row r="295" spans="1:6">
      <c r="A295" s="66">
        <v>14.2</v>
      </c>
      <c r="B295" s="10">
        <f t="shared" si="20"/>
        <v>0.94699085888137891</v>
      </c>
      <c r="C295" s="10">
        <f t="shared" si="22"/>
        <v>0.54258851881522852</v>
      </c>
      <c r="D295" s="4">
        <f t="shared" si="21"/>
        <v>4.518976153742451E-2</v>
      </c>
      <c r="E295" s="66">
        <f t="shared" si="23"/>
        <v>2</v>
      </c>
      <c r="F295" s="4">
        <f t="shared" si="24"/>
        <v>4.6439382033594649E-2</v>
      </c>
    </row>
    <row r="296" spans="1:6">
      <c r="A296" s="66">
        <v>14.25</v>
      </c>
      <c r="B296" s="10">
        <f t="shared" si="20"/>
        <v>0.94670780448284308</v>
      </c>
      <c r="C296" s="10">
        <f t="shared" si="22"/>
        <v>0.54136365693089383</v>
      </c>
      <c r="D296" s="4">
        <f t="shared" si="21"/>
        <v>4.5209987646850081E-2</v>
      </c>
      <c r="E296" s="66">
        <f t="shared" si="23"/>
        <v>4</v>
      </c>
      <c r="F296" s="4">
        <f t="shared" si="24"/>
        <v>9.2682861596990462E-2</v>
      </c>
    </row>
    <row r="297" spans="1:6">
      <c r="A297" s="66">
        <v>14.3</v>
      </c>
      <c r="B297" s="10">
        <f t="shared" si="20"/>
        <v>0.94642387594401844</v>
      </c>
      <c r="C297" s="10">
        <f t="shared" si="22"/>
        <v>0.54014101292786831</v>
      </c>
      <c r="D297" s="4">
        <f t="shared" si="21"/>
        <v>4.5230282295703791E-2</v>
      </c>
      <c r="E297" s="66">
        <f t="shared" si="23"/>
        <v>2</v>
      </c>
      <c r="F297" s="4">
        <f t="shared" si="24"/>
        <v>4.624365329295714E-2</v>
      </c>
    </row>
    <row r="298" spans="1:6">
      <c r="A298" s="66">
        <v>14.35</v>
      </c>
      <c r="B298" s="10">
        <f t="shared" si="20"/>
        <v>0.94613907085435067</v>
      </c>
      <c r="C298" s="10">
        <f t="shared" si="22"/>
        <v>0.5389205824215022</v>
      </c>
      <c r="D298" s="4">
        <f t="shared" si="21"/>
        <v>4.525064571624253E-2</v>
      </c>
      <c r="E298" s="66">
        <f t="shared" si="23"/>
        <v>4</v>
      </c>
      <c r="F298" s="4">
        <f t="shared" si="24"/>
        <v>9.2292098246982257E-2</v>
      </c>
    </row>
    <row r="299" spans="1:6">
      <c r="A299" s="66">
        <v>14.4</v>
      </c>
      <c r="B299" s="10">
        <f t="shared" si="20"/>
        <v>0.9458533867986072</v>
      </c>
      <c r="C299" s="10">
        <f t="shared" si="22"/>
        <v>0.53770236103661906</v>
      </c>
      <c r="D299" s="4">
        <f t="shared" si="21"/>
        <v>4.5271078141510226E-2</v>
      </c>
      <c r="E299" s="66">
        <f t="shared" si="23"/>
        <v>2</v>
      </c>
      <c r="F299" s="4">
        <f t="shared" si="24"/>
        <v>4.6048617897262244E-2</v>
      </c>
    </row>
    <row r="300" spans="1:6">
      <c r="A300" s="66">
        <v>14.45</v>
      </c>
      <c r="B300" s="10">
        <f t="shared" si="20"/>
        <v>0.94556682135688308</v>
      </c>
      <c r="C300" s="10">
        <f t="shared" si="22"/>
        <v>0.53648634440750231</v>
      </c>
      <c r="D300" s="4">
        <f t="shared" si="21"/>
        <v>4.5291579805340515E-2</v>
      </c>
      <c r="E300" s="66">
        <f t="shared" si="23"/>
        <v>4</v>
      </c>
      <c r="F300" s="4">
        <f t="shared" si="24"/>
        <v>9.1902718444177633E-2</v>
      </c>
    </row>
    <row r="301" spans="1:6">
      <c r="A301" s="66">
        <v>14.5</v>
      </c>
      <c r="B301" s="10">
        <f t="shared" si="20"/>
        <v>0.94527937210460633</v>
      </c>
      <c r="C301" s="10">
        <f t="shared" si="22"/>
        <v>0.53527252817788107</v>
      </c>
      <c r="D301" s="4">
        <f t="shared" si="21"/>
        <v>4.5312150942359408E-2</v>
      </c>
      <c r="E301" s="66">
        <f t="shared" si="23"/>
        <v>2</v>
      </c>
      <c r="F301" s="4">
        <f t="shared" si="24"/>
        <v>4.5854272706441365E-2</v>
      </c>
    </row>
    <row r="302" spans="1:6">
      <c r="A302" s="66">
        <v>14.55</v>
      </c>
      <c r="B302" s="10">
        <f t="shared" si="20"/>
        <v>0.94499103661254347</v>
      </c>
      <c r="C302" s="10">
        <f t="shared" si="22"/>
        <v>0.53406090800091743</v>
      </c>
      <c r="D302" s="4">
        <f t="shared" si="21"/>
        <v>4.5332791787987992E-2</v>
      </c>
      <c r="E302" s="66">
        <f t="shared" si="23"/>
        <v>4</v>
      </c>
      <c r="F302" s="4">
        <f t="shared" si="24"/>
        <v>9.1514715918883369E-2</v>
      </c>
    </row>
    <row r="303" spans="1:6">
      <c r="A303" s="66">
        <v>14.6</v>
      </c>
      <c r="B303" s="10">
        <f t="shared" si="20"/>
        <v>0.94470181244680562</v>
      </c>
      <c r="C303" s="10">
        <f t="shared" si="22"/>
        <v>0.53285147953919221</v>
      </c>
      <c r="D303" s="4">
        <f t="shared" si="21"/>
        <v>4.5353502578445115E-2</v>
      </c>
      <c r="E303" s="66">
        <f t="shared" si="23"/>
        <v>2</v>
      </c>
      <c r="F303" s="4">
        <f t="shared" si="24"/>
        <v>4.5660614590861758E-2</v>
      </c>
    </row>
    <row r="304" spans="1:6">
      <c r="A304" s="66">
        <v>14.65</v>
      </c>
      <c r="B304" s="10">
        <f t="shared" si="20"/>
        <v>0.94441169716885376</v>
      </c>
      <c r="C304" s="10">
        <f t="shared" si="22"/>
        <v>0.53164423846469155</v>
      </c>
      <c r="D304" s="4">
        <f t="shared" si="21"/>
        <v>4.5374283550750093E-2</v>
      </c>
      <c r="E304" s="66">
        <f t="shared" si="23"/>
        <v>4</v>
      </c>
      <c r="F304" s="4">
        <f t="shared" si="24"/>
        <v>9.1128084422245598E-2</v>
      </c>
    </row>
    <row r="305" spans="1:6">
      <c r="A305" s="66">
        <v>14.7</v>
      </c>
      <c r="B305" s="10">
        <f t="shared" si="20"/>
        <v>0.94412068833550555</v>
      </c>
      <c r="C305" s="10">
        <f t="shared" si="22"/>
        <v>0.53043918045879368</v>
      </c>
      <c r="D305" s="4">
        <f t="shared" si="21"/>
        <v>4.5395134942725408E-2</v>
      </c>
      <c r="E305" s="66">
        <f t="shared" si="23"/>
        <v>2</v>
      </c>
      <c r="F305" s="4">
        <f t="shared" si="24"/>
        <v>4.5467640431294205E-2</v>
      </c>
    </row>
    <row r="306" spans="1:6">
      <c r="A306" s="66">
        <v>14.75</v>
      </c>
      <c r="B306" s="10">
        <f t="shared" si="20"/>
        <v>0.94382878349894128</v>
      </c>
      <c r="C306" s="10">
        <f t="shared" si="22"/>
        <v>0.52923630121225529</v>
      </c>
      <c r="D306" s="4">
        <f t="shared" si="21"/>
        <v>4.5416056992999457E-2</v>
      </c>
      <c r="E306" s="66">
        <f t="shared" si="23"/>
        <v>4</v>
      </c>
      <c r="F306" s="4">
        <f t="shared" si="24"/>
        <v>9.074281772618531E-2</v>
      </c>
    </row>
    <row r="307" spans="1:6">
      <c r="A307" s="66">
        <v>14.8</v>
      </c>
      <c r="B307" s="10">
        <f t="shared" si="20"/>
        <v>0.94353598020670981</v>
      </c>
      <c r="C307" s="10">
        <f t="shared" si="22"/>
        <v>0.52803559642519848</v>
      </c>
      <c r="D307" s="4">
        <f t="shared" si="21"/>
        <v>4.543704994100925E-2</v>
      </c>
      <c r="E307" s="66">
        <f t="shared" si="23"/>
        <v>2</v>
      </c>
      <c r="F307" s="4">
        <f t="shared" si="24"/>
        <v>4.5275347118881072E-2</v>
      </c>
    </row>
    <row r="308" spans="1:6">
      <c r="A308" s="66">
        <v>14.85</v>
      </c>
      <c r="B308" s="10">
        <f t="shared" si="20"/>
        <v>0.9432422760017356</v>
      </c>
      <c r="C308" s="10">
        <f t="shared" si="22"/>
        <v>0.52683706180709711</v>
      </c>
      <c r="D308" s="4">
        <f t="shared" si="21"/>
        <v>4.5458114027003199E-2</v>
      </c>
      <c r="E308" s="66">
        <f t="shared" si="23"/>
        <v>4</v>
      </c>
      <c r="F308" s="4">
        <f t="shared" si="24"/>
        <v>9.0358909623335384E-2</v>
      </c>
    </row>
    <row r="309" spans="1:6">
      <c r="A309" s="66">
        <v>14.9</v>
      </c>
      <c r="B309" s="10">
        <f t="shared" si="20"/>
        <v>0.94294766842232502</v>
      </c>
      <c r="C309" s="10">
        <f t="shared" si="22"/>
        <v>0.52564069307676331</v>
      </c>
      <c r="D309" s="4">
        <f t="shared" si="21"/>
        <v>4.5479249492043801E-2</v>
      </c>
      <c r="E309" s="66">
        <f t="shared" si="23"/>
        <v>2</v>
      </c>
      <c r="F309" s="4">
        <f t="shared" si="24"/>
        <v>4.5083731555105033E-2</v>
      </c>
    </row>
    <row r="310" spans="1:6">
      <c r="A310" s="66">
        <v>14.95</v>
      </c>
      <c r="B310" s="10">
        <f t="shared" si="20"/>
        <v>0.94265215500217336</v>
      </c>
      <c r="C310" s="10">
        <f t="shared" si="22"/>
        <v>0.52444648596233501</v>
      </c>
      <c r="D310" s="4">
        <f t="shared" si="21"/>
        <v>4.5500456578010447E-2</v>
      </c>
      <c r="E310" s="66">
        <f t="shared" si="23"/>
        <v>4</v>
      </c>
      <c r="F310" s="4">
        <f t="shared" si="24"/>
        <v>8.9976353926978087E-2</v>
      </c>
    </row>
    <row r="311" spans="1:6">
      <c r="A311" s="66">
        <v>15</v>
      </c>
      <c r="B311" s="10">
        <f t="shared" si="20"/>
        <v>0.94235573327037159</v>
      </c>
      <c r="C311" s="10">
        <f t="shared" si="22"/>
        <v>0.523254436201262</v>
      </c>
      <c r="D311" s="4">
        <f t="shared" si="21"/>
        <v>4.5521735527602164E-2</v>
      </c>
      <c r="E311" s="66">
        <f t="shared" si="23"/>
        <v>2</v>
      </c>
      <c r="F311" s="4">
        <f t="shared" si="24"/>
        <v>4.4892790651758094E-2</v>
      </c>
    </row>
    <row r="312" spans="1:6">
      <c r="A312" s="66">
        <v>15.05</v>
      </c>
      <c r="B312" s="10">
        <f t="shared" si="20"/>
        <v>0.94205840075141356</v>
      </c>
      <c r="C312" s="10">
        <f t="shared" si="22"/>
        <v>0.52206453954029319</v>
      </c>
      <c r="D312" s="4">
        <f t="shared" si="21"/>
        <v>4.5543086584340468E-2</v>
      </c>
      <c r="E312" s="66">
        <f t="shared" si="23"/>
        <v>4</v>
      </c>
      <c r="F312" s="4">
        <f t="shared" si="24"/>
        <v>8.9595144470984253E-2</v>
      </c>
    </row>
    <row r="313" spans="1:6">
      <c r="A313" s="66">
        <v>15.1</v>
      </c>
      <c r="B313" s="10">
        <f t="shared" si="20"/>
        <v>0.94176015496520304</v>
      </c>
      <c r="C313" s="10">
        <f t="shared" si="22"/>
        <v>0.52087679173546353</v>
      </c>
      <c r="D313" s="4">
        <f t="shared" si="21"/>
        <v>4.5564509992571979E-2</v>
      </c>
      <c r="E313" s="66">
        <f t="shared" si="23"/>
        <v>2</v>
      </c>
      <c r="F313" s="4">
        <f t="shared" si="24"/>
        <v>4.4702521330911571E-2</v>
      </c>
    </row>
    <row r="314" spans="1:6">
      <c r="A314" s="66">
        <v>15.15</v>
      </c>
      <c r="B314" s="10">
        <f t="shared" si="20"/>
        <v>0.94146099342706147</v>
      </c>
      <c r="C314" s="10">
        <f t="shared" si="22"/>
        <v>0.5196911885520803</v>
      </c>
      <c r="D314" s="4">
        <f t="shared" si="21"/>
        <v>4.5586005997471403E-2</v>
      </c>
      <c r="E314" s="66">
        <f t="shared" si="23"/>
        <v>4</v>
      </c>
      <c r="F314" s="4">
        <f t="shared" si="24"/>
        <v>8.9215275109753162E-2</v>
      </c>
    </row>
    <row r="315" spans="1:6">
      <c r="A315" s="66">
        <v>15.2</v>
      </c>
      <c r="B315" s="10">
        <f t="shared" si="20"/>
        <v>0.94116091364773524</v>
      </c>
      <c r="C315" s="10">
        <f t="shared" si="22"/>
        <v>0.51850772576471116</v>
      </c>
      <c r="D315" s="4">
        <f t="shared" si="21"/>
        <v>4.5607574845044227E-2</v>
      </c>
      <c r="E315" s="66">
        <f t="shared" si="23"/>
        <v>2</v>
      </c>
      <c r="F315" s="4">
        <f t="shared" si="24"/>
        <v>4.4512920524886056E-2</v>
      </c>
    </row>
    <row r="316" spans="1:6">
      <c r="A316" s="66">
        <v>15.25</v>
      </c>
      <c r="B316" s="10">
        <f t="shared" si="20"/>
        <v>0.94085991313340323</v>
      </c>
      <c r="C316" s="10">
        <f t="shared" si="22"/>
        <v>0.51732639915717016</v>
      </c>
      <c r="D316" s="4">
        <f t="shared" si="21"/>
        <v>4.5629216782129584E-2</v>
      </c>
      <c r="E316" s="66">
        <f t="shared" si="23"/>
        <v>4</v>
      </c>
      <c r="F316" s="4">
        <f t="shared" si="24"/>
        <v>8.8836739718153479E-2</v>
      </c>
    </row>
    <row r="317" spans="1:6">
      <c r="A317" s="66">
        <v>15.3</v>
      </c>
      <c r="B317" s="10">
        <f t="shared" si="20"/>
        <v>0.94055798938568524</v>
      </c>
      <c r="C317" s="10">
        <f t="shared" si="22"/>
        <v>0.51614720452250551</v>
      </c>
      <c r="D317" s="4">
        <f t="shared" si="21"/>
        <v>4.5650932056403054E-2</v>
      </c>
      <c r="E317" s="66">
        <f t="shared" si="23"/>
        <v>2</v>
      </c>
      <c r="F317" s="4">
        <f t="shared" si="24"/>
        <v>4.4323985176222373E-2</v>
      </c>
    </row>
    <row r="318" spans="1:6">
      <c r="A318" s="66">
        <v>15.35</v>
      </c>
      <c r="B318" s="10">
        <f t="shared" si="20"/>
        <v>0.94025513990164922</v>
      </c>
      <c r="C318" s="10">
        <f t="shared" si="22"/>
        <v>0.51497013766298616</v>
      </c>
      <c r="D318" s="4">
        <f t="shared" si="21"/>
        <v>4.5672720916379507E-2</v>
      </c>
      <c r="E318" s="66">
        <f t="shared" si="23"/>
        <v>4</v>
      </c>
      <c r="F318" s="4">
        <f t="shared" si="24"/>
        <v>8.8459532191465504E-2</v>
      </c>
    </row>
    <row r="319" spans="1:6">
      <c r="A319" s="66">
        <v>15.4</v>
      </c>
      <c r="B319" s="10">
        <f t="shared" si="20"/>
        <v>0.93995136217382014</v>
      </c>
      <c r="C319" s="10">
        <f t="shared" si="22"/>
        <v>0.51379519439008958</v>
      </c>
      <c r="D319" s="4">
        <f t="shared" si="21"/>
        <v>4.5694583611415943E-2</v>
      </c>
      <c r="E319" s="66">
        <f t="shared" si="23"/>
        <v>2</v>
      </c>
      <c r="F319" s="4">
        <f t="shared" si="24"/>
        <v>4.4135712237652919E-2</v>
      </c>
    </row>
    <row r="320" spans="1:6">
      <c r="A320" s="66">
        <v>15.45</v>
      </c>
      <c r="B320" s="10">
        <f t="shared" si="20"/>
        <v>0.93964665369018785</v>
      </c>
      <c r="C320" s="10">
        <f t="shared" si="22"/>
        <v>0.51262237052448811</v>
      </c>
      <c r="D320" s="4">
        <f t="shared" si="21"/>
        <v>4.5716520391714352E-2</v>
      </c>
      <c r="E320" s="66">
        <f t="shared" si="23"/>
        <v>4</v>
      </c>
      <c r="F320" s="4">
        <f t="shared" si="24"/>
        <v>8.8083646445324418E-2</v>
      </c>
    </row>
    <row r="321" spans="1:6">
      <c r="A321" s="66">
        <v>15.5</v>
      </c>
      <c r="B321" s="10">
        <f t="shared" si="20"/>
        <v>0.93934101193421593</v>
      </c>
      <c r="C321" s="10">
        <f t="shared" si="22"/>
        <v>0.51145166189603719</v>
      </c>
      <c r="D321" s="4">
        <f t="shared" si="21"/>
        <v>4.5738531508324569E-2</v>
      </c>
      <c r="E321" s="66">
        <f t="shared" si="23"/>
        <v>2</v>
      </c>
      <c r="F321" s="4">
        <f t="shared" si="24"/>
        <v>4.394809867207352E-2</v>
      </c>
    </row>
    <row r="322" spans="1:6">
      <c r="A322" s="66">
        <v>15.55</v>
      </c>
      <c r="B322" s="10">
        <f t="shared" si="20"/>
        <v>0.93903443438485001</v>
      </c>
      <c r="C322" s="10">
        <f t="shared" si="22"/>
        <v>0.51028306434376181</v>
      </c>
      <c r="D322" s="4">
        <f t="shared" si="21"/>
        <v>4.5760617213147156E-2</v>
      </c>
      <c r="E322" s="66">
        <f t="shared" si="23"/>
        <v>4</v>
      </c>
      <c r="F322" s="4">
        <f t="shared" si="24"/>
        <v>8.770907641566468E-2</v>
      </c>
    </row>
    <row r="323" spans="1:6">
      <c r="A323" s="66">
        <v>15.6</v>
      </c>
      <c r="B323" s="10">
        <f t="shared" si="20"/>
        <v>0.93872691851652679</v>
      </c>
      <c r="C323" s="10">
        <f t="shared" si="22"/>
        <v>0.50911657371584418</v>
      </c>
      <c r="D323" s="4">
        <f t="shared" si="21"/>
        <v>4.5782777758936279E-2</v>
      </c>
      <c r="E323" s="66">
        <f t="shared" si="23"/>
        <v>2</v>
      </c>
      <c r="F323" s="4">
        <f t="shared" si="24"/>
        <v>4.3761141452515966E-2</v>
      </c>
    </row>
    <row r="324" spans="1:6">
      <c r="A324" s="66">
        <v>15.65</v>
      </c>
      <c r="B324" s="10">
        <f t="shared" si="20"/>
        <v>0.93841846179918287</v>
      </c>
      <c r="C324" s="10">
        <f t="shared" si="22"/>
        <v>0.50795218586961133</v>
      </c>
      <c r="D324" s="4">
        <f t="shared" si="21"/>
        <v>4.5805013399302597E-2</v>
      </c>
      <c r="E324" s="66">
        <f t="shared" si="23"/>
        <v>4</v>
      </c>
      <c r="F324" s="4">
        <f t="shared" si="24"/>
        <v>8.733581605866543E-2</v>
      </c>
    </row>
    <row r="325" spans="1:6">
      <c r="A325" s="66">
        <v>15.7</v>
      </c>
      <c r="B325" s="10">
        <f t="shared" si="20"/>
        <v>0.93810906169826391</v>
      </c>
      <c r="C325" s="10">
        <f t="shared" si="22"/>
        <v>0.50678989667152163</v>
      </c>
      <c r="D325" s="4">
        <f t="shared" si="21"/>
        <v>4.5827324388716187E-2</v>
      </c>
      <c r="E325" s="66">
        <f t="shared" si="23"/>
        <v>2</v>
      </c>
      <c r="F325" s="4">
        <f t="shared" si="24"/>
        <v>4.3574837562120973E-2</v>
      </c>
    </row>
    <row r="326" spans="1:6">
      <c r="A326" s="66">
        <v>15.75</v>
      </c>
      <c r="B326" s="10">
        <f t="shared" si="20"/>
        <v>0.93779871567473427</v>
      </c>
      <c r="C326" s="10">
        <f t="shared" si="22"/>
        <v>0.50562970199715362</v>
      </c>
      <c r="D326" s="4">
        <f t="shared" si="21"/>
        <v>4.5849710982509416E-2</v>
      </c>
      <c r="E326" s="66">
        <f t="shared" si="23"/>
        <v>4</v>
      </c>
      <c r="F326" s="4">
        <f t="shared" si="24"/>
        <v>8.6963859350697142E-2</v>
      </c>
    </row>
    <row r="327" spans="1:6">
      <c r="A327" s="66">
        <v>15.8</v>
      </c>
      <c r="B327" s="10">
        <f t="shared" si="20"/>
        <v>0.93748742118508599</v>
      </c>
      <c r="C327" s="10">
        <f t="shared" si="22"/>
        <v>0.50447159773119243</v>
      </c>
      <c r="D327" s="4">
        <f t="shared" si="21"/>
        <v>4.5872173436879903E-2</v>
      </c>
      <c r="E327" s="66">
        <f t="shared" si="23"/>
        <v>2</v>
      </c>
      <c r="F327" s="4">
        <f t="shared" si="24"/>
        <v>4.3389183994111832E-2</v>
      </c>
    </row>
    <row r="328" spans="1:6">
      <c r="A328" s="66">
        <v>15.85</v>
      </c>
      <c r="B328" s="10">
        <f t="shared" si="20"/>
        <v>0.93717517568134856</v>
      </c>
      <c r="C328" s="10">
        <f t="shared" si="22"/>
        <v>0.50331557976741759</v>
      </c>
      <c r="D328" s="4">
        <f t="shared" si="21"/>
        <v>4.5894712008893418E-2</v>
      </c>
      <c r="E328" s="66">
        <f t="shared" si="23"/>
        <v>4</v>
      </c>
      <c r="F328" s="4">
        <f t="shared" si="24"/>
        <v>8.6593200288269598E-2</v>
      </c>
    </row>
    <row r="329" spans="1:6">
      <c r="A329" s="66">
        <v>15.9</v>
      </c>
      <c r="B329" s="10">
        <f t="shared" si="20"/>
        <v>0.93686197661109905</v>
      </c>
      <c r="C329" s="10">
        <f t="shared" si="22"/>
        <v>0.50216164400869057</v>
      </c>
      <c r="D329" s="4">
        <f t="shared" si="21"/>
        <v>4.5917326956486863E-2</v>
      </c>
      <c r="E329" s="66">
        <f t="shared" si="23"/>
        <v>2</v>
      </c>
      <c r="F329" s="4">
        <f t="shared" si="24"/>
        <v>4.3204177751768526E-2</v>
      </c>
    </row>
    <row r="330" spans="1:6">
      <c r="A330" s="66">
        <v>15.95</v>
      </c>
      <c r="B330" s="10">
        <f t="shared" si="20"/>
        <v>0.93654782141747173</v>
      </c>
      <c r="C330" s="10">
        <f t="shared" si="22"/>
        <v>0.50100978636694293</v>
      </c>
      <c r="D330" s="4">
        <f t="shared" si="21"/>
        <v>4.5940018538471177E-2</v>
      </c>
      <c r="E330" s="66">
        <f t="shared" si="23"/>
        <v>4</v>
      </c>
      <c r="F330" s="4">
        <f t="shared" si="24"/>
        <v>8.6223832887980467E-2</v>
      </c>
    </row>
    <row r="331" spans="1:6">
      <c r="A331" s="66">
        <v>16</v>
      </c>
      <c r="B331" s="10">
        <f t="shared" ref="B331:B394" si="25">B$7^((B$4^B$6)*((B$4^A331)-1))</f>
        <v>0.93623270753916843</v>
      </c>
      <c r="C331" s="10">
        <f t="shared" si="22"/>
        <v>0.49986000276316322</v>
      </c>
      <c r="D331" s="4">
        <f t="shared" ref="D331:D394" si="26">B$5+B$3*(B$4^(B$6+A331))</f>
        <v>4.5962787014534316E-2</v>
      </c>
      <c r="E331" s="66">
        <f t="shared" si="23"/>
        <v>2</v>
      </c>
      <c r="F331" s="4">
        <f t="shared" si="24"/>
        <v>4.301981584840258E-2</v>
      </c>
    </row>
    <row r="332" spans="1:6">
      <c r="A332" s="66">
        <v>16.05</v>
      </c>
      <c r="B332" s="10">
        <f t="shared" si="25"/>
        <v>0.93591663241046863</v>
      </c>
      <c r="C332" s="10">
        <f t="shared" ref="C332:C395" si="27">B332*EXP(-B$5*A332)</f>
        <v>0.49871228912738502</v>
      </c>
      <c r="D332" s="4">
        <f t="shared" si="26"/>
        <v>4.5985632645244301E-2</v>
      </c>
      <c r="E332" s="66">
        <f t="shared" si="23"/>
        <v>4</v>
      </c>
      <c r="F332" s="4">
        <f t="shared" si="24"/>
        <v>8.5855751186465795E-2</v>
      </c>
    </row>
    <row r="333" spans="1:6">
      <c r="A333" s="66">
        <v>16.100000000000001</v>
      </c>
      <c r="B333" s="10">
        <f t="shared" si="25"/>
        <v>0.93559959346124033</v>
      </c>
      <c r="C333" s="10">
        <f t="shared" si="27"/>
        <v>0.49756664139867485</v>
      </c>
      <c r="D333" s="4">
        <f t="shared" si="26"/>
        <v>4.6008555692052019E-2</v>
      </c>
      <c r="E333" s="66">
        <f t="shared" si="23"/>
        <v>2</v>
      </c>
      <c r="F333" s="4">
        <f t="shared" si="24"/>
        <v>4.2836095307332386E-2</v>
      </c>
    </row>
    <row r="334" spans="1:6">
      <c r="A334" s="66">
        <v>16.149999999999999</v>
      </c>
      <c r="B334" s="10">
        <f t="shared" si="25"/>
        <v>0.9352815881169505</v>
      </c>
      <c r="C334" s="10">
        <f t="shared" si="27"/>
        <v>0.49642305552511967</v>
      </c>
      <c r="D334" s="4">
        <f t="shared" si="26"/>
        <v>4.6031556417294402E-2</v>
      </c>
      <c r="E334" s="66">
        <f t="shared" ref="E334:E397" si="28">IF(E333=4,2,4)</f>
        <v>4</v>
      </c>
      <c r="F334" s="4">
        <f t="shared" ref="F334:F397" si="29">B334*C334*D334*E334</f>
        <v>8.548894924035097E-2</v>
      </c>
    </row>
    <row r="335" spans="1:6">
      <c r="A335" s="66">
        <v>16.2</v>
      </c>
      <c r="B335" s="10">
        <f t="shared" si="25"/>
        <v>0.93496261379867596</v>
      </c>
      <c r="C335" s="10">
        <f t="shared" si="27"/>
        <v>0.49528152746381515</v>
      </c>
      <c r="D335" s="4">
        <f t="shared" si="26"/>
        <v>4.6054635084197326E-2</v>
      </c>
      <c r="E335" s="66">
        <f t="shared" si="28"/>
        <v>2</v>
      </c>
      <c r="F335" s="4">
        <f t="shared" si="29"/>
        <v>4.2653013161859078E-2</v>
      </c>
    </row>
    <row r="336" spans="1:6">
      <c r="A336" s="66">
        <v>16.25</v>
      </c>
      <c r="B336" s="10">
        <f t="shared" si="25"/>
        <v>0.93464266792311423</v>
      </c>
      <c r="C336" s="10">
        <f t="shared" si="27"/>
        <v>0.49414205318085275</v>
      </c>
      <c r="D336" s="4">
        <f t="shared" si="26"/>
        <v>4.6077791956878653E-2</v>
      </c>
      <c r="E336" s="66">
        <f t="shared" si="28"/>
        <v>4</v>
      </c>
      <c r="F336" s="4">
        <f t="shared" si="29"/>
        <v>8.5123421126203441E-2</v>
      </c>
    </row>
    <row r="337" spans="1:6">
      <c r="A337" s="66">
        <v>16.3</v>
      </c>
      <c r="B337" s="10">
        <f t="shared" si="25"/>
        <v>0.93432174790259526</v>
      </c>
      <c r="C337" s="10">
        <f t="shared" si="27"/>
        <v>0.49300462865130873</v>
      </c>
      <c r="D337" s="4">
        <f t="shared" si="26"/>
        <v>4.6101027300351267E-2</v>
      </c>
      <c r="E337" s="66">
        <f t="shared" si="28"/>
        <v>2</v>
      </c>
      <c r="F337" s="4">
        <f t="shared" si="29"/>
        <v>4.2470566455243101E-2</v>
      </c>
    </row>
    <row r="338" spans="1:6">
      <c r="A338" s="66">
        <v>16.350000000000001</v>
      </c>
      <c r="B338" s="10">
        <f t="shared" si="25"/>
        <v>0.93399985114509221</v>
      </c>
      <c r="C338" s="10">
        <f t="shared" si="27"/>
        <v>0.49186924985923092</v>
      </c>
      <c r="D338" s="4">
        <f t="shared" si="26"/>
        <v>4.6124341380526075E-2</v>
      </c>
      <c r="E338" s="66">
        <f t="shared" si="28"/>
        <v>4</v>
      </c>
      <c r="F338" s="4">
        <f t="shared" si="29"/>
        <v>8.4759160940486272E-2</v>
      </c>
    </row>
    <row r="339" spans="1:6">
      <c r="A339" s="66">
        <v>16.399999999999999</v>
      </c>
      <c r="B339" s="10">
        <f t="shared" si="25"/>
        <v>0.93367697505423364</v>
      </c>
      <c r="C339" s="10">
        <f t="shared" si="27"/>
        <v>0.49073591279762796</v>
      </c>
      <c r="D339" s="4">
        <f t="shared" si="26"/>
        <v>4.6147734464215065E-2</v>
      </c>
      <c r="E339" s="66">
        <f t="shared" si="28"/>
        <v>2</v>
      </c>
      <c r="F339" s="4">
        <f t="shared" si="29"/>
        <v>4.2288752240681446E-2</v>
      </c>
    </row>
    <row r="340" spans="1:6">
      <c r="A340" s="66">
        <v>16.45</v>
      </c>
      <c r="B340" s="10">
        <f t="shared" si="25"/>
        <v>0.93335311702931445</v>
      </c>
      <c r="C340" s="10">
        <f t="shared" si="27"/>
        <v>0.48960461346845613</v>
      </c>
      <c r="D340" s="4">
        <f t="shared" si="26"/>
        <v>4.6171206819134357E-2</v>
      </c>
      <c r="E340" s="66">
        <f t="shared" si="28"/>
        <v>4</v>
      </c>
      <c r="F340" s="4">
        <f t="shared" si="29"/>
        <v>8.4396162799513078E-2</v>
      </c>
    </row>
    <row r="341" spans="1:6">
      <c r="A341" s="66">
        <v>16.5</v>
      </c>
      <c r="B341" s="10">
        <f t="shared" si="25"/>
        <v>0.93302827446530889</v>
      </c>
      <c r="C341" s="10">
        <f t="shared" si="27"/>
        <v>0.48847534788260838</v>
      </c>
      <c r="D341" s="4">
        <f t="shared" si="26"/>
        <v>4.619475871390729E-2</v>
      </c>
      <c r="E341" s="66">
        <f t="shared" si="28"/>
        <v>2</v>
      </c>
      <c r="F341" s="4">
        <f t="shared" si="29"/>
        <v>4.2107567581285248E-2</v>
      </c>
    </row>
    <row r="342" spans="1:6">
      <c r="A342" s="66">
        <v>16.55</v>
      </c>
      <c r="B342" s="10">
        <f t="shared" si="25"/>
        <v>0.93270244475288167</v>
      </c>
      <c r="C342" s="10">
        <f t="shared" si="27"/>
        <v>0.48734811205990181</v>
      </c>
      <c r="D342" s="4">
        <f t="shared" si="26"/>
        <v>4.6218390418067454E-2</v>
      </c>
      <c r="E342" s="66">
        <f t="shared" si="28"/>
        <v>4</v>
      </c>
      <c r="F342" s="4">
        <f t="shared" si="29"/>
        <v>8.4034420839404003E-2</v>
      </c>
    </row>
    <row r="343" spans="1:6">
      <c r="A343" s="66">
        <v>16.600000000000001</v>
      </c>
      <c r="B343" s="10">
        <f t="shared" si="25"/>
        <v>0.93237562527840112</v>
      </c>
      <c r="C343" s="10">
        <f t="shared" si="27"/>
        <v>0.48622290202906659</v>
      </c>
      <c r="D343" s="4">
        <f t="shared" si="26"/>
        <v>4.6242102202061819E-2</v>
      </c>
      <c r="E343" s="66">
        <f t="shared" si="28"/>
        <v>2</v>
      </c>
      <c r="F343" s="4">
        <f t="shared" si="29"/>
        <v>4.192700955005825E-2</v>
      </c>
    </row>
    <row r="344" spans="1:6">
      <c r="A344" s="66">
        <v>16.649999999999999</v>
      </c>
      <c r="B344" s="10">
        <f t="shared" si="25"/>
        <v>0.93204781342395115</v>
      </c>
      <c r="C344" s="10">
        <f t="shared" si="27"/>
        <v>0.48509971382773326</v>
      </c>
      <c r="D344" s="4">
        <f t="shared" si="26"/>
        <v>4.6265894337253782E-2</v>
      </c>
      <c r="E344" s="66">
        <f t="shared" si="28"/>
        <v>4</v>
      </c>
      <c r="F344" s="4">
        <f t="shared" si="29"/>
        <v>8.36739292160434E-2</v>
      </c>
    </row>
    <row r="345" spans="1:6">
      <c r="A345" s="66">
        <v>16.7</v>
      </c>
      <c r="B345" s="10">
        <f t="shared" si="25"/>
        <v>0.93171900656734397</v>
      </c>
      <c r="C345" s="10">
        <f t="shared" si="27"/>
        <v>0.48397854350242164</v>
      </c>
      <c r="D345" s="4">
        <f t="shared" si="26"/>
        <v>4.6289767095926325E-2</v>
      </c>
      <c r="E345" s="66">
        <f t="shared" si="28"/>
        <v>2</v>
      </c>
      <c r="F345" s="4">
        <f t="shared" si="29"/>
        <v>4.1747075229875787E-2</v>
      </c>
    </row>
    <row r="346" spans="1:6">
      <c r="A346" s="66">
        <v>16.75</v>
      </c>
      <c r="B346" s="10">
        <f t="shared" si="25"/>
        <v>0.93138920208213327</v>
      </c>
      <c r="C346" s="10">
        <f t="shared" si="27"/>
        <v>0.48285938710852883</v>
      </c>
      <c r="D346" s="4">
        <f t="shared" si="26"/>
        <v>4.6313720751285078E-2</v>
      </c>
      <c r="E346" s="66">
        <f t="shared" si="28"/>
        <v>4</v>
      </c>
      <c r="F346" s="4">
        <f t="shared" si="29"/>
        <v>8.3314682105038007E-2</v>
      </c>
    </row>
    <row r="347" spans="1:6">
      <c r="A347" s="66">
        <v>16.8</v>
      </c>
      <c r="B347" s="10">
        <f t="shared" si="25"/>
        <v>0.9310583973376273</v>
      </c>
      <c r="C347" s="10">
        <f t="shared" si="27"/>
        <v>0.48174224071031757</v>
      </c>
      <c r="D347" s="4">
        <f t="shared" si="26"/>
        <v>4.6337755577461497E-2</v>
      </c>
      <c r="E347" s="66">
        <f t="shared" si="28"/>
        <v>2</v>
      </c>
      <c r="F347" s="4">
        <f t="shared" si="29"/>
        <v>4.1567761713464324E-2</v>
      </c>
    </row>
    <row r="348" spans="1:6">
      <c r="A348" s="66">
        <v>16.850000000000001</v>
      </c>
      <c r="B348" s="10">
        <f t="shared" si="25"/>
        <v>0.93072658969890165</v>
      </c>
      <c r="C348" s="10">
        <f t="shared" si="27"/>
        <v>0.48062710038090489</v>
      </c>
      <c r="D348" s="4">
        <f t="shared" si="26"/>
        <v>4.6361871849515963E-2</v>
      </c>
      <c r="E348" s="66">
        <f t="shared" si="28"/>
        <v>4</v>
      </c>
      <c r="F348" s="4">
        <f t="shared" si="29"/>
        <v>8.2956673701677114E-2</v>
      </c>
    </row>
    <row r="349" spans="1:6">
      <c r="A349" s="66">
        <v>16.899999999999999</v>
      </c>
      <c r="B349" s="10">
        <f t="shared" si="25"/>
        <v>0.93039377652681343</v>
      </c>
      <c r="C349" s="10">
        <f t="shared" si="27"/>
        <v>0.47951396220225023</v>
      </c>
      <c r="D349" s="4">
        <f t="shared" si="26"/>
        <v>4.6386069843440944E-2</v>
      </c>
      <c r="E349" s="66">
        <f t="shared" si="28"/>
        <v>2</v>
      </c>
      <c r="F349" s="4">
        <f t="shared" si="29"/>
        <v>4.1389066103381791E-2</v>
      </c>
    </row>
    <row r="350" spans="1:6">
      <c r="A350" s="66">
        <v>16.95</v>
      </c>
      <c r="B350" s="10">
        <f t="shared" si="25"/>
        <v>0.93005995517801443</v>
      </c>
      <c r="C350" s="10">
        <f t="shared" si="27"/>
        <v>0.47840282226514391</v>
      </c>
      <c r="D350" s="4">
        <f t="shared" si="26"/>
        <v>4.6410349836164162E-2</v>
      </c>
      <c r="E350" s="66">
        <f t="shared" si="28"/>
        <v>4</v>
      </c>
      <c r="F350" s="4">
        <f t="shared" si="29"/>
        <v>8.25998982208936E-2</v>
      </c>
    </row>
    <row r="351" spans="1:6">
      <c r="A351" s="66">
        <v>17</v>
      </c>
      <c r="B351" s="10">
        <f t="shared" si="25"/>
        <v>0.92972512300496502</v>
      </c>
      <c r="C351" s="10">
        <f t="shared" si="27"/>
        <v>0.47729367666919564</v>
      </c>
      <c r="D351" s="4">
        <f t="shared" si="26"/>
        <v>4.6434712105551723E-2</v>
      </c>
      <c r="E351" s="66">
        <f t="shared" si="28"/>
        <v>2</v>
      </c>
      <c r="F351" s="4">
        <f t="shared" si="29"/>
        <v>4.1210985511998421E-2</v>
      </c>
    </row>
    <row r="352" spans="1:6">
      <c r="A352" s="66">
        <v>17.05</v>
      </c>
      <c r="B352" s="10">
        <f t="shared" si="25"/>
        <v>0.92938927735594834</v>
      </c>
      <c r="C352" s="10">
        <f t="shared" si="27"/>
        <v>0.47618652152282315</v>
      </c>
      <c r="D352" s="4">
        <f t="shared" si="26"/>
        <v>4.6459156930411402E-2</v>
      </c>
      <c r="E352" s="66">
        <f t="shared" si="28"/>
        <v>4</v>
      </c>
      <c r="F352" s="4">
        <f t="shared" si="29"/>
        <v>8.2244349897226204E-2</v>
      </c>
    </row>
    <row r="353" spans="1:6">
      <c r="A353" s="66">
        <v>17.100000000000001</v>
      </c>
      <c r="B353" s="10">
        <f t="shared" si="25"/>
        <v>0.92905241557508489</v>
      </c>
      <c r="C353" s="10">
        <f t="shared" si="27"/>
        <v>0.475081352943241</v>
      </c>
      <c r="D353" s="4">
        <f t="shared" si="26"/>
        <v>4.6483684590495657E-2</v>
      </c>
      <c r="E353" s="66">
        <f t="shared" si="28"/>
        <v>2</v>
      </c>
      <c r="F353" s="4">
        <f t="shared" si="29"/>
        <v>4.1033517061478245E-2</v>
      </c>
    </row>
    <row r="354" spans="1:6">
      <c r="A354" s="66">
        <v>17.149999999999999</v>
      </c>
      <c r="B354" s="10">
        <f t="shared" si="25"/>
        <v>0.92871453500234635</v>
      </c>
      <c r="C354" s="10">
        <f t="shared" si="27"/>
        <v>0.47397816705644885</v>
      </c>
      <c r="D354" s="4">
        <f t="shared" si="26"/>
        <v>4.6508295366505005E-2</v>
      </c>
      <c r="E354" s="66">
        <f t="shared" si="28"/>
        <v>4</v>
      </c>
      <c r="F354" s="4">
        <f t="shared" si="29"/>
        <v>8.1890022984783484E-2</v>
      </c>
    </row>
    <row r="355" spans="1:6">
      <c r="A355" s="66">
        <v>17.2</v>
      </c>
      <c r="B355" s="10">
        <f t="shared" si="25"/>
        <v>0.92837563297357051</v>
      </c>
      <c r="C355" s="10">
        <f t="shared" si="27"/>
        <v>0.47287695999721979</v>
      </c>
      <c r="D355" s="4">
        <f t="shared" si="26"/>
        <v>4.6532989540091135E-2</v>
      </c>
      <c r="E355" s="66">
        <f t="shared" si="28"/>
        <v>2</v>
      </c>
      <c r="F355" s="4">
        <f t="shared" si="29"/>
        <v>4.085665788376134E-2</v>
      </c>
    </row>
    <row r="356" spans="1:6">
      <c r="A356" s="66">
        <v>17.25</v>
      </c>
      <c r="B356" s="10">
        <f t="shared" si="25"/>
        <v>0.92803570682047654</v>
      </c>
      <c r="C356" s="10">
        <f t="shared" si="27"/>
        <v>0.47177772790909001</v>
      </c>
      <c r="D356" s="4">
        <f t="shared" si="26"/>
        <v>4.655776739386016E-2</v>
      </c>
      <c r="E356" s="66">
        <f t="shared" si="28"/>
        <v>4</v>
      </c>
      <c r="F356" s="4">
        <f t="shared" si="29"/>
        <v>8.1536911757208508E-2</v>
      </c>
    </row>
    <row r="357" spans="1:6">
      <c r="A357" s="66">
        <v>17.3</v>
      </c>
      <c r="B357" s="10">
        <f t="shared" si="25"/>
        <v>0.92769475387067923</v>
      </c>
      <c r="C357" s="10">
        <f t="shared" si="27"/>
        <v>0.47068046694434673</v>
      </c>
      <c r="D357" s="4">
        <f t="shared" si="26"/>
        <v>4.6582629211375855E-2</v>
      </c>
      <c r="E357" s="66">
        <f t="shared" si="28"/>
        <v>2</v>
      </c>
      <c r="F357" s="4">
        <f t="shared" si="29"/>
        <v>4.0680405120546548E-2</v>
      </c>
    </row>
    <row r="358" spans="1:6">
      <c r="A358" s="66">
        <v>17.350000000000001</v>
      </c>
      <c r="B358" s="10">
        <f t="shared" si="25"/>
        <v>0.92735277144770534</v>
      </c>
      <c r="C358" s="10">
        <f t="shared" si="27"/>
        <v>0.46958517326401744</v>
      </c>
      <c r="D358" s="4">
        <f t="shared" si="26"/>
        <v>4.6607575277162902E-2</v>
      </c>
      <c r="E358" s="66">
        <f t="shared" si="28"/>
        <v>4</v>
      </c>
      <c r="F358" s="4">
        <f t="shared" si="29"/>
        <v>8.1185010507645455E-2</v>
      </c>
    </row>
    <row r="359" spans="1:6">
      <c r="A359" s="66">
        <v>17.399999999999999</v>
      </c>
      <c r="B359" s="10">
        <f t="shared" si="25"/>
        <v>0.92700975687100806</v>
      </c>
      <c r="C359" s="10">
        <f t="shared" si="27"/>
        <v>0.46849184303785835</v>
      </c>
      <c r="D359" s="4">
        <f t="shared" si="26"/>
        <v>4.6632605876710115E-2</v>
      </c>
      <c r="E359" s="66">
        <f t="shared" si="28"/>
        <v>2</v>
      </c>
      <c r="F359" s="4">
        <f t="shared" si="29"/>
        <v>4.0504755923275106E-2</v>
      </c>
    </row>
    <row r="360" spans="1:6">
      <c r="A360" s="66">
        <v>17.45</v>
      </c>
      <c r="B360" s="10">
        <f t="shared" si="25"/>
        <v>0.92666570745598342</v>
      </c>
      <c r="C360" s="10">
        <f t="shared" si="27"/>
        <v>0.46740047244434352</v>
      </c>
      <c r="D360" s="4">
        <f t="shared" si="26"/>
        <v>4.6657721296473761E-2</v>
      </c>
      <c r="E360" s="66">
        <f t="shared" si="28"/>
        <v>4</v>
      </c>
      <c r="F360" s="4">
        <f t="shared" si="29"/>
        <v>8.0834313548707029E-2</v>
      </c>
    </row>
    <row r="361" spans="1:6">
      <c r="A361" s="66">
        <v>17.5</v>
      </c>
      <c r="B361" s="10">
        <f t="shared" si="25"/>
        <v>0.92632062051398589</v>
      </c>
      <c r="C361" s="10">
        <f t="shared" si="27"/>
        <v>0.46631105767065378</v>
      </c>
      <c r="D361" s="4">
        <f t="shared" si="26"/>
        <v>4.6682921823880799E-2</v>
      </c>
      <c r="E361" s="66">
        <f t="shared" si="28"/>
        <v>2</v>
      </c>
      <c r="F361" s="4">
        <f t="shared" si="29"/>
        <v>4.0329707453114663E-2</v>
      </c>
    </row>
    <row r="362" spans="1:6">
      <c r="A362" s="66">
        <v>17.55</v>
      </c>
      <c r="B362" s="10">
        <f t="shared" si="25"/>
        <v>0.92597449335234472</v>
      </c>
      <c r="C362" s="10">
        <f t="shared" si="27"/>
        <v>0.46522359491266541</v>
      </c>
      <c r="D362" s="4">
        <f t="shared" si="26"/>
        <v>4.6708207747332177E-2</v>
      </c>
      <c r="E362" s="66">
        <f t="shared" si="28"/>
        <v>4</v>
      </c>
      <c r="F362" s="4">
        <f t="shared" si="29"/>
        <v>8.0484815212443578E-2</v>
      </c>
    </row>
    <row r="363" spans="1:6">
      <c r="A363" s="66">
        <v>17.600000000000001</v>
      </c>
      <c r="B363" s="10">
        <f t="shared" si="25"/>
        <v>0.92562732327438013</v>
      </c>
      <c r="C363" s="10">
        <f t="shared" si="27"/>
        <v>0.46413808037493959</v>
      </c>
      <c r="D363" s="4">
        <f t="shared" si="26"/>
        <v>4.6733579356206145E-2</v>
      </c>
      <c r="E363" s="66">
        <f t="shared" si="28"/>
        <v>2</v>
      </c>
      <c r="F363" s="4">
        <f t="shared" si="29"/>
        <v>4.0155256880944193E-2</v>
      </c>
    </row>
    <row r="364" spans="1:6">
      <c r="A364" s="66">
        <v>17.649999999999999</v>
      </c>
      <c r="B364" s="10">
        <f t="shared" si="25"/>
        <v>0.92527910757941978</v>
      </c>
      <c r="C364" s="10">
        <f t="shared" si="27"/>
        <v>0.46305451027071093</v>
      </c>
      <c r="D364" s="4">
        <f t="shared" si="26"/>
        <v>4.6759036940861545E-2</v>
      </c>
      <c r="E364" s="66">
        <f t="shared" si="28"/>
        <v>4</v>
      </c>
      <c r="F364" s="4">
        <f t="shared" si="29"/>
        <v>8.0136509850313481E-2</v>
      </c>
    </row>
    <row r="365" spans="1:6">
      <c r="A365" s="66">
        <v>17.7</v>
      </c>
      <c r="B365" s="10">
        <f t="shared" si="25"/>
        <v>0.92492984356281582</v>
      </c>
      <c r="C365" s="10">
        <f t="shared" si="27"/>
        <v>0.46197288082187676</v>
      </c>
      <c r="D365" s="4">
        <f t="shared" si="26"/>
        <v>4.6784580792641167E-2</v>
      </c>
      <c r="E365" s="66">
        <f t="shared" si="28"/>
        <v>2</v>
      </c>
      <c r="F365" s="4">
        <f t="shared" si="29"/>
        <v>3.99814013873395E-2</v>
      </c>
    </row>
    <row r="366" spans="1:6">
      <c r="A366" s="66">
        <v>17.75</v>
      </c>
      <c r="B366" s="10">
        <f t="shared" si="25"/>
        <v>0.9245795285159617</v>
      </c>
      <c r="C366" s="10">
        <f t="shared" si="27"/>
        <v>0.46089318825898623</v>
      </c>
      <c r="D366" s="4">
        <f t="shared" si="26"/>
        <v>4.6810211203875032E-2</v>
      </c>
      <c r="E366" s="66">
        <f t="shared" si="28"/>
        <v>4</v>
      </c>
      <c r="F366" s="4">
        <f t="shared" si="29"/>
        <v>7.9789391833154616E-2</v>
      </c>
    </row>
    <row r="367" spans="1:6">
      <c r="A367" s="66">
        <v>17.8</v>
      </c>
      <c r="B367" s="10">
        <f t="shared" si="25"/>
        <v>0.92422815972630934</v>
      </c>
      <c r="C367" s="10">
        <f t="shared" si="27"/>
        <v>0.45981542882122944</v>
      </c>
      <c r="D367" s="4">
        <f t="shared" si="26"/>
        <v>4.68359284678838E-2</v>
      </c>
      <c r="E367" s="66">
        <f t="shared" si="28"/>
        <v>2</v>
      </c>
      <c r="F367" s="4">
        <f t="shared" si="29"/>
        <v>3.9808138162559355E-2</v>
      </c>
    </row>
    <row r="368" spans="1:6">
      <c r="A368" s="66">
        <v>17.850000000000001</v>
      </c>
      <c r="B368" s="10">
        <f t="shared" si="25"/>
        <v>0.9238757344773868</v>
      </c>
      <c r="C368" s="10">
        <f t="shared" si="27"/>
        <v>0.45873959875642684</v>
      </c>
      <c r="D368" s="4">
        <f t="shared" si="26"/>
        <v>4.6861732878982078E-2</v>
      </c>
      <c r="E368" s="66">
        <f t="shared" si="28"/>
        <v>4</v>
      </c>
      <c r="F368" s="4">
        <f t="shared" si="29"/>
        <v>7.9443455551157643E-2</v>
      </c>
    </row>
    <row r="369" spans="1:6">
      <c r="A369" s="66">
        <v>17.899999999999999</v>
      </c>
      <c r="B369" s="10">
        <f t="shared" si="25"/>
        <v>0.92352225004881583</v>
      </c>
      <c r="C369" s="10">
        <f t="shared" si="27"/>
        <v>0.45766569432101806</v>
      </c>
      <c r="D369" s="4">
        <f t="shared" si="26"/>
        <v>4.6887624732481814E-2</v>
      </c>
      <c r="E369" s="66">
        <f t="shared" si="28"/>
        <v>2</v>
      </c>
      <c r="F369" s="4">
        <f t="shared" si="29"/>
        <v>3.963546440653247E-2</v>
      </c>
    </row>
    <row r="370" spans="1:6">
      <c r="A370" s="66">
        <v>17.95</v>
      </c>
      <c r="B370" s="10">
        <f t="shared" si="25"/>
        <v>0.9231677037163295</v>
      </c>
      <c r="C370" s="10">
        <f t="shared" si="27"/>
        <v>0.45659371178005126</v>
      </c>
      <c r="D370" s="4">
        <f t="shared" si="26"/>
        <v>4.6913604324695657E-2</v>
      </c>
      <c r="E370" s="66">
        <f t="shared" si="28"/>
        <v>4</v>
      </c>
      <c r="F370" s="4">
        <f t="shared" si="29"/>
        <v>7.9098695413840486E-2</v>
      </c>
    </row>
    <row r="371" spans="1:6">
      <c r="A371" s="66">
        <v>18</v>
      </c>
      <c r="B371" s="10">
        <f t="shared" si="25"/>
        <v>0.92281209275179088</v>
      </c>
      <c r="C371" s="10">
        <f t="shared" si="27"/>
        <v>0.45552364740717272</v>
      </c>
      <c r="D371" s="4">
        <f t="shared" si="26"/>
        <v>4.693967195294034E-2</v>
      </c>
      <c r="E371" s="66">
        <f t="shared" si="28"/>
        <v>2</v>
      </c>
      <c r="F371" s="4">
        <f t="shared" si="29"/>
        <v>3.9463377328844959E-2</v>
      </c>
    </row>
    <row r="372" spans="1:6">
      <c r="A372" s="66">
        <v>18.05</v>
      </c>
      <c r="B372" s="10">
        <f t="shared" si="25"/>
        <v>0.92245541442321055</v>
      </c>
      <c r="C372" s="10">
        <f t="shared" si="27"/>
        <v>0.45445549748461589</v>
      </c>
      <c r="D372" s="4">
        <f t="shared" si="26"/>
        <v>4.6965827915540201E-2</v>
      </c>
      <c r="E372" s="66">
        <f t="shared" si="28"/>
        <v>4</v>
      </c>
      <c r="F372" s="4">
        <f t="shared" si="29"/>
        <v>7.8755105850024001E-2</v>
      </c>
    </row>
    <row r="373" spans="1:6">
      <c r="A373" s="66">
        <v>18.100000000000001</v>
      </c>
      <c r="B373" s="10">
        <f t="shared" si="25"/>
        <v>0.92209766599476628</v>
      </c>
      <c r="C373" s="10">
        <f t="shared" si="27"/>
        <v>0.45338925830319105</v>
      </c>
      <c r="D373" s="4">
        <f t="shared" si="26"/>
        <v>4.6992072511830359E-2</v>
      </c>
      <c r="E373" s="66">
        <f t="shared" si="28"/>
        <v>2</v>
      </c>
      <c r="F373" s="4">
        <f t="shared" si="29"/>
        <v>3.9291874148728811E-2</v>
      </c>
    </row>
    <row r="374" spans="1:6">
      <c r="A374" s="66">
        <v>18.149999999999999</v>
      </c>
      <c r="B374" s="10">
        <f t="shared" si="25"/>
        <v>0.92173884472682077</v>
      </c>
      <c r="C374" s="10">
        <f t="shared" si="27"/>
        <v>0.45232492616227443</v>
      </c>
      <c r="D374" s="4">
        <f t="shared" si="26"/>
        <v>4.7018406042160357E-2</v>
      </c>
      <c r="E374" s="66">
        <f t="shared" si="28"/>
        <v>4</v>
      </c>
      <c r="F374" s="4">
        <f t="shared" si="29"/>
        <v>7.8412681307809498E-2</v>
      </c>
    </row>
    <row r="375" spans="1:6">
      <c r="A375" s="66">
        <v>18.2</v>
      </c>
      <c r="B375" s="10">
        <f t="shared" si="25"/>
        <v>0.92137894787594132</v>
      </c>
      <c r="C375" s="10">
        <f t="shared" si="27"/>
        <v>0.45126249736979779</v>
      </c>
      <c r="D375" s="4">
        <f t="shared" si="26"/>
        <v>4.7044828807897517E-2</v>
      </c>
      <c r="E375" s="66">
        <f t="shared" si="28"/>
        <v>2</v>
      </c>
      <c r="F375" s="4">
        <f t="shared" si="29"/>
        <v>3.9120952095050669E-2</v>
      </c>
    </row>
    <row r="376" spans="1:6">
      <c r="A376" s="66">
        <v>18.25</v>
      </c>
      <c r="B376" s="10">
        <f t="shared" si="25"/>
        <v>0.9210179726949187</v>
      </c>
      <c r="C376" s="10">
        <f t="shared" si="27"/>
        <v>0.45020196824223785</v>
      </c>
      <c r="D376" s="4">
        <f t="shared" si="26"/>
        <v>4.7071341111430375E-2</v>
      </c>
      <c r="E376" s="66">
        <f t="shared" si="28"/>
        <v>4</v>
      </c>
      <c r="F376" s="4">
        <f t="shared" si="29"/>
        <v>7.8071416254557269E-2</v>
      </c>
    </row>
    <row r="377" spans="1:6">
      <c r="A377" s="66">
        <v>18.3</v>
      </c>
      <c r="B377" s="10">
        <f t="shared" si="25"/>
        <v>0.92065591643278721</v>
      </c>
      <c r="C377" s="10">
        <f t="shared" si="27"/>
        <v>0.44914333510460613</v>
      </c>
      <c r="D377" s="4">
        <f t="shared" si="26"/>
        <v>4.709794325617217E-2</v>
      </c>
      <c r="E377" s="66">
        <f t="shared" si="28"/>
        <v>2</v>
      </c>
      <c r="F377" s="4">
        <f t="shared" si="29"/>
        <v>3.8950608406301677E-2</v>
      </c>
    </row>
    <row r="378" spans="1:6">
      <c r="A378" s="66">
        <v>18.350000000000001</v>
      </c>
      <c r="B378" s="10">
        <f t="shared" si="25"/>
        <v>0.92029277633484352</v>
      </c>
      <c r="C378" s="10">
        <f t="shared" si="27"/>
        <v>0.44808659429043818</v>
      </c>
      <c r="D378" s="4">
        <f t="shared" si="26"/>
        <v>4.7124635546564306E-2</v>
      </c>
      <c r="E378" s="66">
        <f t="shared" si="28"/>
        <v>4</v>
      </c>
      <c r="F378" s="4">
        <f t="shared" si="29"/>
        <v>7.7731305176866869E-2</v>
      </c>
    </row>
    <row r="379" spans="1:6">
      <c r="A379" s="66">
        <v>18.399999999999999</v>
      </c>
      <c r="B379" s="10">
        <f t="shared" si="25"/>
        <v>0.91992854964266768</v>
      </c>
      <c r="C379" s="10">
        <f t="shared" si="27"/>
        <v>0.44703174214178343</v>
      </c>
      <c r="D379" s="4">
        <f t="shared" si="26"/>
        <v>4.7151418288079824E-2</v>
      </c>
      <c r="E379" s="66">
        <f t="shared" si="28"/>
        <v>2</v>
      </c>
      <c r="F379" s="4">
        <f t="shared" si="29"/>
        <v>3.8780840330587943E-2</v>
      </c>
    </row>
    <row r="380" spans="1:6">
      <c r="A380" s="66">
        <v>18.45</v>
      </c>
      <c r="B380" s="10">
        <f t="shared" si="25"/>
        <v>0.91956323359414238</v>
      </c>
      <c r="C380" s="10">
        <f t="shared" si="27"/>
        <v>0.44597877500919442</v>
      </c>
      <c r="D380" s="4">
        <f t="shared" si="26"/>
        <v>4.7178291787226927E-2</v>
      </c>
      <c r="E380" s="66">
        <f t="shared" si="28"/>
        <v>4</v>
      </c>
      <c r="F380" s="4">
        <f t="shared" si="29"/>
        <v>7.7392342580558632E-2</v>
      </c>
    </row>
    <row r="381" spans="1:6">
      <c r="A381" s="66">
        <v>18.5</v>
      </c>
      <c r="B381" s="10">
        <f t="shared" si="25"/>
        <v>0.91919682542347436</v>
      </c>
      <c r="C381" s="10">
        <f t="shared" si="27"/>
        <v>0.44492768925171716</v>
      </c>
      <c r="D381" s="4">
        <f t="shared" si="26"/>
        <v>4.7205256351552455E-2</v>
      </c>
      <c r="E381" s="66">
        <f t="shared" si="28"/>
        <v>2</v>
      </c>
      <c r="F381" s="4">
        <f t="shared" si="29"/>
        <v>3.8611645125621576E-2</v>
      </c>
    </row>
    <row r="382" spans="1:6">
      <c r="A382" s="66">
        <v>18.55</v>
      </c>
      <c r="B382" s="10">
        <f t="shared" si="25"/>
        <v>0.91882932236121395</v>
      </c>
      <c r="C382" s="10">
        <f t="shared" si="27"/>
        <v>0.44387848123688028</v>
      </c>
      <c r="D382" s="4">
        <f t="shared" si="26"/>
        <v>4.7232312289645431E-2</v>
      </c>
      <c r="E382" s="66">
        <f t="shared" si="28"/>
        <v>4</v>
      </c>
      <c r="F382" s="4">
        <f t="shared" si="29"/>
        <v>7.705452299065671E-2</v>
      </c>
    </row>
    <row r="383" spans="1:6">
      <c r="A383" s="66">
        <v>18.600000000000001</v>
      </c>
      <c r="B383" s="10">
        <f t="shared" si="25"/>
        <v>0.91846072163427728</v>
      </c>
      <c r="C383" s="10">
        <f t="shared" si="27"/>
        <v>0.44283114734068524</v>
      </c>
      <c r="D383" s="4">
        <f t="shared" si="26"/>
        <v>4.7259459911140576E-2</v>
      </c>
      <c r="E383" s="66">
        <f t="shared" si="28"/>
        <v>2</v>
      </c>
      <c r="F383" s="4">
        <f t="shared" si="29"/>
        <v>3.8443020058712703E-2</v>
      </c>
    </row>
    <row r="384" spans="1:6">
      <c r="A384" s="66">
        <v>18.649999999999999</v>
      </c>
      <c r="B384" s="10">
        <f t="shared" si="25"/>
        <v>0.91809102046596647</v>
      </c>
      <c r="C384" s="10">
        <f t="shared" si="27"/>
        <v>0.44178568394759582</v>
      </c>
      <c r="D384" s="4">
        <f t="shared" si="26"/>
        <v>4.7286699526721855E-2</v>
      </c>
      <c r="E384" s="66">
        <f t="shared" si="28"/>
        <v>4</v>
      </c>
      <c r="F384" s="4">
        <f t="shared" si="29"/>
        <v>7.6717840951373767E-2</v>
      </c>
    </row>
    <row r="385" spans="1:6">
      <c r="A385" s="66">
        <v>18.7</v>
      </c>
      <c r="B385" s="10">
        <f t="shared" si="25"/>
        <v>0.91772021607599141</v>
      </c>
      <c r="C385" s="10">
        <f t="shared" si="27"/>
        <v>0.4407420874505279</v>
      </c>
      <c r="D385" s="4">
        <f t="shared" si="26"/>
        <v>4.731403144812605E-2</v>
      </c>
      <c r="E385" s="66">
        <f t="shared" si="28"/>
        <v>2</v>
      </c>
      <c r="F385" s="4">
        <f t="shared" si="29"/>
        <v>3.8274962406762106E-2</v>
      </c>
    </row>
    <row r="386" spans="1:6">
      <c r="A386" s="66">
        <v>18.75</v>
      </c>
      <c r="B386" s="10">
        <f t="shared" si="25"/>
        <v>0.91734830568049164</v>
      </c>
      <c r="C386" s="10">
        <f t="shared" si="27"/>
        <v>0.43970035425083986</v>
      </c>
      <c r="D386" s="4">
        <f t="shared" si="26"/>
        <v>4.7341455988146285E-2</v>
      </c>
      <c r="E386" s="66">
        <f t="shared" si="28"/>
        <v>4</v>
      </c>
      <c r="F386" s="4">
        <f t="shared" si="29"/>
        <v>7.6382291026096838E-2</v>
      </c>
    </row>
    <row r="387" spans="1:6">
      <c r="A387" s="66">
        <v>18.8</v>
      </c>
      <c r="B387" s="10">
        <f t="shared" si="25"/>
        <v>0.91697528649205795</v>
      </c>
      <c r="C387" s="10">
        <f t="shared" si="27"/>
        <v>0.43866048075832187</v>
      </c>
      <c r="D387" s="4">
        <f t="shared" si="26"/>
        <v>4.7368973460635663E-2</v>
      </c>
      <c r="E387" s="66">
        <f t="shared" si="28"/>
        <v>2</v>
      </c>
      <c r="F387" s="4">
        <f t="shared" si="29"/>
        <v>3.8107469456254511E-2</v>
      </c>
    </row>
    <row r="388" spans="1:6">
      <c r="A388" s="66">
        <v>18.850000000000001</v>
      </c>
      <c r="B388" s="10">
        <f t="shared" si="25"/>
        <v>0.91660115571975465</v>
      </c>
      <c r="C388" s="10">
        <f t="shared" si="27"/>
        <v>0.43762246339118621</v>
      </c>
      <c r="D388" s="4">
        <f t="shared" si="26"/>
        <v>4.739658418051082E-2</v>
      </c>
      <c r="E388" s="66">
        <f t="shared" si="28"/>
        <v>4</v>
      </c>
      <c r="F388" s="4">
        <f t="shared" si="29"/>
        <v>7.6047867797374991E-2</v>
      </c>
    </row>
    <row r="389" spans="1:6">
      <c r="A389" s="66">
        <v>18.899999999999999</v>
      </c>
      <c r="B389" s="10">
        <f t="shared" si="25"/>
        <v>0.91622591056914227</v>
      </c>
      <c r="C389" s="10">
        <f t="shared" si="27"/>
        <v>0.43658629857605735</v>
      </c>
      <c r="D389" s="4">
        <f t="shared" si="26"/>
        <v>4.7424288463755543E-2</v>
      </c>
      <c r="E389" s="66">
        <f t="shared" si="28"/>
        <v>2</v>
      </c>
      <c r="F389" s="4">
        <f t="shared" si="29"/>
        <v>3.7940538503252866E-2</v>
      </c>
    </row>
    <row r="390" spans="1:6">
      <c r="A390" s="66">
        <v>18.95</v>
      </c>
      <c r="B390" s="10">
        <f t="shared" si="25"/>
        <v>0.9158495482422998</v>
      </c>
      <c r="C390" s="10">
        <f t="shared" si="27"/>
        <v>0.43555198274796159</v>
      </c>
      <c r="D390" s="4">
        <f t="shared" si="26"/>
        <v>4.7452086627424353E-2</v>
      </c>
      <c r="E390" s="66">
        <f t="shared" si="28"/>
        <v>4</v>
      </c>
      <c r="F390" s="4">
        <f t="shared" si="29"/>
        <v>7.571456586690839E-2</v>
      </c>
    </row>
    <row r="391" spans="1:6">
      <c r="A391" s="66">
        <v>19</v>
      </c>
      <c r="B391" s="10">
        <f t="shared" si="25"/>
        <v>0.91547206593784825</v>
      </c>
      <c r="C391" s="10">
        <f t="shared" si="27"/>
        <v>0.43451951235031766</v>
      </c>
      <c r="D391" s="4">
        <f t="shared" si="26"/>
        <v>4.7479978989646163E-2</v>
      </c>
      <c r="E391" s="66">
        <f t="shared" si="28"/>
        <v>2</v>
      </c>
      <c r="F391" s="4">
        <f t="shared" si="29"/>
        <v>3.7774166853393146E-2</v>
      </c>
    </row>
    <row r="392" spans="1:6">
      <c r="A392" s="66">
        <v>19.05</v>
      </c>
      <c r="B392" s="10">
        <f t="shared" si="25"/>
        <v>0.91509346085097265</v>
      </c>
      <c r="C392" s="10">
        <f t="shared" si="27"/>
        <v>0.43348888383492618</v>
      </c>
      <c r="D392" s="4">
        <f t="shared" si="26"/>
        <v>4.7507965869628015E-2</v>
      </c>
      <c r="E392" s="66">
        <f t="shared" si="28"/>
        <v>4</v>
      </c>
      <c r="F392" s="4">
        <f t="shared" si="29"/>
        <v>7.5382379855538695E-2</v>
      </c>
    </row>
    <row r="393" spans="1:6">
      <c r="A393" s="66">
        <v>19.100000000000001</v>
      </c>
      <c r="B393" s="10">
        <f t="shared" si="25"/>
        <v>0.91471373017344737</v>
      </c>
      <c r="C393" s="10">
        <f t="shared" si="27"/>
        <v>0.43246009366196053</v>
      </c>
      <c r="D393" s="4">
        <f t="shared" si="26"/>
        <v>4.7536047587658482E-2</v>
      </c>
      <c r="E393" s="66">
        <f t="shared" si="28"/>
        <v>2</v>
      </c>
      <c r="F393" s="4">
        <f t="shared" si="29"/>
        <v>3.7608351821880166E-2</v>
      </c>
    </row>
    <row r="394" spans="1:6">
      <c r="A394" s="66">
        <v>19.149999999999999</v>
      </c>
      <c r="B394" s="10">
        <f t="shared" si="25"/>
        <v>0.91433287109365802</v>
      </c>
      <c r="C394" s="10">
        <f t="shared" si="27"/>
        <v>0.43143313829995644</v>
      </c>
      <c r="D394" s="4">
        <f t="shared" si="26"/>
        <v>4.7564224465111583E-2</v>
      </c>
      <c r="E394" s="66">
        <f t="shared" si="28"/>
        <v>4</v>
      </c>
      <c r="F394" s="4">
        <f t="shared" si="29"/>
        <v>7.5051304403241467E-2</v>
      </c>
    </row>
    <row r="395" spans="1:6">
      <c r="A395" s="66">
        <v>19.2</v>
      </c>
      <c r="B395" s="10">
        <f t="shared" ref="B395:B411" si="30">B$7^((B$4^B$6)*((B$4^A395)-1))</f>
        <v>0.91395088079662656</v>
      </c>
      <c r="C395" s="10">
        <f t="shared" si="27"/>
        <v>0.43040801422580255</v>
      </c>
      <c r="D395" s="4">
        <f t="shared" ref="D395:D411" si="31">B$5+B$3*(B$4^(B$6+A395))</f>
        <v>4.7592496824450346E-2</v>
      </c>
      <c r="E395" s="66">
        <f t="shared" si="28"/>
        <v>2</v>
      </c>
      <c r="F395" s="4">
        <f t="shared" si="29"/>
        <v>3.7443090733483828E-2</v>
      </c>
    </row>
    <row r="396" spans="1:6">
      <c r="A396" s="66">
        <v>19.25</v>
      </c>
      <c r="B396" s="10">
        <f t="shared" si="30"/>
        <v>0.91356775646403532</v>
      </c>
      <c r="C396" s="10">
        <f t="shared" ref="C396:C409" si="32">B396*EXP(-B$5*A396)</f>
        <v>0.4293847179247306</v>
      </c>
      <c r="D396" s="4">
        <f t="shared" si="31"/>
        <v>4.7620864989230502E-2</v>
      </c>
      <c r="E396" s="66">
        <f t="shared" si="28"/>
        <v>4</v>
      </c>
      <c r="F396" s="4">
        <f t="shared" si="29"/>
        <v>7.4721334169119621E-2</v>
      </c>
    </row>
    <row r="397" spans="1:6">
      <c r="A397" s="66">
        <v>19.3</v>
      </c>
      <c r="B397" s="10">
        <f t="shared" si="30"/>
        <v>0.91318349527425102</v>
      </c>
      <c r="C397" s="10">
        <f t="shared" si="32"/>
        <v>0.42836324589030561</v>
      </c>
      <c r="D397" s="4">
        <f t="shared" si="31"/>
        <v>4.7649329284104217E-2</v>
      </c>
      <c r="E397" s="66">
        <f t="shared" si="28"/>
        <v>2</v>
      </c>
      <c r="F397" s="4">
        <f t="shared" si="29"/>
        <v>3.7278380922536547E-2</v>
      </c>
    </row>
    <row r="398" spans="1:6">
      <c r="A398" s="66">
        <v>19.350000000000001</v>
      </c>
      <c r="B398" s="10">
        <f t="shared" si="30"/>
        <v>0.91279809440235016</v>
      </c>
      <c r="C398" s="10">
        <f t="shared" si="32"/>
        <v>0.42734359462441629</v>
      </c>
      <c r="D398" s="4">
        <f t="shared" si="31"/>
        <v>4.7677890034823804E-2</v>
      </c>
      <c r="E398" s="66">
        <f t="shared" ref="E398:E410" si="33">IF(E397=4,2,4)</f>
        <v>4</v>
      </c>
      <c r="F398" s="4">
        <f t="shared" ref="F398:F411" si="34">B398*C398*D398*E398</f>
        <v>7.4392463831398803E-2</v>
      </c>
    </row>
    <row r="399" spans="1:6">
      <c r="A399" s="66">
        <v>19.399999999999999</v>
      </c>
      <c r="B399" s="10">
        <f t="shared" si="30"/>
        <v>0.91241155102014393</v>
      </c>
      <c r="C399" s="10">
        <f t="shared" si="32"/>
        <v>0.42632576063726574</v>
      </c>
      <c r="D399" s="4">
        <f t="shared" si="31"/>
        <v>4.7706547568245411E-2</v>
      </c>
      <c r="E399" s="66">
        <f t="shared" si="33"/>
        <v>2</v>
      </c>
      <c r="F399" s="4">
        <f t="shared" si="34"/>
        <v>3.7114219732931199E-2</v>
      </c>
    </row>
    <row r="400" spans="1:6">
      <c r="A400" s="66">
        <v>19.45</v>
      </c>
      <c r="B400" s="10">
        <f t="shared" si="30"/>
        <v>0.91202386229620325</v>
      </c>
      <c r="C400" s="10">
        <f t="shared" si="32"/>
        <v>0.42530974044736092</v>
      </c>
      <c r="D400" s="4">
        <f t="shared" si="31"/>
        <v>4.7735302212332811E-2</v>
      </c>
      <c r="E400" s="66">
        <f t="shared" si="33"/>
        <v>4</v>
      </c>
      <c r="F400" s="4">
        <f t="shared" si="34"/>
        <v>7.4064688087424266E-2</v>
      </c>
    </row>
    <row r="401" spans="1:6">
      <c r="A401" s="66">
        <v>19.5</v>
      </c>
      <c r="B401" s="10">
        <f t="shared" si="30"/>
        <v>0.9116350253958847</v>
      </c>
      <c r="C401" s="10">
        <f t="shared" si="32"/>
        <v>0.42429553058150421</v>
      </c>
      <c r="D401" s="4">
        <f t="shared" si="31"/>
        <v>4.7764154296161127E-2</v>
      </c>
      <c r="E401" s="66">
        <f t="shared" si="33"/>
        <v>2</v>
      </c>
      <c r="F401" s="4">
        <f t="shared" si="34"/>
        <v>3.6950604518119878E-2</v>
      </c>
    </row>
    <row r="402" spans="1:6">
      <c r="A402" s="66">
        <v>19.55</v>
      </c>
      <c r="B402" s="10">
        <f t="shared" si="30"/>
        <v>0.91124503748135621</v>
      </c>
      <c r="C402" s="10">
        <f t="shared" si="32"/>
        <v>0.42328312757478337</v>
      </c>
      <c r="D402" s="4">
        <f t="shared" si="31"/>
        <v>4.7793104149920607E-2</v>
      </c>
      <c r="E402" s="66">
        <f t="shared" si="33"/>
        <v>4</v>
      </c>
      <c r="F402" s="4">
        <f t="shared" si="34"/>
        <v>7.3738001653659083E-2</v>
      </c>
    </row>
    <row r="403" spans="1:6">
      <c r="A403" s="66">
        <v>19.600000000000001</v>
      </c>
      <c r="B403" s="10">
        <f t="shared" si="30"/>
        <v>0.91085389571162323</v>
      </c>
      <c r="C403" s="10">
        <f t="shared" si="32"/>
        <v>0.42227252797056186</v>
      </c>
      <c r="D403" s="4">
        <f t="shared" si="31"/>
        <v>4.7822152104920412E-2</v>
      </c>
      <c r="E403" s="66">
        <f t="shared" si="33"/>
        <v>2</v>
      </c>
      <c r="F403" s="4">
        <f t="shared" si="34"/>
        <v>3.6787532641113653E-2</v>
      </c>
    </row>
    <row r="404" spans="1:6">
      <c r="A404" s="66">
        <v>19.649999999999999</v>
      </c>
      <c r="B404" s="10">
        <f t="shared" si="30"/>
        <v>0.91046159724255515</v>
      </c>
      <c r="C404" s="10">
        <f t="shared" si="32"/>
        <v>0.42126372832046982</v>
      </c>
      <c r="D404" s="4">
        <f t="shared" si="31"/>
        <v>4.785129849359239E-2</v>
      </c>
      <c r="E404" s="66">
        <f t="shared" si="33"/>
        <v>4</v>
      </c>
      <c r="F404" s="4">
        <f t="shared" si="34"/>
        <v>7.3412399265684505E-2</v>
      </c>
    </row>
    <row r="405" spans="1:6">
      <c r="A405" s="66">
        <v>19.7</v>
      </c>
      <c r="B405" s="10">
        <f t="shared" si="30"/>
        <v>0.9100681392269121</v>
      </c>
      <c r="C405" s="10">
        <f t="shared" si="32"/>
        <v>0.42025672518439422</v>
      </c>
      <c r="D405" s="4">
        <f t="shared" si="31"/>
        <v>4.7880543649494872E-2</v>
      </c>
      <c r="E405" s="66">
        <f t="shared" si="33"/>
        <v>2</v>
      </c>
      <c r="F405" s="4">
        <f t="shared" si="34"/>
        <v>3.6625001474482874E-2</v>
      </c>
    </row>
    <row r="406" spans="1:6">
      <c r="A406" s="66">
        <v>19.75</v>
      </c>
      <c r="B406" s="10">
        <f t="shared" si="30"/>
        <v>0.90967351881437164</v>
      </c>
      <c r="C406" s="10">
        <f t="shared" si="32"/>
        <v>0.41925151513046988</v>
      </c>
      <c r="D406" s="4">
        <f t="shared" si="31"/>
        <v>4.7909887907316526E-2</v>
      </c>
      <c r="E406" s="66">
        <f t="shared" si="33"/>
        <v>4</v>
      </c>
      <c r="F406" s="4">
        <f t="shared" si="34"/>
        <v>7.3087875678201311E-2</v>
      </c>
    </row>
    <row r="407" spans="1:6">
      <c r="A407" s="66">
        <v>19.8</v>
      </c>
      <c r="B407" s="10">
        <f t="shared" si="30"/>
        <v>0.90927773315155658</v>
      </c>
      <c r="C407" s="10">
        <f t="shared" si="32"/>
        <v>0.41824809473506996</v>
      </c>
      <c r="D407" s="4">
        <f t="shared" si="31"/>
        <v>4.7939331602880164E-2</v>
      </c>
      <c r="E407" s="66">
        <f t="shared" si="33"/>
        <v>2</v>
      </c>
      <c r="F407" s="4">
        <f t="shared" si="34"/>
        <v>3.6463008400358411E-2</v>
      </c>
    </row>
    <row r="408" spans="1:6">
      <c r="A408" s="66">
        <v>19.850000000000001</v>
      </c>
      <c r="B408" s="10">
        <f t="shared" si="30"/>
        <v>0.9088807793820618</v>
      </c>
      <c r="C408" s="10">
        <f t="shared" si="32"/>
        <v>0.41724646058279674</v>
      </c>
      <c r="D408" s="4">
        <f t="shared" si="31"/>
        <v>4.796887507314658E-2</v>
      </c>
      <c r="E408" s="66">
        <f t="shared" si="33"/>
        <v>4</v>
      </c>
      <c r="F408" s="4">
        <f t="shared" si="34"/>
        <v>7.2764425665033355E-2</v>
      </c>
    </row>
    <row r="409" spans="1:6">
      <c r="A409" s="66">
        <v>19.899999999999999</v>
      </c>
      <c r="B409" s="10">
        <f t="shared" si="30"/>
        <v>0.9084826546464827</v>
      </c>
      <c r="C409" s="10">
        <f t="shared" si="32"/>
        <v>0.41624660926647217</v>
      </c>
      <c r="D409" s="4">
        <f t="shared" si="31"/>
        <v>4.7998518656218431E-2</v>
      </c>
      <c r="E409" s="66">
        <f t="shared" si="33"/>
        <v>2</v>
      </c>
      <c r="F409" s="4">
        <f t="shared" si="34"/>
        <v>3.6301550810433847E-2</v>
      </c>
    </row>
    <row r="410" spans="1:6">
      <c r="A410" s="66">
        <v>19.95</v>
      </c>
      <c r="B410" s="10">
        <f t="shared" si="30"/>
        <v>0.90808335608244295</v>
      </c>
      <c r="C410" s="10">
        <f t="shared" ref="C410:C411" si="35">B410*EXP(-B$5*A410)</f>
        <v>0.41524853738712869</v>
      </c>
      <c r="D410" s="4">
        <f t="shared" si="31"/>
        <v>4.8028262691344054E-2</v>
      </c>
      <c r="E410" s="66">
        <f t="shared" si="33"/>
        <v>4</v>
      </c>
      <c r="F410" s="4">
        <f t="shared" si="34"/>
        <v>7.2442044019132429E-2</v>
      </c>
    </row>
    <row r="411" spans="1:6">
      <c r="A411" s="66">
        <v>20</v>
      </c>
      <c r="B411" s="10">
        <f t="shared" si="30"/>
        <v>0.90768288082462312</v>
      </c>
      <c r="C411" s="10">
        <f t="shared" si="35"/>
        <v>0.41425224155400031</v>
      </c>
      <c r="D411" s="4">
        <f t="shared" si="31"/>
        <v>4.8058107518921395E-2</v>
      </c>
      <c r="E411" s="66">
        <v>1</v>
      </c>
      <c r="F411" s="4">
        <f t="shared" si="34"/>
        <v>1.8070313052984087E-2</v>
      </c>
    </row>
    <row r="412" spans="1:6">
      <c r="A412" s="66"/>
      <c r="B412" s="66"/>
      <c r="C412" s="66"/>
      <c r="D412" s="66"/>
      <c r="E412" s="66"/>
      <c r="F412" s="68">
        <f>SUM(F11:F411)/60</f>
        <v>0.56737570071013699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13"/>
  <sheetViews>
    <sheetView zoomScale="125" zoomScaleNormal="125" zoomScalePageLayoutView="125" workbookViewId="0"/>
  </sheetViews>
  <sheetFormatPr baseColWidth="10" defaultRowHeight="12" x14ac:dyDescent="0"/>
  <cols>
    <col min="7" max="7" width="10.83203125" style="8"/>
    <col min="9" max="9" width="10.83203125" style="8"/>
    <col min="12" max="13" width="10.83203125" style="8"/>
    <col min="18" max="18" width="10.83203125" style="8"/>
    <col min="20" max="20" width="10.83203125" style="8"/>
    <col min="22" max="22" width="10.83203125" style="8"/>
  </cols>
  <sheetData>
    <row r="1" spans="1:22" ht="15">
      <c r="A1" s="70" t="s">
        <v>310</v>
      </c>
      <c r="Q1" s="4"/>
    </row>
    <row r="2" spans="1:22">
      <c r="Q2" s="4"/>
    </row>
    <row r="3" spans="1:22">
      <c r="A3" s="52" t="s">
        <v>270</v>
      </c>
      <c r="B3" s="51">
        <v>1E-4</v>
      </c>
      <c r="E3" s="66"/>
      <c r="F3" s="4"/>
      <c r="G3" s="10"/>
      <c r="H3" s="4"/>
      <c r="Q3" s="4"/>
    </row>
    <row r="4" spans="1:22">
      <c r="A4" s="52" t="s">
        <v>271</v>
      </c>
      <c r="B4" s="51">
        <v>2.9999999999999997E-4</v>
      </c>
      <c r="E4" s="66"/>
      <c r="F4" s="4"/>
      <c r="G4" s="10"/>
      <c r="H4" s="4"/>
      <c r="Q4" s="4"/>
    </row>
    <row r="5" spans="1:22">
      <c r="A5" s="52" t="s">
        <v>24</v>
      </c>
      <c r="B5" s="51">
        <v>1.075</v>
      </c>
      <c r="E5" s="66"/>
      <c r="F5" s="4"/>
      <c r="G5" s="10"/>
      <c r="H5" s="4"/>
      <c r="Q5" s="4"/>
    </row>
    <row r="6" spans="1:22">
      <c r="A6" s="52" t="s">
        <v>74</v>
      </c>
      <c r="B6" s="51">
        <v>0.05</v>
      </c>
      <c r="E6" s="66"/>
      <c r="F6" s="4"/>
      <c r="G6" s="10"/>
      <c r="H6" s="4"/>
      <c r="Q6" s="4"/>
    </row>
    <row r="7" spans="1:22">
      <c r="A7" s="9" t="s">
        <v>27</v>
      </c>
      <c r="B7" s="18">
        <f>EXP(-B3)</f>
        <v>0.99990000499983334</v>
      </c>
      <c r="E7" s="66"/>
      <c r="F7" s="4"/>
      <c r="G7" s="10"/>
      <c r="H7" s="4"/>
      <c r="Q7" s="4"/>
    </row>
    <row r="8" spans="1:22">
      <c r="A8" s="9" t="s">
        <v>25</v>
      </c>
      <c r="B8" s="18">
        <f>EXP(-B4/LN(B5))</f>
        <v>0.99586039972363061</v>
      </c>
      <c r="E8" s="66"/>
      <c r="F8" s="4"/>
      <c r="G8" s="10"/>
      <c r="H8" s="4"/>
      <c r="Q8" s="4"/>
    </row>
    <row r="9" spans="1:22">
      <c r="E9" s="66"/>
      <c r="F9" s="4"/>
      <c r="G9" s="10"/>
      <c r="H9" s="4"/>
      <c r="Q9" s="4"/>
    </row>
    <row r="10" spans="1:22">
      <c r="A10" s="1" t="s">
        <v>1</v>
      </c>
      <c r="B10" s="66"/>
      <c r="C10" s="66"/>
      <c r="D10" s="4"/>
      <c r="E10" s="4"/>
      <c r="G10" s="28" t="s">
        <v>2</v>
      </c>
      <c r="I10" s="28" t="s">
        <v>3</v>
      </c>
      <c r="K10" s="1" t="s">
        <v>4</v>
      </c>
      <c r="L10" s="28"/>
      <c r="M10" s="28"/>
      <c r="Q10" s="4"/>
      <c r="T10" s="28" t="s">
        <v>176</v>
      </c>
      <c r="V10" s="28" t="s">
        <v>279</v>
      </c>
    </row>
    <row r="11" spans="1:22">
      <c r="A11" s="66" t="s">
        <v>0</v>
      </c>
      <c r="B11" s="7" t="s">
        <v>280</v>
      </c>
      <c r="C11" s="7" t="s">
        <v>13</v>
      </c>
      <c r="D11" s="129" t="s">
        <v>85</v>
      </c>
      <c r="E11" s="4" t="s">
        <v>23</v>
      </c>
      <c r="G11" s="10" t="s">
        <v>23</v>
      </c>
      <c r="I11" s="10" t="s">
        <v>23</v>
      </c>
      <c r="K11" s="66" t="s">
        <v>0</v>
      </c>
      <c r="L11" s="26" t="s">
        <v>280</v>
      </c>
      <c r="M11" s="26" t="s">
        <v>13</v>
      </c>
      <c r="N11" s="22" t="s">
        <v>281</v>
      </c>
      <c r="O11" s="22" t="s">
        <v>272</v>
      </c>
      <c r="P11" s="129" t="s">
        <v>85</v>
      </c>
      <c r="Q11" s="66" t="s">
        <v>22</v>
      </c>
      <c r="R11" s="10" t="s">
        <v>23</v>
      </c>
      <c r="T11" s="10" t="s">
        <v>23</v>
      </c>
      <c r="V11" s="10" t="s">
        <v>23</v>
      </c>
    </row>
    <row r="12" spans="1:22">
      <c r="A12" s="66">
        <v>0</v>
      </c>
      <c r="B12" s="10">
        <f>(B$7^A12)*B$8^((B$5^25)*((B$5^A12)-1))</f>
        <v>1</v>
      </c>
      <c r="C12" s="10">
        <f>(B$7^A12)*B$8^((B$5^30)*((B$5^A12)-1))</f>
        <v>1</v>
      </c>
      <c r="D12" s="10">
        <f>(1+B$6)^-A12</f>
        <v>1</v>
      </c>
      <c r="E12" s="10">
        <f>B12*C12*D12</f>
        <v>1</v>
      </c>
      <c r="G12" s="10">
        <f>(B12+C12-B12*C12)*D12</f>
        <v>1</v>
      </c>
      <c r="I12" s="10">
        <f>C12*(1-B12)*D12</f>
        <v>0</v>
      </c>
      <c r="K12" s="66">
        <v>0</v>
      </c>
      <c r="L12" s="10">
        <f t="shared" ref="L12:L75" si="0">(B$7^K12)*B$8^((B$5^25)*((B$5^K12)-1))</f>
        <v>1</v>
      </c>
      <c r="M12" s="10">
        <f t="shared" ref="M12:M75" si="1">(B$7^K12)*B$8^((B$5^30)*((B$5^K12)-1))</f>
        <v>1</v>
      </c>
      <c r="N12" s="10">
        <f>B$3+B$4*(B$5^(25+K12))</f>
        <v>1.9295018838144194E-3</v>
      </c>
      <c r="O12" s="10">
        <f>$B$3+$B$4*($B$5^(30+K12))</f>
        <v>2.7264865566906703E-3</v>
      </c>
      <c r="P12" s="10">
        <f>(1+B$6)^-K12</f>
        <v>1</v>
      </c>
      <c r="Q12" s="66">
        <v>1</v>
      </c>
      <c r="R12" s="10">
        <f>L12*M12*(N12+O12)*P12*Q12</f>
        <v>4.6559884405050897E-3</v>
      </c>
      <c r="T12" s="10">
        <f>L12*M12*N12*P12*Q12</f>
        <v>1.9295018838144194E-3</v>
      </c>
      <c r="V12" s="10">
        <f>(1-L12)*M12*O12*P12*Q12</f>
        <v>0</v>
      </c>
    </row>
    <row r="13" spans="1:22">
      <c r="A13" s="66">
        <v>1</v>
      </c>
      <c r="B13" s="10">
        <f t="shared" ref="B13:B76" si="2">(B$7^A13)*B$8^((B$5^25)*((B$5^A13)-1))</f>
        <v>0.99800471190500528</v>
      </c>
      <c r="C13" s="10">
        <f t="shared" ref="C13:C76" si="3">(B$7^A13)*B$8^((B$5^30)*((B$5^A13)-1))</f>
        <v>0.99718019042933259</v>
      </c>
      <c r="D13" s="10">
        <f t="shared" ref="D13:D76" si="4">(1+B$6)^-A13</f>
        <v>0.95238095238095233</v>
      </c>
      <c r="E13" s="10">
        <f t="shared" ref="E13:E76" si="5">B13*C13*D13</f>
        <v>0.94780050349219458</v>
      </c>
      <c r="G13" s="10">
        <f>(B13+C13-B13*C13)*D13</f>
        <v>0.95237559396907956</v>
      </c>
      <c r="I13" s="10">
        <f t="shared" ref="I13:I76" si="6">C13*(1-B13)*D13</f>
        <v>1.8949159643125843E-3</v>
      </c>
      <c r="K13" s="66">
        <v>0.05</v>
      </c>
      <c r="L13" s="10">
        <f t="shared" si="0"/>
        <v>0.99990336398735591</v>
      </c>
      <c r="M13" s="10">
        <f t="shared" si="1"/>
        <v>0.99986344727332932</v>
      </c>
      <c r="N13" s="10">
        <f t="shared" ref="N13:N76" si="7">B$3+B$4*(B$5^(25+K13))</f>
        <v>1.9361293985790482E-3</v>
      </c>
      <c r="O13" s="10">
        <f t="shared" ref="O13:O76" si="8">$B$3+$B$4*($B$5^(30+K13))</f>
        <v>2.736001211246408E-3</v>
      </c>
      <c r="P13" s="10">
        <f t="shared" ref="P13:P76" si="9">(1+B$6)^-K13</f>
        <v>0.99756346497348591</v>
      </c>
      <c r="Q13" s="66">
        <v>4</v>
      </c>
      <c r="R13" s="10">
        <f t="shared" ref="R13:R76" si="10">L13*M13*(N13+O13)*P13*Q13</f>
        <v>1.8638640111113689E-2</v>
      </c>
      <c r="T13" s="10">
        <f t="shared" ref="T13:T76" si="11">L13*M13*N13*P13*Q13</f>
        <v>7.7238463738088922E-3</v>
      </c>
      <c r="V13" s="10">
        <f>(1-L13)*M13*O13*P13*Q13</f>
        <v>1.0548640834647423E-6</v>
      </c>
    </row>
    <row r="14" spans="1:22">
      <c r="A14" s="66">
        <v>2</v>
      </c>
      <c r="B14" s="10">
        <f t="shared" si="2"/>
        <v>0.99587168624470812</v>
      </c>
      <c r="C14" s="10">
        <f t="shared" si="3"/>
        <v>0.99416521893976739</v>
      </c>
      <c r="D14" s="10">
        <f t="shared" si="4"/>
        <v>0.90702947845804982</v>
      </c>
      <c r="E14" s="10">
        <f t="shared" si="5"/>
        <v>0.8980145061146354</v>
      </c>
      <c r="G14" s="10">
        <f t="shared" ref="G14:G77" si="12">(B14+C14-B14*C14)*D14</f>
        <v>0.90700763010711094</v>
      </c>
      <c r="I14" s="10">
        <f t="shared" si="6"/>
        <v>3.7226539214347426E-3</v>
      </c>
      <c r="K14" s="66">
        <v>0.1</v>
      </c>
      <c r="L14" s="10">
        <f t="shared" si="0"/>
        <v>0.9998064054018504</v>
      </c>
      <c r="M14" s="10">
        <f t="shared" si="1"/>
        <v>0.99972643672967287</v>
      </c>
      <c r="N14" s="10">
        <f t="shared" si="7"/>
        <v>1.9427809220382542E-3</v>
      </c>
      <c r="O14" s="10">
        <f t="shared" si="8"/>
        <v>2.7455503333881645E-3</v>
      </c>
      <c r="P14" s="10">
        <f t="shared" si="9"/>
        <v>0.99513286664990741</v>
      </c>
      <c r="Q14" s="66">
        <f>IF(Q13=4,2,4)</f>
        <v>2</v>
      </c>
      <c r="R14" s="10">
        <f t="shared" si="10"/>
        <v>9.3266664764379802E-3</v>
      </c>
      <c r="T14" s="10">
        <f t="shared" si="11"/>
        <v>3.8648441651099618E-3</v>
      </c>
      <c r="V14" s="10">
        <f t="shared" ref="V14:V77" si="13">(1-L14)*M14*O14*P14*Q14</f>
        <v>1.0575840380829541E-6</v>
      </c>
    </row>
    <row r="15" spans="1:22">
      <c r="A15" s="66">
        <v>3</v>
      </c>
      <c r="B15" s="10">
        <f t="shared" si="2"/>
        <v>0.99359121988660726</v>
      </c>
      <c r="C15" s="10">
        <f t="shared" si="3"/>
        <v>0.99094172277310955</v>
      </c>
      <c r="D15" s="10">
        <f t="shared" si="4"/>
        <v>0.86383759853147601</v>
      </c>
      <c r="E15" s="10">
        <f t="shared" si="5"/>
        <v>0.85052672080049241</v>
      </c>
      <c r="G15" s="10">
        <f t="shared" si="12"/>
        <v>0.86378745059328066</v>
      </c>
      <c r="I15" s="10">
        <f t="shared" si="6"/>
        <v>5.4859972844742023E-3</v>
      </c>
      <c r="K15" s="66">
        <v>0.15</v>
      </c>
      <c r="L15" s="10">
        <f t="shared" si="0"/>
        <v>0.99970912313687776</v>
      </c>
      <c r="M15" s="10">
        <f t="shared" si="1"/>
        <v>0.99958896683656329</v>
      </c>
      <c r="N15" s="10">
        <f t="shared" si="7"/>
        <v>1.9494565411654246E-3</v>
      </c>
      <c r="O15" s="10">
        <f t="shared" si="8"/>
        <v>2.7551340479774838E-3</v>
      </c>
      <c r="P15" s="10">
        <f t="shared" si="9"/>
        <v>0.99270819056427972</v>
      </c>
      <c r="Q15" s="66">
        <f t="shared" ref="Q15:Q78" si="14">IF(Q14=4,2,4)</f>
        <v>4</v>
      </c>
      <c r="R15" s="10">
        <f t="shared" si="10"/>
        <v>1.8668032196703984E-2</v>
      </c>
      <c r="T15" s="10">
        <f t="shared" si="11"/>
        <v>7.7355333661842385E-3</v>
      </c>
      <c r="V15" s="10">
        <f t="shared" si="13"/>
        <v>3.1809362266604979E-6</v>
      </c>
    </row>
    <row r="16" spans="1:22">
      <c r="A16" s="66">
        <v>4</v>
      </c>
      <c r="B16" s="10">
        <f t="shared" si="2"/>
        <v>0.99115297609440789</v>
      </c>
      <c r="C16" s="10">
        <f t="shared" si="3"/>
        <v>0.98749552678526387</v>
      </c>
      <c r="D16" s="10">
        <f t="shared" si="4"/>
        <v>0.82270247479188197</v>
      </c>
      <c r="E16" s="10">
        <f t="shared" si="5"/>
        <v>0.80522755868439944</v>
      </c>
      <c r="G16" s="10">
        <f t="shared" si="12"/>
        <v>0.82261146137795882</v>
      </c>
      <c r="I16" s="10">
        <f t="shared" si="6"/>
        <v>7.1874550477502713E-3</v>
      </c>
      <c r="K16" s="66">
        <v>0.2</v>
      </c>
      <c r="L16" s="10">
        <f t="shared" si="0"/>
        <v>0.99961151608225784</v>
      </c>
      <c r="M16" s="10">
        <f t="shared" si="1"/>
        <v>0.9994510360568627</v>
      </c>
      <c r="N16" s="10">
        <f t="shared" si="7"/>
        <v>1.9561563432490166E-3</v>
      </c>
      <c r="O16" s="10">
        <f t="shared" si="8"/>
        <v>2.7647524803282356E-3</v>
      </c>
      <c r="P16" s="10">
        <f t="shared" si="9"/>
        <v>0.99028942228686234</v>
      </c>
      <c r="Q16" s="66">
        <f t="shared" si="14"/>
        <v>2</v>
      </c>
      <c r="R16" s="10">
        <f t="shared" si="10"/>
        <v>9.341368875805443E-3</v>
      </c>
      <c r="T16" s="10">
        <f t="shared" si="11"/>
        <v>3.8706907216202735E-3</v>
      </c>
      <c r="V16" s="10">
        <f t="shared" si="13"/>
        <v>2.1260964363173541E-6</v>
      </c>
    </row>
    <row r="17" spans="1:22">
      <c r="A17" s="66">
        <v>5</v>
      </c>
      <c r="B17" s="10">
        <f t="shared" si="2"/>
        <v>0.9885459510123219</v>
      </c>
      <c r="C17" s="10">
        <f t="shared" si="3"/>
        <v>0.9838116103239023</v>
      </c>
      <c r="D17" s="10">
        <f t="shared" si="4"/>
        <v>0.78352616646845896</v>
      </c>
      <c r="E17" s="10">
        <f t="shared" si="5"/>
        <v>0.76201287593591305</v>
      </c>
      <c r="G17" s="10">
        <f t="shared" si="12"/>
        <v>0.78338088300293718</v>
      </c>
      <c r="I17" s="10">
        <f t="shared" si="6"/>
        <v>8.8292636283355021E-3</v>
      </c>
      <c r="K17" s="66">
        <v>0.25</v>
      </c>
      <c r="L17" s="10">
        <f t="shared" si="0"/>
        <v>0.99951358312422833</v>
      </c>
      <c r="M17" s="10">
        <f t="shared" si="1"/>
        <v>0.99931264284875165</v>
      </c>
      <c r="N17" s="10">
        <f t="shared" si="7"/>
        <v>1.9628804158936951E-3</v>
      </c>
      <c r="O17" s="10">
        <f t="shared" si="8"/>
        <v>2.7744057562082464E-3</v>
      </c>
      <c r="P17" s="10">
        <f t="shared" si="9"/>
        <v>0.98787654742307407</v>
      </c>
      <c r="Q17" s="66">
        <f t="shared" si="14"/>
        <v>4</v>
      </c>
      <c r="R17" s="10">
        <f t="shared" si="10"/>
        <v>1.8697449526224482E-2</v>
      </c>
      <c r="T17" s="10">
        <f t="shared" si="11"/>
        <v>7.7472325227721378E-3</v>
      </c>
      <c r="V17" s="10">
        <f t="shared" si="13"/>
        <v>5.3289624411027796E-6</v>
      </c>
    </row>
    <row r="18" spans="1:22">
      <c r="A18" s="66">
        <v>6</v>
      </c>
      <c r="B18" s="10">
        <f t="shared" si="2"/>
        <v>0.98575843967861287</v>
      </c>
      <c r="C18" s="10">
        <f t="shared" si="3"/>
        <v>0.97987407556591133</v>
      </c>
      <c r="D18" s="10">
        <f t="shared" si="4"/>
        <v>0.74621539663662761</v>
      </c>
      <c r="E18" s="10">
        <f t="shared" si="5"/>
        <v>0.72078373403325613</v>
      </c>
      <c r="G18" s="10">
        <f t="shared" si="12"/>
        <v>0.74600151297178852</v>
      </c>
      <c r="I18" s="10">
        <f t="shared" si="6"/>
        <v>1.0413387919109269E-2</v>
      </c>
      <c r="K18" s="66">
        <v>0.3</v>
      </c>
      <c r="L18" s="10">
        <f t="shared" si="0"/>
        <v>0.99941532314543247</v>
      </c>
      <c r="M18" s="10">
        <f t="shared" si="1"/>
        <v>0.99917378566571846</v>
      </c>
      <c r="N18" s="10">
        <f t="shared" si="7"/>
        <v>1.9696288470214805E-3</v>
      </c>
      <c r="O18" s="10">
        <f t="shared" si="8"/>
        <v>2.7840940018409462E-3</v>
      </c>
      <c r="P18" s="10">
        <f t="shared" si="9"/>
        <v>0.98546955161340599</v>
      </c>
      <c r="Q18" s="66">
        <f t="shared" si="14"/>
        <v>2</v>
      </c>
      <c r="R18" s="10">
        <f t="shared" si="10"/>
        <v>9.3560837143927874E-3</v>
      </c>
      <c r="T18" s="10">
        <f t="shared" si="11"/>
        <v>3.8765432830030829E-3</v>
      </c>
      <c r="V18" s="10">
        <f t="shared" si="13"/>
        <v>3.2056347243280741E-6</v>
      </c>
    </row>
    <row r="19" spans="1:22">
      <c r="A19" s="66">
        <v>7</v>
      </c>
      <c r="B19" s="10">
        <f t="shared" si="2"/>
        <v>0.98277800182018571</v>
      </c>
      <c r="C19" s="10">
        <f t="shared" si="3"/>
        <v>0.97566611795083713</v>
      </c>
      <c r="D19" s="10">
        <f t="shared" si="4"/>
        <v>0.71068133013012147</v>
      </c>
      <c r="E19" s="10">
        <f t="shared" si="5"/>
        <v>0.68144617285615605</v>
      </c>
      <c r="G19" s="10">
        <f t="shared" si="12"/>
        <v>0.7103834991682294</v>
      </c>
      <c r="I19" s="10">
        <f t="shared" si="6"/>
        <v>1.1941521612036847E-2</v>
      </c>
      <c r="K19" s="66">
        <v>0.35</v>
      </c>
      <c r="L19" s="10">
        <f t="shared" si="0"/>
        <v>0.99931673502491136</v>
      </c>
      <c r="M19" s="10">
        <f t="shared" si="1"/>
        <v>0.99903446295654819</v>
      </c>
      <c r="N19" s="10">
        <f t="shared" si="7"/>
        <v>1.9764017248728974E-3</v>
      </c>
      <c r="O19" s="10">
        <f t="shared" si="8"/>
        <v>2.793817343907021E-3</v>
      </c>
      <c r="P19" s="10">
        <f t="shared" si="9"/>
        <v>0.98306842053333698</v>
      </c>
      <c r="Q19" s="66">
        <f t="shared" si="14"/>
        <v>4</v>
      </c>
      <c r="R19" s="10">
        <f t="shared" si="10"/>
        <v>1.8726891367146399E-2</v>
      </c>
      <c r="T19" s="10">
        <f t="shared" si="11"/>
        <v>7.7589435340130099E-3</v>
      </c>
      <c r="V19" s="10">
        <f t="shared" si="13"/>
        <v>7.4991385016608845E-6</v>
      </c>
    </row>
    <row r="20" spans="1:22">
      <c r="A20" s="66">
        <v>8</v>
      </c>
      <c r="B20" s="10">
        <f t="shared" si="2"/>
        <v>0.97959142773653229</v>
      </c>
      <c r="C20" s="10">
        <f t="shared" si="3"/>
        <v>0.97116999945656335</v>
      </c>
      <c r="D20" s="10">
        <f t="shared" si="4"/>
        <v>0.67683936202868722</v>
      </c>
      <c r="E20" s="10">
        <f t="shared" si="5"/>
        <v>0.64391099599100143</v>
      </c>
      <c r="G20" s="10">
        <f t="shared" si="12"/>
        <v>0.67644112386054478</v>
      </c>
      <c r="I20" s="10">
        <f t="shared" si="6"/>
        <v>1.3415086862579466E-2</v>
      </c>
      <c r="K20" s="66">
        <v>0.4</v>
      </c>
      <c r="L20" s="10">
        <f t="shared" si="0"/>
        <v>0.99921781763809203</v>
      </c>
      <c r="M20" s="10">
        <f t="shared" si="1"/>
        <v>0.99889467316531189</v>
      </c>
      <c r="N20" s="10">
        <f t="shared" si="7"/>
        <v>1.983199138008129E-3</v>
      </c>
      <c r="O20" s="10">
        <f t="shared" si="8"/>
        <v>2.8035759095460648E-3</v>
      </c>
      <c r="P20" s="10">
        <f t="shared" si="9"/>
        <v>0.98067313989324767</v>
      </c>
      <c r="Q20" s="66">
        <f t="shared" si="14"/>
        <v>2</v>
      </c>
      <c r="R20" s="10">
        <f t="shared" si="10"/>
        <v>9.3708106243844437E-3</v>
      </c>
      <c r="T20" s="10">
        <f t="shared" si="11"/>
        <v>3.8824016938527853E-3</v>
      </c>
      <c r="V20" s="10">
        <f t="shared" si="13"/>
        <v>4.2962971482509167E-6</v>
      </c>
    </row>
    <row r="21" spans="1:22">
      <c r="A21" s="66">
        <v>9</v>
      </c>
      <c r="B21" s="10">
        <f t="shared" si="2"/>
        <v>0.97618470464635254</v>
      </c>
      <c r="C21" s="10">
        <f t="shared" si="3"/>
        <v>0.96636702558708221</v>
      </c>
      <c r="D21" s="10">
        <f t="shared" si="4"/>
        <v>0.64460891621779726</v>
      </c>
      <c r="E21" s="10">
        <f t="shared" si="5"/>
        <v>0.60809356765142752</v>
      </c>
      <c r="G21" s="10">
        <f t="shared" si="12"/>
        <v>0.64409259787135376</v>
      </c>
      <c r="I21" s="10">
        <f t="shared" si="6"/>
        <v>1.4835233380877846E-2</v>
      </c>
      <c r="K21" s="66">
        <v>0.45</v>
      </c>
      <c r="L21" s="10">
        <f t="shared" si="0"/>
        <v>0.99911856985677905</v>
      </c>
      <c r="M21" s="10">
        <f t="shared" si="1"/>
        <v>0.99875441473135573</v>
      </c>
      <c r="N21" s="10">
        <f t="shared" si="7"/>
        <v>1.9900211753081753E-3</v>
      </c>
      <c r="O21" s="10">
        <f t="shared" si="8"/>
        <v>2.8133698263582501E-3</v>
      </c>
      <c r="P21" s="10">
        <f t="shared" si="9"/>
        <v>0.97828369543833626</v>
      </c>
      <c r="Q21" s="66">
        <f t="shared" si="14"/>
        <v>4</v>
      </c>
      <c r="R21" s="10">
        <f t="shared" si="10"/>
        <v>1.875635698072314E-2</v>
      </c>
      <c r="T21" s="10">
        <f t="shared" si="11"/>
        <v>7.7706660878385974E-3</v>
      </c>
      <c r="V21" s="10">
        <f t="shared" si="13"/>
        <v>9.6916616197859023E-6</v>
      </c>
    </row>
    <row r="22" spans="1:22">
      <c r="A22" s="66">
        <v>10</v>
      </c>
      <c r="B22" s="10">
        <f t="shared" si="2"/>
        <v>0.97254298394460592</v>
      </c>
      <c r="C22" s="10">
        <f t="shared" si="3"/>
        <v>0.96123752708035359</v>
      </c>
      <c r="D22" s="10">
        <f t="shared" si="4"/>
        <v>0.61391325354075932</v>
      </c>
      <c r="E22" s="10">
        <f t="shared" si="5"/>
        <v>0.57391362062242857</v>
      </c>
      <c r="G22" s="10">
        <f t="shared" si="12"/>
        <v>0.61325986453461656</v>
      </c>
      <c r="I22" s="10">
        <f t="shared" si="6"/>
        <v>1.6202837052945014E-2</v>
      </c>
      <c r="K22" s="66">
        <v>0.5</v>
      </c>
      <c r="L22" s="10">
        <f t="shared" si="0"/>
        <v>0.99901899054914334</v>
      </c>
      <c r="M22" s="10">
        <f t="shared" si="1"/>
        <v>0.99861368608929024</v>
      </c>
      <c r="N22" s="10">
        <f t="shared" si="7"/>
        <v>1.9968679259760136E-3</v>
      </c>
      <c r="O22" s="10">
        <f t="shared" si="8"/>
        <v>2.8231992224059853E-3</v>
      </c>
      <c r="P22" s="10">
        <f t="shared" si="9"/>
        <v>0.97590007294853309</v>
      </c>
      <c r="Q22" s="66">
        <f t="shared" si="14"/>
        <v>2</v>
      </c>
      <c r="R22" s="10">
        <f t="shared" si="10"/>
        <v>9.3855492348428205E-3</v>
      </c>
      <c r="T22" s="10">
        <f t="shared" si="11"/>
        <v>3.8882657975039961E-3</v>
      </c>
      <c r="V22" s="10">
        <f t="shared" si="13"/>
        <v>5.3981826742881139E-6</v>
      </c>
    </row>
    <row r="23" spans="1:22">
      <c r="A23" s="66">
        <v>11</v>
      </c>
      <c r="B23" s="10">
        <f t="shared" si="2"/>
        <v>0.96865054990262367</v>
      </c>
      <c r="C23" s="10">
        <f t="shared" si="3"/>
        <v>0.95576084749773138</v>
      </c>
      <c r="D23" s="10">
        <f t="shared" si="4"/>
        <v>0.5846792890864374</v>
      </c>
      <c r="E23" s="10">
        <f t="shared" si="5"/>
        <v>0.54129507463577597</v>
      </c>
      <c r="G23" s="10">
        <f t="shared" si="12"/>
        <v>0.58386841310610116</v>
      </c>
      <c r="I23" s="10">
        <f t="shared" si="6"/>
        <v>1.7518498215848576E-2</v>
      </c>
      <c r="K23" s="66">
        <v>0.55000000000000004</v>
      </c>
      <c r="L23" s="10">
        <f t="shared" si="0"/>
        <v>0.99891907857971329</v>
      </c>
      <c r="M23" s="10">
        <f t="shared" si="1"/>
        <v>0.99847248566897973</v>
      </c>
      <c r="N23" s="10">
        <f t="shared" si="7"/>
        <v>2.0037394795377663E-3</v>
      </c>
      <c r="O23" s="10">
        <f t="shared" si="8"/>
        <v>2.8330642262155994E-3</v>
      </c>
      <c r="P23" s="10">
        <f t="shared" si="9"/>
        <v>0.97352225823841654</v>
      </c>
      <c r="Q23" s="66">
        <f t="shared" si="14"/>
        <v>4</v>
      </c>
      <c r="R23" s="10">
        <f t="shared" si="10"/>
        <v>1.878584562193774E-2</v>
      </c>
      <c r="T23" s="10">
        <f t="shared" si="11"/>
        <v>7.7823998696501494E-3</v>
      </c>
      <c r="V23" s="10">
        <f t="shared" si="13"/>
        <v>1.1906730450600067E-5</v>
      </c>
    </row>
    <row r="24" spans="1:22">
      <c r="A24" s="66">
        <v>12</v>
      </c>
      <c r="B24" s="10">
        <f t="shared" si="2"/>
        <v>0.96449079044021058</v>
      </c>
      <c r="C24" s="10">
        <f t="shared" si="3"/>
        <v>0.94991533802582484</v>
      </c>
      <c r="D24" s="10">
        <f t="shared" si="4"/>
        <v>0.5568374181775595</v>
      </c>
      <c r="E24" s="10">
        <f t="shared" si="5"/>
        <v>0.51016586457847746</v>
      </c>
      <c r="G24" s="10">
        <f t="shared" si="12"/>
        <v>0.55584710133984705</v>
      </c>
      <c r="I24" s="10">
        <f t="shared" si="6"/>
        <v>1.8782539735086565E-2</v>
      </c>
      <c r="K24" s="66">
        <v>0.6</v>
      </c>
      <c r="L24" s="10">
        <f t="shared" si="0"/>
        <v>0.9988188328093639</v>
      </c>
      <c r="M24" s="10">
        <f t="shared" si="1"/>
        <v>0.99833081189553108</v>
      </c>
      <c r="N24" s="10">
        <f t="shared" si="7"/>
        <v>2.0106359258438718E-3</v>
      </c>
      <c r="O24" s="10">
        <f t="shared" si="8"/>
        <v>2.842964966779014E-3</v>
      </c>
      <c r="P24" s="10">
        <f t="shared" si="9"/>
        <v>0.97115023715712745</v>
      </c>
      <c r="Q24" s="66">
        <f t="shared" si="14"/>
        <v>2</v>
      </c>
      <c r="R24" s="10">
        <f t="shared" si="10"/>
        <v>9.4002991716819386E-3</v>
      </c>
      <c r="T24" s="10">
        <f t="shared" si="11"/>
        <v>3.894135436020621E-3</v>
      </c>
      <c r="V24" s="10">
        <f t="shared" si="13"/>
        <v>6.5113909922388942E-6</v>
      </c>
    </row>
    <row r="25" spans="1:22">
      <c r="A25" s="66">
        <v>13</v>
      </c>
      <c r="B25" s="10">
        <f t="shared" si="2"/>
        <v>0.96004617070742471</v>
      </c>
      <c r="C25" s="10">
        <f t="shared" si="3"/>
        <v>0.94367836100729408</v>
      </c>
      <c r="D25" s="10">
        <f t="shared" si="4"/>
        <v>0.53032135064529462</v>
      </c>
      <c r="E25" s="10">
        <f t="shared" si="5"/>
        <v>0.48045777792378414</v>
      </c>
      <c r="G25" s="10">
        <f t="shared" si="12"/>
        <v>0.52912798699174657</v>
      </c>
      <c r="I25" s="10">
        <f t="shared" si="6"/>
        <v>1.9995005060342005E-2</v>
      </c>
      <c r="K25" s="66">
        <v>0.65</v>
      </c>
      <c r="L25" s="10">
        <f t="shared" si="0"/>
        <v>0.99871825209530696</v>
      </c>
      <c r="M25" s="10">
        <f t="shared" si="1"/>
        <v>0.99818866318928279</v>
      </c>
      <c r="N25" s="10">
        <f t="shared" si="7"/>
        <v>2.0175573550702585E-3</v>
      </c>
      <c r="O25" s="10">
        <f t="shared" si="8"/>
        <v>2.8529015735554368E-3</v>
      </c>
      <c r="P25" s="10">
        <f t="shared" si="9"/>
        <v>0.96878399558828687</v>
      </c>
      <c r="Q25" s="66">
        <f t="shared" si="14"/>
        <v>4</v>
      </c>
      <c r="R25" s="10">
        <f t="shared" si="10"/>
        <v>1.8815356539450028E-2</v>
      </c>
      <c r="T25" s="10">
        <f t="shared" si="11"/>
        <v>7.7941445622965603E-3</v>
      </c>
      <c r="V25" s="10">
        <f t="shared" si="13"/>
        <v>1.4144545099939006E-5</v>
      </c>
    </row>
    <row r="26" spans="1:22">
      <c r="A26" s="66">
        <v>14</v>
      </c>
      <c r="B26" s="10">
        <f t="shared" si="2"/>
        <v>0.95529821033593099</v>
      </c>
      <c r="C26" s="10">
        <f t="shared" si="3"/>
        <v>0.93702630391883757</v>
      </c>
      <c r="D26" s="10">
        <f t="shared" si="4"/>
        <v>0.50506795299551888</v>
      </c>
      <c r="E26" s="10">
        <f t="shared" si="5"/>
        <v>0.45210630075544517</v>
      </c>
      <c r="G26" s="10">
        <f t="shared" si="12"/>
        <v>0.50364616806245033</v>
      </c>
      <c r="I26" s="10">
        <f t="shared" si="6"/>
        <v>2.115565646779909E-2</v>
      </c>
      <c r="K26" s="66">
        <v>0.7</v>
      </c>
      <c r="L26" s="10">
        <f t="shared" si="0"/>
        <v>0.9986173352910811</v>
      </c>
      <c r="M26" s="10">
        <f t="shared" si="1"/>
        <v>0.99804603796579483</v>
      </c>
      <c r="N26" s="10">
        <f t="shared" si="7"/>
        <v>2.0245038577195234E-3</v>
      </c>
      <c r="O26" s="10">
        <f t="shared" si="8"/>
        <v>2.8628741764730524E-3</v>
      </c>
      <c r="P26" s="10">
        <f t="shared" si="9"/>
        <v>0.96642351944990967</v>
      </c>
      <c r="Q26" s="66">
        <f t="shared" si="14"/>
        <v>2</v>
      </c>
      <c r="R26" s="10">
        <f t="shared" si="10"/>
        <v>9.4150600576409782E-3</v>
      </c>
      <c r="T26" s="10">
        <f t="shared" si="11"/>
        <v>3.9000104501848969E-3</v>
      </c>
      <c r="V26" s="10">
        <f t="shared" si="13"/>
        <v>7.6360225190201258E-6</v>
      </c>
    </row>
    <row r="27" spans="1:22">
      <c r="A27" s="66">
        <v>15</v>
      </c>
      <c r="B27" s="10">
        <f t="shared" si="2"/>
        <v>0.95022746535638081</v>
      </c>
      <c r="C27" s="10">
        <f t="shared" si="3"/>
        <v>0.92993460573186237</v>
      </c>
      <c r="D27" s="10">
        <f t="shared" si="4"/>
        <v>0.48101709809097021</v>
      </c>
      <c r="E27" s="10">
        <f t="shared" si="5"/>
        <v>0.42505047173008703</v>
      </c>
      <c r="G27" s="10">
        <f t="shared" si="12"/>
        <v>0.47933963164548815</v>
      </c>
      <c r="I27" s="10">
        <f t="shared" si="6"/>
        <v>2.2263973733423908E-2</v>
      </c>
      <c r="K27" s="66">
        <v>0.75</v>
      </c>
      <c r="L27" s="10">
        <f t="shared" si="0"/>
        <v>0.99851608124654234</v>
      </c>
      <c r="M27" s="10">
        <f t="shared" si="1"/>
        <v>0.99790293463583779</v>
      </c>
      <c r="N27" s="10">
        <f t="shared" si="7"/>
        <v>2.0314755246221179E-3</v>
      </c>
      <c r="O27" s="10">
        <f t="shared" si="8"/>
        <v>2.8728829059307187E-3</v>
      </c>
      <c r="P27" s="10">
        <f t="shared" si="9"/>
        <v>0.96406879469432316</v>
      </c>
      <c r="Q27" s="66">
        <f t="shared" si="14"/>
        <v>4</v>
      </c>
      <c r="R27" s="10">
        <f t="shared" si="10"/>
        <v>1.8844888975543657E-2</v>
      </c>
      <c r="T27" s="10">
        <f t="shared" si="11"/>
        <v>7.8058998460523877E-3</v>
      </c>
      <c r="V27" s="10">
        <f t="shared" si="13"/>
        <v>1.6405307131375802E-5</v>
      </c>
    </row>
    <row r="28" spans="1:22">
      <c r="A28" s="66">
        <v>16</v>
      </c>
      <c r="B28" s="10">
        <f t="shared" si="2"/>
        <v>0.94481351592998775</v>
      </c>
      <c r="C28" s="10">
        <f t="shared" si="3"/>
        <v>0.92237779782266183</v>
      </c>
      <c r="D28" s="10">
        <f t="shared" si="4"/>
        <v>0.45811152199140021</v>
      </c>
      <c r="E28" s="10">
        <f t="shared" si="5"/>
        <v>0.39923274328946795</v>
      </c>
      <c r="G28" s="10">
        <f t="shared" si="12"/>
        <v>0.45614911130288044</v>
      </c>
      <c r="I28" s="10">
        <f t="shared" si="6"/>
        <v>2.3319153522147688E-2</v>
      </c>
      <c r="K28" s="66">
        <v>0.8</v>
      </c>
      <c r="L28" s="10">
        <f t="shared" si="0"/>
        <v>0.99841448880785266</v>
      </c>
      <c r="M28" s="10">
        <f t="shared" si="1"/>
        <v>0.9977593516053811</v>
      </c>
      <c r="N28" s="10">
        <f t="shared" si="7"/>
        <v>2.0384724469375321E-3</v>
      </c>
      <c r="O28" s="10">
        <f t="shared" si="8"/>
        <v>2.8829278927996744E-3</v>
      </c>
      <c r="P28" s="10">
        <f t="shared" si="9"/>
        <v>0.96171980730808126</v>
      </c>
      <c r="Q28" s="66">
        <f t="shared" si="14"/>
        <v>2</v>
      </c>
      <c r="R28" s="10">
        <f t="shared" si="10"/>
        <v>9.4298315122577706E-3</v>
      </c>
      <c r="T28" s="10">
        <f t="shared" si="11"/>
        <v>3.9058906794863977E-3</v>
      </c>
      <c r="V28" s="10">
        <f t="shared" si="13"/>
        <v>8.7721784021548248E-6</v>
      </c>
    </row>
    <row r="29" spans="1:22">
      <c r="A29" s="66">
        <v>17</v>
      </c>
      <c r="B29" s="10">
        <f t="shared" si="2"/>
        <v>0.93903496120993024</v>
      </c>
      <c r="C29" s="10">
        <f t="shared" si="3"/>
        <v>0.91432956184206482</v>
      </c>
      <c r="D29" s="10">
        <f t="shared" si="4"/>
        <v>0.43629668761085727</v>
      </c>
      <c r="E29" s="10">
        <f t="shared" si="5"/>
        <v>0.37459884939365856</v>
      </c>
      <c r="G29" s="10">
        <f t="shared" si="12"/>
        <v>0.43401795294940321</v>
      </c>
      <c r="I29" s="10">
        <f t="shared" si="6"/>
        <v>2.4320109822720822E-2</v>
      </c>
      <c r="K29" s="66">
        <v>0.85</v>
      </c>
      <c r="L29" s="10">
        <f t="shared" si="0"/>
        <v>0.99831255681747122</v>
      </c>
      <c r="M29" s="10">
        <f t="shared" si="1"/>
        <v>0.99761528727558313</v>
      </c>
      <c r="N29" s="10">
        <f t="shared" si="7"/>
        <v>2.0454947161554905E-3</v>
      </c>
      <c r="O29" s="10">
        <f t="shared" si="8"/>
        <v>2.8930092684252492E-3</v>
      </c>
      <c r="P29" s="10">
        <f t="shared" si="9"/>
        <v>0.95937654331188271</v>
      </c>
      <c r="Q29" s="66">
        <f t="shared" si="14"/>
        <v>4</v>
      </c>
      <c r="R29" s="10">
        <f t="shared" si="10"/>
        <v>1.8874442166072911E-2</v>
      </c>
      <c r="T29" s="10">
        <f t="shared" si="11"/>
        <v>7.8176653985958383E-3</v>
      </c>
      <c r="V29" s="10">
        <f t="shared" si="13"/>
        <v>1.8689219573177332E-5</v>
      </c>
    </row>
    <row r="30" spans="1:22">
      <c r="A30" s="66">
        <v>18</v>
      </c>
      <c r="B30" s="10">
        <f t="shared" si="2"/>
        <v>0.93286942283170471</v>
      </c>
      <c r="C30" s="10">
        <f t="shared" si="3"/>
        <v>0.90576280720595936</v>
      </c>
      <c r="D30" s="10">
        <f t="shared" si="4"/>
        <v>0.41552065486748313</v>
      </c>
      <c r="E30" s="10">
        <f t="shared" si="5"/>
        <v>0.3510976789979014</v>
      </c>
      <c r="G30" s="10">
        <f t="shared" si="12"/>
        <v>0.41289198928780968</v>
      </c>
      <c r="I30" s="10">
        <f t="shared" si="6"/>
        <v>2.5265475806928714E-2</v>
      </c>
      <c r="K30" s="66">
        <v>0.9</v>
      </c>
      <c r="L30" s="10">
        <f t="shared" si="0"/>
        <v>0.99821028411414381</v>
      </c>
      <c r="M30" s="10">
        <f t="shared" si="1"/>
        <v>0.99747074004278069</v>
      </c>
      <c r="N30" s="10">
        <f t="shared" si="7"/>
        <v>2.0525424240971438E-3</v>
      </c>
      <c r="O30" s="10">
        <f t="shared" si="8"/>
        <v>2.9031271646285809E-3</v>
      </c>
      <c r="P30" s="10">
        <f t="shared" si="9"/>
        <v>0.95703898876048754</v>
      </c>
      <c r="Q30" s="66">
        <f t="shared" si="14"/>
        <v>2</v>
      </c>
      <c r="R30" s="10">
        <f t="shared" si="10"/>
        <v>9.4446131518421007E-3</v>
      </c>
      <c r="T30" s="10">
        <f t="shared" si="11"/>
        <v>3.9117759621109917E-3</v>
      </c>
      <c r="V30" s="10">
        <f t="shared" si="13"/>
        <v>9.9199605232532247E-6</v>
      </c>
    </row>
    <row r="31" spans="1:22">
      <c r="A31" s="66">
        <v>19</v>
      </c>
      <c r="B31" s="10">
        <f t="shared" si="2"/>
        <v>0.92629355873100827</v>
      </c>
      <c r="C31" s="10">
        <f t="shared" si="3"/>
        <v>0.896649771122909</v>
      </c>
      <c r="D31" s="10">
        <f t="shared" si="4"/>
        <v>0.39573395701665059</v>
      </c>
      <c r="E31" s="10">
        <f t="shared" si="5"/>
        <v>0.32868115444013246</v>
      </c>
      <c r="G31" s="10">
        <f t="shared" si="12"/>
        <v>0.39271942290006751</v>
      </c>
      <c r="I31" s="10">
        <f t="shared" si="6"/>
        <v>2.615360754441037E-2</v>
      </c>
      <c r="K31" s="66">
        <v>0.95</v>
      </c>
      <c r="L31" s="10">
        <f t="shared" si="0"/>
        <v>0.99810766953289221</v>
      </c>
      <c r="M31" s="10">
        <f t="shared" si="1"/>
        <v>0.99732570829847711</v>
      </c>
      <c r="N31" s="10">
        <f t="shared" si="7"/>
        <v>2.0596156629162756E-3</v>
      </c>
      <c r="O31" s="10">
        <f t="shared" si="8"/>
        <v>2.9132817137083431E-3</v>
      </c>
      <c r="P31" s="10">
        <f t="shared" si="9"/>
        <v>0.95470712974263294</v>
      </c>
      <c r="Q31" s="66">
        <f t="shared" si="14"/>
        <v>4</v>
      </c>
      <c r="R31" s="10">
        <f t="shared" si="10"/>
        <v>1.8904015340409346E-2</v>
      </c>
      <c r="T31" s="10">
        <f t="shared" si="11"/>
        <v>7.8294408949866542E-3</v>
      </c>
      <c r="V31" s="10">
        <f t="shared" si="13"/>
        <v>2.0996486925237622E-5</v>
      </c>
    </row>
    <row r="32" spans="1:22">
      <c r="A32" s="66">
        <v>20</v>
      </c>
      <c r="B32" s="10">
        <f t="shared" si="2"/>
        <v>0.91928308920247259</v>
      </c>
      <c r="C32" s="10">
        <f t="shared" si="3"/>
        <v>0.88696214432649845</v>
      </c>
      <c r="D32" s="10">
        <f t="shared" si="4"/>
        <v>0.37688948287300061</v>
      </c>
      <c r="E32" s="10">
        <f t="shared" si="5"/>
        <v>0.3073041138433924</v>
      </c>
      <c r="G32" s="10">
        <f t="shared" si="12"/>
        <v>0.37345071816316372</v>
      </c>
      <c r="I32" s="10">
        <f t="shared" si="6"/>
        <v>2.6982590059749349E-2</v>
      </c>
      <c r="K32" s="66">
        <v>1</v>
      </c>
      <c r="L32" s="10">
        <f t="shared" si="0"/>
        <v>0.99800471190500528</v>
      </c>
      <c r="M32" s="10">
        <f t="shared" si="1"/>
        <v>0.99718019042933259</v>
      </c>
      <c r="N32" s="10">
        <f t="shared" si="7"/>
        <v>2.0667145251004999E-3</v>
      </c>
      <c r="O32" s="10">
        <f t="shared" si="8"/>
        <v>2.9234730484424703E-3</v>
      </c>
      <c r="P32" s="10">
        <f t="shared" si="9"/>
        <v>0.95238095238095233</v>
      </c>
      <c r="Q32" s="66">
        <f t="shared" si="14"/>
        <v>2</v>
      </c>
      <c r="R32" s="10">
        <f t="shared" si="10"/>
        <v>9.4594045894490393E-3</v>
      </c>
      <c r="T32" s="10">
        <f t="shared" si="11"/>
        <v>3.9176661349297716E-3</v>
      </c>
      <c r="V32" s="10">
        <f t="shared" si="13"/>
        <v>1.1079471501462428E-5</v>
      </c>
    </row>
    <row r="33" spans="1:22">
      <c r="A33" s="66">
        <v>21</v>
      </c>
      <c r="B33" s="10">
        <f t="shared" si="2"/>
        <v>0.91181283734125451</v>
      </c>
      <c r="C33" s="10">
        <f t="shared" si="3"/>
        <v>0.87667122591913371</v>
      </c>
      <c r="D33" s="10">
        <f t="shared" si="4"/>
        <v>0.35894236464095297</v>
      </c>
      <c r="E33" s="10">
        <f t="shared" si="5"/>
        <v>0.28692419656845447</v>
      </c>
      <c r="G33" s="10">
        <f t="shared" si="12"/>
        <v>0.35503850222088901</v>
      </c>
      <c r="I33" s="10">
        <f t="shared" si="6"/>
        <v>2.7750246275642491E-2</v>
      </c>
      <c r="K33" s="66">
        <v>1.05</v>
      </c>
      <c r="L33" s="10">
        <f t="shared" si="0"/>
        <v>0.99790141005802757</v>
      </c>
      <c r="M33" s="10">
        <f t="shared" si="1"/>
        <v>0.99703418481715267</v>
      </c>
      <c r="N33" s="10">
        <f t="shared" si="7"/>
        <v>2.0738391034724763E-3</v>
      </c>
      <c r="O33" s="10">
        <f t="shared" si="8"/>
        <v>2.9337013020898886E-3</v>
      </c>
      <c r="P33" s="10">
        <f t="shared" si="9"/>
        <v>0.95006044283189128</v>
      </c>
      <c r="Q33" s="66">
        <f t="shared" si="14"/>
        <v>4</v>
      </c>
      <c r="R33" s="10">
        <f t="shared" si="10"/>
        <v>1.8933607721388225E-2</v>
      </c>
      <c r="T33" s="10">
        <f t="shared" si="11"/>
        <v>7.8412260076439026E-3</v>
      </c>
      <c r="V33" s="10">
        <f t="shared" si="13"/>
        <v>2.3327315165963238E-5</v>
      </c>
    </row>
    <row r="34" spans="1:22">
      <c r="A34" s="66">
        <v>22</v>
      </c>
      <c r="B34" s="10">
        <f t="shared" si="2"/>
        <v>0.90385678624984367</v>
      </c>
      <c r="C34" s="10">
        <f t="shared" si="3"/>
        <v>0.86574811094925697</v>
      </c>
      <c r="D34" s="10">
        <f t="shared" si="4"/>
        <v>0.3418498710866219</v>
      </c>
      <c r="E34" s="10">
        <f t="shared" si="5"/>
        <v>0.26750173067835387</v>
      </c>
      <c r="G34" s="10">
        <f t="shared" si="12"/>
        <v>0.33743747530341345</v>
      </c>
      <c r="I34" s="10">
        <f t="shared" si="6"/>
        <v>2.845414944313605E-2</v>
      </c>
      <c r="K34" s="66">
        <v>1.1000000000000001</v>
      </c>
      <c r="L34" s="10">
        <f t="shared" si="0"/>
        <v>0.99779776281575006</v>
      </c>
      <c r="M34" s="10">
        <f t="shared" si="1"/>
        <v>0.99688768983887821</v>
      </c>
      <c r="N34" s="10">
        <f t="shared" si="7"/>
        <v>2.080989491191123E-3</v>
      </c>
      <c r="O34" s="10">
        <f t="shared" si="8"/>
        <v>2.9439666083922772E-3</v>
      </c>
      <c r="P34" s="10">
        <f t="shared" si="9"/>
        <v>0.94774558728562597</v>
      </c>
      <c r="Q34" s="66">
        <f t="shared" si="14"/>
        <v>2</v>
      </c>
      <c r="R34" s="10">
        <f t="shared" si="10"/>
        <v>9.47420543485206E-3</v>
      </c>
      <c r="T34" s="10">
        <f t="shared" si="11"/>
        <v>3.923561033487938E-3</v>
      </c>
      <c r="V34" s="10">
        <f t="shared" si="13"/>
        <v>1.2250814696895703E-5</v>
      </c>
    </row>
    <row r="35" spans="1:22">
      <c r="A35" s="66">
        <v>23</v>
      </c>
      <c r="B35" s="10">
        <f t="shared" si="2"/>
        <v>0.89538815564100549</v>
      </c>
      <c r="C35" s="10">
        <f t="shared" si="3"/>
        <v>0.8541639145206934</v>
      </c>
      <c r="D35" s="10">
        <f t="shared" si="4"/>
        <v>0.32557130579678267</v>
      </c>
      <c r="E35" s="10">
        <f t="shared" si="5"/>
        <v>0.24899962130009659</v>
      </c>
      <c r="G35" s="10">
        <f t="shared" si="12"/>
        <v>0.32060433074191208</v>
      </c>
      <c r="I35" s="10">
        <f t="shared" si="6"/>
        <v>2.9091639714897029E-2</v>
      </c>
      <c r="K35" s="66">
        <v>1.1499999999999999</v>
      </c>
      <c r="L35" s="10">
        <f t="shared" si="0"/>
        <v>0.9976937689981995</v>
      </c>
      <c r="M35" s="10">
        <f t="shared" si="1"/>
        <v>0.99674070386657365</v>
      </c>
      <c r="N35" s="10">
        <f t="shared" si="7"/>
        <v>2.0881657817528312E-3</v>
      </c>
      <c r="O35" s="10">
        <f t="shared" si="8"/>
        <v>2.9542691015757953E-3</v>
      </c>
      <c r="P35" s="10">
        <f t="shared" si="9"/>
        <v>0.9454363719659804</v>
      </c>
      <c r="Q35" s="66">
        <f t="shared" si="14"/>
        <v>4</v>
      </c>
      <c r="R35" s="10">
        <f t="shared" si="10"/>
        <v>1.8963218525254781E-2</v>
      </c>
      <c r="T35" s="10">
        <f t="shared" si="11"/>
        <v>7.8530204063237512E-3</v>
      </c>
      <c r="V35" s="10">
        <f t="shared" si="13"/>
        <v>2.5681911759108663E-5</v>
      </c>
    </row>
    <row r="36" spans="1:22">
      <c r="A36" s="66">
        <v>24</v>
      </c>
      <c r="B36" s="10">
        <f t="shared" si="2"/>
        <v>0.88637950071967697</v>
      </c>
      <c r="C36" s="10">
        <f t="shared" si="3"/>
        <v>0.84189003635299009</v>
      </c>
      <c r="D36" s="10">
        <f t="shared" si="4"/>
        <v>0.31006791028265024</v>
      </c>
      <c r="E36" s="10">
        <f t="shared" si="5"/>
        <v>0.23138323869248714</v>
      </c>
      <c r="G36" s="10">
        <f t="shared" si="12"/>
        <v>0.30449768507279806</v>
      </c>
      <c r="I36" s="10">
        <f t="shared" si="6"/>
        <v>2.965984556726892E-2</v>
      </c>
      <c r="K36" s="66">
        <v>1.2</v>
      </c>
      <c r="L36" s="10">
        <f t="shared" si="0"/>
        <v>0.99758942742162859</v>
      </c>
      <c r="M36" s="10">
        <f t="shared" si="1"/>
        <v>0.99659322526741723</v>
      </c>
      <c r="N36" s="10">
        <f t="shared" si="7"/>
        <v>2.0953680689926929E-3</v>
      </c>
      <c r="O36" s="10">
        <f t="shared" si="8"/>
        <v>2.9646089163528539E-3</v>
      </c>
      <c r="P36" s="10">
        <f t="shared" si="9"/>
        <v>0.9431327831303451</v>
      </c>
      <c r="Q36" s="66">
        <f t="shared" si="14"/>
        <v>2</v>
      </c>
      <c r="R36" s="10">
        <f t="shared" si="10"/>
        <v>9.4890152945161753E-3</v>
      </c>
      <c r="T36" s="10">
        <f t="shared" si="11"/>
        <v>3.929460491993656E-3</v>
      </c>
      <c r="V36" s="10">
        <f t="shared" si="13"/>
        <v>1.3434094214041469E-5</v>
      </c>
    </row>
    <row r="37" spans="1:22">
      <c r="A37" s="66">
        <v>25</v>
      </c>
      <c r="B37" s="10">
        <f t="shared" si="2"/>
        <v>0.87680283647516677</v>
      </c>
      <c r="C37" s="10">
        <f t="shared" si="3"/>
        <v>0.82889846975296422</v>
      </c>
      <c r="D37" s="10">
        <f t="shared" si="4"/>
        <v>0.29530277169776209</v>
      </c>
      <c r="E37" s="10">
        <f t="shared" si="5"/>
        <v>0.21462030475644639</v>
      </c>
      <c r="G37" s="10">
        <f t="shared" si="12"/>
        <v>0.28907801866121396</v>
      </c>
      <c r="I37" s="10">
        <f t="shared" si="6"/>
        <v>3.0155710817637547E-2</v>
      </c>
      <c r="K37" s="66">
        <v>1.25</v>
      </c>
      <c r="L37" s="10">
        <f t="shared" si="0"/>
        <v>0.99748473689850536</v>
      </c>
      <c r="M37" s="10">
        <f t="shared" si="1"/>
        <v>0.99644525240368964</v>
      </c>
      <c r="N37" s="10">
        <f t="shared" si="7"/>
        <v>2.1025964470857213E-3</v>
      </c>
      <c r="O37" s="10">
        <f t="shared" si="8"/>
        <v>2.9749861879238646E-3</v>
      </c>
      <c r="P37" s="10">
        <f t="shared" si="9"/>
        <v>0.94083480706959433</v>
      </c>
      <c r="Q37" s="66">
        <f t="shared" si="14"/>
        <v>4</v>
      </c>
      <c r="R37" s="10">
        <f t="shared" si="10"/>
        <v>1.8992846961610278E-2</v>
      </c>
      <c r="T37" s="10">
        <f t="shared" si="11"/>
        <v>7.8648237580970903E-3</v>
      </c>
      <c r="V37" s="10">
        <f t="shared" si="13"/>
        <v>2.8060485660564901E-5</v>
      </c>
    </row>
    <row r="38" spans="1:22">
      <c r="A38" s="66">
        <v>26</v>
      </c>
      <c r="B38" s="10">
        <f t="shared" si="2"/>
        <v>0.86662979075136826</v>
      </c>
      <c r="C38" s="10">
        <f t="shared" si="3"/>
        <v>0.81516215889355781</v>
      </c>
      <c r="D38" s="10">
        <f t="shared" si="4"/>
        <v>0.28124073495024959</v>
      </c>
      <c r="E38" s="10">
        <f t="shared" si="5"/>
        <v>0.19868077666023154</v>
      </c>
      <c r="G38" s="10">
        <f t="shared" si="12"/>
        <v>0.27430762729132063</v>
      </c>
      <c r="I38" s="10">
        <f t="shared" si="6"/>
        <v>3.0576028010624805E-2</v>
      </c>
      <c r="K38" s="66">
        <v>1.3</v>
      </c>
      <c r="L38" s="10">
        <f t="shared" si="0"/>
        <v>0.99737969623750378</v>
      </c>
      <c r="M38" s="10">
        <f t="shared" si="1"/>
        <v>0.99629678363276331</v>
      </c>
      <c r="N38" s="10">
        <f t="shared" si="7"/>
        <v>2.1098510105480909E-3</v>
      </c>
      <c r="O38" s="10">
        <f t="shared" si="8"/>
        <v>2.9854010519790174E-3</v>
      </c>
      <c r="P38" s="10">
        <f t="shared" si="9"/>
        <v>0.93854243010800564</v>
      </c>
      <c r="Q38" s="66">
        <f t="shared" si="14"/>
        <v>2</v>
      </c>
      <c r="R38" s="10">
        <f t="shared" si="10"/>
        <v>9.5038337715708798E-3</v>
      </c>
      <c r="T38" s="10">
        <f t="shared" si="11"/>
        <v>3.9353643433068554E-3</v>
      </c>
      <c r="V38" s="10">
        <f t="shared" si="13"/>
        <v>1.4629414905144484E-5</v>
      </c>
    </row>
    <row r="39" spans="1:22">
      <c r="A39" s="66">
        <v>27</v>
      </c>
      <c r="B39" s="10">
        <f t="shared" si="2"/>
        <v>0.85583178967545448</v>
      </c>
      <c r="C39" s="10">
        <f t="shared" si="3"/>
        <v>0.80065540809498537</v>
      </c>
      <c r="D39" s="10">
        <f t="shared" si="4"/>
        <v>0.2678483190002377</v>
      </c>
      <c r="E39" s="10">
        <f t="shared" si="5"/>
        <v>0.18353672620267805</v>
      </c>
      <c r="G39" s="10">
        <f t="shared" si="12"/>
        <v>0.26015058516554856</v>
      </c>
      <c r="I39" s="10">
        <f t="shared" si="6"/>
        <v>3.0917478954013082E-2</v>
      </c>
      <c r="K39" s="66">
        <v>1.35</v>
      </c>
      <c r="L39" s="10">
        <f t="shared" si="0"/>
        <v>0.99727430424349262</v>
      </c>
      <c r="M39" s="10">
        <f t="shared" si="1"/>
        <v>0.99614781730709256</v>
      </c>
      <c r="N39" s="10">
        <f t="shared" si="7"/>
        <v>2.117131854238364E-3</v>
      </c>
      <c r="O39" s="10">
        <f t="shared" si="8"/>
        <v>2.9958536447000474E-3</v>
      </c>
      <c r="P39" s="10">
        <f t="shared" si="9"/>
        <v>0.93625563860317795</v>
      </c>
      <c r="Q39" s="66">
        <f t="shared" si="14"/>
        <v>4</v>
      </c>
      <c r="R39" s="10">
        <f t="shared" si="10"/>
        <v>1.9022492233357929E-2</v>
      </c>
      <c r="T39" s="10">
        <f t="shared" si="11"/>
        <v>7.876635727327155E-3</v>
      </c>
      <c r="V39" s="10">
        <f t="shared" si="13"/>
        <v>3.0463247325091742E-5</v>
      </c>
    </row>
    <row r="40" spans="1:22">
      <c r="A40" s="66">
        <v>28</v>
      </c>
      <c r="B40" s="10">
        <f t="shared" si="2"/>
        <v>0.84438027920026659</v>
      </c>
      <c r="C40" s="10">
        <f t="shared" si="3"/>
        <v>0.78535434642835089</v>
      </c>
      <c r="D40" s="10">
        <f t="shared" si="4"/>
        <v>0.25509363714308358</v>
      </c>
      <c r="E40" s="10">
        <f t="shared" si="5"/>
        <v>0.16916221351040792</v>
      </c>
      <c r="G40" s="10">
        <f t="shared" si="12"/>
        <v>0.24657271971921776</v>
      </c>
      <c r="I40" s="10">
        <f t="shared" si="6"/>
        <v>3.1176683166129374E-2</v>
      </c>
      <c r="K40" s="66">
        <v>1.4</v>
      </c>
      <c r="L40" s="10">
        <f t="shared" si="0"/>
        <v>0.99716855971752549</v>
      </c>
      <c r="M40" s="10">
        <f t="shared" si="1"/>
        <v>0.9959983517742016</v>
      </c>
      <c r="N40" s="10">
        <f t="shared" si="7"/>
        <v>2.1244390733587385E-3</v>
      </c>
      <c r="O40" s="10">
        <f t="shared" si="8"/>
        <v>3.0063441027620196E-3</v>
      </c>
      <c r="P40" s="10">
        <f t="shared" si="9"/>
        <v>0.93397441894595001</v>
      </c>
      <c r="Q40" s="66">
        <f t="shared" si="14"/>
        <v>2</v>
      </c>
      <c r="R40" s="10">
        <f t="shared" si="10"/>
        <v>9.5186604657830961E-3</v>
      </c>
      <c r="T40" s="10">
        <f t="shared" si="11"/>
        <v>3.9412724189280286E-3</v>
      </c>
      <c r="V40" s="10">
        <f t="shared" si="13"/>
        <v>1.583688237355855E-5</v>
      </c>
    </row>
    <row r="41" spans="1:22">
      <c r="A41" s="66">
        <v>29</v>
      </c>
      <c r="B41" s="10">
        <f t="shared" si="2"/>
        <v>0.83224698663436492</v>
      </c>
      <c r="C41" s="10">
        <f t="shared" si="3"/>
        <v>0.76923745037157021</v>
      </c>
      <c r="D41" s="10">
        <f t="shared" si="4"/>
        <v>0.24294632108865097</v>
      </c>
      <c r="E41" s="10">
        <f t="shared" si="5"/>
        <v>0.15553315366878531</v>
      </c>
      <c r="G41" s="10">
        <f t="shared" si="12"/>
        <v>0.23354159858253601</v>
      </c>
      <c r="I41" s="10">
        <f t="shared" si="6"/>
        <v>3.1350254942601401E-2</v>
      </c>
      <c r="K41" s="66">
        <v>1.45</v>
      </c>
      <c r="L41" s="10">
        <f t="shared" si="0"/>
        <v>0.99706246145683131</v>
      </c>
      <c r="M41" s="10">
        <f t="shared" si="1"/>
        <v>0.99584838537667442</v>
      </c>
      <c r="N41" s="10">
        <f t="shared" si="7"/>
        <v>2.1317727634562883E-3</v>
      </c>
      <c r="O41" s="10">
        <f t="shared" si="8"/>
        <v>3.0168725633351184E-3</v>
      </c>
      <c r="P41" s="10">
        <f t="shared" si="9"/>
        <v>0.93169875756032017</v>
      </c>
      <c r="Q41" s="66">
        <f t="shared" si="14"/>
        <v>4</v>
      </c>
      <c r="R41" s="10">
        <f t="shared" si="10"/>
        <v>1.9052153536648568E-2</v>
      </c>
      <c r="T41" s="10">
        <f t="shared" si="11"/>
        <v>7.8884559756470275E-3</v>
      </c>
      <c r="V41" s="10">
        <f t="shared" si="13"/>
        <v>3.2890408713015423E-5</v>
      </c>
    </row>
    <row r="42" spans="1:22">
      <c r="A42" s="66">
        <v>30</v>
      </c>
      <c r="B42" s="10">
        <f t="shared" si="2"/>
        <v>0.81940422607460228</v>
      </c>
      <c r="C42" s="10">
        <f t="shared" si="3"/>
        <v>0.75228612639479209</v>
      </c>
      <c r="D42" s="10">
        <f t="shared" si="4"/>
        <v>0.23137744865585813</v>
      </c>
      <c r="E42" s="10">
        <f t="shared" si="5"/>
        <v>0.14262717493166402</v>
      </c>
      <c r="G42" s="10">
        <f t="shared" si="12"/>
        <v>0.22102652889973085</v>
      </c>
      <c r="I42" s="10">
        <f t="shared" si="6"/>
        <v>3.1434869652761391E-2</v>
      </c>
      <c r="K42" s="66">
        <v>1.5</v>
      </c>
      <c r="L42" s="10">
        <f t="shared" si="0"/>
        <v>0.99695600825480302</v>
      </c>
      <c r="M42" s="10">
        <f t="shared" si="1"/>
        <v>0.99569791645214456</v>
      </c>
      <c r="N42" s="10">
        <f t="shared" si="7"/>
        <v>2.1391330204242141E-3</v>
      </c>
      <c r="O42" s="10">
        <f t="shared" si="8"/>
        <v>3.0274391640864344E-3</v>
      </c>
      <c r="P42" s="10">
        <f t="shared" si="9"/>
        <v>0.92942864090336497</v>
      </c>
      <c r="Q42" s="66">
        <f t="shared" si="14"/>
        <v>2</v>
      </c>
      <c r="R42" s="10">
        <f t="shared" si="10"/>
        <v>9.5334949735299615E-3</v>
      </c>
      <c r="T42" s="10">
        <f t="shared" si="11"/>
        <v>3.9471845489869551E-3</v>
      </c>
      <c r="V42" s="10">
        <f t="shared" si="13"/>
        <v>1.7056602977080102E-5</v>
      </c>
    </row>
    <row r="43" spans="1:22">
      <c r="A43" s="66">
        <v>31</v>
      </c>
      <c r="B43" s="10">
        <f t="shared" si="2"/>
        <v>0.80582525159268947</v>
      </c>
      <c r="C43" s="10">
        <f t="shared" si="3"/>
        <v>0.73448535418660355</v>
      </c>
      <c r="D43" s="10">
        <f t="shared" si="4"/>
        <v>0.220359474910341</v>
      </c>
      <c r="E43" s="10">
        <f t="shared" si="5"/>
        <v>0.1304234672534427</v>
      </c>
      <c r="G43" s="10">
        <f t="shared" si="12"/>
        <v>0.20899856903491157</v>
      </c>
      <c r="I43" s="10">
        <f t="shared" si="6"/>
        <v>3.1427339724453093E-2</v>
      </c>
      <c r="K43" s="66">
        <v>1.55</v>
      </c>
      <c r="L43" s="10">
        <f t="shared" si="0"/>
        <v>0.99684919890098833</v>
      </c>
      <c r="M43" s="10">
        <f t="shared" si="1"/>
        <v>0.99554694333328364</v>
      </c>
      <c r="N43" s="10">
        <f t="shared" si="7"/>
        <v>2.1465199405030985E-3</v>
      </c>
      <c r="O43" s="10">
        <f t="shared" si="8"/>
        <v>3.0380440431817687E-3</v>
      </c>
      <c r="P43" s="10">
        <f t="shared" si="9"/>
        <v>0.92716405546515857</v>
      </c>
      <c r="Q43" s="66">
        <f t="shared" si="14"/>
        <v>4</v>
      </c>
      <c r="R43" s="10">
        <f t="shared" si="10"/>
        <v>1.9081830060826296E-2</v>
      </c>
      <c r="T43" s="10">
        <f t="shared" si="11"/>
        <v>7.9002841619371031E-3</v>
      </c>
      <c r="V43" s="10">
        <f t="shared" si="13"/>
        <v>3.5342183296842637E-5</v>
      </c>
    </row>
    <row r="44" spans="1:22">
      <c r="A44" s="66">
        <v>32</v>
      </c>
      <c r="B44" s="10">
        <f t="shared" si="2"/>
        <v>0.79148466182841593</v>
      </c>
      <c r="C44" s="10">
        <f t="shared" si="3"/>
        <v>0.71582438969932261</v>
      </c>
      <c r="D44" s="10">
        <f t="shared" si="4"/>
        <v>0.20986616658127716</v>
      </c>
      <c r="E44" s="10">
        <f t="shared" si="5"/>
        <v>0.1189026200516447</v>
      </c>
      <c r="G44" s="10">
        <f t="shared" si="12"/>
        <v>0.19743055244574254</v>
      </c>
      <c r="I44" s="10">
        <f t="shared" si="6"/>
        <v>3.1324700559934394E-2</v>
      </c>
      <c r="K44" s="66">
        <v>1.6</v>
      </c>
      <c r="L44" s="10">
        <f t="shared" si="0"/>
        <v>0.99674203218107826</v>
      </c>
      <c r="M44" s="10">
        <f t="shared" si="1"/>
        <v>0.99539546434779114</v>
      </c>
      <c r="N44" s="10">
        <f t="shared" si="7"/>
        <v>2.1539336202821622E-3</v>
      </c>
      <c r="O44" s="10">
        <f t="shared" si="8"/>
        <v>3.0486873392874397E-3</v>
      </c>
      <c r="P44" s="10">
        <f t="shared" si="9"/>
        <v>0.92490498776869279</v>
      </c>
      <c r="Q44" s="66">
        <f t="shared" si="14"/>
        <v>2</v>
      </c>
      <c r="R44" s="10">
        <f t="shared" si="10"/>
        <v>9.5483368877715795E-3</v>
      </c>
      <c r="T44" s="10">
        <f t="shared" si="11"/>
        <v>3.953100562231417E-3</v>
      </c>
      <c r="V44" s="10">
        <f t="shared" si="13"/>
        <v>1.8288683831244375E-5</v>
      </c>
    </row>
    <row r="45" spans="1:22">
      <c r="A45" s="66">
        <v>33</v>
      </c>
      <c r="B45" s="10">
        <f t="shared" si="2"/>
        <v>0.77635885927167458</v>
      </c>
      <c r="C45" s="10">
        <f t="shared" si="3"/>
        <v>0.6962975252370186</v>
      </c>
      <c r="D45" s="10">
        <f t="shared" si="4"/>
        <v>0.19987253960121634</v>
      </c>
      <c r="E45" s="10">
        <f t="shared" si="5"/>
        <v>0.10804644835290542</v>
      </c>
      <c r="G45" s="10">
        <f t="shared" si="12"/>
        <v>0.18629712317879241</v>
      </c>
      <c r="I45" s="10">
        <f t="shared" si="6"/>
        <v>3.1124306334259506E-2</v>
      </c>
      <c r="K45" s="66">
        <v>1.65</v>
      </c>
      <c r="L45" s="10">
        <f t="shared" si="0"/>
        <v>0.99663450687689825</v>
      </c>
      <c r="M45" s="10">
        <f t="shared" si="1"/>
        <v>0.99524347781838352</v>
      </c>
      <c r="N45" s="10">
        <f t="shared" si="7"/>
        <v>2.1613741567005273E-3</v>
      </c>
      <c r="O45" s="10">
        <f t="shared" si="8"/>
        <v>3.0593691915720943E-3</v>
      </c>
      <c r="P45" s="10">
        <f t="shared" si="9"/>
        <v>0.92265142436979697</v>
      </c>
      <c r="Q45" s="66">
        <f t="shared" si="14"/>
        <v>4</v>
      </c>
      <c r="R45" s="10">
        <f t="shared" si="10"/>
        <v>1.911152098837374E-2</v>
      </c>
      <c r="T45" s="10">
        <f t="shared" si="11"/>
        <v>7.9121199423024605E-3</v>
      </c>
      <c r="V45" s="10">
        <f t="shared" si="13"/>
        <v>3.7818786067846817E-5</v>
      </c>
    </row>
    <row r="46" spans="1:22">
      <c r="A46" s="66">
        <v>34</v>
      </c>
      <c r="B46" s="10">
        <f t="shared" si="2"/>
        <v>0.76042656693185762</v>
      </c>
      <c r="C46" s="10">
        <f t="shared" si="3"/>
        <v>0.67590490138130954</v>
      </c>
      <c r="D46" s="10">
        <f t="shared" si="4"/>
        <v>0.19035479962020604</v>
      </c>
      <c r="E46" s="10">
        <f t="shared" si="5"/>
        <v>9.7837806813773284E-2</v>
      </c>
      <c r="G46" s="10">
        <f t="shared" si="12"/>
        <v>0.17557478202517598</v>
      </c>
      <c r="I46" s="10">
        <f t="shared" si="6"/>
        <v>3.0823935250981014E-2</v>
      </c>
      <c r="K46" s="66">
        <v>1.7</v>
      </c>
      <c r="L46" s="10">
        <f t="shared" si="0"/>
        <v>0.99652662176639673</v>
      </c>
      <c r="M46" s="10">
        <f t="shared" si="1"/>
        <v>0.99509098206278379</v>
      </c>
      <c r="N46" s="10">
        <f t="shared" si="7"/>
        <v>2.1688416470484872E-3</v>
      </c>
      <c r="O46" s="10">
        <f t="shared" si="8"/>
        <v>3.0700897397085312E-3</v>
      </c>
      <c r="P46" s="10">
        <f t="shared" si="9"/>
        <v>0.9204033518570568</v>
      </c>
      <c r="Q46" s="66">
        <f t="shared" si="14"/>
        <v>2</v>
      </c>
      <c r="R46" s="10">
        <f t="shared" si="10"/>
        <v>9.5631857980236455E-3</v>
      </c>
      <c r="T46" s="10">
        <f t="shared" si="11"/>
        <v>3.959020286015873E-3</v>
      </c>
      <c r="V46" s="10">
        <f t="shared" si="13"/>
        <v>1.9533232812601141E-5</v>
      </c>
    </row>
    <row r="47" spans="1:22">
      <c r="A47" s="66">
        <v>35</v>
      </c>
      <c r="B47" s="10">
        <f t="shared" si="2"/>
        <v>0.74366940425031558</v>
      </c>
      <c r="C47" s="10">
        <f t="shared" si="3"/>
        <v>0.65465336260192286</v>
      </c>
      <c r="D47" s="10">
        <f t="shared" si="4"/>
        <v>0.18129028535257716</v>
      </c>
      <c r="E47" s="10">
        <f t="shared" si="5"/>
        <v>8.8260391553105236E-2</v>
      </c>
      <c r="G47" s="10">
        <f t="shared" si="12"/>
        <v>0.1652419418645423</v>
      </c>
      <c r="I47" s="10">
        <f t="shared" si="6"/>
        <v>3.0421903360021523E-2</v>
      </c>
      <c r="K47" s="66">
        <v>1.75</v>
      </c>
      <c r="L47" s="10">
        <f t="shared" si="0"/>
        <v>0.99641837562363544</v>
      </c>
      <c r="M47" s="10">
        <f t="shared" si="1"/>
        <v>0.99493797539371065</v>
      </c>
      <c r="N47" s="10">
        <f t="shared" si="7"/>
        <v>2.1763361889687765E-3</v>
      </c>
      <c r="O47" s="10">
        <f t="shared" si="8"/>
        <v>3.0808491238755228E-3</v>
      </c>
      <c r="P47" s="10">
        <f t="shared" si="9"/>
        <v>0.91816075685173626</v>
      </c>
      <c r="Q47" s="66">
        <f t="shared" si="14"/>
        <v>4</v>
      </c>
      <c r="R47" s="10">
        <f t="shared" si="10"/>
        <v>1.9141225494857365E-2</v>
      </c>
      <c r="T47" s="10">
        <f t="shared" si="11"/>
        <v>7.9239629700501718E-3</v>
      </c>
      <c r="V47" s="10">
        <f t="shared" si="13"/>
        <v>4.0320433542571723E-5</v>
      </c>
    </row>
    <row r="48" spans="1:22">
      <c r="A48" s="66">
        <v>36</v>
      </c>
      <c r="B48" s="10">
        <f t="shared" si="2"/>
        <v>0.72607252295901792</v>
      </c>
      <c r="C48" s="10">
        <f t="shared" si="3"/>
        <v>0.63255734489836202</v>
      </c>
      <c r="D48" s="10">
        <f t="shared" si="4"/>
        <v>0.17265741462150208</v>
      </c>
      <c r="E48" s="10">
        <f t="shared" si="5"/>
        <v>7.9298530295893802E-2</v>
      </c>
      <c r="G48" s="10">
        <f t="shared" si="12"/>
        <v>0.15527899011591439</v>
      </c>
      <c r="I48" s="10">
        <f t="shared" si="6"/>
        <v>2.9917185474099176E-2</v>
      </c>
      <c r="K48" s="66">
        <v>1.8</v>
      </c>
      <c r="L48" s="10">
        <f t="shared" si="0"/>
        <v>0.99630976721877862</v>
      </c>
      <c r="M48" s="10">
        <f t="shared" si="1"/>
        <v>0.9947844561188679</v>
      </c>
      <c r="N48" s="10">
        <f t="shared" si="7"/>
        <v>2.1838578804578468E-3</v>
      </c>
      <c r="O48" s="10">
        <f t="shared" si="8"/>
        <v>3.0916474847596503E-3</v>
      </c>
      <c r="P48" s="10">
        <f t="shared" si="9"/>
        <v>0.91592362600769639</v>
      </c>
      <c r="Q48" s="66">
        <f t="shared" si="14"/>
        <v>2</v>
      </c>
      <c r="R48" s="10">
        <f t="shared" si="10"/>
        <v>9.578041290330035E-3</v>
      </c>
      <c r="T48" s="10">
        <f t="shared" si="11"/>
        <v>3.9649435462900968E-3</v>
      </c>
      <c r="V48" s="10">
        <f t="shared" si="13"/>
        <v>2.0790358561954639E-5</v>
      </c>
    </row>
    <row r="49" spans="1:22">
      <c r="A49" s="66">
        <v>37</v>
      </c>
      <c r="B49" s="10">
        <f t="shared" si="2"/>
        <v>0.7076253020731319</v>
      </c>
      <c r="C49" s="10">
        <f t="shared" si="3"/>
        <v>0.60963977975267303</v>
      </c>
      <c r="D49" s="10">
        <f t="shared" si="4"/>
        <v>0.1644356329728591</v>
      </c>
      <c r="E49" s="10">
        <f t="shared" si="5"/>
        <v>7.0936962016022412E-2</v>
      </c>
      <c r="G49" s="10">
        <f t="shared" si="12"/>
        <v>0.14566835550704885</v>
      </c>
      <c r="I49" s="10">
        <f t="shared" si="6"/>
        <v>2.9309541053042794E-2</v>
      </c>
      <c r="K49" s="66">
        <v>1.85</v>
      </c>
      <c r="L49" s="10">
        <f t="shared" si="0"/>
        <v>0.9962007953180837</v>
      </c>
      <c r="M49" s="10">
        <f t="shared" si="1"/>
        <v>0.99463042254093437</v>
      </c>
      <c r="N49" s="10">
        <f t="shared" si="7"/>
        <v>2.1914068198671519E-3</v>
      </c>
      <c r="O49" s="10">
        <f t="shared" si="8"/>
        <v>3.1024849635571433E-3</v>
      </c>
      <c r="P49" s="10">
        <f t="shared" si="9"/>
        <v>0.91369194601131676</v>
      </c>
      <c r="Q49" s="66">
        <f t="shared" si="14"/>
        <v>4</v>
      </c>
      <c r="R49" s="10">
        <f t="shared" si="10"/>
        <v>1.9170942748872426E-2</v>
      </c>
      <c r="T49" s="10">
        <f t="shared" si="11"/>
        <v>7.935812895666557E-3</v>
      </c>
      <c r="V49" s="10">
        <f t="shared" si="13"/>
        <v>4.284734376929331E-5</v>
      </c>
    </row>
    <row r="50" spans="1:22">
      <c r="A50" s="66">
        <v>38</v>
      </c>
      <c r="B50" s="10">
        <f t="shared" si="2"/>
        <v>0.68832209927295485</v>
      </c>
      <c r="C50" s="10">
        <f t="shared" si="3"/>
        <v>0.58593299405726951</v>
      </c>
      <c r="D50" s="10">
        <f t="shared" si="4"/>
        <v>0.15660536473605632</v>
      </c>
      <c r="E50" s="10">
        <f t="shared" si="5"/>
        <v>6.3160608078607156E-2</v>
      </c>
      <c r="G50" s="10">
        <f t="shared" si="12"/>
        <v>0.13639457557915011</v>
      </c>
      <c r="I50" s="10">
        <f t="shared" si="6"/>
        <v>2.8599642166621062E-2</v>
      </c>
      <c r="K50" s="66">
        <v>1.9</v>
      </c>
      <c r="L50" s="10">
        <f t="shared" si="0"/>
        <v>0.99609145868388926</v>
      </c>
      <c r="M50" s="10">
        <f t="shared" si="1"/>
        <v>0.99447587295755191</v>
      </c>
      <c r="N50" s="10">
        <f t="shared" si="7"/>
        <v>2.1989831059044296E-3</v>
      </c>
      <c r="O50" s="10">
        <f t="shared" si="8"/>
        <v>3.1133617019757248E-3</v>
      </c>
      <c r="P50" s="10">
        <f t="shared" si="9"/>
        <v>0.91146570358141654</v>
      </c>
      <c r="Q50" s="66">
        <f t="shared" si="14"/>
        <v>2</v>
      </c>
      <c r="R50" s="10">
        <f t="shared" si="10"/>
        <v>9.5929029472352628E-3</v>
      </c>
      <c r="T50" s="10">
        <f t="shared" si="11"/>
        <v>3.9708701675877827E-3</v>
      </c>
      <c r="V50" s="10">
        <f t="shared" si="13"/>
        <v>2.2060170487572185E-5</v>
      </c>
    </row>
    <row r="51" spans="1:22">
      <c r="A51" s="66">
        <v>39</v>
      </c>
      <c r="B51" s="10">
        <f t="shared" si="2"/>
        <v>0.66816305352987637</v>
      </c>
      <c r="C51" s="10">
        <f t="shared" si="3"/>
        <v>0.56147958057234082</v>
      </c>
      <c r="D51" s="10">
        <f t="shared" si="4"/>
        <v>0.14914796641529171</v>
      </c>
      <c r="E51" s="10">
        <f t="shared" si="5"/>
        <v>5.5954337813632744E-2</v>
      </c>
      <c r="G51" s="10">
        <f t="shared" si="12"/>
        <v>0.12744436048025556</v>
      </c>
      <c r="I51" s="10">
        <f t="shared" si="6"/>
        <v>2.7789199812442822E-2</v>
      </c>
      <c r="K51" s="66">
        <v>1.95</v>
      </c>
      <c r="L51" s="10">
        <f t="shared" si="0"/>
        <v>0.99598175607460671</v>
      </c>
      <c r="M51" s="10">
        <f t="shared" si="1"/>
        <v>0.99432080566131698</v>
      </c>
      <c r="N51" s="10">
        <f t="shared" si="7"/>
        <v>2.2065868376349952E-3</v>
      </c>
      <c r="O51" s="10">
        <f t="shared" si="8"/>
        <v>3.1242778422364693E-3</v>
      </c>
      <c r="P51" s="10">
        <f t="shared" si="9"/>
        <v>0.90924488546917426</v>
      </c>
      <c r="Q51" s="66">
        <f t="shared" si="14"/>
        <v>4</v>
      </c>
      <c r="R51" s="10">
        <f t="shared" si="10"/>
        <v>1.9200671911987925E-2</v>
      </c>
      <c r="T51" s="10">
        <f t="shared" si="11"/>
        <v>7.9476693667943701E-3</v>
      </c>
      <c r="V51" s="10">
        <f t="shared" si="13"/>
        <v>4.539973633439945E-5</v>
      </c>
    </row>
    <row r="52" spans="1:22">
      <c r="A52" s="66">
        <v>40</v>
      </c>
      <c r="B52" s="10">
        <f t="shared" si="2"/>
        <v>0.64715493091673215</v>
      </c>
      <c r="C52" s="10">
        <f t="shared" si="3"/>
        <v>0.53633320797378403</v>
      </c>
      <c r="D52" s="10">
        <f t="shared" si="4"/>
        <v>0.14204568230027784</v>
      </c>
      <c r="E52" s="10">
        <f t="shared" si="5"/>
        <v>4.9302732482631E-2</v>
      </c>
      <c r="G52" s="10">
        <f t="shared" si="12"/>
        <v>0.11880664770035833</v>
      </c>
      <c r="I52" s="10">
        <f t="shared" si="6"/>
        <v>2.6881083984301959E-2</v>
      </c>
      <c r="K52" s="66">
        <v>2</v>
      </c>
      <c r="L52" s="10">
        <f t="shared" si="0"/>
        <v>0.99587168624470812</v>
      </c>
      <c r="M52" s="10">
        <f t="shared" si="1"/>
        <v>0.99416521893976739</v>
      </c>
      <c r="N52" s="10">
        <f t="shared" si="7"/>
        <v>2.2142181144830376E-3</v>
      </c>
      <c r="O52" s="10">
        <f t="shared" si="8"/>
        <v>3.1352335270756555E-3</v>
      </c>
      <c r="P52" s="10">
        <f t="shared" si="9"/>
        <v>0.90702947845804982</v>
      </c>
      <c r="Q52" s="66">
        <f t="shared" si="14"/>
        <v>2</v>
      </c>
      <c r="R52" s="10">
        <f t="shared" si="10"/>
        <v>9.6077703477569117E-3</v>
      </c>
      <c r="T52" s="10">
        <f t="shared" si="11"/>
        <v>3.976799973015129E-3</v>
      </c>
      <c r="V52" s="10">
        <f t="shared" si="13"/>
        <v>2.3342778768363735E-5</v>
      </c>
    </row>
    <row r="53" spans="1:22">
      <c r="A53" s="66">
        <v>41</v>
      </c>
      <c r="B53" s="10">
        <f t="shared" si="2"/>
        <v>0.62531200208238047</v>
      </c>
      <c r="C53" s="10">
        <f t="shared" si="3"/>
        <v>0.51055933385096786</v>
      </c>
      <c r="D53" s="10">
        <f t="shared" si="4"/>
        <v>0.13528160219074079</v>
      </c>
      <c r="E53" s="10">
        <f t="shared" si="5"/>
        <v>4.3189852696151589E-2</v>
      </c>
      <c r="G53" s="10">
        <f t="shared" si="12"/>
        <v>0.11047264151144894</v>
      </c>
      <c r="I53" s="10">
        <f t="shared" si="6"/>
        <v>2.5879432000644662E-2</v>
      </c>
      <c r="K53" s="66">
        <v>2.0499999999999998</v>
      </c>
      <c r="L53" s="10">
        <f t="shared" si="0"/>
        <v>0.99576124794471688</v>
      </c>
      <c r="M53" s="10">
        <f t="shared" si="1"/>
        <v>0.99400911107537415</v>
      </c>
      <c r="N53" s="10">
        <f t="shared" si="7"/>
        <v>2.2218770362329122E-3</v>
      </c>
      <c r="O53" s="10">
        <f t="shared" si="8"/>
        <v>3.1462288997466288E-3</v>
      </c>
      <c r="P53" s="10">
        <f t="shared" si="9"/>
        <v>0.90481946936370605</v>
      </c>
      <c r="Q53" s="66">
        <f t="shared" si="14"/>
        <v>4</v>
      </c>
      <c r="R53" s="10">
        <f t="shared" si="10"/>
        <v>1.9230412138691314E-2</v>
      </c>
      <c r="T53" s="10">
        <f t="shared" si="11"/>
        <v>7.9595320282099067E-3</v>
      </c>
      <c r="V53" s="10">
        <f t="shared" si="13"/>
        <v>4.797783236871366E-5</v>
      </c>
    </row>
    <row r="54" spans="1:22">
      <c r="A54" s="66">
        <v>42</v>
      </c>
      <c r="B54" s="10">
        <f t="shared" si="2"/>
        <v>0.6026569358505488</v>
      </c>
      <c r="C54" s="10">
        <f t="shared" si="3"/>
        <v>0.48423577836122994</v>
      </c>
      <c r="D54" s="10">
        <f t="shared" si="4"/>
        <v>0.12883962113403885</v>
      </c>
      <c r="E54" s="10">
        <f t="shared" si="5"/>
        <v>3.7599015451932144E-2</v>
      </c>
      <c r="G54" s="10">
        <f t="shared" si="12"/>
        <v>0.10243583006046059</v>
      </c>
      <c r="I54" s="10">
        <f t="shared" si="6"/>
        <v>2.4789738771675129E-2</v>
      </c>
      <c r="K54" s="66">
        <v>2.1</v>
      </c>
      <c r="L54" s="10">
        <f t="shared" si="0"/>
        <v>0.99565043992119739</v>
      </c>
      <c r="M54" s="10">
        <f t="shared" si="1"/>
        <v>0.99385248034552975</v>
      </c>
      <c r="N54" s="10">
        <f t="shared" si="7"/>
        <v>2.2295637030304571E-3</v>
      </c>
      <c r="O54" s="10">
        <f t="shared" si="8"/>
        <v>3.1572641040216978E-3</v>
      </c>
      <c r="P54" s="10">
        <f t="shared" si="9"/>
        <v>0.90261484503392952</v>
      </c>
      <c r="Q54" s="66">
        <f t="shared" si="14"/>
        <v>2</v>
      </c>
      <c r="R54" s="10">
        <f t="shared" si="10"/>
        <v>9.6226430673579024E-3</v>
      </c>
      <c r="T54" s="10">
        <f t="shared" si="11"/>
        <v>3.9827327842393619E-3</v>
      </c>
      <c r="V54" s="10">
        <f t="shared" si="13"/>
        <v>2.4638294357025815E-5</v>
      </c>
    </row>
    <row r="55" spans="1:22">
      <c r="A55" s="66">
        <v>43</v>
      </c>
      <c r="B55" s="10">
        <f t="shared" si="2"/>
        <v>0.5792216888398406</v>
      </c>
      <c r="C55" s="10">
        <f t="shared" si="3"/>
        <v>0.45745311099646369</v>
      </c>
      <c r="D55" s="10">
        <f t="shared" si="4"/>
        <v>0.12270440108003698</v>
      </c>
      <c r="E55" s="10">
        <f t="shared" si="5"/>
        <v>3.2512588023396974E-2</v>
      </c>
      <c r="G55" s="10">
        <f t="shared" si="12"/>
        <v>9.4691972405283972E-2</v>
      </c>
      <c r="I55" s="10">
        <f t="shared" si="6"/>
        <v>2.3618921983623781E-2</v>
      </c>
      <c r="K55" s="66">
        <v>2.15</v>
      </c>
      <c r="L55" s="10">
        <f t="shared" si="0"/>
        <v>0.99553926091674372</v>
      </c>
      <c r="M55" s="10">
        <f t="shared" si="1"/>
        <v>0.99369532502253732</v>
      </c>
      <c r="N55" s="10">
        <f t="shared" si="7"/>
        <v>2.2372782153842938E-3</v>
      </c>
      <c r="O55" s="10">
        <f t="shared" si="8"/>
        <v>3.16833928419398E-3</v>
      </c>
      <c r="P55" s="10">
        <f t="shared" si="9"/>
        <v>0.90041559234855284</v>
      </c>
      <c r="Q55" s="66">
        <f t="shared" si="14"/>
        <v>4</v>
      </c>
      <c r="R55" s="10">
        <f t="shared" si="10"/>
        <v>1.9260162576333062E-2</v>
      </c>
      <c r="T55" s="10">
        <f t="shared" si="11"/>
        <v>7.9714005218000615E-3</v>
      </c>
      <c r="V55" s="10">
        <f t="shared" si="13"/>
        <v>5.0581854553747334E-5</v>
      </c>
    </row>
    <row r="56" spans="1:22">
      <c r="A56" s="66">
        <v>44</v>
      </c>
      <c r="B56" s="10">
        <f t="shared" si="2"/>
        <v>0.55504836595088436</v>
      </c>
      <c r="C56" s="10">
        <f t="shared" si="3"/>
        <v>0.43031479852289323</v>
      </c>
      <c r="D56" s="10">
        <f t="shared" si="4"/>
        <v>0.11686133436193999</v>
      </c>
      <c r="E56" s="10">
        <f t="shared" si="5"/>
        <v>2.7911806847232132E-2</v>
      </c>
      <c r="G56" s="10">
        <f t="shared" si="12"/>
        <v>8.7239047384277249E-2</v>
      </c>
      <c r="I56" s="10">
        <f t="shared" si="6"/>
        <v>2.2375354703842533E-2</v>
      </c>
      <c r="K56" s="66">
        <v>2.2000000000000002</v>
      </c>
      <c r="L56" s="10">
        <f t="shared" si="0"/>
        <v>0.99542770966997018</v>
      </c>
      <c r="M56" s="10">
        <f t="shared" si="1"/>
        <v>0.99353764337360118</v>
      </c>
      <c r="N56" s="10">
        <f t="shared" si="7"/>
        <v>2.2450206741671443E-3</v>
      </c>
      <c r="O56" s="10">
        <f t="shared" si="8"/>
        <v>3.1794545850793192E-3</v>
      </c>
      <c r="P56" s="10">
        <f t="shared" si="9"/>
        <v>0.89822169821937625</v>
      </c>
      <c r="Q56" s="66">
        <f t="shared" si="14"/>
        <v>2</v>
      </c>
      <c r="R56" s="10">
        <f t="shared" si="10"/>
        <v>9.6375206779188236E-3</v>
      </c>
      <c r="T56" s="10">
        <f t="shared" si="11"/>
        <v>3.9886684214772731E-3</v>
      </c>
      <c r="V56" s="10">
        <f t="shared" si="13"/>
        <v>2.5946828983149401E-5</v>
      </c>
    </row>
    <row r="57" spans="1:22">
      <c r="A57" s="66">
        <v>45</v>
      </c>
      <c r="B57" s="10">
        <f t="shared" si="2"/>
        <v>0.53019002113593383</v>
      </c>
      <c r="C57" s="10">
        <f t="shared" si="3"/>
        <v>0.40293705918390604</v>
      </c>
      <c r="D57" s="10">
        <f t="shared" si="4"/>
        <v>0.1112965089161333</v>
      </c>
      <c r="E57" s="10">
        <f t="shared" si="5"/>
        <v>2.3776630230625415E-2</v>
      </c>
      <c r="G57" s="10">
        <f t="shared" si="12"/>
        <v>8.0077156184077083E-2</v>
      </c>
      <c r="I57" s="10">
        <f t="shared" si="6"/>
        <v>2.1068857769476715E-2</v>
      </c>
      <c r="K57" s="66">
        <v>2.25</v>
      </c>
      <c r="L57" s="10">
        <f t="shared" si="0"/>
        <v>0.99531578491550055</v>
      </c>
      <c r="M57" s="10">
        <f t="shared" si="1"/>
        <v>0.99337943366081538</v>
      </c>
      <c r="N57" s="10">
        <f t="shared" si="7"/>
        <v>2.2527911806171507E-3</v>
      </c>
      <c r="O57" s="10">
        <f t="shared" si="8"/>
        <v>3.1906101520181545E-3</v>
      </c>
      <c r="P57" s="10">
        <f t="shared" si="9"/>
        <v>0.89603314959008973</v>
      </c>
      <c r="Q57" s="66">
        <f t="shared" si="14"/>
        <v>4</v>
      </c>
      <c r="R57" s="10">
        <f t="shared" si="10"/>
        <v>1.9289922365071058E-2</v>
      </c>
      <c r="T57" s="10">
        <f t="shared" si="11"/>
        <v>7.9832744865393265E-3</v>
      </c>
      <c r="V57" s="10">
        <f t="shared" si="13"/>
        <v>5.3212027127891335E-5</v>
      </c>
    </row>
    <row r="58" spans="1:22">
      <c r="A58" s="66">
        <v>46</v>
      </c>
      <c r="B58" s="10">
        <f t="shared" si="2"/>
        <v>0.50471136222992274</v>
      </c>
      <c r="C58" s="10">
        <f t="shared" si="3"/>
        <v>0.37544836737841403</v>
      </c>
      <c r="D58" s="10">
        <f t="shared" si="4"/>
        <v>0.10599667515822221</v>
      </c>
      <c r="E58" s="10">
        <f t="shared" si="5"/>
        <v>2.0085634001903004E-2</v>
      </c>
      <c r="G58" s="10">
        <f t="shared" si="12"/>
        <v>7.3208370944740558E-2</v>
      </c>
      <c r="I58" s="10">
        <f t="shared" si="6"/>
        <v>1.9710644633791619E-2</v>
      </c>
      <c r="K58" s="66">
        <v>2.2999999999999998</v>
      </c>
      <c r="L58" s="10">
        <f t="shared" si="0"/>
        <v>0.99520348538395786</v>
      </c>
      <c r="M58" s="10">
        <f t="shared" si="1"/>
        <v>0.99322069414115355</v>
      </c>
      <c r="N58" s="10">
        <f t="shared" si="7"/>
        <v>2.2605898363391975E-3</v>
      </c>
      <c r="O58" s="10">
        <f t="shared" si="8"/>
        <v>3.2018061308774423E-3</v>
      </c>
      <c r="P58" s="10">
        <f t="shared" si="9"/>
        <v>0.89384993343619579</v>
      </c>
      <c r="Q58" s="66">
        <f t="shared" si="14"/>
        <v>2</v>
      </c>
      <c r="R58" s="10">
        <f t="shared" si="10"/>
        <v>9.6524027477100319E-3</v>
      </c>
      <c r="T58" s="10">
        <f t="shared" si="11"/>
        <v>3.9946067034836849E-3</v>
      </c>
      <c r="V58" s="10">
        <f t="shared" si="13"/>
        <v>2.7268495156291671E-5</v>
      </c>
    </row>
    <row r="59" spans="1:22">
      <c r="A59" s="66">
        <v>47</v>
      </c>
      <c r="B59" s="10">
        <f t="shared" si="2"/>
        <v>0.47868931803429399</v>
      </c>
      <c r="C59" s="10">
        <f t="shared" si="3"/>
        <v>0.34798855500164955</v>
      </c>
      <c r="D59" s="10">
        <f t="shared" si="4"/>
        <v>0.10094921443640208</v>
      </c>
      <c r="E59" s="10">
        <f t="shared" si="5"/>
        <v>1.6815959033691066E-2</v>
      </c>
      <c r="G59" s="10">
        <f t="shared" si="12"/>
        <v>6.6636522841243162E-2</v>
      </c>
      <c r="I59" s="10">
        <f t="shared" si="6"/>
        <v>1.8313212226584157E-2</v>
      </c>
      <c r="K59" s="66">
        <v>2.35</v>
      </c>
      <c r="L59" s="10">
        <f t="shared" si="0"/>
        <v>0.9950908098019533</v>
      </c>
      <c r="M59" s="10">
        <f t="shared" si="1"/>
        <v>0.99306142306645862</v>
      </c>
      <c r="N59" s="10">
        <f t="shared" si="7"/>
        <v>2.2684167433062417E-3</v>
      </c>
      <c r="O59" s="10">
        <f t="shared" si="8"/>
        <v>3.2130426680525509E-3</v>
      </c>
      <c r="P59" s="10">
        <f t="shared" si="9"/>
        <v>0.89167203676493134</v>
      </c>
      <c r="Q59" s="66">
        <f t="shared" si="14"/>
        <v>4</v>
      </c>
      <c r="R59" s="10">
        <f t="shared" si="10"/>
        <v>1.9319690637814926E-2</v>
      </c>
      <c r="T59" s="10">
        <f t="shared" si="11"/>
        <v>7.9951535584667343E-3</v>
      </c>
      <c r="V59" s="10">
        <f t="shared" si="13"/>
        <v>5.5868575892502828E-5</v>
      </c>
    </row>
    <row r="60" spans="1:22">
      <c r="A60" s="66">
        <v>48</v>
      </c>
      <c r="B60" s="10">
        <f t="shared" si="2"/>
        <v>0.45221342065354447</v>
      </c>
      <c r="C60" s="10">
        <f t="shared" si="3"/>
        <v>0.32070746127151367</v>
      </c>
      <c r="D60" s="10">
        <f t="shared" si="4"/>
        <v>9.6142108987049613E-2</v>
      </c>
      <c r="E60" s="10">
        <f t="shared" si="5"/>
        <v>1.3943318749874194E-2</v>
      </c>
      <c r="G60" s="10">
        <f t="shared" si="12"/>
        <v>6.0366924918531253E-2</v>
      </c>
      <c r="I60" s="10">
        <f t="shared" si="6"/>
        <v>1.6890172944651668E-2</v>
      </c>
      <c r="K60" s="66">
        <v>2.4</v>
      </c>
      <c r="L60" s="10">
        <f t="shared" si="0"/>
        <v>0.99497775689207646</v>
      </c>
      <c r="M60" s="10">
        <f t="shared" si="1"/>
        <v>0.99290161868343174</v>
      </c>
      <c r="N60" s="10">
        <f t="shared" si="7"/>
        <v>2.2762720038606433E-3</v>
      </c>
      <c r="O60" s="10">
        <f t="shared" si="8"/>
        <v>3.2243199104691712E-3</v>
      </c>
      <c r="P60" s="10">
        <f t="shared" si="9"/>
        <v>0.88949944661519054</v>
      </c>
      <c r="Q60" s="66">
        <f t="shared" si="14"/>
        <v>2</v>
      </c>
      <c r="R60" s="10">
        <f t="shared" si="10"/>
        <v>9.6672888413638011E-3</v>
      </c>
      <c r="T60" s="10">
        <f t="shared" si="11"/>
        <v>4.0005474475399124E-3</v>
      </c>
      <c r="V60" s="10">
        <f t="shared" si="13"/>
        <v>2.8603406169012534E-5</v>
      </c>
    </row>
    <row r="61" spans="1:22">
      <c r="A61" s="66">
        <v>49</v>
      </c>
      <c r="B61" s="10">
        <f t="shared" si="2"/>
        <v>0.4253859517404891</v>
      </c>
      <c r="C61" s="10">
        <f t="shared" si="3"/>
        <v>0.29376309296540881</v>
      </c>
      <c r="D61" s="10">
        <f t="shared" si="4"/>
        <v>9.1563913320999626E-2</v>
      </c>
      <c r="E61" s="10">
        <f t="shared" si="5"/>
        <v>1.1442073179893283E-2</v>
      </c>
      <c r="G61" s="10">
        <f t="shared" si="12"/>
        <v>5.440602761443724E-2</v>
      </c>
      <c r="I61" s="10">
        <f t="shared" si="6"/>
        <v>1.5456025201300164E-2</v>
      </c>
      <c r="K61" s="66">
        <v>2.4500000000000002</v>
      </c>
      <c r="L61" s="10">
        <f t="shared" si="0"/>
        <v>0.99486432537288494</v>
      </c>
      <c r="M61" s="10">
        <f t="shared" si="1"/>
        <v>0.99274127923362299</v>
      </c>
      <c r="N61" s="10">
        <f t="shared" si="7"/>
        <v>2.2841557207155094E-3</v>
      </c>
      <c r="O61" s="10">
        <f t="shared" si="8"/>
        <v>3.2356380055852539E-3</v>
      </c>
      <c r="P61" s="10">
        <f t="shared" si="9"/>
        <v>0.8873321500574477</v>
      </c>
      <c r="Q61" s="66">
        <f t="shared" si="14"/>
        <v>4</v>
      </c>
      <c r="R61" s="10">
        <f t="shared" si="10"/>
        <v>1.9349466520170121E-2</v>
      </c>
      <c r="T61" s="10">
        <f t="shared" si="11"/>
        <v>8.0070373706627122E-3</v>
      </c>
      <c r="V61" s="10">
        <f t="shared" si="13"/>
        <v>5.8551728217958173E-5</v>
      </c>
    </row>
    <row r="62" spans="1:22">
      <c r="A62" s="66">
        <v>50</v>
      </c>
      <c r="B62" s="10">
        <f t="shared" si="2"/>
        <v>0.39832179836906279</v>
      </c>
      <c r="C62" s="10">
        <f t="shared" si="3"/>
        <v>0.26731927227364022</v>
      </c>
      <c r="D62" s="10">
        <f t="shared" si="4"/>
        <v>8.7203726972380588E-2</v>
      </c>
      <c r="E62" s="10">
        <f t="shared" si="5"/>
        <v>9.2853737778487398E-3</v>
      </c>
      <c r="G62" s="10">
        <f t="shared" si="12"/>
        <v>4.8761008408080626E-2</v>
      </c>
      <c r="I62" s="10">
        <f t="shared" si="6"/>
        <v>1.4025863055957252E-2</v>
      </c>
      <c r="K62" s="66">
        <v>2.5</v>
      </c>
      <c r="L62" s="10">
        <f t="shared" si="0"/>
        <v>0.99475051395889302</v>
      </c>
      <c r="M62" s="10">
        <f t="shared" si="1"/>
        <v>0.99258040295341943</v>
      </c>
      <c r="N62" s="10">
        <f t="shared" si="7"/>
        <v>2.2920679969560304E-3</v>
      </c>
      <c r="O62" s="10">
        <f t="shared" si="8"/>
        <v>3.2469971013929172E-3</v>
      </c>
      <c r="P62" s="10">
        <f t="shared" si="9"/>
        <v>0.88517013419368074</v>
      </c>
      <c r="Q62" s="66">
        <f t="shared" si="14"/>
        <v>2</v>
      </c>
      <c r="R62" s="10">
        <f t="shared" si="10"/>
        <v>9.682178519846334E-3</v>
      </c>
      <c r="T62" s="10">
        <f t="shared" si="11"/>
        <v>4.0064904694421836E-3</v>
      </c>
      <c r="V62" s="10">
        <f t="shared" si="13"/>
        <v>2.9951676099868269E-5</v>
      </c>
    </row>
    <row r="63" spans="1:22">
      <c r="A63" s="66">
        <v>51</v>
      </c>
      <c r="B63" s="10">
        <f t="shared" si="2"/>
        <v>0.371147963386118</v>
      </c>
      <c r="C63" s="10">
        <f t="shared" si="3"/>
        <v>0.24154277044730602</v>
      </c>
      <c r="D63" s="10">
        <f t="shared" si="4"/>
        <v>8.3051168545124371E-2</v>
      </c>
      <c r="E63" s="10">
        <f t="shared" si="5"/>
        <v>7.4453800709639618E-3</v>
      </c>
      <c r="G63" s="10">
        <f t="shared" si="12"/>
        <v>4.343930133067167E-2</v>
      </c>
      <c r="I63" s="10">
        <f t="shared" si="6"/>
        <v>1.2615029268311534E-2</v>
      </c>
      <c r="K63" s="66">
        <v>2.5499999999999998</v>
      </c>
      <c r="L63" s="10">
        <f t="shared" si="0"/>
        <v>0.99463632136056201</v>
      </c>
      <c r="M63" s="10">
        <f t="shared" si="1"/>
        <v>0.99241898807403583</v>
      </c>
      <c r="N63" s="10">
        <f t="shared" si="7"/>
        <v>2.3000089360408313E-3</v>
      </c>
      <c r="O63" s="10">
        <f t="shared" si="8"/>
        <v>3.2583973464204003E-3</v>
      </c>
      <c r="P63" s="10">
        <f t="shared" si="9"/>
        <v>0.88301338615729386</v>
      </c>
      <c r="Q63" s="66">
        <f t="shared" si="14"/>
        <v>4</v>
      </c>
      <c r="R63" s="10">
        <f t="shared" si="10"/>
        <v>1.9379249130381946E-2</v>
      </c>
      <c r="T63" s="10">
        <f t="shared" si="11"/>
        <v>8.0189255532259422E-3</v>
      </c>
      <c r="V63" s="10">
        <f t="shared" si="13"/>
        <v>6.1261713049594882E-5</v>
      </c>
    </row>
    <row r="64" spans="1:22">
      <c r="A64" s="66">
        <v>52</v>
      </c>
      <c r="B64" s="10">
        <f t="shared" si="2"/>
        <v>0.3440026770455093</v>
      </c>
      <c r="C64" s="10">
        <f t="shared" si="3"/>
        <v>0.21659995225115083</v>
      </c>
      <c r="D64" s="10">
        <f t="shared" si="4"/>
        <v>7.9096350995356543E-2</v>
      </c>
      <c r="E64" s="10">
        <f t="shared" si="5"/>
        <v>5.8935453158544199E-3</v>
      </c>
      <c r="G64" s="10">
        <f t="shared" si="12"/>
        <v>3.8448077019913957E-2</v>
      </c>
      <c r="I64" s="10">
        <f t="shared" si="6"/>
        <v>1.1238720532980072E-2</v>
      </c>
      <c r="K64" s="66">
        <v>2.6</v>
      </c>
      <c r="L64" s="10">
        <f t="shared" si="0"/>
        <v>0.99452174628428991</v>
      </c>
      <c r="M64" s="10">
        <f t="shared" si="1"/>
        <v>0.99225703282150401</v>
      </c>
      <c r="N64" s="10">
        <f t="shared" si="7"/>
        <v>2.3079786418033245E-3</v>
      </c>
      <c r="O64" s="10">
        <f t="shared" si="8"/>
        <v>3.269838889733998E-3</v>
      </c>
      <c r="P64" s="10">
        <f t="shared" si="9"/>
        <v>0.88086189311304075</v>
      </c>
      <c r="Q64" s="66">
        <f t="shared" si="14"/>
        <v>2</v>
      </c>
      <c r="R64" s="10">
        <f t="shared" si="10"/>
        <v>9.6970713404296999E-3</v>
      </c>
      <c r="T64" s="10">
        <f t="shared" si="11"/>
        <v>4.0124355834900314E-3</v>
      </c>
      <c r="V64" s="10">
        <f t="shared" si="13"/>
        <v>3.1313419816373827E-5</v>
      </c>
    </row>
    <row r="65" spans="1:22">
      <c r="A65" s="66">
        <v>53</v>
      </c>
      <c r="B65" s="10">
        <f t="shared" si="2"/>
        <v>0.31703406229939579</v>
      </c>
      <c r="C65" s="10">
        <f t="shared" si="3"/>
        <v>0.19265298859485305</v>
      </c>
      <c r="D65" s="10">
        <f t="shared" si="4"/>
        <v>7.5329858090815757E-2</v>
      </c>
      <c r="E65" s="10">
        <f t="shared" si="5"/>
        <v>4.6009638963234048E-3</v>
      </c>
      <c r="G65" s="10">
        <f t="shared" si="12"/>
        <v>3.3793689318266748E-2</v>
      </c>
      <c r="I65" s="10">
        <f t="shared" si="6"/>
        <v>9.9115583952984216E-3</v>
      </c>
      <c r="K65" s="66">
        <v>2.65</v>
      </c>
      <c r="L65" s="10">
        <f t="shared" si="0"/>
        <v>0.99440678743239985</v>
      </c>
      <c r="M65" s="10">
        <f t="shared" si="1"/>
        <v>0.99209453541666215</v>
      </c>
      <c r="N65" s="10">
        <f t="shared" si="7"/>
        <v>2.3159772184530663E-3</v>
      </c>
      <c r="O65" s="10">
        <f t="shared" si="8"/>
        <v>3.2813218809400013E-3</v>
      </c>
      <c r="P65" s="10">
        <f t="shared" si="9"/>
        <v>0.87871564225694943</v>
      </c>
      <c r="Q65" s="66">
        <f t="shared" si="14"/>
        <v>4</v>
      </c>
      <c r="R65" s="10">
        <f t="shared" si="10"/>
        <v>1.9409037579279396E-2</v>
      </c>
      <c r="T65" s="10">
        <f t="shared" si="11"/>
        <v>8.0308177332500761E-3</v>
      </c>
      <c r="V65" s="10">
        <f t="shared" si="13"/>
        <v>6.3998760913581282E-5</v>
      </c>
    </row>
    <row r="66" spans="1:22">
      <c r="A66" s="66">
        <v>54</v>
      </c>
      <c r="B66" s="10">
        <f t="shared" si="2"/>
        <v>0.29039831610781125</v>
      </c>
      <c r="C66" s="10">
        <f t="shared" si="3"/>
        <v>0.16985573161373121</v>
      </c>
      <c r="D66" s="10">
        <f t="shared" si="4"/>
        <v>7.1742721991253117E-2</v>
      </c>
      <c r="E66" s="10">
        <f t="shared" si="5"/>
        <v>3.5387684794673871E-3</v>
      </c>
      <c r="G66" s="10">
        <f t="shared" si="12"/>
        <v>2.9481109711568174E-2</v>
      </c>
      <c r="I66" s="10">
        <f t="shared" si="6"/>
        <v>8.6471440523174358E-3</v>
      </c>
      <c r="K66" s="66">
        <v>2.7</v>
      </c>
      <c r="L66" s="10">
        <f t="shared" si="0"/>
        <v>0.99429144350313081</v>
      </c>
      <c r="M66" s="10">
        <f t="shared" si="1"/>
        <v>0.9919314940751448</v>
      </c>
      <c r="N66" s="10">
        <f t="shared" si="7"/>
        <v>2.3240047705771244E-3</v>
      </c>
      <c r="O66" s="10">
        <f t="shared" si="8"/>
        <v>3.2928464701866729E-3</v>
      </c>
      <c r="P66" s="10">
        <f t="shared" si="9"/>
        <v>0.8765746208162446</v>
      </c>
      <c r="Q66" s="66">
        <f t="shared" si="14"/>
        <v>2</v>
      </c>
      <c r="R66" s="10">
        <f t="shared" si="10"/>
        <v>9.7119668566637805E-3</v>
      </c>
      <c r="T66" s="10">
        <f t="shared" si="11"/>
        <v>4.0183826024746769E-3</v>
      </c>
      <c r="V66" s="10">
        <f t="shared" si="13"/>
        <v>3.2688752977909919E-5</v>
      </c>
    </row>
    <row r="67" spans="1:22">
      <c r="A67" s="66">
        <v>55</v>
      </c>
      <c r="B67" s="10">
        <f t="shared" si="2"/>
        <v>0.26425738423366746</v>
      </c>
      <c r="C67" s="10">
        <f t="shared" si="3"/>
        <v>0.14834938609077833</v>
      </c>
      <c r="D67" s="10">
        <f t="shared" si="4"/>
        <v>6.8326401896431521E-2</v>
      </c>
      <c r="E67" s="10">
        <f t="shared" si="5"/>
        <v>2.6785603534973724E-3</v>
      </c>
      <c r="G67" s="10">
        <f t="shared" si="12"/>
        <v>2.5513375660879328E-2</v>
      </c>
      <c r="I67" s="10">
        <f t="shared" si="6"/>
        <v>7.4576194216300351E-3</v>
      </c>
      <c r="K67" s="66">
        <v>2.75</v>
      </c>
      <c r="L67" s="10">
        <f t="shared" si="0"/>
        <v>0.99417571319062614</v>
      </c>
      <c r="M67" s="10">
        <f t="shared" si="1"/>
        <v>0.99176790700737227</v>
      </c>
      <c r="N67" s="10">
        <f t="shared" si="7"/>
        <v>2.332061403141435E-3</v>
      </c>
      <c r="O67" s="10">
        <f t="shared" si="8"/>
        <v>3.3044128081661868E-3</v>
      </c>
      <c r="P67" s="10">
        <f t="shared" si="9"/>
        <v>0.87443881604927254</v>
      </c>
      <c r="Q67" s="66">
        <f t="shared" si="14"/>
        <v>4</v>
      </c>
      <c r="R67" s="10">
        <f t="shared" si="10"/>
        <v>1.9438830970218882E-2</v>
      </c>
      <c r="T67" s="10">
        <f t="shared" si="11"/>
        <v>8.0427135348005094E-3</v>
      </c>
      <c r="V67" s="10">
        <f t="shared" si="13"/>
        <v>6.6763103922712583E-5</v>
      </c>
    </row>
    <row r="68" spans="1:22">
      <c r="A68" s="66">
        <v>56</v>
      </c>
      <c r="B68" s="10">
        <f t="shared" si="2"/>
        <v>0.23877612772198312</v>
      </c>
      <c r="C68" s="10">
        <f t="shared" si="3"/>
        <v>0.12825815072829228</v>
      </c>
      <c r="D68" s="10">
        <f t="shared" si="4"/>
        <v>6.5072763710887174E-2</v>
      </c>
      <c r="E68" s="10">
        <f t="shared" si="5"/>
        <v>1.9928523852033456E-3</v>
      </c>
      <c r="G68" s="10">
        <f t="shared" si="12"/>
        <v>2.189108249018739E-2</v>
      </c>
      <c r="I68" s="10">
        <f t="shared" si="6"/>
        <v>6.3532599511341697E-3</v>
      </c>
      <c r="K68" s="66">
        <v>2.8</v>
      </c>
      <c r="L68" s="10">
        <f t="shared" si="0"/>
        <v>0.99405959518492404</v>
      </c>
      <c r="M68" s="10">
        <f t="shared" si="1"/>
        <v>0.99160377241854059</v>
      </c>
      <c r="N68" s="10">
        <f t="shared" si="7"/>
        <v>2.3401472214921852E-3</v>
      </c>
      <c r="O68" s="10">
        <f t="shared" si="8"/>
        <v>3.3160210461166224E-3</v>
      </c>
      <c r="P68" s="10">
        <f t="shared" si="9"/>
        <v>0.87230821524542501</v>
      </c>
      <c r="Q68" s="66">
        <f t="shared" si="14"/>
        <v>2</v>
      </c>
      <c r="R68" s="10">
        <f t="shared" si="10"/>
        <v>9.7268646183480498E-3</v>
      </c>
      <c r="T68" s="10">
        <f t="shared" si="11"/>
        <v>4.024331337667361E-3</v>
      </c>
      <c r="V68" s="10">
        <f t="shared" si="13"/>
        <v>3.4077792038599738E-5</v>
      </c>
    </row>
    <row r="69" spans="1:22">
      <c r="A69" s="66">
        <v>57</v>
      </c>
      <c r="B69" s="10">
        <f t="shared" si="2"/>
        <v>0.21411900578733739</v>
      </c>
      <c r="C69" s="10">
        <f t="shared" si="3"/>
        <v>0.10968503873021729</v>
      </c>
      <c r="D69" s="10">
        <f t="shared" si="4"/>
        <v>6.1974060677035397E-2</v>
      </c>
      <c r="E69" s="10">
        <f t="shared" si="5"/>
        <v>1.4555011875470975E-3</v>
      </c>
      <c r="G69" s="10">
        <f t="shared" si="12"/>
        <v>1.8611950314853305E-2</v>
      </c>
      <c r="I69" s="10">
        <f t="shared" si="6"/>
        <v>5.3421260580823662E-3</v>
      </c>
      <c r="K69" s="66">
        <v>2.85</v>
      </c>
      <c r="L69" s="10">
        <f t="shared" si="0"/>
        <v>0.9939430881719461</v>
      </c>
      <c r="M69" s="10">
        <f t="shared" si="1"/>
        <v>0.99143908850861107</v>
      </c>
      <c r="N69" s="10">
        <f t="shared" si="7"/>
        <v>2.348262331357188E-3</v>
      </c>
      <c r="O69" s="10">
        <f t="shared" si="8"/>
        <v>3.3276713358239289E-3</v>
      </c>
      <c r="P69" s="10">
        <f t="shared" si="9"/>
        <v>0.87018280572506368</v>
      </c>
      <c r="Q69" s="66">
        <f t="shared" si="14"/>
        <v>4</v>
      </c>
      <c r="R69" s="10">
        <f t="shared" si="10"/>
        <v>1.9468628399027837E-2</v>
      </c>
      <c r="T69" s="10">
        <f t="shared" si="11"/>
        <v>8.0546125788909864E-3</v>
      </c>
      <c r="V69" s="10">
        <f t="shared" si="13"/>
        <v>6.9554975782095823E-5</v>
      </c>
    </row>
    <row r="70" spans="1:22">
      <c r="A70" s="66">
        <v>58</v>
      </c>
      <c r="B70" s="10">
        <f t="shared" si="2"/>
        <v>0.1904463318258651</v>
      </c>
      <c r="C70" s="10">
        <f t="shared" si="3"/>
        <v>9.2708114974727543E-2</v>
      </c>
      <c r="D70" s="10">
        <f t="shared" si="4"/>
        <v>5.9022914930509894E-2</v>
      </c>
      <c r="E70" s="10">
        <f t="shared" si="5"/>
        <v>1.0421038894079001E-3</v>
      </c>
      <c r="G70" s="10">
        <f t="shared" si="12"/>
        <v>1.5670496936299069E-2</v>
      </c>
      <c r="I70" s="10">
        <f t="shared" si="6"/>
        <v>4.4297992941133742E-3</v>
      </c>
      <c r="K70" s="66">
        <v>2.9</v>
      </c>
      <c r="L70" s="10">
        <f t="shared" si="0"/>
        <v>0.99382619083348678</v>
      </c>
      <c r="M70" s="10">
        <f t="shared" si="1"/>
        <v>0.99127385347229968</v>
      </c>
      <c r="N70" s="10">
        <f t="shared" si="7"/>
        <v>2.3564068388472622E-3</v>
      </c>
      <c r="O70" s="10">
        <f t="shared" si="8"/>
        <v>3.3393638296239044E-3</v>
      </c>
      <c r="P70" s="10">
        <f t="shared" si="9"/>
        <v>0.86806257483944427</v>
      </c>
      <c r="Q70" s="66">
        <f t="shared" si="14"/>
        <v>2</v>
      </c>
      <c r="R70" s="10">
        <f t="shared" si="10"/>
        <v>9.7417641715034035E-3</v>
      </c>
      <c r="T70" s="10">
        <f t="shared" si="11"/>
        <v>4.0302815988076789E-3</v>
      </c>
      <c r="V70" s="10">
        <f t="shared" si="13"/>
        <v>3.5480654250132748E-5</v>
      </c>
    </row>
    <row r="71" spans="1:22">
      <c r="A71" s="66">
        <v>59</v>
      </c>
      <c r="B71" s="10">
        <f t="shared" si="2"/>
        <v>0.16791019574298965</v>
      </c>
      <c r="C71" s="10">
        <f t="shared" si="3"/>
        <v>7.7377401752495023E-2</v>
      </c>
      <c r="D71" s="10">
        <f t="shared" si="4"/>
        <v>5.6212299933818946E-2</v>
      </c>
      <c r="E71" s="10">
        <f t="shared" si="5"/>
        <v>7.3033575903085112E-4</v>
      </c>
      <c r="G71" s="10">
        <f t="shared" si="12"/>
        <v>1.305784424143119E-2</v>
      </c>
      <c r="I71" s="10">
        <f t="shared" si="6"/>
        <v>3.6192259563800071E-3</v>
      </c>
      <c r="K71" s="66">
        <v>2.95</v>
      </c>
      <c r="L71" s="10">
        <f t="shared" si="0"/>
        <v>0.99370890184720395</v>
      </c>
      <c r="M71" s="10">
        <f t="shared" si="1"/>
        <v>0.99110806549906727</v>
      </c>
      <c r="N71" s="10">
        <f t="shared" si="7"/>
        <v>2.3645808504576208E-3</v>
      </c>
      <c r="O71" s="10">
        <f t="shared" si="8"/>
        <v>3.3510986804042059E-3</v>
      </c>
      <c r="P71" s="10">
        <f t="shared" si="9"/>
        <v>0.86594750997064207</v>
      </c>
      <c r="Q71" s="66">
        <f t="shared" si="14"/>
        <v>4</v>
      </c>
      <c r="R71" s="10">
        <f t="shared" si="10"/>
        <v>1.9498428953948158E-2</v>
      </c>
      <c r="T71" s="10">
        <f t="shared" si="11"/>
        <v>8.0665144834602548E-3</v>
      </c>
      <c r="V71" s="10">
        <f t="shared" si="13"/>
        <v>7.2374611794780345E-5</v>
      </c>
    </row>
    <row r="72" spans="1:22">
      <c r="A72" s="66">
        <v>60</v>
      </c>
      <c r="B72" s="10">
        <f t="shared" si="2"/>
        <v>0.14665018495520257</v>
      </c>
      <c r="C72" s="10">
        <f t="shared" si="3"/>
        <v>6.3712701615379702E-2</v>
      </c>
      <c r="D72" s="10">
        <f t="shared" si="4"/>
        <v>5.3535523746494243E-2</v>
      </c>
      <c r="E72" s="10">
        <f t="shared" si="5"/>
        <v>5.0020806735644782E-4</v>
      </c>
      <c r="G72" s="10">
        <f t="shared" si="12"/>
        <v>1.0761679242024034E-2</v>
      </c>
      <c r="I72" s="10">
        <f t="shared" si="6"/>
        <v>2.9106847829270146E-3</v>
      </c>
      <c r="K72" s="66">
        <v>3</v>
      </c>
      <c r="L72" s="10">
        <f t="shared" si="0"/>
        <v>0.99359121988660726</v>
      </c>
      <c r="M72" s="10">
        <f t="shared" si="1"/>
        <v>0.99094172277310955</v>
      </c>
      <c r="N72" s="10">
        <f t="shared" si="7"/>
        <v>2.3727844730692654E-3</v>
      </c>
      <c r="O72" s="10">
        <f t="shared" si="8"/>
        <v>3.3628760416063294E-3</v>
      </c>
      <c r="P72" s="10">
        <f t="shared" si="9"/>
        <v>0.86383759853147601</v>
      </c>
      <c r="Q72" s="66">
        <f t="shared" si="14"/>
        <v>2</v>
      </c>
      <c r="R72" s="10">
        <f t="shared" si="10"/>
        <v>9.7566650583437962E-3</v>
      </c>
      <c r="T72" s="10">
        <f t="shared" si="11"/>
        <v>4.036233194091853E-3</v>
      </c>
      <c r="V72" s="10">
        <f t="shared" si="13"/>
        <v>3.6897457664551353E-5</v>
      </c>
    </row>
    <row r="73" spans="1:22">
      <c r="A73" s="66">
        <v>61</v>
      </c>
      <c r="B73" s="10">
        <f t="shared" si="2"/>
        <v>0.1267890755867814</v>
      </c>
      <c r="C73" s="10">
        <f t="shared" si="3"/>
        <v>5.170256001288108E-2</v>
      </c>
      <c r="D73" s="10">
        <f t="shared" si="4"/>
        <v>5.0986213091899268E-2</v>
      </c>
      <c r="E73" s="10">
        <f t="shared" si="5"/>
        <v>3.3423093167315852E-4</v>
      </c>
      <c r="G73" s="10">
        <f t="shared" si="12"/>
        <v>8.7663816361328653E-3</v>
      </c>
      <c r="I73" s="10">
        <f t="shared" si="6"/>
        <v>2.3018868105403063E-3</v>
      </c>
      <c r="K73" s="66">
        <v>3.05</v>
      </c>
      <c r="L73" s="10">
        <f t="shared" si="0"/>
        <v>0.99347314362104777</v>
      </c>
      <c r="M73" s="10">
        <f t="shared" si="1"/>
        <v>0.99077482347334611</v>
      </c>
      <c r="N73" s="10">
        <f t="shared" si="7"/>
        <v>2.3810178139503802E-3</v>
      </c>
      <c r="O73" s="10">
        <f t="shared" si="8"/>
        <v>3.3746960672276262E-3</v>
      </c>
      <c r="P73" s="10">
        <f t="shared" si="9"/>
        <v>0.86173282796543438</v>
      </c>
      <c r="Q73" s="66">
        <f t="shared" si="14"/>
        <v>4</v>
      </c>
      <c r="R73" s="10">
        <f t="shared" si="10"/>
        <v>1.952823171557962E-2</v>
      </c>
      <c r="T73" s="10">
        <f t="shared" si="11"/>
        <v>8.0784188633486152E-3</v>
      </c>
      <c r="V73" s="10">
        <f t="shared" si="13"/>
        <v>7.5222248867251506E-5</v>
      </c>
    </row>
    <row r="74" spans="1:22">
      <c r="A74" s="66">
        <v>62</v>
      </c>
      <c r="B74" s="10">
        <f t="shared" si="2"/>
        <v>0.10842870092338604</v>
      </c>
      <c r="C74" s="10">
        <f t="shared" si="3"/>
        <v>4.1304539352300072E-2</v>
      </c>
      <c r="D74" s="10">
        <f t="shared" si="4"/>
        <v>4.855829818276123E-2</v>
      </c>
      <c r="E74" s="10">
        <f t="shared" si="5"/>
        <v>2.1747307499227179E-4</v>
      </c>
      <c r="G74" s="10">
        <f t="shared" si="12"/>
        <v>7.0533182541855279E-3</v>
      </c>
      <c r="I74" s="10">
        <f t="shared" si="6"/>
        <v>1.7882050631783104E-3</v>
      </c>
      <c r="K74" s="66">
        <v>3.1</v>
      </c>
      <c r="L74" s="10">
        <f t="shared" si="0"/>
        <v>0.9933546717157079</v>
      </c>
      <c r="M74" s="10">
        <f t="shared" si="1"/>
        <v>0.99060736577341046</v>
      </c>
      <c r="N74" s="10">
        <f t="shared" si="7"/>
        <v>2.3892809807577412E-3</v>
      </c>
      <c r="O74" s="10">
        <f t="shared" si="8"/>
        <v>3.3865589118233252E-3</v>
      </c>
      <c r="P74" s="10">
        <f t="shared" si="9"/>
        <v>0.85963318574659953</v>
      </c>
      <c r="Q74" s="66">
        <f t="shared" si="14"/>
        <v>2</v>
      </c>
      <c r="R74" s="10">
        <f t="shared" si="10"/>
        <v>9.7715668172479227E-3</v>
      </c>
      <c r="T74" s="10">
        <f t="shared" si="11"/>
        <v>4.0421859301610196E-3</v>
      </c>
      <c r="V74" s="10">
        <f t="shared" si="13"/>
        <v>3.8328321136982163E-5</v>
      </c>
    </row>
    <row r="75" spans="1:22">
      <c r="A75" s="66">
        <v>63</v>
      </c>
      <c r="B75" s="10">
        <f t="shared" si="2"/>
        <v>9.1646231684251664E-2</v>
      </c>
      <c r="C75" s="10">
        <f t="shared" si="3"/>
        <v>3.2446899687827199E-2</v>
      </c>
      <c r="D75" s="10">
        <f t="shared" si="4"/>
        <v>4.6245998269296387E-2</v>
      </c>
      <c r="E75" s="10">
        <f t="shared" si="5"/>
        <v>1.3751876929713803E-4</v>
      </c>
      <c r="G75" s="10">
        <f t="shared" si="12"/>
        <v>5.601291969367591E-3</v>
      </c>
      <c r="I75" s="10">
        <f t="shared" si="6"/>
        <v>1.3630204975101522E-3</v>
      </c>
      <c r="K75" s="66">
        <v>3.15</v>
      </c>
      <c r="L75" s="10">
        <f t="shared" si="0"/>
        <v>0.99323580283158996</v>
      </c>
      <c r="M75" s="10">
        <f t="shared" si="1"/>
        <v>0.99043934784164045</v>
      </c>
      <c r="N75" s="10">
        <f t="shared" si="7"/>
        <v>2.3975740815381156E-3</v>
      </c>
      <c r="O75" s="10">
        <f t="shared" si="8"/>
        <v>3.3984647305085286E-3</v>
      </c>
      <c r="P75" s="10">
        <f t="shared" si="9"/>
        <v>0.85753865937957408</v>
      </c>
      <c r="Q75" s="66">
        <f t="shared" si="14"/>
        <v>4</v>
      </c>
      <c r="R75" s="10">
        <f t="shared" si="10"/>
        <v>1.9558035756823081E-2</v>
      </c>
      <c r="T75" s="10">
        <f t="shared" si="11"/>
        <v>8.0903253302744369E-3</v>
      </c>
      <c r="V75" s="10">
        <f t="shared" si="13"/>
        <v>7.8098125514872404E-5</v>
      </c>
    </row>
    <row r="76" spans="1:22">
      <c r="A76" s="66">
        <v>64</v>
      </c>
      <c r="B76" s="10">
        <f t="shared" si="2"/>
        <v>7.6491117202282619E-2</v>
      </c>
      <c r="C76" s="10">
        <f t="shared" si="3"/>
        <v>2.5031682587953512E-2</v>
      </c>
      <c r="D76" s="10">
        <f t="shared" si="4"/>
        <v>4.4043807875520369E-2</v>
      </c>
      <c r="E76" s="10">
        <f t="shared" si="5"/>
        <v>8.4330739129768458E-5</v>
      </c>
      <c r="G76" s="10">
        <f t="shared" si="12"/>
        <v>4.3871199498163108E-3</v>
      </c>
      <c r="I76" s="10">
        <f t="shared" si="6"/>
        <v>1.0181598795750645E-3</v>
      </c>
      <c r="K76" s="66">
        <v>3.2</v>
      </c>
      <c r="L76" s="10">
        <f t="shared" ref="L76:L139" si="15">(B$7^K76)*B$8^((B$5^25)*((B$5^K76)-1))</f>
        <v>0.99311653562550672</v>
      </c>
      <c r="M76" s="10">
        <f t="shared" ref="M76:M139" si="16">(B$7^K76)*B$8^((B$5^30)*((B$5^K76)-1))</f>
        <v>0.99027076784106738</v>
      </c>
      <c r="N76" s="10">
        <f t="shared" si="7"/>
        <v>2.4058972247296808E-3</v>
      </c>
      <c r="O76" s="10">
        <f t="shared" si="8"/>
        <v>3.4104136789602679E-3</v>
      </c>
      <c r="P76" s="10">
        <f t="shared" si="9"/>
        <v>0.85544923639940595</v>
      </c>
      <c r="Q76" s="66">
        <f t="shared" si="14"/>
        <v>2</v>
      </c>
      <c r="R76" s="10">
        <f t="shared" si="10"/>
        <v>9.7864689827308338E-3</v>
      </c>
      <c r="T76" s="10">
        <f t="shared" si="11"/>
        <v>4.0481396120894755E-3</v>
      </c>
      <c r="V76" s="10">
        <f t="shared" si="13"/>
        <v>3.9773364328325985E-5</v>
      </c>
    </row>
    <row r="77" spans="1:22">
      <c r="A77" s="66">
        <v>65</v>
      </c>
      <c r="B77" s="10">
        <f t="shared" ref="B77:B122" si="17">(B$7^A77)*B$8^((B$5^25)*((B$5^A77)-1))</f>
        <v>6.2982933209939806E-2</v>
      </c>
      <c r="C77" s="10">
        <f t="shared" ref="C77:C122" si="18">(B$7^A77)*B$8^((B$5^30)*((B$5^A77)-1))</f>
        <v>1.8939080941427995E-2</v>
      </c>
      <c r="D77" s="10">
        <f t="shared" ref="D77:D122" si="19">(1+B$6)^-A77</f>
        <v>4.1946483690971779E-2</v>
      </c>
      <c r="E77" s="10">
        <f t="shared" ref="E77:E122" si="20">B77*C77*D77</f>
        <v>5.0035396206059997E-5</v>
      </c>
      <c r="G77" s="10">
        <f t="shared" si="12"/>
        <v>3.3863050343258482E-3</v>
      </c>
      <c r="I77" s="10">
        <f t="shared" ref="I77:I122" si="21">C77*(1-B77)*D77</f>
        <v>7.4439245362554378E-4</v>
      </c>
      <c r="K77" s="66">
        <v>3.25</v>
      </c>
      <c r="L77" s="10">
        <f t="shared" si="15"/>
        <v>0.99299686875006998</v>
      </c>
      <c r="M77" s="10">
        <f t="shared" si="16"/>
        <v>0.99010162392940648</v>
      </c>
      <c r="N77" s="10">
        <f t="shared" ref="N77:N140" si="22">B$3+B$4*(B$5^(25+K77))</f>
        <v>2.4142505191634368E-3</v>
      </c>
      <c r="O77" s="10">
        <f t="shared" ref="O77:O140" si="23">$B$3+$B$4*($B$5^(30+K77))</f>
        <v>3.4224059134195166E-3</v>
      </c>
      <c r="P77" s="10">
        <f t="shared" ref="P77:P140" si="24">(1+B$6)^-K77</f>
        <v>0.85336490437151402</v>
      </c>
      <c r="Q77" s="66">
        <f t="shared" si="14"/>
        <v>4</v>
      </c>
      <c r="R77" s="10">
        <f t="shared" ref="R77:R140" si="25">L77*M77*(N77+O77)*P77*Q77</f>
        <v>1.9587840142823616E-2</v>
      </c>
      <c r="T77" s="10">
        <f t="shared" ref="T77:T140" si="26">L77*M77*N77*P77*Q77</f>
        <v>8.1022334928106485E-3</v>
      </c>
      <c r="V77" s="10">
        <f t="shared" si="13"/>
        <v>8.1002481867195866E-5</v>
      </c>
    </row>
    <row r="78" spans="1:22">
      <c r="A78" s="66">
        <v>66</v>
      </c>
      <c r="B78" s="10">
        <f t="shared" si="17"/>
        <v>5.1110356357705222E-2</v>
      </c>
      <c r="C78" s="10">
        <f t="shared" si="18"/>
        <v>1.4032859552304986E-2</v>
      </c>
      <c r="D78" s="10">
        <f t="shared" si="19"/>
        <v>3.9949032086639788E-2</v>
      </c>
      <c r="E78" s="10">
        <f t="shared" si="20"/>
        <v>2.8652422663685846E-5</v>
      </c>
      <c r="G78" s="10">
        <f t="shared" ref="G78:G122" si="27">(B78+C78-B78*C78)*D78</f>
        <v>2.5737559999522153E-3</v>
      </c>
      <c r="I78" s="10">
        <f t="shared" si="21"/>
        <v>5.3194673385865575E-4</v>
      </c>
      <c r="K78" s="66">
        <v>3.3</v>
      </c>
      <c r="L78" s="10">
        <f t="shared" si="15"/>
        <v>0.99287680085367991</v>
      </c>
      <c r="M78" s="10">
        <f t="shared" si="16"/>
        <v>0.98993191425904603</v>
      </c>
      <c r="N78" s="10">
        <f t="shared" si="22"/>
        <v>2.4226340740646371E-3</v>
      </c>
      <c r="O78" s="10">
        <f t="shared" si="23"/>
        <v>3.4344415906932503E-3</v>
      </c>
      <c r="P78" s="10">
        <f t="shared" si="24"/>
        <v>0.85128565089161501</v>
      </c>
      <c r="Q78" s="66">
        <f t="shared" si="14"/>
        <v>2</v>
      </c>
      <c r="R78" s="10">
        <f t="shared" si="25"/>
        <v>9.8013710854154366E-3</v>
      </c>
      <c r="T78" s="10">
        <f t="shared" si="26"/>
        <v>4.0540940433729019E-3</v>
      </c>
      <c r="V78" s="10">
        <f t="shared" ref="V78:V141" si="28">(1-L78)*M78*O78*P78*Q78</f>
        <v>4.1232707707887736E-5</v>
      </c>
    </row>
    <row r="79" spans="1:22">
      <c r="A79" s="66">
        <v>67</v>
      </c>
      <c r="B79" s="10">
        <f t="shared" si="17"/>
        <v>4.0831435135145352E-2</v>
      </c>
      <c r="C79" s="10">
        <f t="shared" si="18"/>
        <v>1.0166483500715267E-2</v>
      </c>
      <c r="D79" s="10">
        <f t="shared" si="19"/>
        <v>3.8046697225371226E-2</v>
      </c>
      <c r="E79" s="10">
        <f t="shared" si="20"/>
        <v>1.5793644825085542E-5</v>
      </c>
      <c r="G79" s="10">
        <f t="shared" si="27"/>
        <v>1.9245087246376202E-3</v>
      </c>
      <c r="I79" s="10">
        <f t="shared" si="21"/>
        <v>3.7100747477336035E-4</v>
      </c>
      <c r="K79" s="66">
        <v>3.35</v>
      </c>
      <c r="L79" s="10">
        <f t="shared" si="15"/>
        <v>0.99275633058051505</v>
      </c>
      <c r="M79" s="10">
        <f t="shared" si="16"/>
        <v>0.98976163697703801</v>
      </c>
      <c r="N79" s="10">
        <f t="shared" si="22"/>
        <v>2.4310479990542096E-3</v>
      </c>
      <c r="O79" s="10">
        <f t="shared" si="23"/>
        <v>3.4465208681564922E-3</v>
      </c>
      <c r="P79" s="10">
        <f t="shared" si="24"/>
        <v>0.84921146358564881</v>
      </c>
      <c r="Q79" s="66">
        <f t="shared" ref="Q79:Q142" si="29">IF(Q78=4,2,4)</f>
        <v>4</v>
      </c>
      <c r="R79" s="10">
        <f t="shared" si="25"/>
        <v>1.9617643930913541E-2</v>
      </c>
      <c r="T79" s="10">
        <f t="shared" si="26"/>
        <v>8.114142956361153E-3</v>
      </c>
      <c r="V79" s="10">
        <f t="shared" si="28"/>
        <v>8.3935559673192545E-5</v>
      </c>
    </row>
    <row r="80" spans="1:22">
      <c r="A80" s="66">
        <v>68</v>
      </c>
      <c r="B80" s="10">
        <f t="shared" si="17"/>
        <v>3.2075251309304574E-2</v>
      </c>
      <c r="C80" s="10">
        <f t="shared" si="18"/>
        <v>7.1895290450044429E-3</v>
      </c>
      <c r="D80" s="10">
        <f t="shared" si="19"/>
        <v>3.6234949738448791E-2</v>
      </c>
      <c r="E80" s="10">
        <f t="shared" si="20"/>
        <v>8.3559950407582265E-6</v>
      </c>
      <c r="G80" s="10">
        <f t="shared" si="27"/>
        <v>1.4144013475888605E-3</v>
      </c>
      <c r="I80" s="10">
        <f t="shared" si="21"/>
        <v>2.521562285480955E-4</v>
      </c>
      <c r="K80" s="66">
        <v>3.4</v>
      </c>
      <c r="L80" s="10">
        <f t="shared" si="15"/>
        <v>0.99263545657052144</v>
      </c>
      <c r="M80" s="10">
        <f t="shared" si="16"/>
        <v>0.98959079022508811</v>
      </c>
      <c r="N80" s="10">
        <f t="shared" si="22"/>
        <v>2.4394924041501922E-3</v>
      </c>
      <c r="O80" s="10">
        <f t="shared" si="23"/>
        <v>3.4586439037543591E-3</v>
      </c>
      <c r="P80" s="10">
        <f t="shared" si="24"/>
        <v>0.84714233010970519</v>
      </c>
      <c r="Q80" s="66">
        <f t="shared" si="29"/>
        <v>2</v>
      </c>
      <c r="R80" s="10">
        <f t="shared" si="25"/>
        <v>9.8162726520040176E-3</v>
      </c>
      <c r="T80" s="10">
        <f t="shared" si="26"/>
        <v>4.0600490259165758E-3</v>
      </c>
      <c r="V80" s="10">
        <f t="shared" si="28"/>
        <v>4.2706472555969826E-5</v>
      </c>
    </row>
    <row r="81" spans="1:22">
      <c r="A81" s="66">
        <v>69</v>
      </c>
      <c r="B81" s="10">
        <f t="shared" si="17"/>
        <v>2.4744968469347071E-2</v>
      </c>
      <c r="C81" s="10">
        <f t="shared" si="18"/>
        <v>4.9539099549236569E-3</v>
      </c>
      <c r="D81" s="10">
        <f t="shared" si="19"/>
        <v>3.4509475941379798E-2</v>
      </c>
      <c r="E81" s="10">
        <f t="shared" si="20"/>
        <v>4.2303215264659947E-6</v>
      </c>
      <c r="G81" s="10">
        <f t="shared" si="27"/>
        <v>1.0206624089418683E-3</v>
      </c>
      <c r="I81" s="10">
        <f t="shared" si="21"/>
        <v>1.6672651487873382E-4</v>
      </c>
      <c r="K81" s="66">
        <v>3.45</v>
      </c>
      <c r="L81" s="10">
        <f t="shared" si="15"/>
        <v>0.99251417745940174</v>
      </c>
      <c r="M81" s="10">
        <f t="shared" si="16"/>
        <v>0.98941937213954489</v>
      </c>
      <c r="N81" s="10">
        <f t="shared" si="22"/>
        <v>2.4479673997691732E-3</v>
      </c>
      <c r="O81" s="10">
        <f t="shared" si="23"/>
        <v>3.4708108560041464E-3</v>
      </c>
      <c r="P81" s="10">
        <f t="shared" si="24"/>
        <v>0.8450782381499502</v>
      </c>
      <c r="Q81" s="66">
        <f t="shared" si="29"/>
        <v>4</v>
      </c>
      <c r="R81" s="10">
        <f t="shared" si="25"/>
        <v>1.9647446170555371E-2</v>
      </c>
      <c r="T81" s="10">
        <f t="shared" si="26"/>
        <v>8.1260533231372421E-3</v>
      </c>
      <c r="V81" s="10">
        <f t="shared" si="28"/>
        <v>8.689760230635913E-5</v>
      </c>
    </row>
    <row r="82" spans="1:22">
      <c r="A82" s="66">
        <v>70</v>
      </c>
      <c r="B82" s="10">
        <f t="shared" si="17"/>
        <v>1.8722151780543275E-2</v>
      </c>
      <c r="C82" s="10">
        <f t="shared" si="18"/>
        <v>3.3194612730840932E-3</v>
      </c>
      <c r="D82" s="10">
        <f t="shared" si="19"/>
        <v>3.2866167563218862E-2</v>
      </c>
      <c r="E82" s="10">
        <f t="shared" si="20"/>
        <v>2.0425487611673933E-6</v>
      </c>
      <c r="G82" s="10">
        <f t="shared" si="27"/>
        <v>7.2238079922298185E-4</v>
      </c>
      <c r="I82" s="10">
        <f t="shared" si="21"/>
        <v>1.0705542165963021E-4</v>
      </c>
      <c r="K82" s="66">
        <v>3.5</v>
      </c>
      <c r="L82" s="10">
        <f t="shared" si="15"/>
        <v>0.99239249187860479</v>
      </c>
      <c r="M82" s="10">
        <f t="shared" si="16"/>
        <v>0.98924738085139052</v>
      </c>
      <c r="N82" s="10">
        <f t="shared" si="22"/>
        <v>2.456473096727732E-3</v>
      </c>
      <c r="O82" s="10">
        <f t="shared" si="23"/>
        <v>3.4830218839973855E-3</v>
      </c>
      <c r="P82" s="10">
        <f t="shared" si="24"/>
        <v>0.843019175422553</v>
      </c>
      <c r="Q82" s="66">
        <f t="shared" si="29"/>
        <v>2</v>
      </c>
      <c r="R82" s="10">
        <f t="shared" si="25"/>
        <v>9.8311732052496544E-3</v>
      </c>
      <c r="T82" s="10">
        <f t="shared" si="26"/>
        <v>4.0660043600235498E-3</v>
      </c>
      <c r="V82" s="10">
        <f t="shared" si="28"/>
        <v>4.4194780966397397E-5</v>
      </c>
    </row>
    <row r="83" spans="1:22">
      <c r="A83" s="66">
        <v>71</v>
      </c>
      <c r="B83" s="10">
        <f t="shared" si="17"/>
        <v>1.3872126491555671E-2</v>
      </c>
      <c r="C83" s="10">
        <f t="shared" si="18"/>
        <v>2.1584864352825884E-3</v>
      </c>
      <c r="D83" s="10">
        <f t="shared" si="19"/>
        <v>3.1301111964970339E-2</v>
      </c>
      <c r="E83" s="10">
        <f t="shared" si="20"/>
        <v>9.3724283707634908E-7</v>
      </c>
      <c r="G83" s="10">
        <f t="shared" si="27"/>
        <v>5.0083876725298888E-4</v>
      </c>
      <c r="I83" s="10">
        <f t="shared" si="21"/>
        <v>6.662578274857366E-5</v>
      </c>
      <c r="K83" s="66">
        <v>3.55</v>
      </c>
      <c r="L83" s="10">
        <f t="shared" si="15"/>
        <v>0.99227039845531528</v>
      </c>
      <c r="M83" s="10">
        <f t="shared" si="16"/>
        <v>0.98907481448623036</v>
      </c>
      <c r="N83" s="10">
        <f t="shared" si="22"/>
        <v>2.465009606243893E-3</v>
      </c>
      <c r="O83" s="10">
        <f t="shared" si="23"/>
        <v>3.4952771474019303E-3</v>
      </c>
      <c r="P83" s="10">
        <f t="shared" si="24"/>
        <v>0.84096512967361303</v>
      </c>
      <c r="Q83" s="66">
        <f t="shared" si="29"/>
        <v>4</v>
      </c>
      <c r="R83" s="10">
        <f t="shared" si="25"/>
        <v>1.967724590328462E-2</v>
      </c>
      <c r="T83" s="10">
        <f t="shared" si="26"/>
        <v>8.1379641921339278E-3</v>
      </c>
      <c r="V83" s="10">
        <f t="shared" si="28"/>
        <v>8.9888854769740628E-5</v>
      </c>
    </row>
    <row r="84" spans="1:22">
      <c r="A84" s="66">
        <v>72</v>
      </c>
      <c r="B84" s="10">
        <f t="shared" si="17"/>
        <v>1.0050036100665646E-2</v>
      </c>
      <c r="C84" s="10">
        <f t="shared" si="18"/>
        <v>1.3589873908853899E-3</v>
      </c>
      <c r="D84" s="10">
        <f t="shared" si="19"/>
        <v>2.9810582823781274E-2</v>
      </c>
      <c r="E84" s="10">
        <f t="shared" si="20"/>
        <v>4.071491345508661E-7</v>
      </c>
      <c r="G84" s="10">
        <f t="shared" si="27"/>
        <v>3.3970249059879753E-4</v>
      </c>
      <c r="I84" s="10">
        <f t="shared" si="21"/>
        <v>4.0105057037912462E-5</v>
      </c>
      <c r="K84" s="66">
        <v>3.6</v>
      </c>
      <c r="L84" s="10">
        <f t="shared" si="15"/>
        <v>0.99214789581244256</v>
      </c>
      <c r="M84" s="10">
        <f t="shared" si="16"/>
        <v>0.98890167116428351</v>
      </c>
      <c r="N84" s="10">
        <f t="shared" si="22"/>
        <v>2.4735770399385735E-3</v>
      </c>
      <c r="O84" s="10">
        <f t="shared" si="23"/>
        <v>3.507576806464048E-3</v>
      </c>
      <c r="P84" s="10">
        <f t="shared" si="24"/>
        <v>0.83891608867908651</v>
      </c>
      <c r="Q84" s="66">
        <f t="shared" si="29"/>
        <v>2</v>
      </c>
      <c r="R84" s="10">
        <f t="shared" si="25"/>
        <v>9.8460722639276323E-3</v>
      </c>
      <c r="T84" s="10">
        <f t="shared" si="26"/>
        <v>4.0719598443828336E-3</v>
      </c>
      <c r="V84" s="10">
        <f t="shared" si="28"/>
        <v>4.5697755848999051E-5</v>
      </c>
    </row>
    <row r="85" spans="1:22">
      <c r="A85" s="66">
        <v>73</v>
      </c>
      <c r="B85" s="10">
        <f t="shared" si="17"/>
        <v>7.1071798271246239E-3</v>
      </c>
      <c r="C85" s="10">
        <f t="shared" si="18"/>
        <v>8.2644650175611278E-4</v>
      </c>
      <c r="D85" s="10">
        <f t="shared" si="19"/>
        <v>2.8391031260744073E-2</v>
      </c>
      <c r="E85" s="10">
        <f t="shared" si="20"/>
        <v>1.6676051119680204E-7</v>
      </c>
      <c r="G85" s="10">
        <f t="shared" si="27"/>
        <v>2.2507707260311841E-4</v>
      </c>
      <c r="I85" s="10">
        <f t="shared" si="21"/>
        <v>2.3296907955493578E-5</v>
      </c>
      <c r="K85" s="66">
        <v>3.65</v>
      </c>
      <c r="L85" s="10">
        <f t="shared" si="15"/>
        <v>0.9920249825686106</v>
      </c>
      <c r="M85" s="10">
        <f t="shared" si="16"/>
        <v>0.98872794900037253</v>
      </c>
      <c r="N85" s="10">
        <f t="shared" si="22"/>
        <v>2.4821755098370472E-3</v>
      </c>
      <c r="O85" s="10">
        <f t="shared" si="23"/>
        <v>3.5199210220105016E-3</v>
      </c>
      <c r="P85" s="10">
        <f t="shared" si="24"/>
        <v>0.83687204024471362</v>
      </c>
      <c r="Q85" s="66">
        <f t="shared" si="29"/>
        <v>4</v>
      </c>
      <c r="R85" s="10">
        <f t="shared" si="25"/>
        <v>1.9707042162652587E-2</v>
      </c>
      <c r="T85" s="10">
        <f t="shared" si="26"/>
        <v>8.1498751591062932E-3</v>
      </c>
      <c r="V85" s="10">
        <f t="shared" si="28"/>
        <v>9.2909563700816874E-5</v>
      </c>
    </row>
    <row r="86" spans="1:22">
      <c r="A86" s="66">
        <v>74</v>
      </c>
      <c r="B86" s="10">
        <f t="shared" si="17"/>
        <v>4.8971676276194209E-3</v>
      </c>
      <c r="C86" s="10">
        <f t="shared" si="18"/>
        <v>4.841916216747853E-4</v>
      </c>
      <c r="D86" s="10">
        <f t="shared" si="19"/>
        <v>2.7039077391184833E-2</v>
      </c>
      <c r="E86" s="10">
        <f t="shared" si="20"/>
        <v>6.4114182492557308E-8</v>
      </c>
      <c r="G86" s="10">
        <f t="shared" si="27"/>
        <v>1.454428750289418E-4</v>
      </c>
      <c r="I86" s="10">
        <f t="shared" si="21"/>
        <v>1.3027980548135251E-5</v>
      </c>
      <c r="K86" s="66">
        <v>3.7</v>
      </c>
      <c r="L86" s="10">
        <f t="shared" si="15"/>
        <v>0.99190165733814684</v>
      </c>
      <c r="M86" s="10">
        <f t="shared" si="16"/>
        <v>0.98855364610391339</v>
      </c>
      <c r="N86" s="10">
        <f t="shared" si="22"/>
        <v>2.4908051283704076E-3</v>
      </c>
      <c r="O86" s="10">
        <f t="shared" si="23"/>
        <v>3.5323099554506717E-3</v>
      </c>
      <c r="P86" s="10">
        <f t="shared" si="24"/>
        <v>0.83483297220594721</v>
      </c>
      <c r="Q86" s="66">
        <f t="shared" si="29"/>
        <v>2</v>
      </c>
      <c r="R86" s="10">
        <f t="shared" si="25"/>
        <v>9.8609693428067836E-3</v>
      </c>
      <c r="T86" s="10">
        <f t="shared" si="26"/>
        <v>4.0779152760575289E-3</v>
      </c>
      <c r="V86" s="10">
        <f t="shared" si="28"/>
        <v>4.7215520932024352E-5</v>
      </c>
    </row>
    <row r="87" spans="1:22">
      <c r="A87" s="66">
        <v>75</v>
      </c>
      <c r="B87" s="10">
        <f t="shared" si="17"/>
        <v>3.2814400010494861E-3</v>
      </c>
      <c r="C87" s="10">
        <f t="shared" si="18"/>
        <v>2.7252618791147928E-4</v>
      </c>
      <c r="D87" s="10">
        <f t="shared" si="19"/>
        <v>2.5751502277318886E-2</v>
      </c>
      <c r="E87" s="10">
        <f t="shared" si="20"/>
        <v>2.3029010563474577E-8</v>
      </c>
      <c r="G87" s="10">
        <f t="shared" si="27"/>
        <v>9.1496939397979143E-5</v>
      </c>
      <c r="I87" s="10">
        <f t="shared" si="21"/>
        <v>6.9949297380680183E-6</v>
      </c>
      <c r="K87" s="66">
        <v>3.75</v>
      </c>
      <c r="L87" s="10">
        <f t="shared" si="15"/>
        <v>0.99177791873107157</v>
      </c>
      <c r="M87" s="10">
        <f t="shared" si="16"/>
        <v>0.98837876057890572</v>
      </c>
      <c r="N87" s="10">
        <f t="shared" si="22"/>
        <v>2.4994660083770418E-3</v>
      </c>
      <c r="O87" s="10">
        <f t="shared" si="23"/>
        <v>3.5447437687786509E-3</v>
      </c>
      <c r="P87" s="10">
        <f t="shared" si="24"/>
        <v>0.83279887242787853</v>
      </c>
      <c r="Q87" s="66">
        <f t="shared" si="29"/>
        <v>4</v>
      </c>
      <c r="R87" s="10">
        <f t="shared" si="25"/>
        <v>1.9736833974168966E-2</v>
      </c>
      <c r="T87" s="10">
        <f t="shared" si="26"/>
        <v>8.1617858165457524E-3</v>
      </c>
      <c r="V87" s="10">
        <f t="shared" si="28"/>
        <v>9.5959977376290721E-5</v>
      </c>
    </row>
    <row r="88" spans="1:22">
      <c r="A88" s="66">
        <v>76</v>
      </c>
      <c r="B88" s="10">
        <f t="shared" si="17"/>
        <v>2.1337630259136231E-3</v>
      </c>
      <c r="C88" s="10">
        <f t="shared" si="18"/>
        <v>1.4692029527785711E-4</v>
      </c>
      <c r="D88" s="10">
        <f t="shared" si="19"/>
        <v>2.4525240264113228E-2</v>
      </c>
      <c r="E88" s="10">
        <f t="shared" si="20"/>
        <v>7.6884934470806778E-9</v>
      </c>
      <c r="G88" s="10">
        <f t="shared" si="27"/>
        <v>5.5926617925129691E-5</v>
      </c>
      <c r="I88" s="10">
        <f t="shared" si="21"/>
        <v>3.5955670479168254E-6</v>
      </c>
      <c r="K88" s="66">
        <v>3.8</v>
      </c>
      <c r="L88" s="10">
        <f t="shared" si="15"/>
        <v>0.9916537653530878</v>
      </c>
      <c r="M88" s="10">
        <f t="shared" si="16"/>
        <v>0.98820329052392375</v>
      </c>
      <c r="N88" s="10">
        <f t="shared" si="22"/>
        <v>2.5081582631040992E-3</v>
      </c>
      <c r="O88" s="10">
        <f t="shared" si="23"/>
        <v>3.5572226245753694E-3</v>
      </c>
      <c r="P88" s="10">
        <f t="shared" si="24"/>
        <v>0.83076972880516664</v>
      </c>
      <c r="Q88" s="66">
        <f t="shared" si="29"/>
        <v>2</v>
      </c>
      <c r="R88" s="10">
        <f t="shared" si="25"/>
        <v>9.875863952620802E-3</v>
      </c>
      <c r="T88" s="10">
        <f t="shared" si="26"/>
        <v>4.0838704504729834E-3</v>
      </c>
      <c r="V88" s="10">
        <f t="shared" si="28"/>
        <v>4.8748200764511849E-5</v>
      </c>
    </row>
    <row r="89" spans="1:22">
      <c r="A89" s="66">
        <v>77</v>
      </c>
      <c r="B89" s="10">
        <f t="shared" si="17"/>
        <v>1.3434214827365508E-3</v>
      </c>
      <c r="C89" s="10">
        <f t="shared" si="18"/>
        <v>7.5619554978211331E-5</v>
      </c>
      <c r="D89" s="10">
        <f t="shared" si="19"/>
        <v>2.3357371680107829E-2</v>
      </c>
      <c r="E89" s="10">
        <f t="shared" si="20"/>
        <v>2.3728505057366058E-9</v>
      </c>
      <c r="G89" s="10">
        <f t="shared" si="27"/>
        <v>3.3142696096723877E-5</v>
      </c>
      <c r="I89" s="10">
        <f t="shared" si="21"/>
        <v>1.7639012014046937E-6</v>
      </c>
      <c r="K89" s="66">
        <v>3.85</v>
      </c>
      <c r="L89" s="10">
        <f t="shared" si="15"/>
        <v>0.99152919580556964</v>
      </c>
      <c r="M89" s="10">
        <f t="shared" si="16"/>
        <v>0.98802723403210491</v>
      </c>
      <c r="N89" s="10">
        <f t="shared" si="22"/>
        <v>2.5168820062089776E-3</v>
      </c>
      <c r="O89" s="10">
        <f t="shared" si="23"/>
        <v>3.5697466860107234E-3</v>
      </c>
      <c r="P89" s="10">
        <f t="shared" si="24"/>
        <v>0.82874552926196532</v>
      </c>
      <c r="Q89" s="66">
        <f t="shared" si="29"/>
        <v>4</v>
      </c>
      <c r="R89" s="10">
        <f t="shared" si="25"/>
        <v>1.9766620355244478E-2</v>
      </c>
      <c r="T89" s="10">
        <f t="shared" si="26"/>
        <v>8.1736957536563282E-3</v>
      </c>
      <c r="V89" s="10">
        <f t="shared" si="28"/>
        <v>9.9040345716763214E-5</v>
      </c>
    </row>
    <row r="90" spans="1:22">
      <c r="A90" s="66">
        <v>78</v>
      </c>
      <c r="B90" s="10">
        <f t="shared" si="17"/>
        <v>8.169803430393025E-4</v>
      </c>
      <c r="C90" s="10">
        <f t="shared" si="18"/>
        <v>3.7030205609088562E-5</v>
      </c>
      <c r="D90" s="10">
        <f t="shared" si="19"/>
        <v>2.2245115885816989E-2</v>
      </c>
      <c r="E90" s="10">
        <f t="shared" si="20"/>
        <v>6.7298038044700181E-10</v>
      </c>
      <c r="G90" s="10">
        <f t="shared" si="27"/>
        <v>1.8996890642013159E-5</v>
      </c>
      <c r="I90" s="10">
        <f t="shared" si="21"/>
        <v>8.2306823466935833E-7</v>
      </c>
      <c r="K90" s="66">
        <v>3.9</v>
      </c>
      <c r="L90" s="10">
        <f t="shared" si="15"/>
        <v>0.99140420868555312</v>
      </c>
      <c r="M90" s="10">
        <f t="shared" si="16"/>
        <v>0.98785058919114166</v>
      </c>
      <c r="N90" s="10">
        <f t="shared" si="22"/>
        <v>2.525637351760807E-3</v>
      </c>
      <c r="O90" s="10">
        <f t="shared" si="23"/>
        <v>3.5823161168456971E-3</v>
      </c>
      <c r="P90" s="10">
        <f t="shared" si="24"/>
        <v>0.82672626175185171</v>
      </c>
      <c r="Q90" s="66">
        <f t="shared" si="29"/>
        <v>2</v>
      </c>
      <c r="R90" s="10">
        <f t="shared" si="25"/>
        <v>9.8907556000395191E-3</v>
      </c>
      <c r="T90" s="10">
        <f t="shared" si="26"/>
        <v>4.0898251614048956E-3</v>
      </c>
      <c r="V90" s="10">
        <f t="shared" si="28"/>
        <v>5.0295920718590994E-5</v>
      </c>
    </row>
    <row r="91" spans="1:22">
      <c r="A91" s="66">
        <v>79</v>
      </c>
      <c r="B91" s="10">
        <f t="shared" si="17"/>
        <v>4.7864566712069829E-4</v>
      </c>
      <c r="C91" s="10">
        <f t="shared" si="18"/>
        <v>1.7188007613992304E-5</v>
      </c>
      <c r="D91" s="10">
        <f t="shared" si="19"/>
        <v>2.1185824653159029E-2</v>
      </c>
      <c r="E91" s="10">
        <f t="shared" si="20"/>
        <v>1.7429504577496893E-10</v>
      </c>
      <c r="G91" s="10">
        <f t="shared" si="27"/>
        <v>1.0504470995014869E-5</v>
      </c>
      <c r="I91" s="10">
        <f t="shared" si="21"/>
        <v>3.6396782040142827E-7</v>
      </c>
      <c r="K91" s="66">
        <v>3.95</v>
      </c>
      <c r="L91" s="10">
        <f t="shared" si="15"/>
        <v>0.99127880258572409</v>
      </c>
      <c r="M91" s="10">
        <f t="shared" si="16"/>
        <v>0.98767335408327073</v>
      </c>
      <c r="N91" s="10">
        <f t="shared" si="22"/>
        <v>2.5344244142419411E-3</v>
      </c>
      <c r="O91" s="10">
        <f t="shared" si="23"/>
        <v>3.5949310814345201E-3</v>
      </c>
      <c r="P91" s="10">
        <f t="shared" si="24"/>
        <v>0.82471191425775425</v>
      </c>
      <c r="Q91" s="66">
        <f t="shared" si="29"/>
        <v>4</v>
      </c>
      <c r="R91" s="10">
        <f t="shared" si="25"/>
        <v>1.9796400315133345E-2</v>
      </c>
      <c r="T91" s="10">
        <f t="shared" si="26"/>
        <v>8.1856045563308538E-3</v>
      </c>
      <c r="V91" s="10">
        <f t="shared" si="28"/>
        <v>1.02150920291264E-4</v>
      </c>
    </row>
    <row r="92" spans="1:22">
      <c r="A92" s="66">
        <v>80</v>
      </c>
      <c r="B92" s="10">
        <f t="shared" si="17"/>
        <v>2.6940465960471584E-4</v>
      </c>
      <c r="C92" s="10">
        <f t="shared" si="18"/>
        <v>7.5317936764705581E-6</v>
      </c>
      <c r="D92" s="10">
        <f t="shared" si="19"/>
        <v>2.0176975860151457E-2</v>
      </c>
      <c r="E92" s="10">
        <f t="shared" si="20"/>
        <v>4.0941108005433015E-11</v>
      </c>
      <c r="G92" s="10">
        <f t="shared" si="27"/>
        <v>5.5876991915424543E-6</v>
      </c>
      <c r="I92" s="10">
        <f t="shared" si="21"/>
        <v>1.5192787808578243E-7</v>
      </c>
      <c r="K92" s="66">
        <v>4</v>
      </c>
      <c r="L92" s="10">
        <f t="shared" si="15"/>
        <v>0.99115297609440789</v>
      </c>
      <c r="M92" s="10">
        <f t="shared" si="16"/>
        <v>0.98749552678526387</v>
      </c>
      <c r="N92" s="10">
        <f t="shared" si="22"/>
        <v>2.5432433085494609E-3</v>
      </c>
      <c r="O92" s="10">
        <f t="shared" si="23"/>
        <v>3.6075917447268039E-3</v>
      </c>
      <c r="P92" s="10">
        <f t="shared" si="24"/>
        <v>0.82270247479188197</v>
      </c>
      <c r="Q92" s="66">
        <f t="shared" si="29"/>
        <v>2</v>
      </c>
      <c r="R92" s="10">
        <f t="shared" si="25"/>
        <v>9.905643787640148E-3</v>
      </c>
      <c r="T92" s="10">
        <f t="shared" si="26"/>
        <v>4.0957792009674344E-3</v>
      </c>
      <c r="V92" s="10">
        <f t="shared" si="28"/>
        <v>5.1858806991717751E-5</v>
      </c>
    </row>
    <row r="93" spans="1:22">
      <c r="A93" s="66">
        <v>81</v>
      </c>
      <c r="B93" s="10">
        <f t="shared" si="17"/>
        <v>1.452374630184608E-4</v>
      </c>
      <c r="C93" s="10">
        <f t="shared" si="18"/>
        <v>3.1024158803804374E-6</v>
      </c>
      <c r="D93" s="10">
        <f t="shared" si="19"/>
        <v>1.9216167485858526E-2</v>
      </c>
      <c r="E93" s="10">
        <f t="shared" si="20"/>
        <v>8.6585554836766832E-12</v>
      </c>
      <c r="G93" s="10">
        <f t="shared" si="27"/>
        <v>2.8505152991966207E-6</v>
      </c>
      <c r="I93" s="10">
        <f t="shared" si="21"/>
        <v>5.9607884612694046E-8</v>
      </c>
      <c r="K93" s="66">
        <v>4.05</v>
      </c>
      <c r="L93" s="10">
        <f t="shared" si="15"/>
        <v>0.99102672779555934</v>
      </c>
      <c r="M93" s="10">
        <f t="shared" si="16"/>
        <v>0.98731710536841777</v>
      </c>
      <c r="N93" s="10">
        <f t="shared" si="22"/>
        <v>2.5520941499966583E-3</v>
      </c>
      <c r="O93" s="10">
        <f t="shared" si="23"/>
        <v>3.6202982722696982E-3</v>
      </c>
      <c r="P93" s="10">
        <f t="shared" si="24"/>
        <v>0.82069793139565173</v>
      </c>
      <c r="Q93" s="66">
        <f t="shared" si="29"/>
        <v>4</v>
      </c>
      <c r="R93" s="10">
        <f t="shared" si="25"/>
        <v>1.9826172854875757E-2</v>
      </c>
      <c r="T93" s="10">
        <f t="shared" si="26"/>
        <v>8.1975118071272099E-3</v>
      </c>
      <c r="V93" s="10">
        <f t="shared" si="28"/>
        <v>1.0529195432168997E-4</v>
      </c>
    </row>
    <row r="94" spans="1:22">
      <c r="A94" s="66">
        <v>82</v>
      </c>
      <c r="B94" s="10">
        <f t="shared" si="17"/>
        <v>7.4753404891064558E-5</v>
      </c>
      <c r="C94" s="10">
        <f t="shared" si="18"/>
        <v>1.1956800750656545E-6</v>
      </c>
      <c r="D94" s="10">
        <f t="shared" si="19"/>
        <v>1.8301111891293836E-2</v>
      </c>
      <c r="E94" s="10">
        <f t="shared" si="20"/>
        <v>1.6357745510496197E-12</v>
      </c>
      <c r="G94" s="10">
        <f t="shared" si="27"/>
        <v>1.3899510662319805E-6</v>
      </c>
      <c r="I94" s="10">
        <f t="shared" si="21"/>
        <v>2.1880639065416106E-8</v>
      </c>
      <c r="K94" s="66">
        <v>4.0999999999999996</v>
      </c>
      <c r="L94" s="10">
        <f t="shared" si="15"/>
        <v>0.99090005626875111</v>
      </c>
      <c r="M94" s="10">
        <f t="shared" si="16"/>
        <v>0.98713808789854496</v>
      </c>
      <c r="N94" s="10">
        <f t="shared" si="22"/>
        <v>2.5609770543145714E-3</v>
      </c>
      <c r="O94" s="10">
        <f t="shared" si="23"/>
        <v>3.6330508302100748E-3</v>
      </c>
      <c r="P94" s="10">
        <f t="shared" si="24"/>
        <v>0.81869827213961854</v>
      </c>
      <c r="Q94" s="66">
        <f t="shared" si="29"/>
        <v>2</v>
      </c>
      <c r="R94" s="10">
        <f t="shared" si="25"/>
        <v>9.9205280138784518E-3</v>
      </c>
      <c r="T94" s="10">
        <f t="shared" si="26"/>
        <v>4.101732359601316E-3</v>
      </c>
      <c r="V94" s="10">
        <f t="shared" si="28"/>
        <v>5.3436986608865706E-5</v>
      </c>
    </row>
    <row r="95" spans="1:22">
      <c r="A95" s="66">
        <v>83</v>
      </c>
      <c r="B95" s="10">
        <f t="shared" si="17"/>
        <v>3.6606059820018251E-5</v>
      </c>
      <c r="C95" s="10">
        <f t="shared" si="18"/>
        <v>4.290193199191969E-7</v>
      </c>
      <c r="D95" s="10">
        <f t="shared" si="19"/>
        <v>1.7429630372660796E-2</v>
      </c>
      <c r="E95" s="10">
        <f t="shared" si="20"/>
        <v>2.7372723618460552E-13</v>
      </c>
      <c r="G95" s="10">
        <f t="shared" si="27"/>
        <v>6.4550746650411386E-7</v>
      </c>
      <c r="I95" s="10">
        <f t="shared" si="21"/>
        <v>7.4773744416857289E-9</v>
      </c>
      <c r="K95" s="66">
        <v>4.1500000000000004</v>
      </c>
      <c r="L95" s="10">
        <f t="shared" si="15"/>
        <v>0.99077296008916405</v>
      </c>
      <c r="M95" s="10">
        <f t="shared" si="16"/>
        <v>0.98695847243596346</v>
      </c>
      <c r="N95" s="10">
        <f t="shared" si="22"/>
        <v>2.5698921376534744E-3</v>
      </c>
      <c r="O95" s="10">
        <f t="shared" si="23"/>
        <v>3.6458495852966684E-3</v>
      </c>
      <c r="P95" s="10">
        <f t="shared" si="24"/>
        <v>0.81670348512340385</v>
      </c>
      <c r="Q95" s="66">
        <f t="shared" si="29"/>
        <v>4</v>
      </c>
      <c r="R95" s="10">
        <f t="shared" si="25"/>
        <v>1.9855936967240251E-2</v>
      </c>
      <c r="T95" s="10">
        <f t="shared" si="26"/>
        <v>8.2094170852444522E-3</v>
      </c>
      <c r="V95" s="10">
        <f t="shared" si="28"/>
        <v>1.084637026870905E-4</v>
      </c>
    </row>
    <row r="96" spans="1:22">
      <c r="A96" s="66">
        <v>84</v>
      </c>
      <c r="B96" s="10">
        <f t="shared" si="17"/>
        <v>1.699113533278104E-5</v>
      </c>
      <c r="C96" s="10">
        <f t="shared" si="18"/>
        <v>1.4254651516402118E-7</v>
      </c>
      <c r="D96" s="10">
        <f t="shared" si="19"/>
        <v>1.6599647973962663E-2</v>
      </c>
      <c r="E96" s="10">
        <f t="shared" si="20"/>
        <v>4.0204797747499233E-14</v>
      </c>
      <c r="G96" s="10">
        <f t="shared" si="27"/>
        <v>2.8441304696896432E-7</v>
      </c>
      <c r="I96" s="10">
        <f t="shared" si="21"/>
        <v>2.3661817668401345E-9</v>
      </c>
      <c r="K96" s="66">
        <v>4.2</v>
      </c>
      <c r="L96" s="10">
        <f t="shared" si="15"/>
        <v>0.99064543782757553</v>
      </c>
      <c r="M96" s="10">
        <f t="shared" si="16"/>
        <v>0.98677825703548794</v>
      </c>
      <c r="N96" s="10">
        <f t="shared" si="22"/>
        <v>2.5788395165844053E-3</v>
      </c>
      <c r="O96" s="10">
        <f t="shared" si="23"/>
        <v>3.6586947048822867E-3</v>
      </c>
      <c r="P96" s="10">
        <f t="shared" si="24"/>
        <v>0.81471355847562454</v>
      </c>
      <c r="Q96" s="66">
        <f t="shared" si="29"/>
        <v>2</v>
      </c>
      <c r="R96" s="10">
        <f t="shared" si="25"/>
        <v>9.9354077730599774E-3</v>
      </c>
      <c r="T96" s="10">
        <f t="shared" si="26"/>
        <v>4.1076844260619109E-3</v>
      </c>
      <c r="V96" s="10">
        <f t="shared" si="28"/>
        <v>5.5030587424631832E-5</v>
      </c>
    </row>
    <row r="97" spans="1:22">
      <c r="A97" s="66">
        <v>85</v>
      </c>
      <c r="B97" s="10">
        <f t="shared" si="17"/>
        <v>7.4455241427351617E-6</v>
      </c>
      <c r="C97" s="10">
        <f t="shared" si="18"/>
        <v>4.3606436508568389E-8</v>
      </c>
      <c r="D97" s="10">
        <f t="shared" si="19"/>
        <v>1.580918854663111E-2</v>
      </c>
      <c r="E97" s="10">
        <f t="shared" si="20"/>
        <v>5.1328131286307829E-15</v>
      </c>
      <c r="G97" s="10">
        <f t="shared" si="27"/>
        <v>1.1839707224479166E-7</v>
      </c>
      <c r="I97" s="10">
        <f t="shared" si="21"/>
        <v>6.8937724379752732E-10</v>
      </c>
      <c r="K97" s="66">
        <v>4.25</v>
      </c>
      <c r="L97" s="10">
        <f t="shared" si="15"/>
        <v>0.99051748805034912</v>
      </c>
      <c r="M97" s="10">
        <f t="shared" si="16"/>
        <v>0.98659743974641978</v>
      </c>
      <c r="N97" s="10">
        <f t="shared" si="22"/>
        <v>2.5878193081006941E-3</v>
      </c>
      <c r="O97" s="10">
        <f t="shared" si="23"/>
        <v>3.6715863569259802E-3</v>
      </c>
      <c r="P97" s="10">
        <f t="shared" si="24"/>
        <v>0.81272848035382284</v>
      </c>
      <c r="Q97" s="66">
        <f t="shared" si="29"/>
        <v>4</v>
      </c>
      <c r="R97" s="10">
        <f t="shared" si="25"/>
        <v>1.9885691636665995E-2</v>
      </c>
      <c r="T97" s="10">
        <f t="shared" si="26"/>
        <v>8.2213199664990019E-3</v>
      </c>
      <c r="V97" s="10">
        <f t="shared" si="28"/>
        <v>1.1166642192783319E-4</v>
      </c>
    </row>
    <row r="98" spans="1:22">
      <c r="A98" s="66">
        <v>86</v>
      </c>
      <c r="B98" s="10">
        <f t="shared" si="17"/>
        <v>3.0668806569064019E-6</v>
      </c>
      <c r="C98" s="10">
        <f t="shared" si="18"/>
        <v>1.2205832273883464E-8</v>
      </c>
      <c r="D98" s="10">
        <f t="shared" si="19"/>
        <v>1.5056370044410581E-2</v>
      </c>
      <c r="E98" s="10">
        <f t="shared" si="20"/>
        <v>5.6361761024367234E-16</v>
      </c>
      <c r="G98" s="10">
        <f t="shared" si="27"/>
        <v>4.6359865016225783E-8</v>
      </c>
      <c r="I98" s="10">
        <f t="shared" si="21"/>
        <v>1.8377496379798864E-10</v>
      </c>
      <c r="K98" s="66">
        <v>4.3</v>
      </c>
      <c r="L98" s="10">
        <f t="shared" si="15"/>
        <v>0.99038910931942459</v>
      </c>
      <c r="M98" s="10">
        <f t="shared" si="16"/>
        <v>0.98641601861253758</v>
      </c>
      <c r="N98" s="10">
        <f t="shared" si="22"/>
        <v>2.5968316296194846E-3</v>
      </c>
      <c r="O98" s="10">
        <f t="shared" si="23"/>
        <v>3.6845247099952442E-3</v>
      </c>
      <c r="P98" s="10">
        <f t="shared" si="24"/>
        <v>0.81074823894439541</v>
      </c>
      <c r="Q98" s="66">
        <f t="shared" si="29"/>
        <v>2</v>
      </c>
      <c r="R98" s="10">
        <f t="shared" si="25"/>
        <v>9.9502825553111698E-3</v>
      </c>
      <c r="T98" s="10">
        <f t="shared" si="26"/>
        <v>4.1136351874072946E-3</v>
      </c>
      <c r="V98" s="10">
        <f t="shared" si="28"/>
        <v>5.6639738125290955E-5</v>
      </c>
    </row>
    <row r="99" spans="1:22">
      <c r="A99" s="66">
        <v>87</v>
      </c>
      <c r="B99" s="10">
        <f t="shared" si="17"/>
        <v>1.181984696912259E-6</v>
      </c>
      <c r="C99" s="10">
        <f t="shared" si="18"/>
        <v>3.1053725876377274E-9</v>
      </c>
      <c r="D99" s="10">
        <f t="shared" si="19"/>
        <v>1.4339400042295789E-2</v>
      </c>
      <c r="E99" s="10">
        <f t="shared" si="20"/>
        <v>5.2632809106812897E-17</v>
      </c>
      <c r="G99" s="10">
        <f t="shared" si="27"/>
        <v>1.6993480540078328E-8</v>
      </c>
      <c r="I99" s="10">
        <f t="shared" si="21"/>
        <v>4.4529127181707509E-11</v>
      </c>
      <c r="K99" s="66">
        <v>4.3499999999999996</v>
      </c>
      <c r="L99" s="10">
        <f t="shared" si="15"/>
        <v>0.99026030019230582</v>
      </c>
      <c r="M99" s="10">
        <f t="shared" si="16"/>
        <v>0.98623399167208758</v>
      </c>
      <c r="N99" s="10">
        <f t="shared" si="22"/>
        <v>2.6058765989832753E-3</v>
      </c>
      <c r="O99" s="10">
        <f t="shared" si="23"/>
        <v>3.6975099332682295E-3</v>
      </c>
      <c r="P99" s="10">
        <f t="shared" si="24"/>
        <v>0.80877282246252269</v>
      </c>
      <c r="Q99" s="66">
        <f t="shared" si="29"/>
        <v>4</v>
      </c>
      <c r="R99" s="10">
        <f t="shared" si="25"/>
        <v>1.9915435839205155E-2</v>
      </c>
      <c r="T99" s="10">
        <f t="shared" si="26"/>
        <v>8.2332200233007826E-3</v>
      </c>
      <c r="V99" s="10">
        <f t="shared" si="28"/>
        <v>1.1490037024963006E-4</v>
      </c>
    </row>
    <row r="100" spans="1:22">
      <c r="A100" s="66">
        <v>88</v>
      </c>
      <c r="B100" s="10">
        <f t="shared" si="17"/>
        <v>4.2410531161218093E-7</v>
      </c>
      <c r="C100" s="10">
        <f t="shared" si="18"/>
        <v>7.1298314494629913E-10</v>
      </c>
      <c r="D100" s="10">
        <f t="shared" si="19"/>
        <v>1.3656571468853134E-2</v>
      </c>
      <c r="E100" s="10">
        <f t="shared" si="20"/>
        <v>4.1294732458120143E-18</v>
      </c>
      <c r="G100" s="10">
        <f t="shared" si="27"/>
        <v>5.8015613994975519E-9</v>
      </c>
      <c r="I100" s="10">
        <f t="shared" si="21"/>
        <v>9.7369011455735608E-12</v>
      </c>
      <c r="K100" s="66">
        <v>4.4000000000000004</v>
      </c>
      <c r="L100" s="10">
        <f t="shared" si="15"/>
        <v>0.99013105922205147</v>
      </c>
      <c r="M100" s="10">
        <f t="shared" si="16"/>
        <v>0.98605135695777457</v>
      </c>
      <c r="N100" s="10">
        <f t="shared" si="22"/>
        <v>2.6149543344614551E-3</v>
      </c>
      <c r="O100" s="10">
        <f t="shared" si="23"/>
        <v>3.7105421965359358E-3</v>
      </c>
      <c r="P100" s="10">
        <f t="shared" si="24"/>
        <v>0.80680221915210015</v>
      </c>
      <c r="Q100" s="66">
        <f t="shared" si="29"/>
        <v>2</v>
      </c>
      <c r="R100" s="10">
        <f t="shared" si="25"/>
        <v>9.9651518465505001E-3</v>
      </c>
      <c r="T100" s="10">
        <f t="shared" si="26"/>
        <v>4.1195844289863151E-3</v>
      </c>
      <c r="V100" s="10">
        <f t="shared" si="28"/>
        <v>5.8264568230768675E-5</v>
      </c>
    </row>
    <row r="101" spans="1:22">
      <c r="A101" s="66">
        <v>89</v>
      </c>
      <c r="B101" s="10">
        <f t="shared" si="17"/>
        <v>1.4091378039630957E-7</v>
      </c>
      <c r="C101" s="10">
        <f t="shared" si="18"/>
        <v>1.4659544787328423E-10</v>
      </c>
      <c r="D101" s="10">
        <f t="shared" si="19"/>
        <v>1.3006258541764888E-2</v>
      </c>
      <c r="E101" s="10">
        <f t="shared" si="20"/>
        <v>2.686744284254295E-19</v>
      </c>
      <c r="G101" s="10">
        <f t="shared" si="27"/>
        <v>1.8346677179592944E-9</v>
      </c>
      <c r="I101" s="10">
        <f t="shared" si="21"/>
        <v>1.9066580274113239E-12</v>
      </c>
      <c r="K101" s="66">
        <v>4.45</v>
      </c>
      <c r="L101" s="10">
        <f t="shared" si="15"/>
        <v>0.99000138495726298</v>
      </c>
      <c r="M101" s="10">
        <f t="shared" si="16"/>
        <v>0.98586811249675166</v>
      </c>
      <c r="N101" s="10">
        <f t="shared" si="22"/>
        <v>2.6240649547518602E-3</v>
      </c>
      <c r="O101" s="10">
        <f t="shared" si="23"/>
        <v>3.7236216702044578E-3</v>
      </c>
      <c r="P101" s="10">
        <f t="shared" si="24"/>
        <v>0.80483641728566679</v>
      </c>
      <c r="Q101" s="66">
        <f t="shared" si="29"/>
        <v>4</v>
      </c>
      <c r="R101" s="10">
        <f t="shared" si="25"/>
        <v>1.994516854246503E-2</v>
      </c>
      <c r="T101" s="10">
        <f t="shared" si="26"/>
        <v>8.2451168246293026E-3</v>
      </c>
      <c r="V101" s="10">
        <f t="shared" si="28"/>
        <v>1.1816580752743447E-4</v>
      </c>
    </row>
    <row r="102" spans="1:22">
      <c r="A102" s="66">
        <v>90</v>
      </c>
      <c r="B102" s="10">
        <f t="shared" si="17"/>
        <v>4.3106966248621222E-8</v>
      </c>
      <c r="C102" s="10">
        <f t="shared" si="18"/>
        <v>2.6769672310451414E-11</v>
      </c>
      <c r="D102" s="10">
        <f t="shared" si="19"/>
        <v>1.2386912896918942E-2</v>
      </c>
      <c r="E102" s="10">
        <f t="shared" si="20"/>
        <v>1.4293994088482869E-20</v>
      </c>
      <c r="G102" s="10">
        <f t="shared" si="27"/>
        <v>5.3429382975699039E-10</v>
      </c>
      <c r="I102" s="10">
        <f t="shared" si="21"/>
        <v>3.3159358489463043E-13</v>
      </c>
      <c r="K102" s="66">
        <v>4.5</v>
      </c>
      <c r="L102" s="10">
        <f t="shared" si="15"/>
        <v>0.98987127594207502</v>
      </c>
      <c r="M102" s="10">
        <f t="shared" si="16"/>
        <v>0.98568425631061218</v>
      </c>
      <c r="N102" s="10">
        <f t="shared" si="22"/>
        <v>2.6332085789823123E-3</v>
      </c>
      <c r="O102" s="10">
        <f t="shared" si="23"/>
        <v>3.7367485252971897E-3</v>
      </c>
      <c r="P102" s="10">
        <f t="shared" si="24"/>
        <v>0.80287540516433631</v>
      </c>
      <c r="Q102" s="66">
        <f t="shared" si="29"/>
        <v>2</v>
      </c>
      <c r="R102" s="10">
        <f t="shared" si="25"/>
        <v>9.980015128459585E-3</v>
      </c>
      <c r="T102" s="10">
        <f t="shared" si="26"/>
        <v>4.1255319344266567E-3</v>
      </c>
      <c r="V102" s="10">
        <f t="shared" si="28"/>
        <v>5.9905208096561409E-5</v>
      </c>
    </row>
    <row r="103" spans="1:22">
      <c r="A103" s="66">
        <v>91</v>
      </c>
      <c r="B103" s="10">
        <f t="shared" si="17"/>
        <v>1.2066026073082992E-8</v>
      </c>
      <c r="C103" s="10">
        <f t="shared" si="18"/>
        <v>4.3031162148351424E-12</v>
      </c>
      <c r="D103" s="10">
        <f t="shared" si="19"/>
        <v>1.1797059901827561E-2</v>
      </c>
      <c r="E103" s="10">
        <f t="shared" si="20"/>
        <v>6.1252119249189688E-22</v>
      </c>
      <c r="G103" s="10">
        <f t="shared" si="27"/>
        <v>1.4239439648031164E-10</v>
      </c>
      <c r="I103" s="10">
        <f t="shared" si="21"/>
        <v>5.0764119138414462E-14</v>
      </c>
      <c r="K103" s="66">
        <v>4.55</v>
      </c>
      <c r="L103" s="10">
        <f t="shared" si="15"/>
        <v>0.98974073071614455</v>
      </c>
      <c r="M103" s="10">
        <f t="shared" si="16"/>
        <v>0.98549978641537905</v>
      </c>
      <c r="N103" s="10">
        <f t="shared" si="22"/>
        <v>2.6423853267121848E-3</v>
      </c>
      <c r="O103" s="10">
        <f t="shared" si="23"/>
        <v>3.7499229334570748E-3</v>
      </c>
      <c r="P103" s="10">
        <f t="shared" si="24"/>
        <v>0.8009191711177267</v>
      </c>
      <c r="Q103" s="66">
        <f t="shared" si="29"/>
        <v>4</v>
      </c>
      <c r="R103" s="10">
        <f t="shared" si="25"/>
        <v>1.9974888705550309E-2</v>
      </c>
      <c r="T103" s="10">
        <f t="shared" si="26"/>
        <v>8.2570099360097984E-3</v>
      </c>
      <c r="V103" s="10">
        <f t="shared" si="28"/>
        <v>1.2146299530918957E-4</v>
      </c>
    </row>
    <row r="104" spans="1:22">
      <c r="A104" s="66">
        <v>92</v>
      </c>
      <c r="B104" s="10">
        <f t="shared" si="17"/>
        <v>3.0698034978939359E-9</v>
      </c>
      <c r="C104" s="10">
        <f t="shared" si="18"/>
        <v>6.0309656418758109E-13</v>
      </c>
      <c r="D104" s="10">
        <f t="shared" si="19"/>
        <v>1.123529514459768E-2</v>
      </c>
      <c r="E104" s="10">
        <f t="shared" si="20"/>
        <v>2.0800889959011794E-23</v>
      </c>
      <c r="G104" s="10">
        <f t="shared" si="27"/>
        <v>3.4496924302635251E-11</v>
      </c>
      <c r="I104" s="10">
        <f t="shared" si="21"/>
        <v>6.7759678785393829E-15</v>
      </c>
      <c r="K104" s="66">
        <v>4.5999999999999996</v>
      </c>
      <c r="L104" s="10">
        <f t="shared" si="15"/>
        <v>0.98960974781463906</v>
      </c>
      <c r="M104" s="10">
        <f t="shared" si="16"/>
        <v>0.98531470082149641</v>
      </c>
      <c r="N104" s="10">
        <f t="shared" si="22"/>
        <v>2.6515953179339666E-3</v>
      </c>
      <c r="O104" s="10">
        <f t="shared" si="23"/>
        <v>3.7631450669488517E-3</v>
      </c>
      <c r="P104" s="10">
        <f t="shared" si="24"/>
        <v>0.79896770350389179</v>
      </c>
      <c r="Q104" s="66">
        <f t="shared" si="29"/>
        <v>2</v>
      </c>
      <c r="R104" s="10">
        <f t="shared" si="25"/>
        <v>9.9948718784542666E-3</v>
      </c>
      <c r="T104" s="10">
        <f t="shared" si="26"/>
        <v>4.1314774856228776E-3</v>
      </c>
      <c r="V104" s="10">
        <f t="shared" si="28"/>
        <v>6.1561788915564063E-5</v>
      </c>
    </row>
    <row r="105" spans="1:22">
      <c r="A105" s="66">
        <v>93</v>
      </c>
      <c r="B105" s="10">
        <f t="shared" si="17"/>
        <v>7.0481660107669375E-10</v>
      </c>
      <c r="C105" s="10">
        <f t="shared" si="18"/>
        <v>7.2943932670689417E-14</v>
      </c>
      <c r="D105" s="10">
        <f t="shared" si="19"/>
        <v>1.0700281090093026E-2</v>
      </c>
      <c r="E105" s="10">
        <f t="shared" si="20"/>
        <v>5.5012386465759106E-25</v>
      </c>
      <c r="G105" s="10">
        <f t="shared" si="27"/>
        <v>7.5425162690674299E-12</v>
      </c>
      <c r="I105" s="10">
        <f t="shared" si="21"/>
        <v>7.8052058284307295E-16</v>
      </c>
      <c r="K105" s="66">
        <v>4.6500000000000004</v>
      </c>
      <c r="L105" s="10">
        <f t="shared" si="15"/>
        <v>0.9894783257682277</v>
      </c>
      <c r="M105" s="10">
        <f t="shared" si="16"/>
        <v>0.98512899753381966</v>
      </c>
      <c r="N105" s="10">
        <f t="shared" si="22"/>
        <v>2.6608386730748246E-3</v>
      </c>
      <c r="O105" s="10">
        <f t="shared" si="23"/>
        <v>3.7764150986612892E-3</v>
      </c>
      <c r="P105" s="10">
        <f t="shared" si="24"/>
        <v>0.79702099070925114</v>
      </c>
      <c r="Q105" s="66">
        <f t="shared" si="29"/>
        <v>4</v>
      </c>
      <c r="R105" s="10">
        <f t="shared" si="25"/>
        <v>2.0004595279005229E-2</v>
      </c>
      <c r="T105" s="10">
        <f t="shared" si="26"/>
        <v>8.2688989194893009E-3</v>
      </c>
      <c r="V105" s="10">
        <f t="shared" si="28"/>
        <v>1.2479219681942399E-4</v>
      </c>
    </row>
    <row r="106" spans="1:22">
      <c r="A106" s="66">
        <v>94</v>
      </c>
      <c r="B106" s="10">
        <f t="shared" si="17"/>
        <v>1.4491633643197319E-10</v>
      </c>
      <c r="C106" s="10">
        <f t="shared" si="18"/>
        <v>7.5299124177476385E-15</v>
      </c>
      <c r="D106" s="10">
        <f t="shared" si="19"/>
        <v>1.0190743895326695E-2</v>
      </c>
      <c r="E106" s="10">
        <f t="shared" si="20"/>
        <v>1.1120214347397201E-26</v>
      </c>
      <c r="G106" s="10">
        <f t="shared" si="27"/>
        <v>1.4768820062362328E-12</v>
      </c>
      <c r="I106" s="10">
        <f t="shared" si="21"/>
        <v>7.6735408992386207E-17</v>
      </c>
      <c r="K106" s="66">
        <v>4.7</v>
      </c>
      <c r="L106" s="10">
        <f t="shared" si="15"/>
        <v>0.98934646310306862</v>
      </c>
      <c r="M106" s="10">
        <f t="shared" si="16"/>
        <v>0.98494267455160689</v>
      </c>
      <c r="N106" s="10">
        <f t="shared" si="22"/>
        <v>2.670115512998188E-3</v>
      </c>
      <c r="O106" s="10">
        <f t="shared" si="23"/>
        <v>3.7897332021094719E-3</v>
      </c>
      <c r="P106" s="10">
        <f t="shared" si="24"/>
        <v>0.79507902114852103</v>
      </c>
      <c r="Q106" s="66">
        <f t="shared" si="29"/>
        <v>2</v>
      </c>
      <c r="R106" s="10">
        <f t="shared" si="25"/>
        <v>1.0009721569655692E-2</v>
      </c>
      <c r="T106" s="10">
        <f t="shared" si="26"/>
        <v>4.1374208627244615E-3</v>
      </c>
      <c r="V106" s="10">
        <f t="shared" si="28"/>
        <v>6.3234442719840834E-5</v>
      </c>
    </row>
    <row r="107" spans="1:22">
      <c r="A107" s="66">
        <v>95</v>
      </c>
      <c r="B107" s="10">
        <f t="shared" si="17"/>
        <v>2.6463051172423067E-11</v>
      </c>
      <c r="C107" s="10">
        <f t="shared" si="18"/>
        <v>6.5558497133125384E-16</v>
      </c>
      <c r="D107" s="10">
        <f t="shared" si="19"/>
        <v>9.7054703765016102E-3</v>
      </c>
      <c r="E107" s="10">
        <f t="shared" si="20"/>
        <v>1.6837805719986859E-28</v>
      </c>
      <c r="G107" s="10">
        <f t="shared" si="27"/>
        <v>2.5684272198631663E-13</v>
      </c>
      <c r="I107" s="10">
        <f t="shared" si="21"/>
        <v>6.3627605183667632E-18</v>
      </c>
      <c r="K107" s="66">
        <v>4.75</v>
      </c>
      <c r="L107" s="10">
        <f t="shared" si="15"/>
        <v>0.98921415834079973</v>
      </c>
      <c r="M107" s="10">
        <f t="shared" si="16"/>
        <v>0.98475572986850912</v>
      </c>
      <c r="N107" s="10">
        <f t="shared" si="22"/>
        <v>2.6794259590053196E-3</v>
      </c>
      <c r="O107" s="10">
        <f t="shared" si="23"/>
        <v>3.8030995514370496E-3</v>
      </c>
      <c r="P107" s="10">
        <f t="shared" si="24"/>
        <v>0.79314178326464624</v>
      </c>
      <c r="Q107" s="66">
        <f t="shared" si="29"/>
        <v>4</v>
      </c>
      <c r="R107" s="10">
        <f t="shared" si="25"/>
        <v>2.003428720475571E-2</v>
      </c>
      <c r="T107" s="10">
        <f t="shared" si="26"/>
        <v>8.2807833336127363E-3</v>
      </c>
      <c r="V107" s="10">
        <f t="shared" si="28"/>
        <v>1.2815367696270959E-4</v>
      </c>
    </row>
    <row r="108" spans="1:22">
      <c r="A108" s="66">
        <v>96</v>
      </c>
      <c r="B108" s="10">
        <f t="shared" si="17"/>
        <v>4.2538281109107534E-12</v>
      </c>
      <c r="C108" s="10">
        <f t="shared" si="18"/>
        <v>4.752906169160804E-17</v>
      </c>
      <c r="D108" s="10">
        <f t="shared" si="19"/>
        <v>9.2433051204777253E-3</v>
      </c>
      <c r="E108" s="10">
        <f t="shared" si="20"/>
        <v>1.868815669245192E-30</v>
      </c>
      <c r="G108" s="10">
        <f t="shared" si="27"/>
        <v>3.9319870484832765E-14</v>
      </c>
      <c r="I108" s="10">
        <f t="shared" si="21"/>
        <v>4.3932561930367349E-19</v>
      </c>
      <c r="K108" s="66">
        <v>4.8</v>
      </c>
      <c r="L108" s="10">
        <f t="shared" si="15"/>
        <v>0.98908140999852701</v>
      </c>
      <c r="M108" s="10">
        <f t="shared" si="16"/>
        <v>0.98456816147256132</v>
      </c>
      <c r="N108" s="10">
        <f t="shared" si="22"/>
        <v>2.6887701328369065E-3</v>
      </c>
      <c r="O108" s="10">
        <f t="shared" si="23"/>
        <v>3.816514321418522E-3</v>
      </c>
      <c r="P108" s="10">
        <f t="shared" si="24"/>
        <v>0.79120926552873017</v>
      </c>
      <c r="Q108" s="66">
        <f t="shared" si="29"/>
        <v>2</v>
      </c>
      <c r="R108" s="10">
        <f t="shared" si="25"/>
        <v>1.0024563670861407E-2</v>
      </c>
      <c r="T108" s="10">
        <f t="shared" si="26"/>
        <v>4.1433618441238601E-3</v>
      </c>
      <c r="V108" s="10">
        <f t="shared" si="28"/>
        <v>6.4923302382315437E-5</v>
      </c>
    </row>
    <row r="109" spans="1:22">
      <c r="A109" s="66">
        <v>97</v>
      </c>
      <c r="B109" s="10">
        <f t="shared" si="17"/>
        <v>5.9618866659707459E-13</v>
      </c>
      <c r="C109" s="10">
        <f t="shared" si="18"/>
        <v>2.8302025511857468E-18</v>
      </c>
      <c r="D109" s="10">
        <f t="shared" si="19"/>
        <v>8.8031477337883104E-3</v>
      </c>
      <c r="E109" s="10">
        <f t="shared" si="20"/>
        <v>1.4853856510082171E-32</v>
      </c>
      <c r="G109" s="10">
        <f t="shared" si="27"/>
        <v>5.2483618239554863E-15</v>
      </c>
      <c r="I109" s="10">
        <f t="shared" si="21"/>
        <v>2.4914691174617847E-20</v>
      </c>
      <c r="K109" s="66">
        <v>4.8499999999999996</v>
      </c>
      <c r="L109" s="10">
        <f t="shared" si="15"/>
        <v>0.98894821658881471</v>
      </c>
      <c r="M109" s="10">
        <f t="shared" si="16"/>
        <v>0.98437996734617339</v>
      </c>
      <c r="N109" s="10">
        <f t="shared" si="22"/>
        <v>2.6981481566746503E-3</v>
      </c>
      <c r="O109" s="10">
        <f t="shared" si="23"/>
        <v>3.8299776874615261E-3</v>
      </c>
      <c r="P109" s="10">
        <f t="shared" si="24"/>
        <v>0.78928145643996694</v>
      </c>
      <c r="Q109" s="66">
        <f t="shared" si="29"/>
        <v>4</v>
      </c>
      <c r="R109" s="10">
        <f t="shared" si="25"/>
        <v>2.0063963416051465E-2</v>
      </c>
      <c r="T109" s="10">
        <f t="shared" si="26"/>
        <v>8.2926627333989884E-3</v>
      </c>
      <c r="V109" s="10">
        <f t="shared" si="28"/>
        <v>1.3154770232696948E-4</v>
      </c>
    </row>
    <row r="110" spans="1:22">
      <c r="A110" s="66">
        <v>98</v>
      </c>
      <c r="B110" s="10">
        <f t="shared" si="17"/>
        <v>7.2108429292526026E-14</v>
      </c>
      <c r="C110" s="10">
        <f t="shared" si="18"/>
        <v>1.3639342136908845E-19</v>
      </c>
      <c r="D110" s="10">
        <f t="shared" si="19"/>
        <v>8.3839502226555323E-3</v>
      </c>
      <c r="E110" s="10">
        <f t="shared" si="20"/>
        <v>8.2457117786354104E-35</v>
      </c>
      <c r="G110" s="10">
        <f t="shared" si="27"/>
        <v>6.0455462533806968E-16</v>
      </c>
      <c r="I110" s="10">
        <f t="shared" si="21"/>
        <v>1.1435156554560367E-21</v>
      </c>
      <c r="K110" s="66">
        <v>4.9000000000000004</v>
      </c>
      <c r="L110" s="10">
        <f t="shared" si="15"/>
        <v>0.98881457661967387</v>
      </c>
      <c r="M110" s="10">
        <f t="shared" si="16"/>
        <v>0.98419114546612119</v>
      </c>
      <c r="N110" s="10">
        <f t="shared" si="22"/>
        <v>2.7075601531428664E-3</v>
      </c>
      <c r="O110" s="10">
        <f t="shared" si="23"/>
        <v>3.8434898256091247E-3</v>
      </c>
      <c r="P110" s="10">
        <f t="shared" si="24"/>
        <v>0.78735834452557296</v>
      </c>
      <c r="Q110" s="66">
        <f t="shared" si="29"/>
        <v>2</v>
      </c>
      <c r="R110" s="10">
        <f t="shared" si="25"/>
        <v>1.0039397646516363E-2</v>
      </c>
      <c r="T110" s="10">
        <f t="shared" si="26"/>
        <v>4.1493002064445159E-3</v>
      </c>
      <c r="V110" s="10">
        <f t="shared" si="28"/>
        <v>6.6628501618377044E-5</v>
      </c>
    </row>
    <row r="111" spans="1:22">
      <c r="A111" s="66">
        <v>99</v>
      </c>
      <c r="B111" s="10">
        <f t="shared" si="17"/>
        <v>7.4436644320418126E-15</v>
      </c>
      <c r="C111" s="10">
        <f t="shared" si="18"/>
        <v>5.2359534789428965E-21</v>
      </c>
      <c r="D111" s="10">
        <f t="shared" si="19"/>
        <v>7.9847144977671734E-3</v>
      </c>
      <c r="E111" s="10">
        <f t="shared" si="20"/>
        <v>3.1120169786371956E-37</v>
      </c>
      <c r="G111" s="10">
        <f t="shared" si="27"/>
        <v>5.9435577114631765E-17</v>
      </c>
      <c r="I111" s="10">
        <f t="shared" si="21"/>
        <v>4.1807593652949501E-23</v>
      </c>
      <c r="K111" s="66">
        <v>4.95</v>
      </c>
      <c r="L111" s="10">
        <f t="shared" si="15"/>
        <v>0.98868048859455182</v>
      </c>
      <c r="M111" s="10">
        <f t="shared" si="16"/>
        <v>0.98400169380353741</v>
      </c>
      <c r="N111" s="10">
        <f t="shared" si="22"/>
        <v>2.7170062453100866E-3</v>
      </c>
      <c r="O111" s="10">
        <f t="shared" si="23"/>
        <v>3.8570509125421086E-3</v>
      </c>
      <c r="P111" s="10">
        <f t="shared" si="24"/>
        <v>0.78543991834071836</v>
      </c>
      <c r="Q111" s="66">
        <f t="shared" si="29"/>
        <v>4</v>
      </c>
      <c r="R111" s="10">
        <f t="shared" si="25"/>
        <v>2.0093622837408169E-2</v>
      </c>
      <c r="T111" s="10">
        <f t="shared" si="26"/>
        <v>8.3045366703169785E-3</v>
      </c>
      <c r="V111" s="10">
        <f t="shared" si="28"/>
        <v>1.34974541186607E-4</v>
      </c>
    </row>
    <row r="112" spans="1:22">
      <c r="A112" s="66">
        <v>100</v>
      </c>
      <c r="B112" s="10">
        <f t="shared" si="17"/>
        <v>6.480758689540385E-16</v>
      </c>
      <c r="C112" s="10">
        <f t="shared" si="18"/>
        <v>1.5740429144493328E-22</v>
      </c>
      <c r="D112" s="10">
        <f t="shared" si="19"/>
        <v>7.6044899978735007E-3</v>
      </c>
      <c r="E112" s="10">
        <f t="shared" si="20"/>
        <v>7.7573343879719615E-40</v>
      </c>
      <c r="G112" s="10">
        <f t="shared" si="27"/>
        <v>4.9282876603035233E-18</v>
      </c>
      <c r="I112" s="10">
        <f t="shared" si="21"/>
        <v>1.1969793599153597E-24</v>
      </c>
      <c r="K112" s="66">
        <v>5</v>
      </c>
      <c r="L112" s="10">
        <f t="shared" si="15"/>
        <v>0.9885459510123219</v>
      </c>
      <c r="M112" s="10">
        <f t="shared" si="16"/>
        <v>0.9838116103239023</v>
      </c>
      <c r="N112" s="10">
        <f t="shared" si="22"/>
        <v>2.7264865566906703E-3</v>
      </c>
      <c r="O112" s="10">
        <f t="shared" si="23"/>
        <v>3.8706611255813141E-3</v>
      </c>
      <c r="P112" s="10">
        <f t="shared" si="24"/>
        <v>0.78352616646845896</v>
      </c>
      <c r="Q112" s="66">
        <f t="shared" si="29"/>
        <v>2</v>
      </c>
      <c r="R112" s="10">
        <f t="shared" si="25"/>
        <v>1.0054222956684036E-2</v>
      </c>
      <c r="T112" s="10">
        <f t="shared" si="26"/>
        <v>4.1552357245289249E-3</v>
      </c>
      <c r="V112" s="10">
        <f t="shared" si="28"/>
        <v>6.8350174987414513E-5</v>
      </c>
    </row>
    <row r="113" spans="1:22">
      <c r="A113" s="66">
        <v>101</v>
      </c>
      <c r="B113" s="10">
        <f t="shared" si="17"/>
        <v>4.6984661490653544E-17</v>
      </c>
      <c r="C113" s="10">
        <f t="shared" si="18"/>
        <v>3.6382469558136262E-24</v>
      </c>
      <c r="D113" s="10">
        <f t="shared" si="19"/>
        <v>7.2423714265461899E-3</v>
      </c>
      <c r="E113" s="10">
        <f t="shared" si="20"/>
        <v>1.2380240197875794E-42</v>
      </c>
      <c r="G113" s="10">
        <f t="shared" si="27"/>
        <v>3.4028039621539015E-19</v>
      </c>
      <c r="I113" s="10">
        <f t="shared" si="21"/>
        <v>2.6349535795503264E-26</v>
      </c>
      <c r="K113" s="66">
        <v>5.05</v>
      </c>
      <c r="L113" s="10">
        <f t="shared" si="15"/>
        <v>0.98841096236727199</v>
      </c>
      <c r="M113" s="10">
        <f t="shared" si="16"/>
        <v>0.98362089298703514</v>
      </c>
      <c r="N113" s="10">
        <f t="shared" si="22"/>
        <v>2.736001211246408E-3</v>
      </c>
      <c r="O113" s="10">
        <f t="shared" si="23"/>
        <v>3.8843206426899257E-3</v>
      </c>
      <c r="P113" s="10">
        <f t="shared" si="24"/>
        <v>0.78161707751966825</v>
      </c>
      <c r="Q113" s="66">
        <f t="shared" si="29"/>
        <v>4</v>
      </c>
      <c r="R113" s="10">
        <f t="shared" si="25"/>
        <v>2.0123264384549533E-2</v>
      </c>
      <c r="T113" s="10">
        <f t="shared" si="26"/>
        <v>8.3164046922617647E-3</v>
      </c>
      <c r="V113" s="10">
        <f t="shared" si="28"/>
        <v>1.3843446350549407E-4</v>
      </c>
    </row>
    <row r="114" spans="1:22">
      <c r="A114" s="66">
        <v>102</v>
      </c>
      <c r="B114" s="10">
        <f t="shared" si="17"/>
        <v>2.7977852725193871E-18</v>
      </c>
      <c r="C114" s="10">
        <f t="shared" si="18"/>
        <v>6.3395978318584659E-26</v>
      </c>
      <c r="D114" s="10">
        <f t="shared" si="19"/>
        <v>6.8974965967106578E-3</v>
      </c>
      <c r="E114" s="10">
        <f t="shared" si="20"/>
        <v>1.2233974834172382E-45</v>
      </c>
      <c r="G114" s="10">
        <f t="shared" si="27"/>
        <v>1.9297714832803218E-20</v>
      </c>
      <c r="I114" s="10">
        <f t="shared" si="21"/>
        <v>4.3727354469758031E-28</v>
      </c>
      <c r="K114" s="66">
        <v>5.0999999999999996</v>
      </c>
      <c r="L114" s="10">
        <f t="shared" si="15"/>
        <v>0.98827552114909434</v>
      </c>
      <c r="M114" s="10">
        <f t="shared" si="16"/>
        <v>0.98342953974708514</v>
      </c>
      <c r="N114" s="10">
        <f t="shared" si="22"/>
        <v>2.7455503333881645E-3</v>
      </c>
      <c r="O114" s="10">
        <f t="shared" si="23"/>
        <v>3.8980296424758285E-3</v>
      </c>
      <c r="P114" s="10">
        <f t="shared" si="24"/>
        <v>0.77971264013296993</v>
      </c>
      <c r="Q114" s="66">
        <f t="shared" si="29"/>
        <v>2</v>
      </c>
      <c r="R114" s="10">
        <f t="shared" si="25"/>
        <v>1.0069039057017415E-2</v>
      </c>
      <c r="T114" s="10">
        <f t="shared" si="26"/>
        <v>4.1611681714266401E-3</v>
      </c>
      <c r="V114" s="10">
        <f t="shared" si="28"/>
        <v>7.0088457894264237E-5</v>
      </c>
    </row>
    <row r="115" spans="1:22">
      <c r="A115" s="66">
        <v>103</v>
      </c>
      <c r="B115" s="10">
        <f t="shared" si="17"/>
        <v>1.3483116443912861E-19</v>
      </c>
      <c r="C115" s="10">
        <f t="shared" si="18"/>
        <v>8.1530895790948942E-28</v>
      </c>
      <c r="D115" s="10">
        <f t="shared" si="19"/>
        <v>6.5690443778196727E-3</v>
      </c>
      <c r="E115" s="10">
        <f t="shared" si="20"/>
        <v>7.2212884840956846E-49</v>
      </c>
      <c r="G115" s="10">
        <f t="shared" si="27"/>
        <v>8.8571190806953826E-22</v>
      </c>
      <c r="I115" s="10">
        <f t="shared" si="21"/>
        <v>5.3558007261413477E-30</v>
      </c>
      <c r="K115" s="66">
        <v>5.15</v>
      </c>
      <c r="L115" s="10">
        <f t="shared" si="15"/>
        <v>0.98813962584287485</v>
      </c>
      <c r="M115" s="10">
        <f t="shared" si="16"/>
        <v>0.98323754855252254</v>
      </c>
      <c r="N115" s="10">
        <f t="shared" si="22"/>
        <v>2.7551340479774838E-3</v>
      </c>
      <c r="O115" s="10">
        <f t="shared" si="23"/>
        <v>3.9117883041939186E-3</v>
      </c>
      <c r="P115" s="10">
        <f t="shared" si="24"/>
        <v>0.77781284297467035</v>
      </c>
      <c r="Q115" s="66">
        <f t="shared" si="29"/>
        <v>4</v>
      </c>
      <c r="R115" s="10">
        <f t="shared" si="25"/>
        <v>2.0152886964349442E-2</v>
      </c>
      <c r="T115" s="10">
        <f t="shared" si="26"/>
        <v>8.3282663435305694E-3</v>
      </c>
      <c r="V115" s="10">
        <f t="shared" si="28"/>
        <v>1.419277409397908E-4</v>
      </c>
    </row>
    <row r="116" spans="1:22">
      <c r="A116" s="66">
        <v>104</v>
      </c>
      <c r="B116" s="10">
        <f t="shared" si="17"/>
        <v>5.1759806112978682E-21</v>
      </c>
      <c r="C116" s="10">
        <f t="shared" si="18"/>
        <v>7.5645050116061137E-30</v>
      </c>
      <c r="D116" s="10">
        <f t="shared" si="19"/>
        <v>6.2562327407806413E-3</v>
      </c>
      <c r="E116" s="10">
        <f t="shared" si="20"/>
        <v>2.4495485552099409E-52</v>
      </c>
      <c r="G116" s="10">
        <f t="shared" si="27"/>
        <v>3.2382139413372823E-23</v>
      </c>
      <c r="I116" s="10">
        <f t="shared" si="21"/>
        <v>4.7325303921409412E-32</v>
      </c>
      <c r="K116" s="66">
        <v>5.2</v>
      </c>
      <c r="L116" s="10">
        <f t="shared" si="15"/>
        <v>0.98800327492908191</v>
      </c>
      <c r="M116" s="10">
        <f t="shared" si="16"/>
        <v>0.98304491734612987</v>
      </c>
      <c r="N116" s="10">
        <f t="shared" si="22"/>
        <v>2.7647524803282356E-3</v>
      </c>
      <c r="O116" s="10">
        <f t="shared" si="23"/>
        <v>3.9255968077484583E-3</v>
      </c>
      <c r="P116" s="10">
        <f t="shared" si="24"/>
        <v>0.77591767473869</v>
      </c>
      <c r="Q116" s="66">
        <f t="shared" si="29"/>
        <v>2</v>
      </c>
      <c r="R116" s="10">
        <f t="shared" si="25"/>
        <v>1.0083845398730161E-2</v>
      </c>
      <c r="T116" s="10">
        <f t="shared" si="26"/>
        <v>4.1670973183823533E-3</v>
      </c>
      <c r="V116" s="10">
        <f t="shared" si="28"/>
        <v>7.1843486590578387E-5</v>
      </c>
    </row>
    <row r="117" spans="1:22">
      <c r="A117" s="66">
        <v>105</v>
      </c>
      <c r="B117" s="10">
        <f t="shared" si="17"/>
        <v>1.5560137497985189E-22</v>
      </c>
      <c r="C117" s="10">
        <f t="shared" si="18"/>
        <v>4.9408474559593301E-32</v>
      </c>
      <c r="D117" s="10">
        <f t="shared" si="19"/>
        <v>5.9583168959815632E-3</v>
      </c>
      <c r="E117" s="10">
        <f t="shared" si="20"/>
        <v>4.5807698651267499E-56</v>
      </c>
      <c r="G117" s="10">
        <f t="shared" si="27"/>
        <v>9.2712230187480582E-25</v>
      </c>
      <c r="I117" s="10">
        <f t="shared" si="21"/>
        <v>2.9439134877310001E-34</v>
      </c>
      <c r="K117" s="66">
        <v>5.25</v>
      </c>
      <c r="L117" s="10">
        <f t="shared" si="15"/>
        <v>0.98786646688355606</v>
      </c>
      <c r="M117" s="10">
        <f t="shared" si="16"/>
        <v>0.98285164406499348</v>
      </c>
      <c r="N117" s="10">
        <f t="shared" si="22"/>
        <v>2.7744057562082464E-3</v>
      </c>
      <c r="O117" s="10">
        <f t="shared" si="23"/>
        <v>3.9394553336954295E-3</v>
      </c>
      <c r="P117" s="10">
        <f t="shared" si="24"/>
        <v>0.77402712414649788</v>
      </c>
      <c r="Q117" s="66">
        <f t="shared" si="29"/>
        <v>4</v>
      </c>
      <c r="R117" s="10">
        <f t="shared" si="25"/>
        <v>2.0182489474774083E-2</v>
      </c>
      <c r="T117" s="10">
        <f t="shared" si="26"/>
        <v>8.3401211647989148E-3</v>
      </c>
      <c r="V117" s="10">
        <f t="shared" si="28"/>
        <v>1.454546468405909E-4</v>
      </c>
    </row>
    <row r="118" spans="1:22">
      <c r="A118" s="66">
        <v>106</v>
      </c>
      <c r="B118" s="10">
        <f t="shared" si="17"/>
        <v>3.5965742969524827E-24</v>
      </c>
      <c r="C118" s="10">
        <f t="shared" si="18"/>
        <v>2.2128511591945867E-34</v>
      </c>
      <c r="D118" s="10">
        <f t="shared" si="19"/>
        <v>5.6745875199824408E-3</v>
      </c>
      <c r="E118" s="10">
        <f t="shared" si="20"/>
        <v>4.5162246644196838E-60</v>
      </c>
      <c r="G118" s="10">
        <f t="shared" si="27"/>
        <v>2.0409075621431881E-26</v>
      </c>
      <c r="I118" s="10">
        <f t="shared" si="21"/>
        <v>1.2557017571544279E-36</v>
      </c>
      <c r="K118" s="66">
        <v>5.3</v>
      </c>
      <c r="L118" s="10">
        <f t="shared" si="15"/>
        <v>0.98772920017749966</v>
      </c>
      <c r="M118" s="10">
        <f t="shared" si="16"/>
        <v>0.98265772664049422</v>
      </c>
      <c r="N118" s="10">
        <f t="shared" si="22"/>
        <v>2.7840940018409462E-3</v>
      </c>
      <c r="O118" s="10">
        <f t="shared" si="23"/>
        <v>3.9533640632448876E-3</v>
      </c>
      <c r="P118" s="10">
        <f t="shared" si="24"/>
        <v>0.77214117994704312</v>
      </c>
      <c r="Q118" s="66">
        <f t="shared" si="29"/>
        <v>2</v>
      </c>
      <c r="R118" s="10">
        <f t="shared" si="25"/>
        <v>1.0098641428567584E-2</v>
      </c>
      <c r="T118" s="10">
        <f t="shared" si="26"/>
        <v>4.1730229348239077E-3</v>
      </c>
      <c r="V118" s="10">
        <f t="shared" si="28"/>
        <v>7.3615398176107326E-5</v>
      </c>
    </row>
    <row r="119" spans="1:22">
      <c r="A119" s="66">
        <v>107</v>
      </c>
      <c r="B119" s="10">
        <f t="shared" si="17"/>
        <v>6.2669837677300769E-26</v>
      </c>
      <c r="C119" s="10">
        <f t="shared" si="18"/>
        <v>6.6060601715598678E-37</v>
      </c>
      <c r="D119" s="10">
        <f t="shared" si="19"/>
        <v>5.4043690666499425E-3</v>
      </c>
      <c r="E119" s="10">
        <f t="shared" si="20"/>
        <v>2.2374126773788026E-64</v>
      </c>
      <c r="G119" s="10">
        <f t="shared" si="27"/>
        <v>3.3869093215874753E-28</v>
      </c>
      <c r="I119" s="10">
        <f t="shared" si="21"/>
        <v>3.5701587243606362E-39</v>
      </c>
      <c r="K119" s="66">
        <v>5.35</v>
      </c>
      <c r="L119" s="10">
        <f t="shared" si="15"/>
        <v>0.98759147327746521</v>
      </c>
      <c r="M119" s="10">
        <f t="shared" si="16"/>
        <v>0.98246316299829883</v>
      </c>
      <c r="N119" s="10">
        <f t="shared" si="22"/>
        <v>2.793817343907021E-3</v>
      </c>
      <c r="O119" s="10">
        <f t="shared" si="23"/>
        <v>3.9673231782633451E-3</v>
      </c>
      <c r="P119" s="10">
        <f t="shared" si="24"/>
        <v>0.77025983091668826</v>
      </c>
      <c r="Q119" s="66">
        <f t="shared" si="29"/>
        <v>4</v>
      </c>
      <c r="R119" s="10">
        <f t="shared" si="25"/>
        <v>2.0212070804824084E-2</v>
      </c>
      <c r="T119" s="10">
        <f t="shared" si="26"/>
        <v>8.3519686930966838E-3</v>
      </c>
      <c r="V119" s="10">
        <f t="shared" si="28"/>
        <v>1.490154562563888E-4</v>
      </c>
    </row>
    <row r="120" spans="1:22">
      <c r="A120" s="66">
        <v>108</v>
      </c>
      <c r="B120" s="10">
        <f t="shared" si="17"/>
        <v>8.0597036916549373E-28</v>
      </c>
      <c r="C120" s="10">
        <f t="shared" si="18"/>
        <v>1.275147366400747E-39</v>
      </c>
      <c r="D120" s="10">
        <f t="shared" si="19"/>
        <v>5.1470181587142325E-3</v>
      </c>
      <c r="E120" s="10">
        <f t="shared" si="20"/>
        <v>5.2897500865303544E-69</v>
      </c>
      <c r="G120" s="10">
        <f t="shared" si="27"/>
        <v>4.1483441254869729E-30</v>
      </c>
      <c r="I120" s="10">
        <f t="shared" si="21"/>
        <v>6.5632066499012749E-42</v>
      </c>
      <c r="K120" s="66">
        <v>5.4</v>
      </c>
      <c r="L120" s="10">
        <f t="shared" si="15"/>
        <v>0.98745328464534576</v>
      </c>
      <c r="M120" s="10">
        <f t="shared" si="16"/>
        <v>0.98226795105835241</v>
      </c>
      <c r="N120" s="10">
        <f t="shared" si="22"/>
        <v>2.8035759095460648E-3</v>
      </c>
      <c r="O120" s="10">
        <f t="shared" si="23"/>
        <v>3.9813328612761318E-3</v>
      </c>
      <c r="P120" s="10">
        <f t="shared" si="24"/>
        <v>0.76838306585914296</v>
      </c>
      <c r="Q120" s="66">
        <f t="shared" si="29"/>
        <v>2</v>
      </c>
      <c r="R120" s="10">
        <f t="shared" si="25"/>
        <v>1.0113426588777782E-2</v>
      </c>
      <c r="T120" s="10">
        <f t="shared" si="26"/>
        <v>4.1789447883503533E-3</v>
      </c>
      <c r="V120" s="10">
        <f t="shared" si="28"/>
        <v>7.5404330599883893E-5</v>
      </c>
    </row>
    <row r="121" spans="1:22">
      <c r="A121" s="66">
        <v>109</v>
      </c>
      <c r="B121" s="10">
        <f t="shared" si="17"/>
        <v>7.4778608006356225E-30</v>
      </c>
      <c r="C121" s="10">
        <f t="shared" si="18"/>
        <v>1.5402911764657166E-42</v>
      </c>
      <c r="D121" s="10">
        <f t="shared" si="19"/>
        <v>4.9019220559183155E-3</v>
      </c>
      <c r="E121" s="10">
        <f t="shared" si="20"/>
        <v>5.646074514890088E-74</v>
      </c>
      <c r="G121" s="10">
        <f t="shared" si="27"/>
        <v>3.6655890789730302E-32</v>
      </c>
      <c r="I121" s="10">
        <f t="shared" si="21"/>
        <v>7.5503872904536667E-45</v>
      </c>
      <c r="K121" s="66">
        <v>5.45</v>
      </c>
      <c r="L121" s="10">
        <f t="shared" si="15"/>
        <v>0.98731463273836306</v>
      </c>
      <c r="M121" s="10">
        <f t="shared" si="16"/>
        <v>0.98207208873486795</v>
      </c>
      <c r="N121" s="10">
        <f t="shared" si="22"/>
        <v>2.8133698263582501E-3</v>
      </c>
      <c r="O121" s="10">
        <f t="shared" si="23"/>
        <v>3.9953932954697917E-3</v>
      </c>
      <c r="P121" s="10">
        <f t="shared" si="24"/>
        <v>0.76651087360539705</v>
      </c>
      <c r="Q121" s="66">
        <f t="shared" si="29"/>
        <v>4</v>
      </c>
      <c r="R121" s="10">
        <f t="shared" si="25"/>
        <v>2.0241629834476756E-2</v>
      </c>
      <c r="T121" s="10">
        <f t="shared" si="26"/>
        <v>8.3638084617842397E-3</v>
      </c>
      <c r="V121" s="10">
        <f t="shared" si="28"/>
        <v>1.5261044593537762E-4</v>
      </c>
    </row>
    <row r="122" spans="1:22">
      <c r="A122" s="66">
        <v>110</v>
      </c>
      <c r="B122" s="10">
        <f t="shared" si="17"/>
        <v>4.8842547471581843E-32</v>
      </c>
      <c r="C122" s="10">
        <f t="shared" si="18"/>
        <v>1.1240916396336029E-45</v>
      </c>
      <c r="D122" s="10">
        <f t="shared" si="19"/>
        <v>4.6684971961126823E-3</v>
      </c>
      <c r="E122" s="10">
        <f t="shared" si="20"/>
        <v>2.5631683240443036E-79</v>
      </c>
      <c r="G122" s="10">
        <f t="shared" si="27"/>
        <v>2.2802129592208564E-34</v>
      </c>
      <c r="I122" s="10">
        <f t="shared" si="21"/>
        <v>5.2478186678031825E-48</v>
      </c>
      <c r="K122" s="66">
        <v>5.5</v>
      </c>
      <c r="L122" s="10">
        <f t="shared" si="15"/>
        <v>0.98717551600905784</v>
      </c>
      <c r="M122" s="10">
        <f t="shared" si="16"/>
        <v>0.98187557393631963</v>
      </c>
      <c r="N122" s="10">
        <f t="shared" si="22"/>
        <v>2.8231992224059853E-3</v>
      </c>
      <c r="O122" s="10">
        <f t="shared" si="23"/>
        <v>4.0095046646944797E-3</v>
      </c>
      <c r="P122" s="10">
        <f t="shared" si="24"/>
        <v>0.7646432430136535</v>
      </c>
      <c r="Q122" s="66">
        <f t="shared" si="29"/>
        <v>2</v>
      </c>
      <c r="R122" s="10">
        <f t="shared" si="25"/>
        <v>1.0128200317082725E-2</v>
      </c>
      <c r="T122" s="10">
        <f t="shared" si="26"/>
        <v>4.184862644720018E-3</v>
      </c>
      <c r="V122" s="10">
        <f t="shared" si="28"/>
        <v>7.7210422661333098E-5</v>
      </c>
    </row>
    <row r="123" spans="1:22">
      <c r="E123" s="46">
        <f>SUM(E12:E122)</f>
        <v>15.890138071948453</v>
      </c>
      <c r="G123" s="46">
        <f>SUM(G12:G122)</f>
        <v>18.967037394472936</v>
      </c>
      <c r="I123" s="46">
        <f>SUM(I12:I122)</f>
        <v>1.2013254963420577</v>
      </c>
      <c r="K123" s="66">
        <v>5.55</v>
      </c>
      <c r="L123" s="10">
        <f t="shared" si="15"/>
        <v>0.98703593290527869</v>
      </c>
      <c r="M123" s="10">
        <f t="shared" si="16"/>
        <v>0.98167840456543309</v>
      </c>
      <c r="N123" s="10">
        <f t="shared" si="22"/>
        <v>2.8330642262155994E-3</v>
      </c>
      <c r="O123" s="10">
        <f t="shared" si="23"/>
        <v>4.0236671534663558E-3</v>
      </c>
      <c r="P123" s="10">
        <f t="shared" si="24"/>
        <v>0.76278016296926343</v>
      </c>
      <c r="Q123" s="66">
        <f t="shared" si="29"/>
        <v>4</v>
      </c>
      <c r="R123" s="10">
        <f t="shared" si="25"/>
        <v>2.0271165434628244E-2</v>
      </c>
      <c r="T123" s="10">
        <f t="shared" si="26"/>
        <v>8.3756400005285461E-3</v>
      </c>
      <c r="V123" s="10">
        <f t="shared" si="28"/>
        <v>1.5623989432756705E-4</v>
      </c>
    </row>
    <row r="124" spans="1:22">
      <c r="K124" s="66">
        <v>5.6</v>
      </c>
      <c r="L124" s="10">
        <f t="shared" si="15"/>
        <v>0.98689588187017119</v>
      </c>
      <c r="M124" s="10">
        <f t="shared" si="16"/>
        <v>0.98148057851917736</v>
      </c>
      <c r="N124" s="10">
        <f t="shared" si="22"/>
        <v>2.842964966779014E-3</v>
      </c>
      <c r="O124" s="10">
        <f t="shared" si="23"/>
        <v>4.0378809469700143E-3</v>
      </c>
      <c r="P124" s="10">
        <f t="shared" si="24"/>
        <v>0.76092162238465888</v>
      </c>
      <c r="Q124" s="66">
        <f t="shared" si="29"/>
        <v>2</v>
      </c>
      <c r="R124" s="10">
        <f t="shared" si="25"/>
        <v>1.0142962046649379E-2</v>
      </c>
      <c r="T124" s="10">
        <f t="shared" si="26"/>
        <v>4.1907762678385588E-3</v>
      </c>
      <c r="V124" s="10">
        <f t="shared" si="28"/>
        <v>7.903381401127882E-5</v>
      </c>
    </row>
    <row r="125" spans="1:22">
      <c r="K125" s="66">
        <v>5.65</v>
      </c>
      <c r="L125" s="10">
        <f t="shared" si="15"/>
        <v>0.9867553613421679</v>
      </c>
      <c r="M125" s="10">
        <f t="shared" si="16"/>
        <v>0.98128209368875707</v>
      </c>
      <c r="N125" s="10">
        <f t="shared" si="22"/>
        <v>2.8529015735554368E-3</v>
      </c>
      <c r="O125" s="10">
        <f t="shared" si="23"/>
        <v>4.0521462310608861E-3</v>
      </c>
      <c r="P125" s="10">
        <f t="shared" si="24"/>
        <v>0.7590676101992867</v>
      </c>
      <c r="Q125" s="66">
        <f t="shared" si="29"/>
        <v>4</v>
      </c>
      <c r="R125" s="10">
        <f t="shared" si="25"/>
        <v>2.0300676467035827E-2</v>
      </c>
      <c r="T125" s="10">
        <f t="shared" si="26"/>
        <v>8.3874628352793006E-3</v>
      </c>
      <c r="V125" s="10">
        <f t="shared" si="28"/>
        <v>1.5990408158670318E-4</v>
      </c>
    </row>
    <row r="126" spans="1:22">
      <c r="K126" s="66">
        <v>5.7</v>
      </c>
      <c r="L126" s="10">
        <f t="shared" si="15"/>
        <v>0.98661436975497674</v>
      </c>
      <c r="M126" s="10">
        <f t="shared" si="16"/>
        <v>0.98108294795960316</v>
      </c>
      <c r="N126" s="10">
        <f t="shared" si="22"/>
        <v>2.8628741764730524E-3</v>
      </c>
      <c r="O126" s="10">
        <f t="shared" si="23"/>
        <v>4.0664631922676829E-3</v>
      </c>
      <c r="P126" s="10">
        <f t="shared" si="24"/>
        <v>0.75721811537954387</v>
      </c>
      <c r="Q126" s="66">
        <f t="shared" si="29"/>
        <v>2</v>
      </c>
      <c r="R126" s="10">
        <f t="shared" si="25"/>
        <v>1.0157711206060849E-2</v>
      </c>
      <c r="T126" s="10">
        <f t="shared" si="26"/>
        <v>4.1966854197470387E-3</v>
      </c>
      <c r="V126" s="10">
        <f t="shared" si="28"/>
        <v>8.0874645152859357E-5</v>
      </c>
    </row>
    <row r="127" spans="1:22">
      <c r="K127" s="66">
        <v>5.75</v>
      </c>
      <c r="L127" s="10">
        <f t="shared" si="15"/>
        <v>0.98647290553757128</v>
      </c>
      <c r="M127" s="10">
        <f t="shared" si="16"/>
        <v>0.98088313921136538</v>
      </c>
      <c r="N127" s="10">
        <f t="shared" si="22"/>
        <v>2.8728829059307187E-3</v>
      </c>
      <c r="O127" s="10">
        <f t="shared" si="23"/>
        <v>4.0808320177948294E-3</v>
      </c>
      <c r="P127" s="10">
        <f t="shared" si="24"/>
        <v>0.75537312691871061</v>
      </c>
      <c r="Q127" s="66">
        <f t="shared" si="29"/>
        <v>4</v>
      </c>
      <c r="R127" s="10">
        <f t="shared" si="25"/>
        <v>2.0330161784260239E-2</v>
      </c>
      <c r="T127" s="10">
        <f t="shared" si="26"/>
        <v>8.3992764882451203E-3</v>
      </c>
      <c r="V127" s="10">
        <f t="shared" si="28"/>
        <v>1.6360328957200303E-4</v>
      </c>
    </row>
    <row r="128" spans="1:22">
      <c r="K128" s="66">
        <v>5.8</v>
      </c>
      <c r="L128" s="10">
        <f t="shared" si="15"/>
        <v>0.98633096711417911</v>
      </c>
      <c r="M128" s="10">
        <f t="shared" si="16"/>
        <v>0.98068266531790316</v>
      </c>
      <c r="N128" s="10">
        <f t="shared" si="22"/>
        <v>2.8829278927996744E-3</v>
      </c>
      <c r="O128" s="10">
        <f t="shared" si="23"/>
        <v>4.0952528955249118E-3</v>
      </c>
      <c r="P128" s="10">
        <f t="shared" si="24"/>
        <v>0.75353263383688585</v>
      </c>
      <c r="Q128" s="66">
        <f t="shared" si="29"/>
        <v>2</v>
      </c>
      <c r="R128" s="10">
        <f t="shared" si="25"/>
        <v>1.017244721928756E-2</v>
      </c>
      <c r="T128" s="10">
        <f t="shared" si="26"/>
        <v>4.2025898606100264E-3</v>
      </c>
      <c r="V128" s="10">
        <f t="shared" si="28"/>
        <v>8.2733057442346949E-5</v>
      </c>
    </row>
    <row r="129" spans="11:22">
      <c r="K129" s="66">
        <v>5.85</v>
      </c>
      <c r="L129" s="10">
        <f t="shared" si="15"/>
        <v>0.98618855290427221</v>
      </c>
      <c r="M129" s="10">
        <f t="shared" si="16"/>
        <v>0.98048152414727874</v>
      </c>
      <c r="N129" s="10">
        <f t="shared" si="22"/>
        <v>2.8930092684252492E-3</v>
      </c>
      <c r="O129" s="10">
        <f t="shared" si="23"/>
        <v>4.1097260140211412E-3</v>
      </c>
      <c r="P129" s="10">
        <f t="shared" si="24"/>
        <v>0.75169662518092084</v>
      </c>
      <c r="Q129" s="66">
        <f t="shared" si="29"/>
        <v>4</v>
      </c>
      <c r="R129" s="10">
        <f t="shared" si="25"/>
        <v>2.0359620229608029E-2</v>
      </c>
      <c r="T129" s="10">
        <f t="shared" si="26"/>
        <v>8.4110804778697052E-3</v>
      </c>
      <c r="V129" s="10">
        <f t="shared" si="28"/>
        <v>1.6733780184969679E-4</v>
      </c>
    </row>
    <row r="130" spans="11:22">
      <c r="K130" s="66">
        <v>5.9</v>
      </c>
      <c r="L130" s="10">
        <f t="shared" si="15"/>
        <v>0.98604566132255533</v>
      </c>
      <c r="M130" s="10">
        <f t="shared" si="16"/>
        <v>0.98027971356174781</v>
      </c>
      <c r="N130" s="10">
        <f t="shared" si="22"/>
        <v>2.9031271646285809E-3</v>
      </c>
      <c r="O130" s="10">
        <f t="shared" si="23"/>
        <v>4.1242515625298098E-3</v>
      </c>
      <c r="P130" s="10">
        <f t="shared" si="24"/>
        <v>0.7498650900243552</v>
      </c>
      <c r="Q130" s="66">
        <f t="shared" si="29"/>
        <v>2</v>
      </c>
      <c r="R130" s="10">
        <f t="shared" si="25"/>
        <v>1.0187169505658443E-2</v>
      </c>
      <c r="T130" s="10">
        <f t="shared" si="26"/>
        <v>4.2084893487036841E-3</v>
      </c>
      <c r="V130" s="10">
        <f t="shared" si="28"/>
        <v>8.4609193089866052E-5</v>
      </c>
    </row>
    <row r="131" spans="11:22">
      <c r="K131" s="66">
        <v>5.95</v>
      </c>
      <c r="L131" s="10">
        <f t="shared" si="15"/>
        <v>0.98590229077895564</v>
      </c>
      <c r="M131" s="10">
        <f t="shared" si="16"/>
        <v>0.98007723141775205</v>
      </c>
      <c r="N131" s="10">
        <f t="shared" si="22"/>
        <v>2.9132817137083431E-3</v>
      </c>
      <c r="O131" s="10">
        <f t="shared" si="23"/>
        <v>4.1388297309827675E-3</v>
      </c>
      <c r="P131" s="10">
        <f t="shared" si="24"/>
        <v>0.74803801746735077</v>
      </c>
      <c r="Q131" s="66">
        <f t="shared" si="29"/>
        <v>4</v>
      </c>
      <c r="R131" s="10">
        <f t="shared" si="25"/>
        <v>2.0389050637074017E-2</v>
      </c>
      <c r="T131" s="10">
        <f t="shared" si="26"/>
        <v>8.4228743188080636E-3</v>
      </c>
      <c r="V131" s="10">
        <f t="shared" si="28"/>
        <v>1.7110790369436631E-4</v>
      </c>
    </row>
    <row r="132" spans="11:22">
      <c r="K132" s="66">
        <v>6</v>
      </c>
      <c r="L132" s="10">
        <f t="shared" si="15"/>
        <v>0.98575843967861287</v>
      </c>
      <c r="M132" s="10">
        <f t="shared" si="16"/>
        <v>0.97987407556591133</v>
      </c>
      <c r="N132" s="10">
        <f t="shared" si="22"/>
        <v>2.9234730484424703E-3</v>
      </c>
      <c r="O132" s="10">
        <f t="shared" si="23"/>
        <v>4.1534607099999133E-3</v>
      </c>
      <c r="P132" s="10">
        <f t="shared" si="24"/>
        <v>0.74621539663662761</v>
      </c>
      <c r="Q132" s="66">
        <f t="shared" si="29"/>
        <v>2</v>
      </c>
      <c r="R132" s="10">
        <f t="shared" si="25"/>
        <v>1.0201877479832214E-2</v>
      </c>
      <c r="T132" s="10">
        <f t="shared" si="26"/>
        <v>4.2143836404038995E-3</v>
      </c>
      <c r="V132" s="10">
        <f t="shared" si="28"/>
        <v>8.6503195160016208E-5</v>
      </c>
    </row>
    <row r="133" spans="11:22">
      <c r="K133" s="66">
        <v>6.05</v>
      </c>
      <c r="L133" s="10">
        <f t="shared" si="15"/>
        <v>0.98561410642186753</v>
      </c>
      <c r="M133" s="10">
        <f t="shared" si="16"/>
        <v>0.97967024385101509</v>
      </c>
      <c r="N133" s="10">
        <f t="shared" si="22"/>
        <v>2.9337013020898886E-3</v>
      </c>
      <c r="O133" s="10">
        <f t="shared" si="23"/>
        <v>4.1681446908916706E-3</v>
      </c>
      <c r="P133" s="10">
        <f t="shared" si="24"/>
        <v>0.74439721668539827</v>
      </c>
      <c r="Q133" s="66">
        <f t="shared" si="29"/>
        <v>4</v>
      </c>
      <c r="R133" s="10">
        <f t="shared" si="25"/>
        <v>2.0418451831283851E-2</v>
      </c>
      <c r="T133" s="10">
        <f t="shared" si="26"/>
        <v>8.4346575219027917E-3</v>
      </c>
      <c r="V133" s="10">
        <f t="shared" si="28"/>
        <v>1.7491388209007122E-4</v>
      </c>
    </row>
    <row r="134" spans="11:22">
      <c r="K134" s="66">
        <v>6.1</v>
      </c>
      <c r="L134" s="10">
        <f t="shared" si="15"/>
        <v>0.98546928940425049</v>
      </c>
      <c r="M134" s="10">
        <f t="shared" si="16"/>
        <v>0.97946573411201487</v>
      </c>
      <c r="N134" s="10">
        <f t="shared" si="22"/>
        <v>2.9439666083922772E-3</v>
      </c>
      <c r="O134" s="10">
        <f t="shared" si="23"/>
        <v>4.1828818656615167E-3</v>
      </c>
      <c r="P134" s="10">
        <f t="shared" si="24"/>
        <v>0.74258346679330478</v>
      </c>
      <c r="Q134" s="66">
        <f t="shared" si="29"/>
        <v>2</v>
      </c>
      <c r="R134" s="10">
        <f t="shared" si="25"/>
        <v>1.0216570551768604E-2</v>
      </c>
      <c r="T134" s="10">
        <f t="shared" si="26"/>
        <v>4.2202724901744008E-3</v>
      </c>
      <c r="V134" s="10">
        <f t="shared" si="28"/>
        <v>8.8415207572376428E-5</v>
      </c>
    </row>
    <row r="135" spans="11:22">
      <c r="K135" s="66">
        <v>6.15</v>
      </c>
      <c r="L135" s="10">
        <f t="shared" si="15"/>
        <v>0.98532398701647317</v>
      </c>
      <c r="M135" s="10">
        <f t="shared" si="16"/>
        <v>0.97926054418201647</v>
      </c>
      <c r="N135" s="10">
        <f t="shared" si="22"/>
        <v>2.9542691015757953E-3</v>
      </c>
      <c r="O135" s="10">
        <f t="shared" si="23"/>
        <v>4.1976724270084628E-3</v>
      </c>
      <c r="P135" s="10">
        <f t="shared" si="24"/>
        <v>0.74077413616635257</v>
      </c>
      <c r="Q135" s="66">
        <f t="shared" si="29"/>
        <v>4</v>
      </c>
      <c r="R135" s="10">
        <f t="shared" si="25"/>
        <v>2.0447822627436565E-2</v>
      </c>
      <c r="T135" s="10">
        <f t="shared" si="26"/>
        <v>8.4464295941603165E-3</v>
      </c>
      <c r="V135" s="10">
        <f t="shared" si="28"/>
        <v>1.7875602573128672E-4</v>
      </c>
    </row>
    <row r="136" spans="11:22">
      <c r="K136" s="66">
        <v>6.2</v>
      </c>
      <c r="L136" s="10">
        <f t="shared" si="15"/>
        <v>0.98517819764441616</v>
      </c>
      <c r="M136" s="10">
        <f t="shared" si="16"/>
        <v>0.97905467188827222</v>
      </c>
      <c r="N136" s="10">
        <f t="shared" si="22"/>
        <v>2.9646089163528539E-3</v>
      </c>
      <c r="O136" s="10">
        <f t="shared" si="23"/>
        <v>4.2125165683295929E-3</v>
      </c>
      <c r="P136" s="10">
        <f t="shared" si="24"/>
        <v>0.73896921403684768</v>
      </c>
      <c r="Q136" s="66">
        <f t="shared" si="29"/>
        <v>2</v>
      </c>
      <c r="R136" s="10">
        <f t="shared" si="25"/>
        <v>1.0231248126699771E-2</v>
      </c>
      <c r="T136" s="10">
        <f t="shared" si="26"/>
        <v>4.2261556505549386E-3</v>
      </c>
      <c r="V136" s="10">
        <f t="shared" si="28"/>
        <v>9.0345375101924039E-5</v>
      </c>
    </row>
    <row r="137" spans="11:22">
      <c r="K137" s="66">
        <v>6.25</v>
      </c>
      <c r="L137" s="10">
        <f t="shared" si="15"/>
        <v>0.98503191966911841</v>
      </c>
      <c r="M137" s="10">
        <f t="shared" si="16"/>
        <v>0.97884811505217295</v>
      </c>
      <c r="N137" s="10">
        <f t="shared" si="22"/>
        <v>2.9749861879238646E-3</v>
      </c>
      <c r="O137" s="10">
        <f t="shared" si="23"/>
        <v>4.2274144837225851E-3</v>
      </c>
      <c r="P137" s="10">
        <f t="shared" si="24"/>
        <v>0.73716868966333127</v>
      </c>
      <c r="Q137" s="66">
        <f t="shared" si="29"/>
        <v>4</v>
      </c>
      <c r="R137" s="10">
        <f t="shared" si="25"/>
        <v>2.0477161831247367E-2</v>
      </c>
      <c r="T137" s="10">
        <f t="shared" si="26"/>
        <v>8.4581900387272792E-3</v>
      </c>
      <c r="V137" s="10">
        <f t="shared" si="28"/>
        <v>1.826346250235942E-4</v>
      </c>
    </row>
    <row r="138" spans="11:22">
      <c r="K138" s="66">
        <v>6.3</v>
      </c>
      <c r="L138" s="10">
        <f t="shared" si="15"/>
        <v>0.98488515146676769</v>
      </c>
      <c r="M138" s="10">
        <f t="shared" si="16"/>
        <v>0.97864087148924039</v>
      </c>
      <c r="N138" s="10">
        <f t="shared" si="22"/>
        <v>2.9854010519790174E-3</v>
      </c>
      <c r="O138" s="10">
        <f t="shared" si="23"/>
        <v>4.2423663679882545E-3</v>
      </c>
      <c r="P138" s="10">
        <f t="shared" si="24"/>
        <v>0.73537255233051724</v>
      </c>
      <c r="Q138" s="66">
        <f t="shared" si="29"/>
        <v>2</v>
      </c>
      <c r="R138" s="10">
        <f t="shared" si="25"/>
        <v>1.0245909605101617E-2</v>
      </c>
      <c r="T138" s="10">
        <f t="shared" si="26"/>
        <v>4.2320328721494457E-3</v>
      </c>
      <c r="V138" s="10">
        <f t="shared" si="28"/>
        <v>9.2293843379330449E-5</v>
      </c>
    </row>
    <row r="139" spans="11:22">
      <c r="K139" s="66">
        <v>6.35</v>
      </c>
      <c r="L139" s="10">
        <f t="shared" si="15"/>
        <v>0.9847378914086885</v>
      </c>
      <c r="M139" s="10">
        <f t="shared" si="16"/>
        <v>0.97843293900911998</v>
      </c>
      <c r="N139" s="10">
        <f t="shared" si="22"/>
        <v>2.9958536447000474E-3</v>
      </c>
      <c r="O139" s="10">
        <f t="shared" si="23"/>
        <v>4.2573724166330967E-3</v>
      </c>
      <c r="P139" s="10">
        <f t="shared" si="24"/>
        <v>0.73358079134922693</v>
      </c>
      <c r="Q139" s="66">
        <f t="shared" si="29"/>
        <v>4</v>
      </c>
      <c r="R139" s="10">
        <f t="shared" si="25"/>
        <v>2.0506468238890397E-2</v>
      </c>
      <c r="T139" s="10">
        <f t="shared" si="26"/>
        <v>8.46993835486687E-3</v>
      </c>
      <c r="V139" s="10">
        <f t="shared" si="28"/>
        <v>1.8654997208418807E-4</v>
      </c>
    </row>
    <row r="140" spans="11:22">
      <c r="K140" s="66">
        <v>6.4</v>
      </c>
      <c r="L140" s="10">
        <f t="shared" ref="L140:L203" si="30">(B$7^K140)*B$8^((B$5^25)*((B$5^K140)-1))</f>
        <v>0.98459013786133309</v>
      </c>
      <c r="M140" s="10">
        <f t="shared" ref="M140:M203" si="31">(B$7^K140)*B$8^((B$5^30)*((B$5^K140)-1))</f>
        <v>0.97822431541557298</v>
      </c>
      <c r="N140" s="10">
        <f t="shared" si="22"/>
        <v>3.0063441027620196E-3</v>
      </c>
      <c r="O140" s="10">
        <f t="shared" si="23"/>
        <v>4.2724328258718419E-3</v>
      </c>
      <c r="P140" s="10">
        <f t="shared" si="24"/>
        <v>0.73179339605632654</v>
      </c>
      <c r="Q140" s="66">
        <f t="shared" si="29"/>
        <v>2</v>
      </c>
      <c r="R140" s="10">
        <f t="shared" si="25"/>
        <v>1.0260554382665241E-2</v>
      </c>
      <c r="T140" s="10">
        <f t="shared" si="26"/>
        <v>4.2379039036142306E-3</v>
      </c>
      <c r="V140" s="10">
        <f t="shared" si="28"/>
        <v>9.4260758891151047E-5</v>
      </c>
    </row>
    <row r="141" spans="11:22">
      <c r="K141" s="66">
        <v>6.45</v>
      </c>
      <c r="L141" s="10">
        <f t="shared" si="30"/>
        <v>0.98444188918627007</v>
      </c>
      <c r="M141" s="10">
        <f t="shared" si="31"/>
        <v>0.97801499850646911</v>
      </c>
      <c r="N141" s="10">
        <f t="shared" ref="N141:N204" si="32">B$3+B$4*(B$5^(25+K141))</f>
        <v>3.0168725633351184E-3</v>
      </c>
      <c r="O141" s="10">
        <f t="shared" ref="O141:O204" si="33">$B$3+$B$4*($B$5^(30+K141))</f>
        <v>4.2875477926300268E-3</v>
      </c>
      <c r="P141" s="10">
        <f t="shared" ref="P141:P204" si="34">(1+B$6)^-K141</f>
        <v>0.73001035581466378</v>
      </c>
      <c r="Q141" s="66">
        <f t="shared" si="29"/>
        <v>4</v>
      </c>
      <c r="R141" s="10">
        <f t="shared" ref="R141:R204" si="35">L141*M141*(N141+O141)*P141*Q141</f>
        <v>2.0535740636941698E-2</v>
      </c>
      <c r="T141" s="10">
        <f t="shared" ref="T141:T204" si="36">L141*M141*N141*P141*Q141</f>
        <v>8.4816740379352676E-3</v>
      </c>
      <c r="V141" s="10">
        <f t="shared" si="28"/>
        <v>1.9050236074212587E-4</v>
      </c>
    </row>
    <row r="142" spans="11:22">
      <c r="K142" s="66">
        <v>6.5</v>
      </c>
      <c r="L142" s="10">
        <f t="shared" si="30"/>
        <v>0.98429314374017285</v>
      </c>
      <c r="M142" s="10">
        <f t="shared" si="31"/>
        <v>0.97780498607377886</v>
      </c>
      <c r="N142" s="10">
        <f t="shared" si="32"/>
        <v>3.0274391640864344E-3</v>
      </c>
      <c r="O142" s="10">
        <f t="shared" si="33"/>
        <v>4.3027175145465644E-3</v>
      </c>
      <c r="P142" s="10">
        <f t="shared" si="34"/>
        <v>0.72823166001300332</v>
      </c>
      <c r="Q142" s="66">
        <f t="shared" si="29"/>
        <v>2</v>
      </c>
      <c r="R142" s="10">
        <f t="shared" si="35"/>
        <v>1.0275181850268482E-2</v>
      </c>
      <c r="T142" s="10">
        <f t="shared" si="36"/>
        <v>4.2437684916462317E-3</v>
      </c>
      <c r="V142" s="10">
        <f t="shared" ref="V142:V205" si="37">(1-L142)*M142*O142*P142*Q142</f>
        <v>9.6246268979892816E-5</v>
      </c>
    </row>
    <row r="143" spans="11:22">
      <c r="K143" s="66">
        <v>6.55</v>
      </c>
      <c r="L143" s="10">
        <f t="shared" si="30"/>
        <v>0.98414389987481121</v>
      </c>
      <c r="M143" s="10">
        <f t="shared" si="31"/>
        <v>0.9775942759035664</v>
      </c>
      <c r="N143" s="10">
        <f t="shared" si="32"/>
        <v>3.0380440431817687E-3</v>
      </c>
      <c r="O143" s="10">
        <f t="shared" si="33"/>
        <v>4.3179421899763324E-3</v>
      </c>
      <c r="P143" s="10">
        <f t="shared" si="34"/>
        <v>0.72645729806596526</v>
      </c>
      <c r="Q143" s="66">
        <f t="shared" ref="Q143:Q206" si="38">IF(Q142=4,2,4)</f>
        <v>4</v>
      </c>
      <c r="R143" s="10">
        <f t="shared" si="35"/>
        <v>2.0564977802322276E-2</v>
      </c>
      <c r="T143" s="10">
        <f t="shared" si="36"/>
        <v>8.4933965793581277E-3</v>
      </c>
      <c r="V143" s="10">
        <f t="shared" si="37"/>
        <v>1.9449208653837788E-4</v>
      </c>
    </row>
    <row r="144" spans="11:22">
      <c r="K144" s="66">
        <v>6.6</v>
      </c>
      <c r="L144" s="10">
        <f t="shared" si="30"/>
        <v>0.98399415593703909</v>
      </c>
      <c r="M144" s="10">
        <f t="shared" si="31"/>
        <v>0.97738286577598232</v>
      </c>
      <c r="N144" s="10">
        <f t="shared" si="32"/>
        <v>3.0486873392874397E-3</v>
      </c>
      <c r="O144" s="10">
        <f t="shared" si="33"/>
        <v>4.3332220179927656E-3</v>
      </c>
      <c r="P144" s="10">
        <f t="shared" si="34"/>
        <v>0.72468725941396073</v>
      </c>
      <c r="Q144" s="66">
        <f t="shared" si="38"/>
        <v>2</v>
      </c>
      <c r="R144" s="10">
        <f t="shared" si="35"/>
        <v>1.0289791393947419E-2</v>
      </c>
      <c r="T144" s="10">
        <f t="shared" si="36"/>
        <v>4.2496263809712323E-3</v>
      </c>
      <c r="V144" s="10">
        <f t="shared" si="37"/>
        <v>9.8250521843988516E-5</v>
      </c>
    </row>
    <row r="145" spans="11:22">
      <c r="K145" s="66">
        <v>6.65</v>
      </c>
      <c r="L145" s="10">
        <f t="shared" si="30"/>
        <v>0.9838439102687847</v>
      </c>
      <c r="M145" s="10">
        <f t="shared" si="31"/>
        <v>0.97717075346525628</v>
      </c>
      <c r="N145" s="10">
        <f t="shared" si="32"/>
        <v>3.0593691915720943E-3</v>
      </c>
      <c r="O145" s="10">
        <f t="shared" si="33"/>
        <v>4.3485571983904528E-3</v>
      </c>
      <c r="P145" s="10">
        <f t="shared" si="34"/>
        <v>0.72292153352313016</v>
      </c>
      <c r="Q145" s="66">
        <f t="shared" si="38"/>
        <v>4</v>
      </c>
      <c r="R145" s="10">
        <f t="shared" si="35"/>
        <v>2.0594178502241323E-2</v>
      </c>
      <c r="T145" s="10">
        <f t="shared" si="36"/>
        <v>8.5051054666070956E-3</v>
      </c>
      <c r="V145" s="10">
        <f t="shared" si="37"/>
        <v>1.9851944672561199E-4</v>
      </c>
    </row>
    <row r="146" spans="11:22">
      <c r="K146" s="66">
        <v>6.7</v>
      </c>
      <c r="L146" s="10">
        <f t="shared" si="30"/>
        <v>0.98369316120703998</v>
      </c>
      <c r="M146" s="10">
        <f t="shared" si="31"/>
        <v>0.97695793673969034</v>
      </c>
      <c r="N146" s="10">
        <f t="shared" si="32"/>
        <v>3.0700897397085312E-3</v>
      </c>
      <c r="O146" s="10">
        <f t="shared" si="33"/>
        <v>4.363947931687759E-3</v>
      </c>
      <c r="P146" s="10">
        <f t="shared" si="34"/>
        <v>0.72116010988527979</v>
      </c>
      <c r="Q146" s="66">
        <f t="shared" si="38"/>
        <v>2</v>
      </c>
      <c r="R146" s="10">
        <f t="shared" si="35"/>
        <v>1.0304382394868061E-2</v>
      </c>
      <c r="T146" s="10">
        <f t="shared" si="36"/>
        <v>4.2554773143321694E-3</v>
      </c>
      <c r="V146" s="10">
        <f t="shared" si="37"/>
        <v>1.0027366653762371E-4</v>
      </c>
    </row>
    <row r="147" spans="11:22">
      <c r="K147" s="66">
        <v>6.75</v>
      </c>
      <c r="L147" s="10">
        <f t="shared" si="30"/>
        <v>0.98354190708384992</v>
      </c>
      <c r="M147" s="10">
        <f t="shared" si="31"/>
        <v>0.97674441336165063</v>
      </c>
      <c r="N147" s="10">
        <f t="shared" si="32"/>
        <v>3.0808491238755228E-3</v>
      </c>
      <c r="O147" s="10">
        <f t="shared" si="33"/>
        <v>4.3793944191294395E-3</v>
      </c>
      <c r="P147" s="10">
        <f t="shared" si="34"/>
        <v>0.71940297801781972</v>
      </c>
      <c r="Q147" s="66">
        <f t="shared" si="38"/>
        <v>4</v>
      </c>
      <c r="R147" s="10">
        <f t="shared" si="35"/>
        <v>2.0623341494139549E-2</v>
      </c>
      <c r="T147" s="10">
        <f t="shared" si="36"/>
        <v>8.5168001831764425E-3</v>
      </c>
      <c r="V147" s="10">
        <f t="shared" si="37"/>
        <v>2.0258474026776108E-4</v>
      </c>
    </row>
    <row r="148" spans="11:22">
      <c r="K148" s="66">
        <v>6.8</v>
      </c>
      <c r="L148" s="10">
        <f t="shared" si="30"/>
        <v>0.98339014622630183</v>
      </c>
      <c r="M148" s="10">
        <f t="shared" si="31"/>
        <v>0.97653018108756162</v>
      </c>
      <c r="N148" s="10">
        <f t="shared" si="32"/>
        <v>3.0916474847596503E-3</v>
      </c>
      <c r="O148" s="10">
        <f t="shared" si="33"/>
        <v>4.39489686268928E-3</v>
      </c>
      <c r="P148" s="10">
        <f t="shared" si="34"/>
        <v>0.71765012746370072</v>
      </c>
      <c r="Q148" s="66">
        <f t="shared" si="38"/>
        <v>2</v>
      </c>
      <c r="R148" s="10">
        <f t="shared" si="35"/>
        <v>1.0318954229298044E-2</v>
      </c>
      <c r="T148" s="10">
        <f t="shared" si="36"/>
        <v>4.2613210324774454E-3</v>
      </c>
      <c r="V148" s="10">
        <f t="shared" si="37"/>
        <v>1.0231585297046048E-4</v>
      </c>
    </row>
    <row r="149" spans="11:22">
      <c r="K149" s="66">
        <v>6.85</v>
      </c>
      <c r="L149" s="10">
        <f t="shared" si="30"/>
        <v>0.98323787695651566</v>
      </c>
      <c r="M149" s="10">
        <f t="shared" si="31"/>
        <v>0.97631523766789852</v>
      </c>
      <c r="N149" s="10">
        <f t="shared" si="32"/>
        <v>3.1024849635571433E-3</v>
      </c>
      <c r="O149" s="10">
        <f t="shared" si="33"/>
        <v>4.4104554650727275E-3</v>
      </c>
      <c r="P149" s="10">
        <f t="shared" si="34"/>
        <v>0.71590154779135318</v>
      </c>
      <c r="Q149" s="66">
        <f t="shared" si="38"/>
        <v>4</v>
      </c>
      <c r="R149" s="10">
        <f t="shared" si="35"/>
        <v>2.0652465525632671E-2</v>
      </c>
      <c r="T149" s="10">
        <f t="shared" si="36"/>
        <v>8.5284802085596675E-3</v>
      </c>
      <c r="V149" s="10">
        <f t="shared" si="37"/>
        <v>2.0668826783934292E-4</v>
      </c>
    </row>
    <row r="150" spans="11:22">
      <c r="K150" s="66">
        <v>6.9</v>
      </c>
      <c r="L150" s="10">
        <f t="shared" si="30"/>
        <v>0.98308509759163243</v>
      </c>
      <c r="M150" s="10">
        <f t="shared" si="31"/>
        <v>0.97609958084718074</v>
      </c>
      <c r="N150" s="10">
        <f t="shared" si="32"/>
        <v>3.1133617019757248E-3</v>
      </c>
      <c r="O150" s="10">
        <f t="shared" si="33"/>
        <v>4.4260704297195445E-3</v>
      </c>
      <c r="P150" s="10">
        <f t="shared" si="34"/>
        <v>0.71415722859462394</v>
      </c>
      <c r="Q150" s="66">
        <f t="shared" si="38"/>
        <v>2</v>
      </c>
      <c r="R150" s="10">
        <f t="shared" si="35"/>
        <v>1.0333506268578424E-2</v>
      </c>
      <c r="T150" s="10">
        <f t="shared" si="36"/>
        <v>4.267157274149262E-3</v>
      </c>
      <c r="V150" s="10">
        <f t="shared" si="37"/>
        <v>1.0437723190723444E-4</v>
      </c>
    </row>
    <row r="151" spans="11:22">
      <c r="K151" s="66">
        <v>6.95</v>
      </c>
      <c r="L151" s="10">
        <f t="shared" si="30"/>
        <v>0.98293180644380462</v>
      </c>
      <c r="M151" s="10">
        <f t="shared" si="31"/>
        <v>0.97588320836396458</v>
      </c>
      <c r="N151" s="10">
        <f t="shared" si="32"/>
        <v>3.1242778422364693E-3</v>
      </c>
      <c r="O151" s="10">
        <f t="shared" si="33"/>
        <v>4.4417419608064751E-3</v>
      </c>
      <c r="P151" s="10">
        <f t="shared" si="34"/>
        <v>0.712417159492715</v>
      </c>
      <c r="Q151" s="66">
        <f t="shared" si="38"/>
        <v>4</v>
      </c>
      <c r="R151" s="10">
        <f t="shared" si="35"/>
        <v>2.068154933445512E-2</v>
      </c>
      <c r="T151" s="10">
        <f t="shared" si="36"/>
        <v>8.5401450182262736E-3</v>
      </c>
      <c r="V151" s="10">
        <f t="shared" si="37"/>
        <v>2.1083033182451769E-4</v>
      </c>
    </row>
    <row r="152" spans="11:22">
      <c r="K152" s="66">
        <v>7</v>
      </c>
      <c r="L152" s="10">
        <f t="shared" si="30"/>
        <v>0.98277800182018571</v>
      </c>
      <c r="M152" s="10">
        <f t="shared" si="31"/>
        <v>0.97566611795083713</v>
      </c>
      <c r="N152" s="10">
        <f t="shared" si="32"/>
        <v>3.1352335270756555E-3</v>
      </c>
      <c r="O152" s="10">
        <f t="shared" si="33"/>
        <v>4.457470263249907E-3</v>
      </c>
      <c r="P152" s="10">
        <f t="shared" si="34"/>
        <v>0.71068133013012147</v>
      </c>
      <c r="Q152" s="66">
        <f t="shared" si="38"/>
        <v>2</v>
      </c>
      <c r="R152" s="10">
        <f t="shared" si="35"/>
        <v>1.034803787909557E-2</v>
      </c>
      <c r="T152" s="10">
        <f t="shared" si="36"/>
        <v>4.2729857760720261E-3</v>
      </c>
      <c r="V152" s="10">
        <f t="shared" si="37"/>
        <v>1.0645795496722066E-4</v>
      </c>
    </row>
    <row r="153" spans="11:22">
      <c r="K153" s="66">
        <v>7.05</v>
      </c>
      <c r="L153" s="10">
        <f t="shared" si="30"/>
        <v>0.98262368202291861</v>
      </c>
      <c r="M153" s="10">
        <f t="shared" si="31"/>
        <v>0.97544830733440879</v>
      </c>
      <c r="N153" s="10">
        <f t="shared" si="32"/>
        <v>3.1462288997466288E-3</v>
      </c>
      <c r="O153" s="10">
        <f t="shared" si="33"/>
        <v>4.4732555427085463E-3</v>
      </c>
      <c r="P153" s="10">
        <f t="shared" si="34"/>
        <v>0.7089497301765697</v>
      </c>
      <c r="Q153" s="66">
        <f t="shared" si="38"/>
        <v>4</v>
      </c>
      <c r="R153" s="10">
        <f t="shared" si="35"/>
        <v>2.0710591648403897E-2</v>
      </c>
      <c r="T153" s="10">
        <f t="shared" si="36"/>
        <v>8.5517940835985688E-3</v>
      </c>
      <c r="V153" s="10">
        <f t="shared" si="37"/>
        <v>2.1501123631589055E-4</v>
      </c>
    </row>
    <row r="154" spans="11:22">
      <c r="K154" s="66">
        <v>7.1</v>
      </c>
      <c r="L154" s="10">
        <f t="shared" si="30"/>
        <v>0.98246884534912671</v>
      </c>
      <c r="M154" s="10">
        <f t="shared" si="31"/>
        <v>0.97522977423530754</v>
      </c>
      <c r="N154" s="10">
        <f t="shared" si="32"/>
        <v>3.1572641040216978E-3</v>
      </c>
      <c r="O154" s="10">
        <f t="shared" si="33"/>
        <v>4.48909800558613E-3</v>
      </c>
      <c r="P154" s="10">
        <f t="shared" si="34"/>
        <v>0.70722234932695693</v>
      </c>
      <c r="Q154" s="66">
        <f t="shared" si="38"/>
        <v>2</v>
      </c>
      <c r="R154" s="10">
        <f t="shared" si="35"/>
        <v>1.0362548422253096E-2</v>
      </c>
      <c r="T154" s="10">
        <f t="shared" si="36"/>
        <v>4.2788062729407416E-3</v>
      </c>
      <c r="V154" s="10">
        <f t="shared" si="37"/>
        <v>1.0855817462357352E-4</v>
      </c>
    </row>
    <row r="155" spans="11:22">
      <c r="K155" s="66">
        <v>7.15</v>
      </c>
      <c r="L155" s="10">
        <f t="shared" si="30"/>
        <v>0.98231349009090252</v>
      </c>
      <c r="M155" s="10">
        <f t="shared" si="31"/>
        <v>0.97501051636817193</v>
      </c>
      <c r="N155" s="10">
        <f t="shared" si="32"/>
        <v>3.16833928419398E-3</v>
      </c>
      <c r="O155" s="10">
        <f t="shared" si="33"/>
        <v>4.5049978590340975E-3</v>
      </c>
      <c r="P155" s="10">
        <f t="shared" si="34"/>
        <v>0.70549917730128819</v>
      </c>
      <c r="Q155" s="66">
        <f t="shared" si="38"/>
        <v>4</v>
      </c>
      <c r="R155" s="10">
        <f t="shared" si="35"/>
        <v>2.0739591185282621E-2</v>
      </c>
      <c r="T155" s="10">
        <f t="shared" si="36"/>
        <v>8.5634268720285525E-3</v>
      </c>
      <c r="V155" s="10">
        <f t="shared" si="37"/>
        <v>2.1923128711307687E-4</v>
      </c>
    </row>
    <row r="156" spans="11:22">
      <c r="K156" s="66">
        <v>7.2</v>
      </c>
      <c r="L156" s="10">
        <f t="shared" si="30"/>
        <v>0.98215761453529782</v>
      </c>
      <c r="M156" s="10">
        <f t="shared" si="31"/>
        <v>0.9747905314416444</v>
      </c>
      <c r="N156" s="10">
        <f t="shared" si="32"/>
        <v>3.1794545850793192E-3</v>
      </c>
      <c r="O156" s="10">
        <f t="shared" si="33"/>
        <v>4.5209553109543128E-3</v>
      </c>
      <c r="P156" s="10">
        <f t="shared" si="34"/>
        <v>0.70378020384461681</v>
      </c>
      <c r="Q156" s="66">
        <f t="shared" si="38"/>
        <v>2</v>
      </c>
      <c r="R156" s="10">
        <f t="shared" si="35"/>
        <v>1.0377037254444027E-2</v>
      </c>
      <c r="T156" s="10">
        <f t="shared" si="36"/>
        <v>4.2846184974095142E-3</v>
      </c>
      <c r="V156" s="10">
        <f t="shared" si="37"/>
        <v>1.1067804420253245E-4</v>
      </c>
    </row>
    <row r="157" spans="11:22">
      <c r="K157" s="66">
        <v>7.25</v>
      </c>
      <c r="L157" s="10">
        <f t="shared" si="30"/>
        <v>0.98200121696431253</v>
      </c>
      <c r="M157" s="10">
        <f t="shared" si="31"/>
        <v>0.97456981715836544</v>
      </c>
      <c r="N157" s="10">
        <f t="shared" si="32"/>
        <v>3.1906101520181545E-3</v>
      </c>
      <c r="O157" s="10">
        <f t="shared" si="33"/>
        <v>4.5369705700017788E-3</v>
      </c>
      <c r="P157" s="10">
        <f t="shared" si="34"/>
        <v>0.70206541872698214</v>
      </c>
      <c r="Q157" s="66">
        <f t="shared" si="38"/>
        <v>4</v>
      </c>
      <c r="R157" s="10">
        <f t="shared" si="35"/>
        <v>2.0768546652845742E-2</v>
      </c>
      <c r="T157" s="10">
        <f t="shared" si="36"/>
        <v>8.5750428467748548E-3</v>
      </c>
      <c r="V157" s="10">
        <f t="shared" si="37"/>
        <v>2.2349079172095888E-4</v>
      </c>
    </row>
    <row r="158" spans="11:22">
      <c r="K158" s="66">
        <v>7.3</v>
      </c>
      <c r="L158" s="10">
        <f t="shared" si="30"/>
        <v>0.98184429565488529</v>
      </c>
      <c r="M158" s="10">
        <f t="shared" si="31"/>
        <v>0.97434837121496709</v>
      </c>
      <c r="N158" s="10">
        <f t="shared" si="32"/>
        <v>3.2018061308774423E-3</v>
      </c>
      <c r="O158" s="10">
        <f t="shared" si="33"/>
        <v>4.5530438455873741E-3</v>
      </c>
      <c r="P158" s="10">
        <f t="shared" si="34"/>
        <v>0.70035481174334968</v>
      </c>
      <c r="Q158" s="66">
        <f t="shared" si="38"/>
        <v>2</v>
      </c>
      <c r="R158" s="10">
        <f t="shared" si="35"/>
        <v>1.0391503727022876E-2</v>
      </c>
      <c r="T158" s="10">
        <f t="shared" si="36"/>
        <v>4.2904221800800155E-3</v>
      </c>
      <c r="V158" s="10">
        <f t="shared" si="37"/>
        <v>1.128177178824948E-4</v>
      </c>
    </row>
    <row r="159" spans="11:22">
      <c r="K159" s="66">
        <v>7.35</v>
      </c>
      <c r="L159" s="10">
        <f t="shared" si="30"/>
        <v>0.98168684887888202</v>
      </c>
      <c r="M159" s="10">
        <f t="shared" si="31"/>
        <v>0.97412619130206635</v>
      </c>
      <c r="N159" s="10">
        <f t="shared" si="32"/>
        <v>3.2130426680525509E-3</v>
      </c>
      <c r="O159" s="10">
        <f t="shared" si="33"/>
        <v>4.5691753478805785E-3</v>
      </c>
      <c r="P159" s="10">
        <f t="shared" si="34"/>
        <v>0.6986483727135494</v>
      </c>
      <c r="Q159" s="66">
        <f t="shared" si="38"/>
        <v>4</v>
      </c>
      <c r="R159" s="10">
        <f t="shared" si="35"/>
        <v>2.079745674874307E-2</v>
      </c>
      <c r="T159" s="10">
        <f t="shared" si="36"/>
        <v>8.5866414669798358E-3</v>
      </c>
      <c r="V159" s="10">
        <f t="shared" si="37"/>
        <v>2.2779005934770989E-4</v>
      </c>
    </row>
    <row r="160" spans="11:22">
      <c r="K160" s="66">
        <v>7.4</v>
      </c>
      <c r="L160" s="10">
        <f t="shared" si="30"/>
        <v>0.98152887490308705</v>
      </c>
      <c r="M160" s="10">
        <f t="shared" si="31"/>
        <v>0.97390327510425945</v>
      </c>
      <c r="N160" s="10">
        <f t="shared" si="32"/>
        <v>3.2243199104691712E-3</v>
      </c>
      <c r="O160" s="10">
        <f t="shared" si="33"/>
        <v>4.5853652878122281E-3</v>
      </c>
      <c r="P160" s="10">
        <f t="shared" si="34"/>
        <v>0.69694609148221576</v>
      </c>
      <c r="Q160" s="66">
        <f t="shared" si="38"/>
        <v>2</v>
      </c>
      <c r="R160" s="10">
        <f t="shared" si="35"/>
        <v>1.0405947186277993E-2</v>
      </c>
      <c r="T160" s="10">
        <f t="shared" si="36"/>
        <v>4.2962170494900689E-3</v>
      </c>
      <c r="V160" s="10">
        <f t="shared" si="37"/>
        <v>1.1497735069294995E-4</v>
      </c>
    </row>
    <row r="161" spans="11:22">
      <c r="K161" s="66">
        <v>7.45</v>
      </c>
      <c r="L161" s="10">
        <f t="shared" si="30"/>
        <v>0.98137037198919086</v>
      </c>
      <c r="M161" s="10">
        <f t="shared" si="31"/>
        <v>0.97367962030011601</v>
      </c>
      <c r="N161" s="10">
        <f t="shared" si="32"/>
        <v>3.2356380055852539E-3</v>
      </c>
      <c r="O161" s="10">
        <f t="shared" si="33"/>
        <v>4.6016138770772789E-3</v>
      </c>
      <c r="P161" s="10">
        <f t="shared" si="34"/>
        <v>0.69524795791872729</v>
      </c>
      <c r="Q161" s="66">
        <f t="shared" si="38"/>
        <v>4</v>
      </c>
      <c r="R161" s="10">
        <f t="shared" si="35"/>
        <v>2.0826320160464377E-2</v>
      </c>
      <c r="T161" s="10">
        <f t="shared" si="36"/>
        <v>8.5982221876467081E-3</v>
      </c>
      <c r="V161" s="10">
        <f t="shared" si="37"/>
        <v>2.3212940090250824E-4</v>
      </c>
    </row>
    <row r="162" spans="11:22">
      <c r="K162" s="66">
        <v>7.5</v>
      </c>
      <c r="L162" s="10">
        <f t="shared" si="30"/>
        <v>0.98121133839378172</v>
      </c>
      <c r="M162" s="10">
        <f t="shared" si="31"/>
        <v>0.97345522456217215</v>
      </c>
      <c r="N162" s="10">
        <f t="shared" si="32"/>
        <v>3.2469971013929172E-3</v>
      </c>
      <c r="O162" s="10">
        <f t="shared" si="33"/>
        <v>4.6179213281375558E-3</v>
      </c>
      <c r="P162" s="10">
        <f t="shared" si="34"/>
        <v>0.69355396191714602</v>
      </c>
      <c r="Q162" s="66">
        <f t="shared" si="38"/>
        <v>2</v>
      </c>
      <c r="R162" s="10">
        <f t="shared" si="35"/>
        <v>1.0420366973403948E-2</v>
      </c>
      <c r="T162" s="10">
        <f t="shared" si="36"/>
        <v>4.3020028321022292E-3</v>
      </c>
      <c r="V162" s="10">
        <f t="shared" si="37"/>
        <v>1.1715709851327054E-4</v>
      </c>
    </row>
    <row r="163" spans="11:22">
      <c r="K163" s="66">
        <v>7.55</v>
      </c>
      <c r="L163" s="10">
        <f t="shared" si="30"/>
        <v>0.98105177236833385</v>
      </c>
      <c r="M163" s="10">
        <f t="shared" si="31"/>
        <v>0.97323008555692547</v>
      </c>
      <c r="N163" s="10">
        <f t="shared" si="32"/>
        <v>3.2583973464204003E-3</v>
      </c>
      <c r="O163" s="10">
        <f t="shared" si="33"/>
        <v>4.6342878542245574E-3</v>
      </c>
      <c r="P163" s="10">
        <f t="shared" si="34"/>
        <v>0.69186409339615729</v>
      </c>
      <c r="Q163" s="66">
        <f t="shared" si="38"/>
        <v>4</v>
      </c>
      <c r="R163" s="10">
        <f t="shared" si="35"/>
        <v>2.0855135565284389E-2</v>
      </c>
      <c r="T163" s="10">
        <f t="shared" si="36"/>
        <v>8.6097844596167879E-3</v>
      </c>
      <c r="V163" s="10">
        <f t="shared" si="37"/>
        <v>2.3650912899299072E-4</v>
      </c>
    </row>
    <row r="164" spans="11:22">
      <c r="K164" s="66">
        <v>7.6</v>
      </c>
      <c r="L164" s="10">
        <f t="shared" si="30"/>
        <v>0.98089167215919837</v>
      </c>
      <c r="M164" s="10">
        <f t="shared" si="31"/>
        <v>0.97300420094482887</v>
      </c>
      <c r="N164" s="10">
        <f t="shared" si="32"/>
        <v>3.269838889733998E-3</v>
      </c>
      <c r="O164" s="10">
        <f t="shared" si="33"/>
        <v>4.650713669342223E-3</v>
      </c>
      <c r="P164" s="10">
        <f t="shared" si="34"/>
        <v>0.69017834229901021</v>
      </c>
      <c r="Q164" s="66">
        <f t="shared" si="38"/>
        <v>2</v>
      </c>
      <c r="R164" s="10">
        <f t="shared" si="35"/>
        <v>1.0434762424474053E-2</v>
      </c>
      <c r="T164" s="10">
        <f t="shared" si="36"/>
        <v>4.3077792522924329E-3</v>
      </c>
      <c r="V164" s="10">
        <f t="shared" si="37"/>
        <v>1.19357118071362E-4</v>
      </c>
    </row>
    <row r="165" spans="11:22">
      <c r="K165" s="66">
        <v>7.65</v>
      </c>
      <c r="L165" s="10">
        <f t="shared" si="30"/>
        <v>0.98073103600759204</v>
      </c>
      <c r="M165" s="10">
        <f t="shared" si="31"/>
        <v>0.97277756838028451</v>
      </c>
      <c r="N165" s="10">
        <f t="shared" si="32"/>
        <v>3.2813218809400013E-3</v>
      </c>
      <c r="O165" s="10">
        <f t="shared" si="33"/>
        <v>4.6671989882697352E-3</v>
      </c>
      <c r="P165" s="10">
        <f t="shared" si="34"/>
        <v>0.6884966985934573</v>
      </c>
      <c r="Q165" s="66">
        <f t="shared" si="38"/>
        <v>4</v>
      </c>
      <c r="R165" s="10">
        <f t="shared" si="35"/>
        <v>2.0883901630207983E-2</v>
      </c>
      <c r="T165" s="10">
        <f t="shared" si="36"/>
        <v>8.6213277295468863E-3</v>
      </c>
      <c r="V165" s="10">
        <f t="shared" si="37"/>
        <v>2.4092955792239369E-4</v>
      </c>
    </row>
    <row r="166" spans="11:22">
      <c r="K166" s="66">
        <v>7.7</v>
      </c>
      <c r="L166" s="10">
        <f t="shared" si="30"/>
        <v>0.98056986214958741</v>
      </c>
      <c r="M166" s="10">
        <f t="shared" si="31"/>
        <v>0.97255018551163874</v>
      </c>
      <c r="N166" s="10">
        <f t="shared" si="32"/>
        <v>3.2928464701866729E-3</v>
      </c>
      <c r="O166" s="10">
        <f t="shared" si="33"/>
        <v>4.6837440265643411E-3</v>
      </c>
      <c r="P166" s="10">
        <f t="shared" si="34"/>
        <v>0.6868191522716951</v>
      </c>
      <c r="Q166" s="66">
        <f t="shared" si="38"/>
        <v>2</v>
      </c>
      <c r="R166" s="10">
        <f t="shared" si="35"/>
        <v>1.0449132870413016E-2</v>
      </c>
      <c r="T166" s="10">
        <f t="shared" si="36"/>
        <v>4.3135460323387156E-3</v>
      </c>
      <c r="V166" s="10">
        <f t="shared" si="37"/>
        <v>1.2157756694216481E-4</v>
      </c>
    </row>
    <row r="167" spans="11:22">
      <c r="K167" s="66">
        <v>7.75</v>
      </c>
      <c r="L167" s="10">
        <f t="shared" si="30"/>
        <v>0.98040814881610294</v>
      </c>
      <c r="M167" s="10">
        <f t="shared" si="31"/>
        <v>0.97232204998117611</v>
      </c>
      <c r="N167" s="10">
        <f t="shared" si="32"/>
        <v>3.3044128081661868E-3</v>
      </c>
      <c r="O167" s="10">
        <f t="shared" si="33"/>
        <v>4.7003490005641472E-3</v>
      </c>
      <c r="P167" s="10">
        <f t="shared" si="34"/>
        <v>0.6851456933503044</v>
      </c>
      <c r="Q167" s="66">
        <f t="shared" si="38"/>
        <v>4</v>
      </c>
      <c r="R167" s="10">
        <f t="shared" si="35"/>
        <v>2.0912617011915522E-2</v>
      </c>
      <c r="T167" s="10">
        <f t="shared" si="36"/>
        <v>8.6328514398867021E-3</v>
      </c>
      <c r="V167" s="10">
        <f t="shared" si="37"/>
        <v>2.4539100368642272E-4</v>
      </c>
    </row>
    <row r="168" spans="11:22">
      <c r="K168" s="66">
        <v>7.8</v>
      </c>
      <c r="L168" s="10">
        <f t="shared" si="30"/>
        <v>0.98024589423289243</v>
      </c>
      <c r="M168" s="10">
        <f t="shared" si="31"/>
        <v>0.97209315942511387</v>
      </c>
      <c r="N168" s="10">
        <f t="shared" si="32"/>
        <v>3.3160210461166224E-3</v>
      </c>
      <c r="O168" s="10">
        <f t="shared" si="33"/>
        <v>4.7170141273909756E-3</v>
      </c>
      <c r="P168" s="10">
        <f t="shared" si="34"/>
        <v>0.6834763118701912</v>
      </c>
      <c r="Q168" s="66">
        <f t="shared" si="38"/>
        <v>2</v>
      </c>
      <c r="R168" s="10">
        <f t="shared" si="35"/>
        <v>1.0463477636969722E-2</v>
      </c>
      <c r="T168" s="10">
        <f t="shared" si="36"/>
        <v>4.3193028924099486E-3</v>
      </c>
      <c r="V168" s="10">
        <f t="shared" si="37"/>
        <v>1.2381860354600827E-4</v>
      </c>
    </row>
    <row r="169" spans="11:22">
      <c r="K169" s="66">
        <v>7.85</v>
      </c>
      <c r="L169" s="10">
        <f t="shared" si="30"/>
        <v>0.98008309662053461</v>
      </c>
      <c r="M169" s="10">
        <f t="shared" si="31"/>
        <v>0.97186351147359684</v>
      </c>
      <c r="N169" s="10">
        <f t="shared" si="32"/>
        <v>3.3276713358239289E-3</v>
      </c>
      <c r="O169" s="10">
        <f t="shared" si="33"/>
        <v>4.7337396249531819E-3</v>
      </c>
      <c r="P169" s="10">
        <f t="shared" si="34"/>
        <v>0.68181099789652677</v>
      </c>
      <c r="Q169" s="66">
        <f t="shared" si="38"/>
        <v>4</v>
      </c>
      <c r="R169" s="10">
        <f t="shared" si="35"/>
        <v>2.0941280356708676E-2</v>
      </c>
      <c r="T169" s="10">
        <f t="shared" si="36"/>
        <v>8.6443550288564548E-3</v>
      </c>
      <c r="V169" s="10">
        <f t="shared" si="37"/>
        <v>2.4989378396978872E-4</v>
      </c>
    </row>
    <row r="170" spans="11:22">
      <c r="K170" s="66">
        <v>7.9</v>
      </c>
      <c r="L170" s="10">
        <f t="shared" si="30"/>
        <v>0.97991975419442356</v>
      </c>
      <c r="M170" s="10">
        <f t="shared" si="31"/>
        <v>0.97163310375069178</v>
      </c>
      <c r="N170" s="10">
        <f t="shared" si="32"/>
        <v>3.3393638296239044E-3</v>
      </c>
      <c r="O170" s="10">
        <f t="shared" si="33"/>
        <v>4.7505257119485091E-3</v>
      </c>
      <c r="P170" s="10">
        <f t="shared" si="34"/>
        <v>0.68014974151868945</v>
      </c>
      <c r="Q170" s="66">
        <f t="shared" si="38"/>
        <v>2</v>
      </c>
      <c r="R170" s="10">
        <f t="shared" si="35"/>
        <v>1.0477796044690188E-2</v>
      </c>
      <c r="T170" s="10">
        <f t="shared" si="36"/>
        <v>4.3250495505546861E-3</v>
      </c>
      <c r="V170" s="10">
        <f t="shared" si="37"/>
        <v>1.2608038714680969E-4</v>
      </c>
    </row>
    <row r="171" spans="11:22">
      <c r="K171" s="66">
        <v>7.95</v>
      </c>
      <c r="L171" s="10">
        <f t="shared" si="30"/>
        <v>0.9797558651647581</v>
      </c>
      <c r="M171" s="10">
        <f t="shared" si="31"/>
        <v>0.97140193387438212</v>
      </c>
      <c r="N171" s="10">
        <f t="shared" si="32"/>
        <v>3.3510986804042059E-3</v>
      </c>
      <c r="O171" s="10">
        <f t="shared" si="33"/>
        <v>4.7673726078669605E-3</v>
      </c>
      <c r="P171" s="10">
        <f t="shared" si="34"/>
        <v>0.67849253285020472</v>
      </c>
      <c r="Q171" s="66">
        <f t="shared" si="38"/>
        <v>4</v>
      </c>
      <c r="R171" s="10">
        <f t="shared" si="35"/>
        <v>2.0969890300456331E-2</v>
      </c>
      <c r="T171" s="10">
        <f t="shared" si="36"/>
        <v>8.6558379304245425E-3</v>
      </c>
      <c r="V171" s="10">
        <f t="shared" si="37"/>
        <v>2.5443821814246845E-4</v>
      </c>
    </row>
    <row r="172" spans="11:22">
      <c r="K172" s="66">
        <v>8</v>
      </c>
      <c r="L172" s="10">
        <f t="shared" si="30"/>
        <v>0.97959142773653229</v>
      </c>
      <c r="M172" s="10">
        <f t="shared" si="31"/>
        <v>0.97116999945656335</v>
      </c>
      <c r="N172" s="10">
        <f t="shared" si="32"/>
        <v>3.3628760416063294E-3</v>
      </c>
      <c r="O172" s="10">
        <f t="shared" si="33"/>
        <v>4.7842805329936493E-3</v>
      </c>
      <c r="P172" s="10">
        <f t="shared" si="34"/>
        <v>0.67683936202868722</v>
      </c>
      <c r="Q172" s="66">
        <f t="shared" si="38"/>
        <v>2</v>
      </c>
      <c r="R172" s="10">
        <f t="shared" si="35"/>
        <v>1.0492087408890615E-2</v>
      </c>
      <c r="T172" s="10">
        <f t="shared" si="36"/>
        <v>4.3307857226900157E-3</v>
      </c>
      <c r="V172" s="10">
        <f t="shared" si="37"/>
        <v>1.2836307785011559E-4</v>
      </c>
    </row>
    <row r="173" spans="11:22">
      <c r="K173" s="66">
        <v>8.0500000000000007</v>
      </c>
      <c r="L173" s="10">
        <f t="shared" si="30"/>
        <v>0.97942644010952418</v>
      </c>
      <c r="M173" s="10">
        <f t="shared" si="31"/>
        <v>0.97093729810303719</v>
      </c>
      <c r="N173" s="10">
        <f t="shared" si="32"/>
        <v>3.3746960672276262E-3</v>
      </c>
      <c r="O173" s="10">
        <f t="shared" si="33"/>
        <v>4.8012497084116874E-3</v>
      </c>
      <c r="P173" s="10">
        <f t="shared" si="34"/>
        <v>0.6751902192157806</v>
      </c>
      <c r="Q173" s="66">
        <f t="shared" si="38"/>
        <v>4</v>
      </c>
      <c r="R173" s="10">
        <f t="shared" si="35"/>
        <v>2.0998445468540961E-2</v>
      </c>
      <c r="T173" s="10">
        <f t="shared" si="36"/>
        <v>8.6672995742853778E-3</v>
      </c>
      <c r="V173" s="10">
        <f t="shared" si="37"/>
        <v>2.5902462725561388E-4</v>
      </c>
    </row>
    <row r="174" spans="11:22">
      <c r="K174" s="66">
        <v>8.1</v>
      </c>
      <c r="L174" s="10">
        <f t="shared" si="30"/>
        <v>0.97926090047828718</v>
      </c>
      <c r="M174" s="10">
        <f t="shared" si="31"/>
        <v>0.97070382741350736</v>
      </c>
      <c r="N174" s="10">
        <f t="shared" si="32"/>
        <v>3.3865589118233252E-3</v>
      </c>
      <c r="O174" s="10">
        <f t="shared" si="33"/>
        <v>4.8182803560050903E-3</v>
      </c>
      <c r="P174" s="10">
        <f t="shared" si="34"/>
        <v>0.67354509459710177</v>
      </c>
      <c r="Q174" s="66">
        <f t="shared" si="38"/>
        <v>2</v>
      </c>
      <c r="R174" s="10">
        <f t="shared" si="35"/>
        <v>1.0506351039630581E-2</v>
      </c>
      <c r="T174" s="10">
        <f t="shared" si="36"/>
        <v>4.3365111225904971E-3</v>
      </c>
      <c r="V174" s="10">
        <f t="shared" si="37"/>
        <v>1.306668366009859E-4</v>
      </c>
    </row>
    <row r="175" spans="11:22">
      <c r="K175" s="66">
        <v>8.15</v>
      </c>
      <c r="L175" s="10">
        <f t="shared" si="30"/>
        <v>0.97909480703213836</v>
      </c>
      <c r="M175" s="10">
        <f t="shared" si="31"/>
        <v>0.97046958498157376</v>
      </c>
      <c r="N175" s="10">
        <f t="shared" si="32"/>
        <v>3.3984647305085286E-3</v>
      </c>
      <c r="O175" s="10">
        <f t="shared" si="33"/>
        <v>4.8353726984616532E-3</v>
      </c>
      <c r="P175" s="10">
        <f t="shared" si="34"/>
        <v>0.67190397838217919</v>
      </c>
      <c r="Q175" s="66">
        <f t="shared" si="38"/>
        <v>4</v>
      </c>
      <c r="R175" s="10">
        <f t="shared" si="35"/>
        <v>2.1026944475805241E-2</v>
      </c>
      <c r="T175" s="10">
        <f t="shared" si="36"/>
        <v>8.6787393858373495E-3</v>
      </c>
      <c r="V175" s="10">
        <f t="shared" si="37"/>
        <v>2.636533340371774E-4</v>
      </c>
    </row>
    <row r="176" spans="11:22">
      <c r="K176" s="66">
        <v>8.1999999999999993</v>
      </c>
      <c r="L176" s="10">
        <f t="shared" si="30"/>
        <v>0.97892815795515042</v>
      </c>
      <c r="M176" s="10">
        <f t="shared" si="31"/>
        <v>0.97023456839472888</v>
      </c>
      <c r="N176" s="10">
        <f t="shared" si="32"/>
        <v>3.4104136789602679E-3</v>
      </c>
      <c r="O176" s="10">
        <f t="shared" si="33"/>
        <v>4.8525269592758864E-3</v>
      </c>
      <c r="P176" s="10">
        <f t="shared" si="34"/>
        <v>0.6702668608043969</v>
      </c>
      <c r="Q176" s="66">
        <f t="shared" si="38"/>
        <v>2</v>
      </c>
      <c r="R176" s="10">
        <f t="shared" si="35"/>
        <v>1.0520586241686518E-2</v>
      </c>
      <c r="T176" s="10">
        <f t="shared" si="36"/>
        <v>4.3422254618772039E-3</v>
      </c>
      <c r="V176" s="10">
        <f t="shared" si="37"/>
        <v>1.3299182518172102E-4</v>
      </c>
    </row>
    <row r="177" spans="11:22">
      <c r="K177" s="66">
        <v>8.25</v>
      </c>
      <c r="L177" s="10">
        <f t="shared" si="30"/>
        <v>0.9787609514261395</v>
      </c>
      <c r="M177" s="10">
        <f t="shared" si="31"/>
        <v>0.96999877523435196</v>
      </c>
      <c r="N177" s="10">
        <f t="shared" si="32"/>
        <v>3.4224059134195166E-3</v>
      </c>
      <c r="O177" s="10">
        <f t="shared" si="33"/>
        <v>4.869743362751912E-3</v>
      </c>
      <c r="P177" s="10">
        <f t="shared" si="34"/>
        <v>0.66863373212093535</v>
      </c>
      <c r="Q177" s="66">
        <f t="shared" si="38"/>
        <v>4</v>
      </c>
      <c r="R177" s="10">
        <f t="shared" si="35"/>
        <v>2.1055385926498922E-2</v>
      </c>
      <c r="T177" s="10">
        <f t="shared" si="36"/>
        <v>8.6901567861608579E-3</v>
      </c>
      <c r="V177" s="10">
        <f t="shared" si="37"/>
        <v>2.6832466288718098E-4</v>
      </c>
    </row>
    <row r="178" spans="11:22">
      <c r="K178" s="66">
        <v>8.3000000000000007</v>
      </c>
      <c r="L178" s="10">
        <f t="shared" si="30"/>
        <v>0.97859318561865705</v>
      </c>
      <c r="M178" s="10">
        <f t="shared" si="31"/>
        <v>0.96976220307570538</v>
      </c>
      <c r="N178" s="10">
        <f t="shared" si="32"/>
        <v>3.4344415906932503E-3</v>
      </c>
      <c r="O178" s="10">
        <f t="shared" si="33"/>
        <v>4.887022134006427E-3</v>
      </c>
      <c r="P178" s="10">
        <f t="shared" si="34"/>
        <v>0.66700458261271389</v>
      </c>
      <c r="Q178" s="66">
        <f t="shared" si="38"/>
        <v>2</v>
      </c>
      <c r="R178" s="10">
        <f t="shared" si="35"/>
        <v>1.053479231452518E-2</v>
      </c>
      <c r="T178" s="10">
        <f t="shared" si="36"/>
        <v>4.3479284500067533E-3</v>
      </c>
      <c r="V178" s="10">
        <f t="shared" si="37"/>
        <v>1.3533820620941297E-4</v>
      </c>
    </row>
    <row r="179" spans="11:22">
      <c r="K179" s="66">
        <v>8.35</v>
      </c>
      <c r="L179" s="10">
        <f t="shared" si="30"/>
        <v>0.97842485870097873</v>
      </c>
      <c r="M179" s="10">
        <f t="shared" si="31"/>
        <v>0.96952484948792927</v>
      </c>
      <c r="N179" s="10">
        <f t="shared" si="32"/>
        <v>3.4465208681564922E-3</v>
      </c>
      <c r="O179" s="10">
        <f t="shared" si="33"/>
        <v>4.904363498971622E-3</v>
      </c>
      <c r="P179" s="10">
        <f t="shared" si="34"/>
        <v>0.6653794025843327</v>
      </c>
      <c r="Q179" s="66">
        <f t="shared" si="38"/>
        <v>4</v>
      </c>
      <c r="R179" s="10">
        <f t="shared" si="35"/>
        <v>2.1083768414226173E-2</v>
      </c>
      <c r="T179" s="10">
        <f t="shared" si="36"/>
        <v>8.701551191996575E-3</v>
      </c>
      <c r="V179" s="10">
        <f t="shared" si="37"/>
        <v>2.7303893987266594E-4</v>
      </c>
    </row>
    <row r="180" spans="11:22">
      <c r="K180" s="66">
        <v>8.4</v>
      </c>
      <c r="L180" s="10">
        <f t="shared" si="30"/>
        <v>0.97825596883609489</v>
      </c>
      <c r="M180" s="10">
        <f t="shared" si="31"/>
        <v>0.96928671203403771</v>
      </c>
      <c r="N180" s="10">
        <f t="shared" si="32"/>
        <v>3.4586439037543591E-3</v>
      </c>
      <c r="O180" s="10">
        <f t="shared" si="33"/>
        <v>4.9217676843981446E-3</v>
      </c>
      <c r="P180" s="10">
        <f t="shared" si="34"/>
        <v>0.66375818236401507</v>
      </c>
      <c r="Q180" s="66">
        <f t="shared" si="38"/>
        <v>2</v>
      </c>
      <c r="R180" s="10">
        <f t="shared" si="35"/>
        <v>1.0548968552277441E-2</v>
      </c>
      <c r="T180" s="10">
        <f t="shared" si="36"/>
        <v>4.3536197942605007E-3</v>
      </c>
      <c r="V180" s="10">
        <f t="shared" si="37"/>
        <v>1.3770614313333355E-4</v>
      </c>
    </row>
    <row r="181" spans="11:22">
      <c r="K181" s="66">
        <v>8.4499999999999993</v>
      </c>
      <c r="L181" s="10">
        <f t="shared" si="30"/>
        <v>0.97808651418170089</v>
      </c>
      <c r="M181" s="10">
        <f t="shared" si="31"/>
        <v>0.96904778827091442</v>
      </c>
      <c r="N181" s="10">
        <f t="shared" si="32"/>
        <v>3.4708108560041464E-3</v>
      </c>
      <c r="O181" s="10">
        <f t="shared" si="33"/>
        <v>4.9392349178580749E-3</v>
      </c>
      <c r="P181" s="10">
        <f t="shared" si="34"/>
        <v>0.66214091230354988</v>
      </c>
      <c r="Q181" s="66">
        <f t="shared" si="38"/>
        <v>4</v>
      </c>
      <c r="R181" s="10">
        <f t="shared" si="35"/>
        <v>2.1112090521893216E-2</v>
      </c>
      <c r="T181" s="10">
        <f t="shared" si="36"/>
        <v>8.7129220157238195E-3</v>
      </c>
      <c r="V181" s="10">
        <f t="shared" si="37"/>
        <v>2.7779649272228704E-4</v>
      </c>
    </row>
    <row r="182" spans="11:22">
      <c r="K182" s="66">
        <v>8.5</v>
      </c>
      <c r="L182" s="10">
        <f t="shared" si="30"/>
        <v>0.97791649289018634</v>
      </c>
      <c r="M182" s="10">
        <f t="shared" si="31"/>
        <v>0.96880807574930772</v>
      </c>
      <c r="N182" s="10">
        <f t="shared" si="32"/>
        <v>3.4830218839973855E-3</v>
      </c>
      <c r="O182" s="10">
        <f t="shared" si="33"/>
        <v>4.9567654277478728E-3</v>
      </c>
      <c r="P182" s="10">
        <f t="shared" si="34"/>
        <v>0.66052758277823431</v>
      </c>
      <c r="Q182" s="66">
        <f t="shared" si="38"/>
        <v>2</v>
      </c>
      <c r="R182" s="10">
        <f t="shared" si="35"/>
        <v>1.056311424371216E-2</v>
      </c>
      <c r="T182" s="10">
        <f t="shared" si="36"/>
        <v>4.359299199733724E-3</v>
      </c>
      <c r="V182" s="10">
        <f t="shared" si="37"/>
        <v>1.4009580023214839E-4</v>
      </c>
    </row>
    <row r="183" spans="11:22">
      <c r="K183" s="66">
        <v>8.5500000000000007</v>
      </c>
      <c r="L183" s="10">
        <f t="shared" si="30"/>
        <v>0.97774590310862652</v>
      </c>
      <c r="M183" s="10">
        <f t="shared" si="31"/>
        <v>0.9685675720138277</v>
      </c>
      <c r="N183" s="10">
        <f t="shared" si="32"/>
        <v>3.4952771474019303E-3</v>
      </c>
      <c r="O183" s="10">
        <f t="shared" si="33"/>
        <v>4.9743594432913995E-3</v>
      </c>
      <c r="P183" s="10">
        <f t="shared" si="34"/>
        <v>0.65891818418681636</v>
      </c>
      <c r="Q183" s="66">
        <f t="shared" si="38"/>
        <v>4</v>
      </c>
      <c r="R183" s="10">
        <f t="shared" si="35"/>
        <v>2.1140350821656311E-2</v>
      </c>
      <c r="T183" s="10">
        <f t="shared" si="36"/>
        <v>8.7242686653390567E-3</v>
      </c>
      <c r="V183" s="10">
        <f t="shared" si="37"/>
        <v>2.825976508205731E-4</v>
      </c>
    </row>
    <row r="184" spans="11:22">
      <c r="K184" s="66">
        <v>8.6</v>
      </c>
      <c r="L184" s="10">
        <f t="shared" si="30"/>
        <v>0.97757474297877123</v>
      </c>
      <c r="M184" s="10">
        <f t="shared" si="31"/>
        <v>0.96832627460294129</v>
      </c>
      <c r="N184" s="10">
        <f t="shared" si="32"/>
        <v>3.507576806464048E-3</v>
      </c>
      <c r="O184" s="10">
        <f t="shared" si="33"/>
        <v>4.9920171945428892E-3</v>
      </c>
      <c r="P184" s="10">
        <f t="shared" si="34"/>
        <v>0.65731270695143829</v>
      </c>
      <c r="Q184" s="66">
        <f t="shared" si="38"/>
        <v>2</v>
      </c>
      <c r="R184" s="10">
        <f t="shared" si="35"/>
        <v>1.0577228672210299E-2</v>
      </c>
      <c r="T184" s="10">
        <f t="shared" si="36"/>
        <v>4.3649663693249487E-3</v>
      </c>
      <c r="V184" s="10">
        <f t="shared" si="37"/>
        <v>1.4250734261095759E-4</v>
      </c>
    </row>
    <row r="185" spans="11:22">
      <c r="K185" s="66">
        <v>8.65</v>
      </c>
      <c r="L185" s="10">
        <f t="shared" si="30"/>
        <v>0.97740301063703583</v>
      </c>
      <c r="M185" s="10">
        <f t="shared" si="31"/>
        <v>0.96808418104896832</v>
      </c>
      <c r="N185" s="10">
        <f t="shared" si="32"/>
        <v>3.5199210220105016E-3</v>
      </c>
      <c r="O185" s="10">
        <f t="shared" si="33"/>
        <v>5.0097389123899645E-3</v>
      </c>
      <c r="P185" s="10">
        <f t="shared" si="34"/>
        <v>0.65571114151757826</v>
      </c>
      <c r="Q185" s="66">
        <f t="shared" si="38"/>
        <v>4</v>
      </c>
      <c r="R185" s="10">
        <f t="shared" si="35"/>
        <v>2.1168547874870224E-2</v>
      </c>
      <c r="T185" s="10">
        <f t="shared" si="36"/>
        <v>8.7355905444346099E-3</v>
      </c>
      <c r="V185" s="10">
        <f t="shared" si="37"/>
        <v>2.8744274520182798E-4</v>
      </c>
    </row>
    <row r="186" spans="11:22">
      <c r="K186" s="66">
        <v>8.6999999999999993</v>
      </c>
      <c r="L186" s="10">
        <f t="shared" si="30"/>
        <v>0.97723070421449143</v>
      </c>
      <c r="M186" s="10">
        <f t="shared" si="31"/>
        <v>0.96784128887807863</v>
      </c>
      <c r="N186" s="10">
        <f t="shared" si="32"/>
        <v>3.5323099554506717E-3</v>
      </c>
      <c r="O186" s="10">
        <f t="shared" si="33"/>
        <v>5.0275248285566671E-3</v>
      </c>
      <c r="P186" s="10">
        <f t="shared" si="34"/>
        <v>0.65411347835399525</v>
      </c>
      <c r="Q186" s="66">
        <f t="shared" si="38"/>
        <v>2</v>
      </c>
      <c r="R186" s="10">
        <f t="shared" si="35"/>
        <v>1.0591311115739226E-2</v>
      </c>
      <c r="T186" s="10">
        <f t="shared" si="36"/>
        <v>4.3706210037253159E-3</v>
      </c>
      <c r="V186" s="10">
        <f t="shared" si="37"/>
        <v>1.4494093619815752E-4</v>
      </c>
    </row>
    <row r="187" spans="11:22">
      <c r="K187" s="66">
        <v>8.75</v>
      </c>
      <c r="L187" s="10">
        <f t="shared" si="30"/>
        <v>0.97705782183685452</v>
      </c>
      <c r="M187" s="10">
        <f t="shared" si="31"/>
        <v>0.96759759561028702</v>
      </c>
      <c r="N187" s="10">
        <f t="shared" si="32"/>
        <v>3.5447437687786509E-3</v>
      </c>
      <c r="O187" s="10">
        <f t="shared" si="33"/>
        <v>5.0453751756064586E-3</v>
      </c>
      <c r="P187" s="10">
        <f t="shared" si="34"/>
        <v>0.65251970795267089</v>
      </c>
      <c r="Q187" s="66">
        <f t="shared" si="38"/>
        <v>4</v>
      </c>
      <c r="R187" s="10">
        <f t="shared" si="35"/>
        <v>2.1196680232036955E-2</v>
      </c>
      <c r="T187" s="10">
        <f t="shared" si="36"/>
        <v>8.7468870521774812E-3</v>
      </c>
      <c r="V187" s="10">
        <f t="shared" si="37"/>
        <v>2.9233210854366632E-4</v>
      </c>
    </row>
    <row r="188" spans="11:22">
      <c r="K188" s="66">
        <v>8.8000000000000007</v>
      </c>
      <c r="L188" s="10">
        <f t="shared" si="30"/>
        <v>0.97688436162447811</v>
      </c>
      <c r="M188" s="10">
        <f t="shared" si="31"/>
        <v>0.96735309875945075</v>
      </c>
      <c r="N188" s="10">
        <f t="shared" si="32"/>
        <v>3.5572226245753694E-3</v>
      </c>
      <c r="O188" s="10">
        <f t="shared" si="33"/>
        <v>5.0632901869452976E-3</v>
      </c>
      <c r="P188" s="10">
        <f t="shared" si="34"/>
        <v>0.65092982082875339</v>
      </c>
      <c r="Q188" s="66">
        <f t="shared" si="38"/>
        <v>2</v>
      </c>
      <c r="R188" s="10">
        <f t="shared" si="35"/>
        <v>1.060536084682721E-2</v>
      </c>
      <c r="T188" s="10">
        <f t="shared" si="36"/>
        <v>4.3762628014080655E-3</v>
      </c>
      <c r="V188" s="10">
        <f t="shared" si="37"/>
        <v>1.4739674774211391E-4</v>
      </c>
    </row>
    <row r="189" spans="11:22">
      <c r="K189" s="66">
        <v>8.85</v>
      </c>
      <c r="L189" s="10">
        <f t="shared" si="30"/>
        <v>0.97671032169234118</v>
      </c>
      <c r="M189" s="10">
        <f t="shared" si="31"/>
        <v>0.96710779583326567</v>
      </c>
      <c r="N189" s="10">
        <f t="shared" si="32"/>
        <v>3.5697466860107234E-3</v>
      </c>
      <c r="O189" s="10">
        <f t="shared" si="33"/>
        <v>5.0812700968246704E-3</v>
      </c>
      <c r="P189" s="10">
        <f t="shared" si="34"/>
        <v>0.64934380752050169</v>
      </c>
      <c r="Q189" s="66">
        <f t="shared" si="38"/>
        <v>4</v>
      </c>
      <c r="R189" s="10">
        <f t="shared" si="35"/>
        <v>2.1224746432754935E-2</v>
      </c>
      <c r="T189" s="10">
        <f t="shared" si="36"/>
        <v>8.7581575832883802E-3</v>
      </c>
      <c r="V189" s="10">
        <f t="shared" si="37"/>
        <v>2.9726607516018355E-4</v>
      </c>
    </row>
    <row r="190" spans="11:22">
      <c r="K190" s="66">
        <v>8.9</v>
      </c>
      <c r="L190" s="10">
        <f t="shared" si="30"/>
        <v>0.97653570015003976</v>
      </c>
      <c r="M190" s="10">
        <f t="shared" si="31"/>
        <v>0.96686168433326247</v>
      </c>
      <c r="N190" s="10">
        <f t="shared" si="32"/>
        <v>3.5823161168456971E-3</v>
      </c>
      <c r="O190" s="10">
        <f t="shared" si="33"/>
        <v>5.0993151403446466E-3</v>
      </c>
      <c r="P190" s="10">
        <f t="shared" si="34"/>
        <v>0.64776165858922807</v>
      </c>
      <c r="Q190" s="66">
        <f t="shared" si="38"/>
        <v>2</v>
      </c>
      <c r="R190" s="10">
        <f t="shared" si="35"/>
        <v>1.061937713253816E-2</v>
      </c>
      <c r="T190" s="10">
        <f t="shared" si="36"/>
        <v>4.3818914586180781E-3</v>
      </c>
      <c r="V190" s="10">
        <f t="shared" si="37"/>
        <v>1.4987494480765514E-4</v>
      </c>
    </row>
    <row r="191" spans="11:22">
      <c r="K191" s="66">
        <v>8.9499999999999993</v>
      </c>
      <c r="L191" s="10">
        <f t="shared" si="30"/>
        <v>0.9763604951017768</v>
      </c>
      <c r="M191" s="10">
        <f t="shared" si="31"/>
        <v>0.96661476175480432</v>
      </c>
      <c r="N191" s="10">
        <f t="shared" si="32"/>
        <v>3.5949310814345201E-3</v>
      </c>
      <c r="O191" s="10">
        <f t="shared" si="33"/>
        <v>5.1174255534569826E-3</v>
      </c>
      <c r="P191" s="10">
        <f t="shared" si="34"/>
        <v>0.64618336461924253</v>
      </c>
      <c r="Q191" s="66">
        <f t="shared" si="38"/>
        <v>4</v>
      </c>
      <c r="R191" s="10">
        <f t="shared" si="35"/>
        <v>2.125274500566875E-2</v>
      </c>
      <c r="T191" s="10">
        <f t="shared" si="36"/>
        <v>8.7694015280209321E-3</v>
      </c>
      <c r="V191" s="10">
        <f t="shared" si="37"/>
        <v>3.0224498099474682E-4</v>
      </c>
    </row>
    <row r="192" spans="11:22">
      <c r="K192" s="66">
        <v>9</v>
      </c>
      <c r="L192" s="10">
        <f t="shared" si="30"/>
        <v>0.97618470464635254</v>
      </c>
      <c r="M192" s="10">
        <f t="shared" si="31"/>
        <v>0.96636702558708221</v>
      </c>
      <c r="N192" s="10">
        <f t="shared" si="32"/>
        <v>3.6075917447268039E-3</v>
      </c>
      <c r="O192" s="10">
        <f t="shared" si="33"/>
        <v>5.135601572968173E-3</v>
      </c>
      <c r="P192" s="10">
        <f t="shared" si="34"/>
        <v>0.64460891621779726</v>
      </c>
      <c r="Q192" s="66">
        <f t="shared" si="38"/>
        <v>2</v>
      </c>
      <c r="R192" s="10">
        <f t="shared" si="35"/>
        <v>1.063335923444652E-2</v>
      </c>
      <c r="T192" s="10">
        <f t="shared" si="36"/>
        <v>4.3875066693615204E-3</v>
      </c>
      <c r="V192" s="10">
        <f t="shared" si="37"/>
        <v>1.5237569577237242E-4</v>
      </c>
    </row>
    <row r="193" spans="11:22">
      <c r="K193" s="66">
        <v>9.0500000000000007</v>
      </c>
      <c r="L193" s="10">
        <f t="shared" si="30"/>
        <v>0.97600832687715544</v>
      </c>
      <c r="M193" s="10">
        <f t="shared" si="31"/>
        <v>0.96611847331311362</v>
      </c>
      <c r="N193" s="10">
        <f t="shared" si="32"/>
        <v>3.6202982722696982E-3</v>
      </c>
      <c r="O193" s="10">
        <f t="shared" si="33"/>
        <v>5.1538434365425607E-3</v>
      </c>
      <c r="P193" s="10">
        <f t="shared" si="34"/>
        <v>0.64303830401502915</v>
      </c>
      <c r="Q193" s="66">
        <f t="shared" si="38"/>
        <v>4</v>
      </c>
      <c r="R193" s="10">
        <f t="shared" si="35"/>
        <v>2.1280674468419157E-2</v>
      </c>
      <c r="T193" s="10">
        <f t="shared" si="36"/>
        <v>8.7806182721410445E-3</v>
      </c>
      <c r="V193" s="10">
        <f t="shared" si="37"/>
        <v>3.072691636124111E-4</v>
      </c>
    </row>
    <row r="194" spans="11:22">
      <c r="K194" s="66">
        <v>9.1</v>
      </c>
      <c r="L194" s="10">
        <f t="shared" si="30"/>
        <v>0.97583135988215219</v>
      </c>
      <c r="M194" s="10">
        <f t="shared" si="31"/>
        <v>0.96586910240973833</v>
      </c>
      <c r="N194" s="10">
        <f t="shared" si="32"/>
        <v>3.6330508302100748E-3</v>
      </c>
      <c r="O194" s="10">
        <f t="shared" si="33"/>
        <v>5.1721513827054713E-3</v>
      </c>
      <c r="P194" s="10">
        <f t="shared" si="34"/>
        <v>0.64147151866390639</v>
      </c>
      <c r="Q194" s="66">
        <f t="shared" si="38"/>
        <v>2</v>
      </c>
      <c r="R194" s="10">
        <f t="shared" si="35"/>
        <v>1.064730640861242E-2</v>
      </c>
      <c r="T194" s="10">
        <f t="shared" si="36"/>
        <v>4.3931081253955773E-3</v>
      </c>
      <c r="V194" s="10">
        <f t="shared" si="37"/>
        <v>1.5489916982272837E-4</v>
      </c>
    </row>
    <row r="195" spans="11:22">
      <c r="K195" s="66">
        <v>9.15</v>
      </c>
      <c r="L195" s="10">
        <f t="shared" si="30"/>
        <v>0.97565380174387795</v>
      </c>
      <c r="M195" s="10">
        <f t="shared" si="31"/>
        <v>0.96561891034761571</v>
      </c>
      <c r="N195" s="10">
        <f t="shared" si="32"/>
        <v>3.6458495852966684E-3</v>
      </c>
      <c r="O195" s="10">
        <f t="shared" si="33"/>
        <v>5.1905256508462767E-3</v>
      </c>
      <c r="P195" s="10">
        <f t="shared" si="34"/>
        <v>0.63990855084017062</v>
      </c>
      <c r="Q195" s="66">
        <f t="shared" si="38"/>
        <v>4</v>
      </c>
      <c r="R195" s="10">
        <f t="shared" si="35"/>
        <v>2.1308533327593748E-2</v>
      </c>
      <c r="T195" s="10">
        <f t="shared" si="36"/>
        <v>8.7918071969064985E-3</v>
      </c>
      <c r="V195" s="10">
        <f t="shared" si="37"/>
        <v>3.1233896219193149E-4</v>
      </c>
    </row>
    <row r="196" spans="11:22">
      <c r="K196" s="66">
        <v>9.1999999999999993</v>
      </c>
      <c r="L196" s="10">
        <f t="shared" si="30"/>
        <v>0.97547565053942797</v>
      </c>
      <c r="M196" s="10">
        <f t="shared" si="31"/>
        <v>0.96536789459122296</v>
      </c>
      <c r="N196" s="10">
        <f t="shared" si="32"/>
        <v>3.6586947048822867E-3</v>
      </c>
      <c r="O196" s="10">
        <f t="shared" si="33"/>
        <v>5.2089664812215771E-3</v>
      </c>
      <c r="P196" s="10">
        <f t="shared" si="34"/>
        <v>0.63834939124228274</v>
      </c>
      <c r="Q196" s="66">
        <f t="shared" si="38"/>
        <v>2</v>
      </c>
      <c r="R196" s="10">
        <f t="shared" si="35"/>
        <v>1.0661217905557144E-2</v>
      </c>
      <c r="T196" s="10">
        <f t="shared" si="36"/>
        <v>4.3986955162183036E-3</v>
      </c>
      <c r="V196" s="10">
        <f t="shared" si="37"/>
        <v>1.5744553694997074E-4</v>
      </c>
    </row>
    <row r="197" spans="11:22">
      <c r="K197" s="66">
        <v>9.25</v>
      </c>
      <c r="L197" s="10">
        <f t="shared" si="30"/>
        <v>0.97529690434044669</v>
      </c>
      <c r="M197" s="10">
        <f t="shared" si="31"/>
        <v>0.96511605259885103</v>
      </c>
      <c r="N197" s="10">
        <f t="shared" si="32"/>
        <v>3.6715863569259802E-3</v>
      </c>
      <c r="O197" s="10">
        <f t="shared" si="33"/>
        <v>5.2274741149583052E-3</v>
      </c>
      <c r="P197" s="10">
        <f t="shared" si="34"/>
        <v>0.63679403059136708</v>
      </c>
      <c r="Q197" s="66">
        <f t="shared" si="38"/>
        <v>4</v>
      </c>
      <c r="R197" s="10">
        <f t="shared" si="35"/>
        <v>2.1336320078677831E-2</v>
      </c>
      <c r="T197" s="10">
        <f t="shared" si="36"/>
        <v>8.802967679046694E-3</v>
      </c>
      <c r="V197" s="10">
        <f t="shared" si="37"/>
        <v>3.174547175173886E-4</v>
      </c>
    </row>
    <row r="198" spans="11:22">
      <c r="K198" s="66">
        <v>9.3000000000000007</v>
      </c>
      <c r="L198" s="10">
        <f t="shared" si="30"/>
        <v>0.97511756121311932</v>
      </c>
      <c r="M198" s="10">
        <f t="shared" si="31"/>
        <v>0.96486338182260334</v>
      </c>
      <c r="N198" s="10">
        <f t="shared" si="32"/>
        <v>3.6845247099952442E-3</v>
      </c>
      <c r="O198" s="10">
        <f t="shared" si="33"/>
        <v>5.2460487940569067E-3</v>
      </c>
      <c r="P198" s="10">
        <f t="shared" si="34"/>
        <v>0.63524245963115611</v>
      </c>
      <c r="Q198" s="66">
        <f t="shared" si="38"/>
        <v>2</v>
      </c>
      <c r="R198" s="10">
        <f t="shared" si="35"/>
        <v>1.0675092970238696E-2</v>
      </c>
      <c r="T198" s="10">
        <f t="shared" si="36"/>
        <v>4.4042685290585463E-3</v>
      </c>
      <c r="V198" s="10">
        <f t="shared" si="37"/>
        <v>1.6001496794583724E-4</v>
      </c>
    </row>
    <row r="199" spans="11:22">
      <c r="K199" s="66">
        <v>9.35</v>
      </c>
      <c r="L199" s="10">
        <f t="shared" si="30"/>
        <v>0.97493761921816235</v>
      </c>
      <c r="M199" s="10">
        <f t="shared" si="31"/>
        <v>0.96460987970839274</v>
      </c>
      <c r="N199" s="10">
        <f t="shared" si="32"/>
        <v>3.6975099332682295E-3</v>
      </c>
      <c r="O199" s="10">
        <f t="shared" si="33"/>
        <v>5.2646907613944941E-3</v>
      </c>
      <c r="P199" s="10">
        <f t="shared" si="34"/>
        <v>0.63369466912793582</v>
      </c>
      <c r="Q199" s="66">
        <f t="shared" si="38"/>
        <v>4</v>
      </c>
      <c r="R199" s="10">
        <f t="shared" si="35"/>
        <v>2.136403320600605E-2</v>
      </c>
      <c r="T199" s="10">
        <f t="shared" si="36"/>
        <v>8.8140990907426293E-3</v>
      </c>
      <c r="V199" s="10">
        <f t="shared" si="37"/>
        <v>3.2261677196941132E-4</v>
      </c>
    </row>
    <row r="200" spans="11:22">
      <c r="K200" s="66">
        <v>9.4</v>
      </c>
      <c r="L200" s="10">
        <f t="shared" si="30"/>
        <v>0.97475707641081366</v>
      </c>
      <c r="M200" s="10">
        <f t="shared" si="31"/>
        <v>0.96435554369593923</v>
      </c>
      <c r="N200" s="10">
        <f t="shared" si="32"/>
        <v>3.7105421965359358E-3</v>
      </c>
      <c r="O200" s="10">
        <f t="shared" si="33"/>
        <v>5.2834002607280058E-3</v>
      </c>
      <c r="P200" s="10">
        <f t="shared" si="34"/>
        <v>0.63215064987049041</v>
      </c>
      <c r="Q200" s="66">
        <f t="shared" si="38"/>
        <v>2</v>
      </c>
      <c r="R200" s="10">
        <f t="shared" si="35"/>
        <v>1.0688930842027725E-2</v>
      </c>
      <c r="T200" s="10">
        <f t="shared" si="36"/>
        <v>4.4098268488659874E-3</v>
      </c>
      <c r="V200" s="10">
        <f t="shared" si="37"/>
        <v>1.6260763439806527E-4</v>
      </c>
    </row>
    <row r="201" spans="11:22">
      <c r="K201" s="66">
        <v>9.4499999999999993</v>
      </c>
      <c r="L201" s="10">
        <f t="shared" si="30"/>
        <v>0.97457593084082428</v>
      </c>
      <c r="M201" s="10">
        <f t="shared" si="31"/>
        <v>0.96410037121876879</v>
      </c>
      <c r="N201" s="10">
        <f t="shared" si="32"/>
        <v>3.7236216702044578E-3</v>
      </c>
      <c r="O201" s="10">
        <f t="shared" si="33"/>
        <v>5.3021775366974304E-3</v>
      </c>
      <c r="P201" s="10">
        <f t="shared" si="34"/>
        <v>0.63061039267004748</v>
      </c>
      <c r="Q201" s="66">
        <f t="shared" si="38"/>
        <v>4</v>
      </c>
      <c r="R201" s="10">
        <f t="shared" si="35"/>
        <v>2.1391671182714431E-2</v>
      </c>
      <c r="T201" s="10">
        <f t="shared" si="36"/>
        <v>8.8252007996070993E-3</v>
      </c>
      <c r="V201" s="10">
        <f t="shared" si="37"/>
        <v>3.2782546951596746E-4</v>
      </c>
    </row>
    <row r="202" spans="11:22">
      <c r="K202" s="66">
        <v>9.5</v>
      </c>
      <c r="L202" s="10">
        <f t="shared" si="30"/>
        <v>0.97439418055244742</v>
      </c>
      <c r="M202" s="10">
        <f t="shared" si="31"/>
        <v>0.96384435970420934</v>
      </c>
      <c r="N202" s="10">
        <f t="shared" si="32"/>
        <v>3.7367485252971897E-3</v>
      </c>
      <c r="O202" s="10">
        <f t="shared" si="33"/>
        <v>5.3210228348289637E-3</v>
      </c>
      <c r="P202" s="10">
        <f t="shared" si="34"/>
        <v>0.62907388836022304</v>
      </c>
      <c r="Q202" s="66">
        <f t="shared" si="38"/>
        <v>2</v>
      </c>
      <c r="R202" s="10">
        <f t="shared" si="35"/>
        <v>1.0702730754683681E-2</v>
      </c>
      <c r="T202" s="10">
        <f t="shared" si="36"/>
        <v>4.4153701583012914E-3</v>
      </c>
      <c r="V202" s="10">
        <f t="shared" si="37"/>
        <v>1.6522370868568461E-4</v>
      </c>
    </row>
    <row r="203" spans="11:22">
      <c r="K203" s="66">
        <v>9.5500000000000007</v>
      </c>
      <c r="L203" s="10">
        <f t="shared" si="30"/>
        <v>0.97421182358443104</v>
      </c>
      <c r="M203" s="10">
        <f t="shared" si="31"/>
        <v>0.96358750657339143</v>
      </c>
      <c r="N203" s="10">
        <f t="shared" si="32"/>
        <v>3.7499229334570748E-3</v>
      </c>
      <c r="O203" s="10">
        <f t="shared" si="33"/>
        <v>5.3399364015382523E-3</v>
      </c>
      <c r="P203" s="10">
        <f t="shared" si="34"/>
        <v>0.62754112779696791</v>
      </c>
      <c r="Q203" s="66">
        <f t="shared" si="38"/>
        <v>4</v>
      </c>
      <c r="R203" s="10">
        <f t="shared" si="35"/>
        <v>2.1419232470692891E-2</v>
      </c>
      <c r="T203" s="10">
        <f t="shared" si="36"/>
        <v>8.8362721686650828E-3</v>
      </c>
      <c r="V203" s="10">
        <f t="shared" si="37"/>
        <v>3.3308115570275835E-4</v>
      </c>
    </row>
    <row r="204" spans="11:22">
      <c r="K204" s="66">
        <v>9.6</v>
      </c>
      <c r="L204" s="10">
        <f t="shared" ref="L204:L267" si="39">(B$7^K204)*B$8^((B$5^25)*((B$5^K204)-1))</f>
        <v>0.97402885797000771</v>
      </c>
      <c r="M204" s="10">
        <f t="shared" ref="M204:M267" si="40">(B$7^K204)*B$8^((B$5^30)*((B$5^K204)-1))</f>
        <v>0.96332980924124367</v>
      </c>
      <c r="N204" s="10">
        <f t="shared" si="32"/>
        <v>3.7631450669488517E-3</v>
      </c>
      <c r="O204" s="10">
        <f t="shared" si="33"/>
        <v>5.3589184841336063E-3</v>
      </c>
      <c r="P204" s="10">
        <f t="shared" si="34"/>
        <v>0.62601210185851264</v>
      </c>
      <c r="Q204" s="66">
        <f t="shared" si="38"/>
        <v>2</v>
      </c>
      <c r="R204" s="10">
        <f t="shared" si="35"/>
        <v>1.07164919363312E-2</v>
      </c>
      <c r="T204" s="10">
        <f t="shared" si="36"/>
        <v>4.4208981377263559E-3</v>
      </c>
      <c r="V204" s="10">
        <f t="shared" si="37"/>
        <v>1.6786336397410899E-4</v>
      </c>
    </row>
    <row r="205" spans="11:22">
      <c r="K205" s="66">
        <v>9.65</v>
      </c>
      <c r="L205" s="10">
        <f t="shared" si="39"/>
        <v>0.97384528173688523</v>
      </c>
      <c r="M205" s="10">
        <f t="shared" si="40"/>
        <v>0.96307126511649388</v>
      </c>
      <c r="N205" s="10">
        <f t="shared" ref="N205:N268" si="41">B$3+B$4*(B$5^(25+K205))</f>
        <v>3.7764150986612892E-3</v>
      </c>
      <c r="O205" s="10">
        <f t="shared" ref="O205:O268" si="42">$B$3+$B$4*($B$5^(30+K205))</f>
        <v>5.3779693308192121E-3</v>
      </c>
      <c r="P205" s="10">
        <f t="shared" ref="P205:P268" si="43">(1+B$6)^-K205</f>
        <v>0.62448680144531266</v>
      </c>
      <c r="Q205" s="66">
        <f t="shared" si="38"/>
        <v>4</v>
      </c>
      <c r="R205" s="10">
        <f t="shared" ref="R205:R268" si="44">L205*M205*(N205+O205)*P205*Q205</f>
        <v>2.1446715520538492E-2</v>
      </c>
      <c r="T205" s="10">
        <f t="shared" ref="T205:T211" si="45">L205*M205*N205*P205*Q205</f>
        <v>8.8473125563344E-3</v>
      </c>
      <c r="V205" s="10">
        <f t="shared" si="37"/>
        <v>3.3838417764316386E-4</v>
      </c>
    </row>
    <row r="206" spans="11:22">
      <c r="K206" s="66">
        <v>9.6999999999999993</v>
      </c>
      <c r="L206" s="10">
        <f t="shared" si="39"/>
        <v>0.97366109290723823</v>
      </c>
      <c r="M206" s="10">
        <f t="shared" si="40"/>
        <v>0.96281187160166515</v>
      </c>
      <c r="N206" s="10">
        <f t="shared" si="41"/>
        <v>3.7897332021094719E-3</v>
      </c>
      <c r="O206" s="10">
        <f t="shared" si="42"/>
        <v>5.397089190698417E-3</v>
      </c>
      <c r="P206" s="10">
        <f t="shared" si="43"/>
        <v>0.62296521747999545</v>
      </c>
      <c r="Q206" s="66">
        <f t="shared" si="38"/>
        <v>2</v>
      </c>
      <c r="R206" s="10">
        <f t="shared" si="44"/>
        <v>1.0730213609436851E-2</v>
      </c>
      <c r="T206" s="10">
        <f t="shared" si="45"/>
        <v>4.4264104651946879E-3</v>
      </c>
      <c r="V206" s="10">
        <f t="shared" ref="V206:V269" si="46">(1-L206)*M206*O206*P206*Q206</f>
        <v>1.7052677420999931E-4</v>
      </c>
    </row>
    <row r="207" spans="11:22">
      <c r="K207" s="66">
        <v>9.75</v>
      </c>
      <c r="L207" s="10">
        <f t="shared" si="39"/>
        <v>0.9734762894976986</v>
      </c>
      <c r="M207" s="10">
        <f t="shared" si="40"/>
        <v>0.96255162609307587</v>
      </c>
      <c r="N207" s="10">
        <f t="shared" si="41"/>
        <v>3.8030995514370496E-3</v>
      </c>
      <c r="O207" s="10">
        <f t="shared" si="42"/>
        <v>5.4162783137769437E-3</v>
      </c>
      <c r="P207" s="10">
        <f t="shared" si="43"/>
        <v>0.62144734090730558</v>
      </c>
      <c r="Q207" s="66">
        <f t="shared" ref="Q207:Q270" si="47">IF(Q206=4,2,4)</f>
        <v>4</v>
      </c>
      <c r="R207" s="10">
        <f t="shared" si="44"/>
        <v>2.1474118771508937E-2</v>
      </c>
      <c r="T207" s="10">
        <f t="shared" si="45"/>
        <v>8.8583213164065214E-3</v>
      </c>
      <c r="V207" s="10">
        <f t="shared" si="46"/>
        <v>3.4373488400777155E-4</v>
      </c>
    </row>
    <row r="208" spans="11:22">
      <c r="K208" s="66">
        <v>9.8000000000000007</v>
      </c>
      <c r="L208" s="10">
        <f t="shared" si="39"/>
        <v>0.9732908695193464</v>
      </c>
      <c r="M208" s="10">
        <f t="shared" si="40"/>
        <v>0.96229052598083809</v>
      </c>
      <c r="N208" s="10">
        <f t="shared" si="41"/>
        <v>3.816514321418522E-3</v>
      </c>
      <c r="O208" s="10">
        <f t="shared" si="42"/>
        <v>5.435536950966195E-3</v>
      </c>
      <c r="P208" s="10">
        <f t="shared" si="43"/>
        <v>0.61993316269405085</v>
      </c>
      <c r="Q208" s="66">
        <f t="shared" si="47"/>
        <v>2</v>
      </c>
      <c r="R208" s="10">
        <f t="shared" si="44"/>
        <v>1.0743894990786079E-2</v>
      </c>
      <c r="T208" s="10">
        <f t="shared" si="45"/>
        <v>4.4319068164419013E-3</v>
      </c>
      <c r="V208" s="10">
        <f t="shared" si="46"/>
        <v>1.7321411411591394E-4</v>
      </c>
    </row>
    <row r="209" spans="11:22">
      <c r="K209" s="66">
        <v>9.85</v>
      </c>
      <c r="L209" s="10">
        <f t="shared" si="39"/>
        <v>0.97310483097770151</v>
      </c>
      <c r="M209" s="10">
        <f t="shared" si="40"/>
        <v>0.962028568648856</v>
      </c>
      <c r="N209" s="10">
        <f t="shared" si="41"/>
        <v>3.8299776874615261E-3</v>
      </c>
      <c r="O209" s="10">
        <f t="shared" si="42"/>
        <v>5.4548653540865202E-3</v>
      </c>
      <c r="P209" s="10">
        <f t="shared" si="43"/>
        <v>0.61842267382904925</v>
      </c>
      <c r="Q209" s="66">
        <f t="shared" si="47"/>
        <v>4</v>
      </c>
      <c r="R209" s="10">
        <f t="shared" si="44"/>
        <v>2.1501440651476963E-2</v>
      </c>
      <c r="T209" s="10">
        <f t="shared" si="45"/>
        <v>8.8692977980277098E-3</v>
      </c>
      <c r="V209" s="10">
        <f t="shared" si="46"/>
        <v>3.4913362501344194E-4</v>
      </c>
    </row>
    <row r="210" spans="11:22">
      <c r="K210" s="66">
        <v>9.9</v>
      </c>
      <c r="L210" s="10">
        <f t="shared" si="39"/>
        <v>0.97291817187271334</v>
      </c>
      <c r="M210" s="10">
        <f t="shared" si="40"/>
        <v>0.96176575147482546</v>
      </c>
      <c r="N210" s="10">
        <f t="shared" si="41"/>
        <v>3.8434898256091247E-3</v>
      </c>
      <c r="O210" s="10">
        <f t="shared" si="42"/>
        <v>5.4742637758704955E-3</v>
      </c>
      <c r="P210" s="10">
        <f t="shared" si="43"/>
        <v>0.61691586532307419</v>
      </c>
      <c r="Q210" s="66">
        <f t="shared" si="47"/>
        <v>2</v>
      </c>
      <c r="R210" s="10">
        <f t="shared" si="44"/>
        <v>1.0757535291460544E-2</v>
      </c>
      <c r="T210" s="10">
        <f t="shared" si="45"/>
        <v>4.4373868648763196E-3</v>
      </c>
      <c r="V210" s="10">
        <f t="shared" si="46"/>
        <v>1.7592555918473287E-4</v>
      </c>
    </row>
    <row r="211" spans="11:22">
      <c r="K211" s="66">
        <v>9.9499999999999993</v>
      </c>
      <c r="L211" s="10">
        <f t="shared" si="39"/>
        <v>0.97273089019875358</v>
      </c>
      <c r="M211" s="10">
        <f t="shared" si="40"/>
        <v>0.96150207183023251</v>
      </c>
      <c r="N211" s="10">
        <f t="shared" si="41"/>
        <v>3.8570509125421086E-3</v>
      </c>
      <c r="O211" s="10">
        <f t="shared" si="42"/>
        <v>5.4937324699662563E-3</v>
      </c>
      <c r="P211" s="10">
        <f t="shared" si="43"/>
        <v>0.61541272820880244</v>
      </c>
      <c r="Q211" s="66">
        <f t="shared" si="47"/>
        <v>4</v>
      </c>
      <c r="R211" s="10">
        <f t="shared" si="44"/>
        <v>2.1528679576885177E-2</v>
      </c>
      <c r="T211" s="10">
        <f t="shared" si="45"/>
        <v>8.8802413456803599E-3</v>
      </c>
      <c r="V211" s="10">
        <f t="shared" si="46"/>
        <v>3.545807524119368E-4</v>
      </c>
    </row>
    <row r="212" spans="11:22">
      <c r="K212" s="66">
        <v>10</v>
      </c>
      <c r="L212" s="10">
        <f t="shared" si="39"/>
        <v>0.97254298394460592</v>
      </c>
      <c r="M212" s="10">
        <f t="shared" si="40"/>
        <v>0.96123752708035359</v>
      </c>
      <c r="N212" s="10">
        <f t="shared" si="41"/>
        <v>3.8706611255813141E-3</v>
      </c>
      <c r="O212" s="10">
        <f t="shared" si="42"/>
        <v>5.5132716909407856E-3</v>
      </c>
      <c r="P212" s="10">
        <f t="shared" si="43"/>
        <v>0.61391325354075932</v>
      </c>
      <c r="Q212" s="66">
        <f t="shared" si="47"/>
        <v>2</v>
      </c>
      <c r="R212" s="10">
        <f t="shared" si="44"/>
        <v>1.0771133716815644E-2</v>
      </c>
      <c r="T212" s="10">
        <f>L212*M212*N212*P212*Q212/2</f>
        <v>2.2214251407848568E-3</v>
      </c>
      <c r="V212" s="10">
        <f t="shared" si="46"/>
        <v>1.7866128567385633E-4</v>
      </c>
    </row>
    <row r="213" spans="11:22">
      <c r="K213" s="66">
        <v>10.050000000000001</v>
      </c>
      <c r="L213" s="10">
        <f t="shared" si="39"/>
        <v>0.97235445109345797</v>
      </c>
      <c r="M213" s="10">
        <f t="shared" si="40"/>
        <v>0.96097211458425347</v>
      </c>
      <c r="N213" s="10">
        <f t="shared" si="41"/>
        <v>3.8843206426899257E-3</v>
      </c>
      <c r="O213" s="10">
        <f t="shared" si="42"/>
        <v>5.5328816942832532E-3</v>
      </c>
      <c r="P213" s="10">
        <f t="shared" si="43"/>
        <v>0.6124174323952658</v>
      </c>
      <c r="Q213" s="66">
        <f t="shared" si="47"/>
        <v>4</v>
      </c>
      <c r="R213" s="10">
        <f t="shared" si="44"/>
        <v>2.1555833952701518E-2</v>
      </c>
      <c r="T213" s="46">
        <f>SUM(T12:T212)/60</f>
        <v>2.0769310687012217E-2</v>
      </c>
      <c r="V213" s="10">
        <f t="shared" si="46"/>
        <v>3.6007661947807303E-4</v>
      </c>
    </row>
    <row r="214" spans="11:22">
      <c r="K214" s="66">
        <v>10.1</v>
      </c>
      <c r="L214" s="10">
        <f t="shared" si="39"/>
        <v>0.97216528962289228</v>
      </c>
      <c r="M214" s="10">
        <f t="shared" si="40"/>
        <v>0.96070583169478618</v>
      </c>
      <c r="N214" s="10">
        <f t="shared" si="41"/>
        <v>3.8980296424758285E-3</v>
      </c>
      <c r="O214" s="10">
        <f t="shared" si="42"/>
        <v>5.5525627364083818E-3</v>
      </c>
      <c r="P214" s="10">
        <f t="shared" si="43"/>
        <v>0.61092525587038704</v>
      </c>
      <c r="Q214" s="66">
        <f t="shared" si="47"/>
        <v>2</v>
      </c>
      <c r="R214" s="10">
        <f t="shared" si="44"/>
        <v>1.0784689466458421E-2</v>
      </c>
      <c r="V214" s="10">
        <f t="shared" si="46"/>
        <v>1.8142147059916497E-4</v>
      </c>
    </row>
    <row r="215" spans="11:22">
      <c r="K215" s="66">
        <v>10.15</v>
      </c>
      <c r="L215" s="10">
        <f t="shared" si="39"/>
        <v>0.97197549750487733</v>
      </c>
      <c r="M215" s="10">
        <f t="shared" si="40"/>
        <v>0.96043867575859365</v>
      </c>
      <c r="N215" s="10">
        <f t="shared" si="41"/>
        <v>3.9117883041939186E-3</v>
      </c>
      <c r="O215" s="10">
        <f t="shared" si="42"/>
        <v>5.5723150746597476E-3</v>
      </c>
      <c r="P215" s="10">
        <f t="shared" si="43"/>
        <v>0.60943671508587671</v>
      </c>
      <c r="Q215" s="66">
        <f t="shared" si="47"/>
        <v>4</v>
      </c>
      <c r="R215" s="10">
        <f t="shared" si="44"/>
        <v>2.1582902172375466E-2</v>
      </c>
      <c r="V215" s="10">
        <f t="shared" si="46"/>
        <v>3.65621580997422E-4</v>
      </c>
    </row>
    <row r="216" spans="11:22">
      <c r="K216" s="66">
        <v>10.199999999999999</v>
      </c>
      <c r="L216" s="10">
        <f t="shared" si="39"/>
        <v>0.97178507270575931</v>
      </c>
      <c r="M216" s="10">
        <f t="shared" si="40"/>
        <v>0.96017064411610598</v>
      </c>
      <c r="N216" s="10">
        <f t="shared" si="41"/>
        <v>3.9255968077484583E-3</v>
      </c>
      <c r="O216" s="10">
        <f t="shared" si="42"/>
        <v>5.5921389673131965E-3</v>
      </c>
      <c r="P216" s="10">
        <f t="shared" si="43"/>
        <v>0.60795180118312642</v>
      </c>
      <c r="Q216" s="66">
        <f t="shared" si="47"/>
        <v>2</v>
      </c>
      <c r="R216" s="10">
        <f t="shared" si="44"/>
        <v>1.0798201734225873E-2</v>
      </c>
      <c r="V216" s="10">
        <f t="shared" si="46"/>
        <v>1.8420629172875112E-4</v>
      </c>
    </row>
    <row r="217" spans="11:22">
      <c r="K217" s="66">
        <v>10.25</v>
      </c>
      <c r="L217" s="10">
        <f t="shared" si="39"/>
        <v>0.97159401318625316</v>
      </c>
      <c r="M217" s="10">
        <f t="shared" si="40"/>
        <v>0.95990173410154123</v>
      </c>
      <c r="N217" s="10">
        <f t="shared" si="41"/>
        <v>3.9394553336954295E-3</v>
      </c>
      <c r="O217" s="10">
        <f t="shared" si="42"/>
        <v>5.6120346735801779E-3</v>
      </c>
      <c r="P217" s="10">
        <f t="shared" si="43"/>
        <v>0.60647050532511138</v>
      </c>
      <c r="Q217" s="66">
        <f t="shared" si="47"/>
        <v>4</v>
      </c>
      <c r="R217" s="10">
        <f t="shared" si="44"/>
        <v>2.1609882617794698E-2</v>
      </c>
      <c r="V217" s="10">
        <f t="shared" si="46"/>
        <v>3.7121599325351984E-4</v>
      </c>
    </row>
    <row r="218" spans="11:22">
      <c r="K218" s="66">
        <v>10.3</v>
      </c>
      <c r="L218" s="10">
        <f t="shared" si="39"/>
        <v>0.97140231690143353</v>
      </c>
      <c r="M218" s="10">
        <f t="shared" si="40"/>
        <v>0.95963194304290522</v>
      </c>
      <c r="N218" s="10">
        <f t="shared" si="41"/>
        <v>3.9533640632448876E-3</v>
      </c>
      <c r="O218" s="10">
        <f t="shared" si="42"/>
        <v>5.6320024536111743E-3</v>
      </c>
      <c r="P218" s="10">
        <f t="shared" si="43"/>
        <v>0.60499281869633914</v>
      </c>
      <c r="Q218" s="66">
        <f t="shared" si="47"/>
        <v>2</v>
      </c>
      <c r="R218" s="10">
        <f t="shared" si="44"/>
        <v>1.0811669708163395E-2</v>
      </c>
      <c r="V218" s="10">
        <f t="shared" si="46"/>
        <v>1.8701592757640114E-4</v>
      </c>
    </row>
    <row r="219" spans="11:22">
      <c r="K219" s="66">
        <v>10.35</v>
      </c>
      <c r="L219" s="10">
        <f t="shared" si="39"/>
        <v>0.97120998180072726</v>
      </c>
      <c r="M219" s="10">
        <f t="shared" si="40"/>
        <v>0.95936126826199253</v>
      </c>
      <c r="N219" s="10">
        <f t="shared" si="41"/>
        <v>3.9673231782633451E-3</v>
      </c>
      <c r="O219" s="10">
        <f t="shared" si="42"/>
        <v>5.6520425684990806E-3</v>
      </c>
      <c r="P219" s="10">
        <f t="shared" si="43"/>
        <v>0.60351873250279608</v>
      </c>
      <c r="Q219" s="66">
        <f t="shared" si="47"/>
        <v>4</v>
      </c>
      <c r="R219" s="10">
        <f t="shared" si="44"/>
        <v>2.163677365924262E-2</v>
      </c>
      <c r="V219" s="10">
        <f t="shared" si="46"/>
        <v>3.7686021401460597E-4</v>
      </c>
    </row>
    <row r="220" spans="11:22">
      <c r="K220" s="66">
        <v>10.4</v>
      </c>
      <c r="L220" s="10">
        <f t="shared" si="39"/>
        <v>0.97101700582790385</v>
      </c>
      <c r="M220" s="10">
        <f t="shared" si="40"/>
        <v>0.95908970707438568</v>
      </c>
      <c r="N220" s="10">
        <f t="shared" si="41"/>
        <v>3.9813328612761318E-3</v>
      </c>
      <c r="O220" s="10">
        <f t="shared" si="42"/>
        <v>5.6721552802826069E-3</v>
      </c>
      <c r="P220" s="10">
        <f t="shared" si="43"/>
        <v>0.60204823797189555</v>
      </c>
      <c r="Q220" s="66">
        <f t="shared" si="47"/>
        <v>2</v>
      </c>
      <c r="R220" s="10">
        <f t="shared" si="44"/>
        <v>1.0825092570503772E-2</v>
      </c>
      <c r="V220" s="10">
        <f t="shared" si="46"/>
        <v>1.8985055739484342E-4</v>
      </c>
    </row>
    <row r="221" spans="11:22">
      <c r="K221" s="66">
        <v>10.45</v>
      </c>
      <c r="L221" s="10">
        <f t="shared" si="39"/>
        <v>0.97082338692106762</v>
      </c>
      <c r="M221" s="10">
        <f t="shared" si="40"/>
        <v>0.95881725678945673</v>
      </c>
      <c r="N221" s="10">
        <f t="shared" si="41"/>
        <v>3.9953932954697917E-3</v>
      </c>
      <c r="O221" s="10">
        <f t="shared" si="42"/>
        <v>5.6923408519497379E-3</v>
      </c>
      <c r="P221" s="10">
        <f t="shared" si="43"/>
        <v>0.60058132635242611</v>
      </c>
      <c r="Q221" s="66">
        <f t="shared" si="47"/>
        <v>4</v>
      </c>
      <c r="R221" s="10">
        <f t="shared" si="44"/>
        <v>2.1663573655356545E-2</v>
      </c>
      <c r="V221" s="10">
        <f t="shared" si="46"/>
        <v>3.8255460251984414E-4</v>
      </c>
    </row>
    <row r="222" spans="11:22">
      <c r="K222" s="66">
        <v>10.5</v>
      </c>
      <c r="L222" s="10">
        <f t="shared" si="39"/>
        <v>0.97062912301264859</v>
      </c>
      <c r="M222" s="10">
        <f t="shared" si="40"/>
        <v>0.95854391471036693</v>
      </c>
      <c r="N222" s="10">
        <f t="shared" si="41"/>
        <v>4.0095046646944797E-3</v>
      </c>
      <c r="O222" s="10">
        <f t="shared" si="42"/>
        <v>5.7125995474411355E-3</v>
      </c>
      <c r="P222" s="10">
        <f t="shared" si="43"/>
        <v>0.59911798891449808</v>
      </c>
      <c r="Q222" s="66">
        <f t="shared" si="47"/>
        <v>2</v>
      </c>
      <c r="R222" s="10">
        <f t="shared" si="44"/>
        <v>1.0838469497646388E-2</v>
      </c>
      <c r="V222" s="10">
        <f t="shared" si="46"/>
        <v>1.9271036116873472E-4</v>
      </c>
    </row>
    <row r="223" spans="11:22">
      <c r="K223" s="66">
        <v>10.55</v>
      </c>
      <c r="L223" s="10">
        <f t="shared" si="39"/>
        <v>0.97043421202939495</v>
      </c>
      <c r="M223" s="10">
        <f t="shared" si="40"/>
        <v>0.95826967813406805</v>
      </c>
      <c r="N223" s="10">
        <f t="shared" si="41"/>
        <v>4.0236671534663558E-3</v>
      </c>
      <c r="O223" s="10">
        <f t="shared" si="42"/>
        <v>5.7329316316536219E-3</v>
      </c>
      <c r="P223" s="10">
        <f t="shared" si="43"/>
        <v>0.59765821694949328</v>
      </c>
      <c r="Q223" s="66">
        <f t="shared" si="47"/>
        <v>4</v>
      </c>
      <c r="R223" s="10">
        <f t="shared" si="44"/>
        <v>2.1690280953086491E-2</v>
      </c>
      <c r="V223" s="10">
        <f t="shared" si="46"/>
        <v>3.8829951946507164E-4</v>
      </c>
    </row>
    <row r="224" spans="11:22">
      <c r="K224" s="66">
        <v>10.6</v>
      </c>
      <c r="L224" s="10">
        <f t="shared" si="39"/>
        <v>0.97023865189236413</v>
      </c>
      <c r="M224" s="10">
        <f t="shared" si="40"/>
        <v>0.9579945443513036</v>
      </c>
      <c r="N224" s="10">
        <f t="shared" si="41"/>
        <v>4.0378809469700143E-3</v>
      </c>
      <c r="O224" s="10">
        <f t="shared" si="42"/>
        <v>5.7533373704436262E-3</v>
      </c>
      <c r="P224" s="10">
        <f t="shared" si="43"/>
        <v>0.59620200177001204</v>
      </c>
      <c r="Q224" s="66">
        <f t="shared" si="47"/>
        <v>2</v>
      </c>
      <c r="R224" s="10">
        <f t="shared" si="44"/>
        <v>1.0851799660136854E-2</v>
      </c>
      <c r="V224" s="10">
        <f t="shared" si="46"/>
        <v>1.9559551960740491E-4</v>
      </c>
    </row>
    <row r="225" spans="11:22">
      <c r="K225" s="66">
        <v>10.65</v>
      </c>
      <c r="L225" s="10">
        <f t="shared" si="39"/>
        <v>0.97004244051691479</v>
      </c>
      <c r="M225" s="10">
        <f t="shared" si="40"/>
        <v>0.95771851064660907</v>
      </c>
      <c r="N225" s="10">
        <f t="shared" si="41"/>
        <v>4.0521462310608861E-3</v>
      </c>
      <c r="O225" s="10">
        <f t="shared" si="42"/>
        <v>5.7738170306306539E-3</v>
      </c>
      <c r="P225" s="10">
        <f t="shared" si="43"/>
        <v>0.5947493347098215</v>
      </c>
      <c r="Q225" s="66">
        <f t="shared" si="47"/>
        <v>4</v>
      </c>
      <c r="R225" s="10">
        <f t="shared" si="44"/>
        <v>2.1716893887654919E-2</v>
      </c>
      <c r="V225" s="10">
        <f t="shared" si="46"/>
        <v>3.940953269880064E-4</v>
      </c>
    </row>
    <row r="226" spans="11:22">
      <c r="K226" s="66">
        <v>10.7</v>
      </c>
      <c r="L226" s="10">
        <f t="shared" si="39"/>
        <v>0.96984557581269837</v>
      </c>
      <c r="M226" s="10">
        <f t="shared" si="40"/>
        <v>0.95744157429831367</v>
      </c>
      <c r="N226" s="10">
        <f t="shared" si="41"/>
        <v>4.0664631922676829E-3</v>
      </c>
      <c r="O226" s="10">
        <f t="shared" si="42"/>
        <v>5.794370880000798E-3</v>
      </c>
      <c r="P226" s="10">
        <f t="shared" si="43"/>
        <v>0.59330020712380516</v>
      </c>
      <c r="Q226" s="66">
        <f t="shared" si="47"/>
        <v>2</v>
      </c>
      <c r="R226" s="10">
        <f t="shared" si="44"/>
        <v>1.0865082222647014E-2</v>
      </c>
      <c r="V226" s="10">
        <f t="shared" si="46"/>
        <v>1.9850621413733095E-4</v>
      </c>
    </row>
    <row r="227" spans="11:22">
      <c r="K227" s="66">
        <v>10.75</v>
      </c>
      <c r="L227" s="10">
        <f t="shared" si="39"/>
        <v>0.96964805568365098</v>
      </c>
      <c r="M227" s="10">
        <f t="shared" si="40"/>
        <v>0.95716373257854137</v>
      </c>
      <c r="N227" s="10">
        <f t="shared" si="41"/>
        <v>4.0808320177948294E-3</v>
      </c>
      <c r="O227" s="10">
        <f t="shared" si="42"/>
        <v>5.8149991873102137E-3</v>
      </c>
      <c r="P227" s="10">
        <f t="shared" si="43"/>
        <v>0.59185461038790999</v>
      </c>
      <c r="Q227" s="66">
        <f t="shared" si="47"/>
        <v>4</v>
      </c>
      <c r="R227" s="10">
        <f t="shared" si="44"/>
        <v>2.1743410782516962E-2</v>
      </c>
      <c r="V227" s="10">
        <f t="shared" si="46"/>
        <v>3.999423886529523E-4</v>
      </c>
    </row>
    <row r="228" spans="11:22">
      <c r="K228" s="66">
        <v>10.8</v>
      </c>
      <c r="L228" s="10">
        <f t="shared" si="39"/>
        <v>0.96944987802798521</v>
      </c>
      <c r="M228" s="10">
        <f t="shared" si="40"/>
        <v>0.95688498275321332</v>
      </c>
      <c r="N228" s="10">
        <f t="shared" si="41"/>
        <v>4.0952528955249118E-3</v>
      </c>
      <c r="O228" s="10">
        <f t="shared" si="42"/>
        <v>5.8357022222886587E-3</v>
      </c>
      <c r="P228" s="10">
        <f t="shared" si="43"/>
        <v>0.59041253589909592</v>
      </c>
      <c r="Q228" s="66">
        <f t="shared" si="47"/>
        <v>2</v>
      </c>
      <c r="R228" s="10">
        <f t="shared" si="44"/>
        <v>1.0878316343955309E-2</v>
      </c>
      <c r="V228" s="10">
        <f t="shared" si="46"/>
        <v>2.0144262689436251E-4</v>
      </c>
    </row>
    <row r="229" spans="11:22">
      <c r="K229" s="66">
        <v>10.85</v>
      </c>
      <c r="L229" s="10">
        <f t="shared" si="39"/>
        <v>0.96925104073818258</v>
      </c>
      <c r="M229" s="10">
        <f t="shared" si="40"/>
        <v>0.95660532208204818</v>
      </c>
      <c r="N229" s="10">
        <f t="shared" si="41"/>
        <v>4.1097260140211412E-3</v>
      </c>
      <c r="O229" s="10">
        <f t="shared" si="42"/>
        <v>5.8564802556430092E-3</v>
      </c>
      <c r="P229" s="10">
        <f t="shared" si="43"/>
        <v>0.58897397507528493</v>
      </c>
      <c r="Q229" s="66">
        <f t="shared" si="47"/>
        <v>4</v>
      </c>
      <c r="R229" s="10">
        <f t="shared" si="44"/>
        <v>2.1769829949321653E-2</v>
      </c>
      <c r="V229" s="10">
        <f t="shared" si="46"/>
        <v>4.0584106943497604E-4</v>
      </c>
    </row>
    <row r="230" spans="11:22">
      <c r="K230" s="66">
        <v>10.9</v>
      </c>
      <c r="L230" s="10">
        <f t="shared" si="39"/>
        <v>0.96905154170098451</v>
      </c>
      <c r="M230" s="10">
        <f t="shared" si="40"/>
        <v>0.95632474781856491</v>
      </c>
      <c r="N230" s="10">
        <f t="shared" si="41"/>
        <v>4.1242515625298098E-3</v>
      </c>
      <c r="O230" s="10">
        <f t="shared" si="42"/>
        <v>5.8773335590607831E-3</v>
      </c>
      <c r="P230" s="10">
        <f t="shared" si="43"/>
        <v>0.58753891935530878</v>
      </c>
      <c r="Q230" s="66">
        <f t="shared" si="47"/>
        <v>2</v>
      </c>
      <c r="R230" s="10">
        <f t="shared" si="44"/>
        <v>1.0891501176927599E-2</v>
      </c>
      <c r="V230" s="10">
        <f t="shared" si="46"/>
        <v>2.0440494071566795E-4</v>
      </c>
    </row>
    <row r="231" spans="11:22">
      <c r="K231" s="66">
        <v>10.95</v>
      </c>
      <c r="L231" s="10">
        <f t="shared" si="39"/>
        <v>0.96885137879738525</v>
      </c>
      <c r="M231" s="10">
        <f t="shared" si="40"/>
        <v>0.95604325721008421</v>
      </c>
      <c r="N231" s="10">
        <f t="shared" si="41"/>
        <v>4.1388297309827675E-3</v>
      </c>
      <c r="O231" s="10">
        <f t="shared" si="42"/>
        <v>5.8982624052137259E-3</v>
      </c>
      <c r="P231" s="10">
        <f t="shared" si="43"/>
        <v>0.58610736019885934</v>
      </c>
      <c r="Q231" s="66">
        <f t="shared" si="47"/>
        <v>4</v>
      </c>
      <c r="R231" s="10">
        <f t="shared" si="44"/>
        <v>2.1796149687873873E-2</v>
      </c>
      <c r="V231" s="10">
        <f t="shared" si="46"/>
        <v>4.1179173570352902E-4</v>
      </c>
    </row>
    <row r="232" spans="11:22">
      <c r="K232" s="66">
        <v>11</v>
      </c>
      <c r="L232" s="10">
        <f t="shared" si="39"/>
        <v>0.96865054990262367</v>
      </c>
      <c r="M232" s="10">
        <f t="shared" si="40"/>
        <v>0.95576084749773138</v>
      </c>
      <c r="N232" s="10">
        <f t="shared" si="41"/>
        <v>4.1534607099999133E-3</v>
      </c>
      <c r="O232" s="10">
        <f t="shared" si="42"/>
        <v>5.9192670677613449E-3</v>
      </c>
      <c r="P232" s="10">
        <f t="shared" si="43"/>
        <v>0.5846792890864374</v>
      </c>
      <c r="Q232" s="66">
        <f t="shared" si="47"/>
        <v>2</v>
      </c>
      <c r="R232" s="10">
        <f t="shared" si="44"/>
        <v>1.0904635868498267E-2</v>
      </c>
      <c r="V232" s="10">
        <f t="shared" si="46"/>
        <v>2.0739333913141669E-4</v>
      </c>
    </row>
    <row r="233" spans="11:22">
      <c r="K233" s="66">
        <v>11.05</v>
      </c>
      <c r="L233" s="10">
        <f t="shared" si="39"/>
        <v>0.96844905288617511</v>
      </c>
      <c r="M233" s="10">
        <f t="shared" si="40"/>
        <v>0.95547751591643793</v>
      </c>
      <c r="N233" s="10">
        <f t="shared" si="41"/>
        <v>4.1681446908916706E-3</v>
      </c>
      <c r="O233" s="10">
        <f t="shared" si="42"/>
        <v>5.9403478213544969E-3</v>
      </c>
      <c r="P233" s="10">
        <f t="shared" si="43"/>
        <v>0.58325469751930081</v>
      </c>
      <c r="Q233" s="66">
        <f t="shared" si="47"/>
        <v>4</v>
      </c>
      <c r="R233" s="10">
        <f t="shared" si="44"/>
        <v>2.182236828609711E-2</v>
      </c>
      <c r="V233" s="10">
        <f t="shared" si="46"/>
        <v>4.1779475520553323E-4</v>
      </c>
    </row>
    <row r="234" spans="11:22">
      <c r="K234" s="66">
        <v>11.1</v>
      </c>
      <c r="L234" s="10">
        <f t="shared" si="39"/>
        <v>0.96824688561174388</v>
      </c>
      <c r="M234" s="10">
        <f t="shared" si="40"/>
        <v>0.95519325969494373</v>
      </c>
      <c r="N234" s="10">
        <f t="shared" si="41"/>
        <v>4.1828818656615167E-3</v>
      </c>
      <c r="O234" s="10">
        <f t="shared" si="42"/>
        <v>5.9615049416390101E-3</v>
      </c>
      <c r="P234" s="10">
        <f t="shared" si="43"/>
        <v>0.58183357701941618</v>
      </c>
      <c r="Q234" s="66">
        <f t="shared" si="47"/>
        <v>2</v>
      </c>
      <c r="R234" s="10">
        <f t="shared" si="44"/>
        <v>1.0917719559651829E-2</v>
      </c>
      <c r="V234" s="10">
        <f t="shared" si="46"/>
        <v>2.1040800635617991E-4</v>
      </c>
    </row>
    <row r="235" spans="11:22">
      <c r="K235" s="66">
        <v>11.15</v>
      </c>
      <c r="L235" s="10">
        <f t="shared" si="39"/>
        <v>0.96804404593725546</v>
      </c>
      <c r="M235" s="10">
        <f t="shared" si="40"/>
        <v>0.95490807605580152</v>
      </c>
      <c r="N235" s="10">
        <f t="shared" si="41"/>
        <v>4.1976724270084628E-3</v>
      </c>
      <c r="O235" s="10">
        <f t="shared" si="42"/>
        <v>5.9827387052592282E-3</v>
      </c>
      <c r="P235" s="10">
        <f t="shared" si="43"/>
        <v>0.58041591912940638</v>
      </c>
      <c r="Q235" s="66">
        <f t="shared" si="47"/>
        <v>4</v>
      </c>
      <c r="R235" s="10">
        <f t="shared" si="44"/>
        <v>2.1848484019997078E-2</v>
      </c>
      <c r="V235" s="10">
        <f t="shared" si="46"/>
        <v>4.2385049704791902E-4</v>
      </c>
    </row>
    <row r="236" spans="11:22">
      <c r="K236" s="66">
        <v>11.2</v>
      </c>
      <c r="L236" s="10">
        <f t="shared" si="39"/>
        <v>0.96784053171484896</v>
      </c>
      <c r="M236" s="10">
        <f t="shared" si="40"/>
        <v>0.95462196221537687</v>
      </c>
      <c r="N236" s="10">
        <f t="shared" si="41"/>
        <v>4.2125165683295929E-3</v>
      </c>
      <c r="O236" s="10">
        <f t="shared" si="42"/>
        <v>6.0040493898616864E-3</v>
      </c>
      <c r="P236" s="10">
        <f t="shared" si="43"/>
        <v>0.57900171541250134</v>
      </c>
      <c r="Q236" s="66">
        <f t="shared" si="47"/>
        <v>2</v>
      </c>
      <c r="R236" s="10">
        <f t="shared" si="44"/>
        <v>1.0930751385405063E-2</v>
      </c>
      <c r="V236" s="10">
        <f t="shared" si="46"/>
        <v>2.1344912728005775E-4</v>
      </c>
    </row>
    <row r="237" spans="11:22">
      <c r="K237" s="66">
        <v>11.25</v>
      </c>
      <c r="L237" s="10">
        <f t="shared" si="39"/>
        <v>0.96763634079086891</v>
      </c>
      <c r="M237" s="10">
        <f t="shared" si="40"/>
        <v>0.95433491538385373</v>
      </c>
      <c r="N237" s="10">
        <f t="shared" si="41"/>
        <v>4.2274144837225851E-3</v>
      </c>
      <c r="O237" s="10">
        <f t="shared" si="42"/>
        <v>6.0254372740986923E-3</v>
      </c>
      <c r="P237" s="10">
        <f t="shared" si="43"/>
        <v>0.57759095745248701</v>
      </c>
      <c r="Q237" s="66">
        <f t="shared" si="47"/>
        <v>4</v>
      </c>
      <c r="R237" s="10">
        <f t="shared" si="44"/>
        <v>2.1874495153626237E-2</v>
      </c>
      <c r="V237" s="10">
        <f t="shared" si="46"/>
        <v>4.2995933167957161E-4</v>
      </c>
    </row>
    <row r="238" spans="11:22">
      <c r="K238" s="66">
        <v>11.3</v>
      </c>
      <c r="L238" s="10">
        <f t="shared" si="39"/>
        <v>0.96743147100585869</v>
      </c>
      <c r="M238" s="10">
        <f t="shared" si="40"/>
        <v>0.95404693276523589</v>
      </c>
      <c r="N238" s="10">
        <f t="shared" si="41"/>
        <v>4.2423663679882545E-3</v>
      </c>
      <c r="O238" s="10">
        <f t="shared" si="42"/>
        <v>6.0469026376320139E-3</v>
      </c>
      <c r="P238" s="10">
        <f t="shared" si="43"/>
        <v>0.57618363685365626</v>
      </c>
      <c r="Q238" s="66">
        <f t="shared" si="47"/>
        <v>2</v>
      </c>
      <c r="R238" s="10">
        <f t="shared" si="44"/>
        <v>1.0943730474789313E-2</v>
      </c>
      <c r="V238" s="10">
        <f t="shared" si="46"/>
        <v>2.1651688745951059E-4</v>
      </c>
    </row>
    <row r="239" spans="11:22">
      <c r="K239" s="66">
        <v>11.35</v>
      </c>
      <c r="L239" s="10">
        <f t="shared" si="39"/>
        <v>0.96722592019455178</v>
      </c>
      <c r="M239" s="10">
        <f t="shared" si="40"/>
        <v>0.95375801155735096</v>
      </c>
      <c r="N239" s="10">
        <f t="shared" si="41"/>
        <v>4.2573724166330967E-3</v>
      </c>
      <c r="O239" s="10">
        <f t="shared" si="42"/>
        <v>6.0684457611365119E-3</v>
      </c>
      <c r="P239" s="10">
        <f t="shared" si="43"/>
        <v>0.57477974524075814</v>
      </c>
      <c r="Q239" s="66">
        <f t="shared" si="47"/>
        <v>4</v>
      </c>
      <c r="R239" s="10">
        <f t="shared" si="44"/>
        <v>2.1900399939049103E-2</v>
      </c>
      <c r="V239" s="10">
        <f t="shared" si="46"/>
        <v>4.3612163087271998E-4</v>
      </c>
    </row>
    <row r="240" spans="11:22">
      <c r="K240" s="66">
        <v>11.4</v>
      </c>
      <c r="L240" s="10">
        <f t="shared" si="39"/>
        <v>0.96701968618586531</v>
      </c>
      <c r="M240" s="10">
        <f t="shared" si="40"/>
        <v>0.95346814895185372</v>
      </c>
      <c r="N240" s="10">
        <f t="shared" si="41"/>
        <v>4.2724328258718419E-3</v>
      </c>
      <c r="O240" s="10">
        <f t="shared" si="42"/>
        <v>6.0900669263038018E-3</v>
      </c>
      <c r="P240" s="10">
        <f t="shared" si="43"/>
        <v>0.57337927425894819</v>
      </c>
      <c r="Q240" s="66">
        <f t="shared" si="47"/>
        <v>2</v>
      </c>
      <c r="R240" s="10">
        <f t="shared" si="44"/>
        <v>1.0956655950833538E-2</v>
      </c>
      <c r="V240" s="10">
        <f t="shared" si="46"/>
        <v>2.1961147310790876E-4</v>
      </c>
    </row>
    <row r="241" spans="11:22">
      <c r="K241" s="66">
        <v>11.45</v>
      </c>
      <c r="L241" s="10">
        <f t="shared" si="39"/>
        <v>0.96681276680289219</v>
      </c>
      <c r="M241" s="10">
        <f t="shared" si="40"/>
        <v>0.95317734213423</v>
      </c>
      <c r="N241" s="10">
        <f t="shared" si="41"/>
        <v>4.2875477926300268E-3</v>
      </c>
      <c r="O241" s="10">
        <f t="shared" si="42"/>
        <v>6.1117664158459655E-3</v>
      </c>
      <c r="P241" s="10">
        <f t="shared" si="43"/>
        <v>0.57198221557373918</v>
      </c>
      <c r="Q241" s="66">
        <f t="shared" si="47"/>
        <v>4</v>
      </c>
      <c r="R241" s="10">
        <f t="shared" si="44"/>
        <v>2.1926196616308589E-2</v>
      </c>
      <c r="V241" s="10">
        <f t="shared" si="46"/>
        <v>4.4233776770374259E-4</v>
      </c>
    </row>
    <row r="242" spans="11:22">
      <c r="K242" s="66">
        <v>11.5</v>
      </c>
      <c r="L242" s="10">
        <f t="shared" si="39"/>
        <v>0.96660515986289397</v>
      </c>
      <c r="M242" s="10">
        <f t="shared" si="40"/>
        <v>0.95288558828379999</v>
      </c>
      <c r="N242" s="10">
        <f t="shared" si="41"/>
        <v>4.3027175145465644E-3</v>
      </c>
      <c r="O242" s="10">
        <f t="shared" si="42"/>
        <v>6.1335445134992209E-3</v>
      </c>
      <c r="P242" s="10">
        <f t="shared" si="43"/>
        <v>0.57058856087095067</v>
      </c>
      <c r="Q242" s="66">
        <f t="shared" si="47"/>
        <v>2</v>
      </c>
      <c r="R242" s="10">
        <f t="shared" si="44"/>
        <v>1.0969526930547618E-2</v>
      </c>
      <c r="V242" s="10">
        <f t="shared" si="46"/>
        <v>2.2273307108578255E-4</v>
      </c>
    </row>
    <row r="243" spans="11:22">
      <c r="K243" s="66">
        <v>11.55</v>
      </c>
      <c r="L243" s="10">
        <f t="shared" si="39"/>
        <v>0.96639686317729323</v>
      </c>
      <c r="M243" s="10">
        <f t="shared" si="40"/>
        <v>0.95259288457372215</v>
      </c>
      <c r="N243" s="10">
        <f t="shared" si="41"/>
        <v>4.3179421899763324E-3</v>
      </c>
      <c r="O243" s="10">
        <f t="shared" si="42"/>
        <v>6.155401504027643E-3</v>
      </c>
      <c r="P243" s="10">
        <f t="shared" si="43"/>
        <v>0.56919830185666032</v>
      </c>
      <c r="Q243" s="66">
        <f t="shared" si="47"/>
        <v>4</v>
      </c>
      <c r="R243" s="10">
        <f t="shared" si="44"/>
        <v>2.1951883413393217E-2</v>
      </c>
      <c r="V243" s="10">
        <f t="shared" si="46"/>
        <v>4.4860811653336003E-4</v>
      </c>
    </row>
    <row r="244" spans="11:22">
      <c r="K244" s="66">
        <v>11.6</v>
      </c>
      <c r="L244" s="10">
        <f t="shared" si="39"/>
        <v>0.96618787455166699</v>
      </c>
      <c r="M244" s="10">
        <f t="shared" si="40"/>
        <v>0.9522992281709981</v>
      </c>
      <c r="N244" s="10">
        <f t="shared" si="41"/>
        <v>4.3332220179927656E-3</v>
      </c>
      <c r="O244" s="10">
        <f t="shared" si="42"/>
        <v>6.1773376732268993E-3</v>
      </c>
      <c r="P244" s="10">
        <f t="shared" si="43"/>
        <v>0.56781143025715419</v>
      </c>
      <c r="Q244" s="66">
        <f t="shared" si="47"/>
        <v>2</v>
      </c>
      <c r="R244" s="10">
        <f t="shared" si="44"/>
        <v>1.0982342524906208E-2</v>
      </c>
      <c r="V244" s="10">
        <f t="shared" si="46"/>
        <v>2.2588186889077388E-4</v>
      </c>
    </row>
    <row r="245" spans="11:22">
      <c r="K245" s="66">
        <v>11.65</v>
      </c>
      <c r="L245" s="10">
        <f t="shared" si="39"/>
        <v>0.96597819178573907</v>
      </c>
      <c r="M245" s="10">
        <f t="shared" si="40"/>
        <v>0.9520046162364767</v>
      </c>
      <c r="N245" s="10">
        <f t="shared" si="41"/>
        <v>4.3485571983904528E-3</v>
      </c>
      <c r="O245" s="10">
        <f t="shared" si="42"/>
        <v>6.1993533079279517E-3</v>
      </c>
      <c r="P245" s="10">
        <f t="shared" si="43"/>
        <v>0.56642793781887768</v>
      </c>
      <c r="Q245" s="66">
        <f t="shared" si="47"/>
        <v>4</v>
      </c>
      <c r="R245" s="10">
        <f t="shared" si="44"/>
        <v>2.1977458546205336E-2</v>
      </c>
      <c r="V245" s="10">
        <f t="shared" si="46"/>
        <v>4.5493305298623706E-4</v>
      </c>
    </row>
    <row r="246" spans="11:22">
      <c r="K246" s="66">
        <v>11.7</v>
      </c>
      <c r="L246" s="10">
        <f t="shared" si="39"/>
        <v>0.96576781267337308</v>
      </c>
      <c r="M246" s="10">
        <f t="shared" si="40"/>
        <v>0.95170904592485783</v>
      </c>
      <c r="N246" s="10">
        <f t="shared" si="41"/>
        <v>4.363947931687759E-3</v>
      </c>
      <c r="O246" s="10">
        <f t="shared" si="42"/>
        <v>6.2214486960008551E-3</v>
      </c>
      <c r="P246" s="10">
        <f t="shared" si="43"/>
        <v>0.56504781630838585</v>
      </c>
      <c r="Q246" s="66">
        <f t="shared" si="47"/>
        <v>2</v>
      </c>
      <c r="R246" s="10">
        <f t="shared" si="44"/>
        <v>1.0995101838833121E-2</v>
      </c>
      <c r="V246" s="10">
        <f t="shared" si="46"/>
        <v>2.2905805464727754E-4</v>
      </c>
    </row>
    <row r="247" spans="11:22">
      <c r="K247" s="66">
        <v>11.75</v>
      </c>
      <c r="L247" s="10">
        <f t="shared" si="39"/>
        <v>0.96555673500256545</v>
      </c>
      <c r="M247" s="10">
        <f t="shared" si="40"/>
        <v>0.95141251438469787</v>
      </c>
      <c r="N247" s="10">
        <f t="shared" si="41"/>
        <v>4.3793944191294395E-3</v>
      </c>
      <c r="O247" s="10">
        <f t="shared" si="42"/>
        <v>6.2436241263584807E-3</v>
      </c>
      <c r="P247" s="10">
        <f t="shared" si="43"/>
        <v>0.56367105751229518</v>
      </c>
      <c r="Q247" s="66">
        <f t="shared" si="47"/>
        <v>4</v>
      </c>
      <c r="R247" s="10">
        <f t="shared" si="44"/>
        <v>2.2002920218530213E-2</v>
      </c>
      <c r="V247" s="10">
        <f t="shared" si="46"/>
        <v>4.6131295392996401E-4</v>
      </c>
    </row>
    <row r="248" spans="11:22">
      <c r="K248" s="66">
        <v>11.8</v>
      </c>
      <c r="L248" s="10">
        <f t="shared" si="39"/>
        <v>0.9653449565554385</v>
      </c>
      <c r="M248" s="10">
        <f t="shared" si="40"/>
        <v>0.95111501875841453</v>
      </c>
      <c r="N248" s="10">
        <f t="shared" si="41"/>
        <v>4.39489686268928E-3</v>
      </c>
      <c r="O248" s="10">
        <f t="shared" si="42"/>
        <v>6.2658798889603084E-3</v>
      </c>
      <c r="P248" s="10">
        <f t="shared" si="43"/>
        <v>0.56229765323723424</v>
      </c>
      <c r="Q248" s="66">
        <f t="shared" si="47"/>
        <v>2</v>
      </c>
      <c r="R248" s="10">
        <f t="shared" si="44"/>
        <v>1.1007803971186114E-2</v>
      </c>
      <c r="V248" s="10">
        <f t="shared" si="46"/>
        <v>2.3226181709578512E-4</v>
      </c>
    </row>
    <row r="249" spans="11:22">
      <c r="K249" s="66">
        <v>11.85</v>
      </c>
      <c r="L249" s="10">
        <f t="shared" si="39"/>
        <v>0.96513247510823386</v>
      </c>
      <c r="M249" s="10">
        <f t="shared" si="40"/>
        <v>0.95081655618229144</v>
      </c>
      <c r="N249" s="10">
        <f t="shared" si="41"/>
        <v>4.4104554650727275E-3</v>
      </c>
      <c r="O249" s="10">
        <f t="shared" si="42"/>
        <v>6.2882162748162359E-3</v>
      </c>
      <c r="P249" s="10">
        <f t="shared" si="43"/>
        <v>0.56092759530979508</v>
      </c>
      <c r="Q249" s="66">
        <f t="shared" si="47"/>
        <v>4</v>
      </c>
      <c r="R249" s="10">
        <f t="shared" si="44"/>
        <v>2.2028266622006305E-2</v>
      </c>
      <c r="V249" s="10">
        <f t="shared" si="46"/>
        <v>4.6774819745342062E-4</v>
      </c>
    </row>
    <row r="250" spans="11:22">
      <c r="K250" s="66">
        <v>11.9</v>
      </c>
      <c r="L250" s="10">
        <f t="shared" si="39"/>
        <v>0.96491928843130503</v>
      </c>
      <c r="M250" s="10">
        <f t="shared" si="40"/>
        <v>0.95051712378648356</v>
      </c>
      <c r="N250" s="10">
        <f t="shared" si="41"/>
        <v>4.4260704297195445E-3</v>
      </c>
      <c r="O250" s="10">
        <f t="shared" si="42"/>
        <v>6.3106335759903417E-3</v>
      </c>
      <c r="P250" s="10">
        <f t="shared" si="43"/>
        <v>0.55956087557648448</v>
      </c>
      <c r="Q250" s="66">
        <f t="shared" si="47"/>
        <v>2</v>
      </c>
      <c r="R250" s="10">
        <f t="shared" si="44"/>
        <v>1.1020448014742272E-2</v>
      </c>
      <c r="V250" s="10">
        <f t="shared" si="46"/>
        <v>2.3549334558189798E-4</v>
      </c>
    </row>
    <row r="251" spans="11:22">
      <c r="K251" s="66">
        <v>11.95</v>
      </c>
      <c r="L251" s="10">
        <f t="shared" si="39"/>
        <v>0.96470539428911128</v>
      </c>
      <c r="M251" s="10">
        <f t="shared" si="40"/>
        <v>0.95021671869502333</v>
      </c>
      <c r="N251" s="10">
        <f t="shared" si="41"/>
        <v>4.4417419608064751E-3</v>
      </c>
      <c r="O251" s="10">
        <f t="shared" si="42"/>
        <v>6.3331320856047525E-3</v>
      </c>
      <c r="P251" s="10">
        <f t="shared" si="43"/>
        <v>0.55819748590367557</v>
      </c>
      <c r="Q251" s="66">
        <f t="shared" si="47"/>
        <v>4</v>
      </c>
      <c r="R251" s="10">
        <f t="shared" si="44"/>
        <v>2.2053495936096401E-2</v>
      </c>
      <c r="V251" s="10">
        <f t="shared" si="46"/>
        <v>4.7423916284448605E-4</v>
      </c>
    </row>
    <row r="252" spans="11:22">
      <c r="K252" s="66">
        <v>12</v>
      </c>
      <c r="L252" s="10">
        <f t="shared" si="39"/>
        <v>0.96449079044021058</v>
      </c>
      <c r="M252" s="10">
        <f t="shared" si="40"/>
        <v>0.94991533802582484</v>
      </c>
      <c r="N252" s="10">
        <f t="shared" si="41"/>
        <v>4.457470263249907E-3</v>
      </c>
      <c r="O252" s="10">
        <f t="shared" si="42"/>
        <v>6.3557120978434446E-3</v>
      </c>
      <c r="P252" s="10">
        <f t="shared" si="43"/>
        <v>0.5568374181775595</v>
      </c>
      <c r="Q252" s="66">
        <f t="shared" si="47"/>
        <v>2</v>
      </c>
      <c r="R252" s="10">
        <f t="shared" si="44"/>
        <v>1.1033033056183861E-2</v>
      </c>
      <c r="V252" s="10">
        <f t="shared" si="46"/>
        <v>2.3875283004502981E-4</v>
      </c>
    </row>
    <row r="253" spans="11:22">
      <c r="K253" s="66">
        <v>12.05</v>
      </c>
      <c r="L253" s="10">
        <f t="shared" si="39"/>
        <v>0.96427547463725283</v>
      </c>
      <c r="M253" s="10">
        <f t="shared" si="40"/>
        <v>0.94961297889069107</v>
      </c>
      <c r="N253" s="10">
        <f t="shared" si="41"/>
        <v>4.4732555427085463E-3</v>
      </c>
      <c r="O253" s="10">
        <f t="shared" si="42"/>
        <v>6.378373907956085E-3</v>
      </c>
      <c r="P253" s="10">
        <f t="shared" si="43"/>
        <v>0.55548066430409593</v>
      </c>
      <c r="Q253" s="66">
        <f t="shared" si="47"/>
        <v>4</v>
      </c>
      <c r="R253" s="10">
        <f t="shared" si="44"/>
        <v>2.2078606328059934E-2</v>
      </c>
      <c r="V253" s="10">
        <f t="shared" si="46"/>
        <v>4.8078623056712423E-4</v>
      </c>
    </row>
    <row r="254" spans="11:22">
      <c r="K254" s="66">
        <v>12.1</v>
      </c>
      <c r="L254" s="10">
        <f t="shared" si="39"/>
        <v>0.96405944462697424</v>
      </c>
      <c r="M254" s="10">
        <f t="shared" si="40"/>
        <v>0.9493096383953189</v>
      </c>
      <c r="N254" s="10">
        <f t="shared" si="41"/>
        <v>4.48909800558613E-3</v>
      </c>
      <c r="O254" s="10">
        <f t="shared" si="42"/>
        <v>6.4011178122619361E-3</v>
      </c>
      <c r="P254" s="10">
        <f t="shared" si="43"/>
        <v>0.55412721620896777</v>
      </c>
      <c r="Q254" s="66">
        <f t="shared" si="47"/>
        <v>2</v>
      </c>
      <c r="R254" s="10">
        <f t="shared" si="44"/>
        <v>1.1045558176084692E-2</v>
      </c>
      <c r="V254" s="10">
        <f t="shared" si="46"/>
        <v>2.4204046100678343E-4</v>
      </c>
    </row>
    <row r="255" spans="11:22">
      <c r="K255" s="66">
        <v>12.15</v>
      </c>
      <c r="L255" s="10">
        <f t="shared" si="39"/>
        <v>0.96384269815018964</v>
      </c>
      <c r="M255" s="10">
        <f t="shared" si="40"/>
        <v>0.94900531363930585</v>
      </c>
      <c r="N255" s="10">
        <f t="shared" si="41"/>
        <v>4.5049978590340975E-3</v>
      </c>
      <c r="O255" s="10">
        <f t="shared" si="42"/>
        <v>6.4239441081536718E-3</v>
      </c>
      <c r="P255" s="10">
        <f t="shared" si="43"/>
        <v>0.55277706583752995</v>
      </c>
      <c r="Q255" s="66">
        <f t="shared" si="47"/>
        <v>4</v>
      </c>
      <c r="R255" s="10">
        <f t="shared" si="44"/>
        <v>2.2103595952926353E-2</v>
      </c>
      <c r="V255" s="10">
        <f t="shared" si="46"/>
        <v>4.8738978223780108E-4</v>
      </c>
    </row>
    <row r="256" spans="11:22">
      <c r="K256" s="66">
        <v>12.2</v>
      </c>
      <c r="L256" s="10">
        <f t="shared" si="39"/>
        <v>0.96362523294178715</v>
      </c>
      <c r="M256" s="10">
        <f t="shared" si="40"/>
        <v>0.9487000017161562</v>
      </c>
      <c r="N256" s="10">
        <f t="shared" si="41"/>
        <v>4.5209553109543128E-3</v>
      </c>
      <c r="O256" s="10">
        <f t="shared" si="42"/>
        <v>6.446853094101309E-3</v>
      </c>
      <c r="P256" s="10">
        <f t="shared" si="43"/>
        <v>0.55143020515476315</v>
      </c>
      <c r="Q256" s="66">
        <f t="shared" si="47"/>
        <v>2</v>
      </c>
      <c r="R256" s="10">
        <f t="shared" si="44"/>
        <v>1.1058022448897193E-2</v>
      </c>
      <c r="V256" s="10">
        <f t="shared" si="46"/>
        <v>2.4535642955899185E-4</v>
      </c>
    </row>
    <row r="257" spans="11:22">
      <c r="K257" s="66">
        <v>12.25</v>
      </c>
      <c r="L257" s="10">
        <f t="shared" si="39"/>
        <v>0.96340704673072119</v>
      </c>
      <c r="M257" s="10">
        <f t="shared" si="40"/>
        <v>0.94839369971328757</v>
      </c>
      <c r="N257" s="10">
        <f t="shared" si="41"/>
        <v>4.5369705700017788E-3</v>
      </c>
      <c r="O257" s="10">
        <f t="shared" si="42"/>
        <v>6.4698450696560935E-3</v>
      </c>
      <c r="P257" s="10">
        <f t="shared" si="43"/>
        <v>0.55008662614522574</v>
      </c>
      <c r="Q257" s="66">
        <f t="shared" si="47"/>
        <v>4</v>
      </c>
      <c r="R257" s="10">
        <f t="shared" si="44"/>
        <v>2.2128462953469527E-2</v>
      </c>
      <c r="V257" s="10">
        <f t="shared" si="46"/>
        <v>4.9405020060123777E-4</v>
      </c>
    </row>
    <row r="258" spans="11:22">
      <c r="K258" s="66">
        <v>12.3</v>
      </c>
      <c r="L258" s="10">
        <f t="shared" si="39"/>
        <v>0.96318813724000651</v>
      </c>
      <c r="M258" s="10">
        <f t="shared" si="40"/>
        <v>0.94808640471203787</v>
      </c>
      <c r="N258" s="10">
        <f t="shared" si="41"/>
        <v>4.5530438455873741E-3</v>
      </c>
      <c r="O258" s="10">
        <f t="shared" si="42"/>
        <v>6.4929203354544144E-3</v>
      </c>
      <c r="P258" s="10">
        <f t="shared" si="43"/>
        <v>0.54874632081300589</v>
      </c>
      <c r="Q258" s="66">
        <f t="shared" si="47"/>
        <v>2</v>
      </c>
      <c r="R258" s="10">
        <f t="shared" si="44"/>
        <v>1.1070424942939789E-2</v>
      </c>
      <c r="V258" s="10">
        <f t="shared" si="46"/>
        <v>2.4870092735142766E-4</v>
      </c>
    </row>
    <row r="259" spans="11:22">
      <c r="K259" s="66">
        <v>12.35</v>
      </c>
      <c r="L259" s="10">
        <f t="shared" si="39"/>
        <v>0.96296850218671226</v>
      </c>
      <c r="M259" s="10">
        <f t="shared" si="40"/>
        <v>0.94777811378767218</v>
      </c>
      <c r="N259" s="10">
        <f t="shared" si="41"/>
        <v>4.5691753478805785E-3</v>
      </c>
      <c r="O259" s="10">
        <f t="shared" si="42"/>
        <v>6.5160791932217504E-3</v>
      </c>
      <c r="P259" s="10">
        <f t="shared" si="43"/>
        <v>0.54740928118167442</v>
      </c>
      <c r="Q259" s="66">
        <f t="shared" si="47"/>
        <v>4</v>
      </c>
      <c r="R259" s="10">
        <f t="shared" si="44"/>
        <v>2.2153205460183418E-2</v>
      </c>
      <c r="V259" s="10">
        <f t="shared" si="46"/>
        <v>5.0076786950548871E-4</v>
      </c>
    </row>
    <row r="260" spans="11:22">
      <c r="K260" s="66">
        <v>12.4</v>
      </c>
      <c r="L260" s="10">
        <f t="shared" si="39"/>
        <v>0.96274813928195513</v>
      </c>
      <c r="M260" s="10">
        <f t="shared" si="40"/>
        <v>0.9474688240093897</v>
      </c>
      <c r="N260" s="10">
        <f t="shared" si="41"/>
        <v>4.5853652878122281E-3</v>
      </c>
      <c r="O260" s="10">
        <f t="shared" si="42"/>
        <v>6.5393219457765871E-3</v>
      </c>
      <c r="P260" s="10">
        <f t="shared" si="43"/>
        <v>0.54607549929423627</v>
      </c>
      <c r="Q260" s="66">
        <f t="shared" si="47"/>
        <v>2</v>
      </c>
      <c r="R260" s="10">
        <f t="shared" si="44"/>
        <v>1.1082764720385092E-2</v>
      </c>
      <c r="V260" s="10">
        <f t="shared" si="46"/>
        <v>2.5207414657917097E-4</v>
      </c>
    </row>
    <row r="261" spans="11:22">
      <c r="K261" s="66">
        <v>12.45</v>
      </c>
      <c r="L261" s="10">
        <f t="shared" si="39"/>
        <v>0.9625270462308948</v>
      </c>
      <c r="M261" s="10">
        <f t="shared" si="40"/>
        <v>0.94715853244033177</v>
      </c>
      <c r="N261" s="10">
        <f t="shared" si="41"/>
        <v>4.6016138770772789E-3</v>
      </c>
      <c r="O261" s="10">
        <f t="shared" si="42"/>
        <v>6.5626488970344128E-3</v>
      </c>
      <c r="P261" s="10">
        <f t="shared" si="43"/>
        <v>0.54474496721308485</v>
      </c>
      <c r="Q261" s="66">
        <f t="shared" si="47"/>
        <v>4</v>
      </c>
      <c r="R261" s="10">
        <f t="shared" si="44"/>
        <v>2.2177821591258803E-2</v>
      </c>
      <c r="V261" s="10">
        <f t="shared" si="46"/>
        <v>5.07543173876328E-4</v>
      </c>
    </row>
    <row r="262" spans="11:22">
      <c r="K262" s="66">
        <v>12.5</v>
      </c>
      <c r="L262" s="10">
        <f t="shared" si="39"/>
        <v>0.96230522073272584</v>
      </c>
      <c r="M262" s="10">
        <f t="shared" si="40"/>
        <v>0.94684723613758859</v>
      </c>
      <c r="N262" s="10">
        <f t="shared" si="41"/>
        <v>4.6179213281375558E-3</v>
      </c>
      <c r="O262" s="10">
        <f t="shared" si="42"/>
        <v>6.5860603520116624E-3</v>
      </c>
      <c r="P262" s="10">
        <f t="shared" si="43"/>
        <v>0.54341767701995292</v>
      </c>
      <c r="Q262" s="66">
        <f t="shared" si="47"/>
        <v>2</v>
      </c>
      <c r="R262" s="10">
        <f t="shared" si="44"/>
        <v>1.109504083724854E-2</v>
      </c>
      <c r="V262" s="10">
        <f t="shared" si="46"/>
        <v>2.5547627996962743E-4</v>
      </c>
    </row>
    <row r="263" spans="11:22">
      <c r="K263" s="66">
        <v>12.55</v>
      </c>
      <c r="L263" s="10">
        <f t="shared" si="39"/>
        <v>0.96208266048067437</v>
      </c>
      <c r="M263" s="10">
        <f t="shared" si="40"/>
        <v>0.94653493215220741</v>
      </c>
      <c r="N263" s="10">
        <f t="shared" si="41"/>
        <v>4.6342878542245574E-3</v>
      </c>
      <c r="O263" s="10">
        <f t="shared" si="42"/>
        <v>6.6095566168297157E-3</v>
      </c>
      <c r="P263" s="10">
        <f t="shared" si="43"/>
        <v>0.54209362081586687</v>
      </c>
      <c r="Q263" s="66">
        <f t="shared" si="47"/>
        <v>4</v>
      </c>
      <c r="R263" s="10">
        <f t="shared" si="44"/>
        <v>2.2202309452561252E-2</v>
      </c>
      <c r="V263" s="10">
        <f t="shared" si="46"/>
        <v>5.1437649969094442E-4</v>
      </c>
    </row>
    <row r="264" spans="11:22">
      <c r="K264" s="66">
        <v>12.6</v>
      </c>
      <c r="L264" s="10">
        <f t="shared" si="39"/>
        <v>0.96185936316199017</v>
      </c>
      <c r="M264" s="10">
        <f t="shared" si="40"/>
        <v>0.94622161752920098</v>
      </c>
      <c r="N264" s="10">
        <f t="shared" si="41"/>
        <v>4.650713669342223E-3</v>
      </c>
      <c r="O264" s="10">
        <f t="shared" si="42"/>
        <v>6.6331379987189156E-3</v>
      </c>
      <c r="P264" s="10">
        <f t="shared" si="43"/>
        <v>0.54077279072109929</v>
      </c>
      <c r="Q264" s="66">
        <f t="shared" si="47"/>
        <v>2</v>
      </c>
      <c r="R264" s="10">
        <f t="shared" si="44"/>
        <v>1.1107252343377663E-2</v>
      </c>
      <c r="V264" s="10">
        <f t="shared" si="46"/>
        <v>2.5890752076920028E-4</v>
      </c>
    </row>
    <row r="265" spans="11:22">
      <c r="K265" s="66">
        <v>12.65</v>
      </c>
      <c r="L265" s="10">
        <f t="shared" si="39"/>
        <v>0.96163532645794236</v>
      </c>
      <c r="M265" s="10">
        <f t="shared" si="40"/>
        <v>0.94590728930755485</v>
      </c>
      <c r="N265" s="10">
        <f t="shared" si="41"/>
        <v>4.6671989882697352E-3</v>
      </c>
      <c r="O265" s="10">
        <f t="shared" si="42"/>
        <v>6.6568048060225487E-3</v>
      </c>
      <c r="P265" s="10">
        <f t="shared" si="43"/>
        <v>0.53945517887512151</v>
      </c>
      <c r="Q265" s="66">
        <f t="shared" si="47"/>
        <v>4</v>
      </c>
      <c r="R265" s="10">
        <f t="shared" si="44"/>
        <v>2.2226667137610349E-2</v>
      </c>
      <c r="V265" s="10">
        <f t="shared" si="46"/>
        <v>5.2126823395091471E-4</v>
      </c>
    </row>
    <row r="266" spans="11:22">
      <c r="K266" s="66">
        <v>12.7</v>
      </c>
      <c r="L266" s="10">
        <f t="shared" si="39"/>
        <v>0.9614105480438131</v>
      </c>
      <c r="M266" s="10">
        <f t="shared" si="40"/>
        <v>0.94559194452023654</v>
      </c>
      <c r="N266" s="10">
        <f t="shared" si="41"/>
        <v>4.6837440265643411E-3</v>
      </c>
      <c r="O266" s="10">
        <f t="shared" si="42"/>
        <v>6.6805573482009188E-3</v>
      </c>
      <c r="P266" s="10">
        <f t="shared" si="43"/>
        <v>0.53814077743655786</v>
      </c>
      <c r="Q266" s="66">
        <f t="shared" si="47"/>
        <v>2</v>
      </c>
      <c r="R266" s="10">
        <f t="shared" si="44"/>
        <v>1.1119398282442013E-2</v>
      </c>
      <c r="V266" s="10">
        <f t="shared" si="46"/>
        <v>2.6236806272959817E-4</v>
      </c>
    </row>
    <row r="267" spans="11:22">
      <c r="K267" s="66">
        <v>12.75</v>
      </c>
      <c r="L267" s="10">
        <f t="shared" si="39"/>
        <v>0.96118502558889207</v>
      </c>
      <c r="M267" s="10">
        <f t="shared" si="40"/>
        <v>0.94527558019420366</v>
      </c>
      <c r="N267" s="10">
        <f t="shared" si="41"/>
        <v>4.7003490005641472E-3</v>
      </c>
      <c r="O267" s="10">
        <f t="shared" si="42"/>
        <v>6.7043959358353659E-3</v>
      </c>
      <c r="P267" s="10">
        <f t="shared" si="43"/>
        <v>0.53682957858313829</v>
      </c>
      <c r="Q267" s="66">
        <f t="shared" si="47"/>
        <v>4</v>
      </c>
      <c r="R267" s="10">
        <f t="shared" si="44"/>
        <v>2.2250892727559996E-2</v>
      </c>
      <c r="V267" s="10">
        <f t="shared" si="46"/>
        <v>5.2821876465447353E-4</v>
      </c>
    </row>
    <row r="268" spans="11:22">
      <c r="K268" s="66">
        <v>12.8</v>
      </c>
      <c r="L268" s="10">
        <f t="shared" ref="L268:L331" si="48">(B$7^K268)*B$8^((B$5^25)*((B$5^K268)-1))</f>
        <v>0.96095875675647191</v>
      </c>
      <c r="M268" s="10">
        <f t="shared" ref="M268:M331" si="49">(B$7^K268)*B$8^((B$5^30)*((B$5^K268)-1))</f>
        <v>0.94495819335041309</v>
      </c>
      <c r="N268" s="10">
        <f t="shared" si="41"/>
        <v>4.7170141273909756E-3</v>
      </c>
      <c r="O268" s="10">
        <f t="shared" si="42"/>
        <v>6.7283208806323313E-3</v>
      </c>
      <c r="P268" s="10">
        <f t="shared" si="43"/>
        <v>0.53552157451165172</v>
      </c>
      <c r="Q268" s="66">
        <f t="shared" si="47"/>
        <v>2</v>
      </c>
      <c r="R268" s="10">
        <f t="shared" si="44"/>
        <v>1.1131477691923687E-2</v>
      </c>
      <c r="V268" s="10">
        <f t="shared" si="46"/>
        <v>2.6585810009378781E-4</v>
      </c>
    </row>
    <row r="269" spans="11:22">
      <c r="K269" s="66">
        <v>12.85</v>
      </c>
      <c r="L269" s="10">
        <f t="shared" si="48"/>
        <v>0.96073173920384147</v>
      </c>
      <c r="M269" s="10">
        <f t="shared" si="49"/>
        <v>0.94463978100382973</v>
      </c>
      <c r="N269" s="10">
        <f t="shared" ref="N269:N332" si="50">B$3+B$4*(B$5^(25+K269))</f>
        <v>4.7337396249531819E-3</v>
      </c>
      <c r="O269" s="10">
        <f t="shared" ref="O269:O332" si="51">$B$3+$B$4*($B$5^(30+K269))</f>
        <v>6.7523324954274506E-3</v>
      </c>
      <c r="P269" s="10">
        <f t="shared" ref="P269:P332" si="52">(1+B$6)^-K269</f>
        <v>0.53421675743790009</v>
      </c>
      <c r="Q269" s="66">
        <f t="shared" si="47"/>
        <v>4</v>
      </c>
      <c r="R269" s="10">
        <f t="shared" ref="R269:R332" si="53">L269*M269*(N269+O269)*P269*Q269</f>
        <v>2.227498429118021E-2</v>
      </c>
      <c r="V269" s="10">
        <f t="shared" si="46"/>
        <v>5.3522848076803357E-4</v>
      </c>
    </row>
    <row r="270" spans="11:22">
      <c r="K270" s="66">
        <v>12.9</v>
      </c>
      <c r="L270" s="10">
        <f t="shared" si="48"/>
        <v>0.96050397058228165</v>
      </c>
      <c r="M270" s="10">
        <f t="shared" si="49"/>
        <v>0.94432034016343647</v>
      </c>
      <c r="N270" s="10">
        <f t="shared" si="50"/>
        <v>4.7505257119485091E-3</v>
      </c>
      <c r="O270" s="10">
        <f t="shared" si="51"/>
        <v>6.7764310941896173E-3</v>
      </c>
      <c r="P270" s="10">
        <f t="shared" si="52"/>
        <v>0.53291511959665194</v>
      </c>
      <c r="Q270" s="66">
        <f t="shared" si="47"/>
        <v>2</v>
      </c>
      <c r="R270" s="10">
        <f t="shared" si="53"/>
        <v>1.1143489603108486E-2</v>
      </c>
      <c r="V270" s="10">
        <f t="shared" ref="V270:V333" si="54">(1-L270)*M270*O270*P270*Q270</f>
        <v>2.6937782758156725E-4</v>
      </c>
    </row>
    <row r="271" spans="11:22">
      <c r="K271" s="66">
        <v>12.95</v>
      </c>
      <c r="L271" s="10">
        <f t="shared" si="48"/>
        <v>0.96027544853705982</v>
      </c>
      <c r="M271" s="10">
        <f t="shared" si="49"/>
        <v>0.94399986783224255</v>
      </c>
      <c r="N271" s="10">
        <f t="shared" si="50"/>
        <v>4.7673726078669605E-3</v>
      </c>
      <c r="O271" s="10">
        <f t="shared" si="51"/>
        <v>6.8006169920251094E-3</v>
      </c>
      <c r="P271" s="10">
        <f t="shared" si="52"/>
        <v>0.53161665324159579</v>
      </c>
      <c r="Q271" s="66">
        <f t="shared" ref="Q271:Q334" si="55">IF(Q270=4,2,4)</f>
        <v>4</v>
      </c>
      <c r="R271" s="10">
        <f t="shared" si="53"/>
        <v>2.2298939884840101E-2</v>
      </c>
      <c r="V271" s="10">
        <f t="shared" si="54"/>
        <v>5.4229777219698405E-4</v>
      </c>
    </row>
    <row r="272" spans="11:22">
      <c r="K272" s="66">
        <v>13</v>
      </c>
      <c r="L272" s="10">
        <f t="shared" si="48"/>
        <v>0.96004617070742471</v>
      </c>
      <c r="M272" s="10">
        <f t="shared" si="49"/>
        <v>0.94367836100729408</v>
      </c>
      <c r="N272" s="10">
        <f t="shared" si="50"/>
        <v>4.7842805329936493E-3</v>
      </c>
      <c r="O272" s="10">
        <f t="shared" si="51"/>
        <v>6.8248905051817039E-3</v>
      </c>
      <c r="P272" s="10">
        <f t="shared" si="52"/>
        <v>0.53032135064529462</v>
      </c>
      <c r="Q272" s="66">
        <f t="shared" si="55"/>
        <v>2</v>
      </c>
      <c r="R272" s="10">
        <f t="shared" si="53"/>
        <v>1.1155433041077762E-2</v>
      </c>
      <c r="V272" s="10">
        <f t="shared" si="54"/>
        <v>2.7292744037477653E-4</v>
      </c>
    </row>
    <row r="273" spans="11:22">
      <c r="K273" s="66">
        <v>13.05</v>
      </c>
      <c r="L273" s="10">
        <f t="shared" si="48"/>
        <v>0.95981613472660132</v>
      </c>
      <c r="M273" s="10">
        <f t="shared" si="49"/>
        <v>0.94335581667968371</v>
      </c>
      <c r="N273" s="10">
        <f t="shared" si="50"/>
        <v>4.8012497084116874E-3</v>
      </c>
      <c r="O273" s="10">
        <f t="shared" si="51"/>
        <v>6.8492519510527919E-3</v>
      </c>
      <c r="P273" s="10">
        <f t="shared" si="52"/>
        <v>0.52902920409913901</v>
      </c>
      <c r="Q273" s="66">
        <f t="shared" si="55"/>
        <v>4</v>
      </c>
      <c r="R273" s="10">
        <f t="shared" si="53"/>
        <v>2.2322757552492155E-2</v>
      </c>
      <c r="V273" s="10">
        <f t="shared" si="54"/>
        <v>5.4942702975571017E-4</v>
      </c>
    </row>
    <row r="274" spans="11:22">
      <c r="K274" s="66">
        <v>13.1</v>
      </c>
      <c r="L274" s="10">
        <f t="shared" si="48"/>
        <v>0.9595853382217866</v>
      </c>
      <c r="M274" s="10">
        <f t="shared" si="49"/>
        <v>0.94303223183456131</v>
      </c>
      <c r="N274" s="10">
        <f t="shared" si="50"/>
        <v>4.8182803560050903E-3</v>
      </c>
      <c r="O274" s="10">
        <f t="shared" si="51"/>
        <v>6.873701648181579E-3</v>
      </c>
      <c r="P274" s="10">
        <f t="shared" si="52"/>
        <v>0.52774020591330262</v>
      </c>
      <c r="Q274" s="66">
        <f t="shared" si="55"/>
        <v>2</v>
      </c>
      <c r="R274" s="10">
        <f t="shared" si="53"/>
        <v>1.1167307024700854E-2</v>
      </c>
      <c r="V274" s="10">
        <f t="shared" si="54"/>
        <v>2.7650713410212052E-4</v>
      </c>
    </row>
    <row r="275" spans="11:22">
      <c r="K275" s="66">
        <v>13.15</v>
      </c>
      <c r="L275" s="10">
        <f t="shared" si="48"/>
        <v>0.9593537788141433</v>
      </c>
      <c r="M275" s="10">
        <f t="shared" si="49"/>
        <v>0.94270760345114324</v>
      </c>
      <c r="N275" s="10">
        <f t="shared" si="50"/>
        <v>4.8353726984616532E-3</v>
      </c>
      <c r="O275" s="10">
        <f t="shared" si="51"/>
        <v>6.898239916265197E-3</v>
      </c>
      <c r="P275" s="10">
        <f t="shared" si="52"/>
        <v>0.52645434841669514</v>
      </c>
      <c r="Q275" s="66">
        <f t="shared" si="55"/>
        <v>4</v>
      </c>
      <c r="R275" s="10">
        <f t="shared" si="53"/>
        <v>2.2346435325658002E-2</v>
      </c>
      <c r="V275" s="10">
        <f t="shared" si="54"/>
        <v>5.5661664513686831E-4</v>
      </c>
    </row>
    <row r="276" spans="11:22">
      <c r="K276" s="66">
        <v>13.2</v>
      </c>
      <c r="L276" s="10">
        <f t="shared" si="48"/>
        <v>0.95912145411879701</v>
      </c>
      <c r="M276" s="10">
        <f t="shared" si="49"/>
        <v>0.94238192850272418</v>
      </c>
      <c r="N276" s="10">
        <f t="shared" si="50"/>
        <v>4.8525269592758864E-3</v>
      </c>
      <c r="O276" s="10">
        <f t="shared" si="51"/>
        <v>6.9228670761589083E-3</v>
      </c>
      <c r="P276" s="10">
        <f t="shared" si="52"/>
        <v>0.5251716239569173</v>
      </c>
      <c r="Q276" s="66">
        <f t="shared" si="55"/>
        <v>2</v>
      </c>
      <c r="R276" s="10">
        <f t="shared" si="53"/>
        <v>1.1179110566628413E-2</v>
      </c>
      <c r="V276" s="10">
        <f t="shared" si="54"/>
        <v>2.8011710482361444E-4</v>
      </c>
    </row>
    <row r="277" spans="11:22">
      <c r="K277" s="66">
        <v>13.25</v>
      </c>
      <c r="L277" s="10">
        <f t="shared" si="48"/>
        <v>0.95888836174483005</v>
      </c>
      <c r="M277" s="10">
        <f t="shared" si="49"/>
        <v>0.94205520395668696</v>
      </c>
      <c r="N277" s="10">
        <f t="shared" si="50"/>
        <v>4.869743362751912E-3</v>
      </c>
      <c r="O277" s="10">
        <f t="shared" si="51"/>
        <v>6.9475834498803016E-3</v>
      </c>
      <c r="P277" s="10">
        <f t="shared" si="52"/>
        <v>0.52389202490021491</v>
      </c>
      <c r="Q277" s="66">
        <f t="shared" si="55"/>
        <v>4</v>
      </c>
      <c r="R277" s="10">
        <f t="shared" si="53"/>
        <v>2.236997122341542E-2</v>
      </c>
      <c r="V277" s="10">
        <f t="shared" si="54"/>
        <v>5.6386701087987687E-4</v>
      </c>
    </row>
    <row r="278" spans="11:22">
      <c r="K278" s="66">
        <v>13.3</v>
      </c>
      <c r="L278" s="10">
        <f t="shared" si="48"/>
        <v>0.9586544992952778</v>
      </c>
      <c r="M278" s="10">
        <f t="shared" si="49"/>
        <v>0.94172742677451449</v>
      </c>
      <c r="N278" s="10">
        <f t="shared" si="50"/>
        <v>4.887022134006427E-3</v>
      </c>
      <c r="O278" s="10">
        <f t="shared" si="51"/>
        <v>6.9723893606134955E-3</v>
      </c>
      <c r="P278" s="10">
        <f t="shared" si="52"/>
        <v>0.52261554363143425</v>
      </c>
      <c r="Q278" s="66">
        <f t="shared" si="55"/>
        <v>2</v>
      </c>
      <c r="R278" s="10">
        <f t="shared" si="53"/>
        <v>1.1190842673286154E-2</v>
      </c>
      <c r="V278" s="10">
        <f t="shared" si="54"/>
        <v>2.8375754901462243E-4</v>
      </c>
    </row>
    <row r="279" spans="11:22">
      <c r="K279" s="66">
        <v>13.35</v>
      </c>
      <c r="L279" s="10">
        <f t="shared" si="48"/>
        <v>0.95841986436712345</v>
      </c>
      <c r="M279" s="10">
        <f t="shared" si="49"/>
        <v>0.94139859391180047</v>
      </c>
      <c r="N279" s="10">
        <f t="shared" si="50"/>
        <v>4.904363498971622E-3</v>
      </c>
      <c r="O279" s="10">
        <f t="shared" si="51"/>
        <v>6.9972851327133783E-3</v>
      </c>
      <c r="P279" s="10">
        <f t="shared" si="52"/>
        <v>0.52134217255397564</v>
      </c>
      <c r="Q279" s="66">
        <f t="shared" si="55"/>
        <v>4</v>
      </c>
      <c r="R279" s="10">
        <f t="shared" si="53"/>
        <v>2.2393363252386871E-2</v>
      </c>
      <c r="V279" s="10">
        <f t="shared" si="54"/>
        <v>5.7117852033861344E-4</v>
      </c>
    </row>
    <row r="280" spans="11:22">
      <c r="K280" s="66">
        <v>13.4</v>
      </c>
      <c r="L280" s="10">
        <f t="shared" si="48"/>
        <v>0.95818445455129453</v>
      </c>
      <c r="M280" s="10">
        <f t="shared" si="49"/>
        <v>0.94106870231826123</v>
      </c>
      <c r="N280" s="10">
        <f t="shared" si="50"/>
        <v>4.9217676843981446E-3</v>
      </c>
      <c r="O280" s="10">
        <f t="shared" si="51"/>
        <v>7.0222710917098308E-3</v>
      </c>
      <c r="P280" s="10">
        <f t="shared" si="52"/>
        <v>0.5200719040897489</v>
      </c>
      <c r="Q280" s="66">
        <f t="shared" si="55"/>
        <v>2</v>
      </c>
      <c r="R280" s="10">
        <f t="shared" si="53"/>
        <v>1.1202502344869553E-2</v>
      </c>
      <c r="V280" s="10">
        <f t="shared" si="54"/>
        <v>2.8742866354952267E-4</v>
      </c>
    </row>
    <row r="281" spans="11:22">
      <c r="K281" s="66">
        <v>13.45</v>
      </c>
      <c r="L281" s="10">
        <f t="shared" si="48"/>
        <v>0.95794826743265837</v>
      </c>
      <c r="M281" s="10">
        <f t="shared" si="49"/>
        <v>0.94073774893774742</v>
      </c>
      <c r="N281" s="10">
        <f t="shared" si="50"/>
        <v>4.9392349178580749E-3</v>
      </c>
      <c r="O281" s="10">
        <f t="shared" si="51"/>
        <v>7.0473475643119936E-3</v>
      </c>
      <c r="P281" s="10">
        <f t="shared" si="52"/>
        <v>0.51880473067912836</v>
      </c>
      <c r="Q281" s="66">
        <f t="shared" si="55"/>
        <v>4</v>
      </c>
      <c r="R281" s="10">
        <f t="shared" si="53"/>
        <v>2.2416609406729425E-2</v>
      </c>
      <c r="V281" s="10">
        <f t="shared" si="54"/>
        <v>5.785515676483237E-4</v>
      </c>
    </row>
    <row r="282" spans="11:22">
      <c r="K282" s="66">
        <v>13.5</v>
      </c>
      <c r="L282" s="10">
        <f t="shared" si="48"/>
        <v>0.95771130059001708</v>
      </c>
      <c r="M282" s="10">
        <f t="shared" si="49"/>
        <v>0.94040573070825595</v>
      </c>
      <c r="N282" s="10">
        <f t="shared" si="50"/>
        <v>4.9567654277478728E-3</v>
      </c>
      <c r="O282" s="10">
        <f t="shared" si="51"/>
        <v>7.0725148784125374E-3</v>
      </c>
      <c r="P282" s="10">
        <f t="shared" si="52"/>
        <v>0.51754064478090755</v>
      </c>
      <c r="Q282" s="66">
        <f t="shared" si="55"/>
        <v>2</v>
      </c>
      <c r="R282" s="10">
        <f t="shared" si="53"/>
        <v>1.1214088575339155E-2</v>
      </c>
      <c r="V282" s="10">
        <f t="shared" si="54"/>
        <v>2.9113064568494275E-4</v>
      </c>
    </row>
    <row r="283" spans="11:22">
      <c r="K283" s="66">
        <v>13.55</v>
      </c>
      <c r="L283" s="10">
        <f t="shared" si="48"/>
        <v>0.95747355159610503</v>
      </c>
      <c r="M283" s="10">
        <f t="shared" si="49"/>
        <v>0.94007264456194239</v>
      </c>
      <c r="N283" s="10">
        <f t="shared" si="50"/>
        <v>4.9743594432913995E-3</v>
      </c>
      <c r="O283" s="10">
        <f t="shared" si="51"/>
        <v>7.0977733630919453E-3</v>
      </c>
      <c r="P283" s="10">
        <f t="shared" si="52"/>
        <v>0.51627963887225414</v>
      </c>
      <c r="Q283" s="66">
        <f t="shared" si="55"/>
        <v>4</v>
      </c>
      <c r="R283" s="10">
        <f t="shared" si="53"/>
        <v>2.2439707668126214E-2</v>
      </c>
      <c r="V283" s="10">
        <f t="shared" si="54"/>
        <v>5.8598654769170669E-4</v>
      </c>
    </row>
    <row r="284" spans="11:22">
      <c r="K284" s="66">
        <v>13.6</v>
      </c>
      <c r="L284" s="10">
        <f t="shared" si="48"/>
        <v>0.95723501801758337</v>
      </c>
      <c r="M284" s="10">
        <f t="shared" si="49"/>
        <v>0.93973848742513355</v>
      </c>
      <c r="N284" s="10">
        <f t="shared" si="50"/>
        <v>4.9920171945428892E-3</v>
      </c>
      <c r="O284" s="10">
        <f t="shared" si="51"/>
        <v>7.1231233486228323E-3</v>
      </c>
      <c r="P284" s="10">
        <f t="shared" si="52"/>
        <v>0.51502170544866588</v>
      </c>
      <c r="Q284" s="66">
        <f t="shared" si="55"/>
        <v>2</v>
      </c>
      <c r="R284" s="10">
        <f t="shared" si="53"/>
        <v>1.1225600352416661E-2</v>
      </c>
      <c r="V284" s="10">
        <f t="shared" si="54"/>
        <v>2.9486369304261047E-4</v>
      </c>
    </row>
    <row r="285" spans="11:22">
      <c r="K285" s="66">
        <v>13.65</v>
      </c>
      <c r="L285" s="10">
        <f t="shared" si="48"/>
        <v>0.95699569741503732</v>
      </c>
      <c r="M285" s="10">
        <f t="shared" si="49"/>
        <v>0.93940325621834009</v>
      </c>
      <c r="N285" s="10">
        <f t="shared" si="50"/>
        <v>5.0097389123899645E-3</v>
      </c>
      <c r="O285" s="10">
        <f t="shared" si="51"/>
        <v>7.1485651664742406E-3</v>
      </c>
      <c r="P285" s="10">
        <f t="shared" si="52"/>
        <v>0.51376683702392523</v>
      </c>
      <c r="Q285" s="66">
        <f t="shared" si="55"/>
        <v>4</v>
      </c>
      <c r="R285" s="10">
        <f t="shared" si="53"/>
        <v>2.2462656005779395E-2</v>
      </c>
      <c r="V285" s="10">
        <f t="shared" si="54"/>
        <v>5.9348385606418233E-4</v>
      </c>
    </row>
    <row r="286" spans="11:22">
      <c r="K286" s="66">
        <v>13.7</v>
      </c>
      <c r="L286" s="10">
        <f t="shared" si="48"/>
        <v>0.95675558734297161</v>
      </c>
      <c r="M286" s="10">
        <f t="shared" si="49"/>
        <v>0.93906694785626943</v>
      </c>
      <c r="N286" s="10">
        <f t="shared" si="50"/>
        <v>5.0275248285566671E-3</v>
      </c>
      <c r="O286" s="10">
        <f t="shared" si="51"/>
        <v>7.1740991493159881E-3</v>
      </c>
      <c r="P286" s="10">
        <f t="shared" si="52"/>
        <v>0.51251502613005517</v>
      </c>
      <c r="Q286" s="66">
        <f t="shared" si="55"/>
        <v>2</v>
      </c>
      <c r="R286" s="10">
        <f t="shared" si="53"/>
        <v>1.1237036657581823E-2</v>
      </c>
      <c r="V286" s="10">
        <f t="shared" si="54"/>
        <v>2.9862800359177342E-4</v>
      </c>
    </row>
    <row r="287" spans="11:22">
      <c r="K287" s="66">
        <v>13.75</v>
      </c>
      <c r="L287" s="10">
        <f t="shared" si="48"/>
        <v>0.95651468534980721</v>
      </c>
      <c r="M287" s="10">
        <f t="shared" si="49"/>
        <v>0.93872955924783896</v>
      </c>
      <c r="N287" s="10">
        <f t="shared" si="50"/>
        <v>5.0453751756064586E-3</v>
      </c>
      <c r="O287" s="10">
        <f t="shared" si="51"/>
        <v>7.1997256310230191E-3</v>
      </c>
      <c r="P287" s="10">
        <f t="shared" si="52"/>
        <v>0.51126626531727459</v>
      </c>
      <c r="Q287" s="66">
        <f t="shared" si="55"/>
        <v>4</v>
      </c>
      <c r="R287" s="10">
        <f t="shared" si="53"/>
        <v>2.2485452376404581E-2</v>
      </c>
      <c r="V287" s="10">
        <f t="shared" si="54"/>
        <v>6.0104388903832234E-4</v>
      </c>
    </row>
    <row r="288" spans="11:22">
      <c r="K288" s="66">
        <v>13.8</v>
      </c>
      <c r="L288" s="10">
        <f t="shared" si="48"/>
        <v>0.95627298897787782</v>
      </c>
      <c r="M288" s="10">
        <f t="shared" si="49"/>
        <v>0.93839108729619014</v>
      </c>
      <c r="N288" s="10">
        <f t="shared" si="50"/>
        <v>5.0632901869452976E-3</v>
      </c>
      <c r="O288" s="10">
        <f t="shared" si="51"/>
        <v>7.2254449466797573E-3</v>
      </c>
      <c r="P288" s="10">
        <f t="shared" si="52"/>
        <v>0.51002054715395395</v>
      </c>
      <c r="Q288" s="66">
        <f t="shared" si="55"/>
        <v>2</v>
      </c>
      <c r="R288" s="10">
        <f t="shared" si="53"/>
        <v>1.1248396466070003E-2</v>
      </c>
      <c r="V288" s="10">
        <f t="shared" si="54"/>
        <v>3.024237756312043E-4</v>
      </c>
    </row>
    <row r="289" spans="11:22">
      <c r="K289" s="66">
        <v>13.85</v>
      </c>
      <c r="L289" s="10">
        <f t="shared" si="48"/>
        <v>0.95603049576342614</v>
      </c>
      <c r="M289" s="10">
        <f t="shared" si="49"/>
        <v>0.93805152889870136</v>
      </c>
      <c r="N289" s="10">
        <f t="shared" si="50"/>
        <v>5.0812700968246704E-3</v>
      </c>
      <c r="O289" s="10">
        <f t="shared" si="51"/>
        <v>7.2512574325845087E-3</v>
      </c>
      <c r="P289" s="10">
        <f t="shared" si="52"/>
        <v>0.50877786422657156</v>
      </c>
      <c r="Q289" s="66">
        <f t="shared" si="55"/>
        <v>4</v>
      </c>
      <c r="R289" s="10">
        <f t="shared" si="53"/>
        <v>2.2508094724226924E-2</v>
      </c>
      <c r="V289" s="10">
        <f t="shared" si="54"/>
        <v>6.0866704352743092E-4</v>
      </c>
    </row>
    <row r="290" spans="11:22">
      <c r="K290" s="66">
        <v>13.9</v>
      </c>
      <c r="L290" s="10">
        <f t="shared" si="48"/>
        <v>0.95578720323660049</v>
      </c>
      <c r="M290" s="10">
        <f t="shared" si="49"/>
        <v>0.93771088094700283</v>
      </c>
      <c r="N290" s="10">
        <f t="shared" si="50"/>
        <v>5.0993151403446466E-3</v>
      </c>
      <c r="O290" s="10">
        <f t="shared" si="51"/>
        <v>7.2771634262538392E-3</v>
      </c>
      <c r="P290" s="10">
        <f t="shared" si="52"/>
        <v>0.50753820913966852</v>
      </c>
      <c r="Q290" s="66">
        <f t="shared" si="55"/>
        <v>2</v>
      </c>
      <c r="R290" s="10">
        <f t="shared" si="53"/>
        <v>1.1259678746870717E-2</v>
      </c>
      <c r="V290" s="10">
        <f t="shared" si="54"/>
        <v>3.0625120777077693E-4</v>
      </c>
    </row>
    <row r="291" spans="11:22">
      <c r="K291" s="66">
        <v>13.95</v>
      </c>
      <c r="L291" s="10">
        <f t="shared" si="48"/>
        <v>0.95554310892145189</v>
      </c>
      <c r="M291" s="10">
        <f t="shared" si="49"/>
        <v>0.93736914032698948</v>
      </c>
      <c r="N291" s="10">
        <f t="shared" si="50"/>
        <v>5.1174255534569826E-3</v>
      </c>
      <c r="O291" s="10">
        <f t="shared" si="51"/>
        <v>7.3031632664269921E-3</v>
      </c>
      <c r="P291" s="10">
        <f t="shared" si="52"/>
        <v>0.50630157451580549</v>
      </c>
      <c r="Q291" s="66">
        <f t="shared" si="55"/>
        <v>4</v>
      </c>
      <c r="R291" s="10">
        <f t="shared" si="53"/>
        <v>2.2530580980978807E-2</v>
      </c>
      <c r="V291" s="10">
        <f t="shared" si="54"/>
        <v>6.1635371704827789E-4</v>
      </c>
    </row>
    <row r="292" spans="11:22">
      <c r="K292" s="66">
        <v>14</v>
      </c>
      <c r="L292" s="10">
        <f t="shared" si="48"/>
        <v>0.95529821033593099</v>
      </c>
      <c r="M292" s="10">
        <f t="shared" si="49"/>
        <v>0.93702630391883757</v>
      </c>
      <c r="N292" s="10">
        <f t="shared" si="50"/>
        <v>5.135601572968173E-3</v>
      </c>
      <c r="O292" s="10">
        <f t="shared" si="51"/>
        <v>7.3292572930703306E-3</v>
      </c>
      <c r="P292" s="10">
        <f t="shared" si="52"/>
        <v>0.50506795299551888</v>
      </c>
      <c r="Q292" s="66">
        <f t="shared" si="55"/>
        <v>2</v>
      </c>
      <c r="R292" s="10">
        <f t="shared" si="53"/>
        <v>1.1270882462726761E-2</v>
      </c>
      <c r="V292" s="10">
        <f t="shared" si="54"/>
        <v>3.1011049891261402E-4</v>
      </c>
    </row>
    <row r="293" spans="11:22">
      <c r="K293" s="66">
        <v>14.05</v>
      </c>
      <c r="L293" s="10">
        <f t="shared" si="48"/>
        <v>0.95505250499188454</v>
      </c>
      <c r="M293" s="10">
        <f t="shared" si="49"/>
        <v>0.93668236859701759</v>
      </c>
      <c r="N293" s="10">
        <f t="shared" si="50"/>
        <v>5.1538434365425607E-3</v>
      </c>
      <c r="O293" s="10">
        <f t="shared" si="51"/>
        <v>7.3554458473817502E-3</v>
      </c>
      <c r="P293" s="10">
        <f t="shared" si="52"/>
        <v>0.5038373372372752</v>
      </c>
      <c r="Q293" s="66">
        <f t="shared" si="55"/>
        <v>4</v>
      </c>
      <c r="R293" s="10">
        <f t="shared" si="53"/>
        <v>2.2552909065899129E-2</v>
      </c>
      <c r="V293" s="10">
        <f t="shared" si="54"/>
        <v>6.2410430768292742E-4</v>
      </c>
    </row>
    <row r="294" spans="11:22">
      <c r="K294" s="66">
        <v>14.1</v>
      </c>
      <c r="L294" s="10">
        <f t="shared" si="48"/>
        <v>0.95480599039505243</v>
      </c>
      <c r="M294" s="10">
        <f t="shared" si="49"/>
        <v>0.93633733123030971</v>
      </c>
      <c r="N294" s="10">
        <f t="shared" si="50"/>
        <v>5.1721513827054713E-3</v>
      </c>
      <c r="O294" s="10">
        <f t="shared" si="51"/>
        <v>7.3817292717951984E-3</v>
      </c>
      <c r="P294" s="10">
        <f t="shared" si="52"/>
        <v>0.50260971991743097</v>
      </c>
      <c r="Q294" s="66">
        <f t="shared" si="55"/>
        <v>2</v>
      </c>
      <c r="R294" s="10">
        <f t="shared" si="53"/>
        <v>1.1282006570134324E-2</v>
      </c>
      <c r="V294" s="10">
        <f t="shared" si="54"/>
        <v>3.1400184823178402E-4</v>
      </c>
    </row>
    <row r="295" spans="11:22">
      <c r="K295" s="66">
        <v>14.15</v>
      </c>
      <c r="L295" s="10">
        <f t="shared" si="48"/>
        <v>0.95455866404506584</v>
      </c>
      <c r="M295" s="10">
        <f t="shared" si="49"/>
        <v>0.93599118868182007</v>
      </c>
      <c r="N295" s="10">
        <f t="shared" si="50"/>
        <v>5.1905256508462767E-3</v>
      </c>
      <c r="O295" s="10">
        <f t="shared" si="51"/>
        <v>7.408107909985087E-3</v>
      </c>
      <c r="P295" s="10">
        <f t="shared" si="52"/>
        <v>0.5013850937301858</v>
      </c>
      <c r="Q295" s="66">
        <f t="shared" si="55"/>
        <v>4</v>
      </c>
      <c r="R295" s="10">
        <f t="shared" si="53"/>
        <v>2.2575076885734336E-2</v>
      </c>
      <c r="V295" s="10">
        <f t="shared" si="54"/>
        <v>6.3191921403973157E-4</v>
      </c>
    </row>
    <row r="296" spans="11:22">
      <c r="K296" s="66">
        <v>14.2</v>
      </c>
      <c r="L296" s="10">
        <f t="shared" si="48"/>
        <v>0.95431052343544343</v>
      </c>
      <c r="M296" s="10">
        <f t="shared" si="49"/>
        <v>0.93564393780899524</v>
      </c>
      <c r="N296" s="10">
        <f t="shared" si="50"/>
        <v>5.2089664812215771E-3</v>
      </c>
      <c r="O296" s="10">
        <f t="shared" si="51"/>
        <v>7.434582106870825E-3</v>
      </c>
      <c r="P296" s="10">
        <f t="shared" si="52"/>
        <v>0.50016345138754026</v>
      </c>
      <c r="Q296" s="66">
        <f t="shared" si="55"/>
        <v>2</v>
      </c>
      <c r="R296" s="10">
        <f t="shared" si="53"/>
        <v>1.1293050019343992E-2</v>
      </c>
      <c r="V296" s="10">
        <f t="shared" si="54"/>
        <v>3.1792545515657111E-4</v>
      </c>
    </row>
    <row r="297" spans="11:22">
      <c r="K297" s="66">
        <v>14.25</v>
      </c>
      <c r="L297" s="10">
        <f t="shared" si="48"/>
        <v>0.95406156605358927</v>
      </c>
      <c r="M297" s="10">
        <f t="shared" si="49"/>
        <v>0.93529557546363851</v>
      </c>
      <c r="N297" s="10">
        <f t="shared" si="50"/>
        <v>5.2274741149583052E-3</v>
      </c>
      <c r="O297" s="10">
        <f t="shared" si="51"/>
        <v>7.4611522086213203E-3</v>
      </c>
      <c r="P297" s="10">
        <f t="shared" si="52"/>
        <v>0.49894478561925226</v>
      </c>
      <c r="Q297" s="66">
        <f t="shared" si="55"/>
        <v>4</v>
      </c>
      <c r="R297" s="10">
        <f t="shared" si="53"/>
        <v>2.2597082334741024E-2</v>
      </c>
      <c r="V297" s="10">
        <f t="shared" si="54"/>
        <v>6.3979883521337287E-4</v>
      </c>
    </row>
    <row r="298" spans="11:22">
      <c r="K298" s="66">
        <v>14.3</v>
      </c>
      <c r="L298" s="10">
        <f t="shared" si="48"/>
        <v>0.95381178938079059</v>
      </c>
      <c r="M298" s="10">
        <f t="shared" si="49"/>
        <v>0.93494609849192589</v>
      </c>
      <c r="N298" s="10">
        <f t="shared" si="50"/>
        <v>5.2460487940569067E-3</v>
      </c>
      <c r="O298" s="10">
        <f t="shared" si="51"/>
        <v>7.4878185626595078E-3</v>
      </c>
      <c r="P298" s="10">
        <f t="shared" si="52"/>
        <v>0.49772908917279446</v>
      </c>
      <c r="Q298" s="66">
        <f t="shared" si="55"/>
        <v>2</v>
      </c>
      <c r="R298" s="10">
        <f t="shared" si="53"/>
        <v>1.1304011754362381E-2</v>
      </c>
      <c r="V298" s="10">
        <f t="shared" si="54"/>
        <v>3.2188151934827396E-4</v>
      </c>
    </row>
    <row r="299" spans="11:22">
      <c r="K299" s="66">
        <v>14.35</v>
      </c>
      <c r="L299" s="10">
        <f t="shared" si="48"/>
        <v>0.95356119089221458</v>
      </c>
      <c r="M299" s="10">
        <f t="shared" si="49"/>
        <v>0.93459550373442279</v>
      </c>
      <c r="N299" s="10">
        <f t="shared" si="50"/>
        <v>5.2646907613944941E-3</v>
      </c>
      <c r="O299" s="10">
        <f t="shared" si="51"/>
        <v>7.5145815176668818E-3</v>
      </c>
      <c r="P299" s="10">
        <f t="shared" si="52"/>
        <v>0.49651635481331002</v>
      </c>
      <c r="Q299" s="66">
        <f t="shared" si="55"/>
        <v>4</v>
      </c>
      <c r="R299" s="10">
        <f t="shared" si="53"/>
        <v>2.2618923294690504E-2</v>
      </c>
      <c r="V299" s="10">
        <f t="shared" si="54"/>
        <v>6.4774357074403829E-4</v>
      </c>
    </row>
    <row r="300" spans="11:22">
      <c r="K300" s="66">
        <v>14.4</v>
      </c>
      <c r="L300" s="10">
        <f t="shared" si="48"/>
        <v>0.95330976805690726</v>
      </c>
      <c r="M300" s="10">
        <f t="shared" si="49"/>
        <v>0.93424378802609997</v>
      </c>
      <c r="N300" s="10">
        <f t="shared" si="50"/>
        <v>5.2834002607280058E-3</v>
      </c>
      <c r="O300" s="10">
        <f t="shared" si="51"/>
        <v>7.5414414235880686E-3</v>
      </c>
      <c r="P300" s="10">
        <f t="shared" si="52"/>
        <v>0.49530657532357031</v>
      </c>
      <c r="Q300" s="66">
        <f t="shared" si="55"/>
        <v>2</v>
      </c>
      <c r="R300" s="10">
        <f t="shared" si="53"/>
        <v>1.1314890712954913E-2</v>
      </c>
      <c r="V300" s="10">
        <f t="shared" si="54"/>
        <v>3.2587024068056112E-4</v>
      </c>
    </row>
    <row r="301" spans="11:22">
      <c r="K301" s="66">
        <v>14.45</v>
      </c>
      <c r="L301" s="10">
        <f t="shared" si="48"/>
        <v>0.95305751833779029</v>
      </c>
      <c r="M301" s="10">
        <f t="shared" si="49"/>
        <v>0.9338909481963511</v>
      </c>
      <c r="N301" s="10">
        <f t="shared" si="50"/>
        <v>5.3021775366974304E-3</v>
      </c>
      <c r="O301" s="10">
        <f t="shared" si="51"/>
        <v>7.5683986316353938E-3</v>
      </c>
      <c r="P301" s="10">
        <f t="shared" si="52"/>
        <v>0.49409974350393177</v>
      </c>
      <c r="Q301" s="66">
        <f t="shared" si="55"/>
        <v>4</v>
      </c>
      <c r="R301" s="10">
        <f t="shared" si="53"/>
        <v>2.2640597634874873E-2</v>
      </c>
      <c r="V301" s="10">
        <f t="shared" si="54"/>
        <v>6.5575382057565671E-4</v>
      </c>
    </row>
    <row r="302" spans="11:22">
      <c r="K302" s="66">
        <v>14.5</v>
      </c>
      <c r="L302" s="10">
        <f t="shared" si="48"/>
        <v>0.95280443919166025</v>
      </c>
      <c r="M302" s="10">
        <f t="shared" si="49"/>
        <v>0.93353698106901017</v>
      </c>
      <c r="N302" s="10">
        <f t="shared" si="50"/>
        <v>5.3210228348289637E-3</v>
      </c>
      <c r="O302" s="10">
        <f t="shared" si="51"/>
        <v>7.5954534942934745E-3</v>
      </c>
      <c r="P302" s="10">
        <f t="shared" si="52"/>
        <v>0.49289585217229281</v>
      </c>
      <c r="Q302" s="66">
        <f t="shared" si="55"/>
        <v>2</v>
      </c>
      <c r="R302" s="10">
        <f t="shared" si="53"/>
        <v>1.1325685826649296E-2</v>
      </c>
      <c r="V302" s="10">
        <f t="shared" si="54"/>
        <v>3.2989181921835208E-4</v>
      </c>
    </row>
    <row r="303" spans="11:22">
      <c r="K303" s="66">
        <v>14.55</v>
      </c>
      <c r="L303" s="10">
        <f t="shared" si="48"/>
        <v>0.95255052806918517</v>
      </c>
      <c r="M303" s="10">
        <f t="shared" si="49"/>
        <v>0.93318188346236819</v>
      </c>
      <c r="N303" s="10">
        <f t="shared" si="50"/>
        <v>5.3399364015382523E-3</v>
      </c>
      <c r="O303" s="10">
        <f t="shared" si="51"/>
        <v>7.6226063653238411E-3</v>
      </c>
      <c r="P303" s="10">
        <f t="shared" si="52"/>
        <v>0.49169489416405149</v>
      </c>
      <c r="Q303" s="66">
        <f t="shared" si="55"/>
        <v>4</v>
      </c>
      <c r="R303" s="10">
        <f t="shared" si="53"/>
        <v>2.2662103212115127E-2</v>
      </c>
      <c r="V303" s="10">
        <f t="shared" si="54"/>
        <v>6.6382998501318354E-4</v>
      </c>
    </row>
    <row r="304" spans="11:22">
      <c r="K304" s="66">
        <v>14.6</v>
      </c>
      <c r="L304" s="10">
        <f t="shared" si="48"/>
        <v>0.95229578241490398</v>
      </c>
      <c r="M304" s="10">
        <f t="shared" si="49"/>
        <v>0.93282565218919145</v>
      </c>
      <c r="N304" s="10">
        <f t="shared" si="50"/>
        <v>5.3589184841336063E-3</v>
      </c>
      <c r="O304" s="10">
        <f t="shared" si="51"/>
        <v>7.6498575997695443E-3</v>
      </c>
      <c r="P304" s="10">
        <f t="shared" si="52"/>
        <v>0.49049686233206274</v>
      </c>
      <c r="Q304" s="66">
        <f t="shared" si="55"/>
        <v>2</v>
      </c>
      <c r="R304" s="10">
        <f t="shared" si="53"/>
        <v>1.1336396020740063E-2</v>
      </c>
      <c r="V304" s="10">
        <f t="shared" si="54"/>
        <v>3.339464551962326E-4</v>
      </c>
    </row>
    <row r="305" spans="11:22">
      <c r="K305" s="66">
        <v>14.65</v>
      </c>
      <c r="L305" s="10">
        <f t="shared" si="48"/>
        <v>0.95204019966722453</v>
      </c>
      <c r="M305" s="10">
        <f t="shared" si="49"/>
        <v>0.93246828405673954</v>
      </c>
      <c r="N305" s="10">
        <f t="shared" si="50"/>
        <v>5.3779693308192121E-3</v>
      </c>
      <c r="O305" s="10">
        <f t="shared" si="51"/>
        <v>7.6772075539598087E-3</v>
      </c>
      <c r="P305" s="10">
        <f t="shared" si="52"/>
        <v>0.48930174954659544</v>
      </c>
      <c r="Q305" s="66">
        <f t="shared" si="55"/>
        <v>4</v>
      </c>
      <c r="R305" s="10">
        <f t="shared" si="53"/>
        <v>2.2683437870771074E-2</v>
      </c>
      <c r="V305" s="10">
        <f t="shared" si="54"/>
        <v>6.7197246467897613E-4</v>
      </c>
    </row>
    <row r="306" spans="11:22">
      <c r="K306" s="66">
        <v>14.7</v>
      </c>
      <c r="L306" s="10">
        <f t="shared" si="48"/>
        <v>0.95178377725842156</v>
      </c>
      <c r="M306" s="10">
        <f t="shared" si="49"/>
        <v>0.93210977586678345</v>
      </c>
      <c r="N306" s="10">
        <f t="shared" si="50"/>
        <v>5.397089190698417E-3</v>
      </c>
      <c r="O306" s="10">
        <f t="shared" si="51"/>
        <v>7.7046565855146869E-3</v>
      </c>
      <c r="P306" s="10">
        <f t="shared" si="52"/>
        <v>0.48810954869529055</v>
      </c>
      <c r="Q306" s="66">
        <f t="shared" si="55"/>
        <v>2</v>
      </c>
      <c r="R306" s="10">
        <f t="shared" si="53"/>
        <v>1.1347020214293908E-2</v>
      </c>
      <c r="V306" s="10">
        <f t="shared" si="54"/>
        <v>3.380343489963942E-4</v>
      </c>
    </row>
    <row r="307" spans="11:22">
      <c r="K307" s="66">
        <v>14.75</v>
      </c>
      <c r="L307" s="10">
        <f t="shared" si="48"/>
        <v>0.95152651261463661</v>
      </c>
      <c r="M307" s="10">
        <f t="shared" si="49"/>
        <v>0.93175012441562466</v>
      </c>
      <c r="N307" s="10">
        <f t="shared" si="50"/>
        <v>5.4162783137769437E-3</v>
      </c>
      <c r="O307" s="10">
        <f t="shared" si="51"/>
        <v>7.732205053349742E-3</v>
      </c>
      <c r="P307" s="10">
        <f t="shared" si="52"/>
        <v>0.4869202526831185</v>
      </c>
      <c r="Q307" s="66">
        <f t="shared" si="55"/>
        <v>4</v>
      </c>
      <c r="R307" s="10">
        <f t="shared" si="53"/>
        <v>2.2704599442752913E-2</v>
      </c>
      <c r="V307" s="10">
        <f t="shared" si="54"/>
        <v>6.8018166046817112E-4</v>
      </c>
    </row>
    <row r="308" spans="11:22">
      <c r="K308" s="66">
        <v>14.8</v>
      </c>
      <c r="L308" s="10">
        <f t="shared" si="48"/>
        <v>0.95126840315587502</v>
      </c>
      <c r="M308" s="10">
        <f t="shared" si="49"/>
        <v>0.93138932649411377</v>
      </c>
      <c r="N308" s="10">
        <f t="shared" si="50"/>
        <v>5.435536950966195E-3</v>
      </c>
      <c r="O308" s="10">
        <f t="shared" si="51"/>
        <v>7.7598533176807382E-3</v>
      </c>
      <c r="P308" s="10">
        <f t="shared" si="52"/>
        <v>0.48573385443233708</v>
      </c>
      <c r="Q308" s="66">
        <f t="shared" si="55"/>
        <v>2</v>
      </c>
      <c r="R308" s="10">
        <f t="shared" si="53"/>
        <v>1.1357557320156085E-2</v>
      </c>
      <c r="V308" s="10">
        <f t="shared" si="54"/>
        <v>3.4215570112608283E-4</v>
      </c>
    </row>
    <row r="309" spans="11:22">
      <c r="K309" s="66">
        <v>14.85</v>
      </c>
      <c r="L309" s="10">
        <f t="shared" si="48"/>
        <v>0.95100944629600614</v>
      </c>
      <c r="M309" s="10">
        <f t="shared" si="49"/>
        <v>0.93102737888766962</v>
      </c>
      <c r="N309" s="10">
        <f t="shared" si="50"/>
        <v>5.4548653540865202E-3</v>
      </c>
      <c r="O309" s="10">
        <f t="shared" si="51"/>
        <v>7.7876017400283475E-3</v>
      </c>
      <c r="P309" s="10">
        <f t="shared" si="52"/>
        <v>0.48455034688244902</v>
      </c>
      <c r="Q309" s="66">
        <f t="shared" si="55"/>
        <v>4</v>
      </c>
      <c r="R309" s="10">
        <f t="shared" si="53"/>
        <v>2.2725585747535106E-2</v>
      </c>
      <c r="V309" s="10">
        <f t="shared" si="54"/>
        <v>6.8845797350310393E-4</v>
      </c>
    </row>
    <row r="310" spans="11:22">
      <c r="K310" s="66">
        <v>14.9</v>
      </c>
      <c r="L310" s="10">
        <f t="shared" si="48"/>
        <v>0.9507496394427617</v>
      </c>
      <c r="M310" s="10">
        <f t="shared" si="49"/>
        <v>0.93066427837629861</v>
      </c>
      <c r="N310" s="10">
        <f t="shared" si="50"/>
        <v>5.4742637758704955E-3</v>
      </c>
      <c r="O310" s="10">
        <f t="shared" si="51"/>
        <v>7.8154506832228757E-3</v>
      </c>
      <c r="P310" s="10">
        <f t="shared" si="52"/>
        <v>0.48336972299016046</v>
      </c>
      <c r="Q310" s="66">
        <f t="shared" si="55"/>
        <v>2</v>
      </c>
      <c r="R310" s="10">
        <f t="shared" si="53"/>
        <v>1.1368006244957729E-2</v>
      </c>
      <c r="V310" s="10">
        <f t="shared" si="54"/>
        <v>3.4631071219456939E-4</v>
      </c>
    </row>
    <row r="311" spans="11:22">
      <c r="K311" s="66">
        <v>14.95</v>
      </c>
      <c r="L311" s="10">
        <f t="shared" si="48"/>
        <v>0.95048897999773518</v>
      </c>
      <c r="M311" s="10">
        <f t="shared" si="49"/>
        <v>0.93030002173461557</v>
      </c>
      <c r="N311" s="10">
        <f t="shared" si="50"/>
        <v>5.4937324699662563E-3</v>
      </c>
      <c r="O311" s="10">
        <f t="shared" si="51"/>
        <v>7.8434005114090162E-3</v>
      </c>
      <c r="P311" s="10">
        <f t="shared" si="52"/>
        <v>0.48219197572933847</v>
      </c>
      <c r="Q311" s="66">
        <f t="shared" si="55"/>
        <v>4</v>
      </c>
      <c r="R311" s="10">
        <f t="shared" si="53"/>
        <v>2.2746394592171842E-2</v>
      </c>
      <c r="V311" s="10">
        <f t="shared" si="54"/>
        <v>6.9680180508674579E-4</v>
      </c>
    </row>
    <row r="312" spans="11:22">
      <c r="K312" s="66">
        <v>15</v>
      </c>
      <c r="L312" s="10">
        <f t="shared" si="48"/>
        <v>0.95022746535638081</v>
      </c>
      <c r="M312" s="10">
        <f t="shared" si="49"/>
        <v>0.92993460573186237</v>
      </c>
      <c r="N312" s="10">
        <f t="shared" si="50"/>
        <v>5.5132716909407856E-3</v>
      </c>
      <c r="O312" s="10">
        <f t="shared" si="51"/>
        <v>7.8714515900506071E-3</v>
      </c>
      <c r="P312" s="10">
        <f t="shared" si="52"/>
        <v>0.48101709809097021</v>
      </c>
      <c r="Q312" s="66">
        <f t="shared" si="55"/>
        <v>2</v>
      </c>
      <c r="R312" s="10">
        <f t="shared" si="53"/>
        <v>1.1378365889124139E-2</v>
      </c>
      <c r="V312" s="10">
        <f t="shared" si="54"/>
        <v>3.5049958288960919E-4</v>
      </c>
    </row>
    <row r="313" spans="11:22">
      <c r="K313" s="66">
        <v>15.05</v>
      </c>
      <c r="L313" s="10">
        <f t="shared" si="48"/>
        <v>0.9499650929080129</v>
      </c>
      <c r="M313" s="10">
        <f t="shared" si="49"/>
        <v>0.92956802713192921</v>
      </c>
      <c r="N313" s="10">
        <f t="shared" si="50"/>
        <v>5.5328816942832532E-3</v>
      </c>
      <c r="O313" s="10">
        <f t="shared" si="51"/>
        <v>7.8996042859353806E-3</v>
      </c>
      <c r="P313" s="10">
        <f t="shared" si="52"/>
        <v>0.47984508308311924</v>
      </c>
      <c r="Q313" s="66">
        <f t="shared" si="55"/>
        <v>4</v>
      </c>
      <c r="R313" s="10">
        <f t="shared" si="53"/>
        <v>2.2767023771314732E-2</v>
      </c>
      <c r="V313" s="10">
        <f t="shared" si="54"/>
        <v>7.0521355665513507E-4</v>
      </c>
    </row>
    <row r="314" spans="11:22">
      <c r="K314" s="66">
        <v>15.1</v>
      </c>
      <c r="L314" s="10">
        <f t="shared" si="48"/>
        <v>0.94970186003580614</v>
      </c>
      <c r="M314" s="10">
        <f t="shared" si="49"/>
        <v>0.92920028269337562</v>
      </c>
      <c r="N314" s="10">
        <f t="shared" si="50"/>
        <v>5.5525627364083818E-3</v>
      </c>
      <c r="O314" s="10">
        <f t="shared" si="51"/>
        <v>7.9278589671798357E-3</v>
      </c>
      <c r="P314" s="10">
        <f t="shared" si="52"/>
        <v>0.47867592373088663</v>
      </c>
      <c r="Q314" s="66">
        <f t="shared" si="55"/>
        <v>2</v>
      </c>
      <c r="R314" s="10">
        <f t="shared" si="53"/>
        <v>1.1388635146884044E-2</v>
      </c>
      <c r="V314" s="10">
        <f t="shared" si="54"/>
        <v>3.5472251395340986E-4</v>
      </c>
    </row>
    <row r="315" spans="11:22">
      <c r="K315" s="66">
        <v>15.15</v>
      </c>
      <c r="L315" s="10">
        <f t="shared" si="48"/>
        <v>0.94943776411679404</v>
      </c>
      <c r="M315" s="10">
        <f t="shared" si="49"/>
        <v>0.9288313691694503</v>
      </c>
      <c r="N315" s="10">
        <f t="shared" si="50"/>
        <v>5.5723150746597476E-3</v>
      </c>
      <c r="O315" s="10">
        <f t="shared" si="51"/>
        <v>7.9562160032339672E-3</v>
      </c>
      <c r="P315" s="10">
        <f t="shared" si="52"/>
        <v>0.47750961307636741</v>
      </c>
      <c r="Q315" s="66">
        <f t="shared" si="55"/>
        <v>4</v>
      </c>
      <c r="R315" s="10">
        <f t="shared" si="53"/>
        <v>2.278747106723247E-2</v>
      </c>
      <c r="V315" s="10">
        <f t="shared" si="54"/>
        <v>7.1369362972878772E-4</v>
      </c>
    </row>
    <row r="316" spans="11:22">
      <c r="K316" s="66">
        <v>15.2</v>
      </c>
      <c r="L316" s="10">
        <f t="shared" si="48"/>
        <v>0.94917280252186986</v>
      </c>
      <c r="M316" s="10">
        <f t="shared" si="49"/>
        <v>0.92846128330811395</v>
      </c>
      <c r="N316" s="10">
        <f t="shared" si="50"/>
        <v>5.5921389673131965E-3</v>
      </c>
      <c r="O316" s="10">
        <f t="shared" si="51"/>
        <v>7.9846757648861372E-3</v>
      </c>
      <c r="P316" s="10">
        <f t="shared" si="52"/>
        <v>0.47634614417860971</v>
      </c>
      <c r="Q316" s="66">
        <f t="shared" si="55"/>
        <v>2</v>
      </c>
      <c r="R316" s="10">
        <f t="shared" si="53"/>
        <v>1.1398812906280099E-2</v>
      </c>
      <c r="V316" s="10">
        <f t="shared" si="54"/>
        <v>3.5897970615807976E-4</v>
      </c>
    </row>
    <row r="317" spans="11:22">
      <c r="K317" s="66">
        <v>15.25</v>
      </c>
      <c r="L317" s="10">
        <f t="shared" si="48"/>
        <v>0.94890697261578505</v>
      </c>
      <c r="M317" s="10">
        <f t="shared" si="49"/>
        <v>0.92809002185205924</v>
      </c>
      <c r="N317" s="10">
        <f t="shared" si="50"/>
        <v>5.6120346735801779E-3</v>
      </c>
      <c r="O317" s="10">
        <f t="shared" si="51"/>
        <v>8.0132386242679193E-3</v>
      </c>
      <c r="P317" s="10">
        <f t="shared" si="52"/>
        <v>0.47518551011357363</v>
      </c>
      <c r="Q317" s="66">
        <f t="shared" si="55"/>
        <v>4</v>
      </c>
      <c r="R317" s="10">
        <f t="shared" si="53"/>
        <v>2.2807734249832446E-2</v>
      </c>
      <c r="V317" s="10">
        <f t="shared" si="54"/>
        <v>7.2224242586309208E-4</v>
      </c>
    </row>
    <row r="318" spans="11:22">
      <c r="K318" s="66">
        <v>15.3</v>
      </c>
      <c r="L318" s="10">
        <f t="shared" si="48"/>
        <v>0.94864027175715115</v>
      </c>
      <c r="M318" s="10">
        <f t="shared" si="49"/>
        <v>0.92771758153873429</v>
      </c>
      <c r="N318" s="10">
        <f t="shared" si="50"/>
        <v>5.6320024536111743E-3</v>
      </c>
      <c r="O318" s="10">
        <f t="shared" si="51"/>
        <v>8.0419049548589687E-3</v>
      </c>
      <c r="P318" s="10">
        <f t="shared" si="52"/>
        <v>0.47402770397408989</v>
      </c>
      <c r="Q318" s="66">
        <f t="shared" si="55"/>
        <v>2</v>
      </c>
      <c r="R318" s="10">
        <f t="shared" si="53"/>
        <v>1.1408898049180062E-2</v>
      </c>
      <c r="V318" s="10">
        <f t="shared" si="54"/>
        <v>3.6327136028057189E-4</v>
      </c>
    </row>
    <row r="319" spans="11:22">
      <c r="K319" s="66">
        <v>15.35</v>
      </c>
      <c r="L319" s="10">
        <f t="shared" si="48"/>
        <v>0.94837269729843876</v>
      </c>
      <c r="M319" s="10">
        <f t="shared" si="49"/>
        <v>0.92734395910036405</v>
      </c>
      <c r="N319" s="10">
        <f t="shared" si="50"/>
        <v>5.6520425684990806E-3</v>
      </c>
      <c r="O319" s="10">
        <f t="shared" si="51"/>
        <v>8.0706751314918983E-3</v>
      </c>
      <c r="P319" s="10">
        <f t="shared" si="52"/>
        <v>0.47287271886981913</v>
      </c>
      <c r="Q319" s="66">
        <f t="shared" si="55"/>
        <v>4</v>
      </c>
      <c r="R319" s="10">
        <f t="shared" si="53"/>
        <v>2.2827811076684662E-2</v>
      </c>
      <c r="V319" s="10">
        <f t="shared" si="54"/>
        <v>7.3086034659766903E-4</v>
      </c>
    </row>
    <row r="320" spans="11:22">
      <c r="K320" s="66">
        <v>15.4</v>
      </c>
      <c r="L320" s="10">
        <f t="shared" si="48"/>
        <v>0.94810424658597792</v>
      </c>
      <c r="M320" s="10">
        <f t="shared" si="49"/>
        <v>0.92696915126397295</v>
      </c>
      <c r="N320" s="10">
        <f t="shared" si="50"/>
        <v>5.6721552802826069E-3</v>
      </c>
      <c r="O320" s="10">
        <f t="shared" si="51"/>
        <v>8.0995495303571707E-3</v>
      </c>
      <c r="P320" s="10">
        <f t="shared" si="52"/>
        <v>0.4717205479272098</v>
      </c>
      <c r="Q320" s="66">
        <f t="shared" si="55"/>
        <v>2</v>
      </c>
      <c r="R320" s="10">
        <f t="shared" si="53"/>
        <v>1.1418889451289393E-2</v>
      </c>
      <c r="V320" s="10">
        <f t="shared" si="54"/>
        <v>3.6759767707708689E-4</v>
      </c>
    </row>
    <row r="321" spans="11:22">
      <c r="K321" s="66">
        <v>15.45</v>
      </c>
      <c r="L321" s="10">
        <f t="shared" si="48"/>
        <v>0.94783491695995925</v>
      </c>
      <c r="M321" s="10">
        <f t="shared" si="49"/>
        <v>0.92659315475140824</v>
      </c>
      <c r="N321" s="10">
        <f t="shared" si="50"/>
        <v>5.6923408519497379E-3</v>
      </c>
      <c r="O321" s="10">
        <f t="shared" si="51"/>
        <v>8.1285285290080469E-3</v>
      </c>
      <c r="P321" s="10">
        <f t="shared" si="52"/>
        <v>0.47057118428945882</v>
      </c>
      <c r="Q321" s="66">
        <f t="shared" si="55"/>
        <v>4</v>
      </c>
      <c r="R321" s="10">
        <f t="shared" si="53"/>
        <v>2.284769929304761E-2</v>
      </c>
      <c r="V321" s="10">
        <f t="shared" si="54"/>
        <v>7.3954779340465405E-4</v>
      </c>
    </row>
    <row r="322" spans="11:22">
      <c r="K322" s="66">
        <v>15.5</v>
      </c>
      <c r="L322" s="10">
        <f t="shared" si="48"/>
        <v>0.94756470575443363</v>
      </c>
      <c r="M322" s="10">
        <f t="shared" si="49"/>
        <v>0.92621596627936242</v>
      </c>
      <c r="N322" s="10">
        <f t="shared" si="50"/>
        <v>5.7125995474411355E-3</v>
      </c>
      <c r="O322" s="10">
        <f t="shared" si="51"/>
        <v>8.1576125063654841E-3</v>
      </c>
      <c r="P322" s="10">
        <f t="shared" si="52"/>
        <v>0.46942462111646938</v>
      </c>
      <c r="Q322" s="66">
        <f t="shared" si="55"/>
        <v>2</v>
      </c>
      <c r="R322" s="10">
        <f t="shared" si="53"/>
        <v>1.1428785982164666E-2</v>
      </c>
      <c r="V322" s="10">
        <f t="shared" si="54"/>
        <v>3.7195885725696456E-4</v>
      </c>
    </row>
    <row r="323" spans="11:22">
      <c r="K323" s="66">
        <v>15.55</v>
      </c>
      <c r="L323" s="10">
        <f t="shared" si="48"/>
        <v>0.94729361029731396</v>
      </c>
      <c r="M323" s="10">
        <f t="shared" si="49"/>
        <v>0.92583758255939774</v>
      </c>
      <c r="N323" s="10">
        <f t="shared" si="50"/>
        <v>5.7329316316536219E-3</v>
      </c>
      <c r="O323" s="10">
        <f t="shared" si="51"/>
        <v>8.1868018427231296E-3</v>
      </c>
      <c r="P323" s="10">
        <f t="shared" si="52"/>
        <v>0.46828085158481092</v>
      </c>
      <c r="Q323" s="66">
        <f t="shared" si="55"/>
        <v>4</v>
      </c>
      <c r="R323" s="10">
        <f t="shared" si="53"/>
        <v>2.2867396631896422E-2</v>
      </c>
      <c r="V323" s="10">
        <f t="shared" si="54"/>
        <v>7.4830516763594115E-4</v>
      </c>
    </row>
    <row r="324" spans="11:22">
      <c r="K324" s="66">
        <v>15.6</v>
      </c>
      <c r="L324" s="10">
        <f t="shared" si="48"/>
        <v>0.94702162791037547</v>
      </c>
      <c r="M324" s="10">
        <f t="shared" si="49"/>
        <v>0.92545800029796954</v>
      </c>
      <c r="N324" s="10">
        <f t="shared" si="50"/>
        <v>5.7533373704436262E-3</v>
      </c>
      <c r="O324" s="10">
        <f t="shared" si="51"/>
        <v>8.2160969197522596E-3</v>
      </c>
      <c r="P324" s="10">
        <f t="shared" si="52"/>
        <v>0.46713986888767883</v>
      </c>
      <c r="Q324" s="66">
        <f t="shared" si="55"/>
        <v>2</v>
      </c>
      <c r="R324" s="10">
        <f t="shared" si="53"/>
        <v>1.1438586505228249E-2</v>
      </c>
      <c r="V324" s="10">
        <f t="shared" si="54"/>
        <v>3.7635510145602618E-4</v>
      </c>
    </row>
    <row r="325" spans="11:22">
      <c r="K325" s="66">
        <v>15.65</v>
      </c>
      <c r="L325" s="10">
        <f t="shared" si="48"/>
        <v>0.94674875590925678</v>
      </c>
      <c r="M325" s="10">
        <f t="shared" si="49"/>
        <v>0.92507721619644978</v>
      </c>
      <c r="N325" s="10">
        <f t="shared" si="50"/>
        <v>5.7738170306306539E-3</v>
      </c>
      <c r="O325" s="10">
        <f t="shared" si="51"/>
        <v>8.245498120506789E-3</v>
      </c>
      <c r="P325" s="10">
        <f t="shared" si="52"/>
        <v>0.46600166623485278</v>
      </c>
      <c r="Q325" s="66">
        <f t="shared" si="55"/>
        <v>4</v>
      </c>
      <c r="R325" s="10">
        <f t="shared" si="53"/>
        <v>2.288690081395332E-2</v>
      </c>
      <c r="V325" s="10">
        <f t="shared" si="54"/>
        <v>7.571328704693189E-4</v>
      </c>
    </row>
    <row r="326" spans="11:22">
      <c r="K326" s="66">
        <v>15.7</v>
      </c>
      <c r="L326" s="10">
        <f t="shared" si="48"/>
        <v>0.94647499160346116</v>
      </c>
      <c r="M326" s="10">
        <f t="shared" si="49"/>
        <v>0.92469522695115325</v>
      </c>
      <c r="N326" s="10">
        <f t="shared" si="50"/>
        <v>5.794370880000798E-3</v>
      </c>
      <c r="O326" s="10">
        <f t="shared" si="51"/>
        <v>8.2750058294282884E-3</v>
      </c>
      <c r="P326" s="10">
        <f t="shared" si="52"/>
        <v>0.46486623685265771</v>
      </c>
      <c r="Q326" s="66">
        <f t="shared" si="55"/>
        <v>2</v>
      </c>
      <c r="R326" s="10">
        <f t="shared" si="53"/>
        <v>1.1448289877784014E-2</v>
      </c>
      <c r="V326" s="10">
        <f t="shared" si="54"/>
        <v>3.8078661020937558E-4</v>
      </c>
    </row>
    <row r="327" spans="11:22">
      <c r="K327" s="66">
        <v>15.75</v>
      </c>
      <c r="L327" s="10">
        <f t="shared" si="48"/>
        <v>0.94620033229635814</v>
      </c>
      <c r="M327" s="10">
        <f t="shared" si="49"/>
        <v>0.92431202925336053</v>
      </c>
      <c r="N327" s="10">
        <f t="shared" si="50"/>
        <v>5.8149991873102137E-3</v>
      </c>
      <c r="O327" s="10">
        <f t="shared" si="51"/>
        <v>8.3046204323509714E-3</v>
      </c>
      <c r="P327" s="10">
        <f t="shared" si="52"/>
        <v>0.4637335739839224</v>
      </c>
      <c r="Q327" s="66">
        <f t="shared" si="55"/>
        <v>4</v>
      </c>
      <c r="R327" s="10">
        <f t="shared" si="53"/>
        <v>2.2906209547720064E-2</v>
      </c>
      <c r="V327" s="10">
        <f t="shared" si="54"/>
        <v>7.6603130285354305E-4</v>
      </c>
    </row>
    <row r="328" spans="11:22">
      <c r="K328" s="66">
        <v>15.8</v>
      </c>
      <c r="L328" s="10">
        <f t="shared" si="48"/>
        <v>0.94592477528518459</v>
      </c>
      <c r="M328" s="10">
        <f t="shared" si="49"/>
        <v>0.92392761978934479</v>
      </c>
      <c r="N328" s="10">
        <f t="shared" si="50"/>
        <v>5.8357022222886587E-3</v>
      </c>
      <c r="O328" s="10">
        <f t="shared" si="51"/>
        <v>8.3343423165067928E-3</v>
      </c>
      <c r="P328" s="10">
        <f t="shared" si="52"/>
        <v>0.46260367088794008</v>
      </c>
      <c r="Q328" s="66">
        <f t="shared" si="55"/>
        <v>2</v>
      </c>
      <c r="R328" s="10">
        <f t="shared" si="53"/>
        <v>1.1457894951034237E-2</v>
      </c>
      <c r="V328" s="10">
        <f t="shared" si="54"/>
        <v>3.8525358392365406E-4</v>
      </c>
    </row>
    <row r="329" spans="11:22">
      <c r="K329" s="66">
        <v>15.85</v>
      </c>
      <c r="L329" s="10">
        <f t="shared" si="48"/>
        <v>0.94564831786104686</v>
      </c>
      <c r="M329" s="10">
        <f t="shared" si="49"/>
        <v>0.92354199524039604</v>
      </c>
      <c r="N329" s="10">
        <f t="shared" si="50"/>
        <v>5.8564802556430092E-3</v>
      </c>
      <c r="O329" s="10">
        <f t="shared" si="51"/>
        <v>8.3641718705304725E-3</v>
      </c>
      <c r="P329" s="10">
        <f t="shared" si="52"/>
        <v>0.46147652084042767</v>
      </c>
      <c r="Q329" s="66">
        <f t="shared" si="55"/>
        <v>4</v>
      </c>
      <c r="R329" s="10">
        <f t="shared" si="53"/>
        <v>2.2925320529512992E-2</v>
      </c>
      <c r="V329" s="10">
        <f t="shared" si="54"/>
        <v>7.750008654522708E-4</v>
      </c>
    </row>
    <row r="330" spans="11:22">
      <c r="K330" s="66">
        <v>15.9</v>
      </c>
      <c r="L330" s="10">
        <f t="shared" si="48"/>
        <v>0.94537095730892218</v>
      </c>
      <c r="M330" s="10">
        <f t="shared" si="49"/>
        <v>0.92315515228284817</v>
      </c>
      <c r="N330" s="10">
        <f t="shared" si="50"/>
        <v>5.8773335590607831E-3</v>
      </c>
      <c r="O330" s="10">
        <f t="shared" si="51"/>
        <v>8.3941094844645885E-3</v>
      </c>
      <c r="P330" s="10">
        <f t="shared" si="52"/>
        <v>0.46035211713348612</v>
      </c>
      <c r="Q330" s="66">
        <f t="shared" si="55"/>
        <v>2</v>
      </c>
      <c r="R330" s="10">
        <f t="shared" si="53"/>
        <v>1.1467400570097644E-2</v>
      </c>
      <c r="V330" s="10">
        <f t="shared" si="54"/>
        <v>3.8975622284873101E-4</v>
      </c>
    </row>
    <row r="331" spans="11:22">
      <c r="K331" s="66">
        <v>15.95</v>
      </c>
      <c r="L331" s="10">
        <f t="shared" si="48"/>
        <v>0.94509269090766079</v>
      </c>
      <c r="M331" s="10">
        <f t="shared" si="49"/>
        <v>0.92276708758810377</v>
      </c>
      <c r="N331" s="10">
        <f t="shared" si="50"/>
        <v>5.8982624052137259E-3</v>
      </c>
      <c r="O331" s="10">
        <f t="shared" si="51"/>
        <v>8.424155549764693E-3</v>
      </c>
      <c r="P331" s="10">
        <f t="shared" si="52"/>
        <v>0.45923045307556049</v>
      </c>
      <c r="Q331" s="66">
        <f t="shared" si="55"/>
        <v>4</v>
      </c>
      <c r="R331" s="10">
        <f t="shared" si="53"/>
        <v>2.2944231443500246E-2</v>
      </c>
      <c r="V331" s="10">
        <f t="shared" si="54"/>
        <v>7.8404195858688562E-4</v>
      </c>
    </row>
    <row r="332" spans="11:22">
      <c r="K332" s="66">
        <v>16</v>
      </c>
      <c r="L332" s="10">
        <f t="shared" ref="L332:L395" si="56">(B$7^K332)*B$8^((B$5^25)*((B$5^K332)-1))</f>
        <v>0.94481351592998775</v>
      </c>
      <c r="M332" s="10">
        <f t="shared" ref="M332:M395" si="57">(B$7^K332)*B$8^((B$5^30)*((B$5^K332)-1))</f>
        <v>0.92237779782266183</v>
      </c>
      <c r="N332" s="10">
        <f t="shared" si="50"/>
        <v>5.9192670677613449E-3</v>
      </c>
      <c r="O332" s="10">
        <f t="shared" si="51"/>
        <v>8.4543104593043997E-3</v>
      </c>
      <c r="P332" s="10">
        <f t="shared" si="52"/>
        <v>0.45811152199140021</v>
      </c>
      <c r="Q332" s="66">
        <f t="shared" si="55"/>
        <v>2</v>
      </c>
      <c r="R332" s="10">
        <f t="shared" si="53"/>
        <v>1.1476805574028609E-2</v>
      </c>
      <c r="V332" s="10">
        <f t="shared" si="54"/>
        <v>3.942947270488365E-4</v>
      </c>
    </row>
    <row r="333" spans="11:22">
      <c r="K333" s="66">
        <v>16.05</v>
      </c>
      <c r="L333" s="10">
        <f t="shared" si="56"/>
        <v>0.94453342964250597</v>
      </c>
      <c r="M333" s="10">
        <f t="shared" si="57"/>
        <v>0.92198727964814453</v>
      </c>
      <c r="N333" s="10">
        <f t="shared" ref="N333:N396" si="58">B$3+B$4*(B$5^(25+K333))</f>
        <v>5.9403478213544969E-3</v>
      </c>
      <c r="O333" s="10">
        <f t="shared" ref="O333:O396" si="59">$B$3+$B$4*($B$5^(30+K333))</f>
        <v>8.4845746073805347E-3</v>
      </c>
      <c r="P333" s="10">
        <f t="shared" ref="P333:P396" si="60">(1+B$6)^-K333</f>
        <v>0.45699531722201825</v>
      </c>
      <c r="Q333" s="66">
        <f t="shared" si="55"/>
        <v>4</v>
      </c>
      <c r="R333" s="10">
        <f t="shared" ref="R333:R396" si="61">L333*M333*(N333+O333)*P333*Q333</f>
        <v>2.2962939961741334E-2</v>
      </c>
      <c r="V333" s="10">
        <f t="shared" si="54"/>
        <v>7.9315498217820293E-4</v>
      </c>
    </row>
    <row r="334" spans="11:22">
      <c r="K334" s="66">
        <v>16.100000000000001</v>
      </c>
      <c r="L334" s="10">
        <f t="shared" si="56"/>
        <v>0.94425242930569808</v>
      </c>
      <c r="M334" s="10">
        <f t="shared" si="57"/>
        <v>0.92159552972132397</v>
      </c>
      <c r="N334" s="10">
        <f t="shared" si="58"/>
        <v>5.9615049416390101E-3</v>
      </c>
      <c r="O334" s="10">
        <f t="shared" si="59"/>
        <v>8.5149483897183249E-3</v>
      </c>
      <c r="P334" s="10">
        <f t="shared" si="60"/>
        <v>0.45588183212465389</v>
      </c>
      <c r="Q334" s="66">
        <f t="shared" si="55"/>
        <v>2</v>
      </c>
      <c r="R334" s="10">
        <f t="shared" si="61"/>
        <v>1.1486108795837535E-2</v>
      </c>
      <c r="V334" s="10">
        <f t="shared" ref="V334:V397" si="62">(1-L334)*M334*O334*P334*Q334</f>
        <v>3.9886929637311647E-4</v>
      </c>
    </row>
    <row r="335" spans="11:22">
      <c r="K335" s="66">
        <v>16.149999999999999</v>
      </c>
      <c r="L335" s="10">
        <f t="shared" si="56"/>
        <v>0.94397051217392891</v>
      </c>
      <c r="M335" s="10">
        <f t="shared" si="57"/>
        <v>0.92120254469414975</v>
      </c>
      <c r="N335" s="10">
        <f t="shared" si="58"/>
        <v>5.9827387052592282E-3</v>
      </c>
      <c r="O335" s="10">
        <f t="shared" si="59"/>
        <v>8.5454322034765121E-3</v>
      </c>
      <c r="P335" s="10">
        <f t="shared" si="60"/>
        <v>0.45477106007273094</v>
      </c>
      <c r="Q335" s="66">
        <f t="shared" ref="Q335:Q398" si="63">IF(Q334=4,2,4)</f>
        <v>4</v>
      </c>
      <c r="R335" s="10">
        <f t="shared" si="61"/>
        <v>2.298144374422937E-2</v>
      </c>
      <c r="V335" s="10">
        <f t="shared" si="62"/>
        <v>8.0234033568698647E-4</v>
      </c>
    </row>
    <row r="336" spans="11:22">
      <c r="K336" s="66">
        <v>16.2</v>
      </c>
      <c r="L336" s="10">
        <f t="shared" si="56"/>
        <v>0.94368767549544863</v>
      </c>
      <c r="M336" s="10">
        <f t="shared" si="57"/>
        <v>0.92080832121377754</v>
      </c>
      <c r="N336" s="10">
        <f t="shared" si="58"/>
        <v>6.0040493898616864E-3</v>
      </c>
      <c r="O336" s="10">
        <f t="shared" si="59"/>
        <v>8.5760264472525983E-3</v>
      </c>
      <c r="P336" s="10">
        <f t="shared" si="60"/>
        <v>0.45366299445581876</v>
      </c>
      <c r="Q336" s="66">
        <f t="shared" si="63"/>
        <v>2</v>
      </c>
      <c r="R336" s="10">
        <f t="shared" si="61"/>
        <v>1.1495309062512647E-2</v>
      </c>
      <c r="V336" s="10">
        <f t="shared" si="62"/>
        <v>4.0348013042561628E-4</v>
      </c>
    </row>
    <row r="337" spans="11:22">
      <c r="K337" s="66">
        <v>16.25</v>
      </c>
      <c r="L337" s="10">
        <f t="shared" si="56"/>
        <v>0.94340391651239552</v>
      </c>
      <c r="M337" s="10">
        <f t="shared" si="57"/>
        <v>0.92041285592259681</v>
      </c>
      <c r="N337" s="10">
        <f t="shared" si="58"/>
        <v>6.0254372740986923E-3</v>
      </c>
      <c r="O337" s="10">
        <f t="shared" si="59"/>
        <v>8.6067315210880124E-3</v>
      </c>
      <c r="P337" s="10">
        <f t="shared" si="60"/>
        <v>0.45255762867959387</v>
      </c>
      <c r="Q337" s="66">
        <f t="shared" si="63"/>
        <v>4</v>
      </c>
      <c r="R337" s="10">
        <f t="shared" si="61"/>
        <v>2.2999740438935393E-2</v>
      </c>
      <c r="V337" s="10">
        <f t="shared" si="62"/>
        <v>8.1159841805334375E-4</v>
      </c>
    </row>
    <row r="338" spans="11:22">
      <c r="K338" s="66">
        <v>16.3</v>
      </c>
      <c r="L338" s="10">
        <f t="shared" si="56"/>
        <v>0.94311923246079898</v>
      </c>
      <c r="M338" s="10">
        <f t="shared" si="57"/>
        <v>0.92001614545825994</v>
      </c>
      <c r="N338" s="10">
        <f t="shared" si="58"/>
        <v>6.0469026376320139E-3</v>
      </c>
      <c r="O338" s="10">
        <f t="shared" si="59"/>
        <v>8.6375478264733921E-3</v>
      </c>
      <c r="P338" s="10">
        <f t="shared" si="60"/>
        <v>0.45145495616579995</v>
      </c>
      <c r="Q338" s="66">
        <f t="shared" si="63"/>
        <v>2</v>
      </c>
      <c r="R338" s="10">
        <f t="shared" si="61"/>
        <v>1.1504405195042684E-2</v>
      </c>
      <c r="V338" s="10">
        <f t="shared" si="62"/>
        <v>4.0812742853467123E-4</v>
      </c>
    </row>
    <row r="339" spans="11:22">
      <c r="K339" s="66">
        <v>16.350000000000001</v>
      </c>
      <c r="L339" s="10">
        <f t="shared" si="56"/>
        <v>0.94283362057058262</v>
      </c>
      <c r="M339" s="10">
        <f t="shared" si="57"/>
        <v>0.91961818645371063</v>
      </c>
      <c r="N339" s="10">
        <f t="shared" si="58"/>
        <v>6.0684457611365119E-3</v>
      </c>
      <c r="O339" s="10">
        <f t="shared" si="59"/>
        <v>8.6684757663537896E-3</v>
      </c>
      <c r="P339" s="10">
        <f t="shared" si="60"/>
        <v>0.45035497035220862</v>
      </c>
      <c r="Q339" s="66">
        <f t="shared" si="63"/>
        <v>4</v>
      </c>
      <c r="R339" s="10">
        <f t="shared" si="61"/>
        <v>2.3017827681855507E-2</v>
      </c>
      <c r="V339" s="10">
        <f t="shared" si="62"/>
        <v>8.2092962763492057E-4</v>
      </c>
    </row>
    <row r="340" spans="11:22">
      <c r="K340" s="66">
        <v>16.399999999999999</v>
      </c>
      <c r="L340" s="10">
        <f t="shared" si="56"/>
        <v>0.9425470780655687</v>
      </c>
      <c r="M340" s="10">
        <f t="shared" si="57"/>
        <v>0.91921897553721421</v>
      </c>
      <c r="N340" s="10">
        <f t="shared" si="58"/>
        <v>6.0900669263038018E-3</v>
      </c>
      <c r="O340" s="10">
        <f t="shared" si="59"/>
        <v>8.6995157451339577E-3</v>
      </c>
      <c r="P340" s="10">
        <f t="shared" si="60"/>
        <v>0.44925766469258083</v>
      </c>
      <c r="Q340" s="66">
        <f t="shared" si="63"/>
        <v>2</v>
      </c>
      <c r="R340" s="10">
        <f t="shared" si="61"/>
        <v>1.1513396008441191E-2</v>
      </c>
      <c r="V340" s="10">
        <f t="shared" si="62"/>
        <v>4.1281138972171564E-4</v>
      </c>
    </row>
    <row r="341" spans="11:22">
      <c r="K341" s="66">
        <v>16.45</v>
      </c>
      <c r="L341" s="10">
        <f t="shared" si="56"/>
        <v>0.94225960216347993</v>
      </c>
      <c r="M341" s="10">
        <f t="shared" si="57"/>
        <v>0.91881850933238618</v>
      </c>
      <c r="N341" s="10">
        <f t="shared" si="58"/>
        <v>6.1117664158459655E-3</v>
      </c>
      <c r="O341" s="10">
        <f t="shared" si="59"/>
        <v>8.7306681686836508E-3</v>
      </c>
      <c r="P341" s="10">
        <f t="shared" si="60"/>
        <v>0.44816303265662749</v>
      </c>
      <c r="Q341" s="66">
        <f t="shared" si="63"/>
        <v>4</v>
      </c>
      <c r="R341" s="10">
        <f t="shared" si="61"/>
        <v>2.3035703097060455E-2</v>
      </c>
      <c r="V341" s="10">
        <f t="shared" si="62"/>
        <v>8.303343621438987E-4</v>
      </c>
    </row>
    <row r="342" spans="11:22">
      <c r="K342" s="66">
        <v>16.5</v>
      </c>
      <c r="L342" s="10">
        <f t="shared" si="56"/>
        <v>0.94197119007594488</v>
      </c>
      <c r="M342" s="10">
        <f t="shared" si="57"/>
        <v>0.91841678445822372</v>
      </c>
      <c r="N342" s="10">
        <f t="shared" si="58"/>
        <v>6.1335445134992209E-3</v>
      </c>
      <c r="O342" s="10">
        <f t="shared" si="59"/>
        <v>8.7619334443428953E-3</v>
      </c>
      <c r="P342" s="10">
        <f t="shared" si="60"/>
        <v>0.44707106772997074</v>
      </c>
      <c r="Q342" s="66">
        <f t="shared" si="63"/>
        <v>2</v>
      </c>
      <c r="R342" s="10">
        <f t="shared" si="61"/>
        <v>1.1522280311771882E-2</v>
      </c>
      <c r="V342" s="10">
        <f t="shared" si="62"/>
        <v>4.1753221266947863E-4</v>
      </c>
    </row>
    <row r="343" spans="11:22">
      <c r="K343" s="66">
        <v>16.55</v>
      </c>
      <c r="L343" s="10">
        <f t="shared" si="56"/>
        <v>0.94168183900850122</v>
      </c>
      <c r="M343" s="10">
        <f t="shared" si="57"/>
        <v>0.91801379752913492</v>
      </c>
      <c r="N343" s="10">
        <f t="shared" si="58"/>
        <v>6.155401504027643E-3</v>
      </c>
      <c r="O343" s="10">
        <f t="shared" si="59"/>
        <v>8.7933119809273635E-3</v>
      </c>
      <c r="P343" s="10">
        <f t="shared" si="60"/>
        <v>0.44598176341410567</v>
      </c>
      <c r="Q343" s="66">
        <f t="shared" si="63"/>
        <v>4</v>
      </c>
      <c r="R343" s="10">
        <f t="shared" si="61"/>
        <v>2.305336429674773E-2</v>
      </c>
      <c r="V343" s="10">
        <f t="shared" si="62"/>
        <v>8.3981301858281228E-4</v>
      </c>
    </row>
    <row r="344" spans="11:22">
      <c r="K344" s="66">
        <v>16.600000000000001</v>
      </c>
      <c r="L344" s="10">
        <f t="shared" si="56"/>
        <v>0.9413915461605995</v>
      </c>
      <c r="M344" s="10">
        <f t="shared" si="57"/>
        <v>0.9176095451549704</v>
      </c>
      <c r="N344" s="10">
        <f t="shared" si="58"/>
        <v>6.1773376732268993E-3</v>
      </c>
      <c r="O344" s="10">
        <f t="shared" si="59"/>
        <v>8.8248041887336783E-3</v>
      </c>
      <c r="P344" s="10">
        <f t="shared" si="60"/>
        <v>0.44489511322636077</v>
      </c>
      <c r="Q344" s="66">
        <f t="shared" si="63"/>
        <v>2</v>
      </c>
      <c r="R344" s="10">
        <f t="shared" si="61"/>
        <v>1.1531056908175418E-2</v>
      </c>
      <c r="V344" s="10">
        <f t="shared" si="62"/>
        <v>4.2229009568958361E-4</v>
      </c>
    </row>
    <row r="345" spans="11:22">
      <c r="K345" s="66">
        <v>16.649999999999999</v>
      </c>
      <c r="L345" s="10">
        <f t="shared" si="56"/>
        <v>0.94110030872560846</v>
      </c>
      <c r="M345" s="10">
        <f t="shared" si="57"/>
        <v>0.91720402394105449</v>
      </c>
      <c r="N345" s="10">
        <f t="shared" si="58"/>
        <v>6.1993533079279517E-3</v>
      </c>
      <c r="O345" s="10">
        <f t="shared" si="59"/>
        <v>8.8564104795448E-3</v>
      </c>
      <c r="P345" s="10">
        <f t="shared" si="60"/>
        <v>0.44381111069985985</v>
      </c>
      <c r="Q345" s="66">
        <f t="shared" si="63"/>
        <v>4</v>
      </c>
      <c r="R345" s="10">
        <f t="shared" si="61"/>
        <v>2.3070808881296485E-2</v>
      </c>
      <c r="V345" s="10">
        <f t="shared" si="62"/>
        <v>8.4936599317911841E-4</v>
      </c>
    </row>
    <row r="346" spans="11:22">
      <c r="K346" s="66">
        <v>16.7</v>
      </c>
      <c r="L346" s="10">
        <f t="shared" si="56"/>
        <v>0.94080812389081814</v>
      </c>
      <c r="M346" s="10">
        <f t="shared" si="57"/>
        <v>0.91679723048821637</v>
      </c>
      <c r="N346" s="10">
        <f t="shared" si="58"/>
        <v>6.2214486960008551E-3</v>
      </c>
      <c r="O346" s="10">
        <f t="shared" si="59"/>
        <v>8.8881312666354104E-3</v>
      </c>
      <c r="P346" s="10">
        <f t="shared" si="60"/>
        <v>0.44272974938348347</v>
      </c>
      <c r="Q346" s="66">
        <f t="shared" si="63"/>
        <v>2</v>
      </c>
      <c r="R346" s="10">
        <f t="shared" si="61"/>
        <v>1.153972459489744E-2</v>
      </c>
      <c r="V346" s="10">
        <f t="shared" si="62"/>
        <v>4.2708523668953083E-4</v>
      </c>
    </row>
    <row r="347" spans="11:22">
      <c r="K347" s="66">
        <v>16.75</v>
      </c>
      <c r="L347" s="10">
        <f t="shared" si="56"/>
        <v>0.94051498883744555</v>
      </c>
      <c r="M347" s="10">
        <f t="shared" si="57"/>
        <v>0.91638916139282267</v>
      </c>
      <c r="N347" s="10">
        <f t="shared" si="58"/>
        <v>6.2436241263584807E-3</v>
      </c>
      <c r="O347" s="10">
        <f t="shared" si="59"/>
        <v>8.9199669647772942E-3</v>
      </c>
      <c r="P347" s="10">
        <f t="shared" si="60"/>
        <v>0.44165102284183089</v>
      </c>
      <c r="Q347" s="66">
        <f t="shared" si="63"/>
        <v>4</v>
      </c>
      <c r="R347" s="10">
        <f t="shared" si="61"/>
        <v>2.3088034439324889E-2</v>
      </c>
      <c r="V347" s="10">
        <f t="shared" si="62"/>
        <v>8.5899368131854646E-4</v>
      </c>
    </row>
    <row r="348" spans="11:22">
      <c r="K348" s="66">
        <v>16.8</v>
      </c>
      <c r="L348" s="10">
        <f t="shared" si="56"/>
        <v>0.94022090074063924</v>
      </c>
      <c r="M348" s="10">
        <f t="shared" si="57"/>
        <v>0.91597981324680944</v>
      </c>
      <c r="N348" s="10">
        <f t="shared" si="58"/>
        <v>6.2658798889603084E-3</v>
      </c>
      <c r="O348" s="10">
        <f t="shared" si="59"/>
        <v>8.9519179902447996E-3</v>
      </c>
      <c r="P348" s="10">
        <f t="shared" si="60"/>
        <v>0.44057492465518094</v>
      </c>
      <c r="Q348" s="66">
        <f t="shared" si="63"/>
        <v>2</v>
      </c>
      <c r="R348" s="10">
        <f t="shared" si="61"/>
        <v>1.1548282163318008E-2</v>
      </c>
      <c r="V348" s="10">
        <f t="shared" si="62"/>
        <v>4.319178331390639E-4</v>
      </c>
    </row>
    <row r="349" spans="11:22">
      <c r="K349" s="66">
        <v>16.850000000000001</v>
      </c>
      <c r="L349" s="10">
        <f t="shared" si="56"/>
        <v>0.93992585676948404</v>
      </c>
      <c r="M349" s="10">
        <f t="shared" si="57"/>
        <v>0.91556918263771536</v>
      </c>
      <c r="N349" s="10">
        <f t="shared" si="58"/>
        <v>6.2882162748162359E-3</v>
      </c>
      <c r="O349" s="10">
        <f t="shared" si="59"/>
        <v>8.9839847608202579E-3</v>
      </c>
      <c r="P349" s="10">
        <f t="shared" si="60"/>
        <v>0.43950144841945488</v>
      </c>
      <c r="Q349" s="66">
        <f t="shared" si="63"/>
        <v>4</v>
      </c>
      <c r="R349" s="10">
        <f t="shared" si="61"/>
        <v>2.3105038547750426E-2</v>
      </c>
      <c r="V349" s="10">
        <f t="shared" si="62"/>
        <v>8.6869647747719978E-4</v>
      </c>
    </row>
    <row r="350" spans="11:22">
      <c r="K350" s="66">
        <v>16.899999999999999</v>
      </c>
      <c r="L350" s="10">
        <f t="shared" si="56"/>
        <v>0.9396298540870065</v>
      </c>
      <c r="M350" s="10">
        <f t="shared" si="57"/>
        <v>0.91515726614871418</v>
      </c>
      <c r="N350" s="10">
        <f t="shared" si="58"/>
        <v>6.3106335759903417E-3</v>
      </c>
      <c r="O350" s="10">
        <f t="shared" si="59"/>
        <v>9.0161676957994322E-3</v>
      </c>
      <c r="P350" s="10">
        <f t="shared" si="60"/>
        <v>0.43843058774617727</v>
      </c>
      <c r="Q350" s="66">
        <f t="shared" si="63"/>
        <v>2</v>
      </c>
      <c r="R350" s="10">
        <f t="shared" si="61"/>
        <v>1.1556728398982426E-2</v>
      </c>
      <c r="V350" s="10">
        <f t="shared" si="62"/>
        <v>4.3678808203589822E-4</v>
      </c>
    </row>
    <row r="351" spans="11:22">
      <c r="K351" s="66">
        <v>16.95</v>
      </c>
      <c r="L351" s="10">
        <f t="shared" si="56"/>
        <v>0.93933288985017982</v>
      </c>
      <c r="M351" s="10">
        <f t="shared" si="57"/>
        <v>0.91474406035864864</v>
      </c>
      <c r="N351" s="10">
        <f t="shared" si="58"/>
        <v>6.3331320856047525E-3</v>
      </c>
      <c r="O351" s="10">
        <f t="shared" si="59"/>
        <v>9.0484672159970459E-3</v>
      </c>
      <c r="P351" s="10">
        <f t="shared" si="60"/>
        <v>0.43736233626243853</v>
      </c>
      <c r="Q351" s="66">
        <f t="shared" si="63"/>
        <v>4</v>
      </c>
      <c r="R351" s="10">
        <f t="shared" si="61"/>
        <v>2.312181877185282E-2</v>
      </c>
      <c r="V351" s="10">
        <f t="shared" si="62"/>
        <v>8.7847477515239298E-4</v>
      </c>
    </row>
    <row r="352" spans="11:22">
      <c r="K352" s="66">
        <v>17</v>
      </c>
      <c r="L352" s="10">
        <f t="shared" si="56"/>
        <v>0.93903496120993024</v>
      </c>
      <c r="M352" s="10">
        <f t="shared" si="57"/>
        <v>0.91432956184206482</v>
      </c>
      <c r="N352" s="10">
        <f t="shared" si="58"/>
        <v>6.3557120978434446E-3</v>
      </c>
      <c r="O352" s="10">
        <f t="shared" si="59"/>
        <v>9.0808837437522296E-3</v>
      </c>
      <c r="P352" s="10">
        <f t="shared" si="60"/>
        <v>0.43629668761085727</v>
      </c>
      <c r="Q352" s="66">
        <f t="shared" si="63"/>
        <v>2</v>
      </c>
      <c r="R352" s="10">
        <f t="shared" si="61"/>
        <v>1.1565062081633347E-2</v>
      </c>
      <c r="V352" s="10">
        <f t="shared" si="62"/>
        <v>4.4169617987082884E-4</v>
      </c>
    </row>
    <row r="353" spans="11:22">
      <c r="K353" s="66">
        <v>17.05</v>
      </c>
      <c r="L353" s="10">
        <f t="shared" si="56"/>
        <v>0.93873606531114218</v>
      </c>
      <c r="M353" s="10">
        <f t="shared" si="57"/>
        <v>0.91391376716924633</v>
      </c>
      <c r="N353" s="10">
        <f t="shared" si="58"/>
        <v>6.378373907956085E-3</v>
      </c>
      <c r="O353" s="10">
        <f t="shared" si="59"/>
        <v>9.1134177029340707E-3</v>
      </c>
      <c r="P353" s="10">
        <f t="shared" si="60"/>
        <v>0.43523363544954119</v>
      </c>
      <c r="Q353" s="66">
        <f t="shared" si="63"/>
        <v>4</v>
      </c>
      <c r="R353" s="10">
        <f t="shared" si="61"/>
        <v>2.3138372665339801E-2</v>
      </c>
      <c r="V353" s="10">
        <f t="shared" si="62"/>
        <v>8.8832896679220876E-4</v>
      </c>
    </row>
    <row r="354" spans="11:22">
      <c r="K354" s="66">
        <v>17.100000000000001</v>
      </c>
      <c r="L354" s="10">
        <f t="shared" si="56"/>
        <v>0.93843619929266409</v>
      </c>
      <c r="M354" s="10">
        <f t="shared" si="57"/>
        <v>0.91349667290624803</v>
      </c>
      <c r="N354" s="10">
        <f t="shared" si="58"/>
        <v>6.4011178122619361E-3</v>
      </c>
      <c r="O354" s="10">
        <f t="shared" si="59"/>
        <v>9.1460695189471992E-3</v>
      </c>
      <c r="P354" s="10">
        <f t="shared" si="60"/>
        <v>0.43417317345205136</v>
      </c>
      <c r="Q354" s="66">
        <f t="shared" si="63"/>
        <v>2</v>
      </c>
      <c r="R354" s="10">
        <f t="shared" si="61"/>
        <v>1.1573281985244424E-2</v>
      </c>
      <c r="V354" s="10">
        <f t="shared" si="62"/>
        <v>4.46642322592175E-4</v>
      </c>
    </row>
    <row r="355" spans="11:22">
      <c r="K355" s="66">
        <v>17.149999999999999</v>
      </c>
      <c r="L355" s="10">
        <f t="shared" si="56"/>
        <v>0.93813536028731448</v>
      </c>
      <c r="M355" s="10">
        <f t="shared" si="57"/>
        <v>0.91307827561493249</v>
      </c>
      <c r="N355" s="10">
        <f t="shared" si="58"/>
        <v>6.4239441081536718E-3</v>
      </c>
      <c r="O355" s="10">
        <f t="shared" si="59"/>
        <v>9.1788396187372501E-3</v>
      </c>
      <c r="P355" s="10">
        <f t="shared" si="60"/>
        <v>0.43311529530736276</v>
      </c>
      <c r="Q355" s="66">
        <f t="shared" si="63"/>
        <v>4</v>
      </c>
      <c r="R355" s="10">
        <f t="shared" si="61"/>
        <v>2.3154697770415858E-2</v>
      </c>
      <c r="V355" s="10">
        <f t="shared" si="62"/>
        <v>8.9825944372376833E-4</v>
      </c>
    </row>
    <row r="356" spans="11:22">
      <c r="K356" s="66">
        <v>17.2</v>
      </c>
      <c r="L356" s="10">
        <f t="shared" si="56"/>
        <v>0.93783354542188901</v>
      </c>
      <c r="M356" s="10">
        <f t="shared" si="57"/>
        <v>0.91265857185300481</v>
      </c>
      <c r="N356" s="10">
        <f t="shared" si="58"/>
        <v>6.446853094101309E-3</v>
      </c>
      <c r="O356" s="10">
        <f t="shared" si="59"/>
        <v>9.2117284307965432E-3</v>
      </c>
      <c r="P356" s="10">
        <f t="shared" si="60"/>
        <v>0.43205999471982737</v>
      </c>
      <c r="Q356" s="66">
        <f t="shared" si="63"/>
        <v>2</v>
      </c>
      <c r="R356" s="10">
        <f t="shared" si="61"/>
        <v>1.1581386878055381E-2</v>
      </c>
      <c r="V356" s="10">
        <f t="shared" si="62"/>
        <v>4.5162670556960974E-4</v>
      </c>
    </row>
    <row r="357" spans="11:22">
      <c r="K357" s="66">
        <v>17.25</v>
      </c>
      <c r="L357" s="10">
        <f t="shared" si="56"/>
        <v>0.93753075181716639</v>
      </c>
      <c r="M357" s="10">
        <f t="shared" si="57"/>
        <v>0.91223755817404895</v>
      </c>
      <c r="N357" s="10">
        <f t="shared" si="58"/>
        <v>6.4698450696560935E-3</v>
      </c>
      <c r="O357" s="10">
        <f t="shared" si="59"/>
        <v>9.2447363851696131E-3</v>
      </c>
      <c r="P357" s="10">
        <f t="shared" si="60"/>
        <v>0.43100726540913703</v>
      </c>
      <c r="Q357" s="66">
        <f t="shared" si="63"/>
        <v>4</v>
      </c>
      <c r="R357" s="10">
        <f t="shared" si="61"/>
        <v>2.317079161785358E-2</v>
      </c>
      <c r="V357" s="10">
        <f t="shared" si="62"/>
        <v>9.0826659608019532E-4</v>
      </c>
    </row>
    <row r="358" spans="11:22">
      <c r="K358" s="66">
        <v>17.3</v>
      </c>
      <c r="L358" s="10">
        <f t="shared" si="56"/>
        <v>0.93722697658791454</v>
      </c>
      <c r="M358" s="10">
        <f t="shared" si="57"/>
        <v>0.91181523112756357</v>
      </c>
      <c r="N358" s="10">
        <f t="shared" si="58"/>
        <v>6.4929203354544144E-3</v>
      </c>
      <c r="O358" s="10">
        <f t="shared" si="59"/>
        <v>9.2778639134588926E-3</v>
      </c>
      <c r="P358" s="10">
        <f t="shared" si="60"/>
        <v>0.42995710111028562</v>
      </c>
      <c r="Q358" s="66">
        <f t="shared" si="63"/>
        <v>2</v>
      </c>
      <c r="R358" s="10">
        <f t="shared" si="61"/>
        <v>1.158937552260845E-2</v>
      </c>
      <c r="V358" s="10">
        <f t="shared" si="62"/>
        <v>4.5664952355729132E-4</v>
      </c>
    </row>
    <row r="359" spans="11:22">
      <c r="K359" s="66">
        <v>17.350000000000001</v>
      </c>
      <c r="L359" s="10">
        <f t="shared" si="56"/>
        <v>0.93692221684289911</v>
      </c>
      <c r="M359" s="10">
        <f t="shared" si="57"/>
        <v>0.91139158725899938</v>
      </c>
      <c r="N359" s="10">
        <f t="shared" si="58"/>
        <v>6.5160791932217504E-3</v>
      </c>
      <c r="O359" s="10">
        <f t="shared" si="59"/>
        <v>9.311111448830324E-3</v>
      </c>
      <c r="P359" s="10">
        <f t="shared" si="60"/>
        <v>0.42890949557353197</v>
      </c>
      <c r="Q359" s="66">
        <f t="shared" si="63"/>
        <v>4</v>
      </c>
      <c r="R359" s="10">
        <f t="shared" si="61"/>
        <v>2.3186651727068335E-2</v>
      </c>
      <c r="V359" s="10">
        <f t="shared" si="62"/>
        <v>9.1835081272626114E-4</v>
      </c>
    </row>
    <row r="360" spans="11:22">
      <c r="K360" s="66">
        <v>17.399999999999999</v>
      </c>
      <c r="L360" s="10">
        <f t="shared" si="56"/>
        <v>0.93661646968488854</v>
      </c>
      <c r="M360" s="10">
        <f t="shared" si="57"/>
        <v>0.91096662310979581</v>
      </c>
      <c r="N360" s="10">
        <f t="shared" si="58"/>
        <v>6.5393219457765871E-3</v>
      </c>
      <c r="O360" s="10">
        <f t="shared" si="59"/>
        <v>9.3444794260190041E-3</v>
      </c>
      <c r="P360" s="10">
        <f t="shared" si="60"/>
        <v>0.42786444256436262</v>
      </c>
      <c r="Q360" s="66">
        <f t="shared" si="63"/>
        <v>2</v>
      </c>
      <c r="R360" s="10">
        <f t="shared" si="61"/>
        <v>1.1597246675786434E-2</v>
      </c>
      <c r="V360" s="10">
        <f t="shared" si="62"/>
        <v>4.6171097065636691E-4</v>
      </c>
    </row>
    <row r="361" spans="11:22">
      <c r="K361" s="66">
        <v>17.45</v>
      </c>
      <c r="L361" s="10">
        <f t="shared" si="56"/>
        <v>0.93630973221066294</v>
      </c>
      <c r="M361" s="10">
        <f t="shared" si="57"/>
        <v>0.91054033521741895</v>
      </c>
      <c r="N361" s="10">
        <f t="shared" si="58"/>
        <v>6.5626488970344128E-3</v>
      </c>
      <c r="O361" s="10">
        <f t="shared" si="59"/>
        <v>9.3779682813349245E-3</v>
      </c>
      <c r="P361" s="10">
        <f t="shared" si="60"/>
        <v>0.42682193586345468</v>
      </c>
      <c r="Q361" s="66">
        <f t="shared" si="63"/>
        <v>4</v>
      </c>
      <c r="R361" s="10">
        <f t="shared" si="61"/>
        <v>2.3202275606195623E-2</v>
      </c>
      <c r="V361" s="10">
        <f t="shared" si="62"/>
        <v>9.285124811826915E-4</v>
      </c>
    </row>
    <row r="362" spans="11:22">
      <c r="K362" s="66">
        <v>17.5</v>
      </c>
      <c r="L362" s="10">
        <f t="shared" si="56"/>
        <v>0.93600200151102109</v>
      </c>
      <c r="M362" s="10">
        <f t="shared" si="57"/>
        <v>0.91011272011539934</v>
      </c>
      <c r="N362" s="10">
        <f t="shared" si="58"/>
        <v>6.5860603520116624E-3</v>
      </c>
      <c r="O362" s="10">
        <f t="shared" si="59"/>
        <v>9.411578452668613E-3</v>
      </c>
      <c r="P362" s="10">
        <f t="shared" si="60"/>
        <v>0.42578196926663886</v>
      </c>
      <c r="Q362" s="66">
        <f t="shared" si="63"/>
        <v>2</v>
      </c>
      <c r="R362" s="10">
        <f t="shared" si="61"/>
        <v>1.1604999088852125E-2</v>
      </c>
      <c r="V362" s="10">
        <f t="shared" si="62"/>
        <v>4.6681124027678705E-4</v>
      </c>
    </row>
    <row r="363" spans="11:22">
      <c r="K363" s="66">
        <v>17.55</v>
      </c>
      <c r="L363" s="10">
        <f t="shared" si="56"/>
        <v>0.93569327467078767</v>
      </c>
      <c r="M363" s="10">
        <f t="shared" si="57"/>
        <v>0.90968377433337078</v>
      </c>
      <c r="N363" s="10">
        <f t="shared" si="58"/>
        <v>6.6095566168297157E-3</v>
      </c>
      <c r="O363" s="10">
        <f t="shared" si="59"/>
        <v>9.4453103794969115E-3</v>
      </c>
      <c r="P363" s="10">
        <f t="shared" si="60"/>
        <v>0.4247445365848625</v>
      </c>
      <c r="Q363" s="66">
        <f t="shared" si="63"/>
        <v>4</v>
      </c>
      <c r="R363" s="10">
        <f t="shared" si="61"/>
        <v>2.3217660752171673E-2</v>
      </c>
      <c r="V363" s="10">
        <f t="shared" si="62"/>
        <v>9.3875198754912281E-4</v>
      </c>
    </row>
    <row r="364" spans="11:22">
      <c r="K364" s="66">
        <v>17.600000000000001</v>
      </c>
      <c r="L364" s="10">
        <f t="shared" si="56"/>
        <v>0.93538354876882168</v>
      </c>
      <c r="M364" s="10">
        <f t="shared" si="57"/>
        <v>0.90925349439710834</v>
      </c>
      <c r="N364" s="10">
        <f t="shared" si="58"/>
        <v>6.6331379987189156E-3</v>
      </c>
      <c r="O364" s="10">
        <f t="shared" si="59"/>
        <v>9.4791645028887046E-3</v>
      </c>
      <c r="P364" s="10">
        <f t="shared" si="60"/>
        <v>0.42370963164415304</v>
      </c>
      <c r="Q364" s="66">
        <f t="shared" si="63"/>
        <v>2</v>
      </c>
      <c r="R364" s="10">
        <f t="shared" si="61"/>
        <v>1.1612631507489387E-2</v>
      </c>
      <c r="V364" s="10">
        <f t="shared" si="62"/>
        <v>4.7195052509844412E-4</v>
      </c>
    </row>
    <row r="365" spans="11:22">
      <c r="K365" s="66">
        <v>17.649999999999999</v>
      </c>
      <c r="L365" s="10">
        <f t="shared" si="56"/>
        <v>0.93507282087802446</v>
      </c>
      <c r="M365" s="10">
        <f t="shared" si="57"/>
        <v>0.90882187682856863</v>
      </c>
      <c r="N365" s="10">
        <f t="shared" si="58"/>
        <v>6.6568048060225487E-3</v>
      </c>
      <c r="O365" s="10">
        <f t="shared" si="59"/>
        <v>9.5131412655106596E-3</v>
      </c>
      <c r="P365" s="10">
        <f t="shared" si="60"/>
        <v>0.42267724828558073</v>
      </c>
      <c r="Q365" s="66">
        <f t="shared" si="63"/>
        <v>4</v>
      </c>
      <c r="R365" s="10">
        <f t="shared" si="61"/>
        <v>2.3232804650817038E-2</v>
      </c>
      <c r="V365" s="10">
        <f t="shared" si="62"/>
        <v>9.4906971642572428E-4</v>
      </c>
    </row>
    <row r="366" spans="11:22">
      <c r="K366" s="66">
        <v>17.7</v>
      </c>
      <c r="L366" s="10">
        <f t="shared" si="56"/>
        <v>0.93476108806534797</v>
      </c>
      <c r="M366" s="10">
        <f t="shared" si="57"/>
        <v>0.90838891814592926</v>
      </c>
      <c r="N366" s="10">
        <f t="shared" si="58"/>
        <v>6.6805573482009188E-3</v>
      </c>
      <c r="O366" s="10">
        <f t="shared" si="59"/>
        <v>9.5472411116330654E-3</v>
      </c>
      <c r="P366" s="10">
        <f t="shared" si="60"/>
        <v>0.42164738036522237</v>
      </c>
      <c r="Q366" s="66">
        <f t="shared" si="63"/>
        <v>2</v>
      </c>
      <c r="R366" s="10">
        <f t="shared" si="61"/>
        <v>1.1620142671845737E-2</v>
      </c>
      <c r="V366" s="10">
        <f t="shared" si="62"/>
        <v>4.7712901703163491E-4</v>
      </c>
    </row>
    <row r="367" spans="11:22">
      <c r="K367" s="66">
        <v>17.75</v>
      </c>
      <c r="L367" s="10">
        <f t="shared" si="56"/>
        <v>0.93444834739180338</v>
      </c>
      <c r="M367" s="10">
        <f t="shared" si="57"/>
        <v>0.90795461486362816</v>
      </c>
      <c r="N367" s="10">
        <f t="shared" si="58"/>
        <v>6.7043959358353659E-3</v>
      </c>
      <c r="O367" s="10">
        <f t="shared" si="59"/>
        <v>9.5814644871355919E-3</v>
      </c>
      <c r="P367" s="10">
        <f t="shared" si="60"/>
        <v>0.42062002175412466</v>
      </c>
      <c r="Q367" s="66">
        <f t="shared" si="63"/>
        <v>4</v>
      </c>
      <c r="R367" s="10">
        <f t="shared" si="61"/>
        <v>2.3247704776923301E-2</v>
      </c>
      <c r="V367" s="10">
        <f t="shared" si="62"/>
        <v>9.5946605083339323E-4</v>
      </c>
    </row>
    <row r="368" spans="11:22">
      <c r="K368" s="66">
        <v>17.8</v>
      </c>
      <c r="L368" s="10">
        <f t="shared" si="56"/>
        <v>0.93413459591246972</v>
      </c>
      <c r="M368" s="10">
        <f t="shared" si="57"/>
        <v>0.90751896349240557</v>
      </c>
      <c r="N368" s="10">
        <f t="shared" si="58"/>
        <v>6.7283208806323313E-3</v>
      </c>
      <c r="O368" s="10">
        <f t="shared" si="59"/>
        <v>9.6158118395131588E-3</v>
      </c>
      <c r="P368" s="10">
        <f t="shared" si="60"/>
        <v>0.4195951663382676</v>
      </c>
      <c r="Q368" s="66">
        <f t="shared" si="63"/>
        <v>2</v>
      </c>
      <c r="R368" s="10">
        <f t="shared" si="61"/>
        <v>1.1627531316576487E-2</v>
      </c>
      <c r="V368" s="10">
        <f t="shared" si="62"/>
        <v>4.8234690717681526E-4</v>
      </c>
    </row>
    <row r="369" spans="11:22">
      <c r="K369" s="66">
        <v>17.850000000000001</v>
      </c>
      <c r="L369" s="10">
        <f t="shared" si="56"/>
        <v>0.93381983067650254</v>
      </c>
      <c r="M369" s="10">
        <f t="shared" si="57"/>
        <v>0.90708196053934365</v>
      </c>
      <c r="N369" s="10">
        <f t="shared" si="58"/>
        <v>6.7523324954274506E-3</v>
      </c>
      <c r="O369" s="10">
        <f t="shared" si="59"/>
        <v>9.6502836178817778E-3</v>
      </c>
      <c r="P369" s="10">
        <f t="shared" si="60"/>
        <v>0.41857280801852836</v>
      </c>
      <c r="Q369" s="66">
        <f t="shared" si="63"/>
        <v>4</v>
      </c>
      <c r="R369" s="10">
        <f t="shared" si="61"/>
        <v>2.3262358594343033E-2</v>
      </c>
      <c r="V369" s="10">
        <f t="shared" si="62"/>
        <v>9.6994137213259599E-4</v>
      </c>
    </row>
    <row r="370" spans="11:22">
      <c r="K370" s="66">
        <v>17.899999999999999</v>
      </c>
      <c r="L370" s="10">
        <f t="shared" si="56"/>
        <v>0.93350404872714365</v>
      </c>
      <c r="M370" s="10">
        <f t="shared" si="57"/>
        <v>0.9066436025079091</v>
      </c>
      <c r="N370" s="10">
        <f t="shared" si="58"/>
        <v>6.7764310941896173E-3</v>
      </c>
      <c r="O370" s="10">
        <f t="shared" si="59"/>
        <v>9.6848802729843902E-3</v>
      </c>
      <c r="P370" s="10">
        <f t="shared" si="60"/>
        <v>0.41755294071064503</v>
      </c>
      <c r="Q370" s="66">
        <f t="shared" si="63"/>
        <v>2</v>
      </c>
      <c r="R370" s="10">
        <f t="shared" si="61"/>
        <v>1.1634796170890549E-2</v>
      </c>
      <c r="V370" s="10">
        <f t="shared" si="62"/>
        <v>4.8760438578367837E-4</v>
      </c>
    </row>
    <row r="371" spans="11:22">
      <c r="K371" s="66">
        <v>17.95</v>
      </c>
      <c r="L371" s="10">
        <f t="shared" si="56"/>
        <v>0.9331872471017304</v>
      </c>
      <c r="M371" s="10">
        <f t="shared" si="57"/>
        <v>0.90620388589799405</v>
      </c>
      <c r="N371" s="10">
        <f t="shared" si="58"/>
        <v>6.8006169920251094E-3</v>
      </c>
      <c r="O371" s="10">
        <f t="shared" si="59"/>
        <v>9.7196022571968219E-3</v>
      </c>
      <c r="P371" s="10">
        <f t="shared" si="60"/>
        <v>0.41653555834517958</v>
      </c>
      <c r="Q371" s="66">
        <f t="shared" si="63"/>
        <v>4</v>
      </c>
      <c r="R371" s="10">
        <f t="shared" si="61"/>
        <v>2.3276763556082946E-2</v>
      </c>
      <c r="V371" s="10">
        <f t="shared" si="62"/>
        <v>9.8049605994080403E-4</v>
      </c>
    </row>
    <row r="372" spans="11:22">
      <c r="K372" s="66">
        <v>18</v>
      </c>
      <c r="L372" s="10">
        <f t="shared" si="56"/>
        <v>0.93286942283170471</v>
      </c>
      <c r="M372" s="10">
        <f t="shared" si="57"/>
        <v>0.90576280720595936</v>
      </c>
      <c r="N372" s="10">
        <f t="shared" si="58"/>
        <v>6.8248905051817039E-3</v>
      </c>
      <c r="O372" s="10">
        <f t="shared" si="59"/>
        <v>9.7544500245336473E-3</v>
      </c>
      <c r="P372" s="10">
        <f t="shared" si="60"/>
        <v>0.41552065486748313</v>
      </c>
      <c r="Q372" s="66">
        <f t="shared" si="63"/>
        <v>2</v>
      </c>
      <c r="R372" s="10">
        <f t="shared" si="61"/>
        <v>1.1641935958597796E-2</v>
      </c>
      <c r="V372" s="10">
        <f t="shared" si="62"/>
        <v>4.9290164220950011E-4</v>
      </c>
    </row>
    <row r="373" spans="11:22">
      <c r="K373" s="66">
        <v>18.05</v>
      </c>
      <c r="L373" s="10">
        <f t="shared" si="56"/>
        <v>0.93255057294262378</v>
      </c>
      <c r="M373" s="10">
        <f t="shared" si="57"/>
        <v>0.90532036292467688</v>
      </c>
      <c r="N373" s="10">
        <f t="shared" si="58"/>
        <v>6.8492519510527919E-3</v>
      </c>
      <c r="O373" s="10">
        <f t="shared" si="59"/>
        <v>9.7894240306541265E-3</v>
      </c>
      <c r="P373" s="10">
        <f t="shared" si="60"/>
        <v>0.41450822423765826</v>
      </c>
      <c r="Q373" s="66">
        <f t="shared" si="63"/>
        <v>4</v>
      </c>
      <c r="R373" s="10">
        <f t="shared" si="61"/>
        <v>2.3290917104400309E-2</v>
      </c>
      <c r="V373" s="10">
        <f t="shared" si="62"/>
        <v>9.9113049204848139E-4</v>
      </c>
    </row>
    <row r="374" spans="11:22">
      <c r="K374" s="66">
        <v>18.100000000000001</v>
      </c>
      <c r="L374" s="10">
        <f t="shared" si="56"/>
        <v>0.93223069445416895</v>
      </c>
      <c r="M374" s="10">
        <f t="shared" si="57"/>
        <v>0.90487654954357266</v>
      </c>
      <c r="N374" s="10">
        <f t="shared" si="58"/>
        <v>6.873701648181579E-3</v>
      </c>
      <c r="O374" s="10">
        <f t="shared" si="59"/>
        <v>9.8245247328682395E-3</v>
      </c>
      <c r="P374" s="10">
        <f t="shared" si="60"/>
        <v>0.41349826043052507</v>
      </c>
      <c r="Q374" s="66">
        <f t="shared" si="63"/>
        <v>2</v>
      </c>
      <c r="R374" s="10">
        <f t="shared" si="61"/>
        <v>1.1648949398158069E-2</v>
      </c>
      <c r="V374" s="10">
        <f t="shared" si="62"/>
        <v>4.9823886487679195E-4</v>
      </c>
    </row>
    <row r="375" spans="11:22">
      <c r="K375" s="66">
        <v>18.149999999999999</v>
      </c>
      <c r="L375" s="10">
        <f t="shared" si="56"/>
        <v>0.93190978438015726</v>
      </c>
      <c r="M375" s="10">
        <f t="shared" si="57"/>
        <v>0.9044313635486706</v>
      </c>
      <c r="N375" s="10">
        <f t="shared" si="58"/>
        <v>6.898239916265197E-3</v>
      </c>
      <c r="O375" s="10">
        <f t="shared" si="59"/>
        <v>9.8597525901425436E-3</v>
      </c>
      <c r="P375" s="10">
        <f t="shared" si="60"/>
        <v>0.4124907574355835</v>
      </c>
      <c r="Q375" s="66">
        <f t="shared" si="63"/>
        <v>4</v>
      </c>
      <c r="R375" s="10">
        <f t="shared" si="61"/>
        <v>2.3304816670902759E-2</v>
      </c>
      <c r="V375" s="10">
        <f t="shared" si="62"/>
        <v>1.0018450443336814E-3</v>
      </c>
    </row>
    <row r="376" spans="11:22">
      <c r="K376" s="66">
        <v>18.2</v>
      </c>
      <c r="L376" s="10">
        <f t="shared" si="56"/>
        <v>0.93158783972855141</v>
      </c>
      <c r="M376" s="10">
        <f t="shared" si="57"/>
        <v>0.90398480142263726</v>
      </c>
      <c r="N376" s="10">
        <f t="shared" si="58"/>
        <v>6.9228670761589083E-3</v>
      </c>
      <c r="O376" s="10">
        <f t="shared" si="59"/>
        <v>9.895108063106282E-3</v>
      </c>
      <c r="P376" s="10">
        <f t="shared" si="60"/>
        <v>0.41148570925697842</v>
      </c>
      <c r="Q376" s="66">
        <f t="shared" si="63"/>
        <v>2</v>
      </c>
      <c r="R376" s="10">
        <f t="shared" si="61"/>
        <v>1.1655835202732036E-2</v>
      </c>
      <c r="V376" s="10">
        <f t="shared" si="62"/>
        <v>5.036162412302295E-4</v>
      </c>
    </row>
    <row r="377" spans="11:22">
      <c r="K377" s="66">
        <v>18.25</v>
      </c>
      <c r="L377" s="10">
        <f t="shared" si="56"/>
        <v>0.93126485750147003</v>
      </c>
      <c r="M377" s="10">
        <f t="shared" si="57"/>
        <v>0.90353685964482577</v>
      </c>
      <c r="N377" s="10">
        <f t="shared" si="58"/>
        <v>6.9475834498803016E-3</v>
      </c>
      <c r="O377" s="10">
        <f t="shared" si="59"/>
        <v>9.9305916140573353E-3</v>
      </c>
      <c r="P377" s="10">
        <f t="shared" si="60"/>
        <v>0.41048310991346382</v>
      </c>
      <c r="Q377" s="66">
        <f t="shared" si="63"/>
        <v>4</v>
      </c>
      <c r="R377" s="10">
        <f t="shared" si="61"/>
        <v>2.3318459676651391E-2</v>
      </c>
      <c r="V377" s="10">
        <f t="shared" si="62"/>
        <v>1.0126400906751384E-3</v>
      </c>
    </row>
    <row r="378" spans="11:22">
      <c r="K378" s="66">
        <v>18.3</v>
      </c>
      <c r="L378" s="10">
        <f t="shared" si="56"/>
        <v>0.93094083469519917</v>
      </c>
      <c r="M378" s="10">
        <f t="shared" si="57"/>
        <v>0.90308753469132064</v>
      </c>
      <c r="N378" s="10">
        <f t="shared" si="58"/>
        <v>6.9723893606134955E-3</v>
      </c>
      <c r="O378" s="10">
        <f t="shared" si="59"/>
        <v>9.9662037069683101E-3</v>
      </c>
      <c r="P378" s="10">
        <f t="shared" si="60"/>
        <v>0.40948295343836727</v>
      </c>
      <c r="Q378" s="66">
        <f t="shared" si="63"/>
        <v>2</v>
      </c>
      <c r="R378" s="10">
        <f t="shared" si="61"/>
        <v>1.1662592080233469E-2</v>
      </c>
      <c r="V378" s="10">
        <f t="shared" si="62"/>
        <v>5.0903395769283952E-4</v>
      </c>
    </row>
    <row r="379" spans="11:22">
      <c r="K379" s="66">
        <v>18.350000000000001</v>
      </c>
      <c r="L379" s="10">
        <f t="shared" si="56"/>
        <v>0.93061576830020343</v>
      </c>
      <c r="M379" s="10">
        <f t="shared" si="57"/>
        <v>0.90263682303498494</v>
      </c>
      <c r="N379" s="10">
        <f t="shared" si="58"/>
        <v>6.9972851327133783E-3</v>
      </c>
      <c r="O379" s="10">
        <f t="shared" si="59"/>
        <v>1.0001944807492598E-2</v>
      </c>
      <c r="P379" s="10">
        <f t="shared" si="60"/>
        <v>0.40848523387955427</v>
      </c>
      <c r="Q379" s="66">
        <f t="shared" si="63"/>
        <v>4</v>
      </c>
      <c r="R379" s="10">
        <f t="shared" si="61"/>
        <v>2.3331843532267315E-2</v>
      </c>
      <c r="V379" s="10">
        <f t="shared" si="62"/>
        <v>1.0235160028639616E-3</v>
      </c>
    </row>
    <row r="380" spans="11:22">
      <c r="K380" s="66">
        <v>18.399999999999999</v>
      </c>
      <c r="L380" s="10">
        <f t="shared" si="56"/>
        <v>0.93028965530113727</v>
      </c>
      <c r="M380" s="10">
        <f t="shared" si="57"/>
        <v>0.90218472114550397</v>
      </c>
      <c r="N380" s="10">
        <f t="shared" si="58"/>
        <v>7.0222710917098308E-3</v>
      </c>
      <c r="O380" s="10">
        <f t="shared" si="59"/>
        <v>1.003781538297043E-2</v>
      </c>
      <c r="P380" s="10">
        <f t="shared" si="60"/>
        <v>0.40748994529939297</v>
      </c>
      <c r="Q380" s="66">
        <f t="shared" si="63"/>
        <v>2</v>
      </c>
      <c r="R380" s="10">
        <f t="shared" si="61"/>
        <v>1.1669218733383471E-2</v>
      </c>
      <c r="V380" s="10">
        <f t="shared" si="62"/>
        <v>5.1449219962147145E-4</v>
      </c>
    </row>
    <row r="381" spans="11:22">
      <c r="K381" s="66">
        <v>18.45</v>
      </c>
      <c r="L381" s="10">
        <f t="shared" si="56"/>
        <v>0.92996249267685649</v>
      </c>
      <c r="M381" s="10">
        <f t="shared" si="57"/>
        <v>0.90173122548943352</v>
      </c>
      <c r="N381" s="10">
        <f t="shared" si="58"/>
        <v>7.0473475643119936E-3</v>
      </c>
      <c r="O381" s="10">
        <f t="shared" si="59"/>
        <v>1.0073815902435043E-2</v>
      </c>
      <c r="P381" s="10">
        <f t="shared" si="60"/>
        <v>0.40649708177471872</v>
      </c>
      <c r="Q381" s="66">
        <f t="shared" si="63"/>
        <v>4</v>
      </c>
      <c r="R381" s="10">
        <f t="shared" si="61"/>
        <v>2.3344965638041733E-2</v>
      </c>
      <c r="V381" s="10">
        <f t="shared" si="62"/>
        <v>1.0344731505137997E-3</v>
      </c>
    </row>
    <row r="382" spans="11:22">
      <c r="K382" s="66">
        <v>18.5</v>
      </c>
      <c r="L382" s="10">
        <f t="shared" si="56"/>
        <v>0.92963427740043036</v>
      </c>
      <c r="M382" s="10">
        <f t="shared" si="57"/>
        <v>0.90127633253024664</v>
      </c>
      <c r="N382" s="10">
        <f t="shared" si="58"/>
        <v>7.0725148784125374E-3</v>
      </c>
      <c r="O382" s="10">
        <f t="shared" si="59"/>
        <v>1.0109946836618759E-2</v>
      </c>
      <c r="P382" s="10">
        <f t="shared" si="60"/>
        <v>0.40550663739679882</v>
      </c>
      <c r="Q382" s="66">
        <f t="shared" si="63"/>
        <v>2</v>
      </c>
      <c r="R382" s="10">
        <f t="shared" si="61"/>
        <v>1.1675713859766327E-2</v>
      </c>
      <c r="V382" s="10">
        <f t="shared" si="62"/>
        <v>5.199911512615156E-4</v>
      </c>
    </row>
    <row r="383" spans="11:22">
      <c r="K383" s="66">
        <v>18.55</v>
      </c>
      <c r="L383" s="10">
        <f t="shared" si="56"/>
        <v>0.92930500643915381</v>
      </c>
      <c r="M383" s="10">
        <f t="shared" si="57"/>
        <v>0.90082003872837968</v>
      </c>
      <c r="N383" s="10">
        <f t="shared" si="58"/>
        <v>7.0977733630919453E-3</v>
      </c>
      <c r="O383" s="10">
        <f t="shared" si="59"/>
        <v>1.0146208657959181E-2</v>
      </c>
      <c r="P383" s="10">
        <f t="shared" si="60"/>
        <v>0.4045186062712976</v>
      </c>
      <c r="Q383" s="66">
        <f t="shared" si="63"/>
        <v>4</v>
      </c>
      <c r="R383" s="10">
        <f t="shared" si="61"/>
        <v>2.3357823384049459E-2</v>
      </c>
      <c r="V383" s="10">
        <f t="shared" si="62"/>
        <v>1.0455119009695512E-3</v>
      </c>
    </row>
    <row r="384" spans="11:22">
      <c r="K384" s="66">
        <v>18.600000000000001</v>
      </c>
      <c r="L384" s="10">
        <f t="shared" si="56"/>
        <v>0.92897467675455969</v>
      </c>
      <c r="M384" s="10">
        <f t="shared" si="57"/>
        <v>0.90036234054128228</v>
      </c>
      <c r="N384" s="10">
        <f t="shared" si="58"/>
        <v>7.1231233486228323E-3</v>
      </c>
      <c r="O384" s="10">
        <f t="shared" si="59"/>
        <v>1.0182601840605357E-2</v>
      </c>
      <c r="P384" s="10">
        <f t="shared" si="60"/>
        <v>0.40353298251824093</v>
      </c>
      <c r="Q384" s="66">
        <f t="shared" si="63"/>
        <v>2</v>
      </c>
      <c r="R384" s="10">
        <f t="shared" si="61"/>
        <v>1.1682076151887219E-2</v>
      </c>
      <c r="V384" s="10">
        <f t="shared" si="62"/>
        <v>5.2553099570087501E-4</v>
      </c>
    </row>
    <row r="385" spans="11:22">
      <c r="K385" s="66">
        <v>18.649999999999999</v>
      </c>
      <c r="L385" s="10">
        <f t="shared" si="56"/>
        <v>0.92864328530243101</v>
      </c>
      <c r="M385" s="10">
        <f t="shared" si="57"/>
        <v>0.89990323442346387</v>
      </c>
      <c r="N385" s="10">
        <f t="shared" si="58"/>
        <v>7.1485651664742406E-3</v>
      </c>
      <c r="O385" s="10">
        <f t="shared" si="59"/>
        <v>1.021912686042396E-2</v>
      </c>
      <c r="P385" s="10">
        <f t="shared" si="60"/>
        <v>0.40254976027198164</v>
      </c>
      <c r="Q385" s="66">
        <f t="shared" si="63"/>
        <v>4</v>
      </c>
      <c r="R385" s="10">
        <f t="shared" si="61"/>
        <v>2.3370414150266149E-2</v>
      </c>
      <c r="V385" s="10">
        <f t="shared" si="62"/>
        <v>1.0566326192145406E-3</v>
      </c>
    </row>
    <row r="386" spans="11:22">
      <c r="K386" s="66">
        <v>18.7</v>
      </c>
      <c r="L386" s="10">
        <f t="shared" si="56"/>
        <v>0.92831082903281437</v>
      </c>
      <c r="M386" s="10">
        <f t="shared" si="57"/>
        <v>0.89944271682654386</v>
      </c>
      <c r="N386" s="10">
        <f t="shared" si="58"/>
        <v>7.1740991493159881E-3</v>
      </c>
      <c r="O386" s="10">
        <f t="shared" si="59"/>
        <v>1.0255784195005547E-2</v>
      </c>
      <c r="P386" s="10">
        <f t="shared" si="60"/>
        <v>0.40156893368116414</v>
      </c>
      <c r="Q386" s="66">
        <f t="shared" si="63"/>
        <v>2</v>
      </c>
      <c r="R386" s="10">
        <f t="shared" si="61"/>
        <v>1.1688304297231677E-2</v>
      </c>
      <c r="V386" s="10">
        <f t="shared" si="62"/>
        <v>5.3111191482318445E-4</v>
      </c>
    </row>
    <row r="387" spans="11:22">
      <c r="K387" s="66">
        <v>18.75</v>
      </c>
      <c r="L387" s="10">
        <f t="shared" si="56"/>
        <v>0.92797730489003294</v>
      </c>
      <c r="M387" s="10">
        <f t="shared" si="57"/>
        <v>0.8989807841993005</v>
      </c>
      <c r="N387" s="10">
        <f t="shared" si="58"/>
        <v>7.1997256310230191E-3</v>
      </c>
      <c r="O387" s="10">
        <f t="shared" si="59"/>
        <v>1.0292574323670763E-2</v>
      </c>
      <c r="P387" s="10">
        <f t="shared" si="60"/>
        <v>0.40059049690869014</v>
      </c>
      <c r="Q387" s="66">
        <f t="shared" si="63"/>
        <v>4</v>
      </c>
      <c r="R387" s="10">
        <f t="shared" si="61"/>
        <v>2.3382735306688909E-2</v>
      </c>
      <c r="V387" s="10">
        <f t="shared" si="62"/>
        <v>1.0678356677762046E-3</v>
      </c>
    </row>
    <row r="388" spans="11:22">
      <c r="K388" s="66">
        <v>18.8</v>
      </c>
      <c r="L388" s="10">
        <f t="shared" si="56"/>
        <v>0.92764270981269914</v>
      </c>
      <c r="M388" s="10">
        <f t="shared" si="57"/>
        <v>0.89851743298772024</v>
      </c>
      <c r="N388" s="10">
        <f t="shared" si="58"/>
        <v>7.2254449466797573E-3</v>
      </c>
      <c r="O388" s="10">
        <f t="shared" si="59"/>
        <v>1.0329497727476647E-2</v>
      </c>
      <c r="P388" s="10">
        <f t="shared" si="60"/>
        <v>0.3996144441316834</v>
      </c>
      <c r="Q388" s="66">
        <f t="shared" si="63"/>
        <v>2</v>
      </c>
      <c r="R388" s="10">
        <f t="shared" si="61"/>
        <v>1.1694396978326851E-2</v>
      </c>
      <c r="V388" s="10">
        <f t="shared" si="62"/>
        <v>5.3673408926026094E-4</v>
      </c>
    </row>
    <row r="389" spans="11:22">
      <c r="K389" s="66">
        <v>18.850000000000001</v>
      </c>
      <c r="L389" s="10">
        <f t="shared" si="56"/>
        <v>0.92730704073372938</v>
      </c>
      <c r="M389" s="10">
        <f t="shared" si="57"/>
        <v>0.89805265963504943</v>
      </c>
      <c r="N389" s="10">
        <f t="shared" si="58"/>
        <v>7.2512574325845087E-3</v>
      </c>
      <c r="O389" s="10">
        <f t="shared" si="59"/>
        <v>1.0366554889222912E-2</v>
      </c>
      <c r="P389" s="10">
        <f t="shared" si="60"/>
        <v>0.39864076954145555</v>
      </c>
      <c r="Q389" s="66">
        <f t="shared" si="63"/>
        <v>4</v>
      </c>
      <c r="R389" s="10">
        <f t="shared" si="61"/>
        <v>2.3394784213460813E-2</v>
      </c>
      <c r="V389" s="10">
        <f t="shared" si="62"/>
        <v>1.0791214066302275E-3</v>
      </c>
    </row>
    <row r="390" spans="11:22">
      <c r="K390" s="66">
        <v>18.899999999999999</v>
      </c>
      <c r="L390" s="10">
        <f t="shared" si="56"/>
        <v>0.92697029458035707</v>
      </c>
      <c r="M390" s="10">
        <f t="shared" si="57"/>
        <v>0.89758646058184377</v>
      </c>
      <c r="N390" s="10">
        <f t="shared" si="58"/>
        <v>7.2771634262538392E-3</v>
      </c>
      <c r="O390" s="10">
        <f t="shared" si="59"/>
        <v>1.040374629345822E-2</v>
      </c>
      <c r="P390" s="10">
        <f t="shared" si="60"/>
        <v>0.39766946734347142</v>
      </c>
      <c r="Q390" s="66">
        <f t="shared" si="63"/>
        <v>2</v>
      </c>
      <c r="R390" s="10">
        <f t="shared" si="61"/>
        <v>1.1700352872804727E-2</v>
      </c>
      <c r="V390" s="10">
        <f t="shared" si="62"/>
        <v>5.4239769834379351E-4</v>
      </c>
    </row>
    <row r="391" spans="11:22">
      <c r="K391" s="66">
        <v>18.95</v>
      </c>
      <c r="L391" s="10">
        <f t="shared" si="56"/>
        <v>0.92663246827414669</v>
      </c>
      <c r="M391" s="10">
        <f t="shared" si="57"/>
        <v>0.89711883226602029</v>
      </c>
      <c r="N391" s="10">
        <f t="shared" si="58"/>
        <v>7.3031632664269921E-3</v>
      </c>
      <c r="O391" s="10">
        <f t="shared" si="59"/>
        <v>1.0441072426486585E-2</v>
      </c>
      <c r="P391" s="10">
        <f t="shared" si="60"/>
        <v>0.39670053175731379</v>
      </c>
      <c r="Q391" s="66">
        <f t="shared" si="63"/>
        <v>4</v>
      </c>
      <c r="R391" s="10">
        <f t="shared" si="61"/>
        <v>2.3406558220999178E-2</v>
      </c>
      <c r="V391" s="10">
        <f t="shared" si="62"/>
        <v>1.0904901931031274E-3</v>
      </c>
    </row>
    <row r="392" spans="11:22">
      <c r="K392" s="66">
        <v>19</v>
      </c>
      <c r="L392" s="10">
        <f t="shared" si="56"/>
        <v>0.92629355873100827</v>
      </c>
      <c r="M392" s="10">
        <f t="shared" si="57"/>
        <v>0.896649771122909</v>
      </c>
      <c r="N392" s="10">
        <f t="shared" si="58"/>
        <v>7.3292572930703306E-3</v>
      </c>
      <c r="O392" s="10">
        <f t="shared" si="59"/>
        <v>1.047853377637367E-2</v>
      </c>
      <c r="P392" s="10">
        <f t="shared" si="60"/>
        <v>0.39573395701665059</v>
      </c>
      <c r="Q392" s="66">
        <f t="shared" si="63"/>
        <v>2</v>
      </c>
      <c r="R392" s="10">
        <f t="shared" si="61"/>
        <v>1.1706170653467072E-2</v>
      </c>
      <c r="V392" s="10">
        <f t="shared" si="62"/>
        <v>5.4810292005625066E-4</v>
      </c>
    </row>
    <row r="393" spans="11:22">
      <c r="K393" s="66">
        <v>19.05</v>
      </c>
      <c r="L393" s="10">
        <f t="shared" si="56"/>
        <v>0.925953562861213</v>
      </c>
      <c r="M393" s="10">
        <f t="shared" si="57"/>
        <v>0.89617927358530614</v>
      </c>
      <c r="N393" s="10">
        <f t="shared" si="58"/>
        <v>7.3554458473817502E-3</v>
      </c>
      <c r="O393" s="10">
        <f t="shared" si="59"/>
        <v>1.0516130832953186E-2</v>
      </c>
      <c r="P393" s="10">
        <f t="shared" si="60"/>
        <v>0.39476973736919835</v>
      </c>
      <c r="Q393" s="66">
        <f t="shared" si="63"/>
        <v>4</v>
      </c>
      <c r="R393" s="10">
        <f t="shared" si="61"/>
        <v>2.3418054670127263E-2</v>
      </c>
      <c r="V393" s="10">
        <f t="shared" si="62"/>
        <v>1.1019423817733151E-3</v>
      </c>
    </row>
    <row r="394" spans="11:22">
      <c r="K394" s="66">
        <v>19.100000000000001</v>
      </c>
      <c r="L394" s="10">
        <f t="shared" si="56"/>
        <v>0.9256124775694059</v>
      </c>
      <c r="M394" s="10">
        <f t="shared" si="57"/>
        <v>0.89570733608352504</v>
      </c>
      <c r="N394" s="10">
        <f t="shared" si="58"/>
        <v>7.3817292717951984E-3</v>
      </c>
      <c r="O394" s="10">
        <f t="shared" si="59"/>
        <v>1.0553864087833357E-2</v>
      </c>
      <c r="P394" s="10">
        <f t="shared" si="60"/>
        <v>0.39380786707669052</v>
      </c>
      <c r="Q394" s="66">
        <f t="shared" si="63"/>
        <v>2</v>
      </c>
      <c r="R394" s="10">
        <f t="shared" si="61"/>
        <v>1.1711848988352376E-2</v>
      </c>
      <c r="V394" s="10">
        <f t="shared" si="62"/>
        <v>5.5384993098099816E-4</v>
      </c>
    </row>
    <row r="395" spans="11:22">
      <c r="K395" s="66">
        <v>19.149999999999999</v>
      </c>
      <c r="L395" s="10">
        <f t="shared" si="56"/>
        <v>0.92527029975462349</v>
      </c>
      <c r="M395" s="10">
        <f t="shared" si="57"/>
        <v>0.89523395504545178</v>
      </c>
      <c r="N395" s="10">
        <f t="shared" si="58"/>
        <v>7.408107909985087E-3</v>
      </c>
      <c r="O395" s="10">
        <f t="shared" si="59"/>
        <v>1.0591734034403234E-2</v>
      </c>
      <c r="P395" s="10">
        <f t="shared" si="60"/>
        <v>0.3928483404148414</v>
      </c>
      <c r="Q395" s="66">
        <f t="shared" si="63"/>
        <v>4</v>
      </c>
      <c r="R395" s="10">
        <f t="shared" si="61"/>
        <v>2.342927089221028E-2</v>
      </c>
      <c r="V395" s="10">
        <f t="shared" si="62"/>
        <v>1.1134783243705337E-3</v>
      </c>
    </row>
    <row r="396" spans="11:22">
      <c r="K396" s="66">
        <v>19.2</v>
      </c>
      <c r="L396" s="10">
        <f t="shared" ref="L396:L459" si="64">(B$7^K396)*B$8^((B$5^25)*((B$5^K396)-1))</f>
        <v>0.92492702631030699</v>
      </c>
      <c r="M396" s="10">
        <f t="shared" ref="M396:M459" si="65">(B$7^K396)*B$8^((B$5^30)*((B$5^K396)-1))</f>
        <v>0.89475912689659765</v>
      </c>
      <c r="N396" s="10">
        <f t="shared" si="58"/>
        <v>7.434582106870825E-3</v>
      </c>
      <c r="O396" s="10">
        <f t="shared" si="59"/>
        <v>1.0629741167839256E-2</v>
      </c>
      <c r="P396" s="10">
        <f t="shared" si="60"/>
        <v>0.39189115167331279</v>
      </c>
      <c r="Q396" s="66">
        <f t="shared" si="63"/>
        <v>2</v>
      </c>
      <c r="R396" s="10">
        <f t="shared" si="61"/>
        <v>1.1717386540804797E-2</v>
      </c>
      <c r="V396" s="10">
        <f t="shared" si="62"/>
        <v>5.596389062516474E-4</v>
      </c>
    </row>
    <row r="397" spans="11:22">
      <c r="K397" s="66">
        <v>19.25</v>
      </c>
      <c r="L397" s="10">
        <f t="shared" si="64"/>
        <v>0.9245826541243195</v>
      </c>
      <c r="M397" s="10">
        <f t="shared" si="65"/>
        <v>0.89428284806015379</v>
      </c>
      <c r="N397" s="10">
        <f t="shared" ref="N397:N460" si="66">B$3+B$4*(B$5^(25+K397))</f>
        <v>7.4611522086213203E-3</v>
      </c>
      <c r="O397" s="10">
        <f t="shared" ref="O397:O460" si="67">$B$3+$B$4*($B$5^(30+K397))</f>
        <v>1.0667885985111635E-2</v>
      </c>
      <c r="P397" s="10">
        <f t="shared" ref="P397:P460" si="68">(1+B$6)^-K397</f>
        <v>0.39093629515567979</v>
      </c>
      <c r="Q397" s="66">
        <f t="shared" si="63"/>
        <v>4</v>
      </c>
      <c r="R397" s="10">
        <f t="shared" ref="R397:R460" si="69">L397*M397*(N397+O397)*P397*Q397</f>
        <v>2.3440204209294904E-2</v>
      </c>
      <c r="V397" s="10">
        <f t="shared" si="62"/>
        <v>1.1250983696737406E-3</v>
      </c>
    </row>
    <row r="398" spans="11:22">
      <c r="K398" s="66">
        <v>19.3</v>
      </c>
      <c r="L398" s="10">
        <f t="shared" si="64"/>
        <v>0.92423718007896094</v>
      </c>
      <c r="M398" s="10">
        <f t="shared" si="65"/>
        <v>0.89380511495704629</v>
      </c>
      <c r="N398" s="10">
        <f t="shared" si="66"/>
        <v>7.4878185626595078E-3</v>
      </c>
      <c r="O398" s="10">
        <f t="shared" si="67"/>
        <v>1.0706168984990933E-2</v>
      </c>
      <c r="P398" s="10">
        <f t="shared" si="68"/>
        <v>0.38998376517939737</v>
      </c>
      <c r="Q398" s="66">
        <f t="shared" si="63"/>
        <v>2</v>
      </c>
      <c r="R398" s="10">
        <f t="shared" si="69"/>
        <v>1.1722781969544811E-2</v>
      </c>
      <c r="V398" s="10">
        <f t="shared" ref="V398:V461" si="70">(1-L398)*M398*O398*P398*Q398</f>
        <v>5.6547001950058441E-4</v>
      </c>
    </row>
    <row r="399" spans="11:22">
      <c r="K399" s="66">
        <v>19.350000000000001</v>
      </c>
      <c r="L399" s="10">
        <f t="shared" si="64"/>
        <v>0.92389060105098508</v>
      </c>
      <c r="M399" s="10">
        <f t="shared" si="65"/>
        <v>0.89332592400599209</v>
      </c>
      <c r="N399" s="10">
        <f t="shared" si="66"/>
        <v>7.5145815176668818E-3</v>
      </c>
      <c r="O399" s="10">
        <f t="shared" si="67"/>
        <v>1.0744590668054544E-2</v>
      </c>
      <c r="P399" s="10">
        <f t="shared" si="68"/>
        <v>0.38903355607576595</v>
      </c>
      <c r="Q399" s="66">
        <f t="shared" ref="Q399:Q462" si="71">IF(Q398=4,2,4)</f>
        <v>4</v>
      </c>
      <c r="R399" s="10">
        <f t="shared" si="69"/>
        <v>2.3450851934252899E-2</v>
      </c>
      <c r="V399" s="10">
        <f t="shared" si="70"/>
        <v>1.1368028634073926E-3</v>
      </c>
    </row>
    <row r="400" spans="11:22">
      <c r="K400" s="66">
        <v>19.399999999999999</v>
      </c>
      <c r="L400" s="10">
        <f t="shared" si="64"/>
        <v>0.92354291391161503</v>
      </c>
      <c r="M400" s="10">
        <f t="shared" si="65"/>
        <v>0.89284527162355343</v>
      </c>
      <c r="N400" s="10">
        <f t="shared" si="66"/>
        <v>7.5414414235880686E-3</v>
      </c>
      <c r="O400" s="10">
        <f t="shared" si="67"/>
        <v>1.0783151536693212E-2</v>
      </c>
      <c r="P400" s="10">
        <f t="shared" si="68"/>
        <v>0.3880856621898981</v>
      </c>
      <c r="Q400" s="66">
        <f t="shared" si="71"/>
        <v>2</v>
      </c>
      <c r="R400" s="10">
        <f t="shared" si="69"/>
        <v>1.172803392874215E-2</v>
      </c>
      <c r="V400" s="10">
        <f t="shared" si="70"/>
        <v>5.7134344280671088E-4</v>
      </c>
    </row>
    <row r="401" spans="11:22">
      <c r="K401" s="66">
        <v>19.45</v>
      </c>
      <c r="L401" s="10">
        <f t="shared" si="64"/>
        <v>0.92319411552656105</v>
      </c>
      <c r="M401" s="10">
        <f t="shared" si="65"/>
        <v>0.89236315422419632</v>
      </c>
      <c r="N401" s="10">
        <f t="shared" si="66"/>
        <v>7.5683986316353938E-3</v>
      </c>
      <c r="O401" s="10">
        <f t="shared" si="67"/>
        <v>1.0821852095117669E-2</v>
      </c>
      <c r="P401" s="10">
        <f t="shared" si="68"/>
        <v>0.3871400778806845</v>
      </c>
      <c r="Q401" s="66">
        <f t="shared" si="71"/>
        <v>4</v>
      </c>
      <c r="R401" s="10">
        <f t="shared" si="69"/>
        <v>2.3461211370928683E-2</v>
      </c>
      <c r="V401" s="10">
        <f t="shared" si="70"/>
        <v>1.1485921481361005E-3</v>
      </c>
    </row>
    <row r="402" spans="11:22">
      <c r="K402" s="66">
        <v>19.5</v>
      </c>
      <c r="L402" s="10">
        <f t="shared" si="64"/>
        <v>0.92284420275603674</v>
      </c>
      <c r="M402" s="10">
        <f t="shared" si="65"/>
        <v>0.8918795682203462</v>
      </c>
      <c r="N402" s="10">
        <f t="shared" si="66"/>
        <v>7.5954534942934745E-3</v>
      </c>
      <c r="O402" s="10">
        <f t="shared" si="67"/>
        <v>1.0860692849365167E-2</v>
      </c>
      <c r="P402" s="10">
        <f t="shared" si="68"/>
        <v>0.3861967975207608</v>
      </c>
      <c r="Q402" s="66">
        <f t="shared" si="71"/>
        <v>2</v>
      </c>
      <c r="R402" s="10">
        <f t="shared" si="69"/>
        <v>1.1733141068090472E-2</v>
      </c>
      <c r="V402" s="10">
        <f t="shared" si="70"/>
        <v>5.7725934664236574E-4</v>
      </c>
    </row>
    <row r="403" spans="11:22">
      <c r="K403" s="66">
        <v>19.55</v>
      </c>
      <c r="L403" s="10">
        <f t="shared" si="64"/>
        <v>0.92249317245477658</v>
      </c>
      <c r="M403" s="10">
        <f t="shared" si="65"/>
        <v>0.89139451002244607</v>
      </c>
      <c r="N403" s="10">
        <f t="shared" si="66"/>
        <v>7.6226063653238411E-3</v>
      </c>
      <c r="O403" s="10">
        <f t="shared" si="67"/>
        <v>1.089967430730612E-2</v>
      </c>
      <c r="P403" s="10">
        <f t="shared" si="68"/>
        <v>0.38525581549647392</v>
      </c>
      <c r="Q403" s="66">
        <f t="shared" si="71"/>
        <v>4</v>
      </c>
      <c r="R403" s="10">
        <f t="shared" si="69"/>
        <v>2.3471279814290948E-2</v>
      </c>
      <c r="V403" s="10">
        <f t="shared" si="70"/>
        <v>1.1604665631576665E-3</v>
      </c>
    </row>
    <row r="404" spans="11:22">
      <c r="K404" s="66">
        <v>19.600000000000001</v>
      </c>
      <c r="L404" s="10">
        <f t="shared" si="64"/>
        <v>0.92214102147205368</v>
      </c>
      <c r="M404" s="10">
        <f t="shared" si="65"/>
        <v>0.89090797603901428</v>
      </c>
      <c r="N404" s="10">
        <f t="shared" si="66"/>
        <v>7.6498575997695443E-3</v>
      </c>
      <c r="O404" s="10">
        <f t="shared" si="67"/>
        <v>1.0938796978650762E-2</v>
      </c>
      <c r="P404" s="10">
        <f t="shared" si="68"/>
        <v>0.38431712620784853</v>
      </c>
      <c r="Q404" s="66">
        <f t="shared" si="71"/>
        <v>2</v>
      </c>
      <c r="R404" s="10">
        <f t="shared" si="69"/>
        <v>1.1738102032884262E-2</v>
      </c>
      <c r="V404" s="10">
        <f t="shared" si="70"/>
        <v>5.8321789981943795E-4</v>
      </c>
    </row>
    <row r="405" spans="11:22">
      <c r="K405" s="66">
        <v>19.649999999999999</v>
      </c>
      <c r="L405" s="10">
        <f t="shared" si="64"/>
        <v>0.92178774665169749</v>
      </c>
      <c r="M405" s="10">
        <f t="shared" si="65"/>
        <v>0.89041996267670342</v>
      </c>
      <c r="N405" s="10">
        <f t="shared" si="66"/>
        <v>7.6772075539598087E-3</v>
      </c>
      <c r="O405" s="10">
        <f t="shared" si="67"/>
        <v>1.0978061374955756E-2</v>
      </c>
      <c r="P405" s="10">
        <f t="shared" si="68"/>
        <v>0.38338072406855395</v>
      </c>
      <c r="Q405" s="66">
        <f t="shared" si="71"/>
        <v>4</v>
      </c>
      <c r="R405" s="10">
        <f t="shared" si="69"/>
        <v>2.3481054550588396E-2</v>
      </c>
      <c r="V405" s="10">
        <f t="shared" si="70"/>
        <v>1.1724264443944844E-3</v>
      </c>
    </row>
    <row r="406" spans="11:22">
      <c r="K406" s="66">
        <v>19.7</v>
      </c>
      <c r="L406" s="10">
        <f t="shared" si="64"/>
        <v>0.92143334483211181</v>
      </c>
      <c r="M406" s="10">
        <f t="shared" si="65"/>
        <v>0.88993046634035933</v>
      </c>
      <c r="N406" s="10">
        <f t="shared" si="66"/>
        <v>7.7046565855146869E-3</v>
      </c>
      <c r="O406" s="10">
        <f t="shared" si="67"/>
        <v>1.1017468009630958E-2</v>
      </c>
      <c r="P406" s="10">
        <f t="shared" si="68"/>
        <v>0.38244660350587062</v>
      </c>
      <c r="Q406" s="66">
        <f t="shared" si="71"/>
        <v>2</v>
      </c>
      <c r="R406" s="10">
        <f t="shared" si="69"/>
        <v>1.1742915464097689E-2</v>
      </c>
      <c r="V406" s="10">
        <f t="shared" si="70"/>
        <v>5.8921926943464797E-4</v>
      </c>
    </row>
    <row r="407" spans="11:22">
      <c r="K407" s="66">
        <v>19.75</v>
      </c>
      <c r="L407" s="10">
        <f t="shared" si="64"/>
        <v>0.92107781284629309</v>
      </c>
      <c r="M407" s="10">
        <f t="shared" si="65"/>
        <v>0.8894394834330811</v>
      </c>
      <c r="N407" s="10">
        <f t="shared" si="66"/>
        <v>7.732205053349742E-3</v>
      </c>
      <c r="O407" s="10">
        <f t="shared" si="67"/>
        <v>1.1057017397946069E-2</v>
      </c>
      <c r="P407" s="10">
        <f t="shared" si="68"/>
        <v>0.38151475896065723</v>
      </c>
      <c r="Q407" s="66">
        <f t="shared" si="71"/>
        <v>4</v>
      </c>
      <c r="R407" s="10">
        <f t="shared" si="69"/>
        <v>2.3490532857509468E-2</v>
      </c>
      <c r="V407" s="10">
        <f t="shared" si="70"/>
        <v>1.1844721242832811E-3</v>
      </c>
    </row>
    <row r="408" spans="11:22">
      <c r="K408" s="66">
        <v>19.8</v>
      </c>
      <c r="L408" s="10">
        <f t="shared" si="64"/>
        <v>0.92072114752184975</v>
      </c>
      <c r="M408" s="10">
        <f t="shared" si="65"/>
        <v>0.8889470103562811</v>
      </c>
      <c r="N408" s="10">
        <f t="shared" si="66"/>
        <v>7.7598533176807382E-3</v>
      </c>
      <c r="O408" s="10">
        <f t="shared" si="67"/>
        <v>1.1096710057037395E-2</v>
      </c>
      <c r="P408" s="10">
        <f t="shared" si="68"/>
        <v>0.38058518488731752</v>
      </c>
      <c r="Q408" s="66">
        <f t="shared" si="71"/>
        <v>2</v>
      </c>
      <c r="R408" s="10">
        <f t="shared" si="69"/>
        <v>1.1747579998465556E-2</v>
      </c>
      <c r="V408" s="10">
        <f t="shared" si="70"/>
        <v>5.9526362081401538E-4</v>
      </c>
    </row>
    <row r="409" spans="11:22">
      <c r="K409" s="66">
        <v>19.850000000000001</v>
      </c>
      <c r="L409" s="10">
        <f t="shared" si="64"/>
        <v>0.92036334568102063</v>
      </c>
      <c r="M409" s="10">
        <f t="shared" si="65"/>
        <v>0.88845304350974574</v>
      </c>
      <c r="N409" s="10">
        <f t="shared" si="66"/>
        <v>7.7876017400283475E-3</v>
      </c>
      <c r="O409" s="10">
        <f t="shared" si="67"/>
        <v>1.1136546505914629E-2</v>
      </c>
      <c r="P409" s="10">
        <f t="shared" si="68"/>
        <v>0.37965787575376719</v>
      </c>
      <c r="Q409" s="66">
        <f t="shared" si="71"/>
        <v>4</v>
      </c>
      <c r="R409" s="10">
        <f t="shared" si="69"/>
        <v>2.3499712004346498E-2</v>
      </c>
      <c r="V409" s="10">
        <f t="shared" si="70"/>
        <v>1.1966039316632052E-3</v>
      </c>
    </row>
    <row r="410" spans="11:22">
      <c r="K410" s="66">
        <v>19.899999999999999</v>
      </c>
      <c r="L410" s="10">
        <f t="shared" si="64"/>
        <v>0.92000440414069451</v>
      </c>
      <c r="M410" s="10">
        <f t="shared" si="65"/>
        <v>0.88795757929169727</v>
      </c>
      <c r="N410" s="10">
        <f t="shared" si="66"/>
        <v>7.8154506832228757E-3</v>
      </c>
      <c r="O410" s="10">
        <f t="shared" si="67"/>
        <v>1.1176527265467587E-2</v>
      </c>
      <c r="P410" s="10">
        <f t="shared" si="68"/>
        <v>0.37873282604140129</v>
      </c>
      <c r="Q410" s="66">
        <f t="shared" si="71"/>
        <v>2</v>
      </c>
      <c r="R410" s="10">
        <f t="shared" si="69"/>
        <v>1.1752094268566431E-2</v>
      </c>
      <c r="V410" s="10">
        <f t="shared" si="70"/>
        <v>6.013511174564677E-4</v>
      </c>
    </row>
    <row r="411" spans="11:22">
      <c r="K411" s="66">
        <v>19.95</v>
      </c>
      <c r="L411" s="10">
        <f t="shared" si="64"/>
        <v>0.91964431971242933</v>
      </c>
      <c r="M411" s="10">
        <f t="shared" si="65"/>
        <v>0.88746061409885479</v>
      </c>
      <c r="N411" s="10">
        <f t="shared" si="66"/>
        <v>7.8434005114090162E-3</v>
      </c>
      <c r="O411" s="10">
        <f t="shared" si="67"/>
        <v>1.1216652858473073E-2</v>
      </c>
      <c r="P411" s="10">
        <f t="shared" si="68"/>
        <v>0.37781003024506077</v>
      </c>
      <c r="Q411" s="66">
        <f t="shared" si="71"/>
        <v>4</v>
      </c>
      <c r="R411" s="10">
        <f t="shared" si="69"/>
        <v>2.3508589252163949E-2</v>
      </c>
      <c r="V411" s="10">
        <f t="shared" si="70"/>
        <v>1.2088221916622161E-3</v>
      </c>
    </row>
    <row r="412" spans="11:22">
      <c r="K412" s="66">
        <v>20</v>
      </c>
      <c r="L412" s="10">
        <f t="shared" si="64"/>
        <v>0.91928308920247259</v>
      </c>
      <c r="M412" s="10">
        <f t="shared" si="65"/>
        <v>0.88696214432649845</v>
      </c>
      <c r="N412" s="10">
        <f t="shared" si="66"/>
        <v>7.8714515900506071E-3</v>
      </c>
      <c r="O412" s="10">
        <f t="shared" si="67"/>
        <v>1.1256923809601693E-2</v>
      </c>
      <c r="P412" s="10">
        <f t="shared" si="68"/>
        <v>0.37688948287300061</v>
      </c>
      <c r="Q412" s="66">
        <f t="shared" si="71"/>
        <v>2</v>
      </c>
      <c r="R412" s="10">
        <f t="shared" si="69"/>
        <v>1.1756456902907792E-2</v>
      </c>
      <c r="V412" s="10">
        <f t="shared" si="70"/>
        <v>6.0748192097662883E-4</v>
      </c>
    </row>
    <row r="413" spans="11:22">
      <c r="K413" s="66">
        <v>20.05</v>
      </c>
      <c r="L413" s="10">
        <f t="shared" si="64"/>
        <v>0.91892070941178083</v>
      </c>
      <c r="M413" s="10">
        <f t="shared" si="65"/>
        <v>0.88646216636853081</v>
      </c>
      <c r="N413" s="10">
        <f t="shared" si="66"/>
        <v>7.8996042859353806E-3</v>
      </c>
      <c r="O413" s="10">
        <f t="shared" si="67"/>
        <v>1.1297340645424677E-2</v>
      </c>
      <c r="P413" s="10">
        <f t="shared" si="68"/>
        <v>0.37597117844685557</v>
      </c>
      <c r="Q413" s="66">
        <f t="shared" si="71"/>
        <v>4</v>
      </c>
      <c r="R413" s="10">
        <f t="shared" si="69"/>
        <v>2.3517161853970996E-2</v>
      </c>
      <c r="V413" s="10">
        <f t="shared" si="70"/>
        <v>1.2211272255818165E-3</v>
      </c>
    </row>
    <row r="414" spans="11:22">
      <c r="K414" s="66">
        <v>20.100000000000001</v>
      </c>
      <c r="L414" s="10">
        <f t="shared" si="64"/>
        <v>0.91855717713604146</v>
      </c>
      <c r="M414" s="10">
        <f t="shared" si="65"/>
        <v>0.88596067661754119</v>
      </c>
      <c r="N414" s="10">
        <f t="shared" si="66"/>
        <v>7.9278589671798357E-3</v>
      </c>
      <c r="O414" s="10">
        <f t="shared" si="67"/>
        <v>1.133790389442086E-2</v>
      </c>
      <c r="P414" s="10">
        <f t="shared" si="68"/>
        <v>0.37505511150160997</v>
      </c>
      <c r="Q414" s="66">
        <f t="shared" si="71"/>
        <v>2</v>
      </c>
      <c r="R414" s="10">
        <f t="shared" si="69"/>
        <v>1.1760666526013413E-2</v>
      </c>
      <c r="V414" s="10">
        <f t="shared" si="70"/>
        <v>6.1365619104674881E-4</v>
      </c>
    </row>
    <row r="415" spans="11:22">
      <c r="K415" s="66">
        <v>20.149999999999999</v>
      </c>
      <c r="L415" s="10">
        <f t="shared" si="64"/>
        <v>0.91819248916569152</v>
      </c>
      <c r="M415" s="10">
        <f t="shared" si="65"/>
        <v>0.88545767146487009</v>
      </c>
      <c r="N415" s="10">
        <f t="shared" si="66"/>
        <v>7.9562160032339672E-3</v>
      </c>
      <c r="O415" s="10">
        <f t="shared" si="67"/>
        <v>1.1378614086983476E-2</v>
      </c>
      <c r="P415" s="10">
        <f t="shared" si="68"/>
        <v>0.37414127658556329</v>
      </c>
      <c r="Q415" s="66">
        <f t="shared" si="71"/>
        <v>4</v>
      </c>
      <c r="R415" s="10">
        <f t="shared" si="69"/>
        <v>2.3525427054898487E-2</v>
      </c>
      <c r="V415" s="10">
        <f t="shared" si="70"/>
        <v>1.2335193507800421E-3</v>
      </c>
    </row>
    <row r="416" spans="11:22">
      <c r="K416" s="66">
        <v>20.2</v>
      </c>
      <c r="L416" s="10">
        <f t="shared" si="64"/>
        <v>0.91782664228594035</v>
      </c>
      <c r="M416" s="10">
        <f t="shared" si="65"/>
        <v>0.8849531473006732</v>
      </c>
      <c r="N416" s="10">
        <f t="shared" si="66"/>
        <v>7.9846757648861372E-3</v>
      </c>
      <c r="O416" s="10">
        <f t="shared" si="67"/>
        <v>1.1419471755427194E-2</v>
      </c>
      <c r="P416" s="10">
        <f t="shared" si="68"/>
        <v>0.37322966826029785</v>
      </c>
      <c r="Q416" s="66">
        <f t="shared" si="71"/>
        <v>2</v>
      </c>
      <c r="R416" s="10">
        <f t="shared" si="69"/>
        <v>1.1764721758513041E-2</v>
      </c>
      <c r="V416" s="10">
        <f t="shared" si="70"/>
        <v>6.1987408533778281E-4</v>
      </c>
    </row>
    <row r="417" spans="11:22">
      <c r="K417" s="66">
        <v>20.25</v>
      </c>
      <c r="L417" s="10">
        <f t="shared" si="64"/>
        <v>0.91745963327679059</v>
      </c>
      <c r="M417" s="10">
        <f t="shared" si="65"/>
        <v>0.88444710051398812</v>
      </c>
      <c r="N417" s="10">
        <f t="shared" si="66"/>
        <v>8.0132386242679193E-3</v>
      </c>
      <c r="O417" s="10">
        <f t="shared" si="67"/>
        <v>1.1460477433995008E-2</v>
      </c>
      <c r="P417" s="10">
        <f t="shared" si="68"/>
        <v>0.37232028110064735</v>
      </c>
      <c r="Q417" s="66">
        <f t="shared" si="71"/>
        <v>4</v>
      </c>
      <c r="R417" s="10">
        <f t="shared" si="69"/>
        <v>2.3533382092380258E-2</v>
      </c>
      <c r="V417" s="10">
        <f t="shared" si="70"/>
        <v>1.2459988805527842E-3</v>
      </c>
    </row>
    <row r="418" spans="11:22">
      <c r="K418" s="66">
        <v>20.3</v>
      </c>
      <c r="L418" s="10">
        <f t="shared" si="64"/>
        <v>0.91709145891305943</v>
      </c>
      <c r="M418" s="10">
        <f t="shared" si="65"/>
        <v>0.8839395274927988</v>
      </c>
      <c r="N418" s="10">
        <f t="shared" si="66"/>
        <v>8.0419049548589687E-3</v>
      </c>
      <c r="O418" s="10">
        <f t="shared" si="67"/>
        <v>1.1501631658865254E-2</v>
      </c>
      <c r="P418" s="10">
        <f t="shared" si="68"/>
        <v>0.37141310969466412</v>
      </c>
      <c r="Q418" s="66">
        <f t="shared" si="71"/>
        <v>2</v>
      </c>
      <c r="R418" s="10">
        <f t="shared" si="69"/>
        <v>1.1768621217234035E-2</v>
      </c>
      <c r="V418" s="10">
        <f t="shared" si="70"/>
        <v>6.2613575945960728E-4</v>
      </c>
    </row>
    <row r="419" spans="11:22">
      <c r="K419" s="66">
        <v>20.350000000000001</v>
      </c>
      <c r="L419" s="10">
        <f t="shared" si="64"/>
        <v>0.91672211596440112</v>
      </c>
      <c r="M419" s="10">
        <f t="shared" si="65"/>
        <v>0.88343042462410293</v>
      </c>
      <c r="N419" s="10">
        <f t="shared" si="66"/>
        <v>8.0706751314918983E-3</v>
      </c>
      <c r="O419" s="10">
        <f t="shared" si="67"/>
        <v>1.1542934968158634E-2</v>
      </c>
      <c r="P419" s="10">
        <f t="shared" si="68"/>
        <v>0.37050814864358661</v>
      </c>
      <c r="Q419" s="66">
        <f t="shared" si="71"/>
        <v>4</v>
      </c>
      <c r="R419" s="10">
        <f t="shared" si="69"/>
        <v>2.3541024196339019E-2</v>
      </c>
      <c r="V419" s="10">
        <f t="shared" si="70"/>
        <v>1.2585661240133409E-3</v>
      </c>
    </row>
    <row r="420" spans="11:22">
      <c r="K420" s="66">
        <v>20.399999999999999</v>
      </c>
      <c r="L420" s="10">
        <f t="shared" si="64"/>
        <v>0.9163516011953291</v>
      </c>
      <c r="M420" s="10">
        <f t="shared" si="65"/>
        <v>0.88291978829397888</v>
      </c>
      <c r="N420" s="10">
        <f t="shared" si="66"/>
        <v>8.0995495303571707E-3</v>
      </c>
      <c r="O420" s="10">
        <f t="shared" si="67"/>
        <v>1.1584387901945202E-2</v>
      </c>
      <c r="P420" s="10">
        <f t="shared" si="68"/>
        <v>0.36960539256180769</v>
      </c>
      <c r="Q420" s="66">
        <f t="shared" si="71"/>
        <v>2</v>
      </c>
      <c r="R420" s="10">
        <f t="shared" si="69"/>
        <v>1.1772363515295505E-2</v>
      </c>
      <c r="V420" s="10">
        <f t="shared" si="70"/>
        <v>6.3244136690037529E-4</v>
      </c>
    </row>
    <row r="421" spans="11:22">
      <c r="K421" s="66">
        <v>20.45</v>
      </c>
      <c r="L421" s="10">
        <f t="shared" si="64"/>
        <v>0.91597991136523849</v>
      </c>
      <c r="M421" s="10">
        <f t="shared" si="65"/>
        <v>0.88240761488765318</v>
      </c>
      <c r="N421" s="10">
        <f t="shared" si="66"/>
        <v>8.1285285290080469E-3</v>
      </c>
      <c r="O421" s="10">
        <f t="shared" si="67"/>
        <v>1.1625991002251495E-2</v>
      </c>
      <c r="P421" s="10">
        <f t="shared" si="68"/>
        <v>0.36870483607684235</v>
      </c>
      <c r="Q421" s="66">
        <f t="shared" si="71"/>
        <v>4</v>
      </c>
      <c r="R421" s="10">
        <f t="shared" si="69"/>
        <v>2.3548350589376595E-2</v>
      </c>
      <c r="V421" s="10">
        <f t="shared" si="70"/>
        <v>1.2712213859702593E-3</v>
      </c>
    </row>
    <row r="422" spans="11:22">
      <c r="K422" s="66">
        <v>20.5</v>
      </c>
      <c r="L422" s="10">
        <f t="shared" si="64"/>
        <v>0.91560704322842912</v>
      </c>
      <c r="M422" s="10">
        <f t="shared" si="65"/>
        <v>0.88189390078956942</v>
      </c>
      <c r="N422" s="10">
        <f t="shared" si="66"/>
        <v>8.1576125063654841E-3</v>
      </c>
      <c r="O422" s="10">
        <f t="shared" si="67"/>
        <v>1.1667744813067555E-2</v>
      </c>
      <c r="P422" s="10">
        <f t="shared" si="68"/>
        <v>0.36780647382929599</v>
      </c>
      <c r="Q422" s="66">
        <f t="shared" si="71"/>
        <v>2</v>
      </c>
      <c r="R422" s="10">
        <f t="shared" si="69"/>
        <v>1.1775947262204552E-2</v>
      </c>
      <c r="V422" s="10">
        <f t="shared" si="70"/>
        <v>6.3879105896499564E-4</v>
      </c>
    </row>
    <row r="423" spans="11:22">
      <c r="K423" s="66">
        <v>20.55</v>
      </c>
      <c r="L423" s="10">
        <f t="shared" si="64"/>
        <v>0.91523299353412901</v>
      </c>
      <c r="M423" s="10">
        <f t="shared" si="65"/>
        <v>0.88137864238345598</v>
      </c>
      <c r="N423" s="10">
        <f t="shared" si="66"/>
        <v>8.1868018427231296E-3</v>
      </c>
      <c r="O423" s="10">
        <f t="shared" si="67"/>
        <v>1.1709649880354077E-2</v>
      </c>
      <c r="P423" s="10">
        <f t="shared" si="68"/>
        <v>0.3669103004728323</v>
      </c>
      <c r="Q423" s="66">
        <f t="shared" si="71"/>
        <v>4</v>
      </c>
      <c r="R423" s="10">
        <f t="shared" si="69"/>
        <v>2.3555358486968898E-2</v>
      </c>
      <c r="V423" s="10">
        <f t="shared" si="70"/>
        <v>1.2839649668034336E-3</v>
      </c>
    </row>
    <row r="424" spans="11:22">
      <c r="K424" s="66">
        <v>20.6</v>
      </c>
      <c r="L424" s="10">
        <f t="shared" si="64"/>
        <v>0.914857759026518</v>
      </c>
      <c r="M424" s="10">
        <f t="shared" si="65"/>
        <v>0.88086183605239687</v>
      </c>
      <c r="N424" s="10">
        <f t="shared" si="66"/>
        <v>8.2160969197522596E-3</v>
      </c>
      <c r="O424" s="10">
        <f t="shared" si="67"/>
        <v>1.1751706752049567E-2</v>
      </c>
      <c r="P424" s="10">
        <f t="shared" si="68"/>
        <v>0.36601631067414142</v>
      </c>
      <c r="Q424" s="66">
        <f t="shared" si="71"/>
        <v>2</v>
      </c>
      <c r="R424" s="10">
        <f t="shared" si="69"/>
        <v>1.1779371063954909E-2</v>
      </c>
      <c r="V424" s="10">
        <f t="shared" si="70"/>
        <v>6.4518498471273728E-4</v>
      </c>
    </row>
    <row r="425" spans="11:22">
      <c r="K425" s="66">
        <v>20.65</v>
      </c>
      <c r="L425" s="10">
        <f t="shared" si="64"/>
        <v>0.91448133644475094</v>
      </c>
      <c r="M425" s="10">
        <f t="shared" si="65"/>
        <v>0.88034347817890091</v>
      </c>
      <c r="N425" s="10">
        <f t="shared" si="66"/>
        <v>8.245498120506789E-3</v>
      </c>
      <c r="O425" s="10">
        <f t="shared" si="67"/>
        <v>1.1793915978077437E-2</v>
      </c>
      <c r="P425" s="10">
        <f t="shared" si="68"/>
        <v>0.36512449911290851</v>
      </c>
      <c r="Q425" s="66">
        <f t="shared" si="71"/>
        <v>4</v>
      </c>
      <c r="R425" s="10">
        <f t="shared" si="69"/>
        <v>2.3562045097665442E-2</v>
      </c>
      <c r="V425" s="10">
        <f t="shared" si="70"/>
        <v>1.2967971623384076E-3</v>
      </c>
    </row>
    <row r="426" spans="11:22">
      <c r="K426" s="66">
        <v>20.7</v>
      </c>
      <c r="L426" s="10">
        <f t="shared" si="64"/>
        <v>0.91410372252298266</v>
      </c>
      <c r="M426" s="10">
        <f t="shared" si="65"/>
        <v>0.87982356514497251</v>
      </c>
      <c r="N426" s="10">
        <f t="shared" si="66"/>
        <v>8.2750058294282884E-3</v>
      </c>
      <c r="O426" s="10">
        <f t="shared" si="67"/>
        <v>1.1836278110353281E-2</v>
      </c>
      <c r="P426" s="10">
        <f t="shared" si="68"/>
        <v>0.36423486048178155</v>
      </c>
      <c r="Q426" s="66">
        <f t="shared" si="71"/>
        <v>2</v>
      </c>
      <c r="R426" s="10">
        <f t="shared" si="69"/>
        <v>1.1782633523127859E-2</v>
      </c>
      <c r="V426" s="10">
        <f t="shared" si="70"/>
        <v>6.5162329089395242E-4</v>
      </c>
    </row>
    <row r="427" spans="11:22">
      <c r="K427" s="66">
        <v>20.75</v>
      </c>
      <c r="L427" s="10">
        <f t="shared" si="64"/>
        <v>0.91372491399039257</v>
      </c>
      <c r="M427" s="10">
        <f t="shared" si="65"/>
        <v>0.87930209333218323</v>
      </c>
      <c r="N427" s="10">
        <f t="shared" si="66"/>
        <v>8.3046204323509714E-3</v>
      </c>
      <c r="O427" s="10">
        <f t="shared" si="67"/>
        <v>1.1878793702792023E-2</v>
      </c>
      <c r="P427" s="10">
        <f t="shared" si="68"/>
        <v>0.36334738948634016</v>
      </c>
      <c r="Q427" s="66">
        <f t="shared" si="71"/>
        <v>4</v>
      </c>
      <c r="R427" s="10">
        <f t="shared" si="69"/>
        <v>2.3568407623293448E-2</v>
      </c>
      <c r="V427" s="10">
        <f t="shared" si="70"/>
        <v>1.3097182637189586E-3</v>
      </c>
    </row>
    <row r="428" spans="11:22">
      <c r="K428" s="66">
        <v>20.8</v>
      </c>
      <c r="L428" s="10">
        <f t="shared" si="64"/>
        <v>0.9133449075712089</v>
      </c>
      <c r="M428" s="10">
        <f t="shared" si="65"/>
        <v>0.8787790591217437</v>
      </c>
      <c r="N428" s="10">
        <f t="shared" si="66"/>
        <v>8.3343423165067928E-3</v>
      </c>
      <c r="O428" s="10">
        <f t="shared" si="67"/>
        <v>1.19214633113152E-2</v>
      </c>
      <c r="P428" s="10">
        <f t="shared" si="68"/>
        <v>0.36246208084506426</v>
      </c>
      <c r="Q428" s="66">
        <f t="shared" si="71"/>
        <v>2</v>
      </c>
      <c r="R428" s="10">
        <f t="shared" si="69"/>
        <v>1.178573323899549E-2</v>
      </c>
      <c r="V428" s="10">
        <f t="shared" si="70"/>
        <v>6.5810612188590782E-4</v>
      </c>
    </row>
    <row r="429" spans="11:22">
      <c r="K429" s="66">
        <v>20.85</v>
      </c>
      <c r="L429" s="10">
        <f t="shared" si="64"/>
        <v>0.9129636999847347</v>
      </c>
      <c r="M429" s="10">
        <f t="shared" si="65"/>
        <v>0.87825445889457587</v>
      </c>
      <c r="N429" s="10">
        <f t="shared" si="66"/>
        <v>8.3641718705304725E-3</v>
      </c>
      <c r="O429" s="10">
        <f t="shared" si="67"/>
        <v>1.1964287493858222E-2</v>
      </c>
      <c r="P429" s="10">
        <f t="shared" si="68"/>
        <v>0.36157892928930208</v>
      </c>
      <c r="Q429" s="66">
        <f t="shared" si="71"/>
        <v>4</v>
      </c>
      <c r="R429" s="10">
        <f t="shared" si="69"/>
        <v>2.3574443259166897E-2</v>
      </c>
      <c r="V429" s="10">
        <f t="shared" si="70"/>
        <v>1.3227285572778545E-3</v>
      </c>
    </row>
    <row r="430" spans="11:22">
      <c r="K430" s="66">
        <v>20.9</v>
      </c>
      <c r="L430" s="10">
        <f t="shared" si="64"/>
        <v>0.91258128794537297</v>
      </c>
      <c r="M430" s="10">
        <f t="shared" si="65"/>
        <v>0.87772828903138622</v>
      </c>
      <c r="N430" s="10">
        <f t="shared" si="66"/>
        <v>8.3941094844645885E-3</v>
      </c>
      <c r="O430" s="10">
        <f t="shared" si="67"/>
        <v>1.2007266810377655E-2</v>
      </c>
      <c r="P430" s="10">
        <f t="shared" si="68"/>
        <v>0.36069792956323937</v>
      </c>
      <c r="Q430" s="66">
        <f t="shared" si="71"/>
        <v>2</v>
      </c>
      <c r="R430" s="10">
        <f t="shared" si="69"/>
        <v>1.1788668807626407E-2</v>
      </c>
      <c r="V430" s="10">
        <f t="shared" si="70"/>
        <v>6.6463361962772844E-4</v>
      </c>
    </row>
    <row r="431" spans="11:22">
      <c r="K431" s="66">
        <v>20.95</v>
      </c>
      <c r="L431" s="10">
        <f t="shared" si="64"/>
        <v>0.91219766816265258</v>
      </c>
      <c r="M431" s="10">
        <f t="shared" si="65"/>
        <v>0.87720054591273966</v>
      </c>
      <c r="N431" s="10">
        <f t="shared" si="66"/>
        <v>8.424155549764693E-3</v>
      </c>
      <c r="O431" s="10">
        <f t="shared" si="67"/>
        <v>1.2050401822858554E-2</v>
      </c>
      <c r="P431" s="10">
        <f t="shared" si="68"/>
        <v>0.35981907642386746</v>
      </c>
      <c r="Q431" s="66">
        <f t="shared" si="71"/>
        <v>4</v>
      </c>
      <c r="R431" s="10">
        <f t="shared" si="69"/>
        <v>2.3580149194300234E-2</v>
      </c>
      <c r="V431" s="10">
        <f t="shared" si="70"/>
        <v>1.3358283244058404E-3</v>
      </c>
    </row>
    <row r="432" spans="11:22">
      <c r="K432" s="66">
        <v>21</v>
      </c>
      <c r="L432" s="10">
        <f t="shared" si="64"/>
        <v>0.91181283734125451</v>
      </c>
      <c r="M432" s="10">
        <f t="shared" si="65"/>
        <v>0.87667122591913371</v>
      </c>
      <c r="N432" s="10">
        <f t="shared" si="66"/>
        <v>8.4543104593043997E-3</v>
      </c>
      <c r="O432" s="10">
        <f t="shared" si="67"/>
        <v>1.2093693095321822E-2</v>
      </c>
      <c r="P432" s="10">
        <f t="shared" si="68"/>
        <v>0.35894236464095297</v>
      </c>
      <c r="Q432" s="66">
        <f t="shared" si="71"/>
        <v>2</v>
      </c>
      <c r="R432" s="10">
        <f t="shared" si="69"/>
        <v>1.179143882199375E-2</v>
      </c>
      <c r="V432" s="10">
        <f t="shared" si="70"/>
        <v>6.7120592355443542E-4</v>
      </c>
    </row>
    <row r="433" spans="11:22">
      <c r="K433" s="66">
        <v>21.05</v>
      </c>
      <c r="L433" s="10">
        <f t="shared" si="64"/>
        <v>0.91142679218103873</v>
      </c>
      <c r="M433" s="10">
        <f t="shared" si="65"/>
        <v>0.87614032543107356</v>
      </c>
      <c r="N433" s="10">
        <f t="shared" si="66"/>
        <v>8.4845746073805347E-3</v>
      </c>
      <c r="O433" s="10">
        <f t="shared" si="67"/>
        <v>1.2137141193831526E-2</v>
      </c>
      <c r="P433" s="10">
        <f t="shared" si="68"/>
        <v>0.3580677889970052</v>
      </c>
      <c r="Q433" s="66">
        <f t="shared" si="71"/>
        <v>4</v>
      </c>
      <c r="R433" s="10">
        <f t="shared" si="69"/>
        <v>2.3585522611626754E-2</v>
      </c>
      <c r="V433" s="10">
        <f t="shared" si="70"/>
        <v>1.3490178414188253E-3</v>
      </c>
    </row>
    <row r="434" spans="11:22">
      <c r="K434" s="66">
        <v>21.1</v>
      </c>
      <c r="L434" s="10">
        <f t="shared" si="64"/>
        <v>0.91103952937707078</v>
      </c>
      <c r="M434" s="10">
        <f t="shared" si="65"/>
        <v>0.875607840829148</v>
      </c>
      <c r="N434" s="10">
        <f t="shared" si="66"/>
        <v>8.5149483897183249E-3</v>
      </c>
      <c r="O434" s="10">
        <f t="shared" si="67"/>
        <v>1.2180746686502418E-2</v>
      </c>
      <c r="P434" s="10">
        <f t="shared" si="68"/>
        <v>0.35719534428724758</v>
      </c>
      <c r="Q434" s="66">
        <f t="shared" si="71"/>
        <v>2</v>
      </c>
      <c r="R434" s="10">
        <f t="shared" si="69"/>
        <v>1.1794041872085641E-2</v>
      </c>
      <c r="V434" s="10">
        <f t="shared" si="70"/>
        <v>6.7782317053008509E-4</v>
      </c>
    </row>
    <row r="435" spans="11:22">
      <c r="K435" s="66">
        <v>21.15</v>
      </c>
      <c r="L435" s="10">
        <f t="shared" si="64"/>
        <v>0.91065104561964938</v>
      </c>
      <c r="M435" s="10">
        <f t="shared" si="65"/>
        <v>0.87507376849410512</v>
      </c>
      <c r="N435" s="10">
        <f t="shared" si="66"/>
        <v>8.5454322034765121E-3</v>
      </c>
      <c r="O435" s="10">
        <f t="shared" si="67"/>
        <v>1.2224510143507238E-2</v>
      </c>
      <c r="P435" s="10">
        <f t="shared" si="68"/>
        <v>0.35632502531958404</v>
      </c>
      <c r="Q435" s="66">
        <f t="shared" si="71"/>
        <v>4</v>
      </c>
      <c r="R435" s="10">
        <f t="shared" si="69"/>
        <v>2.3590560688222347E-2</v>
      </c>
      <c r="V435" s="10">
        <f t="shared" si="70"/>
        <v>1.3622973794232521E-3</v>
      </c>
    </row>
    <row r="436" spans="11:22">
      <c r="K436" s="66">
        <v>21.2</v>
      </c>
      <c r="L436" s="10">
        <f t="shared" si="64"/>
        <v>0.91026133759433325</v>
      </c>
      <c r="M436" s="10">
        <f t="shared" si="65"/>
        <v>0.87453810480692939</v>
      </c>
      <c r="N436" s="10">
        <f t="shared" si="66"/>
        <v>8.5760264472525983E-3</v>
      </c>
      <c r="O436" s="10">
        <f t="shared" si="67"/>
        <v>1.2268432137084234E-2</v>
      </c>
      <c r="P436" s="10">
        <f t="shared" si="68"/>
        <v>0.35545682691456937</v>
      </c>
      <c r="Q436" s="66">
        <f t="shared" si="71"/>
        <v>2</v>
      </c>
      <c r="R436" s="10">
        <f t="shared" si="69"/>
        <v>1.1796476545018317E-2</v>
      </c>
      <c r="V436" s="10">
        <f t="shared" si="70"/>
        <v>6.8448549478000839E-4</v>
      </c>
    </row>
    <row r="437" spans="11:22">
      <c r="K437" s="66">
        <v>21.25</v>
      </c>
      <c r="L437" s="10">
        <f t="shared" si="64"/>
        <v>0.90987040198197078</v>
      </c>
      <c r="M437" s="10">
        <f t="shared" si="65"/>
        <v>0.87400084614891971</v>
      </c>
      <c r="N437" s="10">
        <f t="shared" si="66"/>
        <v>8.6067315210880124E-3</v>
      </c>
      <c r="O437" s="10">
        <f t="shared" si="67"/>
        <v>1.2312513241544634E-2</v>
      </c>
      <c r="P437" s="10">
        <f t="shared" si="68"/>
        <v>0.35459074390537848</v>
      </c>
      <c r="Q437" s="66">
        <f t="shared" si="71"/>
        <v>4</v>
      </c>
      <c r="R437" s="10">
        <f t="shared" si="69"/>
        <v>2.3595260595533581E-2</v>
      </c>
      <c r="V437" s="10">
        <f t="shared" si="70"/>
        <v>1.3756672041796477E-3</v>
      </c>
    </row>
    <row r="438" spans="11:22">
      <c r="K438" s="66">
        <v>21.3</v>
      </c>
      <c r="L438" s="10">
        <f t="shared" si="64"/>
        <v>0.90947823545872619</v>
      </c>
      <c r="M438" s="10">
        <f t="shared" si="65"/>
        <v>0.87346198890176652</v>
      </c>
      <c r="N438" s="10">
        <f t="shared" si="66"/>
        <v>8.6375478264733921E-3</v>
      </c>
      <c r="O438" s="10">
        <f t="shared" si="67"/>
        <v>1.2356754033280147E-2</v>
      </c>
      <c r="P438" s="10">
        <f t="shared" si="68"/>
        <v>0.35372677113777529</v>
      </c>
      <c r="Q438" s="66">
        <f t="shared" si="71"/>
        <v>2</v>
      </c>
      <c r="R438" s="10">
        <f t="shared" si="69"/>
        <v>1.1798741425151358E-2</v>
      </c>
      <c r="V438" s="10">
        <f t="shared" si="70"/>
        <v>6.9119302782211527E-4</v>
      </c>
    </row>
    <row r="439" spans="11:22">
      <c r="K439" s="66">
        <v>21.35</v>
      </c>
      <c r="L439" s="10">
        <f t="shared" si="64"/>
        <v>0.90908483469611023</v>
      </c>
      <c r="M439" s="10">
        <f t="shared" si="65"/>
        <v>0.87292152944763213</v>
      </c>
      <c r="N439" s="10">
        <f t="shared" si="66"/>
        <v>8.6684757663537896E-3</v>
      </c>
      <c r="O439" s="10">
        <f t="shared" si="67"/>
        <v>1.2401155090770527E-2</v>
      </c>
      <c r="P439" s="10">
        <f t="shared" si="68"/>
        <v>0.35286490347008237</v>
      </c>
      <c r="Q439" s="66">
        <f t="shared" si="71"/>
        <v>4</v>
      </c>
      <c r="R439" s="10">
        <f t="shared" si="69"/>
        <v>2.3599619499611278E-2</v>
      </c>
      <c r="V439" s="10">
        <f t="shared" si="70"/>
        <v>1.3891275759643361E-3</v>
      </c>
    </row>
    <row r="440" spans="11:22">
      <c r="K440" s="66">
        <v>21.4</v>
      </c>
      <c r="L440" s="10">
        <f t="shared" si="64"/>
        <v>0.90869019636100778</v>
      </c>
      <c r="M440" s="10">
        <f t="shared" si="65"/>
        <v>0.87237946416922851</v>
      </c>
      <c r="N440" s="10">
        <f t="shared" si="66"/>
        <v>8.6995157451339577E-3</v>
      </c>
      <c r="O440" s="10">
        <f t="shared" si="67"/>
        <v>1.2445716994591093E-2</v>
      </c>
      <c r="P440" s="10">
        <f t="shared" si="68"/>
        <v>0.35200513577315012</v>
      </c>
      <c r="Q440" s="66">
        <f t="shared" si="71"/>
        <v>2</v>
      </c>
      <c r="R440" s="10">
        <f t="shared" si="69"/>
        <v>1.1800835094205811E-2</v>
      </c>
      <c r="V440" s="10">
        <f t="shared" si="70"/>
        <v>6.9794589839730626E-4</v>
      </c>
    </row>
    <row r="441" spans="11:22">
      <c r="K441" s="66">
        <v>21.45</v>
      </c>
      <c r="L441" s="10">
        <f t="shared" si="64"/>
        <v>0.90829431711570785</v>
      </c>
      <c r="M441" s="10">
        <f t="shared" si="65"/>
        <v>0.87183578944989859</v>
      </c>
      <c r="N441" s="10">
        <f t="shared" si="66"/>
        <v>8.7306681686836508E-3</v>
      </c>
      <c r="O441" s="10">
        <f t="shared" si="67"/>
        <v>1.2490440327420355E-2</v>
      </c>
      <c r="P441" s="10">
        <f t="shared" si="68"/>
        <v>0.35114746293032606</v>
      </c>
      <c r="Q441" s="66">
        <f t="shared" si="71"/>
        <v>4</v>
      </c>
      <c r="R441" s="10">
        <f t="shared" si="69"/>
        <v>2.3603634561348969E-2</v>
      </c>
      <c r="V441" s="10">
        <f t="shared" si="70"/>
        <v>1.4026787494293301E-3</v>
      </c>
    </row>
    <row r="442" spans="11:22">
      <c r="K442" s="66">
        <v>21.5</v>
      </c>
      <c r="L442" s="10">
        <f t="shared" si="64"/>
        <v>0.90789719361793353</v>
      </c>
      <c r="M442" s="10">
        <f t="shared" si="65"/>
        <v>0.87129050167369659</v>
      </c>
      <c r="N442" s="10">
        <f t="shared" si="66"/>
        <v>8.7619334443428953E-3</v>
      </c>
      <c r="O442" s="10">
        <f t="shared" si="67"/>
        <v>1.253532567404762E-2</v>
      </c>
      <c r="P442" s="10">
        <f t="shared" si="68"/>
        <v>0.35029187983742477</v>
      </c>
      <c r="Q442" s="66">
        <f t="shared" si="71"/>
        <v>2</v>
      </c>
      <c r="R442" s="10">
        <f t="shared" si="69"/>
        <v>1.1802756131384555E-2</v>
      </c>
      <c r="V442" s="10">
        <f t="shared" si="70"/>
        <v>7.0474423239894903E-4</v>
      </c>
    </row>
    <row r="443" spans="11:22">
      <c r="K443" s="66">
        <v>21.55</v>
      </c>
      <c r="L443" s="10">
        <f t="shared" si="64"/>
        <v>0.90749882252087188</v>
      </c>
      <c r="M443" s="10">
        <f t="shared" si="65"/>
        <v>0.87074359722546935</v>
      </c>
      <c r="N443" s="10">
        <f t="shared" si="66"/>
        <v>8.7933119809273635E-3</v>
      </c>
      <c r="O443" s="10">
        <f t="shared" si="67"/>
        <v>1.2580373621380633E-2</v>
      </c>
      <c r="P443" s="10">
        <f t="shared" si="68"/>
        <v>0.3494383814026974</v>
      </c>
      <c r="Q443" s="66">
        <f t="shared" si="71"/>
        <v>4</v>
      </c>
      <c r="R443" s="10">
        <f t="shared" si="69"/>
        <v>2.3607302936726266E-2</v>
      </c>
      <c r="V443" s="10">
        <f t="shared" si="70"/>
        <v>1.416320973460359E-3</v>
      </c>
    </row>
    <row r="444" spans="11:22">
      <c r="K444" s="66">
        <v>21.6</v>
      </c>
      <c r="L444" s="10">
        <f t="shared" si="64"/>
        <v>0.90709920047320447</v>
      </c>
      <c r="M444" s="10">
        <f t="shared" si="65"/>
        <v>0.87019507249093908</v>
      </c>
      <c r="N444" s="10">
        <f t="shared" si="66"/>
        <v>8.8248041887336783E-3</v>
      </c>
      <c r="O444" s="10">
        <f t="shared" si="67"/>
        <v>1.262558475845328E-2</v>
      </c>
      <c r="P444" s="10">
        <f t="shared" si="68"/>
        <v>0.34858696254680133</v>
      </c>
      <c r="Q444" s="66">
        <f t="shared" si="71"/>
        <v>2</v>
      </c>
      <c r="R444" s="10">
        <f t="shared" si="69"/>
        <v>1.1804503113495459E-2</v>
      </c>
      <c r="V444" s="10">
        <f t="shared" si="70"/>
        <v>7.1158815280142655E-4</v>
      </c>
    </row>
    <row r="445" spans="11:22">
      <c r="K445" s="66">
        <v>21.65</v>
      </c>
      <c r="L445" s="10">
        <f t="shared" si="64"/>
        <v>0.90669832411913831</v>
      </c>
      <c r="M445" s="10">
        <f t="shared" si="65"/>
        <v>0.86964492385678493</v>
      </c>
      <c r="N445" s="10">
        <f t="shared" si="66"/>
        <v>8.8564104795448E-3</v>
      </c>
      <c r="O445" s="10">
        <f t="shared" si="67"/>
        <v>1.2670959676433245E-2</v>
      </c>
      <c r="P445" s="10">
        <f t="shared" si="68"/>
        <v>0.34773761820276999</v>
      </c>
      <c r="Q445" s="66">
        <f t="shared" si="71"/>
        <v>4</v>
      </c>
      <c r="R445" s="10">
        <f t="shared" si="69"/>
        <v>2.3610621777057823E-2</v>
      </c>
      <c r="V445" s="10">
        <f t="shared" si="70"/>
        <v>1.430054491033045E-3</v>
      </c>
    </row>
    <row r="446" spans="11:22">
      <c r="K446" s="66">
        <v>21.7</v>
      </c>
      <c r="L446" s="10">
        <f t="shared" si="64"/>
        <v>0.90629619009843687</v>
      </c>
      <c r="M446" s="10">
        <f t="shared" si="65"/>
        <v>0.86909314771072732</v>
      </c>
      <c r="N446" s="10">
        <f t="shared" si="66"/>
        <v>8.8881312666354104E-3</v>
      </c>
      <c r="O446" s="10">
        <f t="shared" si="67"/>
        <v>1.2716498968629777E-2</v>
      </c>
      <c r="P446" s="10">
        <f t="shared" si="68"/>
        <v>0.3468903433159824</v>
      </c>
      <c r="Q446" s="66">
        <f t="shared" si="71"/>
        <v>2</v>
      </c>
      <c r="R446" s="10">
        <f t="shared" si="69"/>
        <v>1.1806074615077013E-2</v>
      </c>
      <c r="V446" s="10">
        <f t="shared" si="70"/>
        <v>7.1847777958776741E-4</v>
      </c>
    </row>
    <row r="447" spans="11:22">
      <c r="K447" s="66">
        <v>21.75</v>
      </c>
      <c r="L447" s="10">
        <f t="shared" si="64"/>
        <v>0.90589279504645215</v>
      </c>
      <c r="M447" s="10">
        <f t="shared" si="65"/>
        <v>0.86853974044161197</v>
      </c>
      <c r="N447" s="10">
        <f t="shared" si="66"/>
        <v>8.9199669647772942E-3</v>
      </c>
      <c r="O447" s="10">
        <f t="shared" si="67"/>
        <v>1.2762203230501425E-2</v>
      </c>
      <c r="P447" s="10">
        <f t="shared" si="68"/>
        <v>0.34604513284413352</v>
      </c>
      <c r="Q447" s="66">
        <f t="shared" si="71"/>
        <v>4</v>
      </c>
      <c r="R447" s="10">
        <f t="shared" si="69"/>
        <v>2.3613588229247039E-2</v>
      </c>
      <c r="V447" s="10">
        <f t="shared" si="70"/>
        <v>1.4438795390672241E-3</v>
      </c>
    </row>
    <row r="448" spans="11:22">
      <c r="K448" s="66">
        <v>21.8</v>
      </c>
      <c r="L448" s="10">
        <f t="shared" si="64"/>
        <v>0.90548813559415642</v>
      </c>
      <c r="M448" s="10">
        <f t="shared" si="65"/>
        <v>0.86798469843949433</v>
      </c>
      <c r="N448" s="10">
        <f t="shared" si="66"/>
        <v>8.9519179902447996E-3</v>
      </c>
      <c r="O448" s="10">
        <f t="shared" si="67"/>
        <v>1.280807305966384E-2</v>
      </c>
      <c r="P448" s="10">
        <f t="shared" si="68"/>
        <v>0.34520198175720407</v>
      </c>
      <c r="Q448" s="66">
        <f t="shared" si="71"/>
        <v>2</v>
      </c>
      <c r="R448" s="10">
        <f t="shared" si="69"/>
        <v>1.1807469208526549E-2</v>
      </c>
      <c r="V448" s="10">
        <f t="shared" si="70"/>
        <v>7.2541322967633302E-4</v>
      </c>
    </row>
    <row r="449" spans="11:22">
      <c r="K449" s="66">
        <v>21.85</v>
      </c>
      <c r="L449" s="10">
        <f t="shared" si="64"/>
        <v>0.90508220836817466</v>
      </c>
      <c r="M449" s="10">
        <f t="shared" si="65"/>
        <v>0.86742801809572501</v>
      </c>
      <c r="N449" s="10">
        <f t="shared" si="66"/>
        <v>8.9839847608202579E-3</v>
      </c>
      <c r="O449" s="10">
        <f t="shared" si="67"/>
        <v>1.2854109055897589E-2</v>
      </c>
      <c r="P449" s="10">
        <f t="shared" si="68"/>
        <v>0.34436088503743056</v>
      </c>
      <c r="Q449" s="66">
        <f t="shared" si="71"/>
        <v>4</v>
      </c>
      <c r="R449" s="10">
        <f t="shared" si="69"/>
        <v>2.3616199436045406E-2</v>
      </c>
      <c r="V449" s="10">
        <f t="shared" si="70"/>
        <v>1.4577963482793812E-3</v>
      </c>
    </row>
    <row r="450" spans="11:22">
      <c r="K450" s="66">
        <v>21.9</v>
      </c>
      <c r="L450" s="10">
        <f t="shared" si="64"/>
        <v>0.90467500999081729</v>
      </c>
      <c r="M450" s="10">
        <f t="shared" si="65"/>
        <v>0.8668696958030363</v>
      </c>
      <c r="N450" s="10">
        <f t="shared" si="66"/>
        <v>9.0161676957994322E-3</v>
      </c>
      <c r="O450" s="10">
        <f t="shared" si="67"/>
        <v>1.2900311821155978E-2</v>
      </c>
      <c r="P450" s="10">
        <f t="shared" si="68"/>
        <v>0.34352183767927552</v>
      </c>
      <c r="Q450" s="66">
        <f t="shared" si="71"/>
        <v>2</v>
      </c>
      <c r="R450" s="10">
        <f t="shared" si="69"/>
        <v>1.1808685464231267E-2</v>
      </c>
      <c r="V450" s="10">
        <f t="shared" si="70"/>
        <v>7.3239461684657017E-4</v>
      </c>
    </row>
    <row r="451" spans="11:22">
      <c r="K451" s="66">
        <v>21.95</v>
      </c>
      <c r="L451" s="10">
        <f t="shared" si="64"/>
        <v>0.90426653708011318</v>
      </c>
      <c r="M451" s="10">
        <f t="shared" si="65"/>
        <v>0.86630972795562822</v>
      </c>
      <c r="N451" s="10">
        <f t="shared" si="66"/>
        <v>9.0484672159970459E-3</v>
      </c>
      <c r="O451" s="10">
        <f t="shared" si="67"/>
        <v>1.2946681959572947E-2</v>
      </c>
      <c r="P451" s="10">
        <f t="shared" si="68"/>
        <v>0.34268483468939748</v>
      </c>
      <c r="Q451" s="66">
        <f t="shared" si="71"/>
        <v>4</v>
      </c>
      <c r="R451" s="10">
        <f t="shared" si="69"/>
        <v>2.361845253631693E-2</v>
      </c>
      <c r="V451" s="10">
        <f t="shared" si="70"/>
        <v>1.4718051430332266E-3</v>
      </c>
    </row>
    <row r="452" spans="11:22">
      <c r="K452" s="66">
        <v>22</v>
      </c>
      <c r="L452" s="10">
        <f t="shared" si="64"/>
        <v>0.90385678624984367</v>
      </c>
      <c r="M452" s="10">
        <f t="shared" si="65"/>
        <v>0.86574811094925697</v>
      </c>
      <c r="N452" s="10">
        <f t="shared" si="66"/>
        <v>9.0808837437522296E-3</v>
      </c>
      <c r="O452" s="10">
        <f t="shared" si="67"/>
        <v>1.2993220077470958E-2</v>
      </c>
      <c r="P452" s="10">
        <f t="shared" si="68"/>
        <v>0.3418498710866219</v>
      </c>
      <c r="Q452" s="66">
        <f t="shared" si="71"/>
        <v>2</v>
      </c>
      <c r="R452" s="10">
        <f t="shared" si="69"/>
        <v>1.1809721950701735E-2</v>
      </c>
      <c r="V452" s="10">
        <f t="shared" si="70"/>
        <v>7.3942205166382881E-4</v>
      </c>
    </row>
    <row r="453" spans="11:22">
      <c r="K453" s="66">
        <v>22.05</v>
      </c>
      <c r="L453" s="10">
        <f t="shared" si="64"/>
        <v>0.90344575410957639</v>
      </c>
      <c r="M453" s="10">
        <f t="shared" si="65"/>
        <v>0.86518484118132255</v>
      </c>
      <c r="N453" s="10">
        <f t="shared" si="66"/>
        <v>9.1134177029340707E-3</v>
      </c>
      <c r="O453" s="10">
        <f t="shared" si="67"/>
        <v>1.3039926783368891E-2</v>
      </c>
      <c r="P453" s="10">
        <f t="shared" si="68"/>
        <v>0.34101694190190979</v>
      </c>
      <c r="Q453" s="66">
        <f t="shared" si="71"/>
        <v>4</v>
      </c>
      <c r="R453" s="10">
        <f t="shared" si="69"/>
        <v>2.3620344665308001E-2</v>
      </c>
      <c r="V453" s="10">
        <f t="shared" si="70"/>
        <v>1.4859061411883711E-3</v>
      </c>
    </row>
    <row r="454" spans="11:22">
      <c r="K454" s="66">
        <v>22.1</v>
      </c>
      <c r="L454" s="10">
        <f t="shared" si="64"/>
        <v>0.90303343726469898</v>
      </c>
      <c r="M454" s="10">
        <f t="shared" si="65"/>
        <v>0.86461991505095714</v>
      </c>
      <c r="N454" s="10">
        <f t="shared" si="66"/>
        <v>9.1460695189471992E-3</v>
      </c>
      <c r="O454" s="10">
        <f t="shared" si="67"/>
        <v>1.3086802687990099E-2</v>
      </c>
      <c r="P454" s="10">
        <f t="shared" si="68"/>
        <v>0.34018604217833104</v>
      </c>
      <c r="Q454" s="66">
        <f t="shared" si="71"/>
        <v>2</v>
      </c>
      <c r="R454" s="10">
        <f t="shared" si="69"/>
        <v>1.1810577234708179E-2</v>
      </c>
      <c r="V454" s="10">
        <f t="shared" si="70"/>
        <v>7.4649564140321398E-4</v>
      </c>
    </row>
    <row r="455" spans="11:22">
      <c r="K455" s="66">
        <v>22.15</v>
      </c>
      <c r="L455" s="10">
        <f t="shared" si="64"/>
        <v>0.90261983231645437</v>
      </c>
      <c r="M455" s="10">
        <f t="shared" si="65"/>
        <v>0.86405332895911557</v>
      </c>
      <c r="N455" s="10">
        <f t="shared" si="66"/>
        <v>9.1788396187372501E-3</v>
      </c>
      <c r="O455" s="10">
        <f t="shared" si="67"/>
        <v>1.313384840427028E-2</v>
      </c>
      <c r="P455" s="10">
        <f t="shared" si="68"/>
        <v>0.33935716697103235</v>
      </c>
      <c r="Q455" s="66">
        <f t="shared" si="71"/>
        <v>4</v>
      </c>
      <c r="R455" s="10">
        <f t="shared" si="69"/>
        <v>2.362187295492282E-2</v>
      </c>
      <c r="V455" s="10">
        <f t="shared" si="70"/>
        <v>1.5000995539471167E-3</v>
      </c>
    </row>
    <row r="456" spans="11:22">
      <c r="K456" s="66">
        <v>22.2</v>
      </c>
      <c r="L456" s="10">
        <f t="shared" si="64"/>
        <v>0.90220493586197625</v>
      </c>
      <c r="M456" s="10">
        <f t="shared" si="65"/>
        <v>0.86348507930866525</v>
      </c>
      <c r="N456" s="10">
        <f t="shared" si="66"/>
        <v>9.2117284307965432E-3</v>
      </c>
      <c r="O456" s="10">
        <f t="shared" si="67"/>
        <v>1.3181064547365551E-2</v>
      </c>
      <c r="P456" s="10">
        <f t="shared" si="68"/>
        <v>0.3385303113472089</v>
      </c>
      <c r="Q456" s="66">
        <f t="shared" si="71"/>
        <v>2</v>
      </c>
      <c r="R456" s="10">
        <f t="shared" si="69"/>
        <v>1.1811249881419633E-2</v>
      </c>
      <c r="V456" s="10">
        <f t="shared" si="70"/>
        <v>7.5361548997253511E-4</v>
      </c>
    </row>
    <row r="457" spans="11:22">
      <c r="K457" s="66">
        <v>22.25</v>
      </c>
      <c r="L457" s="10">
        <f t="shared" si="64"/>
        <v>0.90178874449432367</v>
      </c>
      <c r="M457" s="10">
        <f t="shared" si="65"/>
        <v>0.86291516250447686</v>
      </c>
      <c r="N457" s="10">
        <f t="shared" si="66"/>
        <v>9.2447363851696131E-3</v>
      </c>
      <c r="O457" s="10">
        <f t="shared" si="67"/>
        <v>1.3228451734660475E-2</v>
      </c>
      <c r="P457" s="10">
        <f t="shared" si="68"/>
        <v>0.33770547038607468</v>
      </c>
      <c r="Q457" s="66">
        <f t="shared" si="71"/>
        <v>4</v>
      </c>
      <c r="R457" s="10">
        <f t="shared" si="69"/>
        <v>2.3623034534004026E-2</v>
      </c>
      <c r="V457" s="10">
        <f t="shared" si="70"/>
        <v>1.5143855856993526E-3</v>
      </c>
    </row>
    <row r="458" spans="11:22">
      <c r="K458" s="66">
        <v>22.3</v>
      </c>
      <c r="L458" s="10">
        <f t="shared" si="64"/>
        <v>0.90137125480251756</v>
      </c>
      <c r="M458" s="10">
        <f t="shared" si="65"/>
        <v>0.86234357495351588</v>
      </c>
      <c r="N458" s="10">
        <f t="shared" si="66"/>
        <v>9.2778639134588926E-3</v>
      </c>
      <c r="O458" s="10">
        <f t="shared" si="67"/>
        <v>1.327601058577616E-2</v>
      </c>
      <c r="P458" s="10">
        <f t="shared" si="68"/>
        <v>0.33688263917883365</v>
      </c>
      <c r="Q458" s="66">
        <f t="shared" si="71"/>
        <v>2</v>
      </c>
      <c r="R458" s="10">
        <f t="shared" si="69"/>
        <v>1.1811738454545535E-2</v>
      </c>
      <c r="V458" s="10">
        <f t="shared" si="70"/>
        <v>7.607816978342526E-4</v>
      </c>
    </row>
    <row r="459" spans="11:22">
      <c r="K459" s="66">
        <v>22.35</v>
      </c>
      <c r="L459" s="10">
        <f t="shared" si="64"/>
        <v>0.90095246337157708</v>
      </c>
      <c r="M459" s="10">
        <f t="shared" si="65"/>
        <v>0.86177031306493568</v>
      </c>
      <c r="N459" s="10">
        <f t="shared" si="66"/>
        <v>9.311111448830324E-3</v>
      </c>
      <c r="O459" s="10">
        <f t="shared" si="67"/>
        <v>1.3323741722578317E-2</v>
      </c>
      <c r="P459" s="10">
        <f t="shared" si="68"/>
        <v>0.33606181282864994</v>
      </c>
      <c r="Q459" s="66">
        <f t="shared" si="71"/>
        <v>4</v>
      </c>
      <c r="R459" s="10">
        <f t="shared" si="69"/>
        <v>2.3623826528619097E-2</v>
      </c>
      <c r="V459" s="10">
        <f t="shared" si="70"/>
        <v>1.5287644338655591E-3</v>
      </c>
    </row>
    <row r="460" spans="11:22">
      <c r="K460" s="66">
        <v>22.4</v>
      </c>
      <c r="L460" s="10">
        <f t="shared" ref="L460:L523" si="72">(B$7^K460)*B$8^((B$5^25)*((B$5^K460)-1))</f>
        <v>0.90053236678255666</v>
      </c>
      <c r="M460" s="10">
        <f t="shared" ref="M460:M523" si="73">(B$7^K460)*B$8^((B$5^30)*((B$5^K460)-1))</f>
        <v>0.86119537325017026</v>
      </c>
      <c r="N460" s="10">
        <f t="shared" si="66"/>
        <v>9.3444794260190041E-3</v>
      </c>
      <c r="O460" s="10">
        <f t="shared" si="67"/>
        <v>1.3371645769185425E-2</v>
      </c>
      <c r="P460" s="10">
        <f t="shared" si="68"/>
        <v>0.33524298645061923</v>
      </c>
      <c r="Q460" s="66">
        <f t="shared" si="71"/>
        <v>2</v>
      </c>
      <c r="R460" s="10">
        <f t="shared" si="69"/>
        <v>1.1812041516480401E-2</v>
      </c>
      <c r="V460" s="10">
        <f t="shared" si="70"/>
        <v>7.6799436192651299E-4</v>
      </c>
    </row>
    <row r="461" spans="11:22">
      <c r="K461" s="66">
        <v>22.45</v>
      </c>
      <c r="L461" s="10">
        <f t="shared" si="72"/>
        <v>0.90011096161258197</v>
      </c>
      <c r="M461" s="10">
        <f t="shared" si="73"/>
        <v>0.86061875192302739</v>
      </c>
      <c r="N461" s="10">
        <f t="shared" ref="N461:N524" si="74">B$3+B$4*(B$5^(25+K461))</f>
        <v>9.3779682813349245E-3</v>
      </c>
      <c r="O461" s="10">
        <f t="shared" ref="O461:O524" si="75">$B$3+$B$4*($B$5^(30+K461))</f>
        <v>1.3419723351976881E-2</v>
      </c>
      <c r="P461" s="10">
        <f t="shared" ref="P461:P524" si="76">(1+B$6)^-K461</f>
        <v>0.33442615517173901</v>
      </c>
      <c r="Q461" s="66">
        <f t="shared" si="71"/>
        <v>4</v>
      </c>
      <c r="R461" s="10">
        <f t="shared" ref="R461:R524" si="77">L461*M461*(N461+O461)*P461*Q461</f>
        <v>2.3624246062352222E-2</v>
      </c>
      <c r="V461" s="10">
        <f t="shared" si="70"/>
        <v>1.5432362887378682E-3</v>
      </c>
    </row>
    <row r="462" spans="11:22">
      <c r="K462" s="66">
        <v>22.5</v>
      </c>
      <c r="L462" s="10">
        <f t="shared" si="72"/>
        <v>0.89968824443488871</v>
      </c>
      <c r="M462" s="10">
        <f t="shared" si="73"/>
        <v>0.86004044549978365</v>
      </c>
      <c r="N462" s="10">
        <f t="shared" si="74"/>
        <v>9.411578452668613E-3</v>
      </c>
      <c r="O462" s="10">
        <f t="shared" si="75"/>
        <v>1.3467975099601187E-2</v>
      </c>
      <c r="P462" s="10">
        <f t="shared" si="76"/>
        <v>0.33361131413088069</v>
      </c>
      <c r="Q462" s="66">
        <f t="shared" si="71"/>
        <v>2</v>
      </c>
      <c r="R462" s="10">
        <f t="shared" si="77"/>
        <v>1.1812157628451081E-2</v>
      </c>
      <c r="V462" s="10">
        <f t="shared" ref="V462:V525" si="78">(1-L462)*M462*O462*P462*Q462</f>
        <v>7.7525357558320897E-4</v>
      </c>
    </row>
    <row r="463" spans="11:22">
      <c r="K463" s="66">
        <v>22.55</v>
      </c>
      <c r="L463" s="10">
        <f t="shared" si="72"/>
        <v>0.8992642118188604</v>
      </c>
      <c r="M463" s="10">
        <f t="shared" si="73"/>
        <v>0.85946045039928032</v>
      </c>
      <c r="N463" s="10">
        <f t="shared" si="74"/>
        <v>9.4453103794969115E-3</v>
      </c>
      <c r="O463" s="10">
        <f t="shared" si="75"/>
        <v>1.3516401642984181E-2</v>
      </c>
      <c r="P463" s="10">
        <f t="shared" si="76"/>
        <v>0.33279845847875938</v>
      </c>
      <c r="Q463" s="66">
        <f t="shared" ref="Q463:Q526" si="79">IF(Q462=4,2,4)</f>
        <v>4</v>
      </c>
      <c r="R463" s="10">
        <f t="shared" si="77"/>
        <v>2.3624290256601767E-2</v>
      </c>
      <c r="V463" s="10">
        <f t="shared" si="78"/>
        <v>1.557801333319274E-3</v>
      </c>
    </row>
    <row r="464" spans="11:22">
      <c r="K464" s="66">
        <v>22.6</v>
      </c>
      <c r="L464" s="10">
        <f t="shared" si="72"/>
        <v>0.89883886033006644</v>
      </c>
      <c r="M464" s="10">
        <f t="shared" si="73"/>
        <v>0.85887876304301791</v>
      </c>
      <c r="N464" s="10">
        <f t="shared" si="74"/>
        <v>9.4791645028887046E-3</v>
      </c>
      <c r="O464" s="10">
        <f t="shared" si="75"/>
        <v>1.3565003615337275E-2</v>
      </c>
      <c r="P464" s="10">
        <f t="shared" si="76"/>
        <v>0.33198758337790607</v>
      </c>
      <c r="Q464" s="66">
        <f t="shared" si="79"/>
        <v>2</v>
      </c>
      <c r="R464" s="10">
        <f t="shared" si="77"/>
        <v>1.1812085350667028E-2</v>
      </c>
      <c r="V464" s="10">
        <f t="shared" si="78"/>
        <v>7.8255942845309044E-4</v>
      </c>
    </row>
    <row r="465" spans="11:22">
      <c r="K465" s="66">
        <v>22.65</v>
      </c>
      <c r="L465" s="10">
        <f t="shared" si="72"/>
        <v>0.89841218653030086</v>
      </c>
      <c r="M465" s="10">
        <f t="shared" si="73"/>
        <v>0.85829537985525384</v>
      </c>
      <c r="N465" s="10">
        <f t="shared" si="74"/>
        <v>9.5131412655106596E-3</v>
      </c>
      <c r="O465" s="10">
        <f t="shared" si="75"/>
        <v>1.3613781652165738E-2</v>
      </c>
      <c r="P465" s="10">
        <f t="shared" si="76"/>
        <v>0.33117868400263806</v>
      </c>
      <c r="Q465" s="66">
        <f t="shared" si="79"/>
        <v>4</v>
      </c>
      <c r="R465" s="10">
        <f t="shared" si="77"/>
        <v>2.3623956230883619E-2</v>
      </c>
      <c r="V465" s="10">
        <f t="shared" si="78"/>
        <v>1.5724597431608629E-3</v>
      </c>
    </row>
    <row r="466" spans="11:22">
      <c r="K466" s="66">
        <v>22.7</v>
      </c>
      <c r="L466" s="10">
        <f t="shared" si="72"/>
        <v>0.89798418697762206</v>
      </c>
      <c r="M466" s="10">
        <f t="shared" si="73"/>
        <v>0.85771029726309933</v>
      </c>
      <c r="N466" s="10">
        <f t="shared" si="74"/>
        <v>9.5472411116330654E-3</v>
      </c>
      <c r="O466" s="10">
        <f t="shared" si="75"/>
        <v>1.3662736391277009E-2</v>
      </c>
      <c r="P466" s="10">
        <f t="shared" si="76"/>
        <v>0.33037175553903086</v>
      </c>
      <c r="Q466" s="66">
        <f t="shared" si="79"/>
        <v>2</v>
      </c>
      <c r="R466" s="10">
        <f t="shared" si="77"/>
        <v>1.1811823242473242E-2</v>
      </c>
      <c r="V466" s="10">
        <f t="shared" si="78"/>
        <v>7.8991200641791691E-4</v>
      </c>
    </row>
    <row r="467" spans="11:22">
      <c r="K467" s="66">
        <v>22.75</v>
      </c>
      <c r="L467" s="10">
        <f t="shared" si="72"/>
        <v>0.89755485822639192</v>
      </c>
      <c r="M467" s="10">
        <f t="shared" si="73"/>
        <v>0.85712351169661793</v>
      </c>
      <c r="N467" s="10">
        <f t="shared" si="74"/>
        <v>9.5814644871355919E-3</v>
      </c>
      <c r="O467" s="10">
        <f t="shared" si="75"/>
        <v>1.3711868472789027E-2</v>
      </c>
      <c r="P467" s="10">
        <f t="shared" si="76"/>
        <v>0.32956679318488902</v>
      </c>
      <c r="Q467" s="66">
        <f t="shared" si="79"/>
        <v>4</v>
      </c>
      <c r="R467" s="10">
        <f t="shared" si="77"/>
        <v>2.3623241103139896E-2</v>
      </c>
      <c r="V467" s="10">
        <f t="shared" si="78"/>
        <v>1.5872116861971794E-3</v>
      </c>
    </row>
    <row r="468" spans="11:22">
      <c r="K468" s="66">
        <v>22.8</v>
      </c>
      <c r="L468" s="10">
        <f t="shared" si="72"/>
        <v>0.8971241968273167</v>
      </c>
      <c r="M468" s="10">
        <f t="shared" si="73"/>
        <v>0.85653501958892397</v>
      </c>
      <c r="N468" s="10">
        <f t="shared" si="74"/>
        <v>9.6158118395131588E-3</v>
      </c>
      <c r="O468" s="10">
        <f t="shared" si="75"/>
        <v>1.3761178539138627E-2</v>
      </c>
      <c r="P468" s="10">
        <f t="shared" si="76"/>
        <v>0.32876379214971813</v>
      </c>
      <c r="Q468" s="66">
        <f t="shared" si="79"/>
        <v>2</v>
      </c>
      <c r="R468" s="10">
        <f t="shared" si="77"/>
        <v>1.1811369862506201E-2</v>
      </c>
      <c r="V468" s="10">
        <f t="shared" si="78"/>
        <v>7.9731139150965031E-4</v>
      </c>
    </row>
    <row r="469" spans="11:22">
      <c r="K469" s="66">
        <v>22.85</v>
      </c>
      <c r="L469" s="10">
        <f t="shared" si="72"/>
        <v>0.89669219932748701</v>
      </c>
      <c r="M469" s="10">
        <f t="shared" si="73"/>
        <v>0.85594481737628247</v>
      </c>
      <c r="N469" s="10">
        <f t="shared" si="74"/>
        <v>9.6502836178817778E-3</v>
      </c>
      <c r="O469" s="10">
        <f t="shared" si="75"/>
        <v>1.381066723508991E-2</v>
      </c>
      <c r="P469" s="10">
        <f t="shared" si="76"/>
        <v>0.32796274765469574</v>
      </c>
      <c r="Q469" s="66">
        <f t="shared" si="79"/>
        <v>4</v>
      </c>
      <c r="R469" s="10">
        <f t="shared" si="77"/>
        <v>2.3622141990053854E-2</v>
      </c>
      <c r="V469" s="10">
        <f t="shared" si="78"/>
        <v>1.6020573225796371E-3</v>
      </c>
    </row>
    <row r="470" spans="11:22">
      <c r="K470" s="66">
        <v>22.9</v>
      </c>
      <c r="L470" s="10">
        <f t="shared" si="72"/>
        <v>0.89625886227041851</v>
      </c>
      <c r="M470" s="10">
        <f t="shared" si="73"/>
        <v>0.85535290149820931</v>
      </c>
      <c r="N470" s="10">
        <f t="shared" si="74"/>
        <v>9.6848802729843902E-3</v>
      </c>
      <c r="O470" s="10">
        <f t="shared" si="75"/>
        <v>1.3860335207742677E-2</v>
      </c>
      <c r="P470" s="10">
        <f t="shared" si="76"/>
        <v>0.32716365493264338</v>
      </c>
      <c r="Q470" s="66">
        <f t="shared" si="79"/>
        <v>2</v>
      </c>
      <c r="R470" s="10">
        <f t="shared" si="77"/>
        <v>1.1810723768852747E-2</v>
      </c>
      <c r="V470" s="10">
        <f t="shared" si="78"/>
        <v>8.047576618266805E-4</v>
      </c>
    </row>
    <row r="471" spans="11:22">
      <c r="K471" s="66">
        <v>22.95</v>
      </c>
      <c r="L471" s="10">
        <f t="shared" si="72"/>
        <v>0.89582418219609428</v>
      </c>
      <c r="M471" s="10">
        <f t="shared" si="73"/>
        <v>0.85475926839757255</v>
      </c>
      <c r="N471" s="10">
        <f t="shared" si="74"/>
        <v>9.7196022571968219E-3</v>
      </c>
      <c r="O471" s="10">
        <f t="shared" si="75"/>
        <v>1.3910183106540918E-2</v>
      </c>
      <c r="P471" s="10">
        <f t="shared" si="76"/>
        <v>0.32636650922799765</v>
      </c>
      <c r="Q471" s="66">
        <f t="shared" si="79"/>
        <v>4</v>
      </c>
      <c r="R471" s="10">
        <f t="shared" si="77"/>
        <v>2.3620656007370341E-2</v>
      </c>
      <c r="V471" s="10">
        <f t="shared" si="78"/>
        <v>1.6169968045080241E-3</v>
      </c>
    </row>
    <row r="472" spans="11:22">
      <c r="K472" s="66">
        <v>23</v>
      </c>
      <c r="L472" s="10">
        <f t="shared" si="72"/>
        <v>0.89538815564100549</v>
      </c>
      <c r="M472" s="10">
        <f t="shared" si="73"/>
        <v>0.8541639145206934</v>
      </c>
      <c r="N472" s="10">
        <f t="shared" si="74"/>
        <v>9.7544500245336473E-3</v>
      </c>
      <c r="O472" s="10">
        <f t="shared" si="75"/>
        <v>1.3960211583281281E-2</v>
      </c>
      <c r="P472" s="10">
        <f t="shared" si="76"/>
        <v>0.32557130579678267</v>
      </c>
      <c r="Q472" s="66">
        <f t="shared" si="79"/>
        <v>2</v>
      </c>
      <c r="R472" s="10">
        <f t="shared" si="77"/>
        <v>1.1809883519211714E-2</v>
      </c>
      <c r="V472" s="10">
        <f t="shared" si="78"/>
        <v>8.1225089144910251E-4</v>
      </c>
    </row>
    <row r="473" spans="11:22">
      <c r="K473" s="66">
        <v>23.05</v>
      </c>
      <c r="L473" s="10">
        <f t="shared" si="72"/>
        <v>0.89495077913819521</v>
      </c>
      <c r="M473" s="10">
        <f t="shared" si="73"/>
        <v>0.85356683631745023</v>
      </c>
      <c r="N473" s="10">
        <f t="shared" si="74"/>
        <v>9.7894240306541265E-3</v>
      </c>
      <c r="O473" s="10">
        <f t="shared" si="75"/>
        <v>1.4010421292121558E-2</v>
      </c>
      <c r="P473" s="10">
        <f t="shared" si="76"/>
        <v>0.32477803990658066</v>
      </c>
      <c r="Q473" s="66">
        <f t="shared" si="79"/>
        <v>4</v>
      </c>
      <c r="R473" s="10">
        <f t="shared" si="77"/>
        <v>2.3618780270222184E-2</v>
      </c>
      <c r="V473" s="10">
        <f t="shared" si="78"/>
        <v>1.6320302760600763E-3</v>
      </c>
    </row>
    <row r="474" spans="11:22">
      <c r="K474" s="66">
        <v>23.1</v>
      </c>
      <c r="L474" s="10">
        <f t="shared" si="72"/>
        <v>0.89451204921729943</v>
      </c>
      <c r="M474" s="10">
        <f t="shared" si="73"/>
        <v>0.85296803024138057</v>
      </c>
      <c r="N474" s="10">
        <f t="shared" si="74"/>
        <v>9.8245247328682395E-3</v>
      </c>
      <c r="O474" s="10">
        <f t="shared" si="75"/>
        <v>1.4060812889589358E-2</v>
      </c>
      <c r="P474" s="10">
        <f t="shared" si="76"/>
        <v>0.32398670683650571</v>
      </c>
      <c r="Q474" s="66">
        <f t="shared" si="79"/>
        <v>2</v>
      </c>
      <c r="R474" s="10">
        <f t="shared" si="77"/>
        <v>1.1808847671058623E-2</v>
      </c>
      <c r="V474" s="10">
        <f t="shared" si="78"/>
        <v>8.1979115035301102E-4</v>
      </c>
    </row>
    <row r="475" spans="11:22">
      <c r="K475" s="66">
        <v>23.15</v>
      </c>
      <c r="L475" s="10">
        <f t="shared" si="72"/>
        <v>0.89407196240459164</v>
      </c>
      <c r="M475" s="10">
        <f t="shared" si="73"/>
        <v>0.85236749274978585</v>
      </c>
      <c r="N475" s="10">
        <f t="shared" si="74"/>
        <v>9.8597525901425436E-3</v>
      </c>
      <c r="O475" s="10">
        <f t="shared" si="75"/>
        <v>1.4111387034590552E-2</v>
      </c>
      <c r="P475" s="10">
        <f t="shared" si="76"/>
        <v>0.32319730187717366</v>
      </c>
      <c r="Q475" s="66">
        <f t="shared" si="79"/>
        <v>4</v>
      </c>
      <c r="R475" s="10">
        <f t="shared" si="77"/>
        <v>2.3616511893462672E-2</v>
      </c>
      <c r="V475" s="10">
        <f t="shared" si="78"/>
        <v>1.6471578730191303E-3</v>
      </c>
    </row>
    <row r="476" spans="11:22">
      <c r="K476" s="66">
        <v>23.2</v>
      </c>
      <c r="L476" s="10">
        <f t="shared" si="72"/>
        <v>0.89363051522302595</v>
      </c>
      <c r="M476" s="10">
        <f t="shared" si="73"/>
        <v>0.85176522030383628</v>
      </c>
      <c r="N476" s="10">
        <f t="shared" si="74"/>
        <v>9.895108063106282E-3</v>
      </c>
      <c r="O476" s="10">
        <f t="shared" si="75"/>
        <v>1.4162144388417968E-2</v>
      </c>
      <c r="P476" s="10">
        <f t="shared" si="76"/>
        <v>0.32240982033067517</v>
      </c>
      <c r="Q476" s="66">
        <f t="shared" si="79"/>
        <v>2</v>
      </c>
      <c r="R476" s="10">
        <f t="shared" si="77"/>
        <v>1.1807614781813486E-2</v>
      </c>
      <c r="V476" s="10">
        <f t="shared" si="78"/>
        <v>8.2737850432386222E-4</v>
      </c>
    </row>
    <row r="477" spans="11:22">
      <c r="K477" s="66">
        <v>23.25</v>
      </c>
      <c r="L477" s="10">
        <f t="shared" si="72"/>
        <v>0.89318770419228111</v>
      </c>
      <c r="M477" s="10">
        <f t="shared" si="73"/>
        <v>0.85116120936867612</v>
      </c>
      <c r="N477" s="10">
        <f t="shared" si="74"/>
        <v>9.9305916140573353E-3</v>
      </c>
      <c r="O477" s="10">
        <f t="shared" si="75"/>
        <v>1.4213085614760012E-2</v>
      </c>
      <c r="P477" s="10">
        <f t="shared" si="76"/>
        <v>0.32162425751054735</v>
      </c>
      <c r="Q477" s="66">
        <f t="shared" si="79"/>
        <v>4</v>
      </c>
      <c r="R477" s="10">
        <f t="shared" si="77"/>
        <v>2.3613847992003726E-2</v>
      </c>
      <c r="V477" s="10">
        <f t="shared" si="78"/>
        <v>1.6623797226998367E-3</v>
      </c>
    </row>
    <row r="478" spans="11:22">
      <c r="K478" s="66">
        <v>23.3</v>
      </c>
      <c r="L478" s="10">
        <f t="shared" si="72"/>
        <v>0.89274352582880501</v>
      </c>
      <c r="M478" s="10">
        <f t="shared" si="73"/>
        <v>0.85055545641353003</v>
      </c>
      <c r="N478" s="10">
        <f t="shared" si="74"/>
        <v>9.9662037069683101E-3</v>
      </c>
      <c r="O478" s="10">
        <f t="shared" si="75"/>
        <v>1.426421137970937E-2</v>
      </c>
      <c r="P478" s="10">
        <f t="shared" si="76"/>
        <v>0.3208406087417463</v>
      </c>
      <c r="Q478" s="66">
        <f t="shared" si="79"/>
        <v>2</v>
      </c>
      <c r="R478" s="10">
        <f t="shared" si="77"/>
        <v>1.1806183409011298E-2</v>
      </c>
      <c r="V478" s="10">
        <f t="shared" si="78"/>
        <v>8.3501301486883263E-4</v>
      </c>
    </row>
    <row r="479" spans="11:22">
      <c r="K479" s="66">
        <v>23.35</v>
      </c>
      <c r="L479" s="10">
        <f t="shared" si="72"/>
        <v>0.89229797664586008</v>
      </c>
      <c r="M479" s="10">
        <f t="shared" si="73"/>
        <v>0.84994795791181088</v>
      </c>
      <c r="N479" s="10">
        <f t="shared" si="74"/>
        <v>1.0001944807492598E-2</v>
      </c>
      <c r="O479" s="10">
        <f t="shared" si="75"/>
        <v>1.4315522351771691E-2</v>
      </c>
      <c r="P479" s="10">
        <f t="shared" si="76"/>
        <v>0.32005886936061895</v>
      </c>
      <c r="Q479" s="66">
        <f t="shared" si="79"/>
        <v>4</v>
      </c>
      <c r="R479" s="10">
        <f t="shared" si="77"/>
        <v>2.3610785681160311E-2</v>
      </c>
      <c r="V479" s="10">
        <f t="shared" si="78"/>
        <v>1.6776959437719791E-3</v>
      </c>
    </row>
    <row r="480" spans="11:22">
      <c r="K480" s="66">
        <v>23.4</v>
      </c>
      <c r="L480" s="10">
        <f t="shared" si="72"/>
        <v>0.89185105315356872</v>
      </c>
      <c r="M480" s="10">
        <f t="shared" si="73"/>
        <v>0.84933871034122677</v>
      </c>
      <c r="N480" s="10">
        <f t="shared" si="74"/>
        <v>1.003781538297043E-2</v>
      </c>
      <c r="O480" s="10">
        <f t="shared" si="75"/>
        <v>1.4367019201874326E-2</v>
      </c>
      <c r="P480" s="10">
        <f t="shared" si="76"/>
        <v>0.31927903471487534</v>
      </c>
      <c r="Q480" s="66">
        <f t="shared" si="79"/>
        <v>2</v>
      </c>
      <c r="R480" s="10">
        <f t="shared" si="77"/>
        <v>1.1804552110475841E-2</v>
      </c>
      <c r="V480" s="10">
        <f t="shared" si="78"/>
        <v>8.4269473912825541E-4</v>
      </c>
    </row>
    <row r="481" spans="11:22">
      <c r="K481" s="66">
        <v>23.45</v>
      </c>
      <c r="L481" s="10">
        <f t="shared" si="72"/>
        <v>0.89140275185895868</v>
      </c>
      <c r="M481" s="10">
        <f t="shared" si="73"/>
        <v>0.84872771018388993</v>
      </c>
      <c r="N481" s="10">
        <f t="shared" si="74"/>
        <v>1.0073815902435043E-2</v>
      </c>
      <c r="O481" s="10">
        <f t="shared" si="75"/>
        <v>1.441870260337515E-2</v>
      </c>
      <c r="P481" s="10">
        <f t="shared" si="76"/>
        <v>0.31850110016356098</v>
      </c>
      <c r="Q481" s="66">
        <f t="shared" si="79"/>
        <v>4</v>
      </c>
      <c r="R481" s="10">
        <f t="shared" si="77"/>
        <v>2.3607322077000892E-2</v>
      </c>
      <c r="V481" s="10">
        <f t="shared" si="78"/>
        <v>1.6931066460823252E-3</v>
      </c>
    </row>
    <row r="482" spans="11:22">
      <c r="K482" s="66">
        <v>23.5</v>
      </c>
      <c r="L482" s="10">
        <f t="shared" si="72"/>
        <v>0.89095306926601026</v>
      </c>
      <c r="M482" s="10">
        <f t="shared" si="73"/>
        <v>0.84811495392642688</v>
      </c>
      <c r="N482" s="10">
        <f t="shared" si="74"/>
        <v>1.0109946836618759E-2</v>
      </c>
      <c r="O482" s="10">
        <f t="shared" si="75"/>
        <v>1.4470573232071276E-2</v>
      </c>
      <c r="P482" s="10">
        <f t="shared" si="76"/>
        <v>0.31772506107702925</v>
      </c>
      <c r="Q482" s="66">
        <f t="shared" si="79"/>
        <v>2</v>
      </c>
      <c r="R482" s="10">
        <f t="shared" si="77"/>
        <v>1.1802719444496347E-2</v>
      </c>
      <c r="V482" s="10">
        <f t="shared" si="78"/>
        <v>8.5042372978606469E-4</v>
      </c>
    </row>
    <row r="483" spans="11:22">
      <c r="K483" s="66">
        <v>23.55</v>
      </c>
      <c r="L483" s="10">
        <f t="shared" si="72"/>
        <v>0.89050200187570272</v>
      </c>
      <c r="M483" s="10">
        <f t="shared" si="73"/>
        <v>0.84750043806008757</v>
      </c>
      <c r="N483" s="10">
        <f t="shared" si="74"/>
        <v>1.0146208657959181E-2</v>
      </c>
      <c r="O483" s="10">
        <f t="shared" si="75"/>
        <v>1.4522631766207996E-2</v>
      </c>
      <c r="P483" s="10">
        <f t="shared" si="76"/>
        <v>0.31695091283691373</v>
      </c>
      <c r="Q483" s="66">
        <f t="shared" si="79"/>
        <v>4</v>
      </c>
      <c r="R483" s="10">
        <f t="shared" si="77"/>
        <v>2.360345429670388E-2</v>
      </c>
      <c r="V483" s="10">
        <f t="shared" si="78"/>
        <v>1.7086119304745874E-3</v>
      </c>
    </row>
    <row r="484" spans="11:22">
      <c r="K484" s="66">
        <v>23.6</v>
      </c>
      <c r="L484" s="10">
        <f t="shared" si="72"/>
        <v>0.89004954618606191</v>
      </c>
      <c r="M484" s="10">
        <f t="shared" si="73"/>
        <v>0.84688415908085757</v>
      </c>
      <c r="N484" s="10">
        <f t="shared" si="74"/>
        <v>1.0182601840605357E-2</v>
      </c>
      <c r="O484" s="10">
        <f t="shared" si="75"/>
        <v>1.4574878886487572E-2</v>
      </c>
      <c r="P484" s="10">
        <f t="shared" si="76"/>
        <v>0.31617865083610092</v>
      </c>
      <c r="Q484" s="66">
        <f t="shared" si="79"/>
        <v>2</v>
      </c>
      <c r="R484" s="10">
        <f t="shared" si="77"/>
        <v>1.1800683970007346E-2</v>
      </c>
      <c r="V484" s="10">
        <f t="shared" si="78"/>
        <v>8.5820003497928947E-4</v>
      </c>
    </row>
    <row r="485" spans="11:22">
      <c r="K485" s="66">
        <v>23.65</v>
      </c>
      <c r="L485" s="10">
        <f t="shared" si="72"/>
        <v>0.88959569869220767</v>
      </c>
      <c r="M485" s="10">
        <f t="shared" si="73"/>
        <v>0.84626611348956859</v>
      </c>
      <c r="N485" s="10">
        <f t="shared" si="74"/>
        <v>1.021912686042396E-2</v>
      </c>
      <c r="O485" s="10">
        <f t="shared" si="75"/>
        <v>1.4627315276078164E-2</v>
      </c>
      <c r="P485" s="10">
        <f t="shared" si="76"/>
        <v>0.3154082704787029</v>
      </c>
      <c r="Q485" s="66">
        <f t="shared" si="79"/>
        <v>4</v>
      </c>
      <c r="R485" s="10">
        <f t="shared" si="77"/>
        <v>2.3599179458920438E-2</v>
      </c>
      <c r="V485" s="10">
        <f t="shared" si="78"/>
        <v>1.7242118886074446E-3</v>
      </c>
    </row>
    <row r="486" spans="11:22">
      <c r="K486" s="66">
        <v>23.7</v>
      </c>
      <c r="L486" s="10">
        <f t="shared" si="72"/>
        <v>0.88914045588640245</v>
      </c>
      <c r="M486" s="10">
        <f t="shared" si="73"/>
        <v>0.84564629779201195</v>
      </c>
      <c r="N486" s="10">
        <f t="shared" si="74"/>
        <v>1.0255784195005547E-2</v>
      </c>
      <c r="O486" s="10">
        <f t="shared" si="75"/>
        <v>1.4679941620622786E-2</v>
      </c>
      <c r="P486" s="10">
        <f t="shared" si="76"/>
        <v>0.31463976718002934</v>
      </c>
      <c r="Q486" s="66">
        <f t="shared" si="79"/>
        <v>2</v>
      </c>
      <c r="R486" s="10">
        <f t="shared" si="77"/>
        <v>1.179844424677156E-2</v>
      </c>
      <c r="V486" s="10">
        <f t="shared" si="78"/>
        <v>8.66023698206596E-4</v>
      </c>
    </row>
    <row r="487" spans="11:22">
      <c r="K487" s="66">
        <v>23.75</v>
      </c>
      <c r="L487" s="10">
        <f t="shared" si="72"/>
        <v>0.88868381425810039</v>
      </c>
      <c r="M487" s="10">
        <f t="shared" si="73"/>
        <v>0.84502470849905176</v>
      </c>
      <c r="N487" s="10">
        <f t="shared" si="74"/>
        <v>1.0292574323670763E-2</v>
      </c>
      <c r="O487" s="10">
        <f t="shared" si="75"/>
        <v>1.4732758608248204E-2</v>
      </c>
      <c r="P487" s="10">
        <f t="shared" si="76"/>
        <v>0.31387313636656095</v>
      </c>
      <c r="Q487" s="66">
        <f t="shared" si="79"/>
        <v>4</v>
      </c>
      <c r="R487" s="10">
        <f t="shared" si="77"/>
        <v>2.3594494684143239E-2</v>
      </c>
      <c r="V487" s="10">
        <f t="shared" si="78"/>
        <v>1.7399066027706648E-3</v>
      </c>
    </row>
    <row r="488" spans="11:22">
      <c r="K488" s="66">
        <v>23.8</v>
      </c>
      <c r="L488" s="10">
        <f t="shared" si="72"/>
        <v>0.88822577029399641</v>
      </c>
      <c r="M488" s="10">
        <f t="shared" si="73"/>
        <v>0.84440134212673934</v>
      </c>
      <c r="N488" s="10">
        <f t="shared" si="74"/>
        <v>1.0329497727476647E-2</v>
      </c>
      <c r="O488" s="10">
        <f t="shared" si="75"/>
        <v>1.4785766929574024E-2</v>
      </c>
      <c r="P488" s="10">
        <f t="shared" si="76"/>
        <v>0.31310837347592202</v>
      </c>
      <c r="Q488" s="66">
        <f t="shared" si="79"/>
        <v>2</v>
      </c>
      <c r="R488" s="10">
        <f t="shared" si="77"/>
        <v>1.1795998835565856E-2</v>
      </c>
      <c r="V488" s="10">
        <f t="shared" si="78"/>
        <v>8.7389475823585307E-4</v>
      </c>
    </row>
    <row r="489" spans="11:22">
      <c r="K489" s="66">
        <v>23.85</v>
      </c>
      <c r="L489" s="10">
        <f t="shared" si="72"/>
        <v>0.88776632047807502</v>
      </c>
      <c r="M489" s="10">
        <f t="shared" si="73"/>
        <v>0.84377619519642744</v>
      </c>
      <c r="N489" s="10">
        <f t="shared" si="74"/>
        <v>1.0366554889222912E-2</v>
      </c>
      <c r="O489" s="10">
        <f t="shared" si="75"/>
        <v>1.4838967277721651E-2</v>
      </c>
      <c r="P489" s="10">
        <f t="shared" si="76"/>
        <v>0.31234547395685308</v>
      </c>
      <c r="Q489" s="66">
        <f t="shared" si="79"/>
        <v>4</v>
      </c>
      <c r="R489" s="10">
        <f t="shared" si="77"/>
        <v>2.3589397095081753E-2</v>
      </c>
      <c r="V489" s="10">
        <f t="shared" si="78"/>
        <v>1.7556961456992781E-3</v>
      </c>
    </row>
    <row r="490" spans="11:22">
      <c r="K490" s="66">
        <v>23.9</v>
      </c>
      <c r="L490" s="10">
        <f t="shared" si="72"/>
        <v>0.88730546129166288</v>
      </c>
      <c r="M490" s="10">
        <f t="shared" si="73"/>
        <v>0.84314926423488679</v>
      </c>
      <c r="N490" s="10">
        <f t="shared" si="74"/>
        <v>1.040374629345822E-2</v>
      </c>
      <c r="O490" s="10">
        <f t="shared" si="75"/>
        <v>1.4892360348323372E-2</v>
      </c>
      <c r="P490" s="10">
        <f t="shared" si="76"/>
        <v>0.31158443326918411</v>
      </c>
      <c r="Q490" s="66">
        <f t="shared" si="79"/>
        <v>2</v>
      </c>
      <c r="R490" s="10">
        <f t="shared" si="77"/>
        <v>1.1793346298370488E-2</v>
      </c>
      <c r="V490" s="10">
        <f t="shared" si="78"/>
        <v>8.8181324901076205E-4</v>
      </c>
    </row>
    <row r="491" spans="11:22">
      <c r="K491" s="66">
        <v>23.95</v>
      </c>
      <c r="L491" s="10">
        <f t="shared" si="72"/>
        <v>0.88684318921347671</v>
      </c>
      <c r="M491" s="10">
        <f t="shared" si="73"/>
        <v>0.84252054577442215</v>
      </c>
      <c r="N491" s="10">
        <f t="shared" si="74"/>
        <v>1.0441072426486585E-2</v>
      </c>
      <c r="O491" s="10">
        <f t="shared" si="75"/>
        <v>1.4945946839531488E-2</v>
      </c>
      <c r="P491" s="10">
        <f t="shared" si="76"/>
        <v>0.31082524688380725</v>
      </c>
      <c r="Q491" s="66">
        <f t="shared" si="79"/>
        <v>4</v>
      </c>
      <c r="R491" s="10">
        <f t="shared" si="77"/>
        <v>2.3583883817043592E-2</v>
      </c>
      <c r="V491" s="10">
        <f t="shared" si="78"/>
        <v>1.7715805803858726E-3</v>
      </c>
    </row>
    <row r="492" spans="11:22">
      <c r="K492" s="66">
        <v>24</v>
      </c>
      <c r="L492" s="10">
        <f t="shared" si="72"/>
        <v>0.88637950071967697</v>
      </c>
      <c r="M492" s="10">
        <f t="shared" si="73"/>
        <v>0.84189003635299009</v>
      </c>
      <c r="N492" s="10">
        <f t="shared" si="74"/>
        <v>1.047853377637367E-2</v>
      </c>
      <c r="O492" s="10">
        <f t="shared" si="75"/>
        <v>1.4999727452027376E-2</v>
      </c>
      <c r="P492" s="10">
        <f t="shared" si="76"/>
        <v>0.31006791028265024</v>
      </c>
      <c r="Q492" s="66">
        <f t="shared" si="79"/>
        <v>2</v>
      </c>
      <c r="R492" s="10">
        <f t="shared" si="77"/>
        <v>1.179048519856132E-2</v>
      </c>
      <c r="V492" s="10">
        <f t="shared" si="78"/>
        <v>8.897791995565122E-4</v>
      </c>
    </row>
    <row r="493" spans="11:22">
      <c r="K493" s="66">
        <v>24.05</v>
      </c>
      <c r="L493" s="10">
        <f t="shared" si="72"/>
        <v>0.88591439228391833</v>
      </c>
      <c r="M493" s="10">
        <f t="shared" si="73"/>
        <v>0.84125773251431712</v>
      </c>
      <c r="N493" s="10">
        <f t="shared" si="74"/>
        <v>1.0516130832953186E-2</v>
      </c>
      <c r="O493" s="10">
        <f t="shared" si="75"/>
        <v>1.5053702889030674E-2</v>
      </c>
      <c r="P493" s="10">
        <f t="shared" si="76"/>
        <v>0.30931241895864831</v>
      </c>
      <c r="Q493" s="66">
        <f t="shared" si="79"/>
        <v>4</v>
      </c>
      <c r="R493" s="10">
        <f t="shared" si="77"/>
        <v>2.3577951978322277E-2</v>
      </c>
      <c r="V493" s="10">
        <f t="shared" si="78"/>
        <v>1.7875599598909688E-3</v>
      </c>
    </row>
    <row r="494" spans="11:22">
      <c r="K494" s="66">
        <v>24.1</v>
      </c>
      <c r="L494" s="10">
        <f t="shared" si="72"/>
        <v>0.88544786037740175</v>
      </c>
      <c r="M494" s="10">
        <f t="shared" si="73"/>
        <v>0.84062363080801827</v>
      </c>
      <c r="N494" s="10">
        <f t="shared" si="74"/>
        <v>1.0553864087833357E-2</v>
      </c>
      <c r="O494" s="10">
        <f t="shared" si="75"/>
        <v>1.510787385630856E-2</v>
      </c>
      <c r="P494" s="10">
        <f t="shared" si="76"/>
        <v>0.30855876841571978</v>
      </c>
      <c r="Q494" s="66">
        <f t="shared" si="79"/>
        <v>2</v>
      </c>
      <c r="R494" s="10">
        <f t="shared" si="77"/>
        <v>1.1787414101105263E-2</v>
      </c>
      <c r="V494" s="10">
        <f t="shared" si="78"/>
        <v>8.9779263388448994E-4</v>
      </c>
    </row>
    <row r="495" spans="11:22">
      <c r="K495" s="66">
        <v>24.15</v>
      </c>
      <c r="L495" s="10">
        <f t="shared" si="72"/>
        <v>0.88497990146892846</v>
      </c>
      <c r="M495" s="10">
        <f t="shared" si="73"/>
        <v>0.83998772778971731</v>
      </c>
      <c r="N495" s="10">
        <f t="shared" si="74"/>
        <v>1.0591734034403234E-2</v>
      </c>
      <c r="O495" s="10">
        <f t="shared" si="75"/>
        <v>1.5162241062184837E-2</v>
      </c>
      <c r="P495" s="10">
        <f t="shared" si="76"/>
        <v>0.30780695416873682</v>
      </c>
      <c r="Q495" s="66">
        <f t="shared" si="79"/>
        <v>4</v>
      </c>
      <c r="R495" s="10">
        <f t="shared" si="77"/>
        <v>2.3571598710591488E-2</v>
      </c>
      <c r="V495" s="10">
        <f t="shared" si="78"/>
        <v>1.8036343271515065E-3</v>
      </c>
    </row>
    <row r="496" spans="11:22">
      <c r="K496" s="66">
        <v>24.2</v>
      </c>
      <c r="L496" s="10">
        <f t="shared" si="72"/>
        <v>0.88451051202495201</v>
      </c>
      <c r="M496" s="10">
        <f t="shared" si="73"/>
        <v>0.83935002002116721</v>
      </c>
      <c r="N496" s="10">
        <f t="shared" si="74"/>
        <v>1.0629741167839256E-2</v>
      </c>
      <c r="O496" s="10">
        <f t="shared" si="75"/>
        <v>1.5216805217549315E-2</v>
      </c>
      <c r="P496" s="10">
        <f t="shared" si="76"/>
        <v>0.30705697174350011</v>
      </c>
      <c r="Q496" s="66">
        <f t="shared" si="79"/>
        <v>2</v>
      </c>
      <c r="R496" s="10">
        <f t="shared" si="77"/>
        <v>1.1784131572759126E-2</v>
      </c>
      <c r="V496" s="10">
        <f t="shared" si="78"/>
        <v>9.0585357089606336E-4</v>
      </c>
    </row>
    <row r="497" spans="11:22">
      <c r="K497" s="66">
        <v>24.25</v>
      </c>
      <c r="L497" s="10">
        <f t="shared" si="72"/>
        <v>0.88403968850963255</v>
      </c>
      <c r="M497" s="10">
        <f t="shared" si="73"/>
        <v>0.83871050407037162</v>
      </c>
      <c r="N497" s="10">
        <f t="shared" si="74"/>
        <v>1.0667885985111635E-2</v>
      </c>
      <c r="O497" s="10">
        <f t="shared" si="75"/>
        <v>1.5271567035867012E-2</v>
      </c>
      <c r="P497" s="10">
        <f t="shared" si="76"/>
        <v>0.30630881667671173</v>
      </c>
      <c r="Q497" s="66">
        <f t="shared" si="79"/>
        <v>4</v>
      </c>
      <c r="R497" s="10">
        <f t="shared" si="77"/>
        <v>2.3564821149305516E-2</v>
      </c>
      <c r="V497" s="10">
        <f t="shared" si="78"/>
        <v>1.8198037147874064E-3</v>
      </c>
    </row>
    <row r="498" spans="11:22">
      <c r="K498" s="66">
        <v>24.3</v>
      </c>
      <c r="L498" s="10">
        <f t="shared" si="72"/>
        <v>0.88356742738489125</v>
      </c>
      <c r="M498" s="10">
        <f t="shared" si="73"/>
        <v>0.83806917651170754</v>
      </c>
      <c r="N498" s="10">
        <f t="shared" si="74"/>
        <v>1.0706168984990933E-2</v>
      </c>
      <c r="O498" s="10">
        <f t="shared" si="75"/>
        <v>1.5326527233187573E-2</v>
      </c>
      <c r="P498" s="10">
        <f t="shared" si="76"/>
        <v>0.30556248451594886</v>
      </c>
      <c r="Q498" s="66">
        <f t="shared" si="79"/>
        <v>2</v>
      </c>
      <c r="R498" s="10">
        <f t="shared" si="77"/>
        <v>1.1780636182271303E-2</v>
      </c>
      <c r="V498" s="10">
        <f t="shared" si="78"/>
        <v>9.139620242853818E-4</v>
      </c>
    </row>
    <row r="499" spans="11:22">
      <c r="K499" s="66">
        <v>24.35</v>
      </c>
      <c r="L499" s="10">
        <f t="shared" si="72"/>
        <v>0.88309372511046458</v>
      </c>
      <c r="M499" s="10">
        <f t="shared" si="73"/>
        <v>0.83742603392604753</v>
      </c>
      <c r="N499" s="10">
        <f t="shared" si="74"/>
        <v>1.0744590668054544E-2</v>
      </c>
      <c r="O499" s="10">
        <f t="shared" si="75"/>
        <v>1.5381686528154569E-2</v>
      </c>
      <c r="P499" s="10">
        <f t="shared" si="76"/>
        <v>0.30481797081963707</v>
      </c>
      <c r="Q499" s="66">
        <f t="shared" si="79"/>
        <v>4</v>
      </c>
      <c r="R499" s="10">
        <f t="shared" si="77"/>
        <v>2.3557616434106341E-2</v>
      </c>
      <c r="V499" s="10">
        <f t="shared" si="78"/>
        <v>1.83606814490629E-3</v>
      </c>
    </row>
    <row r="500" spans="11:22">
      <c r="K500" s="66">
        <v>24.4</v>
      </c>
      <c r="L500" s="10">
        <f t="shared" si="72"/>
        <v>0.88261857814396061</v>
      </c>
      <c r="M500" s="10">
        <f t="shared" si="73"/>
        <v>0.83678107290088433</v>
      </c>
      <c r="N500" s="10">
        <f t="shared" si="74"/>
        <v>1.0783151536693212E-2</v>
      </c>
      <c r="O500" s="10">
        <f t="shared" si="75"/>
        <v>1.5437045642014901E-2</v>
      </c>
      <c r="P500" s="10">
        <f t="shared" si="76"/>
        <v>0.30407527115702421</v>
      </c>
      <c r="Q500" s="66">
        <f t="shared" si="79"/>
        <v>2</v>
      </c>
      <c r="R500" s="10">
        <f t="shared" si="77"/>
        <v>1.1776926500587055E-2</v>
      </c>
      <c r="V500" s="10">
        <f t="shared" si="78"/>
        <v>9.221180024412669E-4</v>
      </c>
    </row>
    <row r="501" spans="11:22">
      <c r="K501" s="66">
        <v>24.45</v>
      </c>
      <c r="L501" s="10">
        <f t="shared" si="72"/>
        <v>0.8821419829409135</v>
      </c>
      <c r="M501" s="10">
        <f t="shared" si="73"/>
        <v>0.83613429003045536</v>
      </c>
      <c r="N501" s="10">
        <f t="shared" si="74"/>
        <v>1.0821852095117669E-2</v>
      </c>
      <c r="O501" s="10">
        <f t="shared" si="75"/>
        <v>1.5492605298628287E-2</v>
      </c>
      <c r="P501" s="10">
        <f t="shared" si="76"/>
        <v>0.30333438110815331</v>
      </c>
      <c r="Q501" s="66">
        <f t="shared" si="79"/>
        <v>4</v>
      </c>
      <c r="R501" s="10">
        <f t="shared" si="77"/>
        <v>2.3549981709237104E-2</v>
      </c>
      <c r="V501" s="10">
        <f t="shared" si="78"/>
        <v>1.852427628906288E-3</v>
      </c>
    </row>
    <row r="502" spans="11:22">
      <c r="K502" s="66">
        <v>24.5</v>
      </c>
      <c r="L502" s="10">
        <f t="shared" si="72"/>
        <v>0.88166393595484138</v>
      </c>
      <c r="M502" s="10">
        <f t="shared" si="73"/>
        <v>0.83548568191586881</v>
      </c>
      <c r="N502" s="10">
        <f t="shared" si="74"/>
        <v>1.0860692849365167E-2</v>
      </c>
      <c r="O502" s="10">
        <f t="shared" si="75"/>
        <v>1.5548366224476622E-2</v>
      </c>
      <c r="P502" s="10">
        <f t="shared" si="76"/>
        <v>0.3025952962638373</v>
      </c>
      <c r="Q502" s="66">
        <f t="shared" si="79"/>
        <v>2</v>
      </c>
      <c r="R502" s="10">
        <f t="shared" si="77"/>
        <v>1.177300110105679E-2</v>
      </c>
      <c r="V502" s="10">
        <f t="shared" si="78"/>
        <v>9.3032150834814896E-4</v>
      </c>
    </row>
    <row r="503" spans="11:22">
      <c r="K503" s="66">
        <v>24.55</v>
      </c>
      <c r="L503" s="10">
        <f t="shared" si="72"/>
        <v>0.8811844336373017</v>
      </c>
      <c r="M503" s="10">
        <f t="shared" si="73"/>
        <v>0.83483524516522889</v>
      </c>
      <c r="N503" s="10">
        <f t="shared" si="74"/>
        <v>1.089967430730612E-2</v>
      </c>
      <c r="O503" s="10">
        <f t="shared" si="75"/>
        <v>1.5604329148673594E-2</v>
      </c>
      <c r="P503" s="10">
        <f t="shared" si="76"/>
        <v>0.30185801222563208</v>
      </c>
      <c r="Q503" s="66">
        <f t="shared" si="79"/>
        <v>4</v>
      </c>
      <c r="R503" s="10">
        <f t="shared" si="77"/>
        <v>2.3541914123962199E-2</v>
      </c>
      <c r="V503" s="10">
        <f t="shared" si="78"/>
        <v>1.8688821672769992E-3</v>
      </c>
    </row>
    <row r="504" spans="11:22">
      <c r="K504" s="66">
        <v>24.6</v>
      </c>
      <c r="L504" s="10">
        <f t="shared" si="72"/>
        <v>0.88070347243795033</v>
      </c>
      <c r="M504" s="10">
        <f t="shared" si="73"/>
        <v>0.8341829763937646</v>
      </c>
      <c r="N504" s="10">
        <f t="shared" si="74"/>
        <v>1.0938796978650762E-2</v>
      </c>
      <c r="O504" s="10">
        <f t="shared" si="75"/>
        <v>1.5660494802974139E-2</v>
      </c>
      <c r="P504" s="10">
        <f t="shared" si="76"/>
        <v>0.30112252460581046</v>
      </c>
      <c r="Q504" s="66">
        <f t="shared" si="79"/>
        <v>2</v>
      </c>
      <c r="R504" s="10">
        <f t="shared" si="77"/>
        <v>1.17688585596478E-2</v>
      </c>
      <c r="V504" s="10">
        <f t="shared" si="78"/>
        <v>9.3857253948608291E-4</v>
      </c>
    </row>
    <row r="505" spans="11:22">
      <c r="K505" s="66">
        <v>24.65</v>
      </c>
      <c r="L505" s="10">
        <f t="shared" si="72"/>
        <v>0.88022104880459795</v>
      </c>
      <c r="M505" s="10">
        <f t="shared" si="73"/>
        <v>0.83352887222395644</v>
      </c>
      <c r="N505" s="10">
        <f t="shared" si="74"/>
        <v>1.0978061374955756E-2</v>
      </c>
      <c r="O505" s="10">
        <f t="shared" si="75"/>
        <v>1.5716863921784025E-2</v>
      </c>
      <c r="P505" s="10">
        <f t="shared" si="76"/>
        <v>0.3003888290273361</v>
      </c>
      <c r="Q505" s="66">
        <f t="shared" si="79"/>
        <v>4</v>
      </c>
      <c r="R505" s="10">
        <f t="shared" si="77"/>
        <v>2.3533410832993873E-2</v>
      </c>
      <c r="V505" s="10">
        <f t="shared" si="78"/>
        <v>1.8854317493985828E-3</v>
      </c>
    </row>
    <row r="506" spans="11:22">
      <c r="K506" s="66">
        <v>24.7</v>
      </c>
      <c r="L506" s="10">
        <f t="shared" si="72"/>
        <v>0.87973715918326978</v>
      </c>
      <c r="M506" s="10">
        <f t="shared" si="73"/>
        <v>0.83287292928566614</v>
      </c>
      <c r="N506" s="10">
        <f t="shared" si="74"/>
        <v>1.1017468009630958E-2</v>
      </c>
      <c r="O506" s="10">
        <f t="shared" si="75"/>
        <v>1.5773437242169494E-2</v>
      </c>
      <c r="P506" s="10">
        <f t="shared" si="76"/>
        <v>0.29965692112383752</v>
      </c>
      <c r="Q506" s="66">
        <f t="shared" si="79"/>
        <v>2</v>
      </c>
      <c r="R506" s="10">
        <f t="shared" si="77"/>
        <v>1.1764497455159187E-2</v>
      </c>
      <c r="V506" s="10">
        <f t="shared" si="78"/>
        <v>9.4687108772982715E-4</v>
      </c>
    </row>
    <row r="507" spans="11:22">
      <c r="K507" s="66">
        <v>24.75</v>
      </c>
      <c r="L507" s="10">
        <f t="shared" si="72"/>
        <v>0.87925180001826364</v>
      </c>
      <c r="M507" s="10">
        <f t="shared" si="73"/>
        <v>0.83221514421626652</v>
      </c>
      <c r="N507" s="10">
        <f t="shared" si="74"/>
        <v>1.1057017397946069E-2</v>
      </c>
      <c r="O507" s="10">
        <f t="shared" si="75"/>
        <v>1.5830215503866818E-2</v>
      </c>
      <c r="P507" s="10">
        <f t="shared" si="76"/>
        <v>0.29892679653958182</v>
      </c>
      <c r="Q507" s="66">
        <f t="shared" si="79"/>
        <v>4</v>
      </c>
      <c r="R507" s="10">
        <f t="shared" si="77"/>
        <v>2.3524468996925382E-2</v>
      </c>
      <c r="V507" s="10">
        <f t="shared" si="78"/>
        <v>1.9020763533390008E-3</v>
      </c>
    </row>
    <row r="508" spans="11:22">
      <c r="K508" s="66">
        <v>24.8</v>
      </c>
      <c r="L508" s="10">
        <f t="shared" si="72"/>
        <v>0.87876496775221025</v>
      </c>
      <c r="M508" s="10">
        <f t="shared" si="73"/>
        <v>0.83155551366077163</v>
      </c>
      <c r="N508" s="10">
        <f t="shared" si="74"/>
        <v>1.1096710057037395E-2</v>
      </c>
      <c r="O508" s="10">
        <f t="shared" si="75"/>
        <v>1.588719944929207E-2</v>
      </c>
      <c r="P508" s="10">
        <f t="shared" si="76"/>
        <v>0.29819845092944952</v>
      </c>
      <c r="Q508" s="66">
        <f t="shared" si="79"/>
        <v>2</v>
      </c>
      <c r="R508" s="10">
        <f t="shared" si="77"/>
        <v>1.1759916369440085E-2</v>
      </c>
      <c r="V508" s="10">
        <f t="shared" si="78"/>
        <v>9.5521713924701308E-4</v>
      </c>
    </row>
    <row r="509" spans="11:22">
      <c r="K509" s="66">
        <v>24.85</v>
      </c>
      <c r="L509" s="10">
        <f t="shared" si="72"/>
        <v>0.87827665882613348</v>
      </c>
      <c r="M509" s="10">
        <f t="shared" si="73"/>
        <v>0.83089403427196884</v>
      </c>
      <c r="N509" s="10">
        <f t="shared" si="74"/>
        <v>1.1136546505914629E-2</v>
      </c>
      <c r="O509" s="10">
        <f t="shared" si="75"/>
        <v>1.5944389823550776E-2</v>
      </c>
      <c r="P509" s="10">
        <f t="shared" si="76"/>
        <v>0.29747187995890767</v>
      </c>
      <c r="Q509" s="66">
        <f t="shared" si="79"/>
        <v>4</v>
      </c>
      <c r="R509" s="10">
        <f t="shared" si="77"/>
        <v>2.3515085782670916E-2</v>
      </c>
      <c r="V509" s="10">
        <f t="shared" si="78"/>
        <v>1.9188159456494404E-3</v>
      </c>
    </row>
    <row r="510" spans="11:22">
      <c r="K510" s="66">
        <v>24.9</v>
      </c>
      <c r="L510" s="10">
        <f t="shared" si="72"/>
        <v>0.87778686967951014</v>
      </c>
      <c r="M510" s="10">
        <f t="shared" si="73"/>
        <v>0.83023070271055055</v>
      </c>
      <c r="N510" s="10">
        <f t="shared" si="74"/>
        <v>1.1176527265467587E-2</v>
      </c>
      <c r="O510" s="10">
        <f t="shared" si="75"/>
        <v>1.6001787374447626E-2</v>
      </c>
      <c r="P510" s="10">
        <f t="shared" si="76"/>
        <v>0.29674707930398486</v>
      </c>
      <c r="Q510" s="66">
        <f t="shared" si="79"/>
        <v>2</v>
      </c>
      <c r="R510" s="10">
        <f t="shared" si="77"/>
        <v>1.1755113887611369E-2</v>
      </c>
      <c r="V510" s="10">
        <f t="shared" si="78"/>
        <v>9.6361067439539039E-4</v>
      </c>
    </row>
    <row r="511" spans="11:22">
      <c r="K511" s="66">
        <v>24.95</v>
      </c>
      <c r="L511" s="10">
        <f t="shared" si="72"/>
        <v>0.87729559675033164</v>
      </c>
      <c r="M511" s="10">
        <f t="shared" si="73"/>
        <v>0.82956551564524772</v>
      </c>
      <c r="N511" s="10">
        <f t="shared" si="74"/>
        <v>1.1216652858473073E-2</v>
      </c>
      <c r="O511" s="10">
        <f t="shared" si="75"/>
        <v>1.605939285249635E-2</v>
      </c>
      <c r="P511" s="10">
        <f t="shared" si="76"/>
        <v>0.29602404465124499</v>
      </c>
      <c r="Q511" s="66">
        <f t="shared" si="79"/>
        <v>4</v>
      </c>
      <c r="R511" s="10">
        <f t="shared" si="77"/>
        <v>2.3505258363912058E-2</v>
      </c>
      <c r="V511" s="10">
        <f t="shared" si="78"/>
        <v>1.9356504811578912E-3</v>
      </c>
    </row>
    <row r="512" spans="11:22">
      <c r="K512" s="66">
        <v>25</v>
      </c>
      <c r="L512" s="10">
        <f t="shared" si="72"/>
        <v>0.87680283647516677</v>
      </c>
      <c r="M512" s="10">
        <f t="shared" si="73"/>
        <v>0.82889846975296422</v>
      </c>
      <c r="N512" s="10">
        <f t="shared" si="74"/>
        <v>1.1256923809601693E-2</v>
      </c>
      <c r="O512" s="10">
        <f t="shared" si="75"/>
        <v>1.6117207010929429E-2</v>
      </c>
      <c r="P512" s="10">
        <f t="shared" si="76"/>
        <v>0.29530277169776209</v>
      </c>
      <c r="Q512" s="66">
        <f t="shared" si="79"/>
        <v>2</v>
      </c>
      <c r="R512" s="10">
        <f t="shared" si="77"/>
        <v>1.1750088598290442E-2</v>
      </c>
      <c r="V512" s="10">
        <f t="shared" si="78"/>
        <v>9.7205166761917656E-4</v>
      </c>
    </row>
    <row r="513" spans="11:22">
      <c r="K513" s="66">
        <v>25.05</v>
      </c>
      <c r="L513" s="10">
        <f t="shared" si="72"/>
        <v>0.8763085852892224</v>
      </c>
      <c r="M513" s="10">
        <f t="shared" si="73"/>
        <v>0.82822956171891116</v>
      </c>
      <c r="N513" s="10">
        <f t="shared" si="74"/>
        <v>1.1297340645424677E-2</v>
      </c>
      <c r="O513" s="10">
        <f t="shared" si="75"/>
        <v>1.6175230605707969E-2</v>
      </c>
      <c r="P513" s="10">
        <f t="shared" si="76"/>
        <v>0.29458325615109354</v>
      </c>
      <c r="Q513" s="66">
        <f t="shared" si="79"/>
        <v>4</v>
      </c>
      <c r="R513" s="10">
        <f t="shared" si="77"/>
        <v>2.3494983921551041E-2</v>
      </c>
      <c r="V513" s="10">
        <f t="shared" si="78"/>
        <v>1.9525799027609245E-3</v>
      </c>
    </row>
    <row r="514" spans="11:22">
      <c r="K514" s="66">
        <v>25.1</v>
      </c>
      <c r="L514" s="10">
        <f t="shared" si="72"/>
        <v>0.87581283962640744</v>
      </c>
      <c r="M514" s="10">
        <f t="shared" si="73"/>
        <v>0.82755878823674311</v>
      </c>
      <c r="N514" s="10">
        <f t="shared" si="74"/>
        <v>1.133790389442086E-2</v>
      </c>
      <c r="O514" s="10">
        <f t="shared" si="75"/>
        <v>1.6233464395531701E-2</v>
      </c>
      <c r="P514" s="10">
        <f t="shared" si="76"/>
        <v>0.29386549372925685</v>
      </c>
      <c r="Q514" s="66">
        <f t="shared" si="79"/>
        <v>2</v>
      </c>
      <c r="R514" s="10">
        <f t="shared" si="77"/>
        <v>1.1744839093819568E-2</v>
      </c>
      <c r="V514" s="10">
        <f t="shared" si="78"/>
        <v>9.8054008734447563E-4</v>
      </c>
    </row>
    <row r="515" spans="11:22">
      <c r="K515" s="66">
        <v>25.15</v>
      </c>
      <c r="L515" s="10">
        <f t="shared" si="72"/>
        <v>0.87531559591939601</v>
      </c>
      <c r="M515" s="10">
        <f t="shared" si="73"/>
        <v>0.8268861460086947</v>
      </c>
      <c r="N515" s="10">
        <f t="shared" si="74"/>
        <v>1.1378614086983476E-2</v>
      </c>
      <c r="O515" s="10">
        <f t="shared" si="75"/>
        <v>1.62919091418487E-2</v>
      </c>
      <c r="P515" s="10">
        <f t="shared" si="76"/>
        <v>0.29314948016070175</v>
      </c>
      <c r="Q515" s="66">
        <f t="shared" si="79"/>
        <v>4</v>
      </c>
      <c r="R515" s="10">
        <f t="shared" si="77"/>
        <v>2.3484259644170714E-2</v>
      </c>
      <c r="V515" s="10">
        <f t="shared" si="78"/>
        <v>1.9696041412136985E-3</v>
      </c>
    </row>
    <row r="516" spans="11:22">
      <c r="K516" s="66">
        <v>25.2</v>
      </c>
      <c r="L516" s="10">
        <f t="shared" si="72"/>
        <v>0.8748168505996915</v>
      </c>
      <c r="M516" s="10">
        <f t="shared" si="73"/>
        <v>0.82621163174571777</v>
      </c>
      <c r="N516" s="10">
        <f t="shared" si="74"/>
        <v>1.1419471755427194E-2</v>
      </c>
      <c r="O516" s="10">
        <f t="shared" si="75"/>
        <v>1.6350565608865514E-2</v>
      </c>
      <c r="P516" s="10">
        <f t="shared" si="76"/>
        <v>0.29243521118428578</v>
      </c>
      <c r="Q516" s="66">
        <f t="shared" si="79"/>
        <v>2</v>
      </c>
      <c r="R516" s="10">
        <f t="shared" si="77"/>
        <v>1.173936397049765E-2</v>
      </c>
      <c r="V516" s="10">
        <f t="shared" si="78"/>
        <v>9.8907589587385824E-4</v>
      </c>
    </row>
    <row r="517" spans="11:22">
      <c r="K517" s="66">
        <v>25.25</v>
      </c>
      <c r="L517" s="10">
        <f t="shared" si="72"/>
        <v>0.87431660009769108</v>
      </c>
      <c r="M517" s="10">
        <f t="shared" si="73"/>
        <v>0.82553524216762053</v>
      </c>
      <c r="N517" s="10">
        <f t="shared" si="74"/>
        <v>1.1460477433995008E-2</v>
      </c>
      <c r="O517" s="10">
        <f t="shared" si="75"/>
        <v>1.6409434563557038E-2</v>
      </c>
      <c r="P517" s="10">
        <f t="shared" si="76"/>
        <v>0.29172268254924927</v>
      </c>
      <c r="Q517" s="66">
        <f t="shared" si="79"/>
        <v>4</v>
      </c>
      <c r="R517" s="10">
        <f t="shared" si="77"/>
        <v>2.3473082728501151E-2</v>
      </c>
      <c r="V517" s="10">
        <f t="shared" si="78"/>
        <v>1.9867231149181459E-3</v>
      </c>
    </row>
    <row r="518" spans="11:22">
      <c r="K518" s="66">
        <v>25.3</v>
      </c>
      <c r="L518" s="10">
        <f t="shared" si="72"/>
        <v>0.87381484084275129</v>
      </c>
      <c r="M518" s="10">
        <f t="shared" si="73"/>
        <v>0.82485697400320601</v>
      </c>
      <c r="N518" s="10">
        <f t="shared" si="74"/>
        <v>1.1501631658865254E-2</v>
      </c>
      <c r="O518" s="10">
        <f t="shared" si="75"/>
        <v>1.6468516775676637E-2</v>
      </c>
      <c r="P518" s="10">
        <f t="shared" si="76"/>
        <v>0.29101189001518935</v>
      </c>
      <c r="Q518" s="66">
        <f t="shared" si="79"/>
        <v>2</v>
      </c>
      <c r="R518" s="10">
        <f t="shared" si="77"/>
        <v>1.1733661828815108E-2</v>
      </c>
      <c r="V518" s="10">
        <f t="shared" si="78"/>
        <v>9.9765904927999948E-4</v>
      </c>
    </row>
    <row r="519" spans="11:22">
      <c r="K519" s="66">
        <v>25.35</v>
      </c>
      <c r="L519" s="10">
        <f t="shared" si="72"/>
        <v>0.87331156926325315</v>
      </c>
      <c r="M519" s="10">
        <f t="shared" si="73"/>
        <v>0.8241768239904127</v>
      </c>
      <c r="N519" s="10">
        <f t="shared" si="74"/>
        <v>1.1542934968158634E-2</v>
      </c>
      <c r="O519" s="10">
        <f t="shared" si="75"/>
        <v>1.6527813017766159E-2</v>
      </c>
      <c r="P519" s="10">
        <f t="shared" si="76"/>
        <v>0.29030282935203527</v>
      </c>
      <c r="Q519" s="66">
        <f t="shared" si="79"/>
        <v>4</v>
      </c>
      <c r="R519" s="10">
        <f t="shared" si="77"/>
        <v>2.3461450379893261E-2</v>
      </c>
      <c r="V519" s="10">
        <f t="shared" si="78"/>
        <v>2.0039367297094309E-3</v>
      </c>
    </row>
    <row r="520" spans="11:22">
      <c r="K520" s="66">
        <v>25.4</v>
      </c>
      <c r="L520" s="10">
        <f t="shared" si="72"/>
        <v>0.87280678178666926</v>
      </c>
      <c r="M520" s="10">
        <f t="shared" si="73"/>
        <v>0.82349478887645544</v>
      </c>
      <c r="N520" s="10">
        <f t="shared" si="74"/>
        <v>1.1584387901945202E-2</v>
      </c>
      <c r="O520" s="10">
        <f t="shared" si="75"/>
        <v>1.6587324065166026E-2</v>
      </c>
      <c r="P520" s="10">
        <f t="shared" si="76"/>
        <v>0.28959549634002302</v>
      </c>
      <c r="Q520" s="66">
        <f t="shared" si="79"/>
        <v>2</v>
      </c>
      <c r="R520" s="10">
        <f t="shared" si="77"/>
        <v>1.1727731273692461E-2</v>
      </c>
      <c r="V520" s="10">
        <f t="shared" si="78"/>
        <v>1.0062894972984765E-3</v>
      </c>
    </row>
    <row r="521" spans="11:22">
      <c r="K521" s="66">
        <v>25.45</v>
      </c>
      <c r="L521" s="10">
        <f t="shared" si="72"/>
        <v>0.87230047483962991</v>
      </c>
      <c r="M521" s="10">
        <f t="shared" si="73"/>
        <v>0.82281086541796744</v>
      </c>
      <c r="N521" s="10">
        <f t="shared" si="74"/>
        <v>1.1625991002251495E-2</v>
      </c>
      <c r="O521" s="10">
        <f t="shared" si="75"/>
        <v>1.6647050696025407E-2</v>
      </c>
      <c r="P521" s="10">
        <f t="shared" si="76"/>
        <v>0.28888988676966981</v>
      </c>
      <c r="Q521" s="66">
        <f t="shared" si="79"/>
        <v>4</v>
      </c>
      <c r="R521" s="10">
        <f t="shared" si="77"/>
        <v>2.3449359812799067E-2</v>
      </c>
      <c r="V521" s="10">
        <f t="shared" si="78"/>
        <v>2.021244878640653E-3</v>
      </c>
    </row>
    <row r="522" spans="11:22">
      <c r="K522" s="66">
        <v>25.5</v>
      </c>
      <c r="L522" s="10">
        <f t="shared" si="72"/>
        <v>0.87179264484799124</v>
      </c>
      <c r="M522" s="10">
        <f t="shared" si="73"/>
        <v>0.82212505038114281</v>
      </c>
      <c r="N522" s="10">
        <f t="shared" si="74"/>
        <v>1.1667744813067555E-2</v>
      </c>
      <c r="O522" s="10">
        <f t="shared" si="75"/>
        <v>1.6706993691312375E-2</v>
      </c>
      <c r="P522" s="10">
        <f t="shared" si="76"/>
        <v>0.28818599644174986</v>
      </c>
      <c r="Q522" s="66">
        <f t="shared" si="79"/>
        <v>2</v>
      </c>
      <c r="R522" s="10">
        <f t="shared" si="77"/>
        <v>1.172157091472209E-2</v>
      </c>
      <c r="V522" s="10">
        <f t="shared" si="78"/>
        <v>1.0149671832196826E-3</v>
      </c>
    </row>
    <row r="523" spans="11:22">
      <c r="K523" s="66">
        <v>25.55</v>
      </c>
      <c r="L523" s="10">
        <f t="shared" si="72"/>
        <v>0.87128328823690282</v>
      </c>
      <c r="M523" s="10">
        <f t="shared" si="73"/>
        <v>0.82143734054188022</v>
      </c>
      <c r="N523" s="10">
        <f t="shared" si="74"/>
        <v>1.1709649880354077E-2</v>
      </c>
      <c r="O523" s="10">
        <f t="shared" si="75"/>
        <v>1.6767153834824109E-2</v>
      </c>
      <c r="P523" s="10">
        <f t="shared" si="76"/>
        <v>0.28748382116726867</v>
      </c>
      <c r="Q523" s="66">
        <f t="shared" si="79"/>
        <v>4</v>
      </c>
      <c r="R523" s="10">
        <f t="shared" si="77"/>
        <v>2.3436808251258785E-2</v>
      </c>
      <c r="V523" s="10">
        <f t="shared" si="78"/>
        <v>2.0386474417658242E-3</v>
      </c>
    </row>
    <row r="524" spans="11:22">
      <c r="K524" s="66">
        <v>25.6</v>
      </c>
      <c r="L524" s="10">
        <f t="shared" ref="L524:L587" si="80">(B$7^K524)*B$8^((B$5^25)*((B$5^K524)-1))</f>
        <v>0.87077240143087664</v>
      </c>
      <c r="M524" s="10">
        <f t="shared" ref="M524:M587" si="81">(B$7^K524)*B$8^((B$5^30)*((B$5^K524)-1))</f>
        <v>0.82074773268592816</v>
      </c>
      <c r="N524" s="10">
        <f t="shared" si="74"/>
        <v>1.1751706752049567E-2</v>
      </c>
      <c r="O524" s="10">
        <f t="shared" si="75"/>
        <v>1.6827531913197195E-2</v>
      </c>
      <c r="P524" s="10">
        <f t="shared" si="76"/>
        <v>0.28678335676743844</v>
      </c>
      <c r="Q524" s="66">
        <f t="shared" si="79"/>
        <v>2</v>
      </c>
      <c r="R524" s="10">
        <f t="shared" si="77"/>
        <v>1.1715179366413583E-2</v>
      </c>
      <c r="V524" s="10">
        <f t="shared" si="78"/>
        <v>1.0236920437798982E-3</v>
      </c>
    </row>
    <row r="525" spans="11:22">
      <c r="K525" s="66">
        <v>25.65</v>
      </c>
      <c r="L525" s="10">
        <f t="shared" si="80"/>
        <v>0.87025998085385681</v>
      </c>
      <c r="M525" s="10">
        <f t="shared" si="81"/>
        <v>0.8200562236090293</v>
      </c>
      <c r="N525" s="10">
        <f t="shared" ref="N525:N588" si="82">B$3+B$4*(B$5^(25+K525))</f>
        <v>1.1793915978077437E-2</v>
      </c>
      <c r="O525" s="10">
        <f t="shared" ref="O525:O588" si="83">$B$3+$B$4*($B$5^(30+K525))</f>
        <v>1.6888128715917827E-2</v>
      </c>
      <c r="P525" s="10">
        <f t="shared" ref="P525:P588" si="84">(1+B$6)^-K525</f>
        <v>0.28608459907365341</v>
      </c>
      <c r="Q525" s="66">
        <f t="shared" si="79"/>
        <v>4</v>
      </c>
      <c r="R525" s="10">
        <f t="shared" ref="R525:R588" si="85">L525*M525*(N525+O525)*P525*Q525</f>
        <v>2.3423792929394949E-2</v>
      </c>
      <c r="V525" s="10">
        <f t="shared" si="78"/>
        <v>2.0561442859211606E-3</v>
      </c>
    </row>
    <row r="526" spans="11:22">
      <c r="K526" s="66">
        <v>25.7</v>
      </c>
      <c r="L526" s="10">
        <f t="shared" si="80"/>
        <v>0.86974602292928838</v>
      </c>
      <c r="M526" s="10">
        <f t="shared" si="81"/>
        <v>0.8193628101170678</v>
      </c>
      <c r="N526" s="10">
        <f t="shared" si="82"/>
        <v>1.1836278110353281E-2</v>
      </c>
      <c r="O526" s="10">
        <f t="shared" si="83"/>
        <v>1.6948945035332199E-2</v>
      </c>
      <c r="P526" s="10">
        <f t="shared" si="84"/>
        <v>0.28538754392746418</v>
      </c>
      <c r="Q526" s="66">
        <f t="shared" si="79"/>
        <v>2</v>
      </c>
      <c r="R526" s="10">
        <f t="shared" si="85"/>
        <v>1.1708555248442483E-2</v>
      </c>
      <c r="V526" s="10">
        <f t="shared" ref="V526:V589" si="86">(1-L526)*M526*O526*P526*Q526</f>
        <v>1.0324640090515005E-3</v>
      </c>
    </row>
    <row r="527" spans="11:22">
      <c r="K527" s="66">
        <v>25.75</v>
      </c>
      <c r="L527" s="10">
        <f t="shared" si="80"/>
        <v>0.86923052408018853</v>
      </c>
      <c r="M527" s="10">
        <f t="shared" si="81"/>
        <v>0.818667489026216</v>
      </c>
      <c r="N527" s="10">
        <f t="shared" si="82"/>
        <v>1.1878793702792023E-2</v>
      </c>
      <c r="O527" s="10">
        <f t="shared" si="83"/>
        <v>1.7009981666656831E-2</v>
      </c>
      <c r="P527" s="10">
        <f t="shared" si="84"/>
        <v>0.28469218718055417</v>
      </c>
      <c r="Q527" s="66">
        <f t="shared" ref="Q527:Q590" si="87">IF(Q526=4,2,4)</f>
        <v>4</v>
      </c>
      <c r="R527" s="10">
        <f t="shared" si="85"/>
        <v>2.3410311091913195E-2</v>
      </c>
      <c r="V527" s="10">
        <f t="shared" si="86"/>
        <v>2.0737352645046497E-3</v>
      </c>
    </row>
    <row r="528" spans="11:22">
      <c r="K528" s="66">
        <v>25.8</v>
      </c>
      <c r="L528" s="10">
        <f t="shared" si="80"/>
        <v>0.86871348072921761</v>
      </c>
      <c r="M528" s="10">
        <f t="shared" si="81"/>
        <v>0.81797025716308258</v>
      </c>
      <c r="N528" s="10">
        <f t="shared" si="82"/>
        <v>1.19214633113152E-2</v>
      </c>
      <c r="O528" s="10">
        <f t="shared" si="83"/>
        <v>1.7071239407988985E-2</v>
      </c>
      <c r="P528" s="10">
        <f t="shared" si="84"/>
        <v>0.28399852469471387</v>
      </c>
      <c r="Q528" s="66">
        <f t="shared" si="87"/>
        <v>2</v>
      </c>
      <c r="R528" s="10">
        <f t="shared" si="85"/>
        <v>1.1701697185902386E-2</v>
      </c>
      <c r="V528" s="10">
        <f t="shared" si="86"/>
        <v>1.0412830023323501E-3</v>
      </c>
    </row>
    <row r="529" spans="11:22">
      <c r="K529" s="66">
        <v>25.85</v>
      </c>
      <c r="L529" s="10">
        <f t="shared" si="80"/>
        <v>0.86819488929875077</v>
      </c>
      <c r="M529" s="10">
        <f t="shared" si="81"/>
        <v>0.81727111136486197</v>
      </c>
      <c r="N529" s="10">
        <f t="shared" si="82"/>
        <v>1.1964287493858222E-2</v>
      </c>
      <c r="O529" s="10">
        <f t="shared" si="83"/>
        <v>1.7132719060317082E-2</v>
      </c>
      <c r="P529" s="10">
        <f t="shared" si="84"/>
        <v>0.28330655234181684</v>
      </c>
      <c r="Q529" s="66">
        <f t="shared" si="87"/>
        <v>4</v>
      </c>
      <c r="R529" s="10">
        <f t="shared" si="85"/>
        <v>2.3396359994610105E-2</v>
      </c>
      <c r="V529" s="10">
        <f t="shared" si="86"/>
        <v>2.0914202172540113E-3</v>
      </c>
    </row>
    <row r="530" spans="11:22">
      <c r="K530" s="66">
        <v>25.9</v>
      </c>
      <c r="L530" s="10">
        <f t="shared" si="80"/>
        <v>0.86767474621094998</v>
      </c>
      <c r="M530" s="10">
        <f t="shared" si="81"/>
        <v>0.81657004847948411</v>
      </c>
      <c r="N530" s="10">
        <f t="shared" si="82"/>
        <v>1.2007266810377655E-2</v>
      </c>
      <c r="O530" s="10">
        <f t="shared" si="83"/>
        <v>1.7194421427531206E-2</v>
      </c>
      <c r="P530" s="10">
        <f t="shared" si="84"/>
        <v>0.28261626600379508</v>
      </c>
      <c r="Q530" s="66">
        <f t="shared" si="87"/>
        <v>2</v>
      </c>
      <c r="R530" s="10">
        <f t="shared" si="85"/>
        <v>1.1694603809560607E-2</v>
      </c>
      <c r="V530" s="10">
        <f t="shared" si="86"/>
        <v>1.050148940034341E-3</v>
      </c>
    </row>
    <row r="531" spans="11:22">
      <c r="K531" s="66">
        <v>25.95</v>
      </c>
      <c r="L531" s="10">
        <f t="shared" si="80"/>
        <v>0.8671530478878372</v>
      </c>
      <c r="M531" s="10">
        <f t="shared" si="81"/>
        <v>0.81586706536576459</v>
      </c>
      <c r="N531" s="10">
        <f t="shared" si="82"/>
        <v>1.2050401822858554E-2</v>
      </c>
      <c r="O531" s="10">
        <f t="shared" si="83"/>
        <v>1.7256347316433576E-2</v>
      </c>
      <c r="P531" s="10">
        <f t="shared" si="84"/>
        <v>0.28192766157261423</v>
      </c>
      <c r="Q531" s="66">
        <f t="shared" si="87"/>
        <v>4</v>
      </c>
      <c r="R531" s="10">
        <f t="shared" si="85"/>
        <v>2.3381936904887931E-2</v>
      </c>
      <c r="V531" s="10">
        <f t="shared" si="86"/>
        <v>2.1091989700229891E-3</v>
      </c>
    </row>
    <row r="532" spans="11:22">
      <c r="K532" s="66">
        <v>26</v>
      </c>
      <c r="L532" s="10">
        <f t="shared" si="80"/>
        <v>0.86662979075136826</v>
      </c>
      <c r="M532" s="10">
        <f t="shared" si="81"/>
        <v>0.81516215889355781</v>
      </c>
      <c r="N532" s="10">
        <f t="shared" si="82"/>
        <v>1.2093693095321822E-2</v>
      </c>
      <c r="O532" s="10">
        <f t="shared" si="83"/>
        <v>1.7318497536749133E-2</v>
      </c>
      <c r="P532" s="10">
        <f t="shared" si="84"/>
        <v>0.28124073495024959</v>
      </c>
      <c r="Q532" s="66">
        <f t="shared" si="87"/>
        <v>2</v>
      </c>
      <c r="R532" s="10">
        <f t="shared" si="85"/>
        <v>1.1687273756117287E-2</v>
      </c>
      <c r="V532" s="10">
        <f t="shared" si="86"/>
        <v>1.0590617315711563E-3</v>
      </c>
    </row>
    <row r="533" spans="11:22">
      <c r="K533" s="66">
        <v>26.05</v>
      </c>
      <c r="L533" s="10">
        <f t="shared" si="80"/>
        <v>0.86610497122350605</v>
      </c>
      <c r="M533" s="10">
        <f t="shared" si="81"/>
        <v>0.81445532594390835</v>
      </c>
      <c r="N533" s="10">
        <f t="shared" si="82"/>
        <v>1.2137141193831526E-2</v>
      </c>
      <c r="O533" s="10">
        <f t="shared" si="83"/>
        <v>1.7380872901136067E-2</v>
      </c>
      <c r="P533" s="10">
        <f t="shared" si="84"/>
        <v>0.28055548204866054</v>
      </c>
      <c r="Q533" s="66">
        <f t="shared" si="87"/>
        <v>4</v>
      </c>
      <c r="R533" s="10">
        <f t="shared" si="85"/>
        <v>2.3367039102276194E-2</v>
      </c>
      <c r="V533" s="10">
        <f t="shared" si="86"/>
        <v>2.1270713345560273E-3</v>
      </c>
    </row>
    <row r="534" spans="11:22">
      <c r="K534" s="66">
        <v>26.1</v>
      </c>
      <c r="L534" s="10">
        <f t="shared" si="80"/>
        <v>0.86557858572629598</v>
      </c>
      <c r="M534" s="10">
        <f t="shared" si="81"/>
        <v>0.81374656340920515</v>
      </c>
      <c r="N534" s="10">
        <f t="shared" si="82"/>
        <v>1.2180746686502418E-2</v>
      </c>
      <c r="O534" s="10">
        <f t="shared" si="83"/>
        <v>1.744347422519657E-2</v>
      </c>
      <c r="P534" s="10">
        <f t="shared" si="84"/>
        <v>0.27987189878976848</v>
      </c>
      <c r="Q534" s="66">
        <f t="shared" si="87"/>
        <v>2</v>
      </c>
      <c r="R534" s="10">
        <f t="shared" si="85"/>
        <v>1.1679705668467865E-2</v>
      </c>
      <c r="V534" s="10">
        <f t="shared" si="86"/>
        <v>1.0680212792452E-3</v>
      </c>
    </row>
    <row r="535" spans="11:22">
      <c r="K535" s="66">
        <v>26.15</v>
      </c>
      <c r="L535" s="10">
        <f t="shared" si="80"/>
        <v>0.86505063068194166</v>
      </c>
      <c r="M535" s="10">
        <f t="shared" si="81"/>
        <v>0.81303586819333573</v>
      </c>
      <c r="N535" s="10">
        <f t="shared" si="82"/>
        <v>1.2224510143507238E-2</v>
      </c>
      <c r="O535" s="10">
        <f t="shared" si="83"/>
        <v>1.7506302327487355E-2</v>
      </c>
      <c r="P535" s="10">
        <f t="shared" si="84"/>
        <v>0.2791899811054302</v>
      </c>
      <c r="Q535" s="66">
        <f t="shared" si="87"/>
        <v>4</v>
      </c>
      <c r="R535" s="10">
        <f t="shared" si="85"/>
        <v>2.3351663878960351E-2</v>
      </c>
      <c r="V535" s="10">
        <f t="shared" si="86"/>
        <v>2.1450371082613984E-3</v>
      </c>
    </row>
    <row r="536" spans="11:22">
      <c r="K536" s="66">
        <v>26.2</v>
      </c>
      <c r="L536" s="10">
        <f t="shared" si="80"/>
        <v>0.86452110251287972</v>
      </c>
      <c r="M536" s="10">
        <f t="shared" si="81"/>
        <v>0.81232323721184196</v>
      </c>
      <c r="N536" s="10">
        <f t="shared" si="82"/>
        <v>1.2268432137084234E-2</v>
      </c>
      <c r="O536" s="10">
        <f t="shared" si="83"/>
        <v>1.756935802953042E-2</v>
      </c>
      <c r="P536" s="10">
        <f t="shared" si="84"/>
        <v>0.27850972493741499</v>
      </c>
      <c r="Q536" s="66">
        <f t="shared" si="87"/>
        <v>2</v>
      </c>
      <c r="R536" s="10">
        <f t="shared" si="85"/>
        <v>1.1671898195969293E-2</v>
      </c>
      <c r="V536" s="10">
        <f t="shared" si="86"/>
        <v>1.0770274781337751E-3</v>
      </c>
    </row>
    <row r="537" spans="11:22">
      <c r="K537" s="66">
        <v>26.25</v>
      </c>
      <c r="L537" s="10">
        <f t="shared" si="80"/>
        <v>0.86398999764185791</v>
      </c>
      <c r="M537" s="10">
        <f t="shared" si="81"/>
        <v>0.8116086673920756</v>
      </c>
      <c r="N537" s="10">
        <f t="shared" si="82"/>
        <v>1.2312513241544634E-2</v>
      </c>
      <c r="O537" s="10">
        <f t="shared" si="83"/>
        <v>1.7632642155823816E-2</v>
      </c>
      <c r="P537" s="10">
        <f t="shared" si="84"/>
        <v>0.27783112623738021</v>
      </c>
      <c r="Q537" s="66">
        <f t="shared" si="87"/>
        <v>4</v>
      </c>
      <c r="R537" s="10">
        <f t="shared" si="85"/>
        <v>2.3335808540317284E-2</v>
      </c>
      <c r="V537" s="10">
        <f t="shared" si="86"/>
        <v>2.1630960739827229E-3</v>
      </c>
    </row>
    <row r="538" spans="11:22">
      <c r="K538" s="66">
        <v>26.3</v>
      </c>
      <c r="L538" s="10">
        <f t="shared" si="80"/>
        <v>0.86345731249201119</v>
      </c>
      <c r="M538" s="10">
        <f t="shared" si="81"/>
        <v>0.8108921556733566</v>
      </c>
      <c r="N538" s="10">
        <f t="shared" si="82"/>
        <v>1.2356754033280147E-2</v>
      </c>
      <c r="O538" s="10">
        <f t="shared" si="83"/>
        <v>1.7696155533852391E-2</v>
      </c>
      <c r="P538" s="10">
        <f t="shared" si="84"/>
        <v>0.27715418096684702</v>
      </c>
      <c r="Q538" s="66">
        <f t="shared" si="87"/>
        <v>2</v>
      </c>
      <c r="R538" s="10">
        <f t="shared" si="85"/>
        <v>1.1663849994709371E-2</v>
      </c>
      <c r="V538" s="10">
        <f t="shared" si="86"/>
        <v>1.0860802159744583E-3</v>
      </c>
    </row>
    <row r="539" spans="11:22">
      <c r="K539" s="66">
        <v>26.35</v>
      </c>
      <c r="L539" s="10">
        <f t="shared" si="80"/>
        <v>0.86292304348694004</v>
      </c>
      <c r="M539" s="10">
        <f t="shared" si="81"/>
        <v>0.81017369900712988</v>
      </c>
      <c r="N539" s="10">
        <f t="shared" si="82"/>
        <v>1.2401155090770527E-2</v>
      </c>
      <c r="O539" s="10">
        <f t="shared" si="83"/>
        <v>1.7759898994098623E-2</v>
      </c>
      <c r="P539" s="10">
        <f t="shared" si="84"/>
        <v>0.2764788850971765</v>
      </c>
      <c r="Q539" s="66">
        <f t="shared" si="87"/>
        <v>4</v>
      </c>
      <c r="R539" s="10">
        <f t="shared" si="85"/>
        <v>2.3319470405457898E-2</v>
      </c>
      <c r="V539" s="10">
        <f t="shared" si="86"/>
        <v>2.1812479997690105E-3</v>
      </c>
    </row>
    <row r="540" spans="11:22">
      <c r="K540" s="66">
        <v>26.4</v>
      </c>
      <c r="L540" s="10">
        <f t="shared" si="80"/>
        <v>0.86238718705078987</v>
      </c>
      <c r="M540" s="10">
        <f t="shared" si="81"/>
        <v>0.80945329435712576</v>
      </c>
      <c r="N540" s="10">
        <f t="shared" si="82"/>
        <v>1.2445716994591093E-2</v>
      </c>
      <c r="O540" s="10">
        <f t="shared" si="83"/>
        <v>1.7823873370053478E-2</v>
      </c>
      <c r="P540" s="10">
        <f t="shared" si="84"/>
        <v>0.2758052346095457</v>
      </c>
      <c r="Q540" s="66">
        <f t="shared" si="87"/>
        <v>2</v>
      </c>
      <c r="R540" s="10">
        <f t="shared" si="85"/>
        <v>1.1655559727779862E-2</v>
      </c>
      <c r="V540" s="10">
        <f t="shared" si="86"/>
        <v>1.0951793730497432E-3</v>
      </c>
    </row>
    <row r="541" spans="11:22">
      <c r="K541" s="66">
        <v>26.45</v>
      </c>
      <c r="L541" s="10">
        <f t="shared" si="80"/>
        <v>0.86184973960832845</v>
      </c>
      <c r="M541" s="10">
        <f t="shared" si="81"/>
        <v>0.80873093869951895</v>
      </c>
      <c r="N541" s="10">
        <f t="shared" si="82"/>
        <v>1.2490440327420355E-2</v>
      </c>
      <c r="O541" s="10">
        <f t="shared" si="83"/>
        <v>1.7888079498227311E-2</v>
      </c>
      <c r="P541" s="10">
        <f t="shared" si="84"/>
        <v>0.27513322549492358</v>
      </c>
      <c r="Q541" s="66">
        <f t="shared" si="87"/>
        <v>4</v>
      </c>
      <c r="R541" s="10">
        <f t="shared" si="85"/>
        <v>2.3302646807776613E-2</v>
      </c>
      <c r="V541" s="10">
        <f t="shared" si="86"/>
        <v>2.19949263864316E-3</v>
      </c>
    </row>
    <row r="542" spans="11:22">
      <c r="K542" s="66">
        <v>26.5</v>
      </c>
      <c r="L542" s="10">
        <f t="shared" si="80"/>
        <v>0.86131069758502743</v>
      </c>
      <c r="M542" s="10">
        <f t="shared" si="81"/>
        <v>0.80800662902308962</v>
      </c>
      <c r="N542" s="10">
        <f t="shared" si="82"/>
        <v>1.253532567404762E-2</v>
      </c>
      <c r="O542" s="10">
        <f t="shared" si="83"/>
        <v>1.7952518218160789E-2</v>
      </c>
      <c r="P542" s="10">
        <f t="shared" si="84"/>
        <v>0.27446285375404744</v>
      </c>
      <c r="Q542" s="66">
        <f t="shared" si="87"/>
        <v>2</v>
      </c>
      <c r="R542" s="10">
        <f t="shared" si="85"/>
        <v>1.1647026065552984E-2</v>
      </c>
      <c r="V542" s="10">
        <f t="shared" si="86"/>
        <v>1.1043248220709222E-3</v>
      </c>
    </row>
    <row r="543" spans="11:22">
      <c r="K543" s="66">
        <v>26.55</v>
      </c>
      <c r="L543" s="10">
        <f t="shared" si="80"/>
        <v>0.86077005740714185</v>
      </c>
      <c r="M543" s="10">
        <f t="shared" si="81"/>
        <v>0.80728036232938583</v>
      </c>
      <c r="N543" s="10">
        <f t="shared" si="82"/>
        <v>1.2580373621380633E-2</v>
      </c>
      <c r="O543" s="10">
        <f t="shared" si="83"/>
        <v>1.8017190372435918E-2</v>
      </c>
      <c r="P543" s="10">
        <f t="shared" si="84"/>
        <v>0.27379411539739867</v>
      </c>
      <c r="Q543" s="66">
        <f t="shared" si="87"/>
        <v>4</v>
      </c>
      <c r="R543" s="10">
        <f t="shared" si="85"/>
        <v>2.3285335095507863E-2</v>
      </c>
      <c r="V543" s="10">
        <f t="shared" si="86"/>
        <v>2.2178297283690323E-3</v>
      </c>
    </row>
    <row r="544" spans="11:22">
      <c r="K544" s="66">
        <v>26.6</v>
      </c>
      <c r="L544" s="10">
        <f t="shared" si="80"/>
        <v>0.86022781550179173</v>
      </c>
      <c r="M544" s="10">
        <f t="shared" si="81"/>
        <v>0.80655213563288519</v>
      </c>
      <c r="N544" s="10">
        <f t="shared" si="82"/>
        <v>1.262558475845328E-2</v>
      </c>
      <c r="O544" s="10">
        <f t="shared" si="83"/>
        <v>1.8082096806686983E-2</v>
      </c>
      <c r="P544" s="10">
        <f t="shared" si="84"/>
        <v>0.27312700644517951</v>
      </c>
      <c r="Q544" s="66">
        <f t="shared" si="87"/>
        <v>2</v>
      </c>
      <c r="R544" s="10">
        <f t="shared" si="85"/>
        <v>1.163824768596141E-2</v>
      </c>
      <c r="V544" s="10">
        <f t="shared" si="86"/>
        <v>1.1135164280612626E-3</v>
      </c>
    </row>
    <row r="545" spans="11:22">
      <c r="K545" s="66">
        <v>26.65</v>
      </c>
      <c r="L545" s="10">
        <f t="shared" si="80"/>
        <v>0.85968396829704374</v>
      </c>
      <c r="M545" s="10">
        <f t="shared" si="81"/>
        <v>0.80582194596115964</v>
      </c>
      <c r="N545" s="10">
        <f t="shared" si="82"/>
        <v>1.2670959676433245E-2</v>
      </c>
      <c r="O545" s="10">
        <f t="shared" si="83"/>
        <v>1.8147238369611664E-2</v>
      </c>
      <c r="P545" s="10">
        <f t="shared" si="84"/>
        <v>0.27246152292728898</v>
      </c>
      <c r="Q545" s="66">
        <f t="shared" si="87"/>
        <v>4</v>
      </c>
      <c r="R545" s="10">
        <f t="shared" si="85"/>
        <v>2.3267532632289676E-2</v>
      </c>
      <c r="V545" s="10">
        <f t="shared" si="86"/>
        <v>2.2362589912170599E-3</v>
      </c>
    </row>
    <row r="546" spans="11:22">
      <c r="K546" s="66">
        <v>26.7</v>
      </c>
      <c r="L546" s="10">
        <f t="shared" si="80"/>
        <v>0.85913851222199344</v>
      </c>
      <c r="M546" s="10">
        <f t="shared" si="81"/>
        <v>0.80508979035503936</v>
      </c>
      <c r="N546" s="10">
        <f t="shared" si="82"/>
        <v>1.2716498968629777E-2</v>
      </c>
      <c r="O546" s="10">
        <f t="shared" si="83"/>
        <v>1.8212615912982115E-2</v>
      </c>
      <c r="P546" s="10">
        <f t="shared" si="84"/>
        <v>0.27179766088329926</v>
      </c>
      <c r="Q546" s="66">
        <f t="shared" si="87"/>
        <v>2</v>
      </c>
      <c r="R546" s="10">
        <f t="shared" si="85"/>
        <v>1.1629223274781782E-2</v>
      </c>
      <c r="V546" s="10">
        <f t="shared" si="86"/>
        <v>1.1227540482384559E-3</v>
      </c>
    </row>
    <row r="547" spans="11:22">
      <c r="K547" s="66">
        <v>26.75</v>
      </c>
      <c r="L547" s="10">
        <f t="shared" si="80"/>
        <v>0.8585914437068487</v>
      </c>
      <c r="M547" s="10">
        <f t="shared" si="81"/>
        <v>0.80435566586877838</v>
      </c>
      <c r="N547" s="10">
        <f t="shared" si="82"/>
        <v>1.2762203230501425E-2</v>
      </c>
      <c r="O547" s="10">
        <f t="shared" si="83"/>
        <v>1.8278230291656095E-2</v>
      </c>
      <c r="P547" s="10">
        <f t="shared" si="84"/>
        <v>0.27113541636243244</v>
      </c>
      <c r="Q547" s="66">
        <f t="shared" si="87"/>
        <v>4</v>
      </c>
      <c r="R547" s="10">
        <f t="shared" si="85"/>
        <v>2.3249236797734035E-2</v>
      </c>
      <c r="V547" s="10">
        <f t="shared" si="86"/>
        <v>2.2547801337284689E-3</v>
      </c>
    </row>
    <row r="548" spans="11:22">
      <c r="K548" s="66">
        <v>26.8</v>
      </c>
      <c r="L548" s="10">
        <f t="shared" si="80"/>
        <v>0.85804275918301331</v>
      </c>
      <c r="M548" s="10">
        <f t="shared" si="81"/>
        <v>0.80361956957022107</v>
      </c>
      <c r="N548" s="10">
        <f t="shared" si="82"/>
        <v>1.280807305966384E-2</v>
      </c>
      <c r="O548" s="10">
        <f t="shared" si="83"/>
        <v>1.8344082363588157E-2</v>
      </c>
      <c r="P548" s="10">
        <f t="shared" si="84"/>
        <v>0.27047478542353692</v>
      </c>
      <c r="Q548" s="66">
        <f t="shared" si="87"/>
        <v>2</v>
      </c>
      <c r="R548" s="10">
        <f t="shared" si="85"/>
        <v>1.1619951525921652E-2</v>
      </c>
      <c r="V548" s="10">
        <f t="shared" si="86"/>
        <v>1.1320375318963961E-3</v>
      </c>
    </row>
    <row r="549" spans="11:22">
      <c r="K549" s="66">
        <v>26.85</v>
      </c>
      <c r="L549" s="10">
        <f t="shared" si="80"/>
        <v>0.85749245508317218</v>
      </c>
      <c r="M549" s="10">
        <f t="shared" si="81"/>
        <v>0.80288149854097002</v>
      </c>
      <c r="N549" s="10">
        <f t="shared" si="82"/>
        <v>1.2854109055897589E-2</v>
      </c>
      <c r="O549" s="10">
        <f t="shared" si="83"/>
        <v>1.8410172989840868E-2</v>
      </c>
      <c r="P549" s="10">
        <f t="shared" si="84"/>
        <v>0.26981576413506364</v>
      </c>
      <c r="Q549" s="66">
        <f t="shared" si="87"/>
        <v>4</v>
      </c>
      <c r="R549" s="10">
        <f t="shared" si="85"/>
        <v>2.3230444988004525E-2</v>
      </c>
      <c r="V549" s="10">
        <f t="shared" si="86"/>
        <v>2.273392846478141E-3</v>
      </c>
    </row>
    <row r="550" spans="11:22">
      <c r="K550" s="66">
        <v>26.9</v>
      </c>
      <c r="L550" s="10">
        <f t="shared" si="80"/>
        <v>0.85694052784137464</v>
      </c>
      <c r="M550" s="10">
        <f t="shared" si="81"/>
        <v>0.80214144987655367</v>
      </c>
      <c r="N550" s="10">
        <f t="shared" si="82"/>
        <v>1.2900311821155978E-2</v>
      </c>
      <c r="O550" s="10">
        <f t="shared" si="83"/>
        <v>1.8476503034596047E-2</v>
      </c>
      <c r="P550" s="10">
        <f t="shared" si="84"/>
        <v>0.26915834857504295</v>
      </c>
      <c r="Q550" s="66">
        <f t="shared" si="87"/>
        <v>2</v>
      </c>
      <c r="R550" s="10">
        <f t="shared" si="85"/>
        <v>1.1610431141710092E-2</v>
      </c>
      <c r="V550" s="10">
        <f t="shared" si="86"/>
        <v>1.1413667202862599E-3</v>
      </c>
    </row>
    <row r="551" spans="11:22">
      <c r="K551" s="66">
        <v>26.95</v>
      </c>
      <c r="L551" s="10">
        <f t="shared" si="80"/>
        <v>0.85638697389312257</v>
      </c>
      <c r="M551" s="10">
        <f t="shared" si="81"/>
        <v>0.80139942068659575</v>
      </c>
      <c r="N551" s="10">
        <f t="shared" si="82"/>
        <v>1.2946681959572947E-2</v>
      </c>
      <c r="O551" s="10">
        <f t="shared" si="83"/>
        <v>1.8543073365166092E-2</v>
      </c>
      <c r="P551" s="10">
        <f t="shared" si="84"/>
        <v>0.26850253483106118</v>
      </c>
      <c r="Q551" s="66">
        <f t="shared" si="87"/>
        <v>4</v>
      </c>
      <c r="R551" s="10">
        <f t="shared" si="85"/>
        <v>2.321115461640073E-2</v>
      </c>
      <c r="V551" s="10">
        <f t="shared" si="86"/>
        <v>2.2920968038361365E-3</v>
      </c>
    </row>
    <row r="552" spans="11:22">
      <c r="K552" s="66">
        <v>27</v>
      </c>
      <c r="L552" s="10">
        <f t="shared" si="80"/>
        <v>0.85583178967545448</v>
      </c>
      <c r="M552" s="10">
        <f t="shared" si="81"/>
        <v>0.80065540809498537</v>
      </c>
      <c r="N552" s="10">
        <f t="shared" si="82"/>
        <v>1.2993220077470958E-2</v>
      </c>
      <c r="O552" s="10">
        <f t="shared" si="83"/>
        <v>1.8609884852005321E-2</v>
      </c>
      <c r="P552" s="10">
        <f t="shared" si="84"/>
        <v>0.2678483190002377</v>
      </c>
      <c r="Q552" s="66">
        <f t="shared" si="87"/>
        <v>2</v>
      </c>
      <c r="R552" s="10">
        <f t="shared" si="85"/>
        <v>1.1600660833191587E-2</v>
      </c>
      <c r="V552" s="10">
        <f t="shared" si="86"/>
        <v>1.1507414464969627E-3</v>
      </c>
    </row>
    <row r="553" spans="11:22">
      <c r="K553" s="66">
        <v>27.05</v>
      </c>
      <c r="L553" s="10">
        <f t="shared" si="80"/>
        <v>0.85527497162703514</v>
      </c>
      <c r="M553" s="10">
        <f t="shared" si="81"/>
        <v>0.79990940924004927</v>
      </c>
      <c r="N553" s="10">
        <f t="shared" si="82"/>
        <v>1.3039926783368891E-2</v>
      </c>
      <c r="O553" s="10">
        <f t="shared" si="83"/>
        <v>1.8676938368721273E-2</v>
      </c>
      <c r="P553" s="10">
        <f t="shared" si="84"/>
        <v>0.2671956971892005</v>
      </c>
      <c r="Q553" s="66">
        <f t="shared" si="87"/>
        <v>4</v>
      </c>
      <c r="R553" s="10">
        <f t="shared" si="85"/>
        <v>2.3191363113949735E-2</v>
      </c>
      <c r="V553" s="10">
        <f t="shared" si="86"/>
        <v>2.3108916637279492E-3</v>
      </c>
    </row>
    <row r="554" spans="11:22">
      <c r="K554" s="66">
        <v>27.1</v>
      </c>
      <c r="L554" s="10">
        <f t="shared" si="80"/>
        <v>0.8547165161882414</v>
      </c>
      <c r="M554" s="10">
        <f t="shared" si="81"/>
        <v>0.79916142127472223</v>
      </c>
      <c r="N554" s="10">
        <f t="shared" si="82"/>
        <v>1.3086802687990099E-2</v>
      </c>
      <c r="O554" s="10">
        <f t="shared" si="83"/>
        <v>1.8744234792086315E-2</v>
      </c>
      <c r="P554" s="10">
        <f t="shared" si="84"/>
        <v>0.26654466551406514</v>
      </c>
      <c r="Q554" s="66">
        <f t="shared" si="87"/>
        <v>2</v>
      </c>
      <c r="R554" s="10">
        <f t="shared" si="85"/>
        <v>1.1590639320423516E-2</v>
      </c>
      <c r="V554" s="10">
        <f t="shared" si="86"/>
        <v>1.1601615353349524E-3</v>
      </c>
    </row>
    <row r="555" spans="11:22">
      <c r="K555" s="66">
        <v>27.15</v>
      </c>
      <c r="L555" s="10">
        <f t="shared" si="80"/>
        <v>0.85415641980125168</v>
      </c>
      <c r="M555" s="10">
        <f t="shared" si="81"/>
        <v>0.79841144136672082</v>
      </c>
      <c r="N555" s="10">
        <f t="shared" si="82"/>
        <v>1.313384840427028E-2</v>
      </c>
      <c r="O555" s="10">
        <f t="shared" si="83"/>
        <v>1.8811775002048906E-2</v>
      </c>
      <c r="P555" s="10">
        <f t="shared" si="84"/>
        <v>0.26589522010040972</v>
      </c>
      <c r="Q555" s="66">
        <f t="shared" si="87"/>
        <v>4</v>
      </c>
      <c r="R555" s="10">
        <f t="shared" si="85"/>
        <v>2.3171067930004684E-2</v>
      </c>
      <c r="V555" s="10">
        <f t="shared" si="86"/>
        <v>2.329777067393493E-3</v>
      </c>
    </row>
    <row r="556" spans="11:22">
      <c r="K556" s="66">
        <v>27.2</v>
      </c>
      <c r="L556" s="10">
        <f t="shared" si="80"/>
        <v>0.85359467891013485</v>
      </c>
      <c r="M556" s="10">
        <f t="shared" si="81"/>
        <v>0.7976594666987179</v>
      </c>
      <c r="N556" s="10">
        <f t="shared" si="82"/>
        <v>1.3181064547365551E-2</v>
      </c>
      <c r="O556" s="10">
        <f t="shared" si="83"/>
        <v>1.8879559881745205E-2</v>
      </c>
      <c r="P556" s="10">
        <f t="shared" si="84"/>
        <v>0.26524735708325242</v>
      </c>
      <c r="Q556" s="66">
        <f t="shared" si="87"/>
        <v>2</v>
      </c>
      <c r="R556" s="10">
        <f t="shared" si="85"/>
        <v>1.1580365332777289E-2</v>
      </c>
      <c r="V556" s="10">
        <f t="shared" si="86"/>
        <v>1.1696268032034233E-3</v>
      </c>
    </row>
    <row r="557" spans="11:22">
      <c r="K557" s="66">
        <v>27.25</v>
      </c>
      <c r="L557" s="10">
        <f t="shared" si="80"/>
        <v>0.85303128996094035</v>
      </c>
      <c r="M557" s="10">
        <f t="shared" si="81"/>
        <v>0.79690549446851677</v>
      </c>
      <c r="N557" s="10">
        <f t="shared" si="82"/>
        <v>1.3228451734660475E-2</v>
      </c>
      <c r="O557" s="10">
        <f t="shared" si="83"/>
        <v>1.8947590317510605E-2</v>
      </c>
      <c r="P557" s="10">
        <f t="shared" si="84"/>
        <v>0.26460107260702881</v>
      </c>
      <c r="Q557" s="66">
        <f t="shared" si="87"/>
        <v>4</v>
      </c>
      <c r="R557" s="10">
        <f t="shared" si="85"/>
        <v>2.3150266532850062E-2</v>
      </c>
      <c r="V557" s="10">
        <f t="shared" si="86"/>
        <v>2.3487526391449093E-3</v>
      </c>
    </row>
    <row r="558" spans="11:22">
      <c r="K558" s="66">
        <v>27.3</v>
      </c>
      <c r="L558" s="10">
        <f t="shared" si="80"/>
        <v>0.85246624940178883</v>
      </c>
      <c r="M558" s="10">
        <f t="shared" si="81"/>
        <v>0.79614952188922705</v>
      </c>
      <c r="N558" s="10">
        <f t="shared" si="82"/>
        <v>1.327601058577616E-2</v>
      </c>
      <c r="O558" s="10">
        <f t="shared" si="83"/>
        <v>1.9015867198891322E-2</v>
      </c>
      <c r="P558" s="10">
        <f t="shared" si="84"/>
        <v>0.2639563628255685</v>
      </c>
      <c r="Q558" s="66">
        <f t="shared" si="87"/>
        <v>2</v>
      </c>
      <c r="R558" s="10">
        <f t="shared" si="85"/>
        <v>1.1569837609242595E-2</v>
      </c>
      <c r="V558" s="10">
        <f t="shared" si="86"/>
        <v>1.1791370579808998E-3</v>
      </c>
    </row>
    <row r="559" spans="11:22">
      <c r="K559" s="66">
        <v>27.35</v>
      </c>
      <c r="L559" s="10">
        <f t="shared" si="80"/>
        <v>0.85189955368296333</v>
      </c>
      <c r="M559" s="10">
        <f t="shared" si="81"/>
        <v>0.79539154618944197</v>
      </c>
      <c r="N559" s="10">
        <f t="shared" si="82"/>
        <v>1.3323741722578317E-2</v>
      </c>
      <c r="O559" s="10">
        <f t="shared" si="83"/>
        <v>1.9084391418656019E-2</v>
      </c>
      <c r="P559" s="10">
        <f t="shared" si="84"/>
        <v>0.26331322390207279</v>
      </c>
      <c r="Q559" s="66">
        <f t="shared" si="87"/>
        <v>4</v>
      </c>
      <c r="R559" s="10">
        <f t="shared" si="85"/>
        <v>2.3128956410314212E-2</v>
      </c>
      <c r="V559" s="10">
        <f t="shared" si="86"/>
        <v>2.3678179861231744E-3</v>
      </c>
    </row>
    <row r="560" spans="11:22">
      <c r="K560" s="66">
        <v>27.4</v>
      </c>
      <c r="L560" s="10">
        <f t="shared" si="80"/>
        <v>0.85133119925700118</v>
      </c>
      <c r="M560" s="10">
        <f t="shared" si="81"/>
        <v>0.79463156461341622</v>
      </c>
      <c r="N560" s="10">
        <f t="shared" si="82"/>
        <v>1.3371645769185425E-2</v>
      </c>
      <c r="O560" s="10">
        <f t="shared" si="83"/>
        <v>1.9153163872807473E-2</v>
      </c>
      <c r="P560" s="10">
        <f t="shared" si="84"/>
        <v>0.26267165200909115</v>
      </c>
      <c r="Q560" s="66">
        <f t="shared" si="87"/>
        <v>2</v>
      </c>
      <c r="R560" s="10">
        <f t="shared" si="85"/>
        <v>1.15590548987355E-2</v>
      </c>
      <c r="V560" s="10">
        <f t="shared" si="86"/>
        <v>1.1886920988992749E-3</v>
      </c>
    </row>
    <row r="561" spans="11:22">
      <c r="K561" s="66">
        <v>27.45</v>
      </c>
      <c r="L561" s="10">
        <f t="shared" si="80"/>
        <v>0.85076118257878663</v>
      </c>
      <c r="M561" s="10">
        <f t="shared" si="81"/>
        <v>0.7938695744212434</v>
      </c>
      <c r="N561" s="10">
        <f t="shared" si="82"/>
        <v>1.3419723351976881E-2</v>
      </c>
      <c r="O561" s="10">
        <f t="shared" si="83"/>
        <v>1.9222185460594361E-2</v>
      </c>
      <c r="P561" s="10">
        <f t="shared" si="84"/>
        <v>0.26203164332849865</v>
      </c>
      <c r="Q561" s="66">
        <f t="shared" si="87"/>
        <v>4</v>
      </c>
      <c r="R561" s="10">
        <f t="shared" si="85"/>
        <v>2.310713507038873E-2</v>
      </c>
      <c r="V561" s="10">
        <f t="shared" si="86"/>
        <v>2.3869726980536355E-3</v>
      </c>
    </row>
    <row r="562" spans="11:22">
      <c r="K562" s="66">
        <v>27.5</v>
      </c>
      <c r="L562" s="10">
        <f t="shared" si="80"/>
        <v>0.85018950010564487</v>
      </c>
      <c r="M562" s="10">
        <f t="shared" si="81"/>
        <v>0.79310557288903716</v>
      </c>
      <c r="N562" s="10">
        <f t="shared" si="82"/>
        <v>1.3467975099601187E-2</v>
      </c>
      <c r="O562" s="10">
        <f t="shared" si="83"/>
        <v>1.9291457084522848E-2</v>
      </c>
      <c r="P562" s="10">
        <f t="shared" si="84"/>
        <v>0.26139319405147377</v>
      </c>
      <c r="Q562" s="66">
        <f t="shared" si="87"/>
        <v>2</v>
      </c>
      <c r="R562" s="10">
        <f t="shared" si="85"/>
        <v>1.1548015960409783E-2</v>
      </c>
      <c r="V562" s="10">
        <f t="shared" si="86"/>
        <v>1.1982917164213053E-3</v>
      </c>
    </row>
    <row r="563" spans="11:22">
      <c r="K563" s="66">
        <v>27.55</v>
      </c>
      <c r="L563" s="10">
        <f t="shared" si="80"/>
        <v>0.84961614829743515</v>
      </c>
      <c r="M563" s="10">
        <f t="shared" si="81"/>
        <v>0.79233955730911076</v>
      </c>
      <c r="N563" s="10">
        <f t="shared" si="82"/>
        <v>1.3516401642984181E-2</v>
      </c>
      <c r="O563" s="10">
        <f t="shared" si="83"/>
        <v>1.9360979650368614E-2</v>
      </c>
      <c r="P563" s="10">
        <f t="shared" si="84"/>
        <v>0.26075630037847497</v>
      </c>
      <c r="Q563" s="66">
        <f t="shared" si="87"/>
        <v>4</v>
      </c>
      <c r="R563" s="10">
        <f t="shared" si="85"/>
        <v>2.3084800041854592E-2</v>
      </c>
      <c r="V563" s="10">
        <f t="shared" si="86"/>
        <v>2.4062163470004428E-3</v>
      </c>
    </row>
    <row r="564" spans="11:22">
      <c r="K564" s="66">
        <v>27.6</v>
      </c>
      <c r="L564" s="10">
        <f t="shared" si="80"/>
        <v>0.84904112361664685</v>
      </c>
      <c r="M564" s="10">
        <f t="shared" si="81"/>
        <v>0.79157152499015948</v>
      </c>
      <c r="N564" s="10">
        <f t="shared" si="82"/>
        <v>1.3565003615337275E-2</v>
      </c>
      <c r="O564" s="10">
        <f t="shared" si="83"/>
        <v>1.943075406718851E-2</v>
      </c>
      <c r="P564" s="10">
        <f t="shared" si="84"/>
        <v>0.26012095851921851</v>
      </c>
      <c r="Q564" s="66">
        <f t="shared" si="87"/>
        <v>2</v>
      </c>
      <c r="R564" s="10">
        <f t="shared" si="85"/>
        <v>1.153671956397183E-2</v>
      </c>
      <c r="V564" s="10">
        <f t="shared" si="86"/>
        <v>1.2079356921175645E-3</v>
      </c>
    </row>
    <row r="565" spans="11:22">
      <c r="K565" s="66">
        <v>27.65</v>
      </c>
      <c r="L565" s="10">
        <f t="shared" si="80"/>
        <v>0.84846442252849408</v>
      </c>
      <c r="M565" s="10">
        <f t="shared" si="81"/>
        <v>0.7908014732574421</v>
      </c>
      <c r="N565" s="10">
        <f t="shared" si="82"/>
        <v>1.3613781652165738E-2</v>
      </c>
      <c r="O565" s="10">
        <f t="shared" si="83"/>
        <v>1.9500781247332542E-2</v>
      </c>
      <c r="P565" s="10">
        <f t="shared" si="84"/>
        <v>0.25948716469265615</v>
      </c>
      <c r="Q565" s="66">
        <f t="shared" si="87"/>
        <v>4</v>
      </c>
      <c r="R565" s="10">
        <f t="shared" si="85"/>
        <v>2.3061948874915542E-2</v>
      </c>
      <c r="V565" s="10">
        <f t="shared" si="86"/>
        <v>2.4255484871199733E-3</v>
      </c>
    </row>
    <row r="566" spans="11:22">
      <c r="K566" s="66">
        <v>27.7</v>
      </c>
      <c r="L566" s="10">
        <f t="shared" si="80"/>
        <v>0.84788604150101177</v>
      </c>
      <c r="M566" s="10">
        <f t="shared" si="81"/>
        <v>0.79002939945296502</v>
      </c>
      <c r="N566" s="10">
        <f t="shared" si="82"/>
        <v>1.3662736391277009E-2</v>
      </c>
      <c r="O566" s="10">
        <f t="shared" si="83"/>
        <v>1.9571062106455771E-2</v>
      </c>
      <c r="P566" s="10">
        <f t="shared" si="84"/>
        <v>0.25885491512695163</v>
      </c>
      <c r="Q566" s="66">
        <f t="shared" si="87"/>
        <v>2</v>
      </c>
      <c r="R566" s="10">
        <f t="shared" si="85"/>
        <v>1.1525164489998978E-2</v>
      </c>
      <c r="V566" s="10">
        <f t="shared" si="86"/>
        <v>1.2176237985429118E-3</v>
      </c>
    </row>
    <row r="567" spans="11:22">
      <c r="K567" s="66">
        <v>27.75</v>
      </c>
      <c r="L567" s="10">
        <f t="shared" si="80"/>
        <v>0.8473059770051542</v>
      </c>
      <c r="M567" s="10">
        <f t="shared" si="81"/>
        <v>0.78925530093566665</v>
      </c>
      <c r="N567" s="10">
        <f t="shared" si="82"/>
        <v>1.3711868472789027E-2</v>
      </c>
      <c r="O567" s="10">
        <f t="shared" si="83"/>
        <v>1.9641597563530299E-2</v>
      </c>
      <c r="P567" s="10">
        <f t="shared" si="84"/>
        <v>0.2582242060594595</v>
      </c>
      <c r="Q567" s="66">
        <f t="shared" si="87"/>
        <v>4</v>
      </c>
      <c r="R567" s="10">
        <f t="shared" si="85"/>
        <v>2.3038579141838027E-2</v>
      </c>
      <c r="V567" s="10">
        <f t="shared" si="86"/>
        <v>2.4449686544132879E-3</v>
      </c>
    </row>
    <row r="568" spans="11:22">
      <c r="K568" s="66">
        <v>27.8</v>
      </c>
      <c r="L568" s="10">
        <f t="shared" si="80"/>
        <v>0.84672422551489057</v>
      </c>
      <c r="M568" s="10">
        <f t="shared" si="81"/>
        <v>0.78847917508160226</v>
      </c>
      <c r="N568" s="10">
        <f t="shared" si="82"/>
        <v>1.3761178539138627E-2</v>
      </c>
      <c r="O568" s="10">
        <f t="shared" si="83"/>
        <v>1.971238854085727E-2</v>
      </c>
      <c r="P568" s="10">
        <f t="shared" si="84"/>
        <v>0.25759503373670189</v>
      </c>
      <c r="Q568" s="66">
        <f t="shared" si="87"/>
        <v>2</v>
      </c>
      <c r="R568" s="10">
        <f t="shared" si="85"/>
        <v>1.1513349530261245E-2</v>
      </c>
      <c r="V568" s="10">
        <f t="shared" si="86"/>
        <v>1.2273557991124861E-3</v>
      </c>
    </row>
    <row r="569" spans="11:22">
      <c r="K569" s="66">
        <v>27.85</v>
      </c>
      <c r="L569" s="10">
        <f t="shared" si="80"/>
        <v>0.84614078350730548</v>
      </c>
      <c r="M569" s="10">
        <f t="shared" si="81"/>
        <v>0.7877010192841305</v>
      </c>
      <c r="N569" s="10">
        <f t="shared" si="82"/>
        <v>1.381066723508991E-2</v>
      </c>
      <c r="O569" s="10">
        <f t="shared" si="83"/>
        <v>1.9783435964078933E-2</v>
      </c>
      <c r="P569" s="10">
        <f t="shared" si="84"/>
        <v>0.2569673944143463</v>
      </c>
      <c r="Q569" s="66">
        <f t="shared" si="87"/>
        <v>4</v>
      </c>
      <c r="R569" s="10">
        <f t="shared" si="85"/>
        <v>2.3014688437598279E-2</v>
      </c>
      <c r="V569" s="10">
        <f t="shared" si="86"/>
        <v>2.4644763664776526E-3</v>
      </c>
    </row>
    <row r="570" spans="11:22">
      <c r="K570" s="66">
        <v>27.9</v>
      </c>
      <c r="L570" s="10">
        <f t="shared" si="80"/>
        <v>0.8455556474626964</v>
      </c>
      <c r="M570" s="10">
        <f t="shared" si="81"/>
        <v>0.78692083095410115</v>
      </c>
      <c r="N570" s="10">
        <f t="shared" si="82"/>
        <v>1.3860335207742677E-2</v>
      </c>
      <c r="O570" s="10">
        <f t="shared" si="83"/>
        <v>1.9854740762190733E-2</v>
      </c>
      <c r="P570" s="10">
        <f t="shared" si="84"/>
        <v>0.25634128435718373</v>
      </c>
      <c r="Q570" s="66">
        <f t="shared" si="87"/>
        <v>2</v>
      </c>
      <c r="R570" s="10">
        <f t="shared" si="85"/>
        <v>1.1501273488046528E-2</v>
      </c>
      <c r="V570" s="10">
        <f t="shared" si="86"/>
        <v>1.2371314479772471E-3</v>
      </c>
    </row>
    <row r="571" spans="11:22">
      <c r="K571" s="66">
        <v>27.95</v>
      </c>
      <c r="L571" s="10">
        <f t="shared" si="80"/>
        <v>0.84496881386467482</v>
      </c>
      <c r="M571" s="10">
        <f t="shared" si="81"/>
        <v>0.7861386075200425</v>
      </c>
      <c r="N571" s="10">
        <f t="shared" si="82"/>
        <v>1.3910183106540918E-2</v>
      </c>
      <c r="O571" s="10">
        <f t="shared" si="83"/>
        <v>1.9926303867553553E-2</v>
      </c>
      <c r="P571" s="10">
        <f t="shared" si="84"/>
        <v>0.25571669983910583</v>
      </c>
      <c r="Q571" s="66">
        <f t="shared" si="87"/>
        <v>4</v>
      </c>
      <c r="R571" s="10">
        <f t="shared" si="85"/>
        <v>2.2990274380536004E-2</v>
      </c>
      <c r="V571" s="10">
        <f t="shared" si="86"/>
        <v>2.4840711222572144E-3</v>
      </c>
    </row>
    <row r="572" spans="11:22">
      <c r="K572" s="66">
        <v>28</v>
      </c>
      <c r="L572" s="10">
        <f t="shared" si="80"/>
        <v>0.84438027920026659</v>
      </c>
      <c r="M572" s="10">
        <f t="shared" si="81"/>
        <v>0.78535434642835089</v>
      </c>
      <c r="N572" s="10">
        <f t="shared" si="82"/>
        <v>1.3960211583281281E-2</v>
      </c>
      <c r="O572" s="10">
        <f t="shared" si="83"/>
        <v>1.9998126215905715E-2</v>
      </c>
      <c r="P572" s="10">
        <f t="shared" si="84"/>
        <v>0.25509363714308358</v>
      </c>
      <c r="Q572" s="66">
        <f t="shared" si="87"/>
        <v>2</v>
      </c>
      <c r="R572" s="10">
        <f t="shared" si="85"/>
        <v>1.1488935178489255E-2</v>
      </c>
      <c r="V572" s="10">
        <f t="shared" si="86"/>
        <v>1.2469504898991166E-3</v>
      </c>
    </row>
    <row r="573" spans="11:22">
      <c r="K573" s="66">
        <v>28.05</v>
      </c>
      <c r="L573" s="10">
        <f t="shared" si="80"/>
        <v>0.84379003996001278</v>
      </c>
      <c r="M573" s="10">
        <f t="shared" si="81"/>
        <v>0.784568045143481</v>
      </c>
      <c r="N573" s="10">
        <f t="shared" si="82"/>
        <v>1.4010421292121558E-2</v>
      </c>
      <c r="O573" s="10">
        <f t="shared" si="83"/>
        <v>2.007020874637537E-2</v>
      </c>
      <c r="P573" s="10">
        <f t="shared" si="84"/>
        <v>0.25447209256114334</v>
      </c>
      <c r="Q573" s="66">
        <f t="shared" si="87"/>
        <v>4</v>
      </c>
      <c r="R573" s="10">
        <f t="shared" si="85"/>
        <v>2.2965334613015025E-2</v>
      </c>
      <c r="V573" s="10">
        <f t="shared" si="86"/>
        <v>2.5037524017928426E-3</v>
      </c>
    </row>
    <row r="574" spans="11:22">
      <c r="K574" s="66">
        <v>28.1</v>
      </c>
      <c r="L574" s="10">
        <f t="shared" si="80"/>
        <v>0.84319809263807266</v>
      </c>
      <c r="M574" s="10">
        <f t="shared" si="81"/>
        <v>0.78377970114813633</v>
      </c>
      <c r="N574" s="10">
        <f t="shared" si="82"/>
        <v>1.4060812889589358E-2</v>
      </c>
      <c r="O574" s="10">
        <f t="shared" si="83"/>
        <v>2.0142552401492791E-2</v>
      </c>
      <c r="P574" s="10">
        <f t="shared" si="84"/>
        <v>0.25385206239434777</v>
      </c>
      <c r="Q574" s="66">
        <f t="shared" si="87"/>
        <v>2</v>
      </c>
      <c r="R574" s="10">
        <f t="shared" si="85"/>
        <v>1.1476333428902209E-2</v>
      </c>
      <c r="V574" s="10">
        <f t="shared" si="86"/>
        <v>1.2568126601256813E-3</v>
      </c>
    </row>
    <row r="575" spans="11:22">
      <c r="K575" s="66">
        <v>28.15</v>
      </c>
      <c r="L575" s="10">
        <f t="shared" si="80"/>
        <v>0.84260443373232552</v>
      </c>
      <c r="M575" s="10">
        <f t="shared" si="81"/>
        <v>0.78298931194346177</v>
      </c>
      <c r="N575" s="10">
        <f t="shared" si="82"/>
        <v>1.4111387034590552E-2</v>
      </c>
      <c r="O575" s="10">
        <f t="shared" si="83"/>
        <v>2.0215158127202572E-2</v>
      </c>
      <c r="P575" s="10">
        <f t="shared" si="84"/>
        <v>0.25323354295277112</v>
      </c>
      <c r="Q575" s="66">
        <f t="shared" si="87"/>
        <v>4</v>
      </c>
      <c r="R575" s="10">
        <f t="shared" si="85"/>
        <v>2.2939866802090668E-2</v>
      </c>
      <c r="V575" s="10">
        <f t="shared" si="86"/>
        <v>2.5235196659712513E-3</v>
      </c>
    </row>
    <row r="576" spans="11:22">
      <c r="K576" s="66">
        <v>28.2</v>
      </c>
      <c r="L576" s="10">
        <f t="shared" si="80"/>
        <v>0.84200905974447582</v>
      </c>
      <c r="M576" s="10">
        <f t="shared" si="81"/>
        <v>0.78219687504923618</v>
      </c>
      <c r="N576" s="10">
        <f t="shared" si="82"/>
        <v>1.4162144388417968E-2</v>
      </c>
      <c r="O576" s="10">
        <f t="shared" si="83"/>
        <v>2.0288026872876092E-2</v>
      </c>
      <c r="P576" s="10">
        <f t="shared" si="84"/>
        <v>0.25261653055547845</v>
      </c>
      <c r="Q576" s="66">
        <f t="shared" si="87"/>
        <v>2</v>
      </c>
      <c r="R576" s="10">
        <f t="shared" si="85"/>
        <v>1.1463467079112173E-2</v>
      </c>
      <c r="V576" s="10">
        <f t="shared" si="86"/>
        <v>1.2667176842646117E-3</v>
      </c>
    </row>
    <row r="577" spans="11:22">
      <c r="K577" s="66">
        <v>28.25</v>
      </c>
      <c r="L577" s="10">
        <f t="shared" si="80"/>
        <v>0.8414119671801561</v>
      </c>
      <c r="M577" s="10">
        <f t="shared" si="81"/>
        <v>0.78140238800406703</v>
      </c>
      <c r="N577" s="10">
        <f t="shared" si="82"/>
        <v>1.4213085614760012E-2</v>
      </c>
      <c r="O577" s="10">
        <f t="shared" si="83"/>
        <v>2.03611595913239E-2</v>
      </c>
      <c r="P577" s="10">
        <f t="shared" si="84"/>
        <v>0.25200102153050358</v>
      </c>
      <c r="Q577" s="66">
        <f t="shared" si="87"/>
        <v>4</v>
      </c>
      <c r="R577" s="10">
        <f t="shared" si="85"/>
        <v>2.2913868640183851E-2</v>
      </c>
      <c r="V577" s="10">
        <f t="shared" si="86"/>
        <v>2.5433723562733861E-3</v>
      </c>
    </row>
    <row r="578" spans="11:22">
      <c r="K578" s="66">
        <v>28.3</v>
      </c>
      <c r="L578" s="10">
        <f t="shared" si="80"/>
        <v>0.84081315254903266</v>
      </c>
      <c r="M578" s="10">
        <f t="shared" si="81"/>
        <v>0.78060584836558378</v>
      </c>
      <c r="N578" s="10">
        <f t="shared" si="82"/>
        <v>1.426421137970937E-2</v>
      </c>
      <c r="O578" s="10">
        <f t="shared" si="83"/>
        <v>2.043455723880817E-2</v>
      </c>
      <c r="P578" s="10">
        <f t="shared" si="84"/>
        <v>0.25138701221482718</v>
      </c>
      <c r="Q578" s="66">
        <f t="shared" si="87"/>
        <v>2</v>
      </c>
      <c r="R578" s="10">
        <f t="shared" si="85"/>
        <v>1.145033498179842E-2</v>
      </c>
      <c r="V578" s="10">
        <f t="shared" si="86"/>
        <v>1.2766652781576644E-3</v>
      </c>
    </row>
    <row r="579" spans="11:22">
      <c r="K579" s="66">
        <v>28.35</v>
      </c>
      <c r="L579" s="10">
        <f t="shared" si="80"/>
        <v>0.84021261236491207</v>
      </c>
      <c r="M579" s="10">
        <f t="shared" si="81"/>
        <v>0.77980725371063508</v>
      </c>
      <c r="N579" s="10">
        <f t="shared" si="82"/>
        <v>1.4315522351771691E-2</v>
      </c>
      <c r="O579" s="10">
        <f t="shared" si="83"/>
        <v>2.0508220775055222E-2</v>
      </c>
      <c r="P579" s="10">
        <f t="shared" si="84"/>
        <v>0.25077449895435505</v>
      </c>
      <c r="Q579" s="66">
        <f t="shared" si="87"/>
        <v>4</v>
      </c>
      <c r="R579" s="10">
        <f t="shared" si="85"/>
        <v>2.2887337845761819E-2</v>
      </c>
      <c r="V579" s="10">
        <f t="shared" si="86"/>
        <v>2.5633098945222151E-3</v>
      </c>
    </row>
    <row r="580" spans="11:22">
      <c r="K580" s="66">
        <v>28.4</v>
      </c>
      <c r="L580" s="10">
        <f t="shared" si="80"/>
        <v>0.83961034314584693</v>
      </c>
      <c r="M580" s="10">
        <f t="shared" si="81"/>
        <v>0.7790066016354853</v>
      </c>
      <c r="N580" s="10">
        <f t="shared" si="82"/>
        <v>1.4367019201874326E-2</v>
      </c>
      <c r="O580" s="10">
        <f t="shared" si="83"/>
        <v>2.0582151163268034E-2</v>
      </c>
      <c r="P580" s="10">
        <f t="shared" si="84"/>
        <v>0.25016347810389633</v>
      </c>
      <c r="Q580" s="66">
        <f t="shared" si="87"/>
        <v>2</v>
      </c>
      <c r="R580" s="10">
        <f t="shared" si="85"/>
        <v>1.1436936002834854E-2</v>
      </c>
      <c r="V580" s="10">
        <f t="shared" si="86"/>
        <v>1.2866551477544402E-3</v>
      </c>
    </row>
    <row r="581" spans="11:22">
      <c r="K581" s="66">
        <v>28.45</v>
      </c>
      <c r="L581" s="10">
        <f t="shared" si="80"/>
        <v>0.83900634141424379</v>
      </c>
      <c r="M581" s="10">
        <f t="shared" si="81"/>
        <v>0.77820388975601185</v>
      </c>
      <c r="N581" s="10">
        <f t="shared" si="82"/>
        <v>1.441870260337515E-2</v>
      </c>
      <c r="O581" s="10">
        <f t="shared" si="83"/>
        <v>2.0656349370138938E-2</v>
      </c>
      <c r="P581" s="10">
        <f t="shared" si="84"/>
        <v>0.24955394602714154</v>
      </c>
      <c r="Q581" s="66">
        <f t="shared" si="87"/>
        <v>4</v>
      </c>
      <c r="R581" s="10">
        <f t="shared" si="85"/>
        <v>2.2860272164025686E-2</v>
      </c>
      <c r="V581" s="10">
        <f t="shared" si="86"/>
        <v>2.5833316826299126E-3</v>
      </c>
    </row>
    <row r="582" spans="11:22">
      <c r="K582" s="66">
        <v>28.5</v>
      </c>
      <c r="L582" s="10">
        <f t="shared" si="80"/>
        <v>0.83840060369697134</v>
      </c>
      <c r="M582" s="10">
        <f t="shared" si="81"/>
        <v>0.77739911570790365</v>
      </c>
      <c r="N582" s="10">
        <f t="shared" si="82"/>
        <v>1.4470573232071276E-2</v>
      </c>
      <c r="O582" s="10">
        <f t="shared" si="83"/>
        <v>2.0730816365862062E-2</v>
      </c>
      <c r="P582" s="10">
        <f t="shared" si="84"/>
        <v>0.24894589909664167</v>
      </c>
      <c r="Q582" s="66">
        <f t="shared" si="87"/>
        <v>2</v>
      </c>
      <c r="R582" s="10">
        <f t="shared" si="85"/>
        <v>1.1423269021635433E-2</v>
      </c>
      <c r="V582" s="10">
        <f t="shared" si="86"/>
        <v>1.2966869889858546E-3</v>
      </c>
    </row>
    <row r="583" spans="11:22">
      <c r="K583" s="66">
        <v>28.55</v>
      </c>
      <c r="L583" s="10">
        <f t="shared" si="80"/>
        <v>0.83779312652546878</v>
      </c>
      <c r="M583" s="10">
        <f t="shared" si="81"/>
        <v>0.77659227714686163</v>
      </c>
      <c r="N583" s="10">
        <f t="shared" si="82"/>
        <v>1.4522631766207996E-2</v>
      </c>
      <c r="O583" s="10">
        <f t="shared" si="83"/>
        <v>2.0805553124146257E-2</v>
      </c>
      <c r="P583" s="10">
        <f t="shared" si="84"/>
        <v>0.24833933369378566</v>
      </c>
      <c r="Q583" s="66">
        <f t="shared" si="87"/>
        <v>4</v>
      </c>
      <c r="R583" s="10">
        <f t="shared" si="85"/>
        <v>2.2832669367604405E-2</v>
      </c>
      <c r="V583" s="10">
        <f t="shared" si="86"/>
        <v>2.6034371023445739E-3</v>
      </c>
    </row>
    <row r="584" spans="11:22">
      <c r="K584" s="66">
        <v>28.6</v>
      </c>
      <c r="L584" s="10">
        <f t="shared" si="80"/>
        <v>0.83718390643585683</v>
      </c>
      <c r="M584" s="10">
        <f t="shared" si="81"/>
        <v>0.77578337174879852</v>
      </c>
      <c r="N584" s="10">
        <f t="shared" si="82"/>
        <v>1.4574878886487572E-2</v>
      </c>
      <c r="O584" s="10">
        <f t="shared" si="83"/>
        <v>2.0880560622227644E-2</v>
      </c>
      <c r="P584" s="10">
        <f t="shared" si="84"/>
        <v>0.2477342462087796</v>
      </c>
      <c r="Q584" s="66">
        <f t="shared" si="87"/>
        <v>2</v>
      </c>
      <c r="R584" s="10">
        <f t="shared" si="85"/>
        <v>1.1409332931502737E-2</v>
      </c>
      <c r="V584" s="10">
        <f t="shared" si="86"/>
        <v>1.3067604876373711E-3</v>
      </c>
    </row>
    <row r="585" spans="11:22">
      <c r="K585" s="66">
        <v>28.65</v>
      </c>
      <c r="L585" s="10">
        <f t="shared" si="80"/>
        <v>0.83657293996904714</v>
      </c>
      <c r="M585" s="10">
        <f t="shared" si="81"/>
        <v>0.77497239721004119</v>
      </c>
      <c r="N585" s="10">
        <f t="shared" si="82"/>
        <v>1.4627315276078164E-2</v>
      </c>
      <c r="O585" s="10">
        <f t="shared" si="83"/>
        <v>2.0955839840882482E-2</v>
      </c>
      <c r="P585" s="10">
        <f t="shared" si="84"/>
        <v>0.24713063304062488</v>
      </c>
      <c r="Q585" s="66">
        <f t="shared" si="87"/>
        <v>4</v>
      </c>
      <c r="R585" s="10">
        <f t="shared" si="85"/>
        <v>2.2804527257255434E-2</v>
      </c>
      <c r="V585" s="10">
        <f t="shared" si="86"/>
        <v>2.6236255149964666E-3</v>
      </c>
    </row>
    <row r="586" spans="11:22">
      <c r="K586" s="66">
        <v>28.7</v>
      </c>
      <c r="L586" s="10">
        <f t="shared" si="80"/>
        <v>0.83596022367085365</v>
      </c>
      <c r="M586" s="10">
        <f t="shared" si="81"/>
        <v>0.77415935124753199</v>
      </c>
      <c r="N586" s="10">
        <f t="shared" si="82"/>
        <v>1.4679941620622786E-2</v>
      </c>
      <c r="O586" s="10">
        <f t="shared" si="83"/>
        <v>2.1031391764439956E-2</v>
      </c>
      <c r="P586" s="10">
        <f t="shared" si="84"/>
        <v>0.24652849059709681</v>
      </c>
      <c r="Q586" s="66">
        <f t="shared" si="87"/>
        <v>2</v>
      </c>
      <c r="R586" s="10">
        <f t="shared" si="85"/>
        <v>1.1395126639980007E-2</v>
      </c>
      <c r="V586" s="10">
        <f t="shared" si="86"/>
        <v>1.3168753192220283E-3</v>
      </c>
    </row>
    <row r="587" spans="11:22">
      <c r="K587" s="66">
        <v>28.75</v>
      </c>
      <c r="L587" s="10">
        <f t="shared" si="80"/>
        <v>0.83534575409210532</v>
      </c>
      <c r="M587" s="10">
        <f t="shared" si="81"/>
        <v>0.77334423159903309</v>
      </c>
      <c r="N587" s="10">
        <f t="shared" si="82"/>
        <v>1.4732758608248204E-2</v>
      </c>
      <c r="O587" s="10">
        <f t="shared" si="83"/>
        <v>2.1107217380795074E-2</v>
      </c>
      <c r="P587" s="10">
        <f t="shared" si="84"/>
        <v>0.2459278152947233</v>
      </c>
      <c r="Q587" s="66">
        <f t="shared" si="87"/>
        <v>4</v>
      </c>
      <c r="R587" s="10">
        <f t="shared" si="85"/>
        <v>2.2775843662571744E-2</v>
      </c>
      <c r="V587" s="10">
        <f t="shared" si="86"/>
        <v>2.6438962612439229E-3</v>
      </c>
    </row>
    <row r="588" spans="11:22">
      <c r="K588" s="66">
        <v>28.8</v>
      </c>
      <c r="L588" s="10">
        <f t="shared" ref="L588:L651" si="88">(B$7^K588)*B$8^((B$5^25)*((B$5^K588)-1))</f>
        <v>0.83472952778875864</v>
      </c>
      <c r="M588" s="10">
        <f t="shared" ref="M588:M651" si="89">(B$7^K588)*B$8^((B$5^30)*((B$5^K588)-1))</f>
        <v>0.77252703602333062</v>
      </c>
      <c r="N588" s="10">
        <f t="shared" si="82"/>
        <v>1.4785766929574024E-2</v>
      </c>
      <c r="O588" s="10">
        <f t="shared" si="83"/>
        <v>2.1183317681421544E-2</v>
      </c>
      <c r="P588" s="10">
        <f t="shared" si="84"/>
        <v>0.24532860355876365</v>
      </c>
      <c r="Q588" s="66">
        <f t="shared" si="87"/>
        <v>2</v>
      </c>
      <c r="R588" s="10">
        <f t="shared" si="85"/>
        <v>1.1380649069206192E-2</v>
      </c>
      <c r="V588" s="10">
        <f t="shared" si="86"/>
        <v>1.3270311488533121E-3</v>
      </c>
    </row>
    <row r="589" spans="11:22">
      <c r="K589" s="66">
        <v>28.85</v>
      </c>
      <c r="L589" s="10">
        <f t="shared" si="88"/>
        <v>0.83411154132201104</v>
      </c>
      <c r="M589" s="10">
        <f t="shared" si="89"/>
        <v>0.77170776230044003</v>
      </c>
      <c r="N589" s="10">
        <f t="shared" ref="N589:N652" si="90">B$3+B$4*(B$5^(25+K589))</f>
        <v>1.4838967277721651E-2</v>
      </c>
      <c r="O589" s="10">
        <f t="shared" ref="O589:O652" si="91">$B$3+$B$4*($B$5^(30+K589))</f>
        <v>2.1259693661384849E-2</v>
      </c>
      <c r="P589" s="10">
        <f t="shared" ref="P589:P652" si="92">(1+B$6)^-K589</f>
        <v>0.24473085182318691</v>
      </c>
      <c r="Q589" s="66">
        <f t="shared" si="87"/>
        <v>4</v>
      </c>
      <c r="R589" s="10">
        <f t="shared" ref="R589:R652" si="93">L589*M589*(N589+O589)*P589*Q589</f>
        <v>2.2746616442695454E-2</v>
      </c>
      <c r="V589" s="10">
        <f t="shared" si="86"/>
        <v>2.6642486608189175E-3</v>
      </c>
    </row>
    <row r="590" spans="11:22">
      <c r="K590" s="66">
        <v>28.9</v>
      </c>
      <c r="L590" s="10">
        <f t="shared" si="88"/>
        <v>0.83349179125841566</v>
      </c>
      <c r="M590" s="10">
        <f t="shared" si="89"/>
        <v>0.77088640823181209</v>
      </c>
      <c r="N590" s="10">
        <f t="shared" si="90"/>
        <v>1.4892360348323372E-2</v>
      </c>
      <c r="O590" s="10">
        <f t="shared" si="91"/>
        <v>2.1336346319355038E-2</v>
      </c>
      <c r="P590" s="10">
        <f t="shared" si="92"/>
        <v>0.24413455653065119</v>
      </c>
      <c r="Q590" s="66">
        <f t="shared" si="87"/>
        <v>2</v>
      </c>
      <c r="R590" s="10">
        <f t="shared" si="93"/>
        <v>1.1365899156274426E-2</v>
      </c>
      <c r="V590" s="10">
        <f t="shared" ref="V590:V653" si="94">(1-L590)*M590*O590*P590*Q590</f>
        <v>1.3372276311178883E-3</v>
      </c>
    </row>
    <row r="591" spans="11:22">
      <c r="K591" s="66">
        <v>28.95</v>
      </c>
      <c r="L591" s="10">
        <f t="shared" si="88"/>
        <v>0.8328702741699967</v>
      </c>
      <c r="M591" s="10">
        <f t="shared" si="89"/>
        <v>0.77006297164054072</v>
      </c>
      <c r="N591" s="10">
        <f t="shared" si="90"/>
        <v>1.4945946839531488E-2</v>
      </c>
      <c r="O591" s="10">
        <f t="shared" si="91"/>
        <v>2.1413276657620068E-2</v>
      </c>
      <c r="P591" s="10">
        <f t="shared" si="92"/>
        <v>0.24353971413248179</v>
      </c>
      <c r="Q591" s="66">
        <f t="shared" ref="Q591:Q654" si="95">IF(Q590=4,2,4)</f>
        <v>4</v>
      </c>
      <c r="R591" s="10">
        <f t="shared" si="93"/>
        <v>2.2716843487037685E-2</v>
      </c>
      <c r="V591" s="10">
        <f t="shared" si="94"/>
        <v>2.6846820122724468E-3</v>
      </c>
    </row>
    <row r="592" spans="11:22">
      <c r="K592" s="66">
        <v>29</v>
      </c>
      <c r="L592" s="10">
        <f t="shared" si="88"/>
        <v>0.83224698663436492</v>
      </c>
      <c r="M592" s="10">
        <f t="shared" si="89"/>
        <v>0.76923745037157021</v>
      </c>
      <c r="N592" s="10">
        <f t="shared" si="90"/>
        <v>1.4999727452027376E-2</v>
      </c>
      <c r="O592" s="10">
        <f t="shared" si="91"/>
        <v>2.1490485682098645E-2</v>
      </c>
      <c r="P592" s="10">
        <f t="shared" si="92"/>
        <v>0.24294632108865097</v>
      </c>
      <c r="Q592" s="66">
        <f t="shared" si="95"/>
        <v>2</v>
      </c>
      <c r="R592" s="10">
        <f t="shared" si="93"/>
        <v>1.1350875853593503E-2</v>
      </c>
      <c r="V592" s="10">
        <f t="shared" si="94"/>
        <v>1.3474644099482353E-3</v>
      </c>
    </row>
    <row r="593" spans="11:22">
      <c r="K593" s="66">
        <v>29.05</v>
      </c>
      <c r="L593" s="10">
        <f t="shared" si="88"/>
        <v>0.83162192523483525</v>
      </c>
      <c r="M593" s="10">
        <f t="shared" si="89"/>
        <v>0.76840984229190556</v>
      </c>
      <c r="N593" s="10">
        <f t="shared" si="90"/>
        <v>1.5053702889030674E-2</v>
      </c>
      <c r="O593" s="10">
        <f t="shared" si="91"/>
        <v>2.1567974402353522E-2</v>
      </c>
      <c r="P593" s="10">
        <f t="shared" si="92"/>
        <v>0.24235437386775552</v>
      </c>
      <c r="Q593" s="66">
        <f t="shared" si="95"/>
        <v>4</v>
      </c>
      <c r="R593" s="10">
        <f t="shared" si="93"/>
        <v>2.2686522716004742E-2</v>
      </c>
      <c r="V593" s="10">
        <f t="shared" si="94"/>
        <v>2.7051955927197124E-3</v>
      </c>
    </row>
    <row r="594" spans="11:22">
      <c r="K594" s="66">
        <v>29.1</v>
      </c>
      <c r="L594" s="10">
        <f t="shared" si="88"/>
        <v>0.83099508656054344</v>
      </c>
      <c r="M594" s="10">
        <f t="shared" si="89"/>
        <v>0.76758014529082108</v>
      </c>
      <c r="N594" s="10">
        <f t="shared" si="90"/>
        <v>1.510787385630856E-2</v>
      </c>
      <c r="O594" s="10">
        <f t="shared" si="91"/>
        <v>2.1645743831604749E-2</v>
      </c>
      <c r="P594" s="10">
        <f t="shared" si="92"/>
        <v>0.24176386894699783</v>
      </c>
      <c r="Q594" s="66">
        <f t="shared" si="95"/>
        <v>2</v>
      </c>
      <c r="R594" s="10">
        <f t="shared" si="93"/>
        <v>1.1335578129252491E-2</v>
      </c>
      <c r="V594" s="10">
        <f t="shared" si="94"/>
        <v>1.3577411184952175E-3</v>
      </c>
    </row>
    <row r="595" spans="11:22">
      <c r="K595" s="66">
        <v>29.15</v>
      </c>
      <c r="L595" s="10">
        <f t="shared" si="88"/>
        <v>0.83036646720656548</v>
      </c>
      <c r="M595" s="10">
        <f t="shared" si="89"/>
        <v>0.76674835728007296</v>
      </c>
      <c r="N595" s="10">
        <f t="shared" si="90"/>
        <v>1.5162241062184837E-2</v>
      </c>
      <c r="O595" s="10">
        <f t="shared" si="91"/>
        <v>2.1723794986742768E-2</v>
      </c>
      <c r="P595" s="10">
        <f t="shared" si="92"/>
        <v>0.241174802812163</v>
      </c>
      <c r="Q595" s="66">
        <f t="shared" si="95"/>
        <v>4</v>
      </c>
      <c r="R595" s="10">
        <f t="shared" si="93"/>
        <v>2.2655652081730759E-2</v>
      </c>
      <c r="V595" s="10">
        <f t="shared" si="94"/>
        <v>2.725788657585286E-3</v>
      </c>
    </row>
    <row r="596" spans="11:22">
      <c r="K596" s="66">
        <v>29.2</v>
      </c>
      <c r="L596" s="10">
        <f t="shared" si="88"/>
        <v>0.8297360637740363</v>
      </c>
      <c r="M596" s="10">
        <f t="shared" si="89"/>
        <v>0.76591447619411024</v>
      </c>
      <c r="N596" s="10">
        <f t="shared" si="90"/>
        <v>1.5216805217549315E-2</v>
      </c>
      <c r="O596" s="10">
        <f t="shared" si="91"/>
        <v>2.1802128888341803E-2</v>
      </c>
      <c r="P596" s="10">
        <f t="shared" si="92"/>
        <v>0.24058717195759857</v>
      </c>
      <c r="Q596" s="66">
        <f t="shared" si="95"/>
        <v>2</v>
      </c>
      <c r="R596" s="10">
        <f t="shared" si="93"/>
        <v>1.1320004967388742E-2</v>
      </c>
      <c r="V596" s="10">
        <f t="shared" si="94"/>
        <v>1.3680573790006783E-3</v>
      </c>
    </row>
    <row r="597" spans="11:22">
      <c r="K597" s="66">
        <v>29.25</v>
      </c>
      <c r="L597" s="10">
        <f t="shared" si="88"/>
        <v>0.82910387287026965</v>
      </c>
      <c r="M597" s="10">
        <f t="shared" si="89"/>
        <v>0.76507849999028721</v>
      </c>
      <c r="N597" s="10">
        <f t="shared" si="90"/>
        <v>1.5271567035867012E-2</v>
      </c>
      <c r="O597" s="10">
        <f t="shared" si="91"/>
        <v>2.1880746560673195E-2</v>
      </c>
      <c r="P597" s="10">
        <f t="shared" si="92"/>
        <v>0.2400009728861939</v>
      </c>
      <c r="Q597" s="66">
        <f t="shared" si="95"/>
        <v>4</v>
      </c>
      <c r="R597" s="10">
        <f t="shared" si="93"/>
        <v>2.2624229568816157E-2</v>
      </c>
      <c r="V597" s="10">
        <f t="shared" si="94"/>
        <v>2.7464604403482241E-3</v>
      </c>
    </row>
    <row r="598" spans="11:22">
      <c r="K598" s="66">
        <v>29.3</v>
      </c>
      <c r="L598" s="10">
        <f t="shared" si="88"/>
        <v>0.82846989110887936</v>
      </c>
      <c r="M598" s="10">
        <f t="shared" si="89"/>
        <v>0.76424042664907887</v>
      </c>
      <c r="N598" s="10">
        <f t="shared" si="90"/>
        <v>1.5326527233187573E-2</v>
      </c>
      <c r="O598" s="10">
        <f t="shared" si="91"/>
        <v>2.1959649031718764E-2</v>
      </c>
      <c r="P598" s="10">
        <f t="shared" si="92"/>
        <v>0.23941620210935921</v>
      </c>
      <c r="Q598" s="66">
        <f t="shared" si="95"/>
        <v>2</v>
      </c>
      <c r="R598" s="10">
        <f t="shared" si="93"/>
        <v>1.1304155368558458E-2</v>
      </c>
      <c r="V598" s="10">
        <f t="shared" si="94"/>
        <v>1.3784128026699933E-3</v>
      </c>
    </row>
    <row r="599" spans="11:22">
      <c r="K599" s="66">
        <v>29.35</v>
      </c>
      <c r="L599" s="10">
        <f t="shared" si="88"/>
        <v>0.82783411510990157</v>
      </c>
      <c r="M599" s="10">
        <f t="shared" si="89"/>
        <v>0.76340025417429436</v>
      </c>
      <c r="N599" s="10">
        <f t="shared" si="90"/>
        <v>1.5381686528154569E-2</v>
      </c>
      <c r="O599" s="10">
        <f t="shared" si="91"/>
        <v>2.2038837333184364E-2</v>
      </c>
      <c r="P599" s="10">
        <f t="shared" si="92"/>
        <v>0.23883285614700481</v>
      </c>
      <c r="Q599" s="66">
        <f t="shared" si="95"/>
        <v>4</v>
      </c>
      <c r="R599" s="10">
        <f t="shared" si="93"/>
        <v>2.2592253195072486E-2</v>
      </c>
      <c r="V599" s="10">
        <f t="shared" si="94"/>
        <v>2.7672101522873108E-3</v>
      </c>
    </row>
    <row r="600" spans="11:22">
      <c r="K600" s="66">
        <v>29.4</v>
      </c>
      <c r="L600" s="10">
        <f t="shared" si="88"/>
        <v>0.82719654149991584</v>
      </c>
      <c r="M600" s="10">
        <f t="shared" si="89"/>
        <v>0.76255798059329294</v>
      </c>
      <c r="N600" s="10">
        <f t="shared" si="90"/>
        <v>1.5437045642014901E-2</v>
      </c>
      <c r="O600" s="10">
        <f t="shared" si="91"/>
        <v>2.2118312500513139E-2</v>
      </c>
      <c r="P600" s="10">
        <f t="shared" si="92"/>
        <v>0.23825093152752025</v>
      </c>
      <c r="Q600" s="66">
        <f t="shared" si="95"/>
        <v>2</v>
      </c>
      <c r="R600" s="10">
        <f t="shared" si="93"/>
        <v>1.1288028350110828E-2</v>
      </c>
      <c r="V600" s="10">
        <f t="shared" si="94"/>
        <v>1.388806989544735E-3</v>
      </c>
    </row>
    <row r="601" spans="11:22">
      <c r="K601" s="66">
        <v>29.45</v>
      </c>
      <c r="L601" s="10">
        <f t="shared" si="88"/>
        <v>0.82655716691216918</v>
      </c>
      <c r="M601" s="10">
        <f t="shared" si="89"/>
        <v>0.76171360395720034</v>
      </c>
      <c r="N601" s="10">
        <f t="shared" si="90"/>
        <v>1.5492605298628287E-2</v>
      </c>
      <c r="O601" s="10">
        <f t="shared" si="91"/>
        <v>2.2198075572899358E-2</v>
      </c>
      <c r="P601" s="10">
        <f t="shared" si="92"/>
        <v>0.23767042478775388</v>
      </c>
      <c r="Q601" s="66">
        <f t="shared" si="95"/>
        <v>4</v>
      </c>
      <c r="R601" s="10">
        <f t="shared" si="93"/>
        <v>2.2559721012273184E-2</v>
      </c>
      <c r="V601" s="10">
        <f t="shared" si="94"/>
        <v>2.788036982226428E-3</v>
      </c>
    </row>
    <row r="602" spans="11:22">
      <c r="K602" s="66">
        <v>29.5</v>
      </c>
      <c r="L602" s="10">
        <f t="shared" si="88"/>
        <v>0.82591598798670085</v>
      </c>
      <c r="M602" s="10">
        <f t="shared" si="89"/>
        <v>0.76086712234112741</v>
      </c>
      <c r="N602" s="10">
        <f t="shared" si="90"/>
        <v>1.5548366224476622E-2</v>
      </c>
      <c r="O602" s="10">
        <f t="shared" si="91"/>
        <v>2.2278127593301715E-2</v>
      </c>
      <c r="P602" s="10">
        <f t="shared" si="92"/>
        <v>0.23709133247299205</v>
      </c>
      <c r="Q602" s="66">
        <f t="shared" si="95"/>
        <v>2</v>
      </c>
      <c r="R602" s="10">
        <f t="shared" si="93"/>
        <v>1.1271622946564697E-2</v>
      </c>
      <c r="V602" s="10">
        <f t="shared" si="94"/>
        <v>1.3992395283754261E-3</v>
      </c>
    </row>
    <row r="603" spans="11:22">
      <c r="K603" s="66">
        <v>29.55</v>
      </c>
      <c r="L603" s="10">
        <f t="shared" si="88"/>
        <v>0.82527300137046622</v>
      </c>
      <c r="M603" s="10">
        <f t="shared" si="89"/>
        <v>0.76001853384438744</v>
      </c>
      <c r="N603" s="10">
        <f t="shared" si="90"/>
        <v>1.5604329148673594E-2</v>
      </c>
      <c r="O603" s="10">
        <f t="shared" si="91"/>
        <v>2.2358469608457224E-2</v>
      </c>
      <c r="P603" s="10">
        <f t="shared" si="92"/>
        <v>0.23651365113693873</v>
      </c>
      <c r="Q603" s="66">
        <f t="shared" si="95"/>
        <v>4</v>
      </c>
      <c r="R603" s="10">
        <f t="shared" si="93"/>
        <v>2.2526631106910226E-2</v>
      </c>
      <c r="V603" s="10">
        <f t="shared" si="94"/>
        <v>2.808940096280224E-3</v>
      </c>
    </row>
    <row r="604" spans="11:22">
      <c r="K604" s="66">
        <v>29.6</v>
      </c>
      <c r="L604" s="10">
        <f t="shared" si="88"/>
        <v>0.82462820371746337</v>
      </c>
      <c r="M604" s="10">
        <f t="shared" si="89"/>
        <v>0.75916783659071596</v>
      </c>
      <c r="N604" s="10">
        <f t="shared" si="90"/>
        <v>1.5660494802974139E-2</v>
      </c>
      <c r="O604" s="10">
        <f t="shared" si="91"/>
        <v>2.243910266889472E-2</v>
      </c>
      <c r="P604" s="10">
        <f t="shared" si="92"/>
        <v>0.23593737734169479</v>
      </c>
      <c r="Q604" s="66">
        <f t="shared" si="95"/>
        <v>2</v>
      </c>
      <c r="R604" s="10">
        <f t="shared" si="93"/>
        <v>1.1254938209988513E-2</v>
      </c>
      <c r="V604" s="10">
        <f t="shared" si="94"/>
        <v>1.4097099964944378E-3</v>
      </c>
    </row>
    <row r="605" spans="11:22">
      <c r="K605" s="66">
        <v>29.65</v>
      </c>
      <c r="L605" s="10">
        <f t="shared" si="88"/>
        <v>0.82398159168885921</v>
      </c>
      <c r="M605" s="10">
        <f t="shared" si="89"/>
        <v>0.7583150287284911</v>
      </c>
      <c r="N605" s="10">
        <f t="shared" si="90"/>
        <v>1.5716863921784025E-2</v>
      </c>
      <c r="O605" s="10">
        <f t="shared" si="91"/>
        <v>2.2520027828948665E-2</v>
      </c>
      <c r="P605" s="10">
        <f t="shared" si="92"/>
        <v>0.23536250765773795</v>
      </c>
      <c r="Q605" s="66">
        <f t="shared" si="95"/>
        <v>4</v>
      </c>
      <c r="R605" s="10">
        <f t="shared" si="93"/>
        <v>2.2492981600956734E-2</v>
      </c>
      <c r="V605" s="10">
        <f t="shared" si="94"/>
        <v>2.8299186376000937E-3</v>
      </c>
    </row>
    <row r="606" spans="11:22">
      <c r="K606" s="66">
        <v>29.7</v>
      </c>
      <c r="L606" s="10">
        <f t="shared" si="88"/>
        <v>0.82333316195311723</v>
      </c>
      <c r="M606" s="10">
        <f t="shared" si="89"/>
        <v>0.75746010843095524</v>
      </c>
      <c r="N606" s="10">
        <f t="shared" si="90"/>
        <v>1.5773437242169494E-2</v>
      </c>
      <c r="O606" s="10">
        <f t="shared" si="91"/>
        <v>2.2601246146772957E-2</v>
      </c>
      <c r="P606" s="10">
        <f t="shared" si="92"/>
        <v>0.23478903866390169</v>
      </c>
      <c r="Q606" s="66">
        <f t="shared" si="95"/>
        <v>2</v>
      </c>
      <c r="R606" s="10">
        <f t="shared" si="93"/>
        <v>1.1237973210382982E-2</v>
      </c>
      <c r="V606" s="10">
        <f t="shared" si="94"/>
        <v>1.420217959689095E-3</v>
      </c>
    </row>
    <row r="607" spans="11:22">
      <c r="K607" s="66">
        <v>29.75</v>
      </c>
      <c r="L607" s="10">
        <f t="shared" si="88"/>
        <v>0.82268291118612591</v>
      </c>
      <c r="M607" s="10">
        <f t="shared" si="89"/>
        <v>0.75660307389643622</v>
      </c>
      <c r="N607" s="10">
        <f t="shared" si="90"/>
        <v>1.5830215503866818E-2</v>
      </c>
      <c r="O607" s="10">
        <f t="shared" si="91"/>
        <v>2.2682758684354706E-2</v>
      </c>
      <c r="P607" s="10">
        <f t="shared" si="92"/>
        <v>0.23421696694735553</v>
      </c>
      <c r="Q607" s="66">
        <f t="shared" si="95"/>
        <v>4</v>
      </c>
      <c r="R607" s="10">
        <f t="shared" si="93"/>
        <v>2.2458770652635202E-2</v>
      </c>
      <c r="V607" s="10">
        <f t="shared" si="94"/>
        <v>2.8509717261206028E-3</v>
      </c>
    </row>
    <row r="608" spans="11:22">
      <c r="K608" s="66">
        <v>29.8</v>
      </c>
      <c r="L608" s="10">
        <f t="shared" si="88"/>
        <v>0.82203083607132743</v>
      </c>
      <c r="M608" s="10">
        <f t="shared" si="89"/>
        <v>0.75574392334857132</v>
      </c>
      <c r="N608" s="10">
        <f t="shared" si="90"/>
        <v>1.588719944929207E-2</v>
      </c>
      <c r="O608" s="10">
        <f t="shared" si="91"/>
        <v>2.2764566507528165E-2</v>
      </c>
      <c r="P608" s="10">
        <f t="shared" si="92"/>
        <v>0.23364628910358443</v>
      </c>
      <c r="Q608" s="66">
        <f t="shared" si="95"/>
        <v>2</v>
      </c>
      <c r="R608" s="10">
        <f t="shared" si="93"/>
        <v>1.1220727036066608E-2</v>
      </c>
      <c r="V608" s="10">
        <f t="shared" si="94"/>
        <v>1.4307629720750035E-3</v>
      </c>
    </row>
    <row r="609" spans="11:22">
      <c r="K609" s="66">
        <v>29.85</v>
      </c>
      <c r="L609" s="10">
        <f t="shared" si="88"/>
        <v>0.82137693329984829</v>
      </c>
      <c r="M609" s="10">
        <f t="shared" si="89"/>
        <v>0.75488265503653129</v>
      </c>
      <c r="N609" s="10">
        <f t="shared" si="90"/>
        <v>1.5944389823550776E-2</v>
      </c>
      <c r="O609" s="10">
        <f t="shared" si="91"/>
        <v>2.2846670685988717E-2</v>
      </c>
      <c r="P609" s="10">
        <f t="shared" si="92"/>
        <v>0.23307700173636853</v>
      </c>
      <c r="Q609" s="66">
        <f t="shared" si="95"/>
        <v>4</v>
      </c>
      <c r="R609" s="10">
        <f t="shared" si="93"/>
        <v>2.2423996457191432E-2</v>
      </c>
      <c r="V609" s="10">
        <f t="shared" si="94"/>
        <v>2.8720984583064301E-3</v>
      </c>
    </row>
    <row r="610" spans="11:22">
      <c r="K610" s="66">
        <v>29.9</v>
      </c>
      <c r="L610" s="10">
        <f t="shared" si="88"/>
        <v>0.82072119957062961</v>
      </c>
      <c r="M610" s="10">
        <f t="shared" si="89"/>
        <v>0.75401926723524471</v>
      </c>
      <c r="N610" s="10">
        <f t="shared" si="90"/>
        <v>1.6001787374447626E-2</v>
      </c>
      <c r="O610" s="10">
        <f t="shared" si="91"/>
        <v>2.2929072293306662E-2</v>
      </c>
      <c r="P610" s="10">
        <f t="shared" si="92"/>
        <v>0.23250910145776296</v>
      </c>
      <c r="Q610" s="66">
        <f t="shared" si="95"/>
        <v>2</v>
      </c>
      <c r="R610" s="10">
        <f t="shared" si="93"/>
        <v>1.1203198794064147E-2</v>
      </c>
      <c r="V610" s="10">
        <f t="shared" si="94"/>
        <v>1.4413445759696812E-3</v>
      </c>
    </row>
    <row r="611" spans="11:22">
      <c r="K611" s="66">
        <v>29.95</v>
      </c>
      <c r="L611" s="10">
        <f t="shared" si="88"/>
        <v>0.82006363159055884</v>
      </c>
      <c r="M611" s="10">
        <f t="shared" si="89"/>
        <v>0.75315375824562403</v>
      </c>
      <c r="N611" s="10">
        <f t="shared" si="90"/>
        <v>1.605939285249635E-2</v>
      </c>
      <c r="O611" s="10">
        <f t="shared" si="91"/>
        <v>2.3011772406941571E-2</v>
      </c>
      <c r="P611" s="10">
        <f t="shared" si="92"/>
        <v>0.23194258488807784</v>
      </c>
      <c r="Q611" s="66">
        <f t="shared" si="95"/>
        <v>4</v>
      </c>
      <c r="R611" s="10">
        <f t="shared" si="93"/>
        <v>2.2388657247674075E-2</v>
      </c>
      <c r="V611" s="10">
        <f t="shared" si="94"/>
        <v>2.8932979068999349E-3</v>
      </c>
    </row>
    <row r="612" spans="11:22">
      <c r="K612" s="66">
        <v>30</v>
      </c>
      <c r="L612" s="10">
        <f t="shared" si="88"/>
        <v>0.81940422607460228</v>
      </c>
      <c r="M612" s="10">
        <f t="shared" si="89"/>
        <v>0.75228612639479209</v>
      </c>
      <c r="N612" s="10">
        <f t="shared" si="90"/>
        <v>1.6117207010929429E-2</v>
      </c>
      <c r="O612" s="10">
        <f t="shared" si="91"/>
        <v>2.3094772108256043E-2</v>
      </c>
      <c r="P612" s="10">
        <f t="shared" si="92"/>
        <v>0.23137744865585813</v>
      </c>
      <c r="Q612" s="66">
        <f t="shared" si="95"/>
        <v>2</v>
      </c>
      <c r="R612" s="10">
        <f t="shared" si="93"/>
        <v>1.1185387610497647E-2</v>
      </c>
      <c r="V612" s="10">
        <f t="shared" si="94"/>
        <v>1.4519623017665163E-3</v>
      </c>
    </row>
    <row r="613" spans="11:22">
      <c r="K613" s="66">
        <v>30.05</v>
      </c>
      <c r="L613" s="10">
        <f t="shared" si="88"/>
        <v>0.81874297974593968</v>
      </c>
      <c r="M613" s="10">
        <f t="shared" si="89"/>
        <v>0.75141637003631134</v>
      </c>
      <c r="N613" s="10">
        <f t="shared" si="90"/>
        <v>1.6175230605707969E-2</v>
      </c>
      <c r="O613" s="10">
        <f t="shared" si="91"/>
        <v>2.3178072482530038E-2</v>
      </c>
      <c r="P613" s="10">
        <f t="shared" si="92"/>
        <v>0.23081368939786243</v>
      </c>
      <c r="Q613" s="66">
        <f t="shared" si="95"/>
        <v>4</v>
      </c>
      <c r="R613" s="10">
        <f t="shared" si="93"/>
        <v>2.2352751295719508E-2</v>
      </c>
      <c r="V613" s="10">
        <f t="shared" si="94"/>
        <v>2.914569120669452E-3</v>
      </c>
    </row>
    <row r="614" spans="11:22">
      <c r="K614" s="66">
        <v>30.1</v>
      </c>
      <c r="L614" s="10">
        <f t="shared" si="88"/>
        <v>0.81807988933609599</v>
      </c>
      <c r="M614" s="10">
        <f t="shared" si="89"/>
        <v>0.75054448755040959</v>
      </c>
      <c r="N614" s="10">
        <f t="shared" si="90"/>
        <v>1.6233464395531701E-2</v>
      </c>
      <c r="O614" s="10">
        <f t="shared" si="91"/>
        <v>2.3261674618975107E-2</v>
      </c>
      <c r="P614" s="10">
        <f t="shared" si="92"/>
        <v>0.23025130375904557</v>
      </c>
      <c r="Q614" s="66">
        <f t="shared" si="95"/>
        <v>2</v>
      </c>
      <c r="R614" s="10">
        <f t="shared" si="93"/>
        <v>1.1167292630980189E-2</v>
      </c>
      <c r="V614" s="10">
        <f t="shared" si="94"/>
        <v>1.4626156678090765E-3</v>
      </c>
    </row>
    <row r="615" spans="11:22">
      <c r="K615" s="66">
        <v>30.15</v>
      </c>
      <c r="L615" s="10">
        <f t="shared" si="88"/>
        <v>0.81741495158507893</v>
      </c>
      <c r="M615" s="10">
        <f t="shared" si="89"/>
        <v>0.74967047734421244</v>
      </c>
      <c r="N615" s="10">
        <f t="shared" si="90"/>
        <v>1.62919091418487E-2</v>
      </c>
      <c r="O615" s="10">
        <f t="shared" si="91"/>
        <v>2.3345579610748474E-2</v>
      </c>
      <c r="P615" s="10">
        <f t="shared" si="92"/>
        <v>0.22969028839253616</v>
      </c>
      <c r="Q615" s="66">
        <f t="shared" si="95"/>
        <v>4</v>
      </c>
      <c r="R615" s="10">
        <f t="shared" si="93"/>
        <v>2.2316276912342222E-2</v>
      </c>
      <c r="V615" s="10">
        <f t="shared" si="94"/>
        <v>2.9359111241583713E-3</v>
      </c>
    </row>
    <row r="616" spans="11:22">
      <c r="K616" s="66">
        <v>30.2</v>
      </c>
      <c r="L616" s="10">
        <f t="shared" si="88"/>
        <v>0.816748163241513</v>
      </c>
      <c r="M616" s="10">
        <f t="shared" si="89"/>
        <v>0.74879433785197114</v>
      </c>
      <c r="N616" s="10">
        <f t="shared" si="90"/>
        <v>1.6350565608865514E-2</v>
      </c>
      <c r="O616" s="10">
        <f t="shared" si="91"/>
        <v>2.3429788554967437E-2</v>
      </c>
      <c r="P616" s="10">
        <f t="shared" si="92"/>
        <v>0.22913063995961763</v>
      </c>
      <c r="Q616" s="66">
        <f t="shared" si="95"/>
        <v>2</v>
      </c>
      <c r="R616" s="10">
        <f t="shared" si="93"/>
        <v>1.1148913021012572E-2</v>
      </c>
      <c r="V616" s="10">
        <f t="shared" si="94"/>
        <v>1.4733041802659384E-3</v>
      </c>
    </row>
    <row r="617" spans="11:22">
      <c r="K617" s="66">
        <v>30.25</v>
      </c>
      <c r="L617" s="10">
        <f t="shared" si="88"/>
        <v>0.81607952106277803</v>
      </c>
      <c r="M617" s="10">
        <f t="shared" si="89"/>
        <v>0.7479160675352956</v>
      </c>
      <c r="N617" s="10">
        <f t="shared" si="90"/>
        <v>1.6409434563557038E-2</v>
      </c>
      <c r="O617" s="10">
        <f t="shared" si="91"/>
        <v>2.351430255272368E-2</v>
      </c>
      <c r="P617" s="10">
        <f t="shared" si="92"/>
        <v>0.22857235512970844</v>
      </c>
      <c r="Q617" s="66">
        <f t="shared" si="95"/>
        <v>4</v>
      </c>
      <c r="R617" s="10">
        <f t="shared" si="93"/>
        <v>2.2279232448730139E-2</v>
      </c>
      <c r="V617" s="10">
        <f t="shared" si="94"/>
        <v>2.9573229174351791E-3</v>
      </c>
    </row>
    <row r="618" spans="11:22">
      <c r="K618" s="66">
        <v>30.3</v>
      </c>
      <c r="L618" s="10">
        <f t="shared" si="88"/>
        <v>0.81540902181514541</v>
      </c>
      <c r="M618" s="10">
        <f t="shared" si="89"/>
        <v>0.74703566488338591</v>
      </c>
      <c r="N618" s="10">
        <f t="shared" si="90"/>
        <v>1.6468516775676637E-2</v>
      </c>
      <c r="O618" s="10">
        <f t="shared" si="91"/>
        <v>2.3599122709097673E-2</v>
      </c>
      <c r="P618" s="10">
        <f t="shared" si="92"/>
        <v>0.2280154305803421</v>
      </c>
      <c r="Q618" s="66">
        <f t="shared" si="95"/>
        <v>2</v>
      </c>
      <c r="R618" s="10">
        <f t="shared" si="93"/>
        <v>1.113024796638208E-2</v>
      </c>
      <c r="V618" s="10">
        <f t="shared" si="94"/>
        <v>1.4840273330058943E-3</v>
      </c>
    </row>
    <row r="619" spans="11:22">
      <c r="K619" s="66">
        <v>30.35</v>
      </c>
      <c r="L619" s="10">
        <f t="shared" si="88"/>
        <v>0.81473666227391772</v>
      </c>
      <c r="M619" s="10">
        <f t="shared" si="89"/>
        <v>0.74615312841326487</v>
      </c>
      <c r="N619" s="10">
        <f t="shared" si="90"/>
        <v>1.6527813017766159E-2</v>
      </c>
      <c r="O619" s="10">
        <f t="shared" si="91"/>
        <v>2.3684250133173192E-2</v>
      </c>
      <c r="P619" s="10">
        <f t="shared" si="92"/>
        <v>0.22745986299714743</v>
      </c>
      <c r="Q619" s="66">
        <f t="shared" si="95"/>
        <v>4</v>
      </c>
      <c r="R619" s="10">
        <f t="shared" si="93"/>
        <v>2.2241616297045391E-2</v>
      </c>
      <c r="V619" s="10">
        <f t="shared" si="94"/>
        <v>2.978803475844474E-3</v>
      </c>
    </row>
    <row r="620" spans="11:22">
      <c r="K620" s="66">
        <v>30.4</v>
      </c>
      <c r="L620" s="10">
        <f t="shared" si="88"/>
        <v>0.81406243922356702</v>
      </c>
      <c r="M620" s="10">
        <f t="shared" si="89"/>
        <v>0.74526845667001329</v>
      </c>
      <c r="N620" s="10">
        <f t="shared" si="90"/>
        <v>1.6587324065166026E-2</v>
      </c>
      <c r="O620" s="10">
        <f t="shared" si="91"/>
        <v>2.3769685938051621E-2</v>
      </c>
      <c r="P620" s="10">
        <f t="shared" si="92"/>
        <v>0.22690564907382885</v>
      </c>
      <c r="Q620" s="66">
        <f t="shared" si="95"/>
        <v>2</v>
      </c>
      <c r="R620" s="10">
        <f t="shared" si="93"/>
        <v>1.1111296673564214E-2</v>
      </c>
      <c r="V620" s="10">
        <f t="shared" si="94"/>
        <v>1.4947846074737717E-3</v>
      </c>
    </row>
    <row r="621" spans="11:22">
      <c r="K621" s="66">
        <v>30.45</v>
      </c>
      <c r="L621" s="10">
        <f t="shared" si="88"/>
        <v>0.81338634945787647</v>
      </c>
      <c r="M621" s="10">
        <f t="shared" si="89"/>
        <v>0.74438164822700303</v>
      </c>
      <c r="N621" s="10">
        <f t="shared" si="90"/>
        <v>1.6647050696025407E-2</v>
      </c>
      <c r="O621" s="10">
        <f t="shared" si="91"/>
        <v>2.3855431240866812E-2</v>
      </c>
      <c r="P621" s="10">
        <f t="shared" si="92"/>
        <v>0.22635278551214652</v>
      </c>
      <c r="Q621" s="66">
        <f t="shared" si="95"/>
        <v>4</v>
      </c>
      <c r="R621" s="10">
        <f t="shared" si="93"/>
        <v>2.2203426891229786E-2</v>
      </c>
      <c r="V621" s="10">
        <f t="shared" si="94"/>
        <v>3.0003517497591537E-3</v>
      </c>
    </row>
    <row r="622" spans="11:22">
      <c r="K622" s="66">
        <v>30.5</v>
      </c>
      <c r="L622" s="10">
        <f t="shared" si="88"/>
        <v>0.81270838978007987</v>
      </c>
      <c r="M622" s="10">
        <f t="shared" si="89"/>
        <v>0.74349270168613379</v>
      </c>
      <c r="N622" s="10">
        <f t="shared" si="90"/>
        <v>1.6706993691312375E-2</v>
      </c>
      <c r="O622" s="10">
        <f t="shared" si="91"/>
        <v>2.3941487162799344E-2</v>
      </c>
      <c r="P622" s="10">
        <f t="shared" si="92"/>
        <v>0.22580126902189715</v>
      </c>
      <c r="Q622" s="66">
        <f t="shared" si="95"/>
        <v>2</v>
      </c>
      <c r="R622" s="10">
        <f t="shared" si="93"/>
        <v>1.1092058370126587E-2</v>
      </c>
      <c r="V622" s="10">
        <f t="shared" si="94"/>
        <v>1.505575472566815E-3</v>
      </c>
    </row>
    <row r="623" spans="11:22">
      <c r="K623" s="66">
        <v>30.55</v>
      </c>
      <c r="L623" s="10">
        <f t="shared" si="88"/>
        <v>0.81202855700300558</v>
      </c>
      <c r="M623" s="10">
        <f t="shared" si="89"/>
        <v>0.74260161567806993</v>
      </c>
      <c r="N623" s="10">
        <f t="shared" si="90"/>
        <v>1.6767153834824109E-2</v>
      </c>
      <c r="O623" s="10">
        <f t="shared" si="91"/>
        <v>2.4027854829091519E-2</v>
      </c>
      <c r="P623" s="10">
        <f t="shared" si="92"/>
        <v>0.22525109632089396</v>
      </c>
      <c r="Q623" s="66">
        <f t="shared" si="95"/>
        <v>4</v>
      </c>
      <c r="R623" s="10">
        <f t="shared" si="93"/>
        <v>2.2164662707815197E-2</v>
      </c>
      <c r="V623" s="10">
        <f t="shared" si="94"/>
        <v>3.0219666643338176E-3</v>
      </c>
    </row>
    <row r="624" spans="11:22">
      <c r="K624" s="66">
        <v>30.6</v>
      </c>
      <c r="L624" s="10">
        <f t="shared" si="88"/>
        <v>0.81134684794921785</v>
      </c>
      <c r="M624" s="10">
        <f t="shared" si="89"/>
        <v>0.74170838886247703</v>
      </c>
      <c r="N624" s="10">
        <f t="shared" si="90"/>
        <v>1.6827531913197195E-2</v>
      </c>
      <c r="O624" s="10">
        <f t="shared" si="91"/>
        <v>2.4114535369061822E-2</v>
      </c>
      <c r="P624" s="10">
        <f t="shared" si="92"/>
        <v>0.22470226413494743</v>
      </c>
      <c r="Q624" s="66">
        <f t="shared" si="95"/>
        <v>2</v>
      </c>
      <c r="R624" s="10">
        <f t="shared" si="93"/>
        <v>1.1072532305135396E-2</v>
      </c>
      <c r="V624" s="10">
        <f t="shared" si="94"/>
        <v>1.5163993845117229E-3</v>
      </c>
    </row>
    <row r="625" spans="11:22">
      <c r="K625" s="66">
        <v>30.65</v>
      </c>
      <c r="L625" s="10">
        <f t="shared" si="88"/>
        <v>0.81066325945116124</v>
      </c>
      <c r="M625" s="10">
        <f t="shared" si="89"/>
        <v>0.74081301992826032</v>
      </c>
      <c r="N625" s="10">
        <f t="shared" si="90"/>
        <v>1.6888128715917827E-2</v>
      </c>
      <c r="O625" s="10">
        <f t="shared" si="91"/>
        <v>2.4201529916119822E-2</v>
      </c>
      <c r="P625" s="10">
        <f t="shared" si="92"/>
        <v>0.22415476919784569</v>
      </c>
      <c r="Q625" s="66">
        <f t="shared" si="95"/>
        <v>4</v>
      </c>
      <c r="R625" s="10">
        <f t="shared" si="93"/>
        <v>2.2125322266738894E-2</v>
      </c>
      <c r="V625" s="10">
        <f t="shared" si="94"/>
        <v>3.0436471192595263E-3</v>
      </c>
    </row>
    <row r="626" spans="11:22">
      <c r="K626" s="66">
        <v>30.7</v>
      </c>
      <c r="L626" s="10">
        <f t="shared" si="88"/>
        <v>0.80997778835130541</v>
      </c>
      <c r="M626" s="10">
        <f t="shared" si="89"/>
        <v>0.73991550759380453</v>
      </c>
      <c r="N626" s="10">
        <f t="shared" si="90"/>
        <v>1.6948945035332199E-2</v>
      </c>
      <c r="O626" s="10">
        <f t="shared" si="91"/>
        <v>2.4288839607780926E-2</v>
      </c>
      <c r="P626" s="10">
        <f t="shared" si="92"/>
        <v>0.22360860825133494</v>
      </c>
      <c r="Q626" s="66">
        <f t="shared" si="95"/>
        <v>2</v>
      </c>
      <c r="R626" s="10">
        <f t="shared" si="93"/>
        <v>1.1052717749564104E-2</v>
      </c>
      <c r="V626" s="10">
        <f t="shared" si="94"/>
        <v>1.5272557867423819E-3</v>
      </c>
    </row>
    <row r="627" spans="11:22">
      <c r="K627" s="66">
        <v>30.75</v>
      </c>
      <c r="L627" s="10">
        <f t="shared" si="88"/>
        <v>0.8092904315022903</v>
      </c>
      <c r="M627" s="10">
        <f t="shared" si="89"/>
        <v>0.73901585060721309</v>
      </c>
      <c r="N627" s="10">
        <f t="shared" si="90"/>
        <v>1.7009981666656831E-2</v>
      </c>
      <c r="O627" s="10">
        <f t="shared" si="91"/>
        <v>2.4376465585681312E-2</v>
      </c>
      <c r="P627" s="10">
        <f t="shared" si="92"/>
        <v>0.22306377804510047</v>
      </c>
      <c r="Q627" s="66">
        <f t="shared" si="95"/>
        <v>4</v>
      </c>
      <c r="R627" s="10">
        <f t="shared" si="93"/>
        <v>2.2085404132162971E-2</v>
      </c>
      <c r="V627" s="10">
        <f t="shared" si="94"/>
        <v>3.0653919885200135E-3</v>
      </c>
    </row>
    <row r="628" spans="11:22">
      <c r="K628" s="66">
        <v>30.8</v>
      </c>
      <c r="L628" s="10">
        <f t="shared" si="88"/>
        <v>0.80860118576707296</v>
      </c>
      <c r="M628" s="10">
        <f t="shared" si="89"/>
        <v>0.73811404774654965</v>
      </c>
      <c r="N628" s="10">
        <f t="shared" si="90"/>
        <v>1.7071239407988985E-2</v>
      </c>
      <c r="O628" s="10">
        <f t="shared" si="91"/>
        <v>2.4464408995592775E-2</v>
      </c>
      <c r="P628" s="10">
        <f t="shared" si="92"/>
        <v>0.22252027533674706</v>
      </c>
      <c r="Q628" s="66">
        <f t="shared" si="95"/>
        <v>2</v>
      </c>
      <c r="R628" s="10">
        <f t="shared" si="93"/>
        <v>1.1032613996704408E-2</v>
      </c>
      <c r="V628" s="10">
        <f t="shared" si="94"/>
        <v>1.5381441097783665E-3</v>
      </c>
    </row>
    <row r="629" spans="11:22">
      <c r="K629" s="66">
        <v>30.85</v>
      </c>
      <c r="L629" s="10">
        <f t="shared" si="88"/>
        <v>0.80791004801907473</v>
      </c>
      <c r="M629" s="10">
        <f t="shared" si="89"/>
        <v>0.73721009782007951</v>
      </c>
      <c r="N629" s="10">
        <f t="shared" si="90"/>
        <v>1.7132719060317082E-2</v>
      </c>
      <c r="O629" s="10">
        <f t="shared" si="91"/>
        <v>2.455267098743787E-2</v>
      </c>
      <c r="P629" s="10">
        <f t="shared" si="92"/>
        <v>0.22197809689177952</v>
      </c>
      <c r="Q629" s="66">
        <f t="shared" si="95"/>
        <v>4</v>
      </c>
      <c r="R629" s="10">
        <f t="shared" si="93"/>
        <v>2.2044906913298731E-2</v>
      </c>
      <c r="V629" s="10">
        <f t="shared" si="94"/>
        <v>3.0872001201495032E-3</v>
      </c>
    </row>
    <row r="630" spans="11:22">
      <c r="K630" s="66">
        <v>30.9</v>
      </c>
      <c r="L630" s="10">
        <f t="shared" si="88"/>
        <v>0.80721701514232946</v>
      </c>
      <c r="M630" s="10">
        <f t="shared" si="89"/>
        <v>0.73630399966651183</v>
      </c>
      <c r="N630" s="10">
        <f t="shared" si="90"/>
        <v>1.7194421427531206E-2</v>
      </c>
      <c r="O630" s="10">
        <f t="shared" si="91"/>
        <v>2.4641252715304665E-2</v>
      </c>
      <c r="P630" s="10">
        <f t="shared" si="92"/>
        <v>0.22143723948358379</v>
      </c>
      <c r="Q630" s="66">
        <f t="shared" si="95"/>
        <v>2</v>
      </c>
      <c r="R630" s="10">
        <f t="shared" si="93"/>
        <v>1.101222036257945E-2</v>
      </c>
      <c r="V630" s="10">
        <f t="shared" si="94"/>
        <v>1.5490637711042593E-3</v>
      </c>
    </row>
    <row r="631" spans="11:22">
      <c r="K631" s="66">
        <v>30.95</v>
      </c>
      <c r="L631" s="10">
        <f t="shared" si="88"/>
        <v>0.80652208403163206</v>
      </c>
      <c r="M631" s="10">
        <f t="shared" si="89"/>
        <v>0.73539575215524366</v>
      </c>
      <c r="N631" s="10">
        <f t="shared" si="90"/>
        <v>1.7256347316433576E-2</v>
      </c>
      <c r="O631" s="10">
        <f t="shared" si="91"/>
        <v>2.4730155337462194E-2</v>
      </c>
      <c r="P631" s="10">
        <f t="shared" si="92"/>
        <v>0.22089769989340752</v>
      </c>
      <c r="Q631" s="66">
        <f t="shared" si="95"/>
        <v>4</v>
      </c>
      <c r="R631" s="10">
        <f t="shared" si="93"/>
        <v>2.2003829265234979E-2</v>
      </c>
      <c r="V631" s="10">
        <f t="shared" si="94"/>
        <v>3.109070335992197E-3</v>
      </c>
    </row>
    <row r="632" spans="11:22">
      <c r="K632" s="66">
        <v>31</v>
      </c>
      <c r="L632" s="10">
        <f t="shared" si="88"/>
        <v>0.80582525159268947</v>
      </c>
      <c r="M632" s="10">
        <f t="shared" si="89"/>
        <v>0.73448535418660355</v>
      </c>
      <c r="N632" s="10">
        <f t="shared" si="90"/>
        <v>1.7318497536749133E-2</v>
      </c>
      <c r="O632" s="10">
        <f t="shared" si="91"/>
        <v>2.4819380016375254E-2</v>
      </c>
      <c r="P632" s="10">
        <f t="shared" si="92"/>
        <v>0.220359474910341</v>
      </c>
      <c r="Q632" s="66">
        <f t="shared" si="95"/>
        <v>2</v>
      </c>
      <c r="R632" s="10">
        <f t="shared" si="93"/>
        <v>1.0991536186358994E-2</v>
      </c>
      <c r="V632" s="10">
        <f t="shared" si="94"/>
        <v>1.5600141750498546E-3</v>
      </c>
    </row>
    <row r="633" spans="11:22">
      <c r="K633" s="66">
        <v>31.05</v>
      </c>
      <c r="L633" s="10">
        <f t="shared" si="88"/>
        <v>0.80512651474227159</v>
      </c>
      <c r="M633" s="10">
        <f t="shared" si="89"/>
        <v>0.73357280469209762</v>
      </c>
      <c r="N633" s="10">
        <f t="shared" si="90"/>
        <v>1.7380872901136067E-2</v>
      </c>
      <c r="O633" s="10">
        <f t="shared" si="91"/>
        <v>2.4908927918719792E-2</v>
      </c>
      <c r="P633" s="10">
        <f t="shared" si="92"/>
        <v>0.21982256133129749</v>
      </c>
      <c r="Q633" s="66">
        <f t="shared" si="95"/>
        <v>4</v>
      </c>
      <c r="R633" s="10">
        <f t="shared" si="93"/>
        <v>2.1962169889770556E-2</v>
      </c>
      <c r="V633" s="10">
        <f t="shared" si="94"/>
        <v>3.1310014314636088E-3</v>
      </c>
    </row>
    <row r="634" spans="11:22">
      <c r="K634" s="66">
        <v>31.1</v>
      </c>
      <c r="L634" s="10">
        <f t="shared" si="88"/>
        <v>0.80442587040836144</v>
      </c>
      <c r="M634" s="10">
        <f t="shared" si="89"/>
        <v>0.73265810263465392</v>
      </c>
      <c r="N634" s="10">
        <f t="shared" si="90"/>
        <v>1.744347422519657E-2</v>
      </c>
      <c r="O634" s="10">
        <f t="shared" si="91"/>
        <v>2.4998800215398239E-2</v>
      </c>
      <c r="P634" s="10">
        <f t="shared" si="92"/>
        <v>0.21928695596099576</v>
      </c>
      <c r="Q634" s="66">
        <f t="shared" si="95"/>
        <v>2</v>
      </c>
      <c r="R634" s="10">
        <f t="shared" si="93"/>
        <v>1.097056083077667E-2</v>
      </c>
      <c r="V634" s="10">
        <f t="shared" si="94"/>
        <v>1.5709947126712697E-3</v>
      </c>
    </row>
    <row r="635" spans="11:22">
      <c r="K635" s="66">
        <v>31.15</v>
      </c>
      <c r="L635" s="10">
        <f t="shared" si="88"/>
        <v>0.80372331553030996</v>
      </c>
      <c r="M635" s="10">
        <f t="shared" si="89"/>
        <v>0.731741247008871</v>
      </c>
      <c r="N635" s="10">
        <f t="shared" si="90"/>
        <v>1.7506302327487355E-2</v>
      </c>
      <c r="O635" s="10">
        <f t="shared" si="91"/>
        <v>2.5088998081554608E-2</v>
      </c>
      <c r="P635" s="10">
        <f t="shared" si="92"/>
        <v>0.21875265561193921</v>
      </c>
      <c r="Q635" s="66">
        <f t="shared" si="95"/>
        <v>4</v>
      </c>
      <c r="R635" s="10">
        <f t="shared" si="93"/>
        <v>2.1919927536251028E-2</v>
      </c>
      <c r="V635" s="10">
        <f t="shared" si="94"/>
        <v>3.1529921753138384E-3</v>
      </c>
    </row>
    <row r="636" spans="11:22">
      <c r="K636" s="66">
        <v>31.2</v>
      </c>
      <c r="L636" s="10">
        <f t="shared" si="88"/>
        <v>0.80301884705898829</v>
      </c>
      <c r="M636" s="10">
        <f t="shared" si="89"/>
        <v>0.73082223684126346</v>
      </c>
      <c r="N636" s="10">
        <f t="shared" si="90"/>
        <v>1.756935802953042E-2</v>
      </c>
      <c r="O636" s="10">
        <f t="shared" si="91"/>
        <v>2.5179522696589993E-2</v>
      </c>
      <c r="P636" s="10">
        <f t="shared" si="92"/>
        <v>0.21821965710439775</v>
      </c>
      <c r="Q636" s="66">
        <f t="shared" si="95"/>
        <v>2</v>
      </c>
      <c r="R636" s="10">
        <f t="shared" si="93"/>
        <v>1.0949293682549403E-2</v>
      </c>
      <c r="V636" s="10">
        <f t="shared" si="94"/>
        <v>1.5820047616331467E-3</v>
      </c>
    </row>
    <row r="637" spans="11:22">
      <c r="K637" s="66">
        <v>31.25</v>
      </c>
      <c r="L637" s="10">
        <f t="shared" si="88"/>
        <v>0.80231246195694284</v>
      </c>
      <c r="M637" s="10">
        <f t="shared" si="89"/>
        <v>0.72990107119051195</v>
      </c>
      <c r="N637" s="10">
        <f t="shared" si="90"/>
        <v>1.7632642155823816E-2</v>
      </c>
      <c r="O637" s="10">
        <f t="shared" si="91"/>
        <v>2.527037524417796E-2</v>
      </c>
      <c r="P637" s="10">
        <f t="shared" si="92"/>
        <v>0.21768795726638904</v>
      </c>
      <c r="Q637" s="66">
        <f t="shared" si="95"/>
        <v>4</v>
      </c>
      <c r="R637" s="10">
        <f t="shared" si="93"/>
        <v>2.1877101002408795E-2</v>
      </c>
      <c r="V637" s="10">
        <f t="shared" si="94"/>
        <v>3.1750413093928932E-3</v>
      </c>
    </row>
    <row r="638" spans="11:22">
      <c r="K638" s="66">
        <v>31.3</v>
      </c>
      <c r="L638" s="10">
        <f t="shared" si="88"/>
        <v>0.80160415719855005</v>
      </c>
      <c r="M638" s="10">
        <f t="shared" si="89"/>
        <v>0.72897774914771118</v>
      </c>
      <c r="N638" s="10">
        <f t="shared" si="90"/>
        <v>1.7696155533852391E-2</v>
      </c>
      <c r="O638" s="10">
        <f t="shared" si="91"/>
        <v>2.5361556912279998E-2</v>
      </c>
      <c r="P638" s="10">
        <f t="shared" si="92"/>
        <v>0.21715755293365913</v>
      </c>
      <c r="Q638" s="66">
        <f t="shared" si="95"/>
        <v>2</v>
      </c>
      <c r="R638" s="10">
        <f t="shared" si="93"/>
        <v>1.0927734152798213E-2</v>
      </c>
      <c r="V638" s="10">
        <f t="shared" si="94"/>
        <v>1.5930436860918076E-3</v>
      </c>
    </row>
    <row r="639" spans="11:22">
      <c r="K639" s="66">
        <v>31.35</v>
      </c>
      <c r="L639" s="10">
        <f t="shared" si="88"/>
        <v>0.80089392977017382</v>
      </c>
      <c r="M639" s="10">
        <f t="shared" si="89"/>
        <v>0.72805226983662119</v>
      </c>
      <c r="N639" s="10">
        <f t="shared" si="90"/>
        <v>1.7759898994098623E-2</v>
      </c>
      <c r="O639" s="10">
        <f t="shared" si="91"/>
        <v>2.5453068893161183E-2</v>
      </c>
      <c r="P639" s="10">
        <f t="shared" si="92"/>
        <v>0.21662844094966419</v>
      </c>
      <c r="Q639" s="66">
        <f t="shared" si="95"/>
        <v>4</v>
      </c>
      <c r="R639" s="10">
        <f t="shared" si="93"/>
        <v>2.183368913520712E-2</v>
      </c>
      <c r="V639" s="10">
        <f t="shared" si="94"/>
        <v>3.1971475484182583E-3</v>
      </c>
    </row>
    <row r="640" spans="11:22">
      <c r="K640" s="66">
        <v>31.4</v>
      </c>
      <c r="L640" s="10">
        <f t="shared" si="88"/>
        <v>0.80018177667032186</v>
      </c>
      <c r="M640" s="10">
        <f t="shared" si="89"/>
        <v>0.72712463241391645</v>
      </c>
      <c r="N640" s="10">
        <f t="shared" si="90"/>
        <v>1.7823873370053478E-2</v>
      </c>
      <c r="O640" s="10">
        <f t="shared" si="91"/>
        <v>2.5544912383405494E-2</v>
      </c>
      <c r="P640" s="10">
        <f t="shared" si="92"/>
        <v>0.21610061816555123</v>
      </c>
      <c r="Q640" s="66">
        <f t="shared" si="95"/>
        <v>2</v>
      </c>
      <c r="R640" s="10">
        <f t="shared" si="93"/>
        <v>1.0905881677471288E-2</v>
      </c>
      <c r="V640" s="10">
        <f t="shared" si="94"/>
        <v>1.6041108365796402E-3</v>
      </c>
    </row>
    <row r="641" spans="11:22">
      <c r="K641" s="66">
        <v>31.45</v>
      </c>
      <c r="L641" s="10">
        <f t="shared" si="88"/>
        <v>0.79946769490980385</v>
      </c>
      <c r="M641" s="10">
        <f t="shared" si="89"/>
        <v>0.72619483606943847</v>
      </c>
      <c r="N641" s="10">
        <f t="shared" si="90"/>
        <v>1.7888079498227311E-2</v>
      </c>
      <c r="O641" s="10">
        <f t="shared" si="91"/>
        <v>2.5637088583931798E-2</v>
      </c>
      <c r="P641" s="10">
        <f t="shared" si="92"/>
        <v>0.21557408144013954</v>
      </c>
      <c r="Q641" s="66">
        <f t="shared" si="95"/>
        <v>4</v>
      </c>
      <c r="R641" s="10">
        <f t="shared" si="93"/>
        <v>2.1789690831687639E-2</v>
      </c>
      <c r="V641" s="10">
        <f t="shared" si="94"/>
        <v>3.2193095797447492E-3</v>
      </c>
    </row>
    <row r="642" spans="11:22">
      <c r="K642" s="66">
        <v>31.5</v>
      </c>
      <c r="L642" s="10">
        <f t="shared" si="88"/>
        <v>0.79875168151189058</v>
      </c>
      <c r="M642" s="10">
        <f t="shared" si="89"/>
        <v>0.7252628800264479</v>
      </c>
      <c r="N642" s="10">
        <f t="shared" si="90"/>
        <v>1.7952518218160789E-2</v>
      </c>
      <c r="O642" s="10">
        <f t="shared" si="91"/>
        <v>2.5729598700009296E-2</v>
      </c>
      <c r="P642" s="10">
        <f t="shared" si="92"/>
        <v>0.21504882763990207</v>
      </c>
      <c r="Q642" s="66">
        <f t="shared" si="95"/>
        <v>2</v>
      </c>
      <c r="R642" s="10">
        <f t="shared" si="93"/>
        <v>1.0883735717768395E-2</v>
      </c>
      <c r="V642" s="10">
        <f t="shared" si="94"/>
        <v>1.6152055498906276E-3</v>
      </c>
    </row>
    <row r="643" spans="11:22">
      <c r="K643" s="66">
        <v>31.55</v>
      </c>
      <c r="L643" s="10">
        <f t="shared" si="88"/>
        <v>0.79803373351247453</v>
      </c>
      <c r="M643" s="10">
        <f t="shared" si="89"/>
        <v>0.72432876354187736</v>
      </c>
      <c r="N643" s="10">
        <f t="shared" si="90"/>
        <v>1.8017190372435918E-2</v>
      </c>
      <c r="O643" s="10">
        <f t="shared" si="91"/>
        <v>2.5822443941273383E-2</v>
      </c>
      <c r="P643" s="10">
        <f t="shared" si="92"/>
        <v>0.21452485363894669</v>
      </c>
      <c r="Q643" s="66">
        <f t="shared" si="95"/>
        <v>4</v>
      </c>
      <c r="R643" s="10">
        <f t="shared" si="93"/>
        <v>2.1745105039820928E-2</v>
      </c>
      <c r="V643" s="10">
        <f t="shared" si="94"/>
        <v>3.2415260631368996E-3</v>
      </c>
    </row>
    <row r="644" spans="11:22">
      <c r="K644" s="66">
        <v>31.6</v>
      </c>
      <c r="L644" s="10">
        <f t="shared" si="88"/>
        <v>0.79731384796022986</v>
      </c>
      <c r="M644" s="10">
        <f t="shared" si="89"/>
        <v>0.72339248590658589</v>
      </c>
      <c r="N644" s="10">
        <f t="shared" si="90"/>
        <v>1.8082096806686983E-2</v>
      </c>
      <c r="O644" s="10">
        <f t="shared" si="91"/>
        <v>2.591562552174146E-2</v>
      </c>
      <c r="P644" s="10">
        <f t="shared" si="92"/>
        <v>0.21400215631899755</v>
      </c>
      <c r="Q644" s="66">
        <f t="shared" si="95"/>
        <v>2</v>
      </c>
      <c r="R644" s="10">
        <f t="shared" si="93"/>
        <v>1.0861295760567054E-2</v>
      </c>
      <c r="V644" s="10">
        <f t="shared" si="94"/>
        <v>1.626327148967171E-3</v>
      </c>
    </row>
    <row r="645" spans="11:22">
      <c r="K645" s="66">
        <v>31.65</v>
      </c>
      <c r="L645" s="10">
        <f t="shared" si="88"/>
        <v>0.79659202191677458</v>
      </c>
      <c r="M645" s="10">
        <f t="shared" si="89"/>
        <v>0.72245404644561317</v>
      </c>
      <c r="N645" s="10">
        <f t="shared" si="90"/>
        <v>1.8147238369611664E-2</v>
      </c>
      <c r="O645" s="10">
        <f t="shared" si="91"/>
        <v>2.6009144659828804E-2</v>
      </c>
      <c r="P645" s="10">
        <f t="shared" si="92"/>
        <v>0.2134807325693768</v>
      </c>
      <c r="Q645" s="66">
        <f t="shared" si="95"/>
        <v>4</v>
      </c>
      <c r="R645" s="10">
        <f t="shared" si="93"/>
        <v>2.1699930759360331E-2</v>
      </c>
      <c r="V645" s="10">
        <f t="shared" si="94"/>
        <v>3.2637956305438674E-3</v>
      </c>
    </row>
    <row r="646" spans="11:22">
      <c r="K646" s="66">
        <v>31.7</v>
      </c>
      <c r="L646" s="10">
        <f t="shared" si="88"/>
        <v>0.79586825245683335</v>
      </c>
      <c r="M646" s="10">
        <f t="shared" si="89"/>
        <v>0.72151344451843469</v>
      </c>
      <c r="N646" s="10">
        <f t="shared" si="90"/>
        <v>1.8212615912982115E-2</v>
      </c>
      <c r="O646" s="10">
        <f t="shared" si="91"/>
        <v>2.6103002578364495E-2</v>
      </c>
      <c r="P646" s="10">
        <f t="shared" si="92"/>
        <v>0.21296057928698564</v>
      </c>
      <c r="Q646" s="66">
        <f t="shared" si="95"/>
        <v>2</v>
      </c>
      <c r="R646" s="10">
        <f t="shared" si="93"/>
        <v>1.0838561318850182E-2</v>
      </c>
      <c r="V646" s="10">
        <f t="shared" si="94"/>
        <v>1.6374749427882512E-3</v>
      </c>
    </row>
    <row r="647" spans="11:22">
      <c r="K647" s="66">
        <v>31.75</v>
      </c>
      <c r="L647" s="10">
        <f t="shared" si="88"/>
        <v>0.79514253666840096</v>
      </c>
      <c r="M647" s="10">
        <f t="shared" si="89"/>
        <v>0.72057067951921783</v>
      </c>
      <c r="N647" s="10">
        <f t="shared" si="90"/>
        <v>1.8278230291656095E-2</v>
      </c>
      <c r="O647" s="10">
        <f t="shared" si="91"/>
        <v>2.6197200504607408E-2</v>
      </c>
      <c r="P647" s="10">
        <f t="shared" si="92"/>
        <v>0.21244169337628621</v>
      </c>
      <c r="Q647" s="66">
        <f t="shared" si="95"/>
        <v>4</v>
      </c>
      <c r="R647" s="10">
        <f t="shared" si="93"/>
        <v>2.1654167042698621E-2</v>
      </c>
      <c r="V647" s="10">
        <f t="shared" si="94"/>
        <v>3.2861168858771815E-3</v>
      </c>
    </row>
    <row r="648" spans="11:22">
      <c r="K648" s="66">
        <v>31.8</v>
      </c>
      <c r="L648" s="10">
        <f t="shared" si="88"/>
        <v>0.79441487165290714</v>
      </c>
      <c r="M648" s="10">
        <f t="shared" si="89"/>
        <v>0.71962575087708014</v>
      </c>
      <c r="N648" s="10">
        <f t="shared" si="90"/>
        <v>1.8344082363588157E-2</v>
      </c>
      <c r="O648" s="10">
        <f t="shared" si="91"/>
        <v>2.6291739670262233E-2</v>
      </c>
      <c r="P648" s="10">
        <f t="shared" si="92"/>
        <v>0.21192407174928291</v>
      </c>
      <c r="Q648" s="66">
        <f t="shared" si="95"/>
        <v>2</v>
      </c>
      <c r="R648" s="10">
        <f t="shared" si="93"/>
        <v>1.0815531932135056E-2</v>
      </c>
      <c r="V648" s="10">
        <f t="shared" si="94"/>
        <v>1.6486482262589796E-3</v>
      </c>
    </row>
    <row r="649" spans="11:22">
      <c r="K649" s="66">
        <v>31.85</v>
      </c>
      <c r="L649" s="10">
        <f t="shared" si="88"/>
        <v>0.79368525452538152</v>
      </c>
      <c r="M649" s="10">
        <f t="shared" si="89"/>
        <v>0.7186786580563449</v>
      </c>
      <c r="N649" s="10">
        <f t="shared" si="90"/>
        <v>1.8410172989840868E-2</v>
      </c>
      <c r="O649" s="10">
        <f t="shared" si="91"/>
        <v>2.6386621311495707E-2</v>
      </c>
      <c r="P649" s="10">
        <f t="shared" si="92"/>
        <v>0.21140771132550432</v>
      </c>
      <c r="Q649" s="66">
        <f t="shared" si="95"/>
        <v>4</v>
      </c>
      <c r="R649" s="10">
        <f t="shared" si="93"/>
        <v>2.1607812995727397E-2</v>
      </c>
      <c r="V649" s="10">
        <f t="shared" si="94"/>
        <v>3.3084884047912947E-3</v>
      </c>
    </row>
    <row r="650" spans="11:22">
      <c r="K650" s="66">
        <v>31.9</v>
      </c>
      <c r="L650" s="10">
        <f t="shared" si="88"/>
        <v>0.79295368241462061</v>
      </c>
      <c r="M650" s="10">
        <f t="shared" si="89"/>
        <v>0.71772940055680112</v>
      </c>
      <c r="N650" s="10">
        <f t="shared" si="90"/>
        <v>1.8476503034596047E-2</v>
      </c>
      <c r="O650" s="10">
        <f t="shared" si="91"/>
        <v>2.6481846668952515E-2</v>
      </c>
      <c r="P650" s="10">
        <f t="shared" si="92"/>
        <v>0.21089260903198456</v>
      </c>
      <c r="Q650" s="66">
        <f t="shared" si="95"/>
        <v>2</v>
      </c>
      <c r="R650" s="10">
        <f t="shared" si="93"/>
        <v>1.0792207166903735E-2</v>
      </c>
      <c r="V650" s="10">
        <f t="shared" si="94"/>
        <v>1.6598462801016593E-3</v>
      </c>
    </row>
    <row r="651" spans="11:22">
      <c r="K651" s="66">
        <v>31.95</v>
      </c>
      <c r="L651" s="10">
        <f t="shared" si="88"/>
        <v>0.79222015246335464</v>
      </c>
      <c r="M651" s="10">
        <f t="shared" si="89"/>
        <v>0.71677797791396136</v>
      </c>
      <c r="N651" s="10">
        <f t="shared" si="90"/>
        <v>1.8543073365166092E-2</v>
      </c>
      <c r="O651" s="10">
        <f t="shared" si="91"/>
        <v>2.6577416987771833E-2</v>
      </c>
      <c r="P651" s="10">
        <f t="shared" si="92"/>
        <v>0.21037876180324522</v>
      </c>
      <c r="Q651" s="66">
        <f t="shared" si="95"/>
        <v>4</v>
      </c>
      <c r="R651" s="10">
        <f t="shared" si="93"/>
        <v>2.1560867778698933E-2</v>
      </c>
      <c r="V651" s="10">
        <f t="shared" si="94"/>
        <v>3.3309087344672423E-3</v>
      </c>
    </row>
    <row r="652" spans="11:22">
      <c r="K652" s="66">
        <v>32</v>
      </c>
      <c r="L652" s="10">
        <f t="shared" ref="L652:L715" si="96">(B$7^K652)*B$8^((B$5^25)*((B$5^K652)-1))</f>
        <v>0.79148466182841593</v>
      </c>
      <c r="M652" s="10">
        <f t="shared" ref="M652:M715" si="97">(B$7^K652)*B$8^((B$5^30)*((B$5^K652)-1))</f>
        <v>0.71582438969932261</v>
      </c>
      <c r="N652" s="10">
        <f t="shared" si="90"/>
        <v>1.8609884852005321E-2</v>
      </c>
      <c r="O652" s="10">
        <f t="shared" si="91"/>
        <v>2.6673333517603391E-2</v>
      </c>
      <c r="P652" s="10">
        <f t="shared" si="92"/>
        <v>0.20986616658127716</v>
      </c>
      <c r="Q652" s="66">
        <f t="shared" si="95"/>
        <v>2</v>
      </c>
      <c r="R652" s="10">
        <f t="shared" si="93"/>
        <v>1.0768586617034486E-2</v>
      </c>
      <c r="V652" s="10">
        <f t="shared" si="94"/>
        <v>1.6710683707483755E-3</v>
      </c>
    </row>
    <row r="653" spans="11:22">
      <c r="K653" s="66">
        <v>32.049999999999997</v>
      </c>
      <c r="L653" s="10">
        <f t="shared" si="96"/>
        <v>0.79074720768090934</v>
      </c>
      <c r="M653" s="10">
        <f t="shared" si="97"/>
        <v>0.71486863552062696</v>
      </c>
      <c r="N653" s="10">
        <f t="shared" ref="N653:N716" si="98">B$3+B$4*(B$5^(25+K653))</f>
        <v>1.8676938368721273E-2</v>
      </c>
      <c r="O653" s="10">
        <f t="shared" ref="O653:O716" si="99">$B$3+$B$4*($B$5^(30+K653))</f>
        <v>2.6769597512623772E-2</v>
      </c>
      <c r="P653" s="10">
        <f t="shared" ref="P653:P716" si="100">(1+B$6)^-K653</f>
        <v>0.20935482031552149</v>
      </c>
      <c r="Q653" s="66">
        <f t="shared" si="95"/>
        <v>4</v>
      </c>
      <c r="R653" s="10">
        <f t="shared" ref="R653:R716" si="101">L653*M653*(N653+O653)*P653*Q653</f>
        <v>2.1513330607090361E-2</v>
      </c>
      <c r="V653" s="10">
        <f t="shared" si="94"/>
        <v>3.3533763933994353E-3</v>
      </c>
    </row>
    <row r="654" spans="11:22">
      <c r="K654" s="66">
        <v>32.1</v>
      </c>
      <c r="L654" s="10">
        <f t="shared" si="96"/>
        <v>0.7900077872063791</v>
      </c>
      <c r="M654" s="10">
        <f t="shared" si="97"/>
        <v>0.71391071502212033</v>
      </c>
      <c r="N654" s="10">
        <f t="shared" si="98"/>
        <v>1.8744234792086315E-2</v>
      </c>
      <c r="O654" s="10">
        <f t="shared" si="99"/>
        <v>2.6866210231553105E-2</v>
      </c>
      <c r="P654" s="10">
        <f t="shared" si="100"/>
        <v>0.20884471996285311</v>
      </c>
      <c r="Q654" s="66">
        <f t="shared" si="95"/>
        <v>2</v>
      </c>
      <c r="R654" s="10">
        <f t="shared" si="101"/>
        <v>1.0744669904234394E-2</v>
      </c>
      <c r="V654" s="10">
        <f t="shared" ref="V654:V717" si="102">(1-L654)*M654*O654*P654*Q654</f>
        <v>1.6823137502352055E-3</v>
      </c>
    </row>
    <row r="655" spans="11:22">
      <c r="K655" s="66">
        <v>32.15</v>
      </c>
      <c r="L655" s="10">
        <f t="shared" si="96"/>
        <v>0.78926639760498396</v>
      </c>
      <c r="M655" s="10">
        <f t="shared" si="97"/>
        <v>0.71295062788481844</v>
      </c>
      <c r="N655" s="10">
        <f t="shared" si="98"/>
        <v>1.8811775002048906E-2</v>
      </c>
      <c r="O655" s="10">
        <f t="shared" si="99"/>
        <v>2.6963172937671205E-2</v>
      </c>
      <c r="P655" s="10">
        <f t="shared" si="100"/>
        <v>0.20833586248756114</v>
      </c>
      <c r="Q655" s="66">
        <f t="shared" ref="Q655:Q718" si="103">IF(Q654=4,2,4)</f>
        <v>4</v>
      </c>
      <c r="R655" s="10">
        <f t="shared" si="101"/>
        <v>2.1465200752469854E-2</v>
      </c>
      <c r="V655" s="10">
        <f t="shared" si="102"/>
        <v>3.3758898711857962E-3</v>
      </c>
    </row>
    <row r="656" spans="11:22">
      <c r="K656" s="66">
        <v>32.200000000000003</v>
      </c>
      <c r="L656" s="10">
        <f t="shared" si="96"/>
        <v>0.78852303609166574</v>
      </c>
      <c r="M656" s="10">
        <f t="shared" si="97"/>
        <v>0.71198837382676539</v>
      </c>
      <c r="N656" s="10">
        <f t="shared" si="98"/>
        <v>1.8879559881745205E-2</v>
      </c>
      <c r="O656" s="10">
        <f t="shared" si="99"/>
        <v>2.7060486898834245E-2</v>
      </c>
      <c r="P656" s="10">
        <f t="shared" si="100"/>
        <v>0.20782824486133111</v>
      </c>
      <c r="Q656" s="66">
        <f t="shared" si="103"/>
        <v>2</v>
      </c>
      <c r="R656" s="10">
        <f t="shared" si="101"/>
        <v>1.0720456678473083E-2</v>
      </c>
      <c r="V656" s="10">
        <f t="shared" si="102"/>
        <v>1.6935816560982003E-3</v>
      </c>
    </row>
    <row r="657" spans="11:22">
      <c r="K657" s="66">
        <v>32.25</v>
      </c>
      <c r="L657" s="10">
        <f t="shared" si="96"/>
        <v>0.78777769989632451</v>
      </c>
      <c r="M657" s="10">
        <f t="shared" si="97"/>
        <v>0.71102395260330031</v>
      </c>
      <c r="N657" s="10">
        <f t="shared" si="98"/>
        <v>1.8947590317510605E-2</v>
      </c>
      <c r="O657" s="10">
        <f t="shared" si="99"/>
        <v>2.7158153387491307E-2</v>
      </c>
      <c r="P657" s="10">
        <f t="shared" si="100"/>
        <v>0.20732186406322758</v>
      </c>
      <c r="Q657" s="66">
        <f t="shared" si="103"/>
        <v>4</v>
      </c>
      <c r="R657" s="10">
        <f t="shared" si="101"/>
        <v>2.1416477543364742E-2</v>
      </c>
      <c r="V657" s="10">
        <f t="shared" si="102"/>
        <v>3.3984476283214046E-3</v>
      </c>
    </row>
    <row r="658" spans="11:22">
      <c r="K658" s="66">
        <v>32.299999999999997</v>
      </c>
      <c r="L658" s="10">
        <f t="shared" si="96"/>
        <v>0.78703038626399147</v>
      </c>
      <c r="M658" s="10">
        <f t="shared" si="97"/>
        <v>0.71005736400731878</v>
      </c>
      <c r="N658" s="10">
        <f t="shared" si="98"/>
        <v>1.9015867198891322E-2</v>
      </c>
      <c r="O658" s="10">
        <f t="shared" si="99"/>
        <v>2.7256173680700997E-2</v>
      </c>
      <c r="P658" s="10">
        <f t="shared" si="100"/>
        <v>0.20681671707967542</v>
      </c>
      <c r="Q658" s="66">
        <f t="shared" si="103"/>
        <v>2</v>
      </c>
      <c r="R658" s="10">
        <f t="shared" si="101"/>
        <v>1.069594661841701E-2</v>
      </c>
      <c r="V658" s="10">
        <f t="shared" si="102"/>
        <v>1.7048713112710518E-3</v>
      </c>
    </row>
    <row r="659" spans="11:22">
      <c r="K659" s="66">
        <v>32.35</v>
      </c>
      <c r="L659" s="10">
        <f t="shared" si="96"/>
        <v>0.78628109245500311</v>
      </c>
      <c r="M659" s="10">
        <f t="shared" si="97"/>
        <v>0.70908860786953865</v>
      </c>
      <c r="N659" s="10">
        <f t="shared" si="98"/>
        <v>1.9084391418656019E-2</v>
      </c>
      <c r="O659" s="10">
        <f t="shared" si="99"/>
        <v>2.7354549060148274E-2</v>
      </c>
      <c r="P659" s="10">
        <f t="shared" si="100"/>
        <v>0.2063128009044421</v>
      </c>
      <c r="Q659" s="66">
        <f t="shared" si="103"/>
        <v>4</v>
      </c>
      <c r="R659" s="10">
        <f t="shared" si="101"/>
        <v>2.1367160366131208E-2</v>
      </c>
      <c r="V659" s="10">
        <f t="shared" si="102"/>
        <v>3.4210480959957529E-3</v>
      </c>
    </row>
    <row r="660" spans="11:22">
      <c r="K660" s="66">
        <v>32.4</v>
      </c>
      <c r="L660" s="10">
        <f t="shared" si="96"/>
        <v>0.78552981574517899</v>
      </c>
      <c r="M660" s="10">
        <f t="shared" si="97"/>
        <v>0.70811768405876574</v>
      </c>
      <c r="N660" s="10">
        <f t="shared" si="98"/>
        <v>1.9153163872807473E-2</v>
      </c>
      <c r="O660" s="10">
        <f t="shared" si="99"/>
        <v>2.7453280812160908E-2</v>
      </c>
      <c r="P660" s="10">
        <f t="shared" si="100"/>
        <v>0.20581011253862025</v>
      </c>
      <c r="Q660" s="66">
        <f t="shared" si="103"/>
        <v>2</v>
      </c>
      <c r="R660" s="10">
        <f t="shared" si="101"/>
        <v>1.0671139431864754E-2</v>
      </c>
      <c r="V660" s="10">
        <f t="shared" si="102"/>
        <v>1.7161819239846926E-3</v>
      </c>
    </row>
    <row r="661" spans="11:22">
      <c r="K661" s="66">
        <v>32.450000000000003</v>
      </c>
      <c r="L661" s="10">
        <f t="shared" si="96"/>
        <v>0.78477655342599528</v>
      </c>
      <c r="M661" s="10">
        <f t="shared" si="97"/>
        <v>0.70714459248215811</v>
      </c>
      <c r="N661" s="10">
        <f t="shared" si="98"/>
        <v>1.9222185460594361E-2</v>
      </c>
      <c r="O661" s="10">
        <f t="shared" si="99"/>
        <v>2.7552370227726688E-2</v>
      </c>
      <c r="P661" s="10">
        <f t="shared" si="100"/>
        <v>0.20530864899060908</v>
      </c>
      <c r="Q661" s="66">
        <f t="shared" si="103"/>
        <v>4</v>
      </c>
      <c r="R661" s="10">
        <f t="shared" si="101"/>
        <v>2.131724866582534E-2</v>
      </c>
      <c r="V661" s="10">
        <f t="shared" si="102"/>
        <v>3.4436896758938238E-3</v>
      </c>
    </row>
    <row r="662" spans="11:22">
      <c r="K662" s="66">
        <v>32.5</v>
      </c>
      <c r="L662" s="10">
        <f t="shared" si="96"/>
        <v>0.78402130280476556</v>
      </c>
      <c r="M662" s="10">
        <f t="shared" si="97"/>
        <v>0.70616933308549468</v>
      </c>
      <c r="N662" s="10">
        <f t="shared" si="98"/>
        <v>1.9291457084522848E-2</v>
      </c>
      <c r="O662" s="10">
        <f t="shared" si="99"/>
        <v>2.7651818602509995E-2</v>
      </c>
      <c r="P662" s="10">
        <f t="shared" si="100"/>
        <v>0.20480840727609717</v>
      </c>
      <c r="Q662" s="66">
        <f t="shared" si="103"/>
        <v>2</v>
      </c>
      <c r="R662" s="10">
        <f t="shared" si="101"/>
        <v>1.0646034856182849E-2</v>
      </c>
      <c r="V662" s="10">
        <f t="shared" si="102"/>
        <v>1.7275126876688085E-3</v>
      </c>
    </row>
    <row r="663" spans="11:22">
      <c r="K663" s="66">
        <v>32.549999999999997</v>
      </c>
      <c r="L663" s="10">
        <f t="shared" si="96"/>
        <v>0.78326406120481717</v>
      </c>
      <c r="M663" s="10">
        <f t="shared" si="97"/>
        <v>0.70519190585344105</v>
      </c>
      <c r="N663" s="10">
        <f t="shared" si="98"/>
        <v>1.9360979650368614E-2</v>
      </c>
      <c r="O663" s="10">
        <f t="shared" si="99"/>
        <v>2.775162723686889E-2</v>
      </c>
      <c r="P663" s="10">
        <f t="shared" si="100"/>
        <v>0.20430938441804444</v>
      </c>
      <c r="Q663" s="66">
        <f t="shared" si="103"/>
        <v>4</v>
      </c>
      <c r="R663" s="10">
        <f t="shared" si="101"/>
        <v>2.1266741947075406E-2</v>
      </c>
      <c r="V663" s="10">
        <f t="shared" si="102"/>
        <v>3.4663707400011479E-3</v>
      </c>
    </row>
    <row r="664" spans="11:22">
      <c r="K664" s="66">
        <v>32.6</v>
      </c>
      <c r="L664" s="10">
        <f t="shared" si="96"/>
        <v>0.78250482596567117</v>
      </c>
      <c r="M664" s="10">
        <f t="shared" si="97"/>
        <v>0.70421231080981728</v>
      </c>
      <c r="N664" s="10">
        <f t="shared" si="98"/>
        <v>1.943075406718851E-2</v>
      </c>
      <c r="O664" s="10">
        <f t="shared" si="99"/>
        <v>2.7851797435872072E-2</v>
      </c>
      <c r="P664" s="10">
        <f t="shared" si="100"/>
        <v>0.20381157744666431</v>
      </c>
      <c r="Q664" s="66">
        <f t="shared" si="103"/>
        <v>2</v>
      </c>
      <c r="R664" s="10">
        <f t="shared" si="101"/>
        <v>1.0620632658742173E-2</v>
      </c>
      <c r="V664" s="10">
        <f t="shared" si="102"/>
        <v>1.7388627808553774E-3</v>
      </c>
    </row>
    <row r="665" spans="11:22">
      <c r="K665" s="66">
        <v>32.65</v>
      </c>
      <c r="L665" s="10">
        <f t="shared" si="96"/>
        <v>0.78174359444322339</v>
      </c>
      <c r="M665" s="10">
        <f t="shared" si="97"/>
        <v>0.70323054801786744</v>
      </c>
      <c r="N665" s="10">
        <f t="shared" si="98"/>
        <v>1.9500781247332542E-2</v>
      </c>
      <c r="O665" s="10">
        <f t="shared" si="99"/>
        <v>2.7952330509315965E-2</v>
      </c>
      <c r="P665" s="10">
        <f t="shared" si="100"/>
        <v>0.20331498339940651</v>
      </c>
      <c r="Q665" s="66">
        <f t="shared" si="103"/>
        <v>4</v>
      </c>
      <c r="R665" s="10">
        <f t="shared" si="101"/>
        <v>2.1215639774954932E-2</v>
      </c>
      <c r="V665" s="10">
        <f t="shared" si="102"/>
        <v>3.4890896304129396E-3</v>
      </c>
    </row>
    <row r="666" spans="11:22">
      <c r="K666" s="66">
        <v>32.700000000000003</v>
      </c>
      <c r="L666" s="10">
        <f t="shared" si="96"/>
        <v>0.78098036400992488</v>
      </c>
      <c r="M666" s="10">
        <f t="shared" si="97"/>
        <v>0.7022466175805272</v>
      </c>
      <c r="N666" s="10">
        <f t="shared" si="98"/>
        <v>1.9571062106455771E-2</v>
      </c>
      <c r="O666" s="10">
        <f t="shared" si="99"/>
        <v>2.8053227771741834E-2</v>
      </c>
      <c r="P666" s="10">
        <f t="shared" si="100"/>
        <v>0.20281959932093868</v>
      </c>
      <c r="Q666" s="66">
        <f t="shared" si="103"/>
        <v>2</v>
      </c>
      <c r="R666" s="10">
        <f t="shared" si="101"/>
        <v>1.0594932637354622E-2</v>
      </c>
      <c r="V666" s="10">
        <f t="shared" si="102"/>
        <v>1.7502313670843179E-3</v>
      </c>
    </row>
    <row r="667" spans="11:22">
      <c r="K667" s="66">
        <v>32.75</v>
      </c>
      <c r="L667" s="10">
        <f t="shared" si="96"/>
        <v>0.78021513205496495</v>
      </c>
      <c r="M667" s="10">
        <f t="shared" si="97"/>
        <v>0.70126051964069525</v>
      </c>
      <c r="N667" s="10">
        <f t="shared" si="98"/>
        <v>1.9641597563530299E-2</v>
      </c>
      <c r="O667" s="10">
        <f t="shared" si="99"/>
        <v>2.8154490542452962E-2</v>
      </c>
      <c r="P667" s="10">
        <f t="shared" si="100"/>
        <v>0.20232542226312966</v>
      </c>
      <c r="Q667" s="66">
        <f t="shared" si="103"/>
        <v>4</v>
      </c>
      <c r="R667" s="10">
        <f t="shared" si="101"/>
        <v>2.1163941775856534E-2</v>
      </c>
      <c r="V667" s="10">
        <f t="shared" si="102"/>
        <v>3.5118446591475639E-3</v>
      </c>
    </row>
    <row r="668" spans="11:22">
      <c r="K668" s="66">
        <v>32.799999999999997</v>
      </c>
      <c r="L668" s="10">
        <f t="shared" si="96"/>
        <v>0.77944789598445374</v>
      </c>
      <c r="M668" s="10">
        <f t="shared" si="97"/>
        <v>0.70027225438150142</v>
      </c>
      <c r="N668" s="10">
        <f t="shared" si="98"/>
        <v>1.971238854085727E-2</v>
      </c>
      <c r="O668" s="10">
        <f t="shared" si="99"/>
        <v>2.8256120145531902E-2</v>
      </c>
      <c r="P668" s="10">
        <f t="shared" si="100"/>
        <v>0.20183244928503136</v>
      </c>
      <c r="Q668" s="66">
        <f t="shared" si="103"/>
        <v>2</v>
      </c>
      <c r="R668" s="10">
        <f t="shared" si="101"/>
        <v>1.0568934620710195E-2</v>
      </c>
      <c r="V668" s="10">
        <f t="shared" si="102"/>
        <v>1.7616175948113181E-3</v>
      </c>
    </row>
    <row r="669" spans="11:22">
      <c r="K669" s="66">
        <v>32.85</v>
      </c>
      <c r="L669" s="10">
        <f t="shared" si="96"/>
        <v>0.77867865322160623</v>
      </c>
      <c r="M669" s="10">
        <f t="shared" si="97"/>
        <v>0.69928182202657863</v>
      </c>
      <c r="N669" s="10">
        <f t="shared" si="98"/>
        <v>1.9783435964078933E-2</v>
      </c>
      <c r="O669" s="10">
        <f t="shared" si="99"/>
        <v>2.8358117909857865E-2</v>
      </c>
      <c r="P669" s="10">
        <f t="shared" si="100"/>
        <v>0.20134067745286124</v>
      </c>
      <c r="Q669" s="66">
        <f t="shared" si="103"/>
        <v>4</v>
      </c>
      <c r="R669" s="10">
        <f t="shared" si="101"/>
        <v>2.1111647638366111E-2</v>
      </c>
      <c r="V669" s="10">
        <f t="shared" si="102"/>
        <v>3.5346341079644686E-3</v>
      </c>
    </row>
    <row r="670" spans="11:22">
      <c r="K670" s="66">
        <v>32.9</v>
      </c>
      <c r="L670" s="10">
        <f t="shared" si="96"/>
        <v>0.77790740120692858</v>
      </c>
      <c r="M670" s="10">
        <f t="shared" si="97"/>
        <v>0.69828922284033501</v>
      </c>
      <c r="N670" s="10">
        <f t="shared" si="98"/>
        <v>1.9854740762190733E-2</v>
      </c>
      <c r="O670" s="10">
        <f t="shared" si="99"/>
        <v>2.8460485169123959E-2</v>
      </c>
      <c r="P670" s="10">
        <f t="shared" si="100"/>
        <v>0.20085010383998533</v>
      </c>
      <c r="Q670" s="66">
        <f t="shared" si="103"/>
        <v>2</v>
      </c>
      <c r="R670" s="10">
        <f t="shared" si="101"/>
        <v>1.0542638468814047E-2</v>
      </c>
      <c r="V670" s="10">
        <f t="shared" si="102"/>
        <v>1.7730205973179596E-3</v>
      </c>
    </row>
    <row r="671" spans="11:22">
      <c r="K671" s="66">
        <v>32.950000000000003</v>
      </c>
      <c r="L671" s="10">
        <f t="shared" si="96"/>
        <v>0.77713413739840287</v>
      </c>
      <c r="M671" s="10">
        <f t="shared" si="97"/>
        <v>0.69729445712822413</v>
      </c>
      <c r="N671" s="10">
        <f t="shared" si="98"/>
        <v>1.9926303867553553E-2</v>
      </c>
      <c r="O671" s="10">
        <f t="shared" si="99"/>
        <v>2.8563223261854721E-2</v>
      </c>
      <c r="P671" s="10">
        <f t="shared" si="100"/>
        <v>0.20036072552690018</v>
      </c>
      <c r="Q671" s="66">
        <f t="shared" si="103"/>
        <v>4</v>
      </c>
      <c r="R671" s="10">
        <f t="shared" si="101"/>
        <v>2.1058757114137065E-2</v>
      </c>
      <c r="V671" s="10">
        <f t="shared" si="102"/>
        <v>3.5574562281867456E-3</v>
      </c>
    </row>
    <row r="672" spans="11:22">
      <c r="K672" s="66">
        <v>33</v>
      </c>
      <c r="L672" s="10">
        <f t="shared" si="96"/>
        <v>0.77635885927167458</v>
      </c>
      <c r="M672" s="10">
        <f t="shared" si="97"/>
        <v>0.6962975252370186</v>
      </c>
      <c r="N672" s="10">
        <f t="shared" si="98"/>
        <v>1.9998126215905715E-2</v>
      </c>
      <c r="O672" s="10">
        <f t="shared" si="99"/>
        <v>2.8666333531423647E-2</v>
      </c>
      <c r="P672" s="10">
        <f t="shared" si="100"/>
        <v>0.19987253960121634</v>
      </c>
      <c r="Q672" s="66">
        <f t="shared" si="103"/>
        <v>2</v>
      </c>
      <c r="R672" s="10">
        <f t="shared" si="101"/>
        <v>1.0516044073423733E-2</v>
      </c>
      <c r="V672" s="10">
        <f t="shared" si="102"/>
        <v>1.7844394926241694E-3</v>
      </c>
    </row>
    <row r="673" spans="11:22">
      <c r="K673" s="66">
        <v>33.049999999999997</v>
      </c>
      <c r="L673" s="10">
        <f t="shared" si="96"/>
        <v>0.77558156432024083</v>
      </c>
      <c r="M673" s="10">
        <f t="shared" si="97"/>
        <v>0.69529842755508342</v>
      </c>
      <c r="N673" s="10">
        <f t="shared" si="98"/>
        <v>2.007020874637537E-2</v>
      </c>
      <c r="O673" s="10">
        <f t="shared" si="99"/>
        <v>2.8769817326070556E-2</v>
      </c>
      <c r="P673" s="10">
        <f t="shared" si="100"/>
        <v>0.19938554315763946</v>
      </c>
      <c r="Q673" s="66">
        <f t="shared" si="103"/>
        <v>4</v>
      </c>
      <c r="R673" s="10">
        <f t="shared" si="101"/>
        <v>2.1005270018764576E-2</v>
      </c>
      <c r="V673" s="10">
        <f t="shared" si="102"/>
        <v>3.5803092405284724E-3</v>
      </c>
    </row>
    <row r="674" spans="11:22">
      <c r="K674" s="66">
        <v>33.1</v>
      </c>
      <c r="L674" s="10">
        <f t="shared" si="96"/>
        <v>0.77480225005563785</v>
      </c>
      <c r="M674" s="10">
        <f t="shared" si="97"/>
        <v>0.69429716451264722</v>
      </c>
      <c r="N674" s="10">
        <f t="shared" si="98"/>
        <v>2.0142552401492791E-2</v>
      </c>
      <c r="O674" s="10">
        <f t="shared" si="99"/>
        <v>2.8873675998919591E-2</v>
      </c>
      <c r="P674" s="10">
        <f t="shared" si="100"/>
        <v>0.19889973329795529</v>
      </c>
      <c r="Q674" s="66">
        <f t="shared" si="103"/>
        <v>2</v>
      </c>
      <c r="R674" s="10">
        <f t="shared" si="101"/>
        <v>1.0489151358486047E-2</v>
      </c>
      <c r="V674" s="10">
        <f t="shared" si="102"/>
        <v>1.7958733834031386E-3</v>
      </c>
    </row>
    <row r="675" spans="11:22">
      <c r="K675" s="66">
        <v>33.15</v>
      </c>
      <c r="L675" s="10">
        <f t="shared" si="96"/>
        <v>0.77402091400763307</v>
      </c>
      <c r="M675" s="10">
        <f t="shared" si="97"/>
        <v>0.69329373658207971</v>
      </c>
      <c r="N675" s="10">
        <f t="shared" si="98"/>
        <v>2.0215158127202572E-2</v>
      </c>
      <c r="O675" s="10">
        <f t="shared" si="99"/>
        <v>2.8977910907996545E-2</v>
      </c>
      <c r="P675" s="10">
        <f t="shared" si="100"/>
        <v>0.1984151071310106</v>
      </c>
      <c r="Q675" s="66">
        <f t="shared" si="103"/>
        <v>4</v>
      </c>
      <c r="R675" s="10">
        <f t="shared" si="101"/>
        <v>2.0951186232659215E-2</v>
      </c>
      <c r="V675" s="10">
        <f t="shared" si="102"/>
        <v>3.6031913349271077E-3</v>
      </c>
    </row>
    <row r="676" spans="11:22">
      <c r="K676" s="66">
        <v>33.200000000000003</v>
      </c>
      <c r="L676" s="10">
        <f t="shared" si="96"/>
        <v>0.77323755372441361</v>
      </c>
      <c r="M676" s="10">
        <f t="shared" si="97"/>
        <v>0.6922881442781631</v>
      </c>
      <c r="N676" s="10">
        <f t="shared" si="98"/>
        <v>2.0288026872876092E-2</v>
      </c>
      <c r="O676" s="10">
        <f t="shared" si="99"/>
        <v>2.908252341624681E-2</v>
      </c>
      <c r="P676" s="10">
        <f t="shared" si="100"/>
        <v>0.1979316617726963</v>
      </c>
      <c r="Q676" s="66">
        <f t="shared" si="103"/>
        <v>2</v>
      </c>
      <c r="R676" s="10">
        <f t="shared" si="101"/>
        <v>1.0461960280573928E-2</v>
      </c>
      <c r="V676" s="10">
        <f t="shared" si="102"/>
        <v>1.8073213568988188E-3</v>
      </c>
    </row>
    <row r="677" spans="11:22">
      <c r="K677" s="66">
        <v>33.25</v>
      </c>
      <c r="L677" s="10">
        <f t="shared" si="96"/>
        <v>0.77245216677277984</v>
      </c>
      <c r="M677" s="10">
        <f t="shared" si="97"/>
        <v>0.6912803881583699</v>
      </c>
      <c r="N677" s="10">
        <f t="shared" si="98"/>
        <v>2.03611595913239E-2</v>
      </c>
      <c r="O677" s="10">
        <f t="shared" si="99"/>
        <v>2.9187514891553155E-2</v>
      </c>
      <c r="P677" s="10">
        <f t="shared" si="100"/>
        <v>0.19744939434593106</v>
      </c>
      <c r="Q677" s="66">
        <f t="shared" si="103"/>
        <v>4</v>
      </c>
      <c r="R677" s="10">
        <f t="shared" si="101"/>
        <v>2.0896505701920084E-2</v>
      </c>
      <c r="V677" s="10">
        <f t="shared" si="102"/>
        <v>3.626100670380987E-3</v>
      </c>
    </row>
    <row r="678" spans="11:22">
      <c r="K678" s="66">
        <v>33.299999999999997</v>
      </c>
      <c r="L678" s="10">
        <f t="shared" si="96"/>
        <v>0.7716647507383364</v>
      </c>
      <c r="M678" s="10">
        <f t="shared" si="97"/>
        <v>0.69027046882313592</v>
      </c>
      <c r="N678" s="10">
        <f t="shared" si="98"/>
        <v>2.043455723880817E-2</v>
      </c>
      <c r="O678" s="10">
        <f t="shared" si="99"/>
        <v>2.9292886706753573E-2</v>
      </c>
      <c r="P678" s="10">
        <f t="shared" si="100"/>
        <v>0.19696830198064319</v>
      </c>
      <c r="Q678" s="66">
        <f t="shared" si="103"/>
        <v>2</v>
      </c>
      <c r="R678" s="10">
        <f t="shared" si="101"/>
        <v>1.0434470829322565E-2</v>
      </c>
      <c r="V678" s="10">
        <f t="shared" si="102"/>
        <v>1.8187824848459643E-3</v>
      </c>
    </row>
    <row r="679" spans="11:22">
      <c r="K679" s="66">
        <v>33.35</v>
      </c>
      <c r="L679" s="10">
        <f t="shared" si="96"/>
        <v>0.77087530322568687</v>
      </c>
      <c r="M679" s="10">
        <f t="shared" si="97"/>
        <v>0.68925838691613772</v>
      </c>
      <c r="N679" s="10">
        <f t="shared" si="98"/>
        <v>2.0508220775055222E-2</v>
      </c>
      <c r="O679" s="10">
        <f t="shared" si="99"/>
        <v>2.9398640239659365E-2</v>
      </c>
      <c r="P679" s="10">
        <f t="shared" si="100"/>
        <v>0.19648838181375433</v>
      </c>
      <c r="Q679" s="66">
        <f t="shared" si="103"/>
        <v>4</v>
      </c>
      <c r="R679" s="10">
        <f t="shared" si="101"/>
        <v>2.0841228439206775E-2</v>
      </c>
      <c r="V679" s="10">
        <f t="shared" si="102"/>
        <v>3.6490353747922143E-3</v>
      </c>
    </row>
    <row r="680" spans="11:22">
      <c r="K680" s="66">
        <v>33.4</v>
      </c>
      <c r="L680" s="10">
        <f t="shared" si="96"/>
        <v>0.770083821858628</v>
      </c>
      <c r="M680" s="10">
        <f t="shared" si="97"/>
        <v>0.68824414312456939</v>
      </c>
      <c r="N680" s="10">
        <f t="shared" si="98"/>
        <v>2.0582151163268034E-2</v>
      </c>
      <c r="O680" s="10">
        <f t="shared" si="99"/>
        <v>2.9504776873072975E-2</v>
      </c>
      <c r="P680" s="10">
        <f t="shared" si="100"/>
        <v>0.1960096309891621</v>
      </c>
      <c r="Q680" s="66">
        <f t="shared" si="103"/>
        <v>2</v>
      </c>
      <c r="R680" s="10">
        <f t="shared" si="101"/>
        <v>1.0406683027865205E-2</v>
      </c>
      <c r="V680" s="10">
        <f t="shared" si="102"/>
        <v>1.8302558233929743E-3</v>
      </c>
    </row>
    <row r="681" spans="11:22">
      <c r="K681" s="66">
        <v>33.450000000000003</v>
      </c>
      <c r="L681" s="10">
        <f t="shared" si="96"/>
        <v>0.76929030428034484</v>
      </c>
      <c r="M681" s="10">
        <f t="shared" si="97"/>
        <v>0.68722773817941807</v>
      </c>
      <c r="N681" s="10">
        <f t="shared" si="98"/>
        <v>2.0656349370138938E-2</v>
      </c>
      <c r="O681" s="10">
        <f t="shared" si="99"/>
        <v>2.9611297994806191E-2</v>
      </c>
      <c r="P681" s="10">
        <f t="shared" si="100"/>
        <v>0.19553204665772289</v>
      </c>
      <c r="Q681" s="66">
        <f t="shared" si="103"/>
        <v>4</v>
      </c>
      <c r="R681" s="10">
        <f t="shared" si="101"/>
        <v>2.0785354524610219E-2</v>
      </c>
      <c r="V681" s="10">
        <f t="shared" si="102"/>
        <v>3.6719935448150873E-3</v>
      </c>
    </row>
    <row r="682" spans="11:22">
      <c r="K682" s="66">
        <v>33.5</v>
      </c>
      <c r="L682" s="10">
        <f t="shared" si="96"/>
        <v>0.76849474815360763</v>
      </c>
      <c r="M682" s="10">
        <f t="shared" si="97"/>
        <v>0.68620917285574234</v>
      </c>
      <c r="N682" s="10">
        <f t="shared" si="98"/>
        <v>2.0730816365862062E-2</v>
      </c>
      <c r="O682" s="10">
        <f t="shared" si="99"/>
        <v>2.9718204997698245E-2</v>
      </c>
      <c r="P682" s="10">
        <f t="shared" si="100"/>
        <v>0.19505562597723539</v>
      </c>
      <c r="Q682" s="66">
        <f t="shared" si="103"/>
        <v>2</v>
      </c>
      <c r="R682" s="10">
        <f t="shared" si="101"/>
        <v>1.0378596933268132E-2</v>
      </c>
      <c r="V682" s="10">
        <f t="shared" si="102"/>
        <v>1.8417404130275062E-3</v>
      </c>
    </row>
    <row r="683" spans="11:22">
      <c r="K683" s="66">
        <v>33.549999999999997</v>
      </c>
      <c r="L683" s="10">
        <f t="shared" si="96"/>
        <v>0.76769715116096893</v>
      </c>
      <c r="M683" s="10">
        <f t="shared" si="97"/>
        <v>0.68518844797295042</v>
      </c>
      <c r="N683" s="10">
        <f t="shared" si="98"/>
        <v>2.0805553124146257E-2</v>
      </c>
      <c r="O683" s="10">
        <f t="shared" si="99"/>
        <v>2.9825499279634054E-2</v>
      </c>
      <c r="P683" s="10">
        <f t="shared" si="100"/>
        <v>0.19458036611242327</v>
      </c>
      <c r="Q683" s="66">
        <f t="shared" si="103"/>
        <v>4</v>
      </c>
      <c r="R683" s="10">
        <f t="shared" si="101"/>
        <v>2.072888410652168E-2</v>
      </c>
      <c r="V683" s="10">
        <f t="shared" si="102"/>
        <v>3.6949732457102098E-3</v>
      </c>
    </row>
    <row r="684" spans="11:22">
      <c r="K684" s="66">
        <v>33.6</v>
      </c>
      <c r="L684" s="10">
        <f t="shared" si="96"/>
        <v>0.76689751100496184</v>
      </c>
      <c r="M684" s="10">
        <f t="shared" si="97"/>
        <v>0.6841655643950767</v>
      </c>
      <c r="N684" s="10">
        <f t="shared" si="98"/>
        <v>2.0880560622227644E-2</v>
      </c>
      <c r="O684" s="10">
        <f t="shared" si="99"/>
        <v>2.9933182243562478E-2</v>
      </c>
      <c r="P684" s="10">
        <f t="shared" si="100"/>
        <v>0.19410626423491836</v>
      </c>
      <c r="Q684" s="66">
        <f t="shared" si="103"/>
        <v>2</v>
      </c>
      <c r="R684" s="10">
        <f t="shared" si="101"/>
        <v>1.0350212636964784E-2</v>
      </c>
      <c r="V684" s="10">
        <f t="shared" si="102"/>
        <v>1.8532352785050135E-3</v>
      </c>
    </row>
    <row r="685" spans="11:22">
      <c r="K685" s="66">
        <v>33.65</v>
      </c>
      <c r="L685" s="10">
        <f t="shared" si="96"/>
        <v>0.76609582540829912</v>
      </c>
      <c r="M685" s="10">
        <f t="shared" si="97"/>
        <v>0.68314052303106199</v>
      </c>
      <c r="N685" s="10">
        <f t="shared" si="98"/>
        <v>2.0955839840882482E-2</v>
      </c>
      <c r="O685" s="10">
        <f t="shared" si="99"/>
        <v>3.0041255297514665E-2</v>
      </c>
      <c r="P685" s="10">
        <f t="shared" si="100"/>
        <v>0.19363331752324425</v>
      </c>
      <c r="Q685" s="66">
        <f t="shared" si="103"/>
        <v>4</v>
      </c>
      <c r="R685" s="10">
        <f t="shared" si="101"/>
        <v>2.067181740250015E-2</v>
      </c>
      <c r="V685" s="10">
        <f t="shared" si="102"/>
        <v>3.7179725112045582E-3</v>
      </c>
    </row>
    <row r="686" spans="11:22">
      <c r="K686" s="66">
        <v>33.700000000000003</v>
      </c>
      <c r="L686" s="10">
        <f t="shared" si="96"/>
        <v>0.76529209211407367</v>
      </c>
      <c r="M686" s="10">
        <f t="shared" si="97"/>
        <v>0.68211332483503173</v>
      </c>
      <c r="N686" s="10">
        <f t="shared" si="98"/>
        <v>2.1031391764439956E-2</v>
      </c>
      <c r="O686" s="10">
        <f t="shared" si="99"/>
        <v>3.0149719854622472E-2</v>
      </c>
      <c r="P686" s="10">
        <f t="shared" si="100"/>
        <v>0.19316152316279872</v>
      </c>
      <c r="Q686" s="66">
        <f t="shared" si="103"/>
        <v>2</v>
      </c>
      <c r="R686" s="10">
        <f t="shared" si="101"/>
        <v>1.0321530265188821E-2</v>
      </c>
      <c r="V686" s="10">
        <f t="shared" si="102"/>
        <v>1.8647394287802925E-3</v>
      </c>
    </row>
    <row r="687" spans="11:22">
      <c r="K687" s="66">
        <v>33.75</v>
      </c>
      <c r="L687" s="10">
        <f t="shared" si="96"/>
        <v>0.76448630888595948</v>
      </c>
      <c r="M687" s="10">
        <f t="shared" si="97"/>
        <v>0.68108397080657568</v>
      </c>
      <c r="N687" s="10">
        <f t="shared" si="98"/>
        <v>2.1107217380795074E-2</v>
      </c>
      <c r="O687" s="10">
        <f t="shared" si="99"/>
        <v>3.0258577333136936E-2</v>
      </c>
      <c r="P687" s="10">
        <f t="shared" si="100"/>
        <v>0.19269087834583778</v>
      </c>
      <c r="Q687" s="66">
        <f t="shared" si="103"/>
        <v>4</v>
      </c>
      <c r="R687" s="10">
        <f t="shared" si="101"/>
        <v>2.0614154700137274E-2</v>
      </c>
      <c r="V687" s="10">
        <f t="shared" si="102"/>
        <v>3.7409893433576558E-3</v>
      </c>
    </row>
    <row r="688" spans="11:22">
      <c r="K688" s="66">
        <v>33.799999999999997</v>
      </c>
      <c r="L688" s="10">
        <f t="shared" si="96"/>
        <v>0.76367847350841378</v>
      </c>
      <c r="M688" s="10">
        <f t="shared" si="97"/>
        <v>0.6800524619910272</v>
      </c>
      <c r="N688" s="10">
        <f t="shared" si="98"/>
        <v>2.1183317681421544E-2</v>
      </c>
      <c r="O688" s="10">
        <f t="shared" si="99"/>
        <v>3.0367829156446795E-2</v>
      </c>
      <c r="P688" s="10">
        <f t="shared" si="100"/>
        <v>0.19222138027145844</v>
      </c>
      <c r="Q688" s="66">
        <f t="shared" si="103"/>
        <v>2</v>
      </c>
      <c r="R688" s="10">
        <f t="shared" si="101"/>
        <v>1.0292549979406046E-2</v>
      </c>
      <c r="V688" s="10">
        <f t="shared" si="102"/>
        <v>1.8762518569421193E-3</v>
      </c>
    </row>
    <row r="689" spans="11:22">
      <c r="K689" s="66">
        <v>33.85</v>
      </c>
      <c r="L689" s="10">
        <f t="shared" si="96"/>
        <v>0.76286858378687927</v>
      </c>
      <c r="M689" s="10">
        <f t="shared" si="97"/>
        <v>0.67901879947974375</v>
      </c>
      <c r="N689" s="10">
        <f t="shared" si="98"/>
        <v>2.1259693661384849E-2</v>
      </c>
      <c r="O689" s="10">
        <f t="shared" si="99"/>
        <v>3.0477476753097203E-2</v>
      </c>
      <c r="P689" s="10">
        <f t="shared" si="100"/>
        <v>0.19175302614558212</v>
      </c>
      <c r="Q689" s="66">
        <f t="shared" si="103"/>
        <v>4</v>
      </c>
      <c r="R689" s="10">
        <f t="shared" si="101"/>
        <v>2.0555896357919871E-2</v>
      </c>
      <c r="V689" s="10">
        <f t="shared" si="102"/>
        <v>3.7640217124340143E-3</v>
      </c>
    </row>
    <row r="690" spans="11:22">
      <c r="K690" s="66">
        <v>33.9</v>
      </c>
      <c r="L690" s="10">
        <f t="shared" si="96"/>
        <v>0.7620566375479898</v>
      </c>
      <c r="M690" s="10">
        <f t="shared" si="97"/>
        <v>0.67798298441038729</v>
      </c>
      <c r="N690" s="10">
        <f t="shared" si="98"/>
        <v>2.1336346319355038E-2</v>
      </c>
      <c r="O690" s="10">
        <f t="shared" si="99"/>
        <v>3.0587521556808252E-2</v>
      </c>
      <c r="P690" s="10">
        <f t="shared" si="100"/>
        <v>0.19128581318093835</v>
      </c>
      <c r="Q690" s="66">
        <f t="shared" si="103"/>
        <v>2</v>
      </c>
      <c r="R690" s="10">
        <f t="shared" si="101"/>
        <v>1.0263271976744934E-2</v>
      </c>
      <c r="V690" s="10">
        <f t="shared" si="102"/>
        <v>1.8877715401511049E-3</v>
      </c>
    </row>
    <row r="691" spans="11:22">
      <c r="K691" s="66">
        <v>33.950000000000003</v>
      </c>
      <c r="L691" s="10">
        <f t="shared" si="96"/>
        <v>0.7612426326397731</v>
      </c>
      <c r="M691" s="10">
        <f t="shared" si="97"/>
        <v>0.67694501796720485</v>
      </c>
      <c r="N691" s="10">
        <f t="shared" si="98"/>
        <v>2.1413276657620068E-2</v>
      </c>
      <c r="O691" s="10">
        <f t="shared" si="99"/>
        <v>3.0697965006493824E-2</v>
      </c>
      <c r="P691" s="10">
        <f t="shared" si="100"/>
        <v>0.19081973859704776</v>
      </c>
      <c r="Q691" s="66">
        <f t="shared" si="103"/>
        <v>4</v>
      </c>
      <c r="R691" s="10">
        <f t="shared" si="101"/>
        <v>2.0497042806089563E-2</v>
      </c>
      <c r="V691" s="10">
        <f t="shared" si="102"/>
        <v>3.7870675567821181E-3</v>
      </c>
    </row>
    <row r="692" spans="11:22">
      <c r="K692" s="66">
        <v>34</v>
      </c>
      <c r="L692" s="10">
        <f t="shared" si="96"/>
        <v>0.76042656693185762</v>
      </c>
      <c r="M692" s="10">
        <f t="shared" si="97"/>
        <v>0.67590490138130954</v>
      </c>
      <c r="N692" s="10">
        <f t="shared" si="98"/>
        <v>2.1490485682098645E-2</v>
      </c>
      <c r="O692" s="10">
        <f t="shared" si="99"/>
        <v>3.0808808546280417E-2</v>
      </c>
      <c r="P692" s="10">
        <f t="shared" si="100"/>
        <v>0.19035479962020604</v>
      </c>
      <c r="Q692" s="66">
        <f t="shared" si="103"/>
        <v>2</v>
      </c>
      <c r="R692" s="10">
        <f t="shared" si="101"/>
        <v>1.0233696490425678E-2</v>
      </c>
      <c r="V692" s="10">
        <f t="shared" si="102"/>
        <v>1.899297439580836E-3</v>
      </c>
    </row>
    <row r="693" spans="11:22">
      <c r="K693" s="66">
        <v>34.049999999999997</v>
      </c>
      <c r="L693" s="10">
        <f t="shared" si="96"/>
        <v>0.75960843831568003</v>
      </c>
      <c r="M693" s="10">
        <f t="shared" si="97"/>
        <v>0.67486263593096307</v>
      </c>
      <c r="N693" s="10">
        <f t="shared" si="98"/>
        <v>2.1567974402353522E-2</v>
      </c>
      <c r="O693" s="10">
        <f t="shared" si="99"/>
        <v>3.0920053625525849E-2</v>
      </c>
      <c r="P693" s="10">
        <f t="shared" si="100"/>
        <v>0.18989099348346619</v>
      </c>
      <c r="Q693" s="66">
        <f t="shared" si="103"/>
        <v>4</v>
      </c>
      <c r="R693" s="10">
        <f t="shared" si="101"/>
        <v>2.0437594547499081E-2</v>
      </c>
      <c r="V693" s="10">
        <f t="shared" si="102"/>
        <v>3.8101247827200973E-3</v>
      </c>
    </row>
    <row r="694" spans="11:22">
      <c r="K694" s="66">
        <v>34.1</v>
      </c>
      <c r="L694" s="10">
        <f t="shared" si="96"/>
        <v>0.75878824470469097</v>
      </c>
      <c r="M694" s="10">
        <f t="shared" si="97"/>
        <v>0.67381822294185456</v>
      </c>
      <c r="N694" s="10">
        <f t="shared" si="98"/>
        <v>2.1645743831604749E-2</v>
      </c>
      <c r="O694" s="10">
        <f t="shared" si="99"/>
        <v>3.1031701698838531E-2</v>
      </c>
      <c r="P694" s="10">
        <f t="shared" si="100"/>
        <v>0.18942831742662414</v>
      </c>
      <c r="Q694" s="66">
        <f t="shared" si="103"/>
        <v>2</v>
      </c>
      <c r="R694" s="10">
        <f t="shared" si="101"/>
        <v>1.0203823790187401E-2</v>
      </c>
      <c r="V694" s="10">
        <f t="shared" si="102"/>
        <v>1.910828500362405E-3</v>
      </c>
    </row>
    <row r="695" spans="11:22">
      <c r="K695" s="66">
        <v>34.15</v>
      </c>
      <c r="L695" s="10">
        <f t="shared" si="96"/>
        <v>0.75796598403456539</v>
      </c>
      <c r="M695" s="10">
        <f t="shared" si="97"/>
        <v>0.67277166378738618</v>
      </c>
      <c r="N695" s="10">
        <f t="shared" si="98"/>
        <v>2.1723794986742768E-2</v>
      </c>
      <c r="O695" s="10">
        <f t="shared" si="99"/>
        <v>3.1143754226096287E-2</v>
      </c>
      <c r="P695" s="10">
        <f t="shared" si="100"/>
        <v>0.18896676869620052</v>
      </c>
      <c r="Q695" s="66">
        <f t="shared" si="103"/>
        <v>4</v>
      </c>
      <c r="R695" s="10">
        <f t="shared" si="101"/>
        <v>2.0377552158465158E-2</v>
      </c>
      <c r="V695" s="10">
        <f t="shared" si="102"/>
        <v>3.8331912644282711E-3</v>
      </c>
    </row>
    <row r="696" spans="11:22">
      <c r="K696" s="66">
        <v>34.200000000000003</v>
      </c>
      <c r="L696" s="10">
        <f t="shared" si="96"/>
        <v>0.75714165426341096</v>
      </c>
      <c r="M696" s="10">
        <f t="shared" si="97"/>
        <v>0.67172295988895236</v>
      </c>
      <c r="N696" s="10">
        <f t="shared" si="98"/>
        <v>2.1802128888341803E-2</v>
      </c>
      <c r="O696" s="10">
        <f t="shared" si="99"/>
        <v>3.1256212672465325E-2</v>
      </c>
      <c r="P696" s="10">
        <f t="shared" si="100"/>
        <v>0.18850634454542503</v>
      </c>
      <c r="Q696" s="66">
        <f t="shared" si="103"/>
        <v>2</v>
      </c>
      <c r="R696" s="10">
        <f t="shared" si="101"/>
        <v>1.0173654182713857E-2</v>
      </c>
      <c r="V696" s="10">
        <f t="shared" si="102"/>
        <v>1.9223636515325129E-3</v>
      </c>
    </row>
    <row r="697" spans="11:22">
      <c r="K697" s="66">
        <v>34.25</v>
      </c>
      <c r="L697" s="10">
        <f t="shared" si="96"/>
        <v>0.75631525337197913</v>
      </c>
      <c r="M697" s="10">
        <f t="shared" si="97"/>
        <v>0.67067211271622384</v>
      </c>
      <c r="N697" s="10">
        <f t="shared" si="98"/>
        <v>2.1880746560673195E-2</v>
      </c>
      <c r="O697" s="10">
        <f t="shared" si="99"/>
        <v>3.1369078508419614E-2</v>
      </c>
      <c r="P697" s="10">
        <f t="shared" si="100"/>
        <v>0.18804704223422003</v>
      </c>
      <c r="Q697" s="66">
        <f t="shared" si="103"/>
        <v>4</v>
      </c>
      <c r="R697" s="10">
        <f t="shared" si="101"/>
        <v>2.0316916289617497E-2</v>
      </c>
      <c r="V697" s="10">
        <f t="shared" si="102"/>
        <v>3.8562648438488743E-3</v>
      </c>
    </row>
    <row r="698" spans="11:22">
      <c r="K698" s="66">
        <v>34.299999999999997</v>
      </c>
      <c r="L698" s="10">
        <f t="shared" si="96"/>
        <v>0.75548677936387654</v>
      </c>
      <c r="M698" s="10">
        <f t="shared" si="97"/>
        <v>0.66961912378742994</v>
      </c>
      <c r="N698" s="10">
        <f t="shared" si="98"/>
        <v>2.1959649031718764E-2</v>
      </c>
      <c r="O698" s="10">
        <f t="shared" si="99"/>
        <v>3.1482353209760096E-2</v>
      </c>
      <c r="P698" s="10">
        <f t="shared" si="100"/>
        <v>0.18758885902918404</v>
      </c>
      <c r="Q698" s="66">
        <f t="shared" si="103"/>
        <v>2</v>
      </c>
      <c r="R698" s="10">
        <f t="shared" si="101"/>
        <v>1.0143188012056605E-2</v>
      </c>
      <c r="V698" s="10">
        <f t="shared" si="102"/>
        <v>1.9339018059850671E-3</v>
      </c>
    </row>
    <row r="699" spans="11:22">
      <c r="K699" s="66">
        <v>34.35</v>
      </c>
      <c r="L699" s="10">
        <f t="shared" si="96"/>
        <v>0.754656230265776</v>
      </c>
      <c r="M699" s="10">
        <f t="shared" si="97"/>
        <v>0.66856399466964045</v>
      </c>
      <c r="N699" s="10">
        <f t="shared" si="98"/>
        <v>2.2038837333184364E-2</v>
      </c>
      <c r="O699" s="10">
        <f t="shared" si="99"/>
        <v>3.1596038257633824E-2</v>
      </c>
      <c r="P699" s="10">
        <f t="shared" si="100"/>
        <v>0.18713179220357556</v>
      </c>
      <c r="Q699" s="66">
        <f t="shared" si="103"/>
        <v>4</v>
      </c>
      <c r="R699" s="10">
        <f t="shared" si="101"/>
        <v>2.0255687666743384E-2</v>
      </c>
      <c r="V699" s="10">
        <f t="shared" si="102"/>
        <v>3.879343330593029E-3</v>
      </c>
    </row>
    <row r="700" spans="11:22">
      <c r="K700" s="66">
        <v>34.4</v>
      </c>
      <c r="L700" s="10">
        <f t="shared" si="96"/>
        <v>0.75382360412763239</v>
      </c>
      <c r="M700" s="10">
        <f t="shared" si="97"/>
        <v>0.66750672697905133</v>
      </c>
      <c r="N700" s="10">
        <f t="shared" si="98"/>
        <v>2.2118312500513139E-2</v>
      </c>
      <c r="O700" s="10">
        <f t="shared" si="99"/>
        <v>3.1710135138553482E-2</v>
      </c>
      <c r="P700" s="10">
        <f t="shared" si="100"/>
        <v>0.18667583903729726</v>
      </c>
      <c r="Q700" s="66">
        <f t="shared" si="103"/>
        <v>2</v>
      </c>
      <c r="R700" s="10">
        <f t="shared" si="101"/>
        <v>1.0112425660056349E-2</v>
      </c>
      <c r="V700" s="10">
        <f t="shared" si="102"/>
        <v>1.9454418604265944E-3</v>
      </c>
    </row>
    <row r="701" spans="11:22">
      <c r="K701" s="66">
        <v>34.450000000000003</v>
      </c>
      <c r="L701" s="10">
        <f t="shared" si="96"/>
        <v>0.75298889902289379</v>
      </c>
      <c r="M701" s="10">
        <f t="shared" si="97"/>
        <v>0.66644732238126458</v>
      </c>
      <c r="N701" s="10">
        <f t="shared" si="98"/>
        <v>2.2198075572899358E-2</v>
      </c>
      <c r="O701" s="10">
        <f t="shared" si="99"/>
        <v>3.1824645344416654E-2</v>
      </c>
      <c r="P701" s="10">
        <f t="shared" si="100"/>
        <v>0.18622099681687895</v>
      </c>
      <c r="Q701" s="66">
        <f t="shared" si="103"/>
        <v>4</v>
      </c>
      <c r="R701" s="10">
        <f t="shared" si="101"/>
        <v>2.0193867091627783E-2</v>
      </c>
      <c r="V701" s="10">
        <f t="shared" si="102"/>
        <v>3.902424501855282E-3</v>
      </c>
    </row>
    <row r="702" spans="11:22">
      <c r="K702" s="66">
        <v>34.5</v>
      </c>
      <c r="L702" s="10">
        <f t="shared" si="96"/>
        <v>0.75215211304871843</v>
      </c>
      <c r="M702" s="10">
        <f t="shared" si="97"/>
        <v>0.6653857825915741</v>
      </c>
      <c r="N702" s="10">
        <f t="shared" si="98"/>
        <v>2.2278127593301715E-2</v>
      </c>
      <c r="O702" s="10">
        <f t="shared" si="99"/>
        <v>3.1939570372525615E-2</v>
      </c>
      <c r="P702" s="10">
        <f t="shared" si="100"/>
        <v>0.18576726283546227</v>
      </c>
      <c r="Q702" s="66">
        <f t="shared" si="103"/>
        <v>2</v>
      </c>
      <c r="R702" s="10">
        <f t="shared" si="101"/>
        <v>1.0081367546761708E-2</v>
      </c>
      <c r="V702" s="10">
        <f t="shared" si="102"/>
        <v>1.9569826953353981E-3</v>
      </c>
    </row>
    <row r="703" spans="11:22">
      <c r="K703" s="66">
        <v>34.549999999999997</v>
      </c>
      <c r="L703" s="10">
        <f t="shared" si="96"/>
        <v>0.75131324432619062</v>
      </c>
      <c r="M703" s="10">
        <f t="shared" si="97"/>
        <v>0.66432210937524871</v>
      </c>
      <c r="N703" s="10">
        <f t="shared" si="98"/>
        <v>2.2358469608457224E-2</v>
      </c>
      <c r="O703" s="10">
        <f t="shared" si="99"/>
        <v>3.2054911725606608E-2</v>
      </c>
      <c r="P703" s="10">
        <f t="shared" si="100"/>
        <v>0.18531463439278406</v>
      </c>
      <c r="Q703" s="66">
        <f t="shared" si="103"/>
        <v>4</v>
      </c>
      <c r="R703" s="10">
        <f t="shared" si="101"/>
        <v>2.0131455442888323E-2</v>
      </c>
      <c r="V703" s="10">
        <f t="shared" si="102"/>
        <v>3.9255061023358807E-3</v>
      </c>
    </row>
    <row r="704" spans="11:22">
      <c r="K704" s="66">
        <v>34.6</v>
      </c>
      <c r="L704" s="10">
        <f t="shared" si="96"/>
        <v>0.75047229100053614</v>
      </c>
      <c r="M704" s="10">
        <f t="shared" si="97"/>
        <v>0.66325630454781526</v>
      </c>
      <c r="N704" s="10">
        <f t="shared" si="98"/>
        <v>2.243910266889472E-2</v>
      </c>
      <c r="O704" s="10">
        <f t="shared" si="99"/>
        <v>3.2170670911829638E-2</v>
      </c>
      <c r="P704" s="10">
        <f t="shared" si="100"/>
        <v>0.18486310879516035</v>
      </c>
      <c r="Q704" s="66">
        <f t="shared" si="103"/>
        <v>2</v>
      </c>
      <c r="R704" s="10">
        <f t="shared" si="101"/>
        <v>1.0050014130845447E-2</v>
      </c>
      <c r="V704" s="10">
        <f t="shared" si="102"/>
        <v>1.968523174924693E-3</v>
      </c>
    </row>
    <row r="705" spans="11:22">
      <c r="K705" s="66">
        <v>34.65</v>
      </c>
      <c r="L705" s="10">
        <f t="shared" si="96"/>
        <v>0.7496292512413425</v>
      </c>
      <c r="M705" s="10">
        <f t="shared" si="97"/>
        <v>0.66218836997534358</v>
      </c>
      <c r="N705" s="10">
        <f t="shared" si="98"/>
        <v>2.2520027828948665E-2</v>
      </c>
      <c r="O705" s="10">
        <f t="shared" si="99"/>
        <v>3.2286849444828271E-2</v>
      </c>
      <c r="P705" s="10">
        <f t="shared" si="100"/>
        <v>0.18441268335547073</v>
      </c>
      <c r="Q705" s="66">
        <f t="shared" si="103"/>
        <v>4</v>
      </c>
      <c r="R705" s="10">
        <f t="shared" si="101"/>
        <v>2.0068453676805095E-2</v>
      </c>
      <c r="V705" s="10">
        <f t="shared" si="102"/>
        <v>3.948585844170991E-3</v>
      </c>
    </row>
    <row r="706" spans="11:22">
      <c r="K706" s="66">
        <v>34.700000000000003</v>
      </c>
      <c r="L706" s="10">
        <f t="shared" si="96"/>
        <v>0.74878412324277499</v>
      </c>
      <c r="M706" s="10">
        <f t="shared" si="97"/>
        <v>0.661118307574729</v>
      </c>
      <c r="N706" s="10">
        <f t="shared" si="98"/>
        <v>2.2601246146772957E-2</v>
      </c>
      <c r="O706" s="10">
        <f t="shared" si="99"/>
        <v>3.2403448843719158E-2</v>
      </c>
      <c r="P706" s="10">
        <f t="shared" si="100"/>
        <v>0.18396335539314163</v>
      </c>
      <c r="Q706" s="66">
        <f t="shared" si="103"/>
        <v>2</v>
      </c>
      <c r="R706" s="10">
        <f t="shared" si="101"/>
        <v>1.001836591001789E-2</v>
      </c>
      <c r="V706" s="10">
        <f t="shared" si="102"/>
        <v>1.9800621471097314E-3</v>
      </c>
    </row>
    <row r="707" spans="11:22">
      <c r="K707" s="66">
        <v>34.75</v>
      </c>
      <c r="L707" s="10">
        <f t="shared" si="96"/>
        <v>0.74793690522379852</v>
      </c>
      <c r="M707" s="10">
        <f t="shared" si="97"/>
        <v>0.66004611931397805</v>
      </c>
      <c r="N707" s="10">
        <f t="shared" si="98"/>
        <v>2.2682758684354706E-2</v>
      </c>
      <c r="O707" s="10">
        <f t="shared" si="99"/>
        <v>3.2520470633122182E-2</v>
      </c>
      <c r="P707" s="10">
        <f t="shared" si="100"/>
        <v>0.18351512223413119</v>
      </c>
      <c r="Q707" s="66">
        <f t="shared" si="103"/>
        <v>4</v>
      </c>
      <c r="R707" s="10">
        <f t="shared" si="101"/>
        <v>2.0004862828144496E-2</v>
      </c>
      <c r="V707" s="10">
        <f t="shared" si="102"/>
        <v>3.9716614068710798E-3</v>
      </c>
    </row>
    <row r="708" spans="11:22">
      <c r="K708" s="66">
        <v>34.799999999999997</v>
      </c>
      <c r="L708" s="10">
        <f t="shared" si="96"/>
        <v>0.74708759542839687</v>
      </c>
      <c r="M708" s="10">
        <f t="shared" si="97"/>
        <v>0.65897180721249116</v>
      </c>
      <c r="N708" s="10">
        <f t="shared" si="98"/>
        <v>2.2764566507528165E-2</v>
      </c>
      <c r="O708" s="10">
        <f t="shared" si="99"/>
        <v>3.2637916343180307E-2</v>
      </c>
      <c r="P708" s="10">
        <f t="shared" si="100"/>
        <v>0.18306798121091278</v>
      </c>
      <c r="Q708" s="66">
        <f t="shared" si="103"/>
        <v>2</v>
      </c>
      <c r="R708" s="10">
        <f t="shared" si="101"/>
        <v>9.9864234214373515E-3</v>
      </c>
      <c r="V708" s="10">
        <f t="shared" si="102"/>
        <v>1.9915984434790801E-3</v>
      </c>
    </row>
    <row r="709" spans="11:22">
      <c r="K709" s="66">
        <v>34.85</v>
      </c>
      <c r="L709" s="10">
        <f t="shared" si="96"/>
        <v>0.74623619212579451</v>
      </c>
      <c r="M709" s="10">
        <f t="shared" si="97"/>
        <v>0.65789537334134784</v>
      </c>
      <c r="N709" s="10">
        <f t="shared" si="98"/>
        <v>2.2846670685988717E-2</v>
      </c>
      <c r="O709" s="10">
        <f t="shared" si="99"/>
        <v>3.2755787509579498E-2</v>
      </c>
      <c r="P709" s="10">
        <f t="shared" si="100"/>
        <v>0.18262192966245913</v>
      </c>
      <c r="Q709" s="66">
        <f t="shared" si="103"/>
        <v>4</v>
      </c>
      <c r="R709" s="10">
        <f t="shared" si="101"/>
        <v>1.9940684010977133E-2</v>
      </c>
      <c r="V709" s="10">
        <f t="shared" si="102"/>
        <v>3.9947304372677265E-3</v>
      </c>
    </row>
    <row r="710" spans="11:22">
      <c r="K710" s="66">
        <v>34.9</v>
      </c>
      <c r="L710" s="10">
        <f t="shared" si="96"/>
        <v>0.7453826936106791</v>
      </c>
      <c r="M710" s="10">
        <f t="shared" si="97"/>
        <v>0.65681681982359041</v>
      </c>
      <c r="N710" s="10">
        <f t="shared" si="98"/>
        <v>2.2929072293306662E-2</v>
      </c>
      <c r="O710" s="10">
        <f t="shared" si="99"/>
        <v>3.2874085673568906E-2</v>
      </c>
      <c r="P710" s="10">
        <f t="shared" si="100"/>
        <v>0.18217696493422703</v>
      </c>
      <c r="Q710" s="66">
        <f t="shared" si="103"/>
        <v>2</v>
      </c>
      <c r="R710" s="10">
        <f t="shared" si="101"/>
        <v>9.9541872421174873E-3</v>
      </c>
      <c r="V710" s="10">
        <f t="shared" si="102"/>
        <v>2.0031308792701663E-3</v>
      </c>
    </row>
    <row r="711" spans="11:22">
      <c r="K711" s="66">
        <v>34.950000000000003</v>
      </c>
      <c r="L711" s="10">
        <f t="shared" si="96"/>
        <v>0.74452709820342466</v>
      </c>
      <c r="M711" s="10">
        <f t="shared" si="97"/>
        <v>0.65573614883450837</v>
      </c>
      <c r="N711" s="10">
        <f t="shared" si="98"/>
        <v>2.3011772406941571E-2</v>
      </c>
      <c r="O711" s="10">
        <f t="shared" si="99"/>
        <v>3.2992812381980867E-2</v>
      </c>
      <c r="P711" s="10">
        <f t="shared" si="100"/>
        <v>0.1817330843781407</v>
      </c>
      <c r="Q711" s="66">
        <f t="shared" si="103"/>
        <v>4</v>
      </c>
      <c r="R711" s="10">
        <f t="shared" si="101"/>
        <v>1.9875918419488933E-2</v>
      </c>
      <c r="V711" s="10">
        <f t="shared" si="102"/>
        <v>4.0177905494689845E-3</v>
      </c>
    </row>
    <row r="712" spans="11:22">
      <c r="K712" s="66">
        <v>35</v>
      </c>
      <c r="L712" s="10">
        <f t="shared" si="96"/>
        <v>0.74366940425031558</v>
      </c>
      <c r="M712" s="10">
        <f t="shared" si="97"/>
        <v>0.65465336260192286</v>
      </c>
      <c r="N712" s="10">
        <f t="shared" si="98"/>
        <v>2.3094772108256043E-2</v>
      </c>
      <c r="O712" s="10">
        <f t="shared" si="99"/>
        <v>3.3111969187251448E-2</v>
      </c>
      <c r="P712" s="10">
        <f t="shared" si="100"/>
        <v>0.18129028535257716</v>
      </c>
      <c r="Q712" s="66">
        <f t="shared" si="103"/>
        <v>2</v>
      </c>
      <c r="R712" s="10">
        <f t="shared" si="101"/>
        <v>9.9216579893311625E-3</v>
      </c>
      <c r="V712" s="10">
        <f t="shared" si="102"/>
        <v>2.014658253349148E-3</v>
      </c>
    </row>
    <row r="713" spans="11:22">
      <c r="K713" s="66">
        <v>35.049999999999997</v>
      </c>
      <c r="L713" s="10">
        <f t="shared" si="96"/>
        <v>0.74280961012377222</v>
      </c>
      <c r="M713" s="10">
        <f t="shared" si="97"/>
        <v>0.65356846340647134</v>
      </c>
      <c r="N713" s="10">
        <f t="shared" si="98"/>
        <v>2.3178072482530038E-2</v>
      </c>
      <c r="O713" s="10">
        <f t="shared" si="99"/>
        <v>3.3231557647440291E-2</v>
      </c>
      <c r="P713" s="10">
        <f t="shared" si="100"/>
        <v>0.18084856522234871</v>
      </c>
      <c r="Q713" s="66">
        <f t="shared" si="103"/>
        <v>4</v>
      </c>
      <c r="R713" s="10">
        <f t="shared" si="101"/>
        <v>1.9810567328785632E-2</v>
      </c>
      <c r="V713" s="10">
        <f t="shared" si="102"/>
        <v>4.0408393248236238E-3</v>
      </c>
    </row>
    <row r="714" spans="11:22">
      <c r="K714" s="66">
        <v>35.1</v>
      </c>
      <c r="L714" s="10">
        <f t="shared" si="96"/>
        <v>0.74194771422257544</v>
      </c>
      <c r="M714" s="10">
        <f t="shared" si="97"/>
        <v>0.65248145358188969</v>
      </c>
      <c r="N714" s="10">
        <f t="shared" si="98"/>
        <v>2.3261674618975107E-2</v>
      </c>
      <c r="O714" s="10">
        <f t="shared" si="99"/>
        <v>3.3351579326251428E-2</v>
      </c>
      <c r="P714" s="10">
        <f t="shared" si="100"/>
        <v>0.18040792135868963</v>
      </c>
      <c r="Q714" s="66">
        <f t="shared" si="103"/>
        <v>2</v>
      </c>
      <c r="R714" s="10">
        <f t="shared" si="101"/>
        <v>9.8888363210107941E-3</v>
      </c>
      <c r="V714" s="10">
        <f t="shared" si="102"/>
        <v>2.0261793481952837E-3</v>
      </c>
    </row>
    <row r="715" spans="11:22">
      <c r="K715" s="66">
        <v>35.15</v>
      </c>
      <c r="L715" s="10">
        <f t="shared" si="96"/>
        <v>0.7410837149720958</v>
      </c>
      <c r="M715" s="10">
        <f t="shared" si="97"/>
        <v>0.65139233551529963</v>
      </c>
      <c r="N715" s="10">
        <f t="shared" si="98"/>
        <v>2.3345579610748474E-2</v>
      </c>
      <c r="O715" s="10">
        <f t="shared" si="99"/>
        <v>3.3472035793053516E-2</v>
      </c>
      <c r="P715" s="10">
        <f t="shared" si="100"/>
        <v>0.17996835113923862</v>
      </c>
      <c r="Q715" s="66">
        <f t="shared" si="103"/>
        <v>4</v>
      </c>
      <c r="R715" s="10">
        <f t="shared" si="101"/>
        <v>1.974463209568959E-2</v>
      </c>
      <c r="V715" s="10">
        <f t="shared" si="102"/>
        <v>4.0638743118944038E-3</v>
      </c>
    </row>
    <row r="716" spans="11:22">
      <c r="K716" s="66">
        <v>35.200000000000003</v>
      </c>
      <c r="L716" s="10">
        <f t="shared" ref="L716:L779" si="104">(B$7^K716)*B$8^((B$5^25)*((B$5^K716)-1))</f>
        <v>0.74021761082451865</v>
      </c>
      <c r="M716" s="10">
        <f t="shared" ref="M716:M779" si="105">(B$7^K716)*B$8^((B$5^30)*((B$5^K716)-1))</f>
        <v>0.65030111164749038</v>
      </c>
      <c r="N716" s="10">
        <f t="shared" si="98"/>
        <v>2.3429788554967437E-2</v>
      </c>
      <c r="O716" s="10">
        <f t="shared" si="99"/>
        <v>3.3592928622900226E-2</v>
      </c>
      <c r="P716" s="10">
        <f t="shared" si="100"/>
        <v>0.17952985194802384</v>
      </c>
      <c r="Q716" s="66">
        <f t="shared" si="103"/>
        <v>2</v>
      </c>
      <c r="R716" s="10">
        <f t="shared" si="101"/>
        <v>9.8557229361450425E-3</v>
      </c>
      <c r="V716" s="10">
        <f t="shared" si="102"/>
        <v>2.0376929298898993E-3</v>
      </c>
    </row>
    <row r="717" spans="11:22">
      <c r="K717" s="66">
        <v>35.25</v>
      </c>
      <c r="L717" s="10">
        <f t="shared" si="104"/>
        <v>0.73934940025907481</v>
      </c>
      <c r="M717" s="10">
        <f t="shared" si="105"/>
        <v>0.64920778447320393</v>
      </c>
      <c r="N717" s="10">
        <f t="shared" ref="N717:N780" si="106">B$3+B$4*(B$5^(25+K717))</f>
        <v>2.351430255272368E-2</v>
      </c>
      <c r="O717" s="10">
        <f t="shared" ref="O717:O780" si="107">$B$3+$B$4*($B$5^(30+K717))</f>
        <v>3.3714259396551087E-2</v>
      </c>
      <c r="P717" s="10">
        <f t="shared" ref="P717:P780" si="108">(1+B$6)^-K717</f>
        <v>0.17909242117544763</v>
      </c>
      <c r="Q717" s="66">
        <f t="shared" si="103"/>
        <v>4</v>
      </c>
      <c r="R717" s="10">
        <f t="shared" ref="R717:R780" si="109">L717*M717*(N717+O717)*P717*Q717</f>
        <v>1.9678114159529116E-2</v>
      </c>
      <c r="V717" s="10">
        <f t="shared" si="102"/>
        <v>4.0868930264406338E-3</v>
      </c>
    </row>
    <row r="718" spans="11:22">
      <c r="K718" s="66">
        <v>35.299999999999997</v>
      </c>
      <c r="L718" s="10">
        <f t="shared" si="104"/>
        <v>0.73847908178226895</v>
      </c>
      <c r="M718" s="10">
        <f t="shared" si="105"/>
        <v>0.64811235654141863</v>
      </c>
      <c r="N718" s="10">
        <f t="shared" si="106"/>
        <v>2.3599122709097673E-2</v>
      </c>
      <c r="O718" s="10">
        <f t="shared" si="107"/>
        <v>3.3836029700492098E-2</v>
      </c>
      <c r="P718" s="10">
        <f t="shared" si="108"/>
        <v>0.17865605621827049</v>
      </c>
      <c r="Q718" s="66">
        <f t="shared" si="103"/>
        <v>2</v>
      </c>
      <c r="R718" s="10">
        <f t="shared" si="109"/>
        <v>9.8223185751712076E-3</v>
      </c>
      <c r="V718" s="10">
        <f t="shared" ref="V718:V781" si="110">(1-L718)*M718*O718*P718*Q718</f>
        <v>2.0491977481099963E-3</v>
      </c>
    </row>
    <row r="719" spans="11:22">
      <c r="K719" s="66">
        <v>35.35</v>
      </c>
      <c r="L719" s="10">
        <f t="shared" si="104"/>
        <v>0.7376066539281102</v>
      </c>
      <c r="M719" s="10">
        <f t="shared" si="105"/>
        <v>0.64701483045563268</v>
      </c>
      <c r="N719" s="10">
        <f t="shared" si="106"/>
        <v>2.3684250133173192E-2</v>
      </c>
      <c r="O719" s="10">
        <f t="shared" si="107"/>
        <v>3.3958241126956355E-2</v>
      </c>
      <c r="P719" s="10">
        <f t="shared" si="108"/>
        <v>0.17822075447959576</v>
      </c>
      <c r="Q719" s="66">
        <f t="shared" ref="Q719:Q782" si="111">IF(Q718=4,2,4)</f>
        <v>4</v>
      </c>
      <c r="R719" s="10">
        <f t="shared" si="109"/>
        <v>1.9611015042919483E-2</v>
      </c>
      <c r="V719" s="10">
        <f t="shared" si="110"/>
        <v>4.1098929514102696E-3</v>
      </c>
    </row>
    <row r="720" spans="11:22">
      <c r="K720" s="66">
        <v>35.4</v>
      </c>
      <c r="L720" s="10">
        <f t="shared" si="104"/>
        <v>0.73673211525834381</v>
      </c>
      <c r="M720" s="10">
        <f t="shared" si="105"/>
        <v>0.64591520887414888</v>
      </c>
      <c r="N720" s="10">
        <f t="shared" si="106"/>
        <v>2.3769685938051621E-2</v>
      </c>
      <c r="O720" s="10">
        <f t="shared" si="107"/>
        <v>3.4080895273944992E-2</v>
      </c>
      <c r="P720" s="10">
        <f t="shared" si="108"/>
        <v>0.17778651336885451</v>
      </c>
      <c r="Q720" s="66">
        <f t="shared" si="111"/>
        <v>2</v>
      </c>
      <c r="R720" s="10">
        <f t="shared" si="109"/>
        <v>9.7886240203637689E-3</v>
      </c>
      <c r="V720" s="10">
        <f t="shared" si="110"/>
        <v>2.0606925361267413E-3</v>
      </c>
    </row>
    <row r="721" spans="11:22">
      <c r="K721" s="66">
        <v>35.450000000000003</v>
      </c>
      <c r="L721" s="10">
        <f t="shared" si="104"/>
        <v>0.73585546436268223</v>
      </c>
      <c r="M721" s="10">
        <f t="shared" si="105"/>
        <v>0.64481349451035674</v>
      </c>
      <c r="N721" s="10">
        <f t="shared" si="106"/>
        <v>2.3855431240866812E-2</v>
      </c>
      <c r="O721" s="10">
        <f t="shared" si="107"/>
        <v>3.4203993745247907E-2</v>
      </c>
      <c r="P721" s="10">
        <f t="shared" si="108"/>
        <v>0.17735333030178943</v>
      </c>
      <c r="Q721" s="66">
        <f t="shared" si="111"/>
        <v>4</v>
      </c>
      <c r="R721" s="10">
        <f t="shared" si="109"/>
        <v>1.9543336352535245E-2</v>
      </c>
      <c r="V721" s="10">
        <f t="shared" si="110"/>
        <v>4.1328715369416931E-3</v>
      </c>
    </row>
    <row r="722" spans="11:22">
      <c r="K722" s="66">
        <v>35.5</v>
      </c>
      <c r="L722" s="10">
        <f t="shared" si="104"/>
        <v>0.73497669985903968</v>
      </c>
      <c r="M722" s="10">
        <f t="shared" si="105"/>
        <v>0.64370969013301738</v>
      </c>
      <c r="N722" s="10">
        <f t="shared" si="106"/>
        <v>2.3941487162799344E-2</v>
      </c>
      <c r="O722" s="10">
        <f t="shared" si="107"/>
        <v>3.4327538150465041E-2</v>
      </c>
      <c r="P722" s="10">
        <f t="shared" si="108"/>
        <v>0.17692120270044026</v>
      </c>
      <c r="Q722" s="66">
        <f t="shared" si="111"/>
        <v>2</v>
      </c>
      <c r="R722" s="10">
        <f t="shared" si="109"/>
        <v>9.7546400962182436E-3</v>
      </c>
      <c r="V722" s="10">
        <f t="shared" si="110"/>
        <v>2.0721760108088254E-3</v>
      </c>
    </row>
    <row r="723" spans="11:22">
      <c r="K723" s="66">
        <v>35.549999999999997</v>
      </c>
      <c r="L723" s="10">
        <f t="shared" si="104"/>
        <v>0.73409582039376464</v>
      </c>
      <c r="M723" s="10">
        <f t="shared" si="105"/>
        <v>0.64260379856654604</v>
      </c>
      <c r="N723" s="10">
        <f t="shared" si="106"/>
        <v>2.4027854829091519E-2</v>
      </c>
      <c r="O723" s="10">
        <f t="shared" si="107"/>
        <v>3.4451530105027106E-2</v>
      </c>
      <c r="P723" s="10">
        <f t="shared" si="108"/>
        <v>0.17649012799312763</v>
      </c>
      <c r="Q723" s="66">
        <f t="shared" si="111"/>
        <v>4</v>
      </c>
      <c r="R723" s="10">
        <f t="shared" si="109"/>
        <v>1.9475079779873703E-2</v>
      </c>
      <c r="V723" s="10">
        <f t="shared" si="110"/>
        <v>4.1558262003755187E-3</v>
      </c>
    </row>
    <row r="724" spans="11:22">
      <c r="K724" s="66">
        <v>35.6</v>
      </c>
      <c r="L724" s="10">
        <f t="shared" si="104"/>
        <v>0.73321282464187443</v>
      </c>
      <c r="M724" s="10">
        <f t="shared" si="105"/>
        <v>0.64149582269129402</v>
      </c>
      <c r="N724" s="10">
        <f t="shared" si="106"/>
        <v>2.4114535369061822E-2</v>
      </c>
      <c r="O724" s="10">
        <f t="shared" si="107"/>
        <v>3.4575971230216863E-2</v>
      </c>
      <c r="P724" s="10">
        <f t="shared" si="108"/>
        <v>0.17606010361443841</v>
      </c>
      <c r="Q724" s="66">
        <f t="shared" si="111"/>
        <v>2</v>
      </c>
      <c r="R724" s="10">
        <f t="shared" si="109"/>
        <v>9.7203676698306238E-3</v>
      </c>
      <c r="V724" s="10">
        <f t="shared" si="110"/>
        <v>2.0836468726309165E-3</v>
      </c>
    </row>
    <row r="725" spans="11:22">
      <c r="K725" s="66">
        <v>35.65</v>
      </c>
      <c r="L725" s="10">
        <f t="shared" si="104"/>
        <v>0.73232771130729224</v>
      </c>
      <c r="M725" s="10">
        <f t="shared" si="105"/>
        <v>0.64038576544383352</v>
      </c>
      <c r="N725" s="10">
        <f t="shared" si="106"/>
        <v>2.4201529916119822E-2</v>
      </c>
      <c r="O725" s="10">
        <f t="shared" si="107"/>
        <v>3.4700863153190389E-2</v>
      </c>
      <c r="P725" s="10">
        <f t="shared" si="108"/>
        <v>0.17563112700521019</v>
      </c>
      <c r="Q725" s="66">
        <f t="shared" si="111"/>
        <v>4</v>
      </c>
      <c r="R725" s="10">
        <f t="shared" si="109"/>
        <v>1.940624710200867E-2</v>
      </c>
      <c r="V725" s="10">
        <f t="shared" si="110"/>
        <v>4.1787543262765915E-3</v>
      </c>
    </row>
    <row r="726" spans="11:22">
      <c r="K726" s="66">
        <v>35.700000000000003</v>
      </c>
      <c r="L726" s="10">
        <f t="shared" si="104"/>
        <v>0.73144047912308241</v>
      </c>
      <c r="M726" s="10">
        <f t="shared" si="105"/>
        <v>0.6392736298172389</v>
      </c>
      <c r="N726" s="10">
        <f t="shared" si="106"/>
        <v>2.4288839607780926E-2</v>
      </c>
      <c r="O726" s="10">
        <f t="shared" si="107"/>
        <v>3.4826207506998094E-2</v>
      </c>
      <c r="P726" s="10">
        <f t="shared" si="108"/>
        <v>0.17520319561251582</v>
      </c>
      <c r="Q726" s="66">
        <f t="shared" si="111"/>
        <v>2</v>
      </c>
      <c r="R726" s="10">
        <f t="shared" si="109"/>
        <v>9.685807651271779E-3</v>
      </c>
      <c r="V726" s="10">
        <f t="shared" si="110"/>
        <v>2.0951038056872431E-3</v>
      </c>
    </row>
    <row r="727" spans="11:22">
      <c r="K727" s="66">
        <v>35.75</v>
      </c>
      <c r="L727" s="10">
        <f t="shared" si="104"/>
        <v>0.73055112685168744</v>
      </c>
      <c r="M727" s="10">
        <f t="shared" si="105"/>
        <v>0.63815941886136873</v>
      </c>
      <c r="N727" s="10">
        <f t="shared" si="106"/>
        <v>2.4376465585681312E-2</v>
      </c>
      <c r="O727" s="10">
        <f t="shared" si="107"/>
        <v>3.4952005930606343E-2</v>
      </c>
      <c r="P727" s="10">
        <f t="shared" si="108"/>
        <v>0.17477630688964879</v>
      </c>
      <c r="Q727" s="66">
        <f t="shared" si="111"/>
        <v>4</v>
      </c>
      <c r="R727" s="10">
        <f t="shared" si="109"/>
        <v>1.9336840182334496E-2</v>
      </c>
      <c r="V727" s="10">
        <f t="shared" si="110"/>
        <v>4.2016532664663894E-3</v>
      </c>
    </row>
    <row r="728" spans="11:22">
      <c r="K728" s="66">
        <v>35.799999999999997</v>
      </c>
      <c r="L728" s="10">
        <f t="shared" si="104"/>
        <v>0.72965965328516746</v>
      </c>
      <c r="M728" s="10">
        <f t="shared" si="105"/>
        <v>0.63704313568314841</v>
      </c>
      <c r="N728" s="10">
        <f t="shared" si="106"/>
        <v>2.4464408995592775E-2</v>
      </c>
      <c r="O728" s="10">
        <f t="shared" si="107"/>
        <v>3.5078260068918829E-2</v>
      </c>
      <c r="P728" s="10">
        <f t="shared" si="108"/>
        <v>0.17435045829610743</v>
      </c>
      <c r="Q728" s="66">
        <f t="shared" si="111"/>
        <v>2</v>
      </c>
      <c r="R728" s="10">
        <f t="shared" si="109"/>
        <v>9.6509609939568562E-3</v>
      </c>
      <c r="V728" s="10">
        <f t="shared" si="110"/>
        <v>2.1065454777104507E-3</v>
      </c>
    </row>
    <row r="729" spans="11:22">
      <c r="K729" s="66">
        <v>35.85</v>
      </c>
      <c r="L729" s="10">
        <f t="shared" si="104"/>
        <v>0.72876605724543742</v>
      </c>
      <c r="M729" s="10">
        <f t="shared" si="105"/>
        <v>0.63592478344685144</v>
      </c>
      <c r="N729" s="10">
        <f t="shared" si="106"/>
        <v>2.455267098743787E-2</v>
      </c>
      <c r="O729" s="10">
        <f t="shared" si="107"/>
        <v>3.5204971572797956E-2</v>
      </c>
      <c r="P729" s="10">
        <f t="shared" si="108"/>
        <v>0.17392564729758014</v>
      </c>
      <c r="Q729" s="66">
        <f t="shared" si="111"/>
        <v>4</v>
      </c>
      <c r="R729" s="10">
        <f t="shared" si="109"/>
        <v>1.9266860971299562E-2</v>
      </c>
      <c r="V729" s="10">
        <f t="shared" si="110"/>
        <v>4.2245203400661591E-3</v>
      </c>
    </row>
    <row r="730" spans="11:22">
      <c r="K730" s="66">
        <v>35.9</v>
      </c>
      <c r="L730" s="10">
        <f t="shared" si="104"/>
        <v>0.72787033758450836</v>
      </c>
      <c r="M730" s="10">
        <f t="shared" si="105"/>
        <v>0.63480436537438056</v>
      </c>
      <c r="N730" s="10">
        <f t="shared" si="106"/>
        <v>2.4641252715304665E-2</v>
      </c>
      <c r="O730" s="10">
        <f t="shared" si="107"/>
        <v>3.5332142099086576E-2</v>
      </c>
      <c r="P730" s="10">
        <f t="shared" si="108"/>
        <v>0.17350187136593045</v>
      </c>
      <c r="Q730" s="66">
        <f t="shared" si="111"/>
        <v>2</v>
      </c>
      <c r="R730" s="10">
        <f t="shared" si="109"/>
        <v>9.6158286950094214E-3</v>
      </c>
      <c r="V730" s="10">
        <f t="shared" si="110"/>
        <v>2.1179705400958832E-3</v>
      </c>
    </row>
    <row r="731" spans="11:22">
      <c r="K731" s="66">
        <v>35.950000000000003</v>
      </c>
      <c r="L731" s="10">
        <f t="shared" si="104"/>
        <v>0.72697249318472712</v>
      </c>
      <c r="M731" s="10">
        <f t="shared" si="105"/>
        <v>0.63368188474554943</v>
      </c>
      <c r="N731" s="10">
        <f t="shared" si="106"/>
        <v>2.4730155337462194E-2</v>
      </c>
      <c r="O731" s="10">
        <f t="shared" si="107"/>
        <v>3.5459773310629432E-2</v>
      </c>
      <c r="P731" s="10">
        <f t="shared" si="108"/>
        <v>0.1730791279791816</v>
      </c>
      <c r="Q731" s="66">
        <f t="shared" si="111"/>
        <v>4</v>
      </c>
      <c r="R731" s="10">
        <f t="shared" si="109"/>
        <v>1.9196311507128951E-2</v>
      </c>
      <c r="V731" s="10">
        <f t="shared" si="110"/>
        <v>4.24735283355091E-3</v>
      </c>
    </row>
    <row r="732" spans="11:22">
      <c r="K732" s="66">
        <v>36</v>
      </c>
      <c r="L732" s="10">
        <f t="shared" si="104"/>
        <v>0.72607252295901792</v>
      </c>
      <c r="M732" s="10">
        <f t="shared" si="105"/>
        <v>0.63255734489836202</v>
      </c>
      <c r="N732" s="10">
        <f t="shared" si="106"/>
        <v>2.4819380016375254E-2</v>
      </c>
      <c r="O732" s="10">
        <f t="shared" si="107"/>
        <v>3.5587866876295303E-2</v>
      </c>
      <c r="P732" s="10">
        <f t="shared" si="108"/>
        <v>0.17265741462150208</v>
      </c>
      <c r="Q732" s="66">
        <f t="shared" si="111"/>
        <v>2</v>
      </c>
      <c r="R732" s="10">
        <f t="shared" si="109"/>
        <v>9.5804117956199454E-3</v>
      </c>
      <c r="V732" s="10">
        <f t="shared" si="110"/>
        <v>2.1293776279313541E-3</v>
      </c>
    </row>
    <row r="733" spans="11:22">
      <c r="K733" s="66">
        <v>36.049999999999997</v>
      </c>
      <c r="L733" s="10">
        <f t="shared" si="104"/>
        <v>0.72517042585112601</v>
      </c>
      <c r="M733" s="10">
        <f t="shared" si="105"/>
        <v>0.63143074922929465</v>
      </c>
      <c r="N733" s="10">
        <f t="shared" si="106"/>
        <v>2.4908927918719792E-2</v>
      </c>
      <c r="O733" s="10">
        <f t="shared" si="107"/>
        <v>3.5716424470998313E-2</v>
      </c>
      <c r="P733" s="10">
        <f t="shared" si="108"/>
        <v>0.17223672878318924</v>
      </c>
      <c r="Q733" s="66">
        <f t="shared" si="111"/>
        <v>4</v>
      </c>
      <c r="R733" s="10">
        <f t="shared" si="109"/>
        <v>1.9125193916535867E-2</v>
      </c>
      <c r="V733" s="10">
        <f t="shared" si="110"/>
        <v>4.2701480008145894E-3</v>
      </c>
    </row>
    <row r="734" spans="11:22">
      <c r="K734" s="66">
        <v>36.1</v>
      </c>
      <c r="L734" s="10">
        <f t="shared" si="104"/>
        <v>0.72426620083585758</v>
      </c>
      <c r="M734" s="10">
        <f t="shared" si="105"/>
        <v>0.63030210119357277</v>
      </c>
      <c r="N734" s="10">
        <f t="shared" si="106"/>
        <v>2.4998800215398239E-2</v>
      </c>
      <c r="O734" s="10">
        <f t="shared" si="107"/>
        <v>3.5845447775720289E-2</v>
      </c>
      <c r="P734" s="10">
        <f t="shared" si="108"/>
        <v>0.17181706796065679</v>
      </c>
      <c r="Q734" s="66">
        <f t="shared" si="111"/>
        <v>2</v>
      </c>
      <c r="R734" s="10">
        <f t="shared" si="109"/>
        <v>9.5447113813985629E-3</v>
      </c>
      <c r="V734" s="10">
        <f t="shared" si="110"/>
        <v>2.1407653600325461E-3</v>
      </c>
    </row>
    <row r="735" spans="11:22">
      <c r="K735" s="66">
        <v>36.15</v>
      </c>
      <c r="L735" s="10">
        <f t="shared" si="104"/>
        <v>0.72335984691932675</v>
      </c>
      <c r="M735" s="10">
        <f t="shared" si="105"/>
        <v>0.6291714043054536</v>
      </c>
      <c r="N735" s="10">
        <f t="shared" si="106"/>
        <v>2.5088998081554608E-2</v>
      </c>
      <c r="O735" s="10">
        <f t="shared" si="107"/>
        <v>3.5974938477532525E-2</v>
      </c>
      <c r="P735" s="10">
        <f t="shared" si="108"/>
        <v>0.17139842965641772</v>
      </c>
      <c r="Q735" s="66">
        <f t="shared" si="111"/>
        <v>4</v>
      </c>
      <c r="R735" s="10">
        <f t="shared" si="109"/>
        <v>1.9053510415421155E-2</v>
      </c>
      <c r="V735" s="10">
        <f t="shared" si="110"/>
        <v>4.2929030632466187E-3</v>
      </c>
    </row>
    <row r="736" spans="11:22">
      <c r="K736" s="66">
        <v>36.200000000000003</v>
      </c>
      <c r="L736" s="10">
        <f t="shared" si="104"/>
        <v>0.72245136313919911</v>
      </c>
      <c r="M736" s="10">
        <f t="shared" si="105"/>
        <v>0.6280386621385029</v>
      </c>
      <c r="N736" s="10">
        <f t="shared" si="106"/>
        <v>2.5179522696589993E-2</v>
      </c>
      <c r="O736" s="10">
        <f t="shared" si="107"/>
        <v>3.6104898269617748E-2</v>
      </c>
      <c r="P736" s="10">
        <f t="shared" si="108"/>
        <v>0.17098081137907031</v>
      </c>
      <c r="Q736" s="66">
        <f t="shared" si="111"/>
        <v>2</v>
      </c>
      <c r="R736" s="10">
        <f t="shared" si="109"/>
        <v>9.5087285827219377E-3</v>
      </c>
      <c r="V736" s="10">
        <f t="shared" si="110"/>
        <v>2.152132338984235E-3</v>
      </c>
    </row>
    <row r="737" spans="11:22">
      <c r="K737" s="66">
        <v>36.25</v>
      </c>
      <c r="L737" s="10">
        <f t="shared" si="104"/>
        <v>0.72154074856493711</v>
      </c>
      <c r="M737" s="10">
        <f t="shared" si="105"/>
        <v>0.62690387832587402</v>
      </c>
      <c r="N737" s="10">
        <f t="shared" si="106"/>
        <v>2.527037524417796E-2</v>
      </c>
      <c r="O737" s="10">
        <f t="shared" si="107"/>
        <v>3.6235328851292423E-2</v>
      </c>
      <c r="P737" s="10">
        <f t="shared" si="108"/>
        <v>0.17056421064328345</v>
      </c>
      <c r="Q737" s="66">
        <f t="shared" si="111"/>
        <v>4</v>
      </c>
      <c r="R737" s="10">
        <f t="shared" si="109"/>
        <v>1.8981263309560688E-2</v>
      </c>
      <c r="V737" s="10">
        <f t="shared" si="110"/>
        <v>4.3156152098200963E-3</v>
      </c>
    </row>
    <row r="738" spans="11:22">
      <c r="K738" s="66">
        <v>36.299999999999997</v>
      </c>
      <c r="L738" s="10">
        <f t="shared" si="104"/>
        <v>0.72062800229804624</v>
      </c>
      <c r="M738" s="10">
        <f t="shared" si="105"/>
        <v>0.62576705656058562</v>
      </c>
      <c r="N738" s="10">
        <f t="shared" si="106"/>
        <v>2.5361556912279998E-2</v>
      </c>
      <c r="O738" s="10">
        <f t="shared" si="107"/>
        <v>3.6366231928029007E-2</v>
      </c>
      <c r="P738" s="10">
        <f t="shared" si="108"/>
        <v>0.17014862496978142</v>
      </c>
      <c r="Q738" s="66">
        <f t="shared" si="111"/>
        <v>2</v>
      </c>
      <c r="R738" s="10">
        <f t="shared" si="109"/>
        <v>9.4724645750736136E-3</v>
      </c>
      <c r="V738" s="10">
        <f t="shared" si="110"/>
        <v>2.1634771511872537E-3</v>
      </c>
    </row>
    <row r="739" spans="11:22">
      <c r="K739" s="66">
        <v>36.35</v>
      </c>
      <c r="L739" s="10">
        <f t="shared" si="104"/>
        <v>0.71971312347232241</v>
      </c>
      <c r="M739" s="10">
        <f t="shared" si="105"/>
        <v>0.62462820059579904</v>
      </c>
      <c r="N739" s="10">
        <f t="shared" si="106"/>
        <v>2.5453068893161183E-2</v>
      </c>
      <c r="O739" s="10">
        <f t="shared" si="107"/>
        <v>3.6497609211478085E-2</v>
      </c>
      <c r="P739" s="10">
        <f t="shared" si="108"/>
        <v>0.16973405188532931</v>
      </c>
      <c r="Q739" s="66">
        <f t="shared" si="111"/>
        <v>4</v>
      </c>
      <c r="R739" s="10">
        <f t="shared" si="109"/>
        <v>1.8908454995279898E-2</v>
      </c>
      <c r="V739" s="10">
        <f t="shared" si="110"/>
        <v>4.3382815971918431E-3</v>
      </c>
    </row>
    <row r="740" spans="11:22">
      <c r="K740" s="66">
        <v>36.4</v>
      </c>
      <c r="L740" s="10">
        <f t="shared" si="104"/>
        <v>0.71879611125410003</v>
      </c>
      <c r="M740" s="10">
        <f t="shared" si="105"/>
        <v>0.62348731424509529</v>
      </c>
      <c r="N740" s="10">
        <f t="shared" si="106"/>
        <v>2.5544912383405494E-2</v>
      </c>
      <c r="O740" s="10">
        <f t="shared" si="107"/>
        <v>3.6629462419490867E-2</v>
      </c>
      <c r="P740" s="10">
        <f t="shared" si="108"/>
        <v>0.16932048892271859</v>
      </c>
      <c r="Q740" s="66">
        <f t="shared" si="111"/>
        <v>2</v>
      </c>
      <c r="R740" s="10">
        <f t="shared" si="109"/>
        <v>9.4359205793781344E-3</v>
      </c>
      <c r="V740" s="10">
        <f t="shared" si="110"/>
        <v>2.1747983669115956E-3</v>
      </c>
    </row>
    <row r="741" spans="11:22">
      <c r="K741" s="66">
        <v>36.450000000000003</v>
      </c>
      <c r="L741" s="10">
        <f t="shared" si="104"/>
        <v>0.71787696484250019</v>
      </c>
      <c r="M741" s="10">
        <f t="shared" si="105"/>
        <v>0.62234440138275104</v>
      </c>
      <c r="N741" s="10">
        <f t="shared" si="106"/>
        <v>2.5637088583931798E-2</v>
      </c>
      <c r="O741" s="10">
        <f t="shared" si="107"/>
        <v>3.6761793276141499E-2</v>
      </c>
      <c r="P741" s="10">
        <f t="shared" si="108"/>
        <v>0.16890793362075188</v>
      </c>
      <c r="Q741" s="66">
        <f t="shared" si="111"/>
        <v>4</v>
      </c>
      <c r="R741" s="10">
        <f t="shared" si="109"/>
        <v>1.883508796011512E-2</v>
      </c>
      <c r="V741" s="10">
        <f t="shared" si="110"/>
        <v>4.3608993498145477E-3</v>
      </c>
    </row>
    <row r="742" spans="11:22">
      <c r="K742" s="66">
        <v>36.5</v>
      </c>
      <c r="L742" s="10">
        <f t="shared" si="104"/>
        <v>0.71695568346968053</v>
      </c>
      <c r="M742" s="10">
        <f t="shared" si="105"/>
        <v>0.62119946594401443</v>
      </c>
      <c r="N742" s="10">
        <f t="shared" si="106"/>
        <v>2.5729598700009296E-2</v>
      </c>
      <c r="O742" s="10">
        <f t="shared" si="107"/>
        <v>3.6894603511749911E-2</v>
      </c>
      <c r="P742" s="10">
        <f t="shared" si="108"/>
        <v>0.1684963835242288</v>
      </c>
      <c r="Q742" s="66">
        <f t="shared" si="111"/>
        <v>2</v>
      </c>
      <c r="R742" s="10">
        <f t="shared" si="109"/>
        <v>9.3990978623282491E-3</v>
      </c>
      <c r="V742" s="10">
        <f t="shared" si="110"/>
        <v>2.1860945403555207E-3</v>
      </c>
    </row>
    <row r="743" spans="11:22">
      <c r="K743" s="66">
        <v>36.549999999999997</v>
      </c>
      <c r="L743" s="10">
        <f t="shared" si="104"/>
        <v>0.71603226640108453</v>
      </c>
      <c r="M743" s="10">
        <f t="shared" si="105"/>
        <v>0.62005251192537969</v>
      </c>
      <c r="N743" s="10">
        <f t="shared" si="106"/>
        <v>2.5822443941273383E-2</v>
      </c>
      <c r="O743" s="10">
        <f t="shared" si="107"/>
        <v>3.7027894862904143E-2</v>
      </c>
      <c r="P743" s="10">
        <f t="shared" si="108"/>
        <v>0.16808583618393111</v>
      </c>
      <c r="Q743" s="66">
        <f t="shared" si="111"/>
        <v>4</v>
      </c>
      <c r="R743" s="10">
        <f t="shared" si="109"/>
        <v>1.8761164783461227E-2</v>
      </c>
      <c r="V743" s="10">
        <f t="shared" si="110"/>
        <v>4.3834655600612912E-3</v>
      </c>
    </row>
    <row r="744" spans="11:22">
      <c r="K744" s="66">
        <v>36.6</v>
      </c>
      <c r="L744" s="10">
        <f t="shared" si="104"/>
        <v>0.71510671293569383</v>
      </c>
      <c r="M744" s="10">
        <f t="shared" si="105"/>
        <v>0.61890354338486153</v>
      </c>
      <c r="N744" s="10">
        <f t="shared" si="106"/>
        <v>2.591562552174146E-2</v>
      </c>
      <c r="O744" s="10">
        <f t="shared" si="107"/>
        <v>3.7161669072483125E-2</v>
      </c>
      <c r="P744" s="10">
        <f t="shared" si="108"/>
        <v>0.16767628915660804</v>
      </c>
      <c r="Q744" s="66">
        <f t="shared" si="111"/>
        <v>2</v>
      </c>
      <c r="R744" s="10">
        <f t="shared" si="109"/>
        <v>9.3619977367052232E-3</v>
      </c>
      <c r="V744" s="10">
        <f t="shared" si="110"/>
        <v>2.1973642097109854E-3</v>
      </c>
    </row>
    <row r="745" spans="11:22">
      <c r="K745" s="66">
        <v>36.65</v>
      </c>
      <c r="L745" s="10">
        <f t="shared" si="104"/>
        <v>0.71417902240627895</v>
      </c>
      <c r="M745" s="10">
        <f t="shared" si="105"/>
        <v>0.61775256444227022</v>
      </c>
      <c r="N745" s="10">
        <f t="shared" si="106"/>
        <v>2.6009144659828804E-2</v>
      </c>
      <c r="O745" s="10">
        <f t="shared" si="107"/>
        <v>3.729592788967967E-2</v>
      </c>
      <c r="P745" s="10">
        <f t="shared" si="108"/>
        <v>0.16726774000496208</v>
      </c>
      <c r="Q745" s="66">
        <f t="shared" si="111"/>
        <v>4</v>
      </c>
      <c r="R745" s="10">
        <f t="shared" si="109"/>
        <v>1.8686688137204911E-2</v>
      </c>
      <c r="V745" s="10">
        <f t="shared" si="110"/>
        <v>4.4059772883626594E-3</v>
      </c>
    </row>
    <row r="746" spans="11:22">
      <c r="K746" s="66">
        <v>36.700000000000003</v>
      </c>
      <c r="L746" s="10">
        <f t="shared" si="104"/>
        <v>0.71324919417965205</v>
      </c>
      <c r="M746" s="10">
        <f t="shared" si="105"/>
        <v>0.61659957927948195</v>
      </c>
      <c r="N746" s="10">
        <f t="shared" si="106"/>
        <v>2.6103002578364495E-2</v>
      </c>
      <c r="O746" s="10">
        <f t="shared" si="107"/>
        <v>3.743067307002295E-2</v>
      </c>
      <c r="P746" s="10">
        <f t="shared" si="108"/>
        <v>0.16686018629763413</v>
      </c>
      <c r="Q746" s="66">
        <f t="shared" si="111"/>
        <v>2</v>
      </c>
      <c r="R746" s="10">
        <f t="shared" si="109"/>
        <v>9.3246215616918753E-3</v>
      </c>
      <c r="V746" s="10">
        <f t="shared" si="110"/>
        <v>2.2086058972353717E-3</v>
      </c>
    </row>
    <row r="747" spans="11:22">
      <c r="K747" s="66">
        <v>36.75</v>
      </c>
      <c r="L747" s="10">
        <f t="shared" si="104"/>
        <v>0.7123172276569204</v>
      </c>
      <c r="M747" s="10">
        <f t="shared" si="105"/>
        <v>0.61544459214071379</v>
      </c>
      <c r="N747" s="10">
        <f t="shared" si="106"/>
        <v>2.6197200504607408E-2</v>
      </c>
      <c r="O747" s="10">
        <f t="shared" si="107"/>
        <v>3.7565906375401824E-2</v>
      </c>
      <c r="P747" s="10">
        <f t="shared" si="108"/>
        <v>0.1664536256091893</v>
      </c>
      <c r="Q747" s="66">
        <f t="shared" si="111"/>
        <v>4</v>
      </c>
      <c r="R747" s="10">
        <f t="shared" si="109"/>
        <v>1.8611660786343454E-2</v>
      </c>
      <c r="V747" s="10">
        <f t="shared" si="110"/>
        <v>4.4284315633566851E-3</v>
      </c>
    </row>
    <row r="748" spans="11:22">
      <c r="K748" s="66">
        <v>36.799999999999997</v>
      </c>
      <c r="L748" s="10">
        <f t="shared" si="104"/>
        <v>0.71138312227373945</v>
      </c>
      <c r="M748" s="10">
        <f t="shared" si="105"/>
        <v>0.61428760733279308</v>
      </c>
      <c r="N748" s="10">
        <f t="shared" si="106"/>
        <v>2.6291739670262233E-2</v>
      </c>
      <c r="O748" s="10">
        <f t="shared" si="107"/>
        <v>3.7701629574087743E-2</v>
      </c>
      <c r="P748" s="10">
        <f t="shared" si="108"/>
        <v>0.16604805552010229</v>
      </c>
      <c r="Q748" s="66">
        <f t="shared" si="111"/>
        <v>2</v>
      </c>
      <c r="R748" s="10">
        <f t="shared" si="109"/>
        <v>9.2869707431780836E-3</v>
      </c>
      <c r="V748" s="10">
        <f t="shared" si="110"/>
        <v>2.2198181093297043E-3</v>
      </c>
    </row>
    <row r="749" spans="11:22">
      <c r="K749" s="66">
        <v>36.85</v>
      </c>
      <c r="L749" s="10">
        <f t="shared" si="104"/>
        <v>0.71044687750056879</v>
      </c>
      <c r="M749" s="10">
        <f t="shared" si="105"/>
        <v>0.61312862922542954</v>
      </c>
      <c r="N749" s="10">
        <f t="shared" si="106"/>
        <v>2.6386621311495707E-2</v>
      </c>
      <c r="O749" s="10">
        <f t="shared" si="107"/>
        <v>3.7837844440757808E-2</v>
      </c>
      <c r="P749" s="10">
        <f t="shared" si="108"/>
        <v>0.16564347361674298</v>
      </c>
      <c r="Q749" s="66">
        <f t="shared" si="111"/>
        <v>4</v>
      </c>
      <c r="R749" s="10">
        <f t="shared" si="109"/>
        <v>1.8536085589588053E-2</v>
      </c>
      <c r="V749" s="10">
        <f t="shared" si="110"/>
        <v>4.4508253820518904E-3</v>
      </c>
    </row>
    <row r="750" spans="11:22">
      <c r="K750" s="66">
        <v>36.9</v>
      </c>
      <c r="L750" s="10">
        <f t="shared" si="104"/>
        <v>0.70950849284292672</v>
      </c>
      <c r="M750" s="10">
        <f t="shared" si="105"/>
        <v>0.61196766225148513</v>
      </c>
      <c r="N750" s="10">
        <f t="shared" si="106"/>
        <v>2.6481846668952515E-2</v>
      </c>
      <c r="O750" s="10">
        <f t="shared" si="107"/>
        <v>3.797455275651803E-2</v>
      </c>
      <c r="P750" s="10">
        <f t="shared" si="108"/>
        <v>0.16523987749136235</v>
      </c>
      <c r="Q750" s="66">
        <f t="shared" si="111"/>
        <v>2</v>
      </c>
      <c r="R750" s="10">
        <f t="shared" si="109"/>
        <v>9.2490467340586163E-3</v>
      </c>
      <c r="V750" s="10">
        <f t="shared" si="110"/>
        <v>2.2309993366235086E-3</v>
      </c>
    </row>
    <row r="751" spans="11:22">
      <c r="K751" s="66">
        <v>36.950000000000003</v>
      </c>
      <c r="L751" s="10">
        <f t="shared" si="104"/>
        <v>0.70856796784164611</v>
      </c>
      <c r="M751" s="10">
        <f t="shared" si="105"/>
        <v>0.6108047109072422</v>
      </c>
      <c r="N751" s="10">
        <f t="shared" si="106"/>
        <v>2.6577416987771833E-2</v>
      </c>
      <c r="O751" s="10">
        <f t="shared" si="107"/>
        <v>3.8111756308926638E-2</v>
      </c>
      <c r="P751" s="10">
        <f t="shared" si="108"/>
        <v>0.16483726474207774</v>
      </c>
      <c r="Q751" s="66">
        <f t="shared" si="111"/>
        <v>4</v>
      </c>
      <c r="R751" s="10">
        <f t="shared" si="109"/>
        <v>1.8459965499951492E-2</v>
      </c>
      <c r="V751" s="10">
        <f t="shared" si="110"/>
        <v>4.4731557100036118E-3</v>
      </c>
    </row>
    <row r="752" spans="11:22">
      <c r="K752" s="66">
        <v>37</v>
      </c>
      <c r="L752" s="10">
        <f t="shared" si="104"/>
        <v>0.7076253020731319</v>
      </c>
      <c r="M752" s="10">
        <f t="shared" si="105"/>
        <v>0.60963977975267303</v>
      </c>
      <c r="N752" s="10">
        <f t="shared" si="106"/>
        <v>2.6673333517603391E-2</v>
      </c>
      <c r="O752" s="10">
        <f t="shared" si="107"/>
        <v>3.8249456892017454E-2</v>
      </c>
      <c r="P752" s="10">
        <f t="shared" si="108"/>
        <v>0.1644356329728591</v>
      </c>
      <c r="Q752" s="66">
        <f t="shared" si="111"/>
        <v>2</v>
      </c>
      <c r="R752" s="10">
        <f t="shared" si="109"/>
        <v>9.2108510345229148E-3</v>
      </c>
      <c r="V752" s="10">
        <f t="shared" si="110"/>
        <v>2.2421480540663523E-3</v>
      </c>
    </row>
    <row r="753" spans="11:22">
      <c r="K753" s="66">
        <v>37.049999999999997</v>
      </c>
      <c r="L753" s="10">
        <f t="shared" si="104"/>
        <v>0.70668049514961906</v>
      </c>
      <c r="M753" s="10">
        <f t="shared" si="105"/>
        <v>0.60847287341170719</v>
      </c>
      <c r="N753" s="10">
        <f t="shared" si="106"/>
        <v>2.6769597512623772E-2</v>
      </c>
      <c r="O753" s="10">
        <f t="shared" si="107"/>
        <v>3.8387656306323154E-2</v>
      </c>
      <c r="P753" s="10">
        <f t="shared" si="108"/>
        <v>0.16403497979351356</v>
      </c>
      <c r="Q753" s="66">
        <f t="shared" si="111"/>
        <v>4</v>
      </c>
      <c r="R753" s="10">
        <f t="shared" si="109"/>
        <v>1.8383303565319468E-2</v>
      </c>
      <c r="V753" s="10">
        <f t="shared" si="110"/>
        <v>4.4954194815039483E-3</v>
      </c>
    </row>
    <row r="754" spans="11:22">
      <c r="K754" s="66">
        <v>37.1</v>
      </c>
      <c r="L754" s="10">
        <f t="shared" si="104"/>
        <v>0.70573354671942889</v>
      </c>
      <c r="M754" s="10">
        <f t="shared" si="105"/>
        <v>0.60730399657249634</v>
      </c>
      <c r="N754" s="10">
        <f t="shared" si="106"/>
        <v>2.6866210231553105E-2</v>
      </c>
      <c r="O754" s="10">
        <f t="shared" si="107"/>
        <v>3.8526356358899304E-2</v>
      </c>
      <c r="P754" s="10">
        <f t="shared" si="108"/>
        <v>0.16363530281967309</v>
      </c>
      <c r="Q754" s="66">
        <f t="shared" si="111"/>
        <v>2</v>
      </c>
      <c r="R754" s="10">
        <f t="shared" si="109"/>
        <v>9.1723851923365442E-3</v>
      </c>
      <c r="V754" s="10">
        <f t="shared" si="110"/>
        <v>2.2532627210262177E-3</v>
      </c>
    </row>
    <row r="755" spans="11:22">
      <c r="K755" s="66">
        <v>37.15</v>
      </c>
      <c r="L755" s="10">
        <f t="shared" si="104"/>
        <v>0.70478445646722976</v>
      </c>
      <c r="M755" s="10">
        <f t="shared" si="105"/>
        <v>0.60613315398768208</v>
      </c>
      <c r="N755" s="10">
        <f t="shared" si="106"/>
        <v>2.6963172937671205E-2</v>
      </c>
      <c r="O755" s="10">
        <f t="shared" si="107"/>
        <v>3.8665558863347473E-2</v>
      </c>
      <c r="P755" s="10">
        <f t="shared" si="108"/>
        <v>0.16323659967277879</v>
      </c>
      <c r="Q755" s="66">
        <f t="shared" si="111"/>
        <v>4</v>
      </c>
      <c r="R755" s="10">
        <f t="shared" si="109"/>
        <v>1.8306102929005214E-2</v>
      </c>
      <c r="V755" s="10">
        <f t="shared" si="110"/>
        <v>4.5176135997854984E-3</v>
      </c>
    </row>
    <row r="756" spans="11:22">
      <c r="K756" s="66">
        <v>37.200000000000003</v>
      </c>
      <c r="L756" s="10">
        <f t="shared" si="104"/>
        <v>0.70383322411429639</v>
      </c>
      <c r="M756" s="10">
        <f t="shared" si="105"/>
        <v>0.60496035047465957</v>
      </c>
      <c r="N756" s="10">
        <f t="shared" si="106"/>
        <v>2.7060486898834245E-2</v>
      </c>
      <c r="O756" s="10">
        <f t="shared" si="107"/>
        <v>3.8805265639839069E-2</v>
      </c>
      <c r="P756" s="10">
        <f t="shared" si="108"/>
        <v>0.16283886798006697</v>
      </c>
      <c r="Q756" s="66">
        <f t="shared" si="111"/>
        <v>2</v>
      </c>
      <c r="R756" s="10">
        <f t="shared" si="109"/>
        <v>9.1336508031143217E-3</v>
      </c>
      <c r="V756" s="10">
        <f t="shared" si="110"/>
        <v>2.2643417813949357E-3</v>
      </c>
    </row>
    <row r="757" spans="11:22">
      <c r="K757" s="66">
        <v>37.25</v>
      </c>
      <c r="L757" s="10">
        <f t="shared" si="104"/>
        <v>0.70287984941876969</v>
      </c>
      <c r="M757" s="10">
        <f t="shared" si="105"/>
        <v>0.6037855909158415</v>
      </c>
      <c r="N757" s="10">
        <f t="shared" si="106"/>
        <v>2.7158153387491307E-2</v>
      </c>
      <c r="O757" s="10">
        <f t="shared" si="107"/>
        <v>3.8945478515139353E-2</v>
      </c>
      <c r="P757" s="10">
        <f t="shared" si="108"/>
        <v>0.16244210537455567</v>
      </c>
      <c r="Q757" s="66">
        <f t="shared" si="111"/>
        <v>4</v>
      </c>
      <c r="R757" s="10">
        <f t="shared" si="109"/>
        <v>1.8228366830286651E-2</v>
      </c>
      <c r="V757" s="10">
        <f t="shared" si="110"/>
        <v>4.5397349372391007E-3</v>
      </c>
    </row>
    <row r="758" spans="11:22">
      <c r="K758" s="66">
        <v>37.299999999999997</v>
      </c>
      <c r="L758" s="10">
        <f t="shared" si="104"/>
        <v>0.70192433217591732</v>
      </c>
      <c r="M758" s="10">
        <f t="shared" si="105"/>
        <v>0.60260888025892034</v>
      </c>
      <c r="N758" s="10">
        <f t="shared" si="106"/>
        <v>2.7256173680700997E-2</v>
      </c>
      <c r="O758" s="10">
        <f t="shared" si="107"/>
        <v>3.9086199322631188E-2</v>
      </c>
      <c r="P758" s="10">
        <f t="shared" si="108"/>
        <v>0.16204630949502991</v>
      </c>
      <c r="Q758" s="66">
        <f t="shared" si="111"/>
        <v>2</v>
      </c>
      <c r="R758" s="10">
        <f t="shared" si="109"/>
        <v>9.0946495105843333E-3</v>
      </c>
      <c r="V758" s="10">
        <f t="shared" si="110"/>
        <v>2.2753836637005548E-3</v>
      </c>
    </row>
    <row r="759" spans="11:22">
      <c r="K759" s="66">
        <v>37.35</v>
      </c>
      <c r="L759" s="10">
        <f t="shared" si="104"/>
        <v>0.70096667221839659</v>
      </c>
      <c r="M759" s="10">
        <f t="shared" si="105"/>
        <v>0.6014302235171306</v>
      </c>
      <c r="N759" s="10">
        <f t="shared" si="106"/>
        <v>2.7354549060148274E-2</v>
      </c>
      <c r="O759" s="10">
        <f t="shared" si="107"/>
        <v>3.9227429902338941E-2</v>
      </c>
      <c r="P759" s="10">
        <f t="shared" si="108"/>
        <v>0.16165147798602789</v>
      </c>
      <c r="Q759" s="66">
        <f t="shared" si="111"/>
        <v>4</v>
      </c>
      <c r="R759" s="10">
        <f t="shared" si="109"/>
        <v>1.815009860492587E-2</v>
      </c>
      <c r="V759" s="10">
        <f t="shared" si="110"/>
        <v>4.561780335645995E-3</v>
      </c>
    </row>
    <row r="760" spans="11:22">
      <c r="K760" s="66">
        <v>37.4</v>
      </c>
      <c r="L760" s="10">
        <f t="shared" si="104"/>
        <v>0.70000686941651558</v>
      </c>
      <c r="M760" s="10">
        <f t="shared" si="105"/>
        <v>0.60024962576950913</v>
      </c>
      <c r="N760" s="10">
        <f t="shared" si="106"/>
        <v>2.7453280812160908E-2</v>
      </c>
      <c r="O760" s="10">
        <f t="shared" si="107"/>
        <v>3.9369172100952643E-2</v>
      </c>
      <c r="P760" s="10">
        <f t="shared" si="108"/>
        <v>0.16125760849782719</v>
      </c>
      <c r="Q760" s="66">
        <f t="shared" si="111"/>
        <v>2</v>
      </c>
      <c r="R760" s="10">
        <f t="shared" si="109"/>
        <v>9.055383006843172E-3</v>
      </c>
      <c r="V760" s="10">
        <f t="shared" si="110"/>
        <v>2.2863867812270588E-3</v>
      </c>
    </row>
    <row r="761" spans="11:22">
      <c r="K761" s="66">
        <v>37.450000000000003</v>
      </c>
      <c r="L761" s="10">
        <f t="shared" si="104"/>
        <v>0.69904492367849591</v>
      </c>
      <c r="M761" s="10">
        <f t="shared" si="105"/>
        <v>0.59906709216115428</v>
      </c>
      <c r="N761" s="10">
        <f t="shared" si="106"/>
        <v>2.7552370227726688E-2</v>
      </c>
      <c r="O761" s="10">
        <f t="shared" si="107"/>
        <v>3.9511427771852112E-2</v>
      </c>
      <c r="P761" s="10">
        <f t="shared" si="108"/>
        <v>0.16086469868643033</v>
      </c>
      <c r="Q761" s="66">
        <f t="shared" si="111"/>
        <v>4</v>
      </c>
      <c r="R761" s="10">
        <f t="shared" si="109"/>
        <v>1.8071301685670022E-2</v>
      </c>
      <c r="V761" s="10">
        <f t="shared" si="110"/>
        <v>4.5837466064243652E-3</v>
      </c>
    </row>
    <row r="762" spans="11:22">
      <c r="K762" s="66">
        <v>37.5</v>
      </c>
      <c r="L762" s="10">
        <f t="shared" si="104"/>
        <v>0.69808083495073769</v>
      </c>
      <c r="M762" s="10">
        <f t="shared" si="105"/>
        <v>0.59788262790348601</v>
      </c>
      <c r="N762" s="10">
        <f t="shared" si="106"/>
        <v>2.7651818602509995E-2</v>
      </c>
      <c r="O762" s="10">
        <f t="shared" si="107"/>
        <v>3.9654198775131162E-2</v>
      </c>
      <c r="P762" s="10">
        <f t="shared" si="108"/>
        <v>0.16047274621355123</v>
      </c>
      <c r="Q762" s="66">
        <f t="shared" si="111"/>
        <v>2</v>
      </c>
      <c r="R762" s="10">
        <f t="shared" si="109"/>
        <v>9.0158530326016704E-3</v>
      </c>
      <c r="V762" s="10">
        <f t="shared" si="110"/>
        <v>2.2973495321413373E-3</v>
      </c>
    </row>
    <row r="763" spans="11:22">
      <c r="K763" s="66">
        <v>37.549999999999997</v>
      </c>
      <c r="L763" s="10">
        <f t="shared" si="104"/>
        <v>0.69711460321808172</v>
      </c>
      <c r="M763" s="10">
        <f t="shared" si="105"/>
        <v>0.59669623827450047</v>
      </c>
      <c r="N763" s="10">
        <f t="shared" si="106"/>
        <v>2.775162723686889E-2</v>
      </c>
      <c r="O763" s="10">
        <f t="shared" si="107"/>
        <v>3.9797486977621914E-2</v>
      </c>
      <c r="P763" s="10">
        <f t="shared" si="108"/>
        <v>0.16008174874660105</v>
      </c>
      <c r="Q763" s="66">
        <f t="shared" si="111"/>
        <v>4</v>
      </c>
      <c r="R763" s="10">
        <f t="shared" si="109"/>
        <v>1.799197960273342E-2</v>
      </c>
      <c r="V763" s="10">
        <f t="shared" si="110"/>
        <v>4.605630530890783E-3</v>
      </c>
    </row>
    <row r="764" spans="11:22">
      <c r="K764" s="66">
        <v>37.6</v>
      </c>
      <c r="L764" s="10">
        <f t="shared" si="104"/>
        <v>0.6961462285040757</v>
      </c>
      <c r="M764" s="10">
        <f t="shared" si="105"/>
        <v>0.59550792861902813</v>
      </c>
      <c r="N764" s="10">
        <f t="shared" si="106"/>
        <v>2.7851797435872072E-2</v>
      </c>
      <c r="O764" s="10">
        <f t="shared" si="107"/>
        <v>3.9941294252919361E-2</v>
      </c>
      <c r="P764" s="10">
        <f t="shared" si="108"/>
        <v>0.1596917039586743</v>
      </c>
      <c r="Q764" s="66">
        <f t="shared" si="111"/>
        <v>2</v>
      </c>
      <c r="R764" s="10">
        <f t="shared" si="109"/>
        <v>8.9760613774210966E-3</v>
      </c>
      <c r="V764" s="10">
        <f t="shared" si="110"/>
        <v>2.3082702996276173E-3</v>
      </c>
    </row>
    <row r="765" spans="11:22">
      <c r="K765" s="66">
        <v>37.65</v>
      </c>
      <c r="L765" s="10">
        <f t="shared" si="104"/>
        <v>0.69517571087123919</v>
      </c>
      <c r="M765" s="10">
        <f t="shared" si="105"/>
        <v>0.59431770434898845</v>
      </c>
      <c r="N765" s="10">
        <f t="shared" si="106"/>
        <v>2.7952330509315965E-2</v>
      </c>
      <c r="O765" s="10">
        <f t="shared" si="107"/>
        <v>4.0085622481405639E-2</v>
      </c>
      <c r="P765" s="10">
        <f t="shared" si="108"/>
        <v>0.15930260952853531</v>
      </c>
      <c r="Q765" s="66">
        <f t="shared" si="111"/>
        <v>4</v>
      </c>
      <c r="R765" s="10">
        <f t="shared" si="109"/>
        <v>1.7912135984260023E-2</v>
      </c>
      <c r="V765" s="10">
        <f t="shared" si="110"/>
        <v>4.6274288605366067E-3</v>
      </c>
    </row>
    <row r="766" spans="11:22">
      <c r="K766" s="66">
        <v>37.700000000000003</v>
      </c>
      <c r="L766" s="10">
        <f t="shared" si="104"/>
        <v>0.69420305042132879</v>
      </c>
      <c r="M766" s="10">
        <f t="shared" si="105"/>
        <v>0.5931255709436426</v>
      </c>
      <c r="N766" s="10">
        <f t="shared" si="106"/>
        <v>2.8053227771741834E-2</v>
      </c>
      <c r="O766" s="10">
        <f t="shared" si="107"/>
        <v>4.0230473550274676E-2</v>
      </c>
      <c r="P766" s="10">
        <f t="shared" si="108"/>
        <v>0.1589144631406039</v>
      </c>
      <c r="Q766" s="66">
        <f t="shared" si="111"/>
        <v>2</v>
      </c>
      <c r="R766" s="10">
        <f t="shared" si="109"/>
        <v>8.9360098799394858E-3</v>
      </c>
      <c r="V766" s="10">
        <f t="shared" si="110"/>
        <v>2.3191474520294847E-3</v>
      </c>
    </row>
    <row r="767" spans="11:22">
      <c r="K767" s="66">
        <v>37.75</v>
      </c>
      <c r="L767" s="10">
        <f t="shared" si="104"/>
        <v>0.69322824729560628</v>
      </c>
      <c r="M767" s="10">
        <f t="shared" si="105"/>
        <v>0.59193153394984743</v>
      </c>
      <c r="N767" s="10">
        <f t="shared" si="106"/>
        <v>2.8154490542452962E-2</v>
      </c>
      <c r="O767" s="10">
        <f t="shared" si="107"/>
        <v>4.037584935355696E-2</v>
      </c>
      <c r="P767" s="10">
        <f t="shared" si="108"/>
        <v>0.1585272624849422</v>
      </c>
      <c r="Q767" s="66">
        <f t="shared" si="111"/>
        <v>4</v>
      </c>
      <c r="R767" s="10">
        <f t="shared" si="109"/>
        <v>1.7831774556766E-2</v>
      </c>
      <c r="V767" s="10">
        <f t="shared" si="110"/>
        <v>4.6491383173196373E-3</v>
      </c>
    </row>
    <row r="768" spans="11:22">
      <c r="K768" s="66">
        <v>37.799999999999997</v>
      </c>
      <c r="L768" s="10">
        <f t="shared" si="104"/>
        <v>0.69225130167510385</v>
      </c>
      <c r="M768" s="10">
        <f t="shared" si="105"/>
        <v>0.59073559898230499</v>
      </c>
      <c r="N768" s="10">
        <f t="shared" si="106"/>
        <v>2.8256120145531902E-2</v>
      </c>
      <c r="O768" s="10">
        <f t="shared" si="107"/>
        <v>4.0521751792144324E-2</v>
      </c>
      <c r="P768" s="10">
        <f t="shared" si="108"/>
        <v>0.15814100525724029</v>
      </c>
      <c r="Q768" s="66">
        <f t="shared" si="111"/>
        <v>2</v>
      </c>
      <c r="R768" s="10">
        <f t="shared" si="109"/>
        <v>8.8957004280877435E-3</v>
      </c>
      <c r="V768" s="10">
        <f t="shared" si="110"/>
        <v>2.3299793429995609E-3</v>
      </c>
    </row>
    <row r="769" spans="11:22">
      <c r="K769" s="66">
        <v>37.85</v>
      </c>
      <c r="L769" s="10">
        <f t="shared" si="104"/>
        <v>0.69127221378089343</v>
      </c>
      <c r="M769" s="10">
        <f t="shared" si="105"/>
        <v>0.58953777172381316</v>
      </c>
      <c r="N769" s="10">
        <f t="shared" si="106"/>
        <v>2.8358117909857865E-2</v>
      </c>
      <c r="O769" s="10">
        <f t="shared" si="107"/>
        <v>4.0668182773814641E-2</v>
      </c>
      <c r="P769" s="10">
        <f t="shared" si="108"/>
        <v>0.15775568915880284</v>
      </c>
      <c r="Q769" s="66">
        <f t="shared" si="111"/>
        <v>4</v>
      </c>
      <c r="R769" s="10">
        <f t="shared" si="109"/>
        <v>1.7750899145561699E-2</v>
      </c>
      <c r="V769" s="10">
        <f t="shared" si="110"/>
        <v>4.6707555939713256E-3</v>
      </c>
    </row>
    <row r="770" spans="11:22">
      <c r="K770" s="66">
        <v>37.9</v>
      </c>
      <c r="L770" s="10">
        <f t="shared" si="104"/>
        <v>0.69029098387435428</v>
      </c>
      <c r="M770" s="10">
        <f t="shared" si="105"/>
        <v>0.58833805792551475</v>
      </c>
      <c r="N770" s="10">
        <f t="shared" si="106"/>
        <v>2.8460485169123959E-2</v>
      </c>
      <c r="O770" s="10">
        <f t="shared" si="107"/>
        <v>4.0815144213256889E-2</v>
      </c>
      <c r="P770" s="10">
        <f t="shared" si="108"/>
        <v>0.15737131189653555</v>
      </c>
      <c r="Q770" s="66">
        <f t="shared" si="111"/>
        <v>2</v>
      </c>
      <c r="R770" s="10">
        <f t="shared" si="109"/>
        <v>8.8551349592953972E-3</v>
      </c>
      <c r="V770" s="10">
        <f t="shared" si="110"/>
        <v>2.3407643116570161E-3</v>
      </c>
    </row>
    <row r="771" spans="11:22">
      <c r="K771" s="66">
        <v>37.950000000000003</v>
      </c>
      <c r="L771" s="10">
        <f t="shared" si="104"/>
        <v>0.68930761225744119</v>
      </c>
      <c r="M771" s="10">
        <f t="shared" si="105"/>
        <v>0.58713646340714309</v>
      </c>
      <c r="N771" s="10">
        <f t="shared" si="106"/>
        <v>2.8563223261854721E-2</v>
      </c>
      <c r="O771" s="10">
        <f t="shared" si="107"/>
        <v>4.0962638032096134E-2</v>
      </c>
      <c r="P771" s="10">
        <f t="shared" si="108"/>
        <v>0.15698787118293114</v>
      </c>
      <c r="Q771" s="66">
        <f t="shared" si="111"/>
        <v>4</v>
      </c>
      <c r="R771" s="10">
        <f t="shared" si="109"/>
        <v>1.7669513675152421E-2</v>
      </c>
      <c r="V771" s="10">
        <f t="shared" si="110"/>
        <v>4.6922773543196048E-3</v>
      </c>
    </row>
    <row r="772" spans="11:22">
      <c r="K772" s="66">
        <v>38</v>
      </c>
      <c r="L772" s="10">
        <f t="shared" si="104"/>
        <v>0.68832209927295485</v>
      </c>
      <c r="M772" s="10">
        <f t="shared" si="105"/>
        <v>0.58593299405726951</v>
      </c>
      <c r="N772" s="10">
        <f t="shared" si="106"/>
        <v>2.8666333531423647E-2</v>
      </c>
      <c r="O772" s="10">
        <f t="shared" si="107"/>
        <v>4.1110666158918757E-2</v>
      </c>
      <c r="P772" s="10">
        <f t="shared" si="108"/>
        <v>0.15660536473605632</v>
      </c>
      <c r="Q772" s="66">
        <f t="shared" si="111"/>
        <v>2</v>
      </c>
      <c r="R772" s="10">
        <f t="shared" si="109"/>
        <v>8.8143154606856195E-3</v>
      </c>
      <c r="V772" s="10">
        <f t="shared" si="110"/>
        <v>2.351500682752989E-3</v>
      </c>
    </row>
    <row r="773" spans="11:22">
      <c r="K773" s="66">
        <v>38.049999999999997</v>
      </c>
      <c r="L773" s="10">
        <f t="shared" si="104"/>
        <v>0.68733444530481191</v>
      </c>
      <c r="M773" s="10">
        <f t="shared" si="105"/>
        <v>0.5847276558335468</v>
      </c>
      <c r="N773" s="10">
        <f t="shared" si="106"/>
        <v>2.8769817326070556E-2</v>
      </c>
      <c r="O773" s="10">
        <f t="shared" si="107"/>
        <v>4.1259230529297392E-2</v>
      </c>
      <c r="P773" s="10">
        <f t="shared" si="108"/>
        <v>0.15622379027953673</v>
      </c>
      <c r="Q773" s="66">
        <f t="shared" si="111"/>
        <v>4</v>
      </c>
      <c r="R773" s="10">
        <f t="shared" si="109"/>
        <v>1.7587622169617553E-2</v>
      </c>
      <c r="V773" s="10">
        <f t="shared" si="110"/>
        <v>4.7137002336277902E-3</v>
      </c>
    </row>
    <row r="774" spans="11:22">
      <c r="K774" s="66">
        <v>38.1</v>
      </c>
      <c r="L774" s="10">
        <f t="shared" si="104"/>
        <v>0.68634465077831353</v>
      </c>
      <c r="M774" s="10">
        <f t="shared" si="105"/>
        <v>0.583520454762951</v>
      </c>
      <c r="N774" s="10">
        <f t="shared" si="106"/>
        <v>2.8873675998919591E-2</v>
      </c>
      <c r="O774" s="10">
        <f t="shared" si="107"/>
        <v>4.1408333085816755E-2</v>
      </c>
      <c r="P774" s="10">
        <f t="shared" si="108"/>
        <v>0.15584314554254583</v>
      </c>
      <c r="Q774" s="66">
        <f t="shared" si="111"/>
        <v>2</v>
      </c>
      <c r="R774" s="10">
        <f t="shared" si="109"/>
        <v>8.7732439692591972E-3</v>
      </c>
      <c r="V774" s="10">
        <f t="shared" si="110"/>
        <v>2.3621867668440124E-3</v>
      </c>
    </row>
    <row r="775" spans="11:22">
      <c r="K775" s="66">
        <v>38.15</v>
      </c>
      <c r="L775" s="10">
        <f t="shared" si="104"/>
        <v>0.68535271616041826</v>
      </c>
      <c r="M775" s="10">
        <f t="shared" si="105"/>
        <v>0.58231139694202483</v>
      </c>
      <c r="N775" s="10">
        <f t="shared" si="106"/>
        <v>2.8977910907996545E-2</v>
      </c>
      <c r="O775" s="10">
        <f t="shared" si="107"/>
        <v>4.1557975778098527E-2</v>
      </c>
      <c r="P775" s="10">
        <f t="shared" si="108"/>
        <v>0.15546342825978929</v>
      </c>
      <c r="Q775" s="66">
        <f t="shared" si="111"/>
        <v>4</v>
      </c>
      <c r="R775" s="10">
        <f t="shared" si="109"/>
        <v>1.7505228752967401E-2</v>
      </c>
      <c r="V775" s="10">
        <f t="shared" si="110"/>
        <v>4.7350208389495959E-3</v>
      </c>
    </row>
    <row r="776" spans="11:22">
      <c r="K776" s="66">
        <v>38.200000000000003</v>
      </c>
      <c r="L776" s="10">
        <f t="shared" si="104"/>
        <v>0.68435864196001228</v>
      </c>
      <c r="M776" s="10">
        <f t="shared" si="105"/>
        <v>0.58110048853711549</v>
      </c>
      <c r="N776" s="10">
        <f t="shared" si="106"/>
        <v>2.908252341624681E-2</v>
      </c>
      <c r="O776" s="10">
        <f t="shared" si="107"/>
        <v>4.1708160562827008E-2</v>
      </c>
      <c r="P776" s="10">
        <f t="shared" si="108"/>
        <v>0.15508463617149232</v>
      </c>
      <c r="Q776" s="66">
        <f t="shared" si="111"/>
        <v>2</v>
      </c>
      <c r="R776" s="10">
        <f t="shared" si="109"/>
        <v>8.7319225720674208E-3</v>
      </c>
      <c r="V776" s="10">
        <f t="shared" si="110"/>
        <v>2.3728208604737043E-3</v>
      </c>
    </row>
    <row r="777" spans="11:22">
      <c r="K777" s="66">
        <v>38.25</v>
      </c>
      <c r="L777" s="10">
        <f t="shared" si="104"/>
        <v>0.68336242872818287</v>
      </c>
      <c r="M777" s="10">
        <f t="shared" si="105"/>
        <v>0.57988773578461517</v>
      </c>
      <c r="N777" s="10">
        <f t="shared" si="106"/>
        <v>2.9187514891553155E-2</v>
      </c>
      <c r="O777" s="10">
        <f t="shared" si="107"/>
        <v>4.1858889403774802E-2</v>
      </c>
      <c r="P777" s="10">
        <f t="shared" si="108"/>
        <v>0.15470676702338632</v>
      </c>
      <c r="Q777" s="66">
        <f t="shared" si="111"/>
        <v>4</v>
      </c>
      <c r="R777" s="10">
        <f t="shared" si="109"/>
        <v>1.7422337649477246E-2</v>
      </c>
      <c r="V777" s="10">
        <f t="shared" si="110"/>
        <v>4.7562357495006067E-3</v>
      </c>
    </row>
    <row r="778" spans="11:22">
      <c r="K778" s="66">
        <v>38.299999999999997</v>
      </c>
      <c r="L778" s="10">
        <f t="shared" si="104"/>
        <v>0.68236407705848823</v>
      </c>
      <c r="M778" s="10">
        <f t="shared" si="105"/>
        <v>0.57867314499119504</v>
      </c>
      <c r="N778" s="10">
        <f t="shared" si="106"/>
        <v>2.9292886706753573E-2</v>
      </c>
      <c r="O778" s="10">
        <f t="shared" si="107"/>
        <v>4.2010164271828528E-2</v>
      </c>
      <c r="P778" s="10">
        <f t="shared" si="108"/>
        <v>0.15432981856669514</v>
      </c>
      <c r="Q778" s="66">
        <f t="shared" si="111"/>
        <v>2</v>
      </c>
      <c r="R778" s="10">
        <f t="shared" si="109"/>
        <v>8.6903534063731813E-3</v>
      </c>
      <c r="V778" s="10">
        <f t="shared" si="110"/>
        <v>2.3834012463625617E-3</v>
      </c>
    </row>
    <row r="779" spans="11:22">
      <c r="K779" s="66">
        <v>38.35</v>
      </c>
      <c r="L779" s="10">
        <f t="shared" si="104"/>
        <v>0.68136358758723248</v>
      </c>
      <c r="M779" s="10">
        <f t="shared" si="105"/>
        <v>0.57745672253404245</v>
      </c>
      <c r="N779" s="10">
        <f t="shared" si="106"/>
        <v>2.9398640239659365E-2</v>
      </c>
      <c r="O779" s="10">
        <f t="shared" si="107"/>
        <v>4.216198714501436E-2</v>
      </c>
      <c r="P779" s="10">
        <f t="shared" si="108"/>
        <v>0.15395378855812181</v>
      </c>
      <c r="Q779" s="66">
        <f t="shared" si="111"/>
        <v>4</v>
      </c>
      <c r="R779" s="10">
        <f t="shared" si="109"/>
        <v>1.7338953183998088E-2</v>
      </c>
      <c r="V779" s="10">
        <f t="shared" si="110"/>
        <v>4.7773415170464179E-3</v>
      </c>
    </row>
    <row r="780" spans="11:22">
      <c r="K780" s="66">
        <v>38.4</v>
      </c>
      <c r="L780" s="10">
        <f t="shared" ref="L780:L843" si="112">(B$7^K780)*B$8^((B$5^25)*((B$5^K780)-1))</f>
        <v>0.68036096099373822</v>
      </c>
      <c r="M780" s="10">
        <f t="shared" ref="M780:M843" si="113">(B$7^K780)*B$8^((B$5^30)*((B$5^K780)-1))</f>
        <v>0.57623847486109359</v>
      </c>
      <c r="N780" s="10">
        <f t="shared" si="106"/>
        <v>2.9504776873072975E-2</v>
      </c>
      <c r="O780" s="10">
        <f t="shared" si="107"/>
        <v>4.2314360008524093E-2</v>
      </c>
      <c r="P780" s="10">
        <f t="shared" si="108"/>
        <v>0.15357867475983544</v>
      </c>
      <c r="Q780" s="66">
        <f t="shared" si="111"/>
        <v>2</v>
      </c>
      <c r="R780" s="10">
        <f t="shared" si="109"/>
        <v>8.6485386598003991E-3</v>
      </c>
      <c r="V780" s="10">
        <f t="shared" si="110"/>
        <v>2.3939261936062879E-3</v>
      </c>
    </row>
    <row r="781" spans="11:22">
      <c r="K781" s="66">
        <v>38.450000000000003</v>
      </c>
      <c r="L781" s="10">
        <f t="shared" si="112"/>
        <v>0.67935619800061975</v>
      </c>
      <c r="M781" s="10">
        <f t="shared" si="113"/>
        <v>0.57501840849126418</v>
      </c>
      <c r="N781" s="10">
        <f t="shared" ref="N781:N844" si="114">B$3+B$4*(B$5^(25+K781))</f>
        <v>2.9611297994806191E-2</v>
      </c>
      <c r="O781" s="10">
        <f t="shared" ref="O781:O844" si="115">$B$3+$B$4*($B$5^(30+K781))</f>
        <v>4.2467284854741015E-2</v>
      </c>
      <c r="P781" s="10">
        <f t="shared" ref="P781:P844" si="116">(1+B$6)^-K781</f>
        <v>0.15320447493945746</v>
      </c>
      <c r="Q781" s="66">
        <f t="shared" si="111"/>
        <v>4</v>
      </c>
      <c r="R781" s="10">
        <f t="shared" ref="R781:R844" si="117">L781*M781*(N781+O781)*P781*Q781</f>
        <v>1.7255079782243308E-2</v>
      </c>
      <c r="V781" s="10">
        <f t="shared" si="110"/>
        <v>4.7983346663076016E-3</v>
      </c>
    </row>
    <row r="782" spans="11:22">
      <c r="K782" s="66">
        <v>38.5</v>
      </c>
      <c r="L782" s="10">
        <f t="shared" si="112"/>
        <v>0.67834929937405863</v>
      </c>
      <c r="M782" s="10">
        <f t="shared" si="113"/>
        <v>0.57379653001468189</v>
      </c>
      <c r="N782" s="10">
        <f t="shared" si="114"/>
        <v>2.9718204997698245E-2</v>
      </c>
      <c r="O782" s="10">
        <f t="shared" si="115"/>
        <v>4.2620763683265998E-2</v>
      </c>
      <c r="P782" s="10">
        <f t="shared" si="116"/>
        <v>0.15283118687004879</v>
      </c>
      <c r="Q782" s="66">
        <f t="shared" si="111"/>
        <v>2</v>
      </c>
      <c r="R782" s="10">
        <f t="shared" si="117"/>
        <v>8.6064805704712984E-3</v>
      </c>
      <c r="V782" s="10">
        <f t="shared" ref="V782:V845" si="118">(1-L782)*M782*O782*P782*Q782</f>
        <v>2.4043939578825189E-3</v>
      </c>
    </row>
    <row r="783" spans="11:22">
      <c r="K783" s="66">
        <v>38.549999999999997</v>
      </c>
      <c r="L783" s="10">
        <f t="shared" si="112"/>
        <v>0.67734026592407715</v>
      </c>
      <c r="M783" s="10">
        <f t="shared" si="113"/>
        <v>0.57257284609291192</v>
      </c>
      <c r="N783" s="10">
        <f t="shared" si="114"/>
        <v>2.9825499279634054E-2</v>
      </c>
      <c r="O783" s="10">
        <f t="shared" si="115"/>
        <v>4.277479850094356E-2</v>
      </c>
      <c r="P783" s="10">
        <f t="shared" si="116"/>
        <v>0.15245880833009623</v>
      </c>
      <c r="Q783" s="66">
        <f t="shared" ref="Q783:Q846" si="119">IF(Q782=4,2,4)</f>
        <v>4</v>
      </c>
      <c r="R783" s="10">
        <f t="shared" si="117"/>
        <v>1.7170721971050899E-2</v>
      </c>
      <c r="V783" s="10">
        <f t="shared" si="118"/>
        <v>4.8192116953818028E-3</v>
      </c>
    </row>
    <row r="784" spans="11:22">
      <c r="K784" s="66">
        <v>38.6</v>
      </c>
      <c r="L784" s="10">
        <f t="shared" si="112"/>
        <v>0.67632909850481315</v>
      </c>
      <c r="M784" s="10">
        <f t="shared" si="113"/>
        <v>0.57134736345918524</v>
      </c>
      <c r="N784" s="10">
        <f t="shared" si="114"/>
        <v>2.9933182243562478E-2</v>
      </c>
      <c r="O784" s="10">
        <f t="shared" si="115"/>
        <v>4.2929391321888312E-2</v>
      </c>
      <c r="P784" s="10">
        <f t="shared" si="116"/>
        <v>0.15208733710349934</v>
      </c>
      <c r="Q784" s="66">
        <f t="shared" si="119"/>
        <v>2</v>
      </c>
      <c r="R784" s="10">
        <f t="shared" si="117"/>
        <v>8.5641814271313083E-3</v>
      </c>
      <c r="V784" s="10">
        <f t="shared" si="118"/>
        <v>2.4148027816661864E-3</v>
      </c>
    </row>
    <row r="785" spans="11:22">
      <c r="K785" s="66">
        <v>38.65</v>
      </c>
      <c r="L785" s="10">
        <f t="shared" si="112"/>
        <v>0.67531579801479635</v>
      </c>
      <c r="M785" s="10">
        <f t="shared" si="113"/>
        <v>0.57012008891862265</v>
      </c>
      <c r="N785" s="10">
        <f t="shared" si="114"/>
        <v>3.0041255297514665E-2</v>
      </c>
      <c r="O785" s="10">
        <f t="shared" si="115"/>
        <v>4.308454416751107E-2</v>
      </c>
      <c r="P785" s="10">
        <f t="shared" si="116"/>
        <v>0.15171677097955744</v>
      </c>
      <c r="Q785" s="66">
        <f t="shared" si="119"/>
        <v>4</v>
      </c>
      <c r="R785" s="10">
        <f t="shared" si="117"/>
        <v>1.7085884378620669E-2</v>
      </c>
      <c r="V785" s="10">
        <f t="shared" si="118"/>
        <v>4.8399690761831661E-3</v>
      </c>
    </row>
    <row r="786" spans="11:22">
      <c r="K786" s="66">
        <v>38.700000000000003</v>
      </c>
      <c r="L786" s="10">
        <f t="shared" si="112"/>
        <v>0.67430036539722349</v>
      </c>
      <c r="M786" s="10">
        <f t="shared" si="113"/>
        <v>0.56889102934845726</v>
      </c>
      <c r="N786" s="10">
        <f t="shared" si="114"/>
        <v>3.0149719854622472E-2</v>
      </c>
      <c r="O786" s="10">
        <f t="shared" si="115"/>
        <v>4.3240259066545279E-2</v>
      </c>
      <c r="P786" s="10">
        <f t="shared" si="116"/>
        <v>0.15134710775295612</v>
      </c>
      <c r="Q786" s="66">
        <f t="shared" si="119"/>
        <v>2</v>
      </c>
      <c r="R786" s="10">
        <f t="shared" si="117"/>
        <v>8.5216435692612377E-3</v>
      </c>
      <c r="V786" s="10">
        <f t="shared" si="118"/>
        <v>2.4251508944536124E-3</v>
      </c>
    </row>
    <row r="787" spans="11:22">
      <c r="K787" s="66">
        <v>38.75</v>
      </c>
      <c r="L787" s="10">
        <f t="shared" si="112"/>
        <v>0.67328280164023502</v>
      </c>
      <c r="M787" s="10">
        <f t="shared" si="113"/>
        <v>0.56766019169825632</v>
      </c>
      <c r="N787" s="10">
        <f t="shared" si="114"/>
        <v>3.0258577333136936E-2</v>
      </c>
      <c r="O787" s="10">
        <f t="shared" si="115"/>
        <v>4.3396538055073729E-2</v>
      </c>
      <c r="P787" s="10">
        <f t="shared" si="116"/>
        <v>0.15097834522375445</v>
      </c>
      <c r="Q787" s="66">
        <f t="shared" si="119"/>
        <v>4</v>
      </c>
      <c r="R787" s="10">
        <f t="shared" si="117"/>
        <v>1.700057173472563E-2</v>
      </c>
      <c r="V787" s="10">
        <f t="shared" si="118"/>
        <v>4.8606032548992257E-3</v>
      </c>
    </row>
    <row r="788" spans="11:22">
      <c r="K788" s="66">
        <v>38.799999999999997</v>
      </c>
      <c r="L788" s="10">
        <f t="shared" si="112"/>
        <v>0.672263107777191</v>
      </c>
      <c r="M788" s="10">
        <f t="shared" si="113"/>
        <v>0.5664275829901394</v>
      </c>
      <c r="N788" s="10">
        <f t="shared" si="114"/>
        <v>3.0367829156446795E-2</v>
      </c>
      <c r="O788" s="10">
        <f t="shared" si="115"/>
        <v>4.3553383176555154E-2</v>
      </c>
      <c r="P788" s="10">
        <f t="shared" si="116"/>
        <v>0.15061048119737167</v>
      </c>
      <c r="Q788" s="66">
        <f t="shared" si="119"/>
        <v>2</v>
      </c>
      <c r="R788" s="10">
        <f t="shared" si="117"/>
        <v>8.4788693871764974E-3</v>
      </c>
      <c r="V788" s="10">
        <f t="shared" si="118"/>
        <v>2.4354365129953619E-3</v>
      </c>
    </row>
    <row r="789" spans="11:22">
      <c r="K789" s="66">
        <v>38.85</v>
      </c>
      <c r="L789" s="10">
        <f t="shared" si="112"/>
        <v>0.67124128488694845</v>
      </c>
      <c r="M789" s="10">
        <f t="shared" si="113"/>
        <v>0.56519321031899528</v>
      </c>
      <c r="N789" s="10">
        <f t="shared" si="114"/>
        <v>3.0477476753097203E-2</v>
      </c>
      <c r="O789" s="10">
        <f t="shared" si="115"/>
        <v>4.3710796481850743E-2</v>
      </c>
      <c r="P789" s="10">
        <f t="shared" si="116"/>
        <v>0.1502435134845741</v>
      </c>
      <c r="Q789" s="66">
        <f t="shared" si="119"/>
        <v>4</v>
      </c>
      <c r="R789" s="10">
        <f t="shared" si="117"/>
        <v>1.6914788870897444E-2</v>
      </c>
      <c r="V789" s="10">
        <f t="shared" si="118"/>
        <v>4.8811106524656528E-3</v>
      </c>
    </row>
    <row r="790" spans="11:22">
      <c r="K790" s="66">
        <v>38.9</v>
      </c>
      <c r="L790" s="10">
        <f t="shared" si="112"/>
        <v>0.67021733409413864</v>
      </c>
      <c r="M790" s="10">
        <f t="shared" si="113"/>
        <v>0.56395708085269836</v>
      </c>
      <c r="N790" s="10">
        <f t="shared" si="114"/>
        <v>3.0587521556808252E-2</v>
      </c>
      <c r="O790" s="10">
        <f t="shared" si="115"/>
        <v>4.3868780029251153E-2</v>
      </c>
      <c r="P790" s="10">
        <f t="shared" si="116"/>
        <v>0.14987743990146246</v>
      </c>
      <c r="Q790" s="66">
        <f t="shared" si="119"/>
        <v>2</v>
      </c>
      <c r="R790" s="10">
        <f t="shared" si="117"/>
        <v>8.435861322113122E-3</v>
      </c>
      <c r="V790" s="10">
        <f t="shared" si="118"/>
        <v>2.4456578415380935E-3</v>
      </c>
    </row>
    <row r="791" spans="11:22">
      <c r="K791" s="66">
        <v>38.950000000000003</v>
      </c>
      <c r="L791" s="10">
        <f t="shared" si="112"/>
        <v>0.66919125656944378</v>
      </c>
      <c r="M791" s="10">
        <f t="shared" si="113"/>
        <v>0.56271920183231994</v>
      </c>
      <c r="N791" s="10">
        <f t="shared" si="114"/>
        <v>3.0697965006493824E-2</v>
      </c>
      <c r="O791" s="10">
        <f t="shared" si="115"/>
        <v>4.4027335884503346E-2</v>
      </c>
      <c r="P791" s="10">
        <f t="shared" si="116"/>
        <v>0.14951225826945827</v>
      </c>
      <c r="Q791" s="66">
        <f t="shared" si="119"/>
        <v>4</v>
      </c>
      <c r="R791" s="10">
        <f t="shared" si="117"/>
        <v>1.6828540720584824E-2</v>
      </c>
      <c r="V791" s="10">
        <f t="shared" si="118"/>
        <v>4.9014876650588192E-3</v>
      </c>
    </row>
    <row r="792" spans="11:22">
      <c r="K792" s="66">
        <v>39</v>
      </c>
      <c r="L792" s="10">
        <f t="shared" si="112"/>
        <v>0.66816305352987637</v>
      </c>
      <c r="M792" s="10">
        <f t="shared" si="113"/>
        <v>0.56147958057234082</v>
      </c>
      <c r="N792" s="10">
        <f t="shared" si="114"/>
        <v>3.0808808546280417E-2</v>
      </c>
      <c r="O792" s="10">
        <f t="shared" si="115"/>
        <v>4.4186466120837674E-2</v>
      </c>
      <c r="P792" s="10">
        <f t="shared" si="116"/>
        <v>0.14914796641529171</v>
      </c>
      <c r="Q792" s="66">
        <f t="shared" si="119"/>
        <v>2</v>
      </c>
      <c r="R792" s="10">
        <f t="shared" si="117"/>
        <v>8.3926218663001994E-3</v>
      </c>
      <c r="V792" s="10">
        <f t="shared" si="118"/>
        <v>2.4558130720753863E-3</v>
      </c>
    </row>
    <row r="793" spans="11:22">
      <c r="K793" s="66">
        <v>39.049999999999997</v>
      </c>
      <c r="L793" s="10">
        <f t="shared" si="112"/>
        <v>0.6671327262390564</v>
      </c>
      <c r="M793" s="10">
        <f t="shared" si="113"/>
        <v>0.56023822446085991</v>
      </c>
      <c r="N793" s="10">
        <f t="shared" si="114"/>
        <v>3.0920053625525849E-2</v>
      </c>
      <c r="O793" s="10">
        <f t="shared" si="115"/>
        <v>4.4346172818994695E-2</v>
      </c>
      <c r="P793" s="10">
        <f t="shared" si="116"/>
        <v>0.14878456217098734</v>
      </c>
      <c r="Q793" s="66">
        <f t="shared" si="119"/>
        <v>4</v>
      </c>
      <c r="R793" s="10">
        <f t="shared" si="117"/>
        <v>1.6741832319284711E-2</v>
      </c>
      <c r="V793" s="10">
        <f t="shared" si="118"/>
        <v>4.9217306646066215E-3</v>
      </c>
    </row>
    <row r="794" spans="11:22">
      <c r="K794" s="66">
        <v>39.1</v>
      </c>
      <c r="L794" s="10">
        <f t="shared" si="112"/>
        <v>0.66610027600748845</v>
      </c>
      <c r="M794" s="10">
        <f t="shared" si="113"/>
        <v>0.55899514095979841</v>
      </c>
      <c r="N794" s="10">
        <f t="shared" si="114"/>
        <v>3.1031701698838531E-2</v>
      </c>
      <c r="O794" s="10">
        <f t="shared" si="115"/>
        <v>4.4506458067253014E-2</v>
      </c>
      <c r="P794" s="10">
        <f t="shared" si="116"/>
        <v>0.14842204337385315</v>
      </c>
      <c r="Q794" s="66">
        <f t="shared" si="119"/>
        <v>2</v>
      </c>
      <c r="R794" s="10">
        <f t="shared" si="117"/>
        <v>8.3491535630184476E-3</v>
      </c>
      <c r="V794" s="10">
        <f t="shared" si="118"/>
        <v>2.4659003846076899E-3</v>
      </c>
    </row>
    <row r="795" spans="11:22">
      <c r="K795" s="66">
        <v>39.15</v>
      </c>
      <c r="L795" s="10">
        <f t="shared" si="112"/>
        <v>0.66506570419284383</v>
      </c>
      <c r="M795" s="10">
        <f t="shared" si="113"/>
        <v>0.55775033760510961</v>
      </c>
      <c r="N795" s="10">
        <f t="shared" si="114"/>
        <v>3.1143754226096287E-2</v>
      </c>
      <c r="O795" s="10">
        <f t="shared" si="115"/>
        <v>4.4667323961455917E-2</v>
      </c>
      <c r="P795" s="10">
        <f t="shared" si="116"/>
        <v>0.14806040786646602</v>
      </c>
      <c r="Q795" s="66">
        <f t="shared" si="119"/>
        <v>4</v>
      </c>
      <c r="R795" s="10">
        <f t="shared" si="117"/>
        <v>1.6654668804645462E-2</v>
      </c>
      <c r="V795" s="10">
        <f t="shared" si="118"/>
        <v>4.9418359993176411E-3</v>
      </c>
    </row>
    <row r="796" spans="11:22">
      <c r="K796" s="66">
        <v>39.200000000000003</v>
      </c>
      <c r="L796" s="10">
        <f t="shared" si="112"/>
        <v>0.66402901220023625</v>
      </c>
      <c r="M796" s="10">
        <f t="shared" si="113"/>
        <v>0.55650382200697646</v>
      </c>
      <c r="N796" s="10">
        <f t="shared" si="114"/>
        <v>3.1256212672465325E-2</v>
      </c>
      <c r="O796" s="10">
        <f t="shared" si="115"/>
        <v>4.4828772605039036E-2</v>
      </c>
      <c r="P796" s="10">
        <f t="shared" si="116"/>
        <v>0.14769965349665937</v>
      </c>
      <c r="Q796" s="66">
        <f t="shared" si="119"/>
        <v>2</v>
      </c>
      <c r="R796" s="10">
        <f t="shared" si="117"/>
        <v>8.3054590066449063E-3</v>
      </c>
      <c r="V796" s="10">
        <f t="shared" si="118"/>
        <v>2.4759179474115865E-3</v>
      </c>
    </row>
    <row r="797" spans="11:22">
      <c r="K797" s="66">
        <v>39.25</v>
      </c>
      <c r="L797" s="10">
        <f t="shared" si="112"/>
        <v>0.66299020148250276</v>
      </c>
      <c r="M797" s="10">
        <f t="shared" si="113"/>
        <v>0.55525560185001466</v>
      </c>
      <c r="N797" s="10">
        <f t="shared" si="114"/>
        <v>3.1369078508419614E-2</v>
      </c>
      <c r="O797" s="10">
        <f t="shared" si="115"/>
        <v>4.499080610905791E-2</v>
      </c>
      <c r="P797" s="10">
        <f t="shared" si="116"/>
        <v>0.14733977811751081</v>
      </c>
      <c r="Q797" s="66">
        <f t="shared" si="119"/>
        <v>4</v>
      </c>
      <c r="R797" s="10">
        <f t="shared" si="117"/>
        <v>1.656705541654167E-2</v>
      </c>
      <c r="V797" s="10">
        <f t="shared" si="118"/>
        <v>4.9617999942287872E-3</v>
      </c>
    </row>
    <row r="798" spans="11:22">
      <c r="K798" s="66">
        <v>39.299999999999997</v>
      </c>
      <c r="L798" s="10">
        <f t="shared" si="112"/>
        <v>0.66194927354048272</v>
      </c>
      <c r="M798" s="10">
        <f t="shared" si="113"/>
        <v>0.55400568489346946</v>
      </c>
      <c r="N798" s="10">
        <f t="shared" si="114"/>
        <v>3.1482353209760096E-2</v>
      </c>
      <c r="O798" s="10">
        <f t="shared" si="115"/>
        <v>4.5153426592215669E-2</v>
      </c>
      <c r="P798" s="10">
        <f t="shared" si="116"/>
        <v>0.14698077958732869</v>
      </c>
      <c r="Q798" s="66">
        <f t="shared" si="119"/>
        <v>2</v>
      </c>
      <c r="R798" s="10">
        <f t="shared" si="117"/>
        <v>8.2615408426828622E-3</v>
      </c>
      <c r="V798" s="10">
        <f t="shared" si="118"/>
        <v>2.4858639173182357E-3</v>
      </c>
    </row>
    <row r="799" spans="11:22">
      <c r="K799" s="66">
        <v>39.35</v>
      </c>
      <c r="L799" s="10">
        <f t="shared" si="112"/>
        <v>0.66090622992329673</v>
      </c>
      <c r="M799" s="10">
        <f t="shared" si="113"/>
        <v>0.55275407897141093</v>
      </c>
      <c r="N799" s="10">
        <f t="shared" si="114"/>
        <v>3.1596038257633824E-2</v>
      </c>
      <c r="O799" s="10">
        <f t="shared" si="115"/>
        <v>4.5316636180890442E-2</v>
      </c>
      <c r="P799" s="10">
        <f t="shared" si="116"/>
        <v>0.14662265576963979</v>
      </c>
      <c r="Q799" s="66">
        <f t="shared" si="119"/>
        <v>4</v>
      </c>
      <c r="R799" s="10">
        <f t="shared" si="117"/>
        <v>1.6478997497119813E-2</v>
      </c>
      <c r="V799" s="10">
        <f t="shared" si="118"/>
        <v>4.9816189517718117E-3</v>
      </c>
    </row>
    <row r="800" spans="11:22">
      <c r="K800" s="66">
        <v>39.4</v>
      </c>
      <c r="L800" s="10">
        <f t="shared" si="112"/>
        <v>0.65986107222862866</v>
      </c>
      <c r="M800" s="10">
        <f t="shared" si="113"/>
        <v>0.55150079199292978</v>
      </c>
      <c r="N800" s="10">
        <f t="shared" si="114"/>
        <v>3.1710135138553482E-2</v>
      </c>
      <c r="O800" s="10">
        <f t="shared" si="115"/>
        <v>4.5480437009163398E-2</v>
      </c>
      <c r="P800" s="10">
        <f t="shared" si="116"/>
        <v>0.14626540453317657</v>
      </c>
      <c r="Q800" s="66">
        <f t="shared" si="119"/>
        <v>2</v>
      </c>
      <c r="R800" s="10">
        <f t="shared" si="117"/>
        <v>8.2174017677774693E-3</v>
      </c>
      <c r="V800" s="10">
        <f t="shared" si="118"/>
        <v>2.4957364400013762E-3</v>
      </c>
    </row>
    <row r="801" spans="11:22">
      <c r="K801" s="66">
        <v>39.450000000000003</v>
      </c>
      <c r="L801" s="10">
        <f t="shared" si="112"/>
        <v>0.65881380210300267</v>
      </c>
      <c r="M801" s="10">
        <f t="shared" si="113"/>
        <v>0.55024583194232424</v>
      </c>
      <c r="N801" s="10">
        <f t="shared" si="114"/>
        <v>3.1824645344416654E-2</v>
      </c>
      <c r="O801" s="10">
        <f t="shared" si="115"/>
        <v>4.5644831218846597E-2</v>
      </c>
      <c r="P801" s="10">
        <f t="shared" si="116"/>
        <v>0.14590902375186424</v>
      </c>
      <c r="Q801" s="66">
        <f t="shared" si="119"/>
        <v>4</v>
      </c>
      <c r="R801" s="10">
        <f t="shared" si="117"/>
        <v>1.6390500490814301E-2</v>
      </c>
      <c r="V801" s="10">
        <f t="shared" si="118"/>
        <v>5.0012891523586248E-3</v>
      </c>
    </row>
    <row r="802" spans="11:22">
      <c r="K802" s="66">
        <v>39.5</v>
      </c>
      <c r="L802" s="10">
        <f t="shared" si="112"/>
        <v>0.65776442124206569</v>
      </c>
      <c r="M802" s="10">
        <f t="shared" si="113"/>
        <v>0.54898920687929242</v>
      </c>
      <c r="N802" s="10">
        <f t="shared" si="114"/>
        <v>3.1939570372525615E-2</v>
      </c>
      <c r="O802" s="10">
        <f t="shared" si="115"/>
        <v>4.5809820959510951E-2</v>
      </c>
      <c r="P802" s="10">
        <f t="shared" si="116"/>
        <v>0.14555351130480837</v>
      </c>
      <c r="Q802" s="66">
        <f t="shared" si="119"/>
        <v>2</v>
      </c>
      <c r="R802" s="10">
        <f t="shared" si="117"/>
        <v>8.173044529716211E-3</v>
      </c>
      <c r="V802" s="10">
        <f t="shared" si="118"/>
        <v>2.5055336502747489E-3</v>
      </c>
    </row>
    <row r="803" spans="11:22">
      <c r="K803" s="66">
        <v>39.549999999999997</v>
      </c>
      <c r="L803" s="10">
        <f t="shared" si="112"/>
        <v>0.65671293139086717</v>
      </c>
      <c r="M803" s="10">
        <f t="shared" si="113"/>
        <v>0.54773092493911646</v>
      </c>
      <c r="N803" s="10">
        <f t="shared" si="114"/>
        <v>3.2054911725606608E-2</v>
      </c>
      <c r="O803" s="10">
        <f t="shared" si="115"/>
        <v>4.5975408388514334E-2</v>
      </c>
      <c r="P803" s="10">
        <f t="shared" si="116"/>
        <v>0.1451988650762821</v>
      </c>
      <c r="Q803" s="66">
        <f t="shared" si="119"/>
        <v>4</v>
      </c>
      <c r="R803" s="10">
        <f t="shared" si="117"/>
        <v>1.6301569944333318E-2</v>
      </c>
      <c r="V803" s="10">
        <f t="shared" si="118"/>
        <v>5.0208068549858018E-3</v>
      </c>
    </row>
    <row r="804" spans="11:22">
      <c r="K804" s="66">
        <v>39.6</v>
      </c>
      <c r="L804" s="10">
        <f t="shared" si="112"/>
        <v>0.65565933434413837</v>
      </c>
      <c r="M804" s="10">
        <f t="shared" si="113"/>
        <v>0.54647099433284585</v>
      </c>
      <c r="N804" s="10">
        <f t="shared" si="114"/>
        <v>3.2170670911829638E-2</v>
      </c>
      <c r="O804" s="10">
        <f t="shared" si="115"/>
        <v>4.614159567102994E-2</v>
      </c>
      <c r="P804" s="10">
        <f t="shared" si="116"/>
        <v>0.14484508295571363</v>
      </c>
      <c r="Q804" s="66">
        <f t="shared" si="119"/>
        <v>2</v>
      </c>
      <c r="R804" s="10">
        <f t="shared" si="117"/>
        <v>8.1284719274142044E-3</v>
      </c>
      <c r="V804" s="10">
        <f t="shared" si="118"/>
        <v>2.515253672399157E-3</v>
      </c>
    </row>
    <row r="805" spans="11:22">
      <c r="K805" s="66">
        <v>39.65</v>
      </c>
      <c r="L805" s="10">
        <f t="shared" si="112"/>
        <v>0.65460363194657545</v>
      </c>
      <c r="M805" s="10">
        <f t="shared" si="113"/>
        <v>0.54520942334748035</v>
      </c>
      <c r="N805" s="10">
        <f t="shared" si="114"/>
        <v>3.2286849444828271E-2</v>
      </c>
      <c r="O805" s="10">
        <f t="shared" si="115"/>
        <v>4.6308384980074391E-2</v>
      </c>
      <c r="P805" s="10">
        <f t="shared" si="116"/>
        <v>0.14449216283767372</v>
      </c>
      <c r="Q805" s="66">
        <f t="shared" si="119"/>
        <v>4</v>
      </c>
      <c r="R805" s="10">
        <f t="shared" si="117"/>
        <v>1.6212211506613991E-2</v>
      </c>
      <c r="V805" s="10">
        <f t="shared" si="118"/>
        <v>5.040168297858371E-3</v>
      </c>
    </row>
    <row r="806" spans="11:22">
      <c r="K806" s="66">
        <v>39.700000000000003</v>
      </c>
      <c r="L806" s="10">
        <f t="shared" si="112"/>
        <v>0.65354582609311729</v>
      </c>
      <c r="M806" s="10">
        <f t="shared" si="113"/>
        <v>0.54394622034614637</v>
      </c>
      <c r="N806" s="10">
        <f t="shared" si="114"/>
        <v>3.2403448843719158E-2</v>
      </c>
      <c r="O806" s="10">
        <f t="shared" si="115"/>
        <v>4.6475778496536134E-2</v>
      </c>
      <c r="P806" s="10">
        <f t="shared" si="116"/>
        <v>0.14414010262186294</v>
      </c>
      <c r="Q806" s="66">
        <f t="shared" si="119"/>
        <v>2</v>
      </c>
      <c r="R806" s="10">
        <f t="shared" si="117"/>
        <v>8.0836868108839551E-3</v>
      </c>
      <c r="V806" s="10">
        <f t="shared" si="118"/>
        <v>2.52489462039922E-3</v>
      </c>
    </row>
    <row r="807" spans="11:22">
      <c r="K807" s="66">
        <v>39.75</v>
      </c>
      <c r="L807" s="10">
        <f t="shared" si="112"/>
        <v>0.6524859187292289</v>
      </c>
      <c r="M807" s="10">
        <f t="shared" si="113"/>
        <v>0.54268139376827484</v>
      </c>
      <c r="N807" s="10">
        <f t="shared" si="114"/>
        <v>3.2520470633122182E-2</v>
      </c>
      <c r="O807" s="10">
        <f t="shared" si="115"/>
        <v>4.6643778409204258E-2</v>
      </c>
      <c r="P807" s="10">
        <f t="shared" si="116"/>
        <v>0.14378890021309948</v>
      </c>
      <c r="Q807" s="66">
        <f t="shared" si="119"/>
        <v>4</v>
      </c>
      <c r="R807" s="10">
        <f t="shared" si="117"/>
        <v>1.6122430928746181E-2</v>
      </c>
      <c r="V807" s="10">
        <f t="shared" si="118"/>
        <v>5.0593696990330096E-3</v>
      </c>
    </row>
    <row r="808" spans="11:22">
      <c r="K808" s="66">
        <v>39.799999999999997</v>
      </c>
      <c r="L808" s="10">
        <f t="shared" si="112"/>
        <v>0.65142391185118065</v>
      </c>
      <c r="M808" s="10">
        <f t="shared" si="113"/>
        <v>0.54141495212977309</v>
      </c>
      <c r="N808" s="10">
        <f t="shared" si="114"/>
        <v>3.2637916343180307E-2</v>
      </c>
      <c r="O808" s="10">
        <f t="shared" si="115"/>
        <v>4.6812386914796791E-2</v>
      </c>
      <c r="P808" s="10">
        <f t="shared" si="116"/>
        <v>0.14343855352130636</v>
      </c>
      <c r="Q808" s="66">
        <f t="shared" si="119"/>
        <v>2</v>
      </c>
      <c r="R808" s="10">
        <f t="shared" si="117"/>
        <v>8.0386920811893348E-3</v>
      </c>
      <c r="V808" s="10">
        <f t="shared" si="118"/>
        <v>2.5344545983898665E-3</v>
      </c>
    </row>
    <row r="809" spans="11:22">
      <c r="K809" s="66">
        <v>39.85</v>
      </c>
      <c r="L809" s="10">
        <f t="shared" si="112"/>
        <v>0.65035980750632916</v>
      </c>
      <c r="M809" s="10">
        <f t="shared" si="113"/>
        <v>0.54014690402319587</v>
      </c>
      <c r="N809" s="10">
        <f t="shared" si="114"/>
        <v>3.2755787509579498E-2</v>
      </c>
      <c r="O809" s="10">
        <f t="shared" si="115"/>
        <v>4.6981606217989511E-2</v>
      </c>
      <c r="P809" s="10">
        <f t="shared" si="116"/>
        <v>0.14308906046149916</v>
      </c>
      <c r="Q809" s="66">
        <f t="shared" si="119"/>
        <v>4</v>
      </c>
      <c r="R809" s="10">
        <f t="shared" si="117"/>
        <v>1.6032234063864486E-2</v>
      </c>
      <c r="V809" s="10">
        <f t="shared" si="118"/>
        <v>5.0784072570809304E-3</v>
      </c>
    </row>
    <row r="810" spans="11:22">
      <c r="K810" s="66">
        <v>39.9</v>
      </c>
      <c r="L810" s="10">
        <f t="shared" si="112"/>
        <v>0.64929360779340017</v>
      </c>
      <c r="M810" s="10">
        <f t="shared" si="113"/>
        <v>0.53887725811791409</v>
      </c>
      <c r="N810" s="10">
        <f t="shared" si="114"/>
        <v>3.2874085673568906E-2</v>
      </c>
      <c r="O810" s="10">
        <f t="shared" si="115"/>
        <v>4.7151438531444989E-2</v>
      </c>
      <c r="P810" s="10">
        <f t="shared" si="116"/>
        <v>0.14274041895377373</v>
      </c>
      <c r="Q810" s="66">
        <f t="shared" si="119"/>
        <v>2</v>
      </c>
      <c r="R810" s="10">
        <f t="shared" si="117"/>
        <v>7.993490690383482E-3</v>
      </c>
      <c r="V810" s="10">
        <f t="shared" si="118"/>
        <v>2.5439317009126991E-3</v>
      </c>
    </row>
    <row r="811" spans="11:22">
      <c r="K811" s="66">
        <v>39.950000000000003</v>
      </c>
      <c r="L811" s="10">
        <f t="shared" si="112"/>
        <v>0.64822531486276658</v>
      </c>
      <c r="M811" s="10">
        <f t="shared" si="113"/>
        <v>0.53760602316027861</v>
      </c>
      <c r="N811" s="10">
        <f t="shared" si="114"/>
        <v>3.2992812381980867E-2</v>
      </c>
      <c r="O811" s="10">
        <f t="shared" si="115"/>
        <v>4.7321886075841105E-2</v>
      </c>
      <c r="P811" s="10">
        <f t="shared" si="116"/>
        <v>0.14239262692329355</v>
      </c>
      <c r="Q811" s="66">
        <f t="shared" si="119"/>
        <v>4</v>
      </c>
      <c r="R811" s="10">
        <f t="shared" si="117"/>
        <v>1.5941626867007719E-2</v>
      </c>
      <c r="V811" s="10">
        <f t="shared" si="118"/>
        <v>5.0972771517704954E-3</v>
      </c>
    </row>
    <row r="812" spans="11:22">
      <c r="K812" s="66">
        <v>40</v>
      </c>
      <c r="L812" s="10">
        <f t="shared" si="112"/>
        <v>0.64715493091673215</v>
      </c>
      <c r="M812" s="10">
        <f t="shared" si="113"/>
        <v>0.53633320797378403</v>
      </c>
      <c r="N812" s="10">
        <f t="shared" si="114"/>
        <v>3.3111969187251448E-2</v>
      </c>
      <c r="O812" s="10">
        <f t="shared" si="115"/>
        <v>4.7492951079900494E-2</v>
      </c>
      <c r="P812" s="10">
        <f t="shared" si="116"/>
        <v>0.14204568230027784</v>
      </c>
      <c r="Q812" s="66">
        <f t="shared" si="119"/>
        <v>2</v>
      </c>
      <c r="R812" s="10">
        <f t="shared" si="117"/>
        <v>7.9480856414303868E-3</v>
      </c>
      <c r="V812" s="10">
        <f t="shared" si="118"/>
        <v>2.5533240132822994E-3</v>
      </c>
    </row>
    <row r="813" spans="11:22">
      <c r="K813" s="66">
        <v>40.049999999999997</v>
      </c>
      <c r="L813" s="10">
        <f t="shared" si="112"/>
        <v>0.64608245820981203</v>
      </c>
      <c r="M813" s="10">
        <f t="shared" si="113"/>
        <v>0.53505882145922823</v>
      </c>
      <c r="N813" s="10">
        <f t="shared" si="114"/>
        <v>3.3231557647440291E-2</v>
      </c>
      <c r="O813" s="10">
        <f t="shared" si="115"/>
        <v>4.7664635780419295E-2</v>
      </c>
      <c r="P813" s="10">
        <f t="shared" si="116"/>
        <v>0.14169958301998795</v>
      </c>
      <c r="Q813" s="66">
        <f t="shared" si="119"/>
        <v>4</v>
      </c>
      <c r="R813" s="10">
        <f t="shared" si="117"/>
        <v>1.5850615394945488E-2</v>
      </c>
      <c r="V813" s="10">
        <f t="shared" si="118"/>
        <v>5.1159755447697675E-3</v>
      </c>
    </row>
    <row r="814" spans="11:22">
      <c r="K814" s="66">
        <v>40.1</v>
      </c>
      <c r="L814" s="10">
        <f t="shared" si="112"/>
        <v>0.64500789904901135</v>
      </c>
      <c r="M814" s="10">
        <f t="shared" si="113"/>
        <v>0.53378287259486634</v>
      </c>
      <c r="N814" s="10">
        <f t="shared" si="114"/>
        <v>3.3351579326251428E-2</v>
      </c>
      <c r="O814" s="10">
        <f t="shared" si="115"/>
        <v>4.7836942422296982E-2</v>
      </c>
      <c r="P814" s="10">
        <f t="shared" si="116"/>
        <v>0.1413543270227173</v>
      </c>
      <c r="Q814" s="66">
        <f t="shared" si="119"/>
        <v>2</v>
      </c>
      <c r="R814" s="10">
        <f t="shared" si="117"/>
        <v>7.9024799881098028E-3</v>
      </c>
      <c r="V814" s="10">
        <f t="shared" si="118"/>
        <v>2.5626296119424696E-3</v>
      </c>
    </row>
    <row r="815" spans="11:22">
      <c r="K815" s="66">
        <v>40.15</v>
      </c>
      <c r="L815" s="10">
        <f t="shared" si="112"/>
        <v>0.64393125579410948</v>
      </c>
      <c r="M815" s="10">
        <f t="shared" si="113"/>
        <v>0.5325053704365692</v>
      </c>
      <c r="N815" s="10">
        <f t="shared" si="114"/>
        <v>3.3472035793053516E-2</v>
      </c>
      <c r="O815" s="10">
        <f t="shared" si="115"/>
        <v>4.8009873258565115E-2</v>
      </c>
      <c r="P815" s="10">
        <f t="shared" si="116"/>
        <v>0.14100991225377713</v>
      </c>
      <c r="Q815" s="66">
        <f t="shared" si="119"/>
        <v>4</v>
      </c>
      <c r="R815" s="10">
        <f t="shared" si="117"/>
        <v>1.5759205805971309E-2</v>
      </c>
      <c r="V815" s="10">
        <f t="shared" si="118"/>
        <v>5.1344985803691732E-3</v>
      </c>
    </row>
    <row r="816" spans="11:22">
      <c r="K816" s="66">
        <v>40.200000000000003</v>
      </c>
      <c r="L816" s="10">
        <f t="shared" si="112"/>
        <v>0.64285253085793836</v>
      </c>
      <c r="M816" s="10">
        <f t="shared" si="113"/>
        <v>0.53122632411796988</v>
      </c>
      <c r="N816" s="10">
        <f t="shared" si="114"/>
        <v>3.3592928622900226E-2</v>
      </c>
      <c r="O816" s="10">
        <f t="shared" si="115"/>
        <v>4.818343055041692E-2</v>
      </c>
      <c r="P816" s="10">
        <f t="shared" si="116"/>
        <v>0.1406663366634851</v>
      </c>
      <c r="Q816" s="66">
        <f t="shared" si="119"/>
        <v>2</v>
      </c>
      <c r="R816" s="10">
        <f t="shared" si="117"/>
        <v>7.8566768349053809E-3</v>
      </c>
      <c r="V816" s="10">
        <f t="shared" si="118"/>
        <v>2.5718465648326846E-3</v>
      </c>
    </row>
    <row r="817" spans="11:22">
      <c r="K817" s="66">
        <v>40.25</v>
      </c>
      <c r="L817" s="10">
        <f t="shared" si="112"/>
        <v>0.64177172670666605</v>
      </c>
      <c r="M817" s="10">
        <f t="shared" si="113"/>
        <v>0.52994574285061524</v>
      </c>
      <c r="N817" s="10">
        <f t="shared" si="114"/>
        <v>3.3714259396551087E-2</v>
      </c>
      <c r="O817" s="10">
        <f t="shared" si="115"/>
        <v>4.8357616567237256E-2</v>
      </c>
      <c r="P817" s="10">
        <f t="shared" si="116"/>
        <v>0.14032359820715312</v>
      </c>
      <c r="Q817" s="66">
        <f t="shared" si="119"/>
        <v>4</v>
      </c>
      <c r="R817" s="10">
        <f t="shared" si="117"/>
        <v>1.5667404359661553E-2</v>
      </c>
      <c r="V817" s="10">
        <f t="shared" si="118"/>
        <v>5.1528423862243176E-3</v>
      </c>
    </row>
    <row r="818" spans="11:22">
      <c r="K818" s="66">
        <v>40.299999999999997</v>
      </c>
      <c r="L818" s="10">
        <f t="shared" si="112"/>
        <v>0.6406888458600738</v>
      </c>
      <c r="M818" s="10">
        <f t="shared" si="113"/>
        <v>0.52866363592410726</v>
      </c>
      <c r="N818" s="10">
        <f t="shared" si="114"/>
        <v>3.3836029700492098E-2</v>
      </c>
      <c r="O818" s="10">
        <f t="shared" si="115"/>
        <v>4.853243358663184E-2</v>
      </c>
      <c r="P818" s="10">
        <f t="shared" si="116"/>
        <v>0.13998169484507494</v>
      </c>
      <c r="Q818" s="66">
        <f t="shared" si="119"/>
        <v>2</v>
      </c>
      <c r="R818" s="10">
        <f t="shared" si="117"/>
        <v>7.8106793368754746E-3</v>
      </c>
      <c r="V818" s="10">
        <f t="shared" si="118"/>
        <v>2.5809729317644971E-3</v>
      </c>
    </row>
    <row r="819" spans="11:22">
      <c r="K819" s="66">
        <v>40.35</v>
      </c>
      <c r="L819" s="10">
        <f t="shared" si="112"/>
        <v>0.63960389089183967</v>
      </c>
      <c r="M819" s="10">
        <f t="shared" si="113"/>
        <v>0.52738001270624724</v>
      </c>
      <c r="N819" s="10">
        <f t="shared" si="114"/>
        <v>3.3958241126956355E-2</v>
      </c>
      <c r="O819" s="10">
        <f t="shared" si="115"/>
        <v>4.8707883894457182E-2</v>
      </c>
      <c r="P819" s="10">
        <f t="shared" si="116"/>
        <v>0.13964062454251408</v>
      </c>
      <c r="Q819" s="66">
        <f t="shared" si="119"/>
        <v>4</v>
      </c>
      <c r="R819" s="10">
        <f t="shared" si="117"/>
        <v>1.5575217416600043E-2</v>
      </c>
      <c r="V819" s="10">
        <f t="shared" si="118"/>
        <v>5.171003074119199E-3</v>
      </c>
    </row>
    <row r="820" spans="11:22">
      <c r="K820" s="66">
        <v>40.4</v>
      </c>
      <c r="L820" s="10">
        <f t="shared" si="112"/>
        <v>0.63851686442981803</v>
      </c>
      <c r="M820" s="10">
        <f t="shared" si="113"/>
        <v>0.5260948826431745</v>
      </c>
      <c r="N820" s="10">
        <f t="shared" si="114"/>
        <v>3.4080895273944992E-2</v>
      </c>
      <c r="O820" s="10">
        <f t="shared" si="115"/>
        <v>4.8883969784850656E-2</v>
      </c>
      <c r="P820" s="10">
        <f t="shared" si="116"/>
        <v>0.13930038526969199</v>
      </c>
      <c r="Q820" s="66">
        <f t="shared" si="119"/>
        <v>2</v>
      </c>
      <c r="R820" s="10">
        <f t="shared" si="117"/>
        <v>7.7644906995066546E-3</v>
      </c>
      <c r="V820" s="10">
        <f t="shared" si="118"/>
        <v>2.5900067648082906E-3</v>
      </c>
    </row>
    <row r="821" spans="11:22">
      <c r="K821" s="66">
        <v>40.450000000000003</v>
      </c>
      <c r="L821" s="10">
        <f t="shared" si="112"/>
        <v>0.63742776915631916</v>
      </c>
      <c r="M821" s="10">
        <f t="shared" si="113"/>
        <v>0.52480825525950059</v>
      </c>
      <c r="N821" s="10">
        <f t="shared" si="114"/>
        <v>3.4203993745247907E-2</v>
      </c>
      <c r="O821" s="10">
        <f t="shared" si="115"/>
        <v>4.9060693560260091E-2</v>
      </c>
      <c r="P821" s="10">
        <f t="shared" si="116"/>
        <v>0.13896097500177546</v>
      </c>
      <c r="Q821" s="66">
        <f t="shared" si="119"/>
        <v>4</v>
      </c>
      <c r="R821" s="10">
        <f t="shared" si="117"/>
        <v>1.5482651438067261E-2</v>
      </c>
      <c r="V821" s="10">
        <f t="shared" si="118"/>
        <v>5.1889767407498526E-3</v>
      </c>
    </row>
    <row r="822" spans="11:22">
      <c r="K822" s="66">
        <v>40.5</v>
      </c>
      <c r="L822" s="10">
        <f t="shared" si="112"/>
        <v>0.63633660780839096</v>
      </c>
      <c r="M822" s="10">
        <f t="shared" si="113"/>
        <v>0.52352014015844273</v>
      </c>
      <c r="N822" s="10">
        <f t="shared" si="114"/>
        <v>3.4327538150465041E-2</v>
      </c>
      <c r="O822" s="10">
        <f t="shared" si="115"/>
        <v>4.9238057531474269E-2</v>
      </c>
      <c r="P822" s="10">
        <f t="shared" si="116"/>
        <v>0.13862239171886509</v>
      </c>
      <c r="Q822" s="66">
        <f t="shared" si="119"/>
        <v>2</v>
      </c>
      <c r="R822" s="10">
        <f t="shared" si="117"/>
        <v>7.7181141785495353E-3</v>
      </c>
      <c r="V822" s="10">
        <f t="shared" si="118"/>
        <v>2.5989461086902339E-3</v>
      </c>
    </row>
    <row r="823" spans="11:22">
      <c r="K823" s="66">
        <v>40.549999999999997</v>
      </c>
      <c r="L823" s="10">
        <f t="shared" si="112"/>
        <v>0.6352433831780967</v>
      </c>
      <c r="M823" s="10">
        <f t="shared" si="113"/>
        <v>0.52223054702195248</v>
      </c>
      <c r="N823" s="10">
        <f t="shared" si="114"/>
        <v>3.4451530105027106E-2</v>
      </c>
      <c r="O823" s="10">
        <f t="shared" si="115"/>
        <v>4.9416064017652903E-2</v>
      </c>
      <c r="P823" s="10">
        <f t="shared" si="116"/>
        <v>0.13828463340598296</v>
      </c>
      <c r="Q823" s="66">
        <f t="shared" si="119"/>
        <v>4</v>
      </c>
      <c r="R823" s="10">
        <f t="shared" si="117"/>
        <v>1.5389712985694092E-2</v>
      </c>
      <c r="V823" s="10">
        <f t="shared" si="118"/>
        <v>5.2067594685285372E-3</v>
      </c>
    </row>
    <row r="824" spans="11:22">
      <c r="K824" s="66">
        <v>40.6</v>
      </c>
      <c r="L824" s="10">
        <f t="shared" si="112"/>
        <v>0.63414809811279704</v>
      </c>
      <c r="M824" s="10">
        <f t="shared" si="113"/>
        <v>0.52093948561084136</v>
      </c>
      <c r="N824" s="10">
        <f t="shared" si="114"/>
        <v>3.4575971230216863E-2</v>
      </c>
      <c r="O824" s="10">
        <f t="shared" si="115"/>
        <v>4.9594715346357184E-2</v>
      </c>
      <c r="P824" s="10">
        <f t="shared" si="116"/>
        <v>0.13794769805306059</v>
      </c>
      <c r="Q824" s="66">
        <f t="shared" si="119"/>
        <v>2</v>
      </c>
      <c r="R824" s="10">
        <f t="shared" si="117"/>
        <v>7.6715530798365985E-3</v>
      </c>
      <c r="V824" s="10">
        <f t="shared" si="118"/>
        <v>2.6077890011995471E-3</v>
      </c>
    </row>
    <row r="825" spans="11:22">
      <c r="K825" s="66">
        <v>40.65</v>
      </c>
      <c r="L825" s="10">
        <f t="shared" si="112"/>
        <v>0.63305075551542822</v>
      </c>
      <c r="M825" s="10">
        <f t="shared" si="113"/>
        <v>0.51964696576490499</v>
      </c>
      <c r="N825" s="10">
        <f t="shared" si="114"/>
        <v>3.4700863153190389E-2</v>
      </c>
      <c r="O825" s="10">
        <f t="shared" si="115"/>
        <v>4.9774013853579976E-2</v>
      </c>
      <c r="P825" s="10">
        <f t="shared" si="116"/>
        <v>0.13761158365492737</v>
      </c>
      <c r="Q825" s="66">
        <f t="shared" si="119"/>
        <v>4</v>
      </c>
      <c r="R825" s="10">
        <f t="shared" si="117"/>
        <v>1.5296408721079405E-2</v>
      </c>
      <c r="V825" s="10">
        <f t="shared" si="118"/>
        <v>5.2243473264087003E-3</v>
      </c>
    </row>
    <row r="826" spans="11:22">
      <c r="K826" s="66">
        <v>40.700000000000003</v>
      </c>
      <c r="L826" s="10">
        <f t="shared" si="112"/>
        <v>0.63195135834478133</v>
      </c>
      <c r="M826" s="10">
        <f t="shared" si="113"/>
        <v>0.51835299740304042</v>
      </c>
      <c r="N826" s="10">
        <f t="shared" si="114"/>
        <v>3.4826207506998094E-2</v>
      </c>
      <c r="O826" s="10">
        <f t="shared" si="115"/>
        <v>4.9953961883776342E-2</v>
      </c>
      <c r="P826" s="10">
        <f t="shared" si="116"/>
        <v>0.13727628821129806</v>
      </c>
      <c r="Q826" s="66">
        <f t="shared" si="119"/>
        <v>2</v>
      </c>
      <c r="R826" s="10">
        <f t="shared" si="117"/>
        <v>7.6248107590818764E-3</v>
      </c>
      <c r="V826" s="10">
        <f t="shared" si="118"/>
        <v>2.6165334736061589E-3</v>
      </c>
    </row>
    <row r="827" spans="11:22">
      <c r="K827" s="66">
        <v>40.75</v>
      </c>
      <c r="L827" s="10">
        <f t="shared" si="112"/>
        <v>0.63084990961578247</v>
      </c>
      <c r="M827" s="10">
        <f t="shared" si="113"/>
        <v>0.5170575905233632</v>
      </c>
      <c r="N827" s="10">
        <f t="shared" si="114"/>
        <v>3.4952005930606343E-2</v>
      </c>
      <c r="O827" s="10">
        <f t="shared" si="115"/>
        <v>5.0134561789894574E-2</v>
      </c>
      <c r="P827" s="10">
        <f t="shared" si="116"/>
        <v>0.13694180972676137</v>
      </c>
      <c r="Q827" s="66">
        <f t="shared" si="119"/>
        <v>4</v>
      </c>
      <c r="R827" s="10">
        <f t="shared" si="117"/>
        <v>1.520274540537098E-2</v>
      </c>
      <c r="V827" s="10">
        <f t="shared" si="118"/>
        <v>5.2417363707306097E-3</v>
      </c>
    </row>
    <row r="828" spans="11:22">
      <c r="K828" s="66">
        <v>40.799999999999997</v>
      </c>
      <c r="L828" s="10">
        <f t="shared" si="112"/>
        <v>0.62974641239976969</v>
      </c>
      <c r="M828" s="10">
        <f t="shared" si="113"/>
        <v>0.51576075520331932</v>
      </c>
      <c r="N828" s="10">
        <f t="shared" si="114"/>
        <v>3.5078260068918829E-2</v>
      </c>
      <c r="O828" s="10">
        <f t="shared" si="115"/>
        <v>5.0315815933406546E-2</v>
      </c>
      <c r="P828" s="10">
        <f t="shared" si="116"/>
        <v>0.13660814621076794</v>
      </c>
      <c r="Q828" s="66">
        <f t="shared" si="119"/>
        <v>2</v>
      </c>
      <c r="R828" s="10">
        <f t="shared" si="117"/>
        <v>7.5778906216621188E-3</v>
      </c>
      <c r="V828" s="10">
        <f t="shared" si="118"/>
        <v>2.6251775510887391E-3</v>
      </c>
    </row>
    <row r="829" spans="11:22">
      <c r="K829" s="66">
        <v>40.85</v>
      </c>
      <c r="L829" s="10">
        <f t="shared" si="112"/>
        <v>0.62864086982477252</v>
      </c>
      <c r="M829" s="10">
        <f t="shared" si="113"/>
        <v>0.51446250159979379</v>
      </c>
      <c r="N829" s="10">
        <f t="shared" si="114"/>
        <v>3.5204971572797956E-2</v>
      </c>
      <c r="O829" s="10">
        <f t="shared" si="115"/>
        <v>5.0497726684338724E-2</v>
      </c>
      <c r="P829" s="10">
        <f t="shared" si="116"/>
        <v>0.13627529567761823</v>
      </c>
      <c r="Q829" s="66">
        <f t="shared" si="119"/>
        <v>4</v>
      </c>
      <c r="R829" s="10">
        <f t="shared" si="117"/>
        <v>1.5108729898809339E-2</v>
      </c>
      <c r="V829" s="10">
        <f t="shared" si="118"/>
        <v>5.258922646087948E-3</v>
      </c>
    </row>
    <row r="830" spans="11:22">
      <c r="K830" s="66">
        <v>40.9</v>
      </c>
      <c r="L830" s="10">
        <f t="shared" si="112"/>
        <v>0.62753328507579065</v>
      </c>
      <c r="M830" s="10">
        <f t="shared" si="113"/>
        <v>0.51316283994921774</v>
      </c>
      <c r="N830" s="10">
        <f t="shared" si="114"/>
        <v>3.5332142099086576E-2</v>
      </c>
      <c r="O830" s="10">
        <f t="shared" si="115"/>
        <v>5.068029642130336E-2</v>
      </c>
      <c r="P830" s="10">
        <f t="shared" si="116"/>
        <v>0.1359432561464512</v>
      </c>
      <c r="Q830" s="66">
        <f t="shared" si="119"/>
        <v>2</v>
      </c>
      <c r="R830" s="10">
        <f t="shared" si="117"/>
        <v>7.5307961223793178E-3</v>
      </c>
      <c r="V830" s="10">
        <f t="shared" si="118"/>
        <v>2.6337192531732186E-3</v>
      </c>
    </row>
    <row r="831" spans="11:22">
      <c r="K831" s="66">
        <v>40.950000000000003</v>
      </c>
      <c r="L831" s="10">
        <f t="shared" si="112"/>
        <v>0.62642366139506966</v>
      </c>
      <c r="M831" s="10">
        <f t="shared" si="113"/>
        <v>0.51186178056766818</v>
      </c>
      <c r="N831" s="10">
        <f t="shared" si="114"/>
        <v>3.5459773310629432E-2</v>
      </c>
      <c r="O831" s="10">
        <f t="shared" si="115"/>
        <v>5.0863527531529187E-2</v>
      </c>
      <c r="P831" s="10">
        <f t="shared" si="116"/>
        <v>0.13561202564123195</v>
      </c>
      <c r="Q831" s="66">
        <f t="shared" si="119"/>
        <v>4</v>
      </c>
      <c r="R831" s="10">
        <f t="shared" si="117"/>
        <v>1.5014369160233784E-2</v>
      </c>
      <c r="V831" s="10">
        <f t="shared" si="118"/>
        <v>5.2759021862152592E-3</v>
      </c>
    </row>
    <row r="832" spans="11:22">
      <c r="K832" s="66">
        <v>41</v>
      </c>
      <c r="L832" s="10">
        <f t="shared" si="112"/>
        <v>0.62531200208238047</v>
      </c>
      <c r="M832" s="10">
        <f t="shared" si="113"/>
        <v>0.51055933385096786</v>
      </c>
      <c r="N832" s="10">
        <f t="shared" si="114"/>
        <v>3.5587866876295303E-2</v>
      </c>
      <c r="O832" s="10">
        <f t="shared" si="115"/>
        <v>5.104742241089303E-2</v>
      </c>
      <c r="P832" s="10">
        <f t="shared" si="116"/>
        <v>0.13528160219074079</v>
      </c>
      <c r="Q832" s="66">
        <f t="shared" si="119"/>
        <v>2</v>
      </c>
      <c r="R832" s="10">
        <f t="shared" si="117"/>
        <v>7.4835307652042875E-3</v>
      </c>
      <c r="V832" s="10">
        <f t="shared" si="118"/>
        <v>2.6421565941817811E-3</v>
      </c>
    </row>
    <row r="833" spans="11:22">
      <c r="K833" s="66">
        <v>41.05</v>
      </c>
      <c r="L833" s="10">
        <f t="shared" si="112"/>
        <v>0.62419831049529606</v>
      </c>
      <c r="M833" s="10">
        <f t="shared" si="113"/>
        <v>0.50925551027478033</v>
      </c>
      <c r="N833" s="10">
        <f t="shared" si="114"/>
        <v>3.5716424470998313E-2</v>
      </c>
      <c r="O833" s="10">
        <f t="shared" si="115"/>
        <v>5.1231983463950748E-2</v>
      </c>
      <c r="P833" s="10">
        <f t="shared" si="116"/>
        <v>0.13495198382855997</v>
      </c>
      <c r="Q833" s="66">
        <f t="shared" si="119"/>
        <v>4</v>
      </c>
      <c r="R833" s="10">
        <f t="shared" si="117"/>
        <v>1.4919670246550455E-2</v>
      </c>
      <c r="V833" s="10">
        <f t="shared" si="118"/>
        <v>5.2926710148964561E-3</v>
      </c>
    </row>
    <row r="834" spans="11:22">
      <c r="K834" s="66">
        <v>41.1</v>
      </c>
      <c r="L834" s="10">
        <f t="shared" si="112"/>
        <v>0.62308259004946509</v>
      </c>
      <c r="M834" s="10">
        <f t="shared" si="113"/>
        <v>0.50795032039469767</v>
      </c>
      <c r="N834" s="10">
        <f t="shared" si="114"/>
        <v>3.5845447775720289E-2</v>
      </c>
      <c r="O834" s="10">
        <f t="shared" si="115"/>
        <v>5.141721310396926E-2</v>
      </c>
      <c r="P834" s="10">
        <f t="shared" si="116"/>
        <v>0.13462316859306406</v>
      </c>
      <c r="Q834" s="66">
        <f t="shared" si="119"/>
        <v>2</v>
      </c>
      <c r="R834" s="10">
        <f t="shared" si="117"/>
        <v>7.4360981030010204E-3</v>
      </c>
      <c r="V834" s="10">
        <f t="shared" si="118"/>
        <v>2.650487583692347E-3</v>
      </c>
    </row>
    <row r="835" spans="11:22">
      <c r="K835" s="66">
        <v>41.15</v>
      </c>
      <c r="L835" s="10">
        <f t="shared" si="112"/>
        <v>0.62196484421889286</v>
      </c>
      <c r="M835" s="10">
        <f t="shared" si="113"/>
        <v>0.50664377484633261</v>
      </c>
      <c r="N835" s="10">
        <f t="shared" si="114"/>
        <v>3.5974938477532525E-2</v>
      </c>
      <c r="O835" s="10">
        <f t="shared" si="115"/>
        <v>5.1603113752957494E-2</v>
      </c>
      <c r="P835" s="10">
        <f t="shared" si="116"/>
        <v>0.13429515452740676</v>
      </c>
      <c r="Q835" s="66">
        <f t="shared" si="119"/>
        <v>4</v>
      </c>
      <c r="R835" s="10">
        <f t="shared" si="117"/>
        <v>1.4824640312161711E-2</v>
      </c>
      <c r="V835" s="10">
        <f t="shared" si="118"/>
        <v>5.3092251468944201E-3</v>
      </c>
    </row>
    <row r="836" spans="11:22">
      <c r="K836" s="66">
        <v>41.2</v>
      </c>
      <c r="L836" s="10">
        <f t="shared" si="112"/>
        <v>0.62084507653621268</v>
      </c>
      <c r="M836" s="10">
        <f t="shared" si="113"/>
        <v>0.50533588434539811</v>
      </c>
      <c r="N836" s="10">
        <f t="shared" si="114"/>
        <v>3.6104898269617748E-2</v>
      </c>
      <c r="O836" s="10">
        <f t="shared" si="115"/>
        <v>5.1789687841698184E-2</v>
      </c>
      <c r="P836" s="10">
        <f t="shared" si="116"/>
        <v>0.13396793967950962</v>
      </c>
      <c r="Q836" s="66">
        <f t="shared" si="119"/>
        <v>2</v>
      </c>
      <c r="R836" s="10">
        <f t="shared" si="117"/>
        <v>7.3885017372317301E-3</v>
      </c>
      <c r="V836" s="10">
        <f t="shared" si="118"/>
        <v>2.658710227008706E-3</v>
      </c>
    </row>
    <row r="837" spans="11:22">
      <c r="K837" s="66">
        <v>41.25</v>
      </c>
      <c r="L837" s="10">
        <f t="shared" si="112"/>
        <v>0.61972329059296405</v>
      </c>
      <c r="M837" s="10">
        <f t="shared" si="113"/>
        <v>0.50402665968778981</v>
      </c>
      <c r="N837" s="10">
        <f t="shared" si="114"/>
        <v>3.6235328851292423E-2</v>
      </c>
      <c r="O837" s="10">
        <f t="shared" si="115"/>
        <v>5.1976937809780049E-2</v>
      </c>
      <c r="P837" s="10">
        <f t="shared" si="116"/>
        <v>0.13364152210205058</v>
      </c>
      <c r="Q837" s="66">
        <f t="shared" si="119"/>
        <v>4</v>
      </c>
      <c r="R837" s="10">
        <f t="shared" si="117"/>
        <v>1.4729286608356554E-2</v>
      </c>
      <c r="V837" s="10">
        <f t="shared" si="118"/>
        <v>5.3255605889016506E-3</v>
      </c>
    </row>
    <row r="838" spans="11:22">
      <c r="K838" s="66">
        <v>41.3</v>
      </c>
      <c r="L838" s="10">
        <f t="shared" si="112"/>
        <v>0.61859949003986558</v>
      </c>
      <c r="M838" s="10">
        <f t="shared" si="113"/>
        <v>0.50271611174965969</v>
      </c>
      <c r="N838" s="10">
        <f t="shared" si="114"/>
        <v>3.6366231928029007E-2</v>
      </c>
      <c r="O838" s="10">
        <f t="shared" si="115"/>
        <v>5.2164866105629225E-2</v>
      </c>
      <c r="P838" s="10">
        <f t="shared" si="116"/>
        <v>0.13331589985245235</v>
      </c>
      <c r="Q838" s="66">
        <f t="shared" si="119"/>
        <v>2</v>
      </c>
      <c r="R838" s="10">
        <f t="shared" si="117"/>
        <v>7.3407453176420742E-3</v>
      </c>
      <c r="V838" s="10">
        <f t="shared" si="118"/>
        <v>2.6668225256410707E-3</v>
      </c>
    </row>
    <row r="839" spans="11:22">
      <c r="K839" s="66">
        <v>41.35</v>
      </c>
      <c r="L839" s="10">
        <f t="shared" si="112"/>
        <v>0.61747367858708957</v>
      </c>
      <c r="M839" s="10">
        <f t="shared" si="113"/>
        <v>0.50140425148748913</v>
      </c>
      <c r="N839" s="10">
        <f t="shared" si="114"/>
        <v>3.6497609211478085E-2</v>
      </c>
      <c r="O839" s="10">
        <f t="shared" si="115"/>
        <v>5.2353475186541466E-2</v>
      </c>
      <c r="P839" s="10">
        <f t="shared" si="116"/>
        <v>0.13299107099287055</v>
      </c>
      <c r="Q839" s="66">
        <f t="shared" si="119"/>
        <v>4</v>
      </c>
      <c r="R839" s="10">
        <f t="shared" si="117"/>
        <v>1.4633616482661441E-2</v>
      </c>
      <c r="V839" s="10">
        <f t="shared" si="118"/>
        <v>5.3416733405121262E-3</v>
      </c>
    </row>
    <row r="840" spans="11:22">
      <c r="K840" s="66">
        <v>41.4</v>
      </c>
      <c r="L840" s="10">
        <f t="shared" si="112"/>
        <v>0.61634586000453617</v>
      </c>
      <c r="M840" s="10">
        <f t="shared" si="113"/>
        <v>0.50009108993815776</v>
      </c>
      <c r="N840" s="10">
        <f t="shared" si="114"/>
        <v>3.6629462419490867E-2</v>
      </c>
      <c r="O840" s="10">
        <f t="shared" si="115"/>
        <v>5.2542767518714457E-2</v>
      </c>
      <c r="P840" s="10">
        <f t="shared" si="116"/>
        <v>0.13266703359018286</v>
      </c>
      <c r="Q840" s="66">
        <f t="shared" si="119"/>
        <v>2</v>
      </c>
      <c r="R840" s="10">
        <f t="shared" si="117"/>
        <v>7.2928325419266762E-3</v>
      </c>
      <c r="V840" s="10">
        <f t="shared" si="118"/>
        <v>2.674822477797325E-3</v>
      </c>
    </row>
    <row r="841" spans="11:22">
      <c r="K841" s="66">
        <v>41.45</v>
      </c>
      <c r="L841" s="10">
        <f t="shared" si="112"/>
        <v>0.6152160381221059</v>
      </c>
      <c r="M841" s="10">
        <f t="shared" si="113"/>
        <v>0.49877663821900559</v>
      </c>
      <c r="N841" s="10">
        <f t="shared" si="114"/>
        <v>3.6761793276141499E-2</v>
      </c>
      <c r="O841" s="10">
        <f t="shared" si="115"/>
        <v>5.2732745577279597E-2</v>
      </c>
      <c r="P841" s="10">
        <f t="shared" si="116"/>
        <v>0.1323437857159766</v>
      </c>
      <c r="Q841" s="66">
        <f t="shared" si="119"/>
        <v>4</v>
      </c>
      <c r="R841" s="10">
        <f t="shared" si="117"/>
        <v>1.4537637378151148E-2</v>
      </c>
      <c r="V841" s="10">
        <f t="shared" si="118"/>
        <v>5.3575593952143322E-3</v>
      </c>
    </row>
    <row r="842" spans="11:22">
      <c r="K842" s="66">
        <v>41.5</v>
      </c>
      <c r="L842" s="10">
        <f t="shared" si="112"/>
        <v>0.61408421682997216</v>
      </c>
      <c r="M842" s="10">
        <f t="shared" si="113"/>
        <v>0.4974609075278949</v>
      </c>
      <c r="N842" s="10">
        <f t="shared" si="114"/>
        <v>3.6894603511749911E-2</v>
      </c>
      <c r="O842" s="10">
        <f t="shared" si="115"/>
        <v>5.2923411846334839E-2</v>
      </c>
      <c r="P842" s="10">
        <f t="shared" si="116"/>
        <v>0.13202132544653816</v>
      </c>
      <c r="Q842" s="66">
        <f t="shared" si="119"/>
        <v>2</v>
      </c>
      <c r="R842" s="10">
        <f t="shared" si="117"/>
        <v>7.244767155374485E-3</v>
      </c>
      <c r="V842" s="10">
        <f t="shared" si="118"/>
        <v>2.6827080788848282E-3</v>
      </c>
    </row>
    <row r="843" spans="11:22">
      <c r="K843" s="66">
        <v>41.55</v>
      </c>
      <c r="L843" s="10">
        <f t="shared" si="112"/>
        <v>0.61295040007885349</v>
      </c>
      <c r="M843" s="10">
        <f t="shared" si="113"/>
        <v>0.49614390914326545</v>
      </c>
      <c r="N843" s="10">
        <f t="shared" si="114"/>
        <v>3.7027894862904143E-2</v>
      </c>
      <c r="O843" s="10">
        <f t="shared" si="115"/>
        <v>5.3114768818976872E-2</v>
      </c>
      <c r="P843" s="10">
        <f t="shared" si="116"/>
        <v>0.13169965086284094</v>
      </c>
      <c r="Q843" s="66">
        <f t="shared" si="119"/>
        <v>4</v>
      </c>
      <c r="R843" s="10">
        <f t="shared" si="117"/>
        <v>1.4441356832719262E-2</v>
      </c>
      <c r="V843" s="10">
        <f t="shared" si="118"/>
        <v>5.3732147414054295E-3</v>
      </c>
    </row>
    <row r="844" spans="11:22">
      <c r="K844" s="66">
        <v>41.6</v>
      </c>
      <c r="L844" s="10">
        <f t="shared" ref="L844:L907" si="120">(B$7^K844)*B$8^((B$5^25)*((B$5^K844)-1))</f>
        <v>0.61181459188028386</v>
      </c>
      <c r="M844" s="10">
        <f t="shared" ref="M844:M907" si="121">(B$7^K844)*B$8^((B$5^30)*((B$5^K844)-1))</f>
        <v>0.49482565442418547</v>
      </c>
      <c r="N844" s="10">
        <f t="shared" si="114"/>
        <v>3.7161669072483125E-2</v>
      </c>
      <c r="O844" s="10">
        <f t="shared" si="115"/>
        <v>5.3306818997333971E-2</v>
      </c>
      <c r="P844" s="10">
        <f t="shared" si="116"/>
        <v>0.13137876005053389</v>
      </c>
      <c r="Q844" s="66">
        <f t="shared" si="119"/>
        <v>2</v>
      </c>
      <c r="R844" s="10">
        <f t="shared" si="117"/>
        <v>7.1965529504938756E-3</v>
      </c>
      <c r="V844" s="10">
        <f t="shared" si="118"/>
        <v>2.6904773220228265E-3</v>
      </c>
    </row>
    <row r="845" spans="11:22">
      <c r="K845" s="66">
        <v>41.65</v>
      </c>
      <c r="L845" s="10">
        <f t="shared" si="120"/>
        <v>0.61067679630688476</v>
      </c>
      <c r="M845" s="10">
        <f t="shared" si="121"/>
        <v>0.493506154810402</v>
      </c>
      <c r="N845" s="10">
        <f t="shared" ref="N845:N908" si="122">B$3+B$4*(B$5^(25+K845))</f>
        <v>3.729592788967967E-2</v>
      </c>
      <c r="O845" s="10">
        <f t="shared" ref="O845:O908" si="123">$B$3+$B$4*($B$5^(30+K845))</f>
        <v>5.3499564892598474E-2</v>
      </c>
      <c r="P845" s="10">
        <f t="shared" ref="P845:P908" si="124">(1+B$6)^-K845</f>
        <v>0.13105865109993084</v>
      </c>
      <c r="Q845" s="66">
        <f t="shared" si="119"/>
        <v>4</v>
      </c>
      <c r="R845" s="10">
        <f t="shared" ref="R845:R908" si="125">L845*M845*(N845+O845)*P845*Q845</f>
        <v>1.4344782478307918E-2</v>
      </c>
      <c r="V845" s="10">
        <f t="shared" si="118"/>
        <v>5.3886353634267281E-3</v>
      </c>
    </row>
    <row r="846" spans="11:22">
      <c r="K846" s="66">
        <v>41.7</v>
      </c>
      <c r="L846" s="10">
        <f t="shared" si="120"/>
        <v>0.60953701749263323</v>
      </c>
      <c r="M846" s="10">
        <f t="shared" si="121"/>
        <v>0.49218542182238112</v>
      </c>
      <c r="N846" s="10">
        <f t="shared" si="122"/>
        <v>3.743067307002295E-2</v>
      </c>
      <c r="O846" s="10">
        <f t="shared" si="123"/>
        <v>5.3693009025059572E-2</v>
      </c>
      <c r="P846" s="10">
        <f t="shared" si="124"/>
        <v>0.13073932210599812</v>
      </c>
      <c r="Q846" s="66">
        <f t="shared" si="119"/>
        <v>2</v>
      </c>
      <c r="R846" s="10">
        <f t="shared" si="125"/>
        <v>7.1481937666171939E-3</v>
      </c>
      <c r="V846" s="10">
        <f t="shared" ref="V846:V909" si="126">(1-L846)*M846*O846*P846*Q846</f>
        <v>2.6981281985654537E-3</v>
      </c>
    </row>
    <row r="847" spans="11:22">
      <c r="K847" s="66">
        <v>41.75</v>
      </c>
      <c r="L847" s="10">
        <f t="shared" si="120"/>
        <v>0.60839525963313235</v>
      </c>
      <c r="M847" s="10">
        <f t="shared" si="121"/>
        <v>0.49086346706134992</v>
      </c>
      <c r="N847" s="10">
        <f t="shared" si="122"/>
        <v>3.7565906375401824E-2</v>
      </c>
      <c r="O847" s="10">
        <f t="shared" si="123"/>
        <v>5.388715392413667E-2</v>
      </c>
      <c r="P847" s="10">
        <f t="shared" si="124"/>
        <v>0.13042077116834416</v>
      </c>
      <c r="Q847" s="66">
        <f t="shared" ref="Q847:Q910" si="127">IF(Q846=4,2,4)</f>
        <v>4</v>
      </c>
      <c r="R847" s="10">
        <f t="shared" si="125"/>
        <v>1.4247922040096242E-2</v>
      </c>
      <c r="V847" s="10">
        <f t="shared" si="126"/>
        <v>5.4038172426202373E-3</v>
      </c>
    </row>
    <row r="848" spans="11:22">
      <c r="K848" s="66">
        <v>41.8</v>
      </c>
      <c r="L848" s="10">
        <f t="shared" si="120"/>
        <v>0.60725152698587981</v>
      </c>
      <c r="M848" s="10">
        <f t="shared" si="121"/>
        <v>0.48954030220933054</v>
      </c>
      <c r="N848" s="10">
        <f t="shared" si="122"/>
        <v>3.7701629574087743E-2</v>
      </c>
      <c r="O848" s="10">
        <f t="shared" si="123"/>
        <v>5.4082002128412035E-2</v>
      </c>
      <c r="P848" s="10">
        <f t="shared" si="124"/>
        <v>0.13010299639120756</v>
      </c>
      <c r="Q848" s="66">
        <f t="shared" si="127"/>
        <v>2</v>
      </c>
      <c r="R848" s="10">
        <f t="shared" si="125"/>
        <v>7.0996934894846072E-3</v>
      </c>
      <c r="V848" s="10">
        <f t="shared" si="126"/>
        <v>2.7056586986353216E-3</v>
      </c>
    </row>
    <row r="849" spans="11:22">
      <c r="K849" s="66">
        <v>41.85</v>
      </c>
      <c r="L849" s="10">
        <f t="shared" si="120"/>
        <v>0.60610582387053358</v>
      </c>
      <c r="M849" s="10">
        <f t="shared" si="121"/>
        <v>0.48821593902916999</v>
      </c>
      <c r="N849" s="10">
        <f t="shared" si="122"/>
        <v>3.7837844440757808E-2</v>
      </c>
      <c r="O849" s="10">
        <f t="shared" si="123"/>
        <v>5.4277556185664121E-2</v>
      </c>
      <c r="P849" s="10">
        <f t="shared" si="124"/>
        <v>0.12978599588344591</v>
      </c>
      <c r="Q849" s="66">
        <f t="shared" si="127"/>
        <v>4</v>
      </c>
      <c r="R849" s="10">
        <f t="shared" si="125"/>
        <v>1.415078333564734E-2</v>
      </c>
      <c r="V849" s="10">
        <f t="shared" si="126"/>
        <v>5.418756358406481E-3</v>
      </c>
    </row>
    <row r="850" spans="11:22">
      <c r="K850" s="66">
        <v>41.9</v>
      </c>
      <c r="L850" s="10">
        <f t="shared" si="120"/>
        <v>0.60495815466918179</v>
      </c>
      <c r="M850" s="10">
        <f t="shared" si="121"/>
        <v>0.4868903893645688</v>
      </c>
      <c r="N850" s="10">
        <f t="shared" si="122"/>
        <v>3.797455275651803E-2</v>
      </c>
      <c r="O850" s="10">
        <f t="shared" si="123"/>
        <v>5.4473818652901115E-2</v>
      </c>
      <c r="P850" s="10">
        <f t="shared" si="124"/>
        <v>0.12946976775852495</v>
      </c>
      <c r="Q850" s="66">
        <f t="shared" si="127"/>
        <v>2</v>
      </c>
      <c r="R850" s="10">
        <f t="shared" si="125"/>
        <v>7.0510560508071042E-3</v>
      </c>
      <c r="V850" s="10">
        <f t="shared" si="126"/>
        <v>2.7130668116676936E-3</v>
      </c>
    </row>
    <row r="851" spans="11:22">
      <c r="K851" s="66">
        <v>41.95</v>
      </c>
      <c r="L851" s="10">
        <f t="shared" si="120"/>
        <v>0.60380852382660632</v>
      </c>
      <c r="M851" s="10">
        <f t="shared" si="121"/>
        <v>0.4855636651401003</v>
      </c>
      <c r="N851" s="10">
        <f t="shared" si="122"/>
        <v>3.8111756308926638E-2</v>
      </c>
      <c r="O851" s="10">
        <f t="shared" si="123"/>
        <v>5.4670792096393868E-2</v>
      </c>
      <c r="P851" s="10">
        <f t="shared" si="124"/>
        <v>0.12915431013450659</v>
      </c>
      <c r="Q851" s="66">
        <f t="shared" si="127"/>
        <v>4</v>
      </c>
      <c r="R851" s="10">
        <f t="shared" si="125"/>
        <v>1.4053374274013068E-2</v>
      </c>
      <c r="V851" s="10">
        <f t="shared" si="126"/>
        <v>5.4334486893833772E-3</v>
      </c>
    </row>
    <row r="852" spans="11:22">
      <c r="K852" s="66">
        <v>42</v>
      </c>
      <c r="L852" s="10">
        <f t="shared" si="120"/>
        <v>0.6026569358505488</v>
      </c>
      <c r="M852" s="10">
        <f t="shared" si="121"/>
        <v>0.48423577836122994</v>
      </c>
      <c r="N852" s="10">
        <f t="shared" si="122"/>
        <v>3.8249456892017454E-2</v>
      </c>
      <c r="O852" s="10">
        <f t="shared" si="123"/>
        <v>5.4868479091710005E-2</v>
      </c>
      <c r="P852" s="10">
        <f t="shared" si="124"/>
        <v>0.12883962113403885</v>
      </c>
      <c r="Q852" s="66">
        <f t="shared" si="127"/>
        <v>2</v>
      </c>
      <c r="R852" s="10">
        <f t="shared" si="125"/>
        <v>7.0022854278083942E-3</v>
      </c>
      <c r="V852" s="10">
        <f t="shared" si="126"/>
        <v>2.7203505269652191E-3</v>
      </c>
    </row>
    <row r="853" spans="11:22">
      <c r="K853" s="66">
        <v>42.05</v>
      </c>
      <c r="L853" s="10">
        <f t="shared" si="120"/>
        <v>0.60150339531197639</v>
      </c>
      <c r="M853" s="10">
        <f t="shared" si="121"/>
        <v>0.48290674111432835</v>
      </c>
      <c r="N853" s="10">
        <f t="shared" si="122"/>
        <v>3.8387656306323154E-2</v>
      </c>
      <c r="O853" s="10">
        <f t="shared" si="123"/>
        <v>5.5066882223747053E-2</v>
      </c>
      <c r="P853" s="10">
        <f t="shared" si="124"/>
        <v>0.12852569888434279</v>
      </c>
      <c r="Q853" s="66">
        <f t="shared" si="127"/>
        <v>4</v>
      </c>
      <c r="R853" s="10">
        <f t="shared" si="125"/>
        <v>1.3955702854796628E-2</v>
      </c>
      <c r="V853" s="10">
        <f t="shared" si="126"/>
        <v>5.4478902144462094E-3</v>
      </c>
    </row>
    <row r="854" spans="11:22">
      <c r="K854" s="66">
        <v>42.1</v>
      </c>
      <c r="L854" s="10">
        <f t="shared" si="120"/>
        <v>0.60034790684534223</v>
      </c>
      <c r="M854" s="10">
        <f t="shared" si="121"/>
        <v>0.48157656556667749</v>
      </c>
      <c r="N854" s="10">
        <f t="shared" si="122"/>
        <v>3.8526356358899304E-2</v>
      </c>
      <c r="O854" s="10">
        <f t="shared" si="123"/>
        <v>5.5266004086766955E-2</v>
      </c>
      <c r="P854" s="10">
        <f t="shared" si="124"/>
        <v>0.12821254151720385</v>
      </c>
      <c r="Q854" s="66">
        <f t="shared" si="127"/>
        <v>2</v>
      </c>
      <c r="R854" s="10">
        <f t="shared" si="125"/>
        <v>6.9533856427454544E-3</v>
      </c>
      <c r="V854" s="10">
        <f t="shared" si="126"/>
        <v>2.7275078342631574E-3</v>
      </c>
    </row>
    <row r="855" spans="11:22">
      <c r="K855" s="66">
        <v>42.15</v>
      </c>
      <c r="L855" s="10">
        <f t="shared" si="120"/>
        <v>0.59919047514885138</v>
      </c>
      <c r="M855" s="10">
        <f t="shared" si="121"/>
        <v>0.48024526396647788</v>
      </c>
      <c r="N855" s="10">
        <f t="shared" si="122"/>
        <v>3.8665558863347473E-2</v>
      </c>
      <c r="O855" s="10">
        <f t="shared" si="123"/>
        <v>5.5465847284429312E-2</v>
      </c>
      <c r="P855" s="10">
        <f t="shared" si="124"/>
        <v>0.12790014716895887</v>
      </c>
      <c r="Q855" s="66">
        <f t="shared" si="127"/>
        <v>4</v>
      </c>
      <c r="R855" s="10">
        <f t="shared" si="125"/>
        <v>1.3857777167172503E-2</v>
      </c>
      <c r="V855" s="10">
        <f t="shared" si="126"/>
        <v>5.4620769139286851E-3</v>
      </c>
    </row>
    <row r="856" spans="11:22">
      <c r="K856" s="66">
        <v>42.2</v>
      </c>
      <c r="L856" s="10">
        <f t="shared" si="120"/>
        <v>0.59803110498472001</v>
      </c>
      <c r="M856" s="10">
        <f t="shared" si="121"/>
        <v>0.47891284864284495</v>
      </c>
      <c r="N856" s="10">
        <f t="shared" si="122"/>
        <v>3.8805265639839069E-2</v>
      </c>
      <c r="O856" s="10">
        <f t="shared" si="123"/>
        <v>5.5666414429825554E-2</v>
      </c>
      <c r="P856" s="10">
        <f t="shared" si="124"/>
        <v>0.12758851398048535</v>
      </c>
      <c r="Q856" s="66">
        <f t="shared" si="127"/>
        <v>2</v>
      </c>
      <c r="R856" s="10">
        <f t="shared" si="125"/>
        <v>6.9043607624078842E-3</v>
      </c>
      <c r="V856" s="10">
        <f t="shared" si="126"/>
        <v>2.7345367243051966E-3</v>
      </c>
    </row>
    <row r="857" spans="11:22">
      <c r="K857" s="66">
        <v>42.25</v>
      </c>
      <c r="L857" s="10">
        <f t="shared" si="120"/>
        <v>0.59686980117943733</v>
      </c>
      <c r="M857" s="10">
        <f t="shared" si="121"/>
        <v>0.47757933200580543</v>
      </c>
      <c r="N857" s="10">
        <f t="shared" si="122"/>
        <v>3.8945478515139353E-2</v>
      </c>
      <c r="O857" s="10">
        <f t="shared" si="123"/>
        <v>5.5867708145513562E-2</v>
      </c>
      <c r="P857" s="10">
        <f t="shared" si="124"/>
        <v>0.12727764009719106</v>
      </c>
      <c r="Q857" s="66">
        <f t="shared" si="127"/>
        <v>4</v>
      </c>
      <c r="R857" s="10">
        <f t="shared" si="125"/>
        <v>1.3759605388863158E-2</v>
      </c>
      <c r="V857" s="10">
        <f t="shared" si="126"/>
        <v>5.4760047707648474E-3</v>
      </c>
    </row>
    <row r="858" spans="11:22">
      <c r="K858" s="66">
        <v>42.3</v>
      </c>
      <c r="L858" s="10">
        <f t="shared" si="120"/>
        <v>0.59570656862402493</v>
      </c>
      <c r="M858" s="10">
        <f t="shared" si="121"/>
        <v>0.47624472654628652</v>
      </c>
      <c r="N858" s="10">
        <f t="shared" si="122"/>
        <v>3.9086199322631188E-2</v>
      </c>
      <c r="O858" s="10">
        <f t="shared" si="123"/>
        <v>5.6069731063551419E-2</v>
      </c>
      <c r="P858" s="10">
        <f t="shared" si="124"/>
        <v>0.12696752366900221</v>
      </c>
      <c r="Q858" s="66">
        <f t="shared" si="127"/>
        <v>2</v>
      </c>
      <c r="R858" s="10">
        <f t="shared" si="125"/>
        <v>6.8552148975953194E-3</v>
      </c>
      <c r="V858" s="10">
        <f t="shared" si="126"/>
        <v>2.7414351894295814E-3</v>
      </c>
    </row>
    <row r="859" spans="11:22">
      <c r="K859" s="66">
        <v>42.35</v>
      </c>
      <c r="L859" s="10">
        <f t="shared" si="120"/>
        <v>0.59454141227429502</v>
      </c>
      <c r="M859" s="10">
        <f t="shared" si="121"/>
        <v>0.47490904483610008</v>
      </c>
      <c r="N859" s="10">
        <f t="shared" si="122"/>
        <v>3.9227429902338941E-2</v>
      </c>
      <c r="O859" s="10">
        <f t="shared" si="123"/>
        <v>5.6272485825532084E-2</v>
      </c>
      <c r="P859" s="10">
        <f t="shared" si="124"/>
        <v>0.12665816285035289</v>
      </c>
      <c r="Q859" s="66">
        <f t="shared" si="127"/>
        <v>4</v>
      </c>
      <c r="R859" s="10">
        <f t="shared" si="125"/>
        <v>1.3661195785072699E-2</v>
      </c>
      <c r="V859" s="10">
        <f t="shared" si="126"/>
        <v>5.4896697716719711E-3</v>
      </c>
    </row>
    <row r="860" spans="11:22">
      <c r="K860" s="66">
        <v>42.4</v>
      </c>
      <c r="L860" s="10">
        <f t="shared" si="120"/>
        <v>0.59337433715110965</v>
      </c>
      <c r="M860" s="10">
        <f t="shared" si="121"/>
        <v>0.47357229952792546</v>
      </c>
      <c r="N860" s="10">
        <f t="shared" si="122"/>
        <v>3.9369172100952643E-2</v>
      </c>
      <c r="O860" s="10">
        <f t="shared" si="123"/>
        <v>5.6475975082618042E-2</v>
      </c>
      <c r="P860" s="10">
        <f t="shared" si="124"/>
        <v>0.12634955580017412</v>
      </c>
      <c r="Q860" s="66">
        <f t="shared" si="127"/>
        <v>2</v>
      </c>
      <c r="R860" s="10">
        <f t="shared" si="125"/>
        <v>6.8059522025733918E-3</v>
      </c>
      <c r="V860" s="10">
        <f t="shared" si="126"/>
        <v>2.748201224165768E-3</v>
      </c>
    </row>
    <row r="861" spans="11:22">
      <c r="K861" s="66">
        <v>42.45</v>
      </c>
      <c r="L861" s="10">
        <f t="shared" si="120"/>
        <v>0.59220534834063476</v>
      </c>
      <c r="M861" s="10">
        <f t="shared" si="121"/>
        <v>0.47223450335528178</v>
      </c>
      <c r="N861" s="10">
        <f t="shared" si="122"/>
        <v>3.9511427771852112E-2</v>
      </c>
      <c r="O861" s="10">
        <f t="shared" si="123"/>
        <v>5.6680201495575573E-2</v>
      </c>
      <c r="P861" s="10">
        <f t="shared" si="124"/>
        <v>0.12604170068188247</v>
      </c>
      <c r="Q861" s="66">
        <f t="shared" si="127"/>
        <v>4</v>
      </c>
      <c r="R861" s="10">
        <f t="shared" si="125"/>
        <v>1.3562556707376628E-2</v>
      </c>
      <c r="V861" s="10">
        <f t="shared" si="126"/>
        <v>5.5030679083541163E-3</v>
      </c>
    </row>
    <row r="862" spans="11:22">
      <c r="K862" s="66">
        <v>42.5</v>
      </c>
      <c r="L862" s="10">
        <f t="shared" si="120"/>
        <v>0.59103445099459773</v>
      </c>
      <c r="M862" s="10">
        <f t="shared" si="121"/>
        <v>0.47089566913250047</v>
      </c>
      <c r="N862" s="10">
        <f t="shared" si="122"/>
        <v>3.9654198775131162E-2</v>
      </c>
      <c r="O862" s="10">
        <f t="shared" si="123"/>
        <v>5.6885167734809908E-2</v>
      </c>
      <c r="P862" s="10">
        <f t="shared" si="124"/>
        <v>0.12573459566336972</v>
      </c>
      <c r="Q862" s="66">
        <f t="shared" si="127"/>
        <v>2</v>
      </c>
      <c r="R862" s="10">
        <f t="shared" si="125"/>
        <v>6.7565768745076835E-3</v>
      </c>
      <c r="V862" s="10">
        <f t="shared" si="126"/>
        <v>2.7548328258413797E-3</v>
      </c>
    </row>
    <row r="863" spans="11:22">
      <c r="K863" s="66">
        <v>42.55</v>
      </c>
      <c r="L863" s="10">
        <f t="shared" si="120"/>
        <v>0.58986165033054105</v>
      </c>
      <c r="M863" s="10">
        <f t="shared" si="121"/>
        <v>0.46955580975469086</v>
      </c>
      <c r="N863" s="10">
        <f t="shared" si="122"/>
        <v>3.9797486977621914E-2</v>
      </c>
      <c r="O863" s="10">
        <f t="shared" si="123"/>
        <v>5.7090876480400142E-2</v>
      </c>
      <c r="P863" s="10">
        <f t="shared" si="124"/>
        <v>0.12542823891699134</v>
      </c>
      <c r="Q863" s="66">
        <f t="shared" si="127"/>
        <v>4</v>
      </c>
      <c r="R863" s="10">
        <f t="shared" si="125"/>
        <v>1.3463696592567668E-2</v>
      </c>
      <c r="V863" s="10">
        <f t="shared" si="126"/>
        <v>5.5161951787263434E-3</v>
      </c>
    </row>
    <row r="864" spans="11:22">
      <c r="K864" s="66">
        <v>42.6</v>
      </c>
      <c r="L864" s="10">
        <f t="shared" si="120"/>
        <v>0.58868695163207496</v>
      </c>
      <c r="M864" s="10">
        <f t="shared" si="121"/>
        <v>0.46821493819769888</v>
      </c>
      <c r="N864" s="10">
        <f t="shared" si="122"/>
        <v>3.9941294252919361E-2</v>
      </c>
      <c r="O864" s="10">
        <f t="shared" si="123"/>
        <v>5.7297330422134016E-2</v>
      </c>
      <c r="P864" s="10">
        <f t="shared" si="124"/>
        <v>0.12512262861955606</v>
      </c>
      <c r="Q864" s="66">
        <f t="shared" si="127"/>
        <v>2</v>
      </c>
      <c r="R864" s="10">
        <f t="shared" si="125"/>
        <v>6.7070931528756088E-3</v>
      </c>
      <c r="V864" s="10">
        <f t="shared" si="126"/>
        <v>2.7613279951994628E-3</v>
      </c>
    </row>
    <row r="865" spans="11:22">
      <c r="K865" s="66">
        <v>42.65</v>
      </c>
      <c r="L865" s="10">
        <f t="shared" si="120"/>
        <v>0.58751036024913061</v>
      </c>
      <c r="M865" s="10">
        <f t="shared" si="121"/>
        <v>0.46687306751806579</v>
      </c>
      <c r="N865" s="10">
        <f t="shared" si="122"/>
        <v>4.0085622481405639E-2</v>
      </c>
      <c r="O865" s="10">
        <f t="shared" si="123"/>
        <v>5.7504532259543363E-2</v>
      </c>
      <c r="P865" s="10">
        <f t="shared" si="124"/>
        <v>0.12481776295231507</v>
      </c>
      <c r="Q865" s="66">
        <f t="shared" si="127"/>
        <v>4</v>
      </c>
      <c r="R865" s="10">
        <f t="shared" si="125"/>
        <v>1.3364623961457657E-2</v>
      </c>
      <c r="V865" s="10">
        <f t="shared" si="126"/>
        <v>5.5290475881594999E-3</v>
      </c>
    </row>
    <row r="866" spans="11:22">
      <c r="K866" s="66">
        <v>42.7</v>
      </c>
      <c r="L866" s="10">
        <f t="shared" si="120"/>
        <v>0.5863318815982097</v>
      </c>
      <c r="M866" s="10">
        <f t="shared" si="121"/>
        <v>0.4655302108529753</v>
      </c>
      <c r="N866" s="10">
        <f t="shared" si="122"/>
        <v>4.0230473550274676E-2</v>
      </c>
      <c r="O866" s="10">
        <f t="shared" si="123"/>
        <v>5.7712484701939036E-2</v>
      </c>
      <c r="P866" s="10">
        <f t="shared" si="124"/>
        <v>0.12451364010095056</v>
      </c>
      <c r="Q866" s="66">
        <f t="shared" si="127"/>
        <v>2</v>
      </c>
      <c r="R866" s="10">
        <f t="shared" si="125"/>
        <v>6.6575053188562341E-3</v>
      </c>
      <c r="V866" s="10">
        <f t="shared" si="126"/>
        <v>2.7676847370259514E-3</v>
      </c>
    </row>
    <row r="867" spans="11:22">
      <c r="K867" s="66">
        <v>42.75</v>
      </c>
      <c r="L867" s="10">
        <f t="shared" si="120"/>
        <v>0.58515152116263436</v>
      </c>
      <c r="M867" s="10">
        <f t="shared" si="121"/>
        <v>0.46418638142020174</v>
      </c>
      <c r="N867" s="10">
        <f t="shared" si="122"/>
        <v>4.037584935355696E-2</v>
      </c>
      <c r="O867" s="10">
        <f t="shared" si="123"/>
        <v>5.7921190468446931E-2</v>
      </c>
      <c r="P867" s="10">
        <f t="shared" si="124"/>
        <v>0.12421025825556591</v>
      </c>
      <c r="Q867" s="66">
        <f t="shared" si="127"/>
        <v>4</v>
      </c>
      <c r="R867" s="10">
        <f t="shared" si="125"/>
        <v>1.3265347417634684E-2</v>
      </c>
      <c r="V867" s="10">
        <f t="shared" si="126"/>
        <v>5.5416211507452766E-3</v>
      </c>
    </row>
    <row r="868" spans="11:22">
      <c r="K868" s="66">
        <v>42.8</v>
      </c>
      <c r="L868" s="10">
        <f t="shared" si="120"/>
        <v>0.58396928449279639</v>
      </c>
      <c r="M868" s="10">
        <f t="shared" si="121"/>
        <v>0.46284159251804868</v>
      </c>
      <c r="N868" s="10">
        <f t="shared" si="122"/>
        <v>4.0521751792144324E-2</v>
      </c>
      <c r="O868" s="10">
        <f t="shared" si="123"/>
        <v>5.8130652288042942E-2</v>
      </c>
      <c r="P868" s="10">
        <f t="shared" si="124"/>
        <v>0.12390761561067386</v>
      </c>
      <c r="Q868" s="66">
        <f t="shared" si="127"/>
        <v>2</v>
      </c>
      <c r="R868" s="10">
        <f t="shared" si="125"/>
        <v>6.6078176946977032E-3</v>
      </c>
      <c r="V868" s="10">
        <f t="shared" si="126"/>
        <v>2.7739010607872837E-3</v>
      </c>
    </row>
    <row r="869" spans="11:22">
      <c r="K869" s="66">
        <v>42.85</v>
      </c>
      <c r="L869" s="10">
        <f t="shared" si="120"/>
        <v>0.58278517720640211</v>
      </c>
      <c r="M869" s="10">
        <f t="shared" si="121"/>
        <v>0.4614958575252841</v>
      </c>
      <c r="N869" s="10">
        <f t="shared" si="122"/>
        <v>4.0668182773814641E-2</v>
      </c>
      <c r="O869" s="10">
        <f t="shared" si="123"/>
        <v>5.834087289958894E-2</v>
      </c>
      <c r="P869" s="10">
        <f t="shared" si="124"/>
        <v>0.12360571036518661</v>
      </c>
      <c r="Q869" s="66">
        <f t="shared" si="127"/>
        <v>4</v>
      </c>
      <c r="R869" s="10">
        <f t="shared" si="125"/>
        <v>1.3165875646175848E-2</v>
      </c>
      <c r="V869" s="10">
        <f t="shared" si="126"/>
        <v>5.5539118905815641E-3</v>
      </c>
    </row>
    <row r="870" spans="11:22">
      <c r="K870" s="66">
        <v>42.9</v>
      </c>
      <c r="L870" s="10">
        <f t="shared" si="120"/>
        <v>0.58159920498872053</v>
      </c>
      <c r="M870" s="10">
        <f t="shared" si="121"/>
        <v>0.46014918990107095</v>
      </c>
      <c r="N870" s="10">
        <f t="shared" si="122"/>
        <v>4.0815144213256889E-2</v>
      </c>
      <c r="O870" s="10">
        <f t="shared" si="123"/>
        <v>5.8551855051868704E-2</v>
      </c>
      <c r="P870" s="10">
        <f t="shared" si="124"/>
        <v>0.12330454072240468</v>
      </c>
      <c r="Q870" s="66">
        <f t="shared" si="127"/>
        <v>2</v>
      </c>
      <c r="R870" s="10">
        <f t="shared" si="125"/>
        <v>6.5580346430623758E-3</v>
      </c>
      <c r="V870" s="10">
        <f t="shared" si="126"/>
        <v>2.7799749812780642E-3</v>
      </c>
    </row>
    <row r="871" spans="11:22">
      <c r="K871" s="66">
        <v>42.95</v>
      </c>
      <c r="L871" s="10">
        <f t="shared" si="120"/>
        <v>0.5804113735928258</v>
      </c>
      <c r="M871" s="10">
        <f t="shared" si="121"/>
        <v>0.45880160318489088</v>
      </c>
      <c r="N871" s="10">
        <f t="shared" si="122"/>
        <v>4.0962638032096134E-2</v>
      </c>
      <c r="O871" s="10">
        <f t="shared" si="123"/>
        <v>5.8763601503623412E-2</v>
      </c>
      <c r="P871" s="10">
        <f t="shared" si="124"/>
        <v>0.12300410489000627</v>
      </c>
      <c r="Q871" s="66">
        <f t="shared" si="127"/>
        <v>4</v>
      </c>
      <c r="R871" s="10">
        <f t="shared" si="125"/>
        <v>1.3066217412314854E-2</v>
      </c>
      <c r="V871" s="10">
        <f t="shared" si="126"/>
        <v>5.5659158430777372E-3</v>
      </c>
    </row>
    <row r="872" spans="11:22">
      <c r="K872" s="66">
        <v>43</v>
      </c>
      <c r="L872" s="10">
        <f t="shared" si="120"/>
        <v>0.5792216888398406</v>
      </c>
      <c r="M872" s="10">
        <f t="shared" si="121"/>
        <v>0.45745311099646369</v>
      </c>
      <c r="N872" s="10">
        <f t="shared" si="122"/>
        <v>4.1110666158918757E-2</v>
      </c>
      <c r="O872" s="10">
        <f t="shared" si="123"/>
        <v>5.8976115023588252E-2</v>
      </c>
      <c r="P872" s="10">
        <f t="shared" si="124"/>
        <v>0.12270440108003698</v>
      </c>
      <c r="Q872" s="66">
        <f t="shared" si="127"/>
        <v>2</v>
      </c>
      <c r="R872" s="10">
        <f t="shared" si="125"/>
        <v>6.5081605663494619E-3</v>
      </c>
      <c r="V872" s="10">
        <f t="shared" si="126"/>
        <v>2.7859045192787069E-3</v>
      </c>
    </row>
    <row r="873" spans="11:22">
      <c r="K873" s="66">
        <v>43.05</v>
      </c>
      <c r="L873" s="10">
        <f t="shared" si="120"/>
        <v>0.57803015661917923</v>
      </c>
      <c r="M873" s="10">
        <f t="shared" si="121"/>
        <v>0.45610372703566204</v>
      </c>
      <c r="N873" s="10">
        <f t="shared" si="122"/>
        <v>4.1259230529297392E-2</v>
      </c>
      <c r="O873" s="10">
        <f t="shared" si="123"/>
        <v>5.9189398390528086E-2</v>
      </c>
      <c r="P873" s="10">
        <f t="shared" si="124"/>
        <v>0.12240542750889789</v>
      </c>
      <c r="Q873" s="66">
        <f t="shared" si="127"/>
        <v>4</v>
      </c>
      <c r="R873" s="10">
        <f t="shared" si="125"/>
        <v>1.2966381560064794E-2</v>
      </c>
      <c r="V873" s="10">
        <f t="shared" si="126"/>
        <v>5.5776290562797905E-3</v>
      </c>
    </row>
    <row r="874" spans="11:22">
      <c r="K874" s="66">
        <v>43.1</v>
      </c>
      <c r="L874" s="10">
        <f t="shared" si="120"/>
        <v>0.57683678288878404</v>
      </c>
      <c r="M874" s="10">
        <f t="shared" si="121"/>
        <v>0.45475346508241665</v>
      </c>
      <c r="N874" s="10">
        <f t="shared" si="122"/>
        <v>4.1408333085816755E-2</v>
      </c>
      <c r="O874" s="10">
        <f t="shared" si="123"/>
        <v>5.9403454393274477E-2</v>
      </c>
      <c r="P874" s="10">
        <f t="shared" si="124"/>
        <v>0.12210718239733702</v>
      </c>
      <c r="Q874" s="66">
        <f t="shared" si="127"/>
        <v>2</v>
      </c>
      <c r="R874" s="10">
        <f t="shared" si="125"/>
        <v>6.4581999059950155E-3</v>
      </c>
      <c r="V874" s="10">
        <f t="shared" si="126"/>
        <v>2.7916877022228781E-3</v>
      </c>
    </row>
    <row r="875" spans="11:22">
      <c r="K875" s="66">
        <v>43.15</v>
      </c>
      <c r="L875" s="10">
        <f t="shared" si="120"/>
        <v>0.5756415736753675</v>
      </c>
      <c r="M875" s="10">
        <f t="shared" si="121"/>
        <v>0.45340233899662336</v>
      </c>
      <c r="N875" s="10">
        <f t="shared" si="122"/>
        <v>4.1557975778098527E-2</v>
      </c>
      <c r="O875" s="10">
        <f t="shared" si="123"/>
        <v>5.9618285830761508E-2</v>
      </c>
      <c r="P875" s="10">
        <f t="shared" si="124"/>
        <v>0.12180966397043698</v>
      </c>
      <c r="Q875" s="66">
        <f t="shared" si="127"/>
        <v>4</v>
      </c>
      <c r="R875" s="10">
        <f t="shared" si="125"/>
        <v>1.286637701079558E-2</v>
      </c>
      <c r="V875" s="10">
        <f t="shared" si="126"/>
        <v>5.5890475922151005E-3</v>
      </c>
    </row>
    <row r="876" spans="11:22">
      <c r="K876" s="66">
        <v>43.2</v>
      </c>
      <c r="L876" s="10">
        <f t="shared" si="120"/>
        <v>0.57444453507464777</v>
      </c>
      <c r="M876" s="10">
        <f t="shared" si="121"/>
        <v>0.45205036271803767</v>
      </c>
      <c r="N876" s="10">
        <f t="shared" si="122"/>
        <v>4.1708160562827008E-2</v>
      </c>
      <c r="O876" s="10">
        <f t="shared" si="123"/>
        <v>5.9833895512062467E-2</v>
      </c>
      <c r="P876" s="10">
        <f t="shared" si="124"/>
        <v>0.12151287045760505</v>
      </c>
      <c r="Q876" s="66">
        <f t="shared" si="127"/>
        <v>2</v>
      </c>
      <c r="R876" s="10">
        <f t="shared" si="125"/>
        <v>6.4081571417494067E-3</v>
      </c>
      <c r="V876" s="10">
        <f t="shared" si="126"/>
        <v>2.7973225648748076E-3</v>
      </c>
    </row>
    <row r="877" spans="11:22">
      <c r="K877" s="66">
        <v>43.25</v>
      </c>
      <c r="L877" s="10">
        <f t="shared" si="120"/>
        <v>0.57324567325158438</v>
      </c>
      <c r="M877" s="10">
        <f t="shared" si="121"/>
        <v>0.45069755026616731</v>
      </c>
      <c r="N877" s="10">
        <f t="shared" si="122"/>
        <v>4.1858889403774802E-2</v>
      </c>
      <c r="O877" s="10">
        <f t="shared" si="123"/>
        <v>6.0050286256427075E-2</v>
      </c>
      <c r="P877" s="10">
        <f t="shared" si="124"/>
        <v>0.12121680009256292</v>
      </c>
      <c r="Q877" s="66">
        <f t="shared" si="127"/>
        <v>4</v>
      </c>
      <c r="R877" s="10">
        <f t="shared" si="125"/>
        <v>1.2766212761766016E-2</v>
      </c>
      <c r="V877" s="10">
        <f t="shared" si="126"/>
        <v>5.6001675282565354E-3</v>
      </c>
    </row>
    <row r="878" spans="11:22">
      <c r="K878" s="66">
        <v>43.3</v>
      </c>
      <c r="L878" s="10">
        <f t="shared" si="120"/>
        <v>0.5720449944406123</v>
      </c>
      <c r="M878" s="10">
        <f t="shared" si="121"/>
        <v>0.44934391574015908</v>
      </c>
      <c r="N878" s="10">
        <f t="shared" si="122"/>
        <v>4.2010164271828528E-2</v>
      </c>
      <c r="O878" s="10">
        <f t="shared" si="123"/>
        <v>6.0267460893317776E-2</v>
      </c>
      <c r="P878" s="10">
        <f t="shared" si="124"/>
        <v>0.12092145111333541</v>
      </c>
      <c r="Q878" s="66">
        <f t="shared" si="127"/>
        <v>2</v>
      </c>
      <c r="R878" s="10">
        <f t="shared" si="125"/>
        <v>6.3580367909319355E-3</v>
      </c>
      <c r="V878" s="10">
        <f t="shared" si="126"/>
        <v>2.8028071500160665E-3</v>
      </c>
    </row>
    <row r="879" spans="11:22">
      <c r="K879" s="66">
        <v>43.35</v>
      </c>
      <c r="L879" s="10">
        <f t="shared" si="120"/>
        <v>0.57084250494587363</v>
      </c>
      <c r="M879" s="10">
        <f t="shared" si="121"/>
        <v>0.44798947331867806</v>
      </c>
      <c r="N879" s="10">
        <f t="shared" si="122"/>
        <v>4.216198714501436E-2</v>
      </c>
      <c r="O879" s="10">
        <f t="shared" si="123"/>
        <v>6.0485422262446985E-2</v>
      </c>
      <c r="P879" s="10">
        <f t="shared" si="124"/>
        <v>0.12062682176224086</v>
      </c>
      <c r="Q879" s="66">
        <f t="shared" si="127"/>
        <v>4</v>
      </c>
      <c r="R879" s="10">
        <f t="shared" si="125"/>
        <v>1.2665897884610471E-2</v>
      </c>
      <c r="V879" s="10">
        <f t="shared" si="126"/>
        <v>5.6109849585057282E-3</v>
      </c>
    </row>
    <row r="880" spans="11:22">
      <c r="K880" s="66">
        <v>43.4</v>
      </c>
      <c r="L880" s="10">
        <f t="shared" si="120"/>
        <v>0.56963821114144975</v>
      </c>
      <c r="M880" s="10">
        <f t="shared" si="121"/>
        <v>0.4466342372597838</v>
      </c>
      <c r="N880" s="10">
        <f t="shared" si="122"/>
        <v>4.2314360008524093E-2</v>
      </c>
      <c r="O880" s="10">
        <f t="shared" si="123"/>
        <v>6.0704173213814397E-2</v>
      </c>
      <c r="P880" s="10">
        <f t="shared" si="124"/>
        <v>0.12033291028588011</v>
      </c>
      <c r="Q880" s="66">
        <f t="shared" si="127"/>
        <v>2</v>
      </c>
      <c r="R880" s="10">
        <f t="shared" si="125"/>
        <v>6.3078434076627738E-3</v>
      </c>
      <c r="V880" s="10">
        <f t="shared" si="126"/>
        <v>2.8081395091419676E-3</v>
      </c>
    </row>
    <row r="881" spans="11:22">
      <c r="K881" s="66">
        <v>43.45</v>
      </c>
      <c r="L881" s="10">
        <f t="shared" si="120"/>
        <v>0.56843211947158867</v>
      </c>
      <c r="M881" s="10">
        <f t="shared" si="121"/>
        <v>0.44527822190079869</v>
      </c>
      <c r="N881" s="10">
        <f t="shared" si="122"/>
        <v>4.2467284854741015E-2</v>
      </c>
      <c r="O881" s="10">
        <f t="shared" si="123"/>
        <v>6.092371660774374E-2</v>
      </c>
      <c r="P881" s="10">
        <f t="shared" si="124"/>
        <v>0.12003971493512619</v>
      </c>
      <c r="Q881" s="66">
        <f t="shared" si="127"/>
        <v>4</v>
      </c>
      <c r="R881" s="10">
        <f t="shared" si="125"/>
        <v>1.2565441523779865E-2</v>
      </c>
      <c r="V881" s="10">
        <f t="shared" si="126"/>
        <v>5.6214959951951813E-3</v>
      </c>
    </row>
    <row r="882" spans="11:22">
      <c r="K882" s="66">
        <v>43.5</v>
      </c>
      <c r="L882" s="10">
        <f t="shared" si="120"/>
        <v>0.56722423645093401</v>
      </c>
      <c r="M882" s="10">
        <f t="shared" si="121"/>
        <v>0.44392144165817193</v>
      </c>
      <c r="N882" s="10">
        <f t="shared" si="122"/>
        <v>4.2620763683265998E-2</v>
      </c>
      <c r="O882" s="10">
        <f t="shared" si="123"/>
        <v>6.1144055314920648E-2</v>
      </c>
      <c r="P882" s="10">
        <f t="shared" si="124"/>
        <v>0.119747233965114</v>
      </c>
      <c r="Q882" s="66">
        <f t="shared" si="127"/>
        <v>2</v>
      </c>
      <c r="R882" s="10">
        <f t="shared" si="125"/>
        <v>6.2575815820720684E-3</v>
      </c>
      <c r="V882" s="10">
        <f t="shared" si="126"/>
        <v>2.8133177031672775E-3</v>
      </c>
    </row>
    <row r="883" spans="11:22">
      <c r="K883" s="66">
        <v>43.55</v>
      </c>
      <c r="L883" s="10">
        <f t="shared" si="120"/>
        <v>0.56601456866474953</v>
      </c>
      <c r="M883" s="10">
        <f t="shared" si="121"/>
        <v>0.44256391102733644</v>
      </c>
      <c r="N883" s="10">
        <f t="shared" si="122"/>
        <v>4.277479850094356E-2</v>
      </c>
      <c r="O883" s="10">
        <f t="shared" si="123"/>
        <v>6.1365192216430144E-2</v>
      </c>
      <c r="P883" s="10">
        <f t="shared" si="124"/>
        <v>0.11945546563522984</v>
      </c>
      <c r="Q883" s="66">
        <f t="shared" si="127"/>
        <v>4</v>
      </c>
      <c r="R883" s="10">
        <f t="shared" si="125"/>
        <v>1.2464852894937015E-2</v>
      </c>
      <c r="V883" s="10">
        <f t="shared" si="126"/>
        <v>5.6316967701089266E-3</v>
      </c>
    </row>
    <row r="884" spans="11:22">
      <c r="K884" s="66">
        <v>43.6</v>
      </c>
      <c r="L884" s="10">
        <f t="shared" si="120"/>
        <v>0.56480312276914313</v>
      </c>
      <c r="M884" s="10">
        <f t="shared" si="121"/>
        <v>0.44120564458256084</v>
      </c>
      <c r="N884" s="10">
        <f t="shared" si="122"/>
        <v>4.2929391321888312E-2</v>
      </c>
      <c r="O884" s="10">
        <f t="shared" si="123"/>
        <v>6.1587130203794076E-2</v>
      </c>
      <c r="P884" s="10">
        <f t="shared" si="124"/>
        <v>0.11916440820910104</v>
      </c>
      <c r="Q884" s="66">
        <f t="shared" si="127"/>
        <v>2</v>
      </c>
      <c r="R884" s="10">
        <f t="shared" si="125"/>
        <v>6.2072559394862302E-3</v>
      </c>
      <c r="V884" s="10">
        <f t="shared" si="126"/>
        <v>2.8183398031411556E-3</v>
      </c>
    </row>
    <row r="885" spans="11:22">
      <c r="K885" s="66">
        <v>43.65</v>
      </c>
      <c r="L885" s="10">
        <f t="shared" si="120"/>
        <v>0.56358990549128929</v>
      </c>
      <c r="M885" s="10">
        <f t="shared" si="121"/>
        <v>0.43984665697679542</v>
      </c>
      <c r="N885" s="10">
        <f t="shared" si="122"/>
        <v>4.308454416751107E-2</v>
      </c>
      <c r="O885" s="10">
        <f t="shared" si="123"/>
        <v>6.1809872179009115E-2</v>
      </c>
      <c r="P885" s="10">
        <f t="shared" si="124"/>
        <v>0.11887405995458575</v>
      </c>
      <c r="Q885" s="66">
        <f t="shared" si="127"/>
        <v>4</v>
      </c>
      <c r="R885" s="10">
        <f t="shared" si="125"/>
        <v>1.2364141283306394E-2</v>
      </c>
      <c r="V885" s="10">
        <f t="shared" si="126"/>
        <v>5.6415834360215621E-3</v>
      </c>
    </row>
    <row r="886" spans="11:22">
      <c r="K886" s="66">
        <v>43.7</v>
      </c>
      <c r="L886" s="10">
        <f t="shared" si="120"/>
        <v>0.56237492362964947</v>
      </c>
      <c r="M886" s="10">
        <f t="shared" si="121"/>
        <v>0.43848696294151174</v>
      </c>
      <c r="N886" s="10">
        <f t="shared" si="122"/>
        <v>4.3240259066545279E-2</v>
      </c>
      <c r="O886" s="10">
        <f t="shared" si="123"/>
        <v>6.2033421054584467E-2</v>
      </c>
      <c r="P886" s="10">
        <f t="shared" si="124"/>
        <v>0.11858441914376247</v>
      </c>
      <c r="Q886" s="66">
        <f t="shared" si="127"/>
        <v>2</v>
      </c>
      <c r="R886" s="10">
        <f t="shared" si="125"/>
        <v>6.1568711395912946E-3</v>
      </c>
      <c r="V886" s="10">
        <f t="shared" si="126"/>
        <v>2.82320389097114E-3</v>
      </c>
    </row>
    <row r="887" spans="11:22">
      <c r="K887" s="66">
        <v>43.75</v>
      </c>
      <c r="L887" s="10">
        <f t="shared" si="120"/>
        <v>0.56115818405418982</v>
      </c>
      <c r="M887" s="10">
        <f t="shared" si="121"/>
        <v>0.43712657728653675</v>
      </c>
      <c r="N887" s="10">
        <f t="shared" si="122"/>
        <v>4.3396538055073729E-2</v>
      </c>
      <c r="O887" s="10">
        <f t="shared" si="123"/>
        <v>6.225777975358044E-2</v>
      </c>
      <c r="P887" s="10">
        <f t="shared" si="124"/>
        <v>0.11829548405291988</v>
      </c>
      <c r="Q887" s="66">
        <f t="shared" si="127"/>
        <v>4</v>
      </c>
      <c r="R887" s="10">
        <f t="shared" si="125"/>
        <v>1.226331604197795E-2</v>
      </c>
      <c r="V887" s="10">
        <f t="shared" si="126"/>
        <v>5.6511521681550918E-3</v>
      </c>
    </row>
    <row r="888" spans="11:22">
      <c r="K888" s="66">
        <v>43.8</v>
      </c>
      <c r="L888" s="10">
        <f t="shared" si="120"/>
        <v>0.55993969370659824</v>
      </c>
      <c r="M888" s="10">
        <f t="shared" si="121"/>
        <v>0.43576551489988047</v>
      </c>
      <c r="N888" s="10">
        <f t="shared" si="122"/>
        <v>4.3553383176555154E-2</v>
      </c>
      <c r="O888" s="10">
        <f t="shared" si="123"/>
        <v>6.2482951209646163E-2</v>
      </c>
      <c r="P888" s="10">
        <f t="shared" si="124"/>
        <v>0.11800725296254651</v>
      </c>
      <c r="Q888" s="66">
        <f t="shared" si="127"/>
        <v>2</v>
      </c>
      <c r="R888" s="10">
        <f t="shared" si="125"/>
        <v>6.1064318755734825E-3</v>
      </c>
      <c r="V888" s="10">
        <f t="shared" si="126"/>
        <v>2.8279080601560395E-3</v>
      </c>
    </row>
    <row r="889" spans="11:22">
      <c r="K889" s="66">
        <v>43.85</v>
      </c>
      <c r="L889" s="10">
        <f t="shared" si="120"/>
        <v>0.55871945960049851</v>
      </c>
      <c r="M889" s="10">
        <f t="shared" si="121"/>
        <v>0.43440379074755753</v>
      </c>
      <c r="N889" s="10">
        <f t="shared" si="122"/>
        <v>4.3710796481850743E-2</v>
      </c>
      <c r="O889" s="10">
        <f t="shared" si="123"/>
        <v>6.2708938367058098E-2</v>
      </c>
      <c r="P889" s="10">
        <f t="shared" si="124"/>
        <v>0.11771972415732056</v>
      </c>
      <c r="Q889" s="66">
        <f t="shared" si="127"/>
        <v>4</v>
      </c>
      <c r="R889" s="10">
        <f t="shared" si="125"/>
        <v>1.2162386590165468E-2</v>
      </c>
      <c r="V889" s="10">
        <f t="shared" si="126"/>
        <v>5.6603991656535525E-3</v>
      </c>
    </row>
    <row r="890" spans="11:22">
      <c r="K890" s="66">
        <v>43.9</v>
      </c>
      <c r="L890" s="10">
        <f t="shared" si="120"/>
        <v>0.55749748882166361</v>
      </c>
      <c r="M890" s="10">
        <f t="shared" si="121"/>
        <v>0.43304141987340289</v>
      </c>
      <c r="N890" s="10">
        <f t="shared" si="122"/>
        <v>4.3868780029251153E-2</v>
      </c>
      <c r="O890" s="10">
        <f t="shared" si="123"/>
        <v>6.2935744180758854E-2</v>
      </c>
      <c r="P890" s="10">
        <f t="shared" si="124"/>
        <v>0.11743289592609969</v>
      </c>
      <c r="Q890" s="66">
        <f t="shared" si="127"/>
        <v>2</v>
      </c>
      <c r="R890" s="10">
        <f t="shared" si="125"/>
        <v>6.0559428732368881E-3</v>
      </c>
      <c r="V890" s="10">
        <f t="shared" si="126"/>
        <v>2.8324504165275427E-3</v>
      </c>
    </row>
    <row r="891" spans="11:22">
      <c r="K891" s="66">
        <v>43.95</v>
      </c>
      <c r="L891" s="10">
        <f t="shared" si="120"/>
        <v>0.55627378852822562</v>
      </c>
      <c r="M891" s="10">
        <f t="shared" si="121"/>
        <v>0.43167841739888207</v>
      </c>
      <c r="N891" s="10">
        <f t="shared" si="122"/>
        <v>4.4027335884503346E-2</v>
      </c>
      <c r="O891" s="10">
        <f t="shared" si="123"/>
        <v>6.3163371616395167E-2</v>
      </c>
      <c r="P891" s="10">
        <f t="shared" si="124"/>
        <v>0.11714676656191077</v>
      </c>
      <c r="Q891" s="66">
        <f t="shared" si="127"/>
        <v>4</v>
      </c>
      <c r="R891" s="10">
        <f t="shared" si="125"/>
        <v>1.2061362411418981E-2</v>
      </c>
      <c r="V891" s="10">
        <f t="shared" si="126"/>
        <v>5.6693206530747517E-3</v>
      </c>
    </row>
    <row r="892" spans="11:22">
      <c r="K892" s="66">
        <v>44</v>
      </c>
      <c r="L892" s="10">
        <f t="shared" si="120"/>
        <v>0.55504836595088436</v>
      </c>
      <c r="M892" s="10">
        <f t="shared" si="121"/>
        <v>0.43031479852289323</v>
      </c>
      <c r="N892" s="10">
        <f t="shared" si="122"/>
        <v>4.4186466120837674E-2</v>
      </c>
      <c r="O892" s="10">
        <f t="shared" si="123"/>
        <v>6.3391823650357365E-2</v>
      </c>
      <c r="P892" s="10">
        <f t="shared" si="124"/>
        <v>0.11686133436193999</v>
      </c>
      <c r="Q892" s="66">
        <f t="shared" si="127"/>
        <v>2</v>
      </c>
      <c r="R892" s="10">
        <f t="shared" si="125"/>
        <v>6.0054088900983278E-3</v>
      </c>
      <c r="V892" s="10">
        <f t="shared" si="126"/>
        <v>2.83682907900036E-3</v>
      </c>
    </row>
    <row r="893" spans="11:22">
      <c r="K893" s="66">
        <v>44.05</v>
      </c>
      <c r="L893" s="10">
        <f t="shared" si="120"/>
        <v>0.55382122839311521</v>
      </c>
      <c r="M893" s="10">
        <f t="shared" si="121"/>
        <v>0.42895057852156587</v>
      </c>
      <c r="N893" s="10">
        <f t="shared" si="122"/>
        <v>4.4346172818994695E-2</v>
      </c>
      <c r="O893" s="10">
        <f t="shared" si="123"/>
        <v>6.362110326981768E-2</v>
      </c>
      <c r="P893" s="10">
        <f t="shared" si="124"/>
        <v>0.11657659762752179</v>
      </c>
      <c r="Q893" s="66">
        <f t="shared" si="127"/>
        <v>4</v>
      </c>
      <c r="R893" s="10">
        <f t="shared" si="125"/>
        <v>1.196025305179169E-2</v>
      </c>
      <c r="V893" s="10">
        <f t="shared" si="126"/>
        <v>5.6779128818989456E-3</v>
      </c>
    </row>
    <row r="894" spans="11:22">
      <c r="K894" s="66">
        <v>44.1</v>
      </c>
      <c r="L894" s="10">
        <f t="shared" si="120"/>
        <v>0.55259238323137105</v>
      </c>
      <c r="M894" s="10">
        <f t="shared" si="121"/>
        <v>0.42758577274804882</v>
      </c>
      <c r="N894" s="10">
        <f t="shared" si="122"/>
        <v>4.4506458067253014E-2</v>
      </c>
      <c r="O894" s="10">
        <f t="shared" si="123"/>
        <v>6.3851213472770063E-2</v>
      </c>
      <c r="P894" s="10">
        <f t="shared" si="124"/>
        <v>0.11629255466413048</v>
      </c>
      <c r="Q894" s="66">
        <f t="shared" si="127"/>
        <v>2</v>
      </c>
      <c r="R894" s="10">
        <f t="shared" si="125"/>
        <v>5.954834714459345E-3</v>
      </c>
      <c r="V894" s="10">
        <f t="shared" si="126"/>
        <v>2.8410421803306812E-3</v>
      </c>
    </row>
    <row r="895" spans="11:22">
      <c r="K895" s="66">
        <v>44.15</v>
      </c>
      <c r="L895" s="10">
        <f t="shared" si="120"/>
        <v>0.5513618379152867</v>
      </c>
      <c r="M895" s="10">
        <f t="shared" si="121"/>
        <v>0.42622039663229766</v>
      </c>
      <c r="N895" s="10">
        <f t="shared" si="122"/>
        <v>4.4667323961455917E-2</v>
      </c>
      <c r="O895" s="10">
        <f t="shared" si="123"/>
        <v>6.4082157268068624E-2</v>
      </c>
      <c r="P895" s="10">
        <f t="shared" si="124"/>
        <v>0.11600920378136854</v>
      </c>
      <c r="Q895" s="66">
        <f t="shared" si="127"/>
        <v>4</v>
      </c>
      <c r="R895" s="10">
        <f t="shared" si="125"/>
        <v>1.185906811796133E-2</v>
      </c>
      <c r="V895" s="10">
        <f t="shared" si="126"/>
        <v>5.6861721320540324E-3</v>
      </c>
    </row>
    <row r="896" spans="11:22">
      <c r="K896" s="66">
        <v>44.2</v>
      </c>
      <c r="L896" s="10">
        <f t="shared" si="120"/>
        <v>0.55012959996787858</v>
      </c>
      <c r="M896" s="10">
        <f t="shared" si="121"/>
        <v>0.42485446568085133</v>
      </c>
      <c r="N896" s="10">
        <f t="shared" si="122"/>
        <v>4.4828772605039036E-2</v>
      </c>
      <c r="O896" s="10">
        <f t="shared" si="123"/>
        <v>6.4313937675467156E-2</v>
      </c>
      <c r="P896" s="10">
        <f t="shared" si="124"/>
        <v>0.11572654329295723</v>
      </c>
      <c r="Q896" s="66">
        <f t="shared" si="127"/>
        <v>2</v>
      </c>
      <c r="R896" s="10">
        <f t="shared" si="125"/>
        <v>5.9042251644555975E-3</v>
      </c>
      <c r="V896" s="10">
        <f t="shared" si="126"/>
        <v>2.8450878678828585E-3</v>
      </c>
    </row>
    <row r="897" spans="11:22">
      <c r="K897" s="66">
        <v>44.25</v>
      </c>
      <c r="L897" s="10">
        <f t="shared" si="120"/>
        <v>0.54889567698574204</v>
      </c>
      <c r="M897" s="10">
        <f t="shared" si="121"/>
        <v>0.42348799547660421</v>
      </c>
      <c r="N897" s="10">
        <f t="shared" si="122"/>
        <v>4.499080610905791E-2</v>
      </c>
      <c r="O897" s="10">
        <f t="shared" si="123"/>
        <v>6.4546557725659107E-2</v>
      </c>
      <c r="P897" s="10">
        <f t="shared" si="124"/>
        <v>0.11544457151672656</v>
      </c>
      <c r="Q897" s="66">
        <f t="shared" si="127"/>
        <v>4</v>
      </c>
      <c r="R897" s="10">
        <f t="shared" si="125"/>
        <v>1.1757817275305973E-2</v>
      </c>
      <c r="V897" s="10">
        <f t="shared" si="126"/>
        <v>5.6940947134567037E-3</v>
      </c>
    </row>
    <row r="898" spans="11:22">
      <c r="K898" s="66">
        <v>44.3</v>
      </c>
      <c r="L898" s="10">
        <f t="shared" si="120"/>
        <v>0.54766007663924732</v>
      </c>
      <c r="M898" s="10">
        <f t="shared" si="121"/>
        <v>0.42212100167857031</v>
      </c>
      <c r="N898" s="10">
        <f t="shared" si="122"/>
        <v>4.5153426592215669E-2</v>
      </c>
      <c r="O898" s="10">
        <f t="shared" si="123"/>
        <v>6.4780020460316612E-2</v>
      </c>
      <c r="P898" s="10">
        <f t="shared" si="124"/>
        <v>0.11516328677460515</v>
      </c>
      <c r="Q898" s="66">
        <f t="shared" si="127"/>
        <v>2</v>
      </c>
      <c r="R898" s="10">
        <f t="shared" si="125"/>
        <v>5.8535850870833628E-3</v>
      </c>
      <c r="V898" s="10">
        <f t="shared" si="126"/>
        <v>2.8489643044038735E-3</v>
      </c>
    </row>
    <row r="899" spans="11:22">
      <c r="K899" s="66">
        <v>44.35</v>
      </c>
      <c r="L899" s="10">
        <f t="shared" si="120"/>
        <v>0.5464228066727338</v>
      </c>
      <c r="M899" s="10">
        <f t="shared" si="121"/>
        <v>0.42075350002164391</v>
      </c>
      <c r="N899" s="10">
        <f t="shared" si="122"/>
        <v>4.5316636180890442E-2</v>
      </c>
      <c r="O899" s="10">
        <f t="shared" si="123"/>
        <v>6.5014328932130508E-2</v>
      </c>
      <c r="P899" s="10">
        <f t="shared" si="124"/>
        <v>0.11488268739261033</v>
      </c>
      <c r="Q899" s="66">
        <f t="shared" si="127"/>
        <v>4</v>
      </c>
      <c r="R899" s="10">
        <f t="shared" si="125"/>
        <v>1.1656510245934689E-2</v>
      </c>
      <c r="V899" s="10">
        <f t="shared" si="126"/>
        <v>5.7016769675693434E-3</v>
      </c>
    </row>
    <row r="900" spans="11:22">
      <c r="K900" s="66">
        <v>44.4</v>
      </c>
      <c r="L900" s="10">
        <f t="shared" si="120"/>
        <v>0.54518387490469933</v>
      </c>
      <c r="M900" s="10">
        <f t="shared" si="121"/>
        <v>0.41938550631635008</v>
      </c>
      <c r="N900" s="10">
        <f t="shared" si="122"/>
        <v>4.5480437009163398E-2</v>
      </c>
      <c r="O900" s="10">
        <f t="shared" si="123"/>
        <v>6.5249486204850479E-2</v>
      </c>
      <c r="P900" s="10">
        <f t="shared" si="124"/>
        <v>0.11460277170083819</v>
      </c>
      <c r="Q900" s="66">
        <f t="shared" si="127"/>
        <v>2</v>
      </c>
      <c r="R900" s="10">
        <f t="shared" si="125"/>
        <v>5.8029193572035976E-3</v>
      </c>
      <c r="V900" s="10">
        <f t="shared" si="126"/>
        <v>2.8526696688056141E-3</v>
      </c>
    </row>
    <row r="901" spans="11:22">
      <c r="K901" s="66">
        <v>44.45</v>
      </c>
      <c r="L901" s="10">
        <f t="shared" si="120"/>
        <v>0.54394328922799129</v>
      </c>
      <c r="M901" s="10">
        <f t="shared" si="121"/>
        <v>0.41801703644859123</v>
      </c>
      <c r="N901" s="10">
        <f t="shared" si="122"/>
        <v>4.5644831218846597E-2</v>
      </c>
      <c r="O901" s="10">
        <f t="shared" si="123"/>
        <v>6.5485495353324513E-2</v>
      </c>
      <c r="P901" s="10">
        <f t="shared" si="124"/>
        <v>0.11432353803345349</v>
      </c>
      <c r="Q901" s="66">
        <f t="shared" si="127"/>
        <v>4</v>
      </c>
      <c r="R901" s="10">
        <f t="shared" si="125"/>
        <v>1.1555156806672981E-2</v>
      </c>
      <c r="V901" s="10">
        <f t="shared" si="126"/>
        <v>5.7089152689720028E-3</v>
      </c>
    </row>
    <row r="902" spans="11:22">
      <c r="K902" s="66">
        <v>44.5</v>
      </c>
      <c r="L902" s="10">
        <f t="shared" si="120"/>
        <v>0.54270105760999066</v>
      </c>
      <c r="M902" s="10">
        <f t="shared" si="121"/>
        <v>0.41664810637938604</v>
      </c>
      <c r="N902" s="10">
        <f t="shared" si="122"/>
        <v>4.5809820959510951E-2</v>
      </c>
      <c r="O902" s="10">
        <f t="shared" si="123"/>
        <v>6.5722359463539701E-2</v>
      </c>
      <c r="P902" s="10">
        <f t="shared" si="124"/>
        <v>0.11404498472867998</v>
      </c>
      <c r="Q902" s="66">
        <f t="shared" si="127"/>
        <v>2</v>
      </c>
      <c r="R902" s="10">
        <f t="shared" si="125"/>
        <v>5.7522328765233915E-3</v>
      </c>
      <c r="V902" s="10">
        <f t="shared" si="126"/>
        <v>2.8562021569545665E-3</v>
      </c>
    </row>
    <row r="903" spans="11:22">
      <c r="K903" s="66">
        <v>44.55</v>
      </c>
      <c r="L903" s="10">
        <f t="shared" si="120"/>
        <v>0.54145718809279753</v>
      </c>
      <c r="M903" s="10">
        <f t="shared" si="121"/>
        <v>0.41527873214460104</v>
      </c>
      <c r="N903" s="10">
        <f t="shared" si="122"/>
        <v>4.5975408388514334E-2</v>
      </c>
      <c r="O903" s="10">
        <f t="shared" si="123"/>
        <v>6.5960081632662412E-2</v>
      </c>
      <c r="P903" s="10">
        <f t="shared" si="124"/>
        <v>0.1137671101287903</v>
      </c>
      <c r="Q903" s="66">
        <f t="shared" si="127"/>
        <v>4</v>
      </c>
      <c r="R903" s="10">
        <f t="shared" si="125"/>
        <v>1.1453766787003231E-2</v>
      </c>
      <c r="V903" s="10">
        <f t="shared" si="126"/>
        <v>5.7158060269490475E-3</v>
      </c>
    </row>
    <row r="904" spans="11:22">
      <c r="K904" s="66">
        <v>44.6</v>
      </c>
      <c r="L904" s="10">
        <f t="shared" si="120"/>
        <v>0.5402116887934123</v>
      </c>
      <c r="M904" s="10">
        <f t="shared" si="121"/>
        <v>0.41390892985467742</v>
      </c>
      <c r="N904" s="10">
        <f t="shared" si="122"/>
        <v>4.614159567102994E-2</v>
      </c>
      <c r="O904" s="10">
        <f t="shared" si="123"/>
        <v>6.6198664969078627E-2</v>
      </c>
      <c r="P904" s="10">
        <f t="shared" si="124"/>
        <v>0.11348991258009621</v>
      </c>
      <c r="Q904" s="66">
        <f t="shared" si="127"/>
        <v>2</v>
      </c>
      <c r="R904" s="10">
        <f t="shared" si="125"/>
        <v>5.7015305725550249E-3</v>
      </c>
      <c r="V904" s="10">
        <f t="shared" si="126"/>
        <v>2.8595599824687407E-3</v>
      </c>
    </row>
    <row r="905" spans="11:22">
      <c r="K905" s="66">
        <v>44.65</v>
      </c>
      <c r="L905" s="10">
        <f t="shared" si="120"/>
        <v>0.53896456790391456</v>
      </c>
      <c r="M905" s="10">
        <f t="shared" si="121"/>
        <v>0.41253871569434997</v>
      </c>
      <c r="N905" s="10">
        <f t="shared" si="122"/>
        <v>4.6308384980074391E-2</v>
      </c>
      <c r="O905" s="10">
        <f t="shared" si="123"/>
        <v>6.6438112592434734E-2</v>
      </c>
      <c r="P905" s="10">
        <f t="shared" si="124"/>
        <v>0.11321339043293881</v>
      </c>
      <c r="Q905" s="66">
        <f t="shared" si="127"/>
        <v>4</v>
      </c>
      <c r="R905" s="10">
        <f t="shared" si="125"/>
        <v>1.1352350066960584E-2</v>
      </c>
      <c r="V905" s="10">
        <f t="shared" si="126"/>
        <v>5.7223456870900673E-3</v>
      </c>
    </row>
    <row r="906" spans="11:22">
      <c r="K906" s="66">
        <v>44.7</v>
      </c>
      <c r="L906" s="10">
        <f t="shared" si="120"/>
        <v>0.53771583369163922</v>
      </c>
      <c r="M906" s="10">
        <f t="shared" si="121"/>
        <v>0.41116810592235836</v>
      </c>
      <c r="N906" s="10">
        <f t="shared" si="122"/>
        <v>4.6475778496536134E-2</v>
      </c>
      <c r="O906" s="10">
        <f t="shared" si="123"/>
        <v>6.6678427633678303E-2</v>
      </c>
      <c r="P906" s="10">
        <f t="shared" si="124"/>
        <v>0.11293754204167854</v>
      </c>
      <c r="Q906" s="66">
        <f t="shared" si="127"/>
        <v>2</v>
      </c>
      <c r="R906" s="10">
        <f t="shared" si="125"/>
        <v>5.6508173975527787E-3</v>
      </c>
      <c r="V906" s="10">
        <f t="shared" si="126"/>
        <v>2.8627413775215377E-3</v>
      </c>
    </row>
    <row r="907" spans="11:22">
      <c r="K907" s="66">
        <v>44.75</v>
      </c>
      <c r="L907" s="10">
        <f t="shared" si="120"/>
        <v>0.53646549449935177</v>
      </c>
      <c r="M907" s="10">
        <f t="shared" si="121"/>
        <v>0.40979711687115344</v>
      </c>
      <c r="N907" s="10">
        <f t="shared" si="122"/>
        <v>4.6643778409204258E-2</v>
      </c>
      <c r="O907" s="10">
        <f t="shared" si="123"/>
        <v>6.6919613235098985E-2</v>
      </c>
      <c r="P907" s="10">
        <f t="shared" si="124"/>
        <v>0.11266236576468559</v>
      </c>
      <c r="Q907" s="66">
        <f t="shared" si="127"/>
        <v>4</v>
      </c>
      <c r="R907" s="10">
        <f t="shared" si="125"/>
        <v>1.1250916574984296E-2</v>
      </c>
      <c r="V907" s="10">
        <f t="shared" si="126"/>
        <v>5.7285307329043812E-3</v>
      </c>
    </row>
    <row r="908" spans="11:22">
      <c r="K908" s="66">
        <v>44.8</v>
      </c>
      <c r="L908" s="10">
        <f t="shared" ref="L908:L971" si="128">(B$7^K908)*B$8^((B$5^25)*((B$5^K908)-1))</f>
        <v>0.53521355874541721</v>
      </c>
      <c r="M908" s="10">
        <f t="shared" ref="M908:M971" si="129">(B$7^K908)*B$8^((B$5^30)*((B$5^K908)-1))</f>
        <v>0.40842576494659522</v>
      </c>
      <c r="N908" s="10">
        <f t="shared" si="122"/>
        <v>4.6812386914796791E-2</v>
      </c>
      <c r="O908" s="10">
        <f t="shared" si="123"/>
        <v>6.7161672550369561E-2</v>
      </c>
      <c r="P908" s="10">
        <f t="shared" si="124"/>
        <v>0.11238785996433004</v>
      </c>
      <c r="Q908" s="66">
        <f t="shared" si="127"/>
        <v>2</v>
      </c>
      <c r="R908" s="10">
        <f t="shared" si="125"/>
        <v>5.6000983274275325E-3</v>
      </c>
      <c r="V908" s="10">
        <f t="shared" si="126"/>
        <v>2.865744593652323E-3</v>
      </c>
    </row>
    <row r="909" spans="11:22">
      <c r="K909" s="66">
        <v>44.85</v>
      </c>
      <c r="L909" s="10">
        <f t="shared" si="128"/>
        <v>0.53396003492397159</v>
      </c>
      <c r="M909" s="10">
        <f t="shared" si="129"/>
        <v>0.40705406662764504</v>
      </c>
      <c r="N909" s="10">
        <f t="shared" ref="N909:N972" si="130">B$3+B$4*(B$5^(25+K909))</f>
        <v>4.6981606217989511E-2</v>
      </c>
      <c r="O909" s="10">
        <f t="shared" ref="O909:O972" si="131">$B$3+$B$4*($B$5^(30+K909))</f>
        <v>6.7404608744587466E-2</v>
      </c>
      <c r="P909" s="10">
        <f t="shared" ref="P909:P972" si="132">(1+B$6)^-K909</f>
        <v>0.11211402300697196</v>
      </c>
      <c r="Q909" s="66">
        <f t="shared" si="127"/>
        <v>4</v>
      </c>
      <c r="R909" s="10">
        <f t="shared" ref="R909:R972" si="133">L909*M909*(N909+O909)*P909*Q909</f>
        <v>1.1149476285724927E-2</v>
      </c>
      <c r="V909" s="10">
        <f t="shared" si="126"/>
        <v>5.7343576874486534E-3</v>
      </c>
    </row>
    <row r="910" spans="11:22">
      <c r="K910" s="66">
        <v>44.9</v>
      </c>
      <c r="L910" s="10">
        <f t="shared" si="128"/>
        <v>0.5327049316050857</v>
      </c>
      <c r="M910" s="10">
        <f t="shared" si="129"/>
        <v>0.40568203846605022</v>
      </c>
      <c r="N910" s="10">
        <f t="shared" si="130"/>
        <v>4.7151438531444989E-2</v>
      </c>
      <c r="O910" s="10">
        <f t="shared" si="131"/>
        <v>6.7648424994315767E-2</v>
      </c>
      <c r="P910" s="10">
        <f t="shared" si="132"/>
        <v>0.11184085326295207</v>
      </c>
      <c r="Q910" s="66">
        <f t="shared" si="127"/>
        <v>2</v>
      </c>
      <c r="R910" s="10">
        <f t="shared" si="133"/>
        <v>5.5493783606393957E-3</v>
      </c>
      <c r="V910" s="10">
        <f t="shared" ref="V910:V973" si="134">(1-L910)*M910*O910*P910*Q910</f>
        <v>2.868567902583434E-3</v>
      </c>
    </row>
    <row r="911" spans="11:22">
      <c r="K911" s="66">
        <v>44.95</v>
      </c>
      <c r="L911" s="10">
        <f t="shared" si="128"/>
        <v>0.53144825743493007</v>
      </c>
      <c r="M911" s="10">
        <f t="shared" si="129"/>
        <v>0.4043096970860221</v>
      </c>
      <c r="N911" s="10">
        <f t="shared" si="130"/>
        <v>4.7321886075841105E-2</v>
      </c>
      <c r="O911" s="10">
        <f t="shared" si="131"/>
        <v>6.7893124487624801E-2</v>
      </c>
      <c r="P911" s="10">
        <f t="shared" si="132"/>
        <v>0.11156834910658167</v>
      </c>
      <c r="Q911" s="66">
        <f t="shared" ref="Q911:Q974" si="135">IF(Q910=4,2,4)</f>
        <v>4</v>
      </c>
      <c r="R911" s="10">
        <f t="shared" si="133"/>
        <v>1.1048039217807802E-2</v>
      </c>
      <c r="V911" s="10">
        <f t="shared" si="134"/>
        <v>5.7398231149671216E-3</v>
      </c>
    </row>
    <row r="912" spans="11:22">
      <c r="K912" s="66">
        <v>45</v>
      </c>
      <c r="L912" s="10">
        <f t="shared" si="128"/>
        <v>0.53019002113593383</v>
      </c>
      <c r="M912" s="10">
        <f t="shared" si="129"/>
        <v>0.40293705918390604</v>
      </c>
      <c r="N912" s="10">
        <f t="shared" si="130"/>
        <v>4.7492951079900494E-2</v>
      </c>
      <c r="O912" s="10">
        <f t="shared" si="131"/>
        <v>6.8138710424134177E-2</v>
      </c>
      <c r="P912" s="10">
        <f t="shared" si="132"/>
        <v>0.1112965089161333</v>
      </c>
      <c r="Q912" s="66">
        <f t="shared" si="135"/>
        <v>2</v>
      </c>
      <c r="R912" s="10">
        <f t="shared" si="133"/>
        <v>5.4986625170685508E-3</v>
      </c>
      <c r="V912" s="10">
        <f t="shared" si="134"/>
        <v>2.8712095970432868E-3</v>
      </c>
    </row>
    <row r="913" spans="11:22">
      <c r="K913" s="66">
        <v>45.05</v>
      </c>
      <c r="L913" s="10">
        <f t="shared" si="128"/>
        <v>0.52893023150694485</v>
      </c>
      <c r="M913" s="10">
        <f t="shared" si="129"/>
        <v>0.40156414152784747</v>
      </c>
      <c r="N913" s="10">
        <f t="shared" si="130"/>
        <v>4.7664635780419295E-2</v>
      </c>
      <c r="O913" s="10">
        <f t="shared" si="131"/>
        <v>6.8385186015054014E-2</v>
      </c>
      <c r="P913" s="10">
        <f t="shared" si="132"/>
        <v>0.11102533107383029</v>
      </c>
      <c r="Q913" s="66">
        <f t="shared" si="135"/>
        <v>4</v>
      </c>
      <c r="R913" s="10">
        <f t="shared" si="133"/>
        <v>1.0946615431552859E-2</v>
      </c>
      <c r="V913" s="10">
        <f t="shared" si="134"/>
        <v>5.7449236225436901E-3</v>
      </c>
    </row>
    <row r="914" spans="11:22">
      <c r="K914" s="66">
        <v>45.1</v>
      </c>
      <c r="L914" s="10">
        <f t="shared" si="128"/>
        <v>0.5276688974233813</v>
      </c>
      <c r="M914" s="10">
        <f t="shared" si="129"/>
        <v>0.400190960957445</v>
      </c>
      <c r="N914" s="10">
        <f t="shared" si="130"/>
        <v>4.7836942422296982E-2</v>
      </c>
      <c r="O914" s="10">
        <f t="shared" si="131"/>
        <v>6.8632554483227817E-2</v>
      </c>
      <c r="P914" s="10">
        <f t="shared" si="132"/>
        <v>0.11075481396583854</v>
      </c>
      <c r="Q914" s="66">
        <f t="shared" si="135"/>
        <v>2</v>
      </c>
      <c r="R914" s="10">
        <f t="shared" si="133"/>
        <v>5.4479558368643721E-3</v>
      </c>
      <c r="V914" s="10">
        <f t="shared" si="134"/>
        <v>2.8736679915953118E-3</v>
      </c>
    </row>
    <row r="915" spans="11:22">
      <c r="K915" s="66">
        <v>45.15</v>
      </c>
      <c r="L915" s="10">
        <f t="shared" si="128"/>
        <v>0.5264060278373871</v>
      </c>
      <c r="M915" s="10">
        <f t="shared" si="129"/>
        <v>0.39881753438340362</v>
      </c>
      <c r="N915" s="10">
        <f t="shared" si="130"/>
        <v>4.8009873258565115E-2</v>
      </c>
      <c r="O915" s="10">
        <f t="shared" si="131"/>
        <v>6.8880819063173712E-2</v>
      </c>
      <c r="P915" s="10">
        <f t="shared" si="132"/>
        <v>0.11048495598225574</v>
      </c>
      <c r="Q915" s="66">
        <f t="shared" si="135"/>
        <v>4</v>
      </c>
      <c r="R915" s="10">
        <f t="shared" si="133"/>
        <v>1.0845215026651599E-2</v>
      </c>
      <c r="V915" s="10">
        <f t="shared" si="134"/>
        <v>5.7496558617654856E-3</v>
      </c>
    </row>
    <row r="916" spans="11:22">
      <c r="K916" s="66">
        <v>45.2</v>
      </c>
      <c r="L916" s="10">
        <f t="shared" si="128"/>
        <v>0.52514163177797857</v>
      </c>
      <c r="M916" s="10">
        <f t="shared" si="129"/>
        <v>0.39744387878717552</v>
      </c>
      <c r="N916" s="10">
        <f t="shared" si="130"/>
        <v>4.818343055041692E-2</v>
      </c>
      <c r="O916" s="10">
        <f t="shared" si="131"/>
        <v>6.9129983001127188E-2</v>
      </c>
      <c r="P916" s="10">
        <f t="shared" si="132"/>
        <v>0.11021575551710211</v>
      </c>
      <c r="Q916" s="66">
        <f t="shared" si="135"/>
        <v>2</v>
      </c>
      <c r="R916" s="10">
        <f t="shared" si="133"/>
        <v>5.3972633792732441E-3</v>
      </c>
      <c r="V916" s="10">
        <f t="shared" si="134"/>
        <v>2.8759414234724844E-3</v>
      </c>
    </row>
    <row r="917" spans="11:22">
      <c r="K917" s="66">
        <v>45.25</v>
      </c>
      <c r="L917" s="10">
        <f t="shared" si="128"/>
        <v>0.52387571835119284</v>
      </c>
      <c r="M917" s="10">
        <f t="shared" si="129"/>
        <v>0.39607001122059621</v>
      </c>
      <c r="N917" s="10">
        <f t="shared" si="130"/>
        <v>4.8357616567237256E-2</v>
      </c>
      <c r="O917" s="10">
        <f t="shared" si="131"/>
        <v>6.9380049555083548E-2</v>
      </c>
      <c r="P917" s="10">
        <f t="shared" si="132"/>
        <v>0.10994721096831099</v>
      </c>
      <c r="Q917" s="66">
        <f t="shared" si="135"/>
        <v>4</v>
      </c>
      <c r="R917" s="10">
        <f t="shared" si="133"/>
        <v>1.0743848139801244E-2</v>
      </c>
      <c r="V917" s="10">
        <f t="shared" si="134"/>
        <v>5.7540165303970516E-3</v>
      </c>
    </row>
    <row r="918" spans="11:22">
      <c r="K918" s="66">
        <v>45.3</v>
      </c>
      <c r="L918" s="10">
        <f t="shared" si="128"/>
        <v>0.52260829674022846</v>
      </c>
      <c r="M918" s="10">
        <f t="shared" si="129"/>
        <v>0.39469594880551184</v>
      </c>
      <c r="N918" s="10">
        <f t="shared" si="130"/>
        <v>4.853243358663184E-2</v>
      </c>
      <c r="O918" s="10">
        <f t="shared" si="131"/>
        <v>6.9631021994840295E-2</v>
      </c>
      <c r="P918" s="10">
        <f t="shared" si="132"/>
        <v>0.1096793207377192</v>
      </c>
      <c r="Q918" s="66">
        <f t="shared" si="135"/>
        <v>2</v>
      </c>
      <c r="R918" s="10">
        <f t="shared" si="133"/>
        <v>5.3465902214450342E-3</v>
      </c>
      <c r="V918" s="10">
        <f t="shared" si="134"/>
        <v>2.8780282534169263E-3</v>
      </c>
    </row>
    <row r="919" spans="11:22">
      <c r="K919" s="66">
        <v>45.35</v>
      </c>
      <c r="L919" s="10">
        <f t="shared" si="128"/>
        <v>0.52133937620558768</v>
      </c>
      <c r="M919" s="10">
        <f t="shared" si="129"/>
        <v>0.39332170873340094</v>
      </c>
      <c r="N919" s="10">
        <f t="shared" si="130"/>
        <v>4.8707883894457182E-2</v>
      </c>
      <c r="O919" s="10">
        <f t="shared" si="131"/>
        <v>6.9882903602040303E-2</v>
      </c>
      <c r="P919" s="10">
        <f t="shared" si="132"/>
        <v>0.10941208323105744</v>
      </c>
      <c r="Q919" s="66">
        <f t="shared" si="135"/>
        <v>4</v>
      </c>
      <c r="R919" s="10">
        <f t="shared" si="133"/>
        <v>1.0642524942296793E-2</v>
      </c>
      <c r="V919" s="10">
        <f t="shared" si="134"/>
        <v>5.7580023740646472E-3</v>
      </c>
    </row>
    <row r="920" spans="11:22">
      <c r="K920" s="66">
        <v>45.4</v>
      </c>
      <c r="L920" s="10">
        <f t="shared" si="128"/>
        <v>0.52006896608521302</v>
      </c>
      <c r="M920" s="10">
        <f t="shared" si="129"/>
        <v>0.39194730826498797</v>
      </c>
      <c r="N920" s="10">
        <f t="shared" si="130"/>
        <v>4.8883969784850656E-2</v>
      </c>
      <c r="O920" s="10">
        <f t="shared" si="131"/>
        <v>7.0135697670214256E-2</v>
      </c>
      <c r="P920" s="10">
        <f t="shared" si="132"/>
        <v>0.10914549685794117</v>
      </c>
      <c r="Q920" s="66">
        <f t="shared" si="135"/>
        <v>2</v>
      </c>
      <c r="R920" s="10">
        <f t="shared" si="133"/>
        <v>5.2959414572186642E-3</v>
      </c>
      <c r="V920" s="10">
        <f t="shared" si="134"/>
        <v>2.8799268665244946E-3</v>
      </c>
    </row>
    <row r="921" spans="11:22">
      <c r="K921" s="66">
        <v>45.45</v>
      </c>
      <c r="L921" s="10">
        <f t="shared" si="128"/>
        <v>0.51879707579462042</v>
      </c>
      <c r="M921" s="10">
        <f t="shared" si="129"/>
        <v>0.39057276472984914</v>
      </c>
      <c r="N921" s="10">
        <f t="shared" si="130"/>
        <v>4.9060693560260091E-2</v>
      </c>
      <c r="O921" s="10">
        <f t="shared" si="131"/>
        <v>7.0389407504823864E-2</v>
      </c>
      <c r="P921" s="10">
        <f t="shared" si="132"/>
        <v>0.10887956003186046</v>
      </c>
      <c r="Q921" s="66">
        <f t="shared" si="135"/>
        <v>4</v>
      </c>
      <c r="R921" s="10">
        <f t="shared" si="133"/>
        <v>1.0541255637581386E-2</v>
      </c>
      <c r="V921" s="10">
        <f t="shared" si="134"/>
        <v>5.7616101879499624E-3</v>
      </c>
    </row>
    <row r="922" spans="11:22">
      <c r="K922" s="66">
        <v>45.5</v>
      </c>
      <c r="L922" s="10">
        <f t="shared" si="128"/>
        <v>0.51752371482703197</v>
      </c>
      <c r="M922" s="10">
        <f t="shared" si="129"/>
        <v>0.38919809552601303</v>
      </c>
      <c r="N922" s="10">
        <f t="shared" si="130"/>
        <v>4.9238057531474269E-2</v>
      </c>
      <c r="O922" s="10">
        <f t="shared" si="131"/>
        <v>7.0644036423305176E-2</v>
      </c>
      <c r="P922" s="10">
        <f t="shared" si="132"/>
        <v>0.1086142711701714</v>
      </c>
      <c r="Q922" s="66">
        <f t="shared" si="135"/>
        <v>2</v>
      </c>
      <c r="R922" s="10">
        <f t="shared" si="133"/>
        <v>5.2453221958869501E-3</v>
      </c>
      <c r="V922" s="10">
        <f t="shared" si="134"/>
        <v>2.8816356730938068E-3</v>
      </c>
    </row>
    <row r="923" spans="11:22">
      <c r="K923" s="66">
        <v>45.55</v>
      </c>
      <c r="L923" s="10">
        <f t="shared" si="128"/>
        <v>0.51624889275350094</v>
      </c>
      <c r="M923" s="10">
        <f t="shared" si="129"/>
        <v>0.38782331811955001</v>
      </c>
      <c r="N923" s="10">
        <f t="shared" si="130"/>
        <v>4.9416064017652903E-2</v>
      </c>
      <c r="O923" s="10">
        <f t="shared" si="131"/>
        <v>7.0899587755112098E-2</v>
      </c>
      <c r="P923" s="10">
        <f t="shared" si="132"/>
        <v>0.10834962869408603</v>
      </c>
      <c r="Q923" s="66">
        <f t="shared" si="135"/>
        <v>4</v>
      </c>
      <c r="R923" s="10">
        <f t="shared" si="133"/>
        <v>1.0440050458755403E-2</v>
      </c>
      <c r="V923" s="10">
        <f t="shared" si="134"/>
        <v>5.7648368184924506E-3</v>
      </c>
    </row>
    <row r="924" spans="11:22">
      <c r="K924" s="66">
        <v>45.6</v>
      </c>
      <c r="L924" s="10">
        <f t="shared" si="128"/>
        <v>0.51497261922303905</v>
      </c>
      <c r="M924" s="10">
        <f t="shared" si="129"/>
        <v>0.38644845004415856</v>
      </c>
      <c r="N924" s="10">
        <f t="shared" si="130"/>
        <v>4.9594715346357184E-2</v>
      </c>
      <c r="O924" s="10">
        <f t="shared" si="131"/>
        <v>7.1156064841759528E-2</v>
      </c>
      <c r="P924" s="10">
        <f t="shared" si="132"/>
        <v>0.10808563102866305</v>
      </c>
      <c r="Q924" s="66">
        <f t="shared" si="135"/>
        <v>2</v>
      </c>
      <c r="R924" s="10">
        <f t="shared" si="133"/>
        <v>5.1947375609410415E-3</v>
      </c>
      <c r="V924" s="10">
        <f t="shared" si="134"/>
        <v>2.8831531094795164E-3</v>
      </c>
    </row>
    <row r="925" spans="11:22">
      <c r="K925" s="66">
        <v>45.65</v>
      </c>
      <c r="L925" s="10">
        <f t="shared" si="128"/>
        <v>0.51369490396273576</v>
      </c>
      <c r="M925" s="10">
        <f t="shared" si="129"/>
        <v>0.38507350890074149</v>
      </c>
      <c r="N925" s="10">
        <f t="shared" si="130"/>
        <v>4.9774013853579976E-2</v>
      </c>
      <c r="O925" s="10">
        <f t="shared" si="131"/>
        <v>7.1413471036867335E-2</v>
      </c>
      <c r="P925" s="10">
        <f t="shared" si="132"/>
        <v>0.10782227660279889</v>
      </c>
      <c r="Q925" s="66">
        <f t="shared" si="135"/>
        <v>4</v>
      </c>
      <c r="R925" s="10">
        <f t="shared" si="133"/>
        <v>1.0338919666045119E-2</v>
      </c>
      <c r="V925" s="10">
        <f t="shared" si="134"/>
        <v>5.7676791650997554E-3</v>
      </c>
    </row>
    <row r="926" spans="11:22">
      <c r="K926" s="66">
        <v>45.7</v>
      </c>
      <c r="L926" s="10">
        <f t="shared" si="128"/>
        <v>0.51241575677787632</v>
      </c>
      <c r="M926" s="10">
        <f t="shared" si="129"/>
        <v>0.3836985123569745</v>
      </c>
      <c r="N926" s="10">
        <f t="shared" si="130"/>
        <v>4.9953961883776342E-2</v>
      </c>
      <c r="O926" s="10">
        <f t="shared" si="131"/>
        <v>7.1671809706204181E-2</v>
      </c>
      <c r="P926" s="10">
        <f t="shared" si="132"/>
        <v>0.10755956384921764</v>
      </c>
      <c r="Q926" s="66">
        <f t="shared" si="135"/>
        <v>2</v>
      </c>
      <c r="R926" s="10">
        <f t="shared" si="133"/>
        <v>5.1441926887946399E-3</v>
      </c>
      <c r="V926" s="10">
        <f t="shared" si="134"/>
        <v>2.8844776389493169E-3</v>
      </c>
    </row>
    <row r="927" spans="11:22">
      <c r="K927" s="66">
        <v>45.75</v>
      </c>
      <c r="L927" s="10">
        <f t="shared" si="128"/>
        <v>0.51113518755205789</v>
      </c>
      <c r="M927" s="10">
        <f t="shared" si="129"/>
        <v>0.38232347814687007</v>
      </c>
      <c r="N927" s="10">
        <f t="shared" si="130"/>
        <v>5.0134561789894574E-2</v>
      </c>
      <c r="O927" s="10">
        <f t="shared" si="131"/>
        <v>7.1931084227731409E-2</v>
      </c>
      <c r="P927" s="10">
        <f t="shared" si="132"/>
        <v>0.10729749120446244</v>
      </c>
      <c r="Q927" s="66">
        <f t="shared" si="135"/>
        <v>4</v>
      </c>
      <c r="R927" s="10">
        <f t="shared" si="133"/>
        <v>1.0237873544231222E-2</v>
      </c>
      <c r="V927" s="10">
        <f t="shared" si="134"/>
        <v>5.7701341818652699E-3</v>
      </c>
    </row>
    <row r="928" spans="11:22">
      <c r="K928" s="66">
        <v>45.8</v>
      </c>
      <c r="L928" s="10">
        <f t="shared" si="128"/>
        <v>0.50985320624729857</v>
      </c>
      <c r="M928" s="10">
        <f t="shared" si="129"/>
        <v>0.38094842407032958</v>
      </c>
      <c r="N928" s="10">
        <f t="shared" si="130"/>
        <v>5.0315815933406546E-2</v>
      </c>
      <c r="O928" s="10">
        <f t="shared" si="131"/>
        <v>7.2191297991647294E-2</v>
      </c>
      <c r="P928" s="10">
        <f t="shared" si="132"/>
        <v>0.10703605710888574</v>
      </c>
      <c r="Q928" s="66">
        <f t="shared" si="135"/>
        <v>2</v>
      </c>
      <c r="R928" s="10">
        <f t="shared" si="133"/>
        <v>5.0936927274884075E-3</v>
      </c>
      <c r="V928" s="10">
        <f t="shared" si="134"/>
        <v>2.8856077525444171E-3</v>
      </c>
    </row>
    <row r="929" spans="11:22">
      <c r="K929" s="66">
        <v>45.85</v>
      </c>
      <c r="L929" s="10">
        <f t="shared" si="128"/>
        <v>0.50856982290414643</v>
      </c>
      <c r="M929" s="10">
        <f t="shared" si="129"/>
        <v>0.37957336799269231</v>
      </c>
      <c r="N929" s="10">
        <f t="shared" si="130"/>
        <v>5.0497726684338724E-2</v>
      </c>
      <c r="O929" s="10">
        <f t="shared" si="131"/>
        <v>7.2452454400431521E-2</v>
      </c>
      <c r="P929" s="10">
        <f t="shared" si="132"/>
        <v>0.10677526000663992</v>
      </c>
      <c r="Q929" s="66">
        <f t="shared" si="135"/>
        <v>4</v>
      </c>
      <c r="R929" s="10">
        <f t="shared" si="133"/>
        <v>1.0136922400038127E-2</v>
      </c>
      <c r="V929" s="10">
        <f t="shared" si="134"/>
        <v>5.7721988792921999E-3</v>
      </c>
    </row>
    <row r="930" spans="11:22">
      <c r="K930" s="66">
        <v>45.9</v>
      </c>
      <c r="L930" s="10">
        <f t="shared" si="128"/>
        <v>0.5072850476417835</v>
      </c>
      <c r="M930" s="10">
        <f t="shared" si="129"/>
        <v>0.37819832784427337</v>
      </c>
      <c r="N930" s="10">
        <f t="shared" si="130"/>
        <v>5.068029642130336E-2</v>
      </c>
      <c r="O930" s="10">
        <f t="shared" si="131"/>
        <v>7.2714556868889446E-2</v>
      </c>
      <c r="P930" s="10">
        <f t="shared" si="132"/>
        <v>0.10651509834566866</v>
      </c>
      <c r="Q930" s="66">
        <f t="shared" si="135"/>
        <v>2</v>
      </c>
      <c r="R930" s="10">
        <f t="shared" si="133"/>
        <v>5.0432428353748837E-3</v>
      </c>
      <c r="V930" s="10">
        <f t="shared" si="134"/>
        <v>2.8865419699430532E-3</v>
      </c>
    </row>
    <row r="931" spans="11:22">
      <c r="K931" s="66">
        <v>45.95</v>
      </c>
      <c r="L931" s="10">
        <f t="shared" si="128"/>
        <v>0.50599889065812609</v>
      </c>
      <c r="M931" s="10">
        <f t="shared" si="129"/>
        <v>0.37682332161989546</v>
      </c>
      <c r="N931" s="10">
        <f t="shared" si="130"/>
        <v>5.0863527531529187E-2</v>
      </c>
      <c r="O931" s="10">
        <f t="shared" si="131"/>
        <v>7.2977608824196669E-2</v>
      </c>
      <c r="P931" s="10">
        <f t="shared" si="132"/>
        <v>0.10625557057769681</v>
      </c>
      <c r="Q931" s="66">
        <f t="shared" si="135"/>
        <v>4</v>
      </c>
      <c r="R931" s="10">
        <f t="shared" si="133"/>
        <v>1.0036076559484457E-2</v>
      </c>
      <c r="V931" s="10">
        <f t="shared" si="134"/>
        <v>5.7738703260233606E-3</v>
      </c>
    </row>
    <row r="932" spans="11:22">
      <c r="K932" s="66">
        <v>46</v>
      </c>
      <c r="L932" s="10">
        <f t="shared" si="128"/>
        <v>0.50471136222992274</v>
      </c>
      <c r="M932" s="10">
        <f t="shared" si="129"/>
        <v>0.37544836737841403</v>
      </c>
      <c r="N932" s="10">
        <f t="shared" si="130"/>
        <v>5.104742241089303E-2</v>
      </c>
      <c r="O932" s="10">
        <f t="shared" si="131"/>
        <v>7.3241613705944231E-2</v>
      </c>
      <c r="P932" s="10">
        <f t="shared" si="132"/>
        <v>0.10599667515822221</v>
      </c>
      <c r="Q932" s="66">
        <f t="shared" si="135"/>
        <v>2</v>
      </c>
      <c r="R932" s="10">
        <f t="shared" si="133"/>
        <v>4.9928481797841939E-3</v>
      </c>
      <c r="V932" s="10">
        <f t="shared" si="134"/>
        <v>2.887278840326617E-3</v>
      </c>
    </row>
    <row r="933" spans="11:22">
      <c r="K933" s="66">
        <v>46.05</v>
      </c>
      <c r="L933" s="10">
        <f t="shared" si="128"/>
        <v>0.5034224727128479</v>
      </c>
      <c r="M933" s="10">
        <f t="shared" si="129"/>
        <v>0.37407348324223361</v>
      </c>
      <c r="N933" s="10">
        <f t="shared" si="130"/>
        <v>5.1231983463950748E-2</v>
      </c>
      <c r="O933" s="10">
        <f t="shared" si="131"/>
        <v>7.3506574966183069E-2</v>
      </c>
      <c r="P933" s="10">
        <f t="shared" si="132"/>
        <v>0.10573841054650503</v>
      </c>
      <c r="Q933" s="66">
        <f t="shared" si="135"/>
        <v>4</v>
      </c>
      <c r="R933" s="10">
        <f t="shared" si="133"/>
        <v>9.9353463651955676E-3</v>
      </c>
      <c r="V933" s="10">
        <f t="shared" si="134"/>
        <v>5.7751456505757102E-3</v>
      </c>
    </row>
    <row r="934" spans="11:22">
      <c r="K934" s="66">
        <v>46.1</v>
      </c>
      <c r="L934" s="10">
        <f t="shared" si="128"/>
        <v>0.50213223254159012</v>
      </c>
      <c r="M934" s="10">
        <f t="shared" si="129"/>
        <v>0.37269868739681394</v>
      </c>
      <c r="N934" s="10">
        <f t="shared" si="130"/>
        <v>5.141721310396926E-2</v>
      </c>
      <c r="O934" s="10">
        <f t="shared" si="131"/>
        <v>7.3772496069469909E-2</v>
      </c>
      <c r="P934" s="10">
        <f t="shared" si="132"/>
        <v>0.1054807752055605</v>
      </c>
      <c r="Q934" s="66">
        <f t="shared" si="135"/>
        <v>2</v>
      </c>
      <c r="R934" s="10">
        <f t="shared" si="133"/>
        <v>4.9425139356709998E-3</v>
      </c>
      <c r="V934" s="10">
        <f t="shared" si="134"/>
        <v>2.8878169432480201E-3</v>
      </c>
    </row>
    <row r="935" spans="11:22">
      <c r="K935" s="66">
        <v>46.15</v>
      </c>
      <c r="L935" s="10">
        <f t="shared" si="128"/>
        <v>0.50084065222994079</v>
      </c>
      <c r="M935" s="10">
        <f t="shared" si="129"/>
        <v>0.37132399809017486</v>
      </c>
      <c r="N935" s="10">
        <f t="shared" si="130"/>
        <v>5.1603113752957494E-2</v>
      </c>
      <c r="O935" s="10">
        <f t="shared" si="131"/>
        <v>7.4039380492911727E-2</v>
      </c>
      <c r="P935" s="10">
        <f t="shared" si="132"/>
        <v>0.10522376760214834</v>
      </c>
      <c r="Q935" s="66">
        <f t="shared" si="135"/>
        <v>4</v>
      </c>
      <c r="R935" s="10">
        <f t="shared" si="133"/>
        <v>9.8347421736790005E-3</v>
      </c>
      <c r="V935" s="10">
        <f t="shared" si="134"/>
        <v>5.7760220430790876E-3</v>
      </c>
    </row>
    <row r="936" spans="11:22">
      <c r="K936" s="66">
        <v>46.2</v>
      </c>
      <c r="L936" s="10">
        <f t="shared" si="128"/>
        <v>0.49954774237087446</v>
      </c>
      <c r="M936" s="10">
        <f t="shared" si="129"/>
        <v>0.36994943363238669</v>
      </c>
      <c r="N936" s="10">
        <f t="shared" si="130"/>
        <v>5.1789687841698184E-2</v>
      </c>
      <c r="O936" s="10">
        <f t="shared" si="131"/>
        <v>7.4307231726211731E-2</v>
      </c>
      <c r="P936" s="10">
        <f t="shared" si="132"/>
        <v>0.10496738620676389</v>
      </c>
      <c r="Q936" s="66">
        <f t="shared" si="135"/>
        <v>2</v>
      </c>
      <c r="R936" s="10">
        <f t="shared" si="133"/>
        <v>4.8922452842430283E-3</v>
      </c>
      <c r="V936" s="10">
        <f t="shared" si="134"/>
        <v>2.8881548895019261E-3</v>
      </c>
    </row>
    <row r="937" spans="11:22">
      <c r="K937" s="66">
        <v>46.25</v>
      </c>
      <c r="L937" s="10">
        <f t="shared" si="128"/>
        <v>0.49825351363663029</v>
      </c>
      <c r="M937" s="10">
        <f t="shared" si="129"/>
        <v>0.36857501239505802</v>
      </c>
      <c r="N937" s="10">
        <f t="shared" si="130"/>
        <v>5.1976937809780049E-2</v>
      </c>
      <c r="O937" s="10">
        <f t="shared" si="131"/>
        <v>7.4576053271714807E-2</v>
      </c>
      <c r="P937" s="10">
        <f t="shared" si="132"/>
        <v>0.10471162949362953</v>
      </c>
      <c r="Q937" s="66">
        <f t="shared" si="135"/>
        <v>4</v>
      </c>
      <c r="R937" s="10">
        <f t="shared" si="133"/>
        <v>9.7342743525632974E-3</v>
      </c>
      <c r="V937" s="10">
        <f t="shared" si="134"/>
        <v>5.7764967570180193E-3</v>
      </c>
    </row>
    <row r="938" spans="11:22">
      <c r="K938" s="66">
        <v>46.3</v>
      </c>
      <c r="L938" s="10">
        <f t="shared" si="128"/>
        <v>0.49695797677878406</v>
      </c>
      <c r="M938" s="10">
        <f t="shared" si="129"/>
        <v>0.3672007528108111</v>
      </c>
      <c r="N938" s="10">
        <f t="shared" si="130"/>
        <v>5.2164866105629225E-2</v>
      </c>
      <c r="O938" s="10">
        <f t="shared" si="131"/>
        <v>7.4845848644453317E-2</v>
      </c>
      <c r="P938" s="10">
        <f t="shared" si="132"/>
        <v>0.10445649594068494</v>
      </c>
      <c r="Q938" s="66">
        <f t="shared" si="135"/>
        <v>2</v>
      </c>
      <c r="R938" s="10">
        <f t="shared" si="133"/>
        <v>4.8420474115715342E-3</v>
      </c>
      <c r="V938" s="10">
        <f t="shared" si="134"/>
        <v>2.8882913219962321E-3</v>
      </c>
    </row>
    <row r="939" spans="11:22">
      <c r="K939" s="66">
        <v>46.35</v>
      </c>
      <c r="L939" s="10">
        <f t="shared" si="128"/>
        <v>0.49566114262832145</v>
      </c>
      <c r="M939" s="10">
        <f t="shared" si="129"/>
        <v>0.36582667337275371</v>
      </c>
      <c r="N939" s="10">
        <f t="shared" si="130"/>
        <v>5.2353475186541466E-2</v>
      </c>
      <c r="O939" s="10">
        <f t="shared" si="131"/>
        <v>7.5116621372193326E-2</v>
      </c>
      <c r="P939" s="10">
        <f t="shared" si="132"/>
        <v>0.1042019840295785</v>
      </c>
      <c r="Q939" s="66">
        <f t="shared" si="135"/>
        <v>4</v>
      </c>
      <c r="R939" s="10">
        <f t="shared" si="133"/>
        <v>9.6339532778013538E-3</v>
      </c>
      <c r="V939" s="10">
        <f t="shared" si="134"/>
        <v>5.7765671109758577E-3</v>
      </c>
    </row>
    <row r="940" spans="11:22">
      <c r="K940" s="66">
        <v>46.4</v>
      </c>
      <c r="L940" s="10">
        <f t="shared" si="128"/>
        <v>0.49436302209570482</v>
      </c>
      <c r="M940" s="10">
        <f t="shared" si="129"/>
        <v>0.36445279263394054</v>
      </c>
      <c r="N940" s="10">
        <f t="shared" si="130"/>
        <v>5.2542767518714457E-2</v>
      </c>
      <c r="O940" s="10">
        <f t="shared" si="131"/>
        <v>7.5388374995480331E-2</v>
      </c>
      <c r="P940" s="10">
        <f t="shared" si="132"/>
        <v>0.10394809224565824</v>
      </c>
      <c r="Q940" s="66">
        <f t="shared" si="135"/>
        <v>2</v>
      </c>
      <c r="R940" s="10">
        <f t="shared" si="133"/>
        <v>4.7919255071842198E-3</v>
      </c>
      <c r="V940" s="10">
        <f t="shared" si="134"/>
        <v>2.8882249166246E-3</v>
      </c>
    </row>
    <row r="941" spans="11:22">
      <c r="K941" s="66">
        <v>46.45</v>
      </c>
      <c r="L941" s="10">
        <f t="shared" si="128"/>
        <v>0.49306362617093569</v>
      </c>
      <c r="M941" s="10">
        <f t="shared" si="129"/>
        <v>0.36307912920682689</v>
      </c>
      <c r="N941" s="10">
        <f t="shared" si="130"/>
        <v>5.2732745577279597E-2</v>
      </c>
      <c r="O941" s="10">
        <f t="shared" si="131"/>
        <v>7.5661113067685651E-2</v>
      </c>
      <c r="P941" s="10">
        <f t="shared" si="132"/>
        <v>0.10369481907796232</v>
      </c>
      <c r="Q941" s="66">
        <f t="shared" si="135"/>
        <v>4</v>
      </c>
      <c r="R941" s="10">
        <f t="shared" si="133"/>
        <v>9.5337893308389959E-3</v>
      </c>
      <c r="V941" s="10">
        <f t="shared" si="134"/>
        <v>5.7762304903803711E-3</v>
      </c>
    </row>
    <row r="942" spans="11:22">
      <c r="K942" s="66">
        <v>46.5</v>
      </c>
      <c r="L942" s="10">
        <f t="shared" si="128"/>
        <v>0.49176296592361579</v>
      </c>
      <c r="M942" s="10">
        <f t="shared" si="129"/>
        <v>0.36170570176271682</v>
      </c>
      <c r="N942" s="10">
        <f t="shared" si="130"/>
        <v>5.2923411846334839E-2</v>
      </c>
      <c r="O942" s="10">
        <f t="shared" si="131"/>
        <v>7.5934839155053058E-2</v>
      </c>
      <c r="P942" s="10">
        <f t="shared" si="132"/>
        <v>0.10344216301921087</v>
      </c>
      <c r="Q942" s="66">
        <f t="shared" si="135"/>
        <v>2</v>
      </c>
      <c r="R942" s="10">
        <f t="shared" si="133"/>
        <v>4.741884762640986E-3</v>
      </c>
      <c r="V942" s="10">
        <f t="shared" si="134"/>
        <v>2.8879543831393756E-3</v>
      </c>
    </row>
    <row r="943" spans="11:22">
      <c r="K943" s="66">
        <v>46.55</v>
      </c>
      <c r="L943" s="10">
        <f t="shared" si="128"/>
        <v>0.49046105250300032</v>
      </c>
      <c r="M943" s="10">
        <f t="shared" si="129"/>
        <v>0.36033252903119939</v>
      </c>
      <c r="N943" s="10">
        <f t="shared" si="130"/>
        <v>5.3114768818976872E-2</v>
      </c>
      <c r="O943" s="10">
        <f t="shared" si="131"/>
        <v>7.620955683674549E-2</v>
      </c>
      <c r="P943" s="10">
        <f t="shared" si="132"/>
        <v>0.10319012256579621</v>
      </c>
      <c r="Q943" s="66">
        <f t="shared" si="135"/>
        <v>4</v>
      </c>
      <c r="R943" s="10">
        <f t="shared" si="133"/>
        <v>9.4337928957495733E-3</v>
      </c>
      <c r="V943" s="10">
        <f t="shared" si="134"/>
        <v>5.775484349249722E-3</v>
      </c>
    </row>
    <row r="944" spans="11:22">
      <c r="K944" s="66">
        <v>46.6</v>
      </c>
      <c r="L944" s="10">
        <f t="shared" si="128"/>
        <v>0.48915789713805108</v>
      </c>
      <c r="M944" s="10">
        <f t="shared" si="129"/>
        <v>0.35895962979958096</v>
      </c>
      <c r="N944" s="10">
        <f t="shared" si="130"/>
        <v>5.3306818997333971E-2</v>
      </c>
      <c r="O944" s="10">
        <f t="shared" si="131"/>
        <v>7.6485269704891487E-2</v>
      </c>
      <c r="P944" s="10">
        <f t="shared" si="132"/>
        <v>0.10293869621777431</v>
      </c>
      <c r="Q944" s="66">
        <f t="shared" si="135"/>
        <v>2</v>
      </c>
      <c r="R944" s="10">
        <f t="shared" si="133"/>
        <v>4.6919303700930243E-3</v>
      </c>
      <c r="V944" s="10">
        <f t="shared" si="134"/>
        <v>2.8874784660245963E-3</v>
      </c>
    </row>
    <row r="945" spans="11:22">
      <c r="K945" s="66">
        <v>46.65</v>
      </c>
      <c r="L945" s="10">
        <f t="shared" si="128"/>
        <v>0.4878535111374831</v>
      </c>
      <c r="M945" s="10">
        <f t="shared" si="129"/>
        <v>0.35758702291230737</v>
      </c>
      <c r="N945" s="10">
        <f t="shared" si="130"/>
        <v>5.3499564892598474E-2</v>
      </c>
      <c r="O945" s="10">
        <f t="shared" si="131"/>
        <v>7.6761981364632401E-2</v>
      </c>
      <c r="P945" s="10">
        <f t="shared" si="132"/>
        <v>0.10268788247885607</v>
      </c>
      <c r="Q945" s="66">
        <f t="shared" si="135"/>
        <v>4</v>
      </c>
      <c r="R945" s="10">
        <f t="shared" si="133"/>
        <v>9.3339743563358619E-3</v>
      </c>
      <c r="V945" s="10">
        <f t="shared" si="134"/>
        <v>5.7743262119381118E-3</v>
      </c>
    </row>
    <row r="946" spans="11:22">
      <c r="K946" s="66">
        <v>46.7</v>
      </c>
      <c r="L946" s="10">
        <f t="shared" si="128"/>
        <v>0.48654790588980651</v>
      </c>
      <c r="M946" s="10">
        <f t="shared" si="129"/>
        <v>0.35621472727037778</v>
      </c>
      <c r="N946" s="10">
        <f t="shared" si="130"/>
        <v>5.3693009025059572E-2</v>
      </c>
      <c r="O946" s="10">
        <f t="shared" si="131"/>
        <v>7.7039695434169497E-2</v>
      </c>
      <c r="P946" s="10">
        <f t="shared" si="132"/>
        <v>0.10243767985639773</v>
      </c>
      <c r="Q946" s="66">
        <f t="shared" si="135"/>
        <v>2</v>
      </c>
      <c r="R946" s="10">
        <f t="shared" si="133"/>
        <v>4.6420675208256454E-3</v>
      </c>
      <c r="V946" s="10">
        <f t="shared" si="134"/>
        <v>2.8867959453684486E-3</v>
      </c>
    </row>
    <row r="947" spans="11:22">
      <c r="K947" s="66">
        <v>46.75</v>
      </c>
      <c r="L947" s="10">
        <f t="shared" si="128"/>
        <v>0.48524109286336786</v>
      </c>
      <c r="M947" s="10">
        <f t="shared" si="129"/>
        <v>0.35484276183075353</v>
      </c>
      <c r="N947" s="10">
        <f t="shared" si="130"/>
        <v>5.388715392413667E-2</v>
      </c>
      <c r="O947" s="10">
        <f t="shared" si="131"/>
        <v>7.7318415544811253E-2</v>
      </c>
      <c r="P947" s="10">
        <f t="shared" si="132"/>
        <v>0.10218808686139283</v>
      </c>
      <c r="Q947" s="66">
        <f t="shared" si="135"/>
        <v>4</v>
      </c>
      <c r="R947" s="10">
        <f t="shared" si="133"/>
        <v>9.2343440931998508E-3</v>
      </c>
      <c r="V947" s="10">
        <f t="shared" si="134"/>
        <v>5.7727536748798849E-3</v>
      </c>
    </row>
    <row r="948" spans="11:22">
      <c r="K948" s="66">
        <v>46.8</v>
      </c>
      <c r="L948" s="10">
        <f t="shared" si="128"/>
        <v>0.48393308360638232</v>
      </c>
      <c r="M948" s="10">
        <f t="shared" si="129"/>
        <v>0.35347114560575421</v>
      </c>
      <c r="N948" s="10">
        <f t="shared" si="130"/>
        <v>5.4082002128412035E-2</v>
      </c>
      <c r="O948" s="10">
        <f t="shared" si="131"/>
        <v>7.759814534102083E-2</v>
      </c>
      <c r="P948" s="10">
        <f t="shared" si="132"/>
        <v>0.10193910200846261</v>
      </c>
      <c r="Q948" s="66">
        <f t="shared" si="135"/>
        <v>2</v>
      </c>
      <c r="R948" s="10">
        <f t="shared" si="133"/>
        <v>4.5923014037854227E-3</v>
      </c>
      <c r="V948" s="10">
        <f t="shared" si="134"/>
        <v>2.8859056377348201E-3</v>
      </c>
    </row>
    <row r="949" spans="11:22">
      <c r="K949" s="66">
        <v>46.85</v>
      </c>
      <c r="L949" s="10">
        <f t="shared" si="128"/>
        <v>0.48262388974696468</v>
      </c>
      <c r="M949" s="10">
        <f t="shared" si="129"/>
        <v>0.35209989766244992</v>
      </c>
      <c r="N949" s="10">
        <f t="shared" si="130"/>
        <v>5.4277556185664121E-2</v>
      </c>
      <c r="O949" s="10">
        <f t="shared" si="131"/>
        <v>7.7878888480463884E-2</v>
      </c>
      <c r="P949" s="10">
        <f t="shared" si="132"/>
        <v>0.10169072381584758</v>
      </c>
      <c r="Q949" s="66">
        <f t="shared" si="135"/>
        <v>4</v>
      </c>
      <c r="R949" s="10">
        <f t="shared" si="133"/>
        <v>9.1349124807817705E-3</v>
      </c>
      <c r="V949" s="10">
        <f t="shared" si="134"/>
        <v>5.7707644083312944E-3</v>
      </c>
    </row>
    <row r="950" spans="11:22">
      <c r="K950" s="66">
        <v>46.9</v>
      </c>
      <c r="L950" s="10">
        <f t="shared" si="128"/>
        <v>0.48131352299315755</v>
      </c>
      <c r="M950" s="10">
        <f t="shared" si="129"/>
        <v>0.35072903712204478</v>
      </c>
      <c r="N950" s="10">
        <f t="shared" si="130"/>
        <v>5.4473818652901115E-2</v>
      </c>
      <c r="O950" s="10">
        <f t="shared" si="131"/>
        <v>7.8160648634056168E-2</v>
      </c>
      <c r="P950" s="10">
        <f t="shared" si="132"/>
        <v>0.10144295080539871</v>
      </c>
      <c r="Q950" s="66">
        <f t="shared" si="135"/>
        <v>2</v>
      </c>
      <c r="R950" s="10">
        <f t="shared" si="133"/>
        <v>4.542637204092116E-3</v>
      </c>
      <c r="V950" s="10">
        <f t="shared" si="134"/>
        <v>2.8848063970333768E-3</v>
      </c>
    </row>
    <row r="951" spans="11:22">
      <c r="K951" s="66">
        <v>46.95</v>
      </c>
      <c r="L951" s="10">
        <f t="shared" si="128"/>
        <v>0.48000199513294906</v>
      </c>
      <c r="M951" s="10">
        <f t="shared" si="129"/>
        <v>0.34935858315924945</v>
      </c>
      <c r="N951" s="10">
        <f t="shared" si="130"/>
        <v>5.4670792096393868E-2</v>
      </c>
      <c r="O951" s="10">
        <f t="shared" si="131"/>
        <v>7.8443429486011421E-2</v>
      </c>
      <c r="P951" s="10">
        <f t="shared" si="132"/>
        <v>0.10119578150256837</v>
      </c>
      <c r="Q951" s="66">
        <f t="shared" si="135"/>
        <v>4</v>
      </c>
      <c r="R951" s="10">
        <f t="shared" si="133"/>
        <v>9.0356898843691608E-3</v>
      </c>
      <c r="V951" s="10">
        <f t="shared" si="134"/>
        <v>5.7683561581088269E-3</v>
      </c>
    </row>
    <row r="952" spans="11:22">
      <c r="K952" s="66">
        <v>47</v>
      </c>
      <c r="L952" s="10">
        <f t="shared" si="128"/>
        <v>0.47868931803429399</v>
      </c>
      <c r="M952" s="10">
        <f t="shared" si="129"/>
        <v>0.34798855500164955</v>
      </c>
      <c r="N952" s="10">
        <f t="shared" si="130"/>
        <v>5.4868479091710005E-2</v>
      </c>
      <c r="O952" s="10">
        <f t="shared" si="131"/>
        <v>7.8727234733890053E-2</v>
      </c>
      <c r="P952" s="10">
        <f t="shared" si="132"/>
        <v>0.10094921443640208</v>
      </c>
      <c r="Q952" s="66">
        <f t="shared" si="135"/>
        <v>2</v>
      </c>
      <c r="R952" s="10">
        <f t="shared" si="133"/>
        <v>4.4930801015360114E-3</v>
      </c>
      <c r="V952" s="10">
        <f t="shared" si="134"/>
        <v>2.8834971153876721E-3</v>
      </c>
    </row>
    <row r="953" spans="11:22">
      <c r="K953" s="66">
        <v>47.05</v>
      </c>
      <c r="L953" s="10">
        <f t="shared" si="128"/>
        <v>0.47737550364512499</v>
      </c>
      <c r="M953" s="10">
        <f t="shared" si="129"/>
        <v>0.34661897192906443</v>
      </c>
      <c r="N953" s="10">
        <f t="shared" si="130"/>
        <v>5.5066882223747053E-2</v>
      </c>
      <c r="O953" s="10">
        <f t="shared" si="131"/>
        <v>7.9012068088646789E-2</v>
      </c>
      <c r="P953" s="10">
        <f t="shared" si="132"/>
        <v>0.10070324813952858</v>
      </c>
      <c r="Q953" s="66">
        <f t="shared" si="135"/>
        <v>4</v>
      </c>
      <c r="R953" s="10">
        <f t="shared" si="133"/>
        <v>8.9366866570771662E-3</v>
      </c>
      <c r="V953" s="10">
        <f t="shared" si="134"/>
        <v>5.7655267473230316E-3</v>
      </c>
    </row>
    <row r="954" spans="11:22">
      <c r="K954" s="66">
        <v>47.1</v>
      </c>
      <c r="L954" s="10">
        <f t="shared" si="128"/>
        <v>0.47606056399335905</v>
      </c>
      <c r="M954" s="10">
        <f t="shared" si="129"/>
        <v>0.34524985327289459</v>
      </c>
      <c r="N954" s="10">
        <f t="shared" si="130"/>
        <v>5.5266004086766955E-2</v>
      </c>
      <c r="O954" s="10">
        <f t="shared" si="131"/>
        <v>7.9297933274680155E-2</v>
      </c>
      <c r="P954" s="10">
        <f t="shared" si="132"/>
        <v>0.10045788114815289</v>
      </c>
      <c r="Q954" s="66">
        <f t="shared" si="135"/>
        <v>2</v>
      </c>
      <c r="R954" s="10">
        <f t="shared" si="133"/>
        <v>4.4436352690610638E-3</v>
      </c>
      <c r="V954" s="10">
        <f t="shared" si="134"/>
        <v>2.8819767240007587E-3</v>
      </c>
    </row>
    <row r="955" spans="11:22">
      <c r="K955" s="66">
        <v>47.15</v>
      </c>
      <c r="L955" s="10">
        <f t="shared" si="128"/>
        <v>0.47474451118690542</v>
      </c>
      <c r="M955" s="10">
        <f t="shared" si="129"/>
        <v>0.34388121841546876</v>
      </c>
      <c r="N955" s="10">
        <f t="shared" si="130"/>
        <v>5.5465847284429312E-2</v>
      </c>
      <c r="O955" s="10">
        <f t="shared" si="131"/>
        <v>7.9584834029880105E-2</v>
      </c>
      <c r="P955" s="10">
        <f t="shared" si="132"/>
        <v>0.10021311200204604</v>
      </c>
      <c r="Q955" s="66">
        <f t="shared" si="135"/>
        <v>4</v>
      </c>
      <c r="R955" s="10">
        <f t="shared" si="133"/>
        <v>8.8379131368012918E-3</v>
      </c>
      <c r="V955" s="10">
        <f t="shared" si="134"/>
        <v>5.7622740781069432E-3</v>
      </c>
    </row>
    <row r="956" spans="11:22">
      <c r="K956" s="66">
        <v>47.2</v>
      </c>
      <c r="L956" s="10">
        <f t="shared" si="128"/>
        <v>0.47342735741366121</v>
      </c>
      <c r="M956" s="10">
        <f t="shared" si="129"/>
        <v>0.34251308678937459</v>
      </c>
      <c r="N956" s="10">
        <f t="shared" si="130"/>
        <v>5.5666414429825554E-2</v>
      </c>
      <c r="O956" s="10">
        <f t="shared" si="131"/>
        <v>7.9872774105677613E-2</v>
      </c>
      <c r="P956" s="10">
        <f t="shared" si="132"/>
        <v>9.9968939244537022E-2</v>
      </c>
      <c r="Q956" s="66">
        <f t="shared" si="135"/>
        <v>2</v>
      </c>
      <c r="R956" s="10">
        <f t="shared" si="133"/>
        <v>4.3943078712346071E-3</v>
      </c>
      <c r="V956" s="10">
        <f t="shared" si="134"/>
        <v>2.8802441940178418E-3</v>
      </c>
    </row>
    <row r="957" spans="11:22">
      <c r="K957" s="66">
        <v>47.25</v>
      </c>
      <c r="L957" s="10">
        <f t="shared" si="128"/>
        <v>0.47210911494150837</v>
      </c>
      <c r="M957" s="10">
        <f t="shared" si="129"/>
        <v>0.34114547787678667</v>
      </c>
      <c r="N957" s="10">
        <f t="shared" si="130"/>
        <v>5.5867708145513562E-2</v>
      </c>
      <c r="O957" s="10">
        <f t="shared" si="131"/>
        <v>8.0161757267093417E-2</v>
      </c>
      <c r="P957" s="10">
        <f t="shared" si="132"/>
        <v>9.9725361422504308E-2</v>
      </c>
      <c r="Q957" s="66">
        <f t="shared" si="135"/>
        <v>4</v>
      </c>
      <c r="R957" s="10">
        <f t="shared" si="133"/>
        <v>8.7393796431436757E-3</v>
      </c>
      <c r="V957" s="10">
        <f t="shared" si="134"/>
        <v>5.7585961333378307E-3</v>
      </c>
    </row>
    <row r="958" spans="11:22">
      <c r="K958" s="66">
        <v>47.3</v>
      </c>
      <c r="L958" s="10">
        <f t="shared" si="128"/>
        <v>0.47078979611830196</v>
      </c>
      <c r="M958" s="10">
        <f t="shared" si="129"/>
        <v>0.33977841120878388</v>
      </c>
      <c r="N958" s="10">
        <f t="shared" si="130"/>
        <v>5.6069731063551419E-2</v>
      </c>
      <c r="O958" s="10">
        <f t="shared" si="131"/>
        <v>8.0451787292787319E-2</v>
      </c>
      <c r="P958" s="10">
        <f t="shared" si="132"/>
        <v>9.9482377086366605E-2</v>
      </c>
      <c r="Q958" s="66">
        <f t="shared" si="135"/>
        <v>2</v>
      </c>
      <c r="R958" s="10">
        <f t="shared" si="133"/>
        <v>4.3451030627040749E-3</v>
      </c>
      <c r="V958" s="10">
        <f t="shared" si="134"/>
        <v>2.8782985373852761E-3</v>
      </c>
    </row>
    <row r="959" spans="11:22">
      <c r="K959" s="66">
        <v>47.35</v>
      </c>
      <c r="L959" s="10">
        <f t="shared" si="128"/>
        <v>0.4694694133718561</v>
      </c>
      <c r="M959" s="10">
        <f t="shared" si="129"/>
        <v>0.3384119063646589</v>
      </c>
      <c r="N959" s="10">
        <f t="shared" si="130"/>
        <v>5.6272485825532084E-2</v>
      </c>
      <c r="O959" s="10">
        <f t="shared" si="131"/>
        <v>8.0742867975107824E-2</v>
      </c>
      <c r="P959" s="10">
        <f t="shared" si="132"/>
        <v>9.9239984790074801E-2</v>
      </c>
      <c r="Q959" s="66">
        <f t="shared" si="135"/>
        <v>4</v>
      </c>
      <c r="R959" s="10">
        <f t="shared" si="133"/>
        <v>8.6410964743140889E-3</v>
      </c>
      <c r="V959" s="10">
        <f t="shared" si="134"/>
        <v>5.7544909783513367E-3</v>
      </c>
    </row>
    <row r="960" spans="11:22">
      <c r="K960" s="66">
        <v>47.4</v>
      </c>
      <c r="L960" s="10">
        <f t="shared" si="128"/>
        <v>0.46814797920992546</v>
      </c>
      <c r="M960" s="10">
        <f t="shared" si="129"/>
        <v>0.33704598297122201</v>
      </c>
      <c r="N960" s="10">
        <f t="shared" si="130"/>
        <v>5.6475975082618042E-2</v>
      </c>
      <c r="O960" s="10">
        <f t="shared" si="131"/>
        <v>8.1035003120141363E-2</v>
      </c>
      <c r="P960" s="10">
        <f t="shared" si="132"/>
        <v>9.8998183091103059E-2</v>
      </c>
      <c r="Q960" s="66">
        <f t="shared" si="135"/>
        <v>2</v>
      </c>
      <c r="R960" s="10">
        <f t="shared" si="133"/>
        <v>4.2960259866414146E-3</v>
      </c>
      <c r="V960" s="10">
        <f t="shared" si="134"/>
        <v>2.8761388077055295E-3</v>
      </c>
    </row>
    <row r="961" spans="11:22">
      <c r="K961" s="66">
        <v>47.45</v>
      </c>
      <c r="L961" s="10">
        <f t="shared" si="128"/>
        <v>0.46682550622017849</v>
      </c>
      <c r="M961" s="10">
        <f t="shared" si="129"/>
        <v>0.33568066070209207</v>
      </c>
      <c r="N961" s="10">
        <f t="shared" si="130"/>
        <v>5.6680201495575573E-2</v>
      </c>
      <c r="O961" s="10">
        <f t="shared" si="131"/>
        <v>8.1328196547762008E-2</v>
      </c>
      <c r="P961" s="10">
        <f t="shared" si="132"/>
        <v>9.8756970550440346E-2</v>
      </c>
      <c r="Q961" s="66">
        <f t="shared" si="135"/>
        <v>4</v>
      </c>
      <c r="R961" s="10">
        <f t="shared" si="133"/>
        <v>8.5430739040069769E-3</v>
      </c>
      <c r="V961" s="10">
        <f t="shared" si="134"/>
        <v>5.7499567626468472E-3</v>
      </c>
    </row>
    <row r="962" spans="11:22">
      <c r="K962" s="66">
        <v>47.5</v>
      </c>
      <c r="L962" s="10">
        <f t="shared" si="128"/>
        <v>0.46550200707017148</v>
      </c>
      <c r="M962" s="10">
        <f t="shared" si="129"/>
        <v>0.33431595927698465</v>
      </c>
      <c r="N962" s="10">
        <f t="shared" si="130"/>
        <v>5.6885167734809908E-2</v>
      </c>
      <c r="O962" s="10">
        <f t="shared" si="131"/>
        <v>8.1622452091682049E-2</v>
      </c>
      <c r="P962" s="10">
        <f t="shared" si="132"/>
        <v>9.8516345732581778E-2</v>
      </c>
      <c r="Q962" s="66">
        <f t="shared" si="135"/>
        <v>2</v>
      </c>
      <c r="R962" s="10">
        <f t="shared" si="133"/>
        <v>4.2470817731758816E-3</v>
      </c>
      <c r="V962" s="10">
        <f t="shared" si="134"/>
        <v>2.8737641010874431E-3</v>
      </c>
    </row>
    <row r="963" spans="11:22">
      <c r="K963" s="66">
        <v>47.55</v>
      </c>
      <c r="L963" s="10">
        <f t="shared" si="128"/>
        <v>0.46417749450731177</v>
      </c>
      <c r="M963" s="10">
        <f t="shared" si="129"/>
        <v>0.33295189846098716</v>
      </c>
      <c r="N963" s="10">
        <f t="shared" si="130"/>
        <v>5.7090876480400142E-2</v>
      </c>
      <c r="O963" s="10">
        <f t="shared" si="131"/>
        <v>8.191777359950142E-2</v>
      </c>
      <c r="P963" s="10">
        <f t="shared" si="132"/>
        <v>9.8276307205520178E-2</v>
      </c>
      <c r="Q963" s="66">
        <f t="shared" si="135"/>
        <v>4</v>
      </c>
      <c r="R963" s="10">
        <f t="shared" si="133"/>
        <v>8.4453221782557798E-3</v>
      </c>
      <c r="V963" s="10">
        <f t="shared" si="134"/>
        <v>5.7449917215828972E-3</v>
      </c>
    </row>
    <row r="964" spans="11:22">
      <c r="K964" s="66">
        <v>47.6</v>
      </c>
      <c r="L964" s="10">
        <f t="shared" si="128"/>
        <v>0.46285198135881983</v>
      </c>
      <c r="M964" s="10">
        <f t="shared" si="129"/>
        <v>0.3315884980638294</v>
      </c>
      <c r="N964" s="10">
        <f t="shared" si="130"/>
        <v>5.7297330422134016E-2</v>
      </c>
      <c r="O964" s="10">
        <f t="shared" si="131"/>
        <v>8.221416493275828E-2</v>
      </c>
      <c r="P964" s="10">
        <f t="shared" si="132"/>
        <v>9.8036853540737476E-2</v>
      </c>
      <c r="Q964" s="66">
        <f t="shared" si="135"/>
        <v>2</v>
      </c>
      <c r="R964" s="10">
        <f t="shared" si="133"/>
        <v>4.1982755378157776E-3</v>
      </c>
      <c r="V964" s="10">
        <f t="shared" si="134"/>
        <v>2.8711735569912698E-3</v>
      </c>
    </row>
    <row r="965" spans="11:22">
      <c r="K965" s="66">
        <v>47.65</v>
      </c>
      <c r="L965" s="10">
        <f t="shared" si="128"/>
        <v>0.46152548053168624</v>
      </c>
      <c r="M965" s="10">
        <f t="shared" si="129"/>
        <v>0.33022577793914504</v>
      </c>
      <c r="N965" s="10">
        <f t="shared" si="130"/>
        <v>5.7504532259543363E-2</v>
      </c>
      <c r="O965" s="10">
        <f t="shared" si="131"/>
        <v>8.2511629966979819E-2</v>
      </c>
      <c r="P965" s="10">
        <f t="shared" si="132"/>
        <v>9.7797983313196252E-2</v>
      </c>
      <c r="Q965" s="66">
        <f t="shared" si="135"/>
        <v>4</v>
      </c>
      <c r="R965" s="10">
        <f t="shared" si="133"/>
        <v>8.347851512265891E-3</v>
      </c>
      <c r="V965" s="10">
        <f t="shared" si="134"/>
        <v>5.7395941780615809E-3</v>
      </c>
    </row>
    <row r="966" spans="11:22">
      <c r="K966" s="66">
        <v>47.7</v>
      </c>
      <c r="L966" s="10">
        <f t="shared" si="128"/>
        <v>0.46019800501262115</v>
      </c>
      <c r="M966" s="10">
        <f t="shared" si="129"/>
        <v>0.32886375798372253</v>
      </c>
      <c r="N966" s="10">
        <f t="shared" si="130"/>
        <v>5.7712484701939036E-2</v>
      </c>
      <c r="O966" s="10">
        <f t="shared" si="131"/>
        <v>8.2810172591732192E-2</v>
      </c>
      <c r="P966" s="10">
        <f t="shared" si="132"/>
        <v>9.7559695101331209E-2</v>
      </c>
      <c r="Q966" s="66">
        <f t="shared" si="135"/>
        <v>2</v>
      </c>
      <c r="R966" s="10">
        <f t="shared" si="133"/>
        <v>4.1496123798598272E-3</v>
      </c>
      <c r="V966" s="10">
        <f t="shared" si="134"/>
        <v>2.8683663590678881E-3</v>
      </c>
    </row>
    <row r="967" spans="11:22">
      <c r="K967" s="66">
        <v>47.75</v>
      </c>
      <c r="L967" s="10">
        <f t="shared" si="128"/>
        <v>0.45886956786800182</v>
      </c>
      <c r="M967" s="10">
        <f t="shared" si="129"/>
        <v>0.32750245813675249</v>
      </c>
      <c r="N967" s="10">
        <f t="shared" si="130"/>
        <v>5.7921190468446931E-2</v>
      </c>
      <c r="O967" s="10">
        <f t="shared" si="131"/>
        <v>8.3109796710672104E-2</v>
      </c>
      <c r="P967" s="10">
        <f t="shared" si="132"/>
        <v>9.7321987487040781E-2</v>
      </c>
      <c r="Q967" s="66">
        <f t="shared" si="135"/>
        <v>4</v>
      </c>
      <c r="R967" s="10">
        <f t="shared" si="133"/>
        <v>8.2506720872276493E-3</v>
      </c>
      <c r="V967" s="10">
        <f t="shared" si="134"/>
        <v>5.7337625442006879E-3</v>
      </c>
    </row>
    <row r="968" spans="11:22">
      <c r="K968" s="66">
        <v>47.8</v>
      </c>
      <c r="L968" s="10">
        <f t="shared" si="128"/>
        <v>0.4575401822438121</v>
      </c>
      <c r="M968" s="10">
        <f t="shared" si="129"/>
        <v>0.32614189837906221</v>
      </c>
      <c r="N968" s="10">
        <f t="shared" si="130"/>
        <v>5.8130652288042942E-2</v>
      </c>
      <c r="O968" s="10">
        <f t="shared" si="131"/>
        <v>8.341050624159739E-2</v>
      </c>
      <c r="P968" s="10">
        <f t="shared" si="132"/>
        <v>9.7084859055678652E-2</v>
      </c>
      <c r="Q968" s="66">
        <f t="shared" si="135"/>
        <v>2</v>
      </c>
      <c r="R968" s="10">
        <f t="shared" si="133"/>
        <v>4.101097380798926E-3</v>
      </c>
      <c r="V968" s="10">
        <f t="shared" si="134"/>
        <v>2.8653417359915667E-3</v>
      </c>
    </row>
    <row r="969" spans="11:22">
      <c r="K969" s="66">
        <v>47.85</v>
      </c>
      <c r="L969" s="10">
        <f t="shared" si="128"/>
        <v>0.45620986136557895</v>
      </c>
      <c r="M969" s="10">
        <f t="shared" si="129"/>
        <v>0.32478209873234415</v>
      </c>
      <c r="N969" s="10">
        <f t="shared" si="130"/>
        <v>5.834087289958894E-2</v>
      </c>
      <c r="O969" s="10">
        <f t="shared" si="131"/>
        <v>8.3712305116498686E-2</v>
      </c>
      <c r="P969" s="10">
        <f t="shared" si="132"/>
        <v>9.6848308396045302E-2</v>
      </c>
      <c r="Q969" s="66">
        <f t="shared" si="135"/>
        <v>4</v>
      </c>
      <c r="R969" s="10">
        <f t="shared" si="133"/>
        <v>8.153794047110665E-3</v>
      </c>
      <c r="V969" s="10">
        <f t="shared" si="134"/>
        <v>5.7274953229924661E-3</v>
      </c>
    </row>
    <row r="970" spans="11:22">
      <c r="K970" s="66">
        <v>47.9</v>
      </c>
      <c r="L970" s="10">
        <f t="shared" si="128"/>
        <v>0.4548786185383038</v>
      </c>
      <c r="M970" s="10">
        <f t="shared" si="129"/>
        <v>0.32342307925837838</v>
      </c>
      <c r="N970" s="10">
        <f t="shared" si="130"/>
        <v>5.8551855051868704E-2</v>
      </c>
      <c r="O970" s="10">
        <f t="shared" si="131"/>
        <v>8.4015197281610374E-2</v>
      </c>
      <c r="P970" s="10">
        <f t="shared" si="132"/>
        <v>9.6612334100379713E-2</v>
      </c>
      <c r="Q970" s="66">
        <f t="shared" si="135"/>
        <v>2</v>
      </c>
      <c r="R970" s="10">
        <f t="shared" si="133"/>
        <v>4.0527356027089219E-3</v>
      </c>
      <c r="V970" s="10">
        <f t="shared" si="134"/>
        <v>2.8620989622857988E-3</v>
      </c>
    </row>
    <row r="971" spans="11:22">
      <c r="K971" s="66">
        <v>47.95</v>
      </c>
      <c r="L971" s="10">
        <f t="shared" si="128"/>
        <v>0.45354646714638591</v>
      </c>
      <c r="M971" s="10">
        <f t="shared" si="129"/>
        <v>0.3220648600582417</v>
      </c>
      <c r="N971" s="10">
        <f t="shared" si="130"/>
        <v>5.8763601503623412E-2</v>
      </c>
      <c r="O971" s="10">
        <f t="shared" si="131"/>
        <v>8.431918669746219E-2</v>
      </c>
      <c r="P971" s="10">
        <f t="shared" si="132"/>
        <v>9.6376934764350858E-2</v>
      </c>
      <c r="Q971" s="66">
        <f t="shared" si="135"/>
        <v>4</v>
      </c>
      <c r="R971" s="10">
        <f t="shared" si="133"/>
        <v>8.057227495441046E-3</v>
      </c>
      <c r="V971" s="10">
        <f t="shared" si="134"/>
        <v>5.7207911099477239E-3</v>
      </c>
    </row>
    <row r="972" spans="11:22">
      <c r="K972" s="66">
        <v>48</v>
      </c>
      <c r="L972" s="10">
        <f t="shared" ref="L972:L1035" si="136">(B$7^K972)*B$8^((B$5^25)*((B$5^K972)-1))</f>
        <v>0.45221342065354447</v>
      </c>
      <c r="M972" s="10">
        <f t="shared" ref="M972:M1035" si="137">(B$7^K972)*B$8^((B$5^30)*((B$5^K972)-1))</f>
        <v>0.32070746127151367</v>
      </c>
      <c r="N972" s="10">
        <f t="shared" si="130"/>
        <v>5.8976115023588252E-2</v>
      </c>
      <c r="O972" s="10">
        <f t="shared" si="131"/>
        <v>8.4624277338931797E-2</v>
      </c>
      <c r="P972" s="10">
        <f t="shared" si="132"/>
        <v>9.6142108987049613E-2</v>
      </c>
      <c r="Q972" s="66">
        <f t="shared" si="135"/>
        <v>2</v>
      </c>
      <c r="R972" s="10">
        <f t="shared" si="133"/>
        <v>4.0045320866352327E-3</v>
      </c>
      <c r="V972" s="10">
        <f t="shared" si="134"/>
        <v>2.8586373591414503E-3</v>
      </c>
    </row>
    <row r="973" spans="11:22">
      <c r="K973" s="66">
        <v>48.05</v>
      </c>
      <c r="L973" s="10">
        <f t="shared" si="136"/>
        <v>0.45087949260273308</v>
      </c>
      <c r="M973" s="10">
        <f t="shared" si="137"/>
        <v>0.31935090307547243</v>
      </c>
      <c r="N973" s="10">
        <f t="shared" ref="N973:N1036" si="138">B$3+B$4*(B$5^(25+K973))</f>
        <v>5.9189398390528086E-2</v>
      </c>
      <c r="O973" s="10">
        <f t="shared" ref="O973:O1036" si="139">$B$3+$B$4*($B$5^(30+K973))</f>
        <v>8.4930473195295314E-2</v>
      </c>
      <c r="P973" s="10">
        <f t="shared" ref="P973:P1036" si="140">(1+B$6)^-K973</f>
        <v>9.5907855370979594E-2</v>
      </c>
      <c r="Q973" s="66">
        <f t="shared" si="135"/>
        <v>4</v>
      </c>
      <c r="R973" s="10">
        <f t="shared" ref="R973:R1036" si="141">L973*M973*(N973+O973)*P973*Q973</f>
        <v>7.9609824920628906E-3</v>
      </c>
      <c r="V973" s="10">
        <f t="shared" si="134"/>
        <v>5.7136485947241128E-3</v>
      </c>
    </row>
    <row r="974" spans="11:22">
      <c r="K974" s="66">
        <v>48.1</v>
      </c>
      <c r="L974" s="10">
        <f t="shared" si="136"/>
        <v>0.44954469661604629</v>
      </c>
      <c r="M974" s="10">
        <f t="shared" si="137"/>
        <v>0.31799520568427947</v>
      </c>
      <c r="N974" s="10">
        <f t="shared" si="138"/>
        <v>5.9403454393274477E-2</v>
      </c>
      <c r="O974" s="10">
        <f t="shared" si="139"/>
        <v>8.5237778270281089E-2</v>
      </c>
      <c r="P974" s="10">
        <f t="shared" si="140"/>
        <v>9.5674172522050363E-2</v>
      </c>
      <c r="Q974" s="66">
        <f t="shared" si="135"/>
        <v>2</v>
      </c>
      <c r="R974" s="10">
        <f t="shared" si="141"/>
        <v>3.9564918509699424E-3</v>
      </c>
      <c r="V974" s="10">
        <f t="shared" ref="V974:V1037" si="142">(1-L974)*M974*O974*P974*Q974</f>
        <v>2.8549562952266952E-3</v>
      </c>
    </row>
    <row r="975" spans="11:22">
      <c r="K975" s="66">
        <v>48.15</v>
      </c>
      <c r="L975" s="10">
        <f t="shared" si="136"/>
        <v>0.44820904639462833</v>
      </c>
      <c r="M975" s="10">
        <f t="shared" si="137"/>
        <v>0.31664038934816369</v>
      </c>
      <c r="N975" s="10">
        <f t="shared" si="138"/>
        <v>5.9618285830761508E-2</v>
      </c>
      <c r="O975" s="10">
        <f t="shared" si="139"/>
        <v>8.554619658212112E-2</v>
      </c>
      <c r="P975" s="10">
        <f t="shared" si="140"/>
        <v>9.5441059049567636E-2</v>
      </c>
      <c r="Q975" s="66">
        <f t="shared" ref="Q975:Q1038" si="143">IF(Q974=4,2,4)</f>
        <v>4</v>
      </c>
      <c r="R975" s="10">
        <f t="shared" si="141"/>
        <v>7.8650690498856396E-3</v>
      </c>
      <c r="V975" s="10">
        <f t="shared" si="142"/>
        <v>5.7060665627373169E-3</v>
      </c>
    </row>
    <row r="976" spans="11:22">
      <c r="K976" s="66">
        <v>48.2</v>
      </c>
      <c r="L976" s="10">
        <f t="shared" si="136"/>
        <v>0.44687255571856749</v>
      </c>
      <c r="M976" s="10">
        <f t="shared" si="137"/>
        <v>0.31528647435258844</v>
      </c>
      <c r="N976" s="10">
        <f t="shared" si="138"/>
        <v>5.9833895512062467E-2</v>
      </c>
      <c r="O976" s="10">
        <f t="shared" si="139"/>
        <v>8.5855732163603427E-2</v>
      </c>
      <c r="P976" s="10">
        <f t="shared" si="140"/>
        <v>9.5208513566225769E-2</v>
      </c>
      <c r="Q976" s="66">
        <f t="shared" si="143"/>
        <v>2</v>
      </c>
      <c r="R976" s="10">
        <f t="shared" si="141"/>
        <v>3.9086198898222674E-3</v>
      </c>
      <c r="V976" s="10">
        <f t="shared" si="142"/>
        <v>2.8510551874881785E-3</v>
      </c>
    </row>
    <row r="977" spans="11:22">
      <c r="K977" s="66">
        <v>48.25</v>
      </c>
      <c r="L977" s="10">
        <f t="shared" si="136"/>
        <v>0.44553523844679233</v>
      </c>
      <c r="M977" s="10">
        <f t="shared" si="137"/>
        <v>0.31393348101741836</v>
      </c>
      <c r="N977" s="10">
        <f t="shared" si="138"/>
        <v>6.0050286256427075E-2</v>
      </c>
      <c r="O977" s="10">
        <f t="shared" si="139"/>
        <v>8.6166389062125412E-2</v>
      </c>
      <c r="P977" s="10">
        <f t="shared" si="140"/>
        <v>9.4976534688099315E-2</v>
      </c>
      <c r="Q977" s="66">
        <f t="shared" si="143"/>
        <v>4</v>
      </c>
      <c r="R977" s="10">
        <f t="shared" si="141"/>
        <v>7.7694971316188636E-3</v>
      </c>
      <c r="V977" s="10">
        <f t="shared" si="142"/>
        <v>5.698043896753934E-3</v>
      </c>
    </row>
    <row r="978" spans="11:22">
      <c r="K978" s="66">
        <v>48.3</v>
      </c>
      <c r="L978" s="10">
        <f t="shared" si="136"/>
        <v>0.44419710851695626</v>
      </c>
      <c r="M978" s="10">
        <f t="shared" si="137"/>
        <v>0.3125814296960715</v>
      </c>
      <c r="N978" s="10">
        <f t="shared" si="138"/>
        <v>6.0267460893317776E-2</v>
      </c>
      <c r="O978" s="10">
        <f t="shared" si="139"/>
        <v>8.6478171339746363E-2</v>
      </c>
      <c r="P978" s="10">
        <f t="shared" si="140"/>
        <v>9.4745121034634852E-2</v>
      </c>
      <c r="Q978" s="66">
        <f t="shared" si="143"/>
        <v>2</v>
      </c>
      <c r="R978" s="10">
        <f t="shared" si="141"/>
        <v>3.8609211713830213E-3</v>
      </c>
      <c r="V978" s="10">
        <f t="shared" si="142"/>
        <v>2.8469335019425312E-3</v>
      </c>
    </row>
    <row r="979" spans="11:22">
      <c r="K979" s="66">
        <v>48.35</v>
      </c>
      <c r="L979" s="10">
        <f t="shared" si="136"/>
        <v>0.44285817994532178</v>
      </c>
      <c r="M979" s="10">
        <f t="shared" si="137"/>
        <v>0.31123034077466805</v>
      </c>
      <c r="N979" s="10">
        <f t="shared" si="138"/>
        <v>6.0485422262446985E-2</v>
      </c>
      <c r="O979" s="10">
        <f t="shared" si="139"/>
        <v>8.6791083073240918E-2</v>
      </c>
      <c r="P979" s="10">
        <f t="shared" si="140"/>
        <v>9.4514271228642643E-2</v>
      </c>
      <c r="Q979" s="66">
        <f t="shared" si="143"/>
        <v>4</v>
      </c>
      <c r="R979" s="10">
        <f t="shared" si="141"/>
        <v>7.674276646495959E-3</v>
      </c>
      <c r="V979" s="10">
        <f t="shared" si="142"/>
        <v>5.6895795784647233E-3</v>
      </c>
    </row>
    <row r="980" spans="11:22">
      <c r="K980" s="66">
        <v>48.4</v>
      </c>
      <c r="L980" s="10">
        <f t="shared" si="136"/>
        <v>0.44151846682663604</v>
      </c>
      <c r="M980" s="10">
        <f t="shared" si="137"/>
        <v>0.30988023467116987</v>
      </c>
      <c r="N980" s="10">
        <f t="shared" si="138"/>
        <v>6.0704173213814397E-2</v>
      </c>
      <c r="O980" s="10">
        <f t="shared" si="139"/>
        <v>8.7105128354151962E-2</v>
      </c>
      <c r="P980" s="10">
        <f t="shared" si="140"/>
        <v>9.4283983896288615E-2</v>
      </c>
      <c r="Q980" s="66">
        <f t="shared" si="143"/>
        <v>2</v>
      </c>
      <c r="R980" s="10">
        <f t="shared" si="141"/>
        <v>3.8134006362840586E-3</v>
      </c>
      <c r="V980" s="10">
        <f t="shared" si="142"/>
        <v>2.8425907544579309E-3</v>
      </c>
    </row>
    <row r="981" spans="11:22">
      <c r="K981" s="66">
        <v>48.45</v>
      </c>
      <c r="L981" s="10">
        <f t="shared" si="136"/>
        <v>0.44017798333400071</v>
      </c>
      <c r="M981" s="10">
        <f t="shared" si="137"/>
        <v>0.3085311318345087</v>
      </c>
      <c r="N981" s="10">
        <f t="shared" si="138"/>
        <v>6.092371660774374E-2</v>
      </c>
      <c r="O981" s="10">
        <f t="shared" si="139"/>
        <v>8.7420311288844157E-2</v>
      </c>
      <c r="P981" s="10">
        <f t="shared" si="140"/>
        <v>9.4054257667086028E-2</v>
      </c>
      <c r="Q981" s="66">
        <f t="shared" si="143"/>
        <v>4</v>
      </c>
      <c r="R981" s="10">
        <f t="shared" si="141"/>
        <v>7.5794174469885249E-3</v>
      </c>
      <c r="V981" s="10">
        <f t="shared" si="142"/>
        <v>5.6806726900369949E-3</v>
      </c>
    </row>
    <row r="982" spans="11:22">
      <c r="K982" s="66">
        <v>48.5</v>
      </c>
      <c r="L982" s="10">
        <f t="shared" si="136"/>
        <v>0.43883674371873865</v>
      </c>
      <c r="M982" s="10">
        <f t="shared" si="137"/>
        <v>0.30718305274371238</v>
      </c>
      <c r="N982" s="10">
        <f t="shared" si="138"/>
        <v>6.1144055314920648E-2</v>
      </c>
      <c r="O982" s="10">
        <f t="shared" si="139"/>
        <v>8.7736635998558188E-2</v>
      </c>
      <c r="P982" s="10">
        <f t="shared" si="140"/>
        <v>9.382509117388739E-2</v>
      </c>
      <c r="Q982" s="66">
        <f t="shared" si="143"/>
        <v>2</v>
      </c>
      <c r="R982" s="10">
        <f t="shared" si="141"/>
        <v>3.7660631959534003E-3</v>
      </c>
      <c r="V982" s="10">
        <f t="shared" si="142"/>
        <v>2.8380265115247809E-3</v>
      </c>
    </row>
    <row r="983" spans="11:22">
      <c r="K983" s="66">
        <v>48.55</v>
      </c>
      <c r="L983" s="10">
        <f t="shared" si="136"/>
        <v>0.43749476231025108</v>
      </c>
      <c r="M983" s="10">
        <f t="shared" si="137"/>
        <v>0.30583601790701664</v>
      </c>
      <c r="N983" s="10">
        <f t="shared" si="138"/>
        <v>6.1365192216430144E-2</v>
      </c>
      <c r="O983" s="10">
        <f t="shared" si="139"/>
        <v>8.8054106619464015E-2</v>
      </c>
      <c r="P983" s="10">
        <f t="shared" si="140"/>
        <v>9.359648305287635E-2</v>
      </c>
      <c r="Q983" s="66">
        <f t="shared" si="143"/>
        <v>4</v>
      </c>
      <c r="R983" s="10">
        <f t="shared" si="141"/>
        <v>7.4849293255128801E-3</v>
      </c>
      <c r="V983" s="10">
        <f t="shared" si="142"/>
        <v>5.6713224156447611E-3</v>
      </c>
    </row>
    <row r="984" spans="11:22">
      <c r="K984" s="66">
        <v>48.6</v>
      </c>
      <c r="L984" s="10">
        <f t="shared" si="136"/>
        <v>0.43615205351587211</v>
      </c>
      <c r="M984" s="10">
        <f t="shared" si="137"/>
        <v>0.30449004786097333</v>
      </c>
      <c r="N984" s="10">
        <f t="shared" si="138"/>
        <v>6.1587130203794076E-2</v>
      </c>
      <c r="O984" s="10">
        <f t="shared" si="139"/>
        <v>8.8372727302715157E-2</v>
      </c>
      <c r="P984" s="10">
        <f t="shared" si="140"/>
        <v>9.3368431943559482E-2</v>
      </c>
      <c r="Q984" s="66">
        <f t="shared" si="143"/>
        <v>2</v>
      </c>
      <c r="R984" s="10">
        <f t="shared" si="141"/>
        <v>3.7189137309669171E-3</v>
      </c>
      <c r="V984" s="10">
        <f t="shared" si="142"/>
        <v>2.8332403910150405E-3</v>
      </c>
    </row>
    <row r="985" spans="11:22">
      <c r="K985" s="66">
        <v>48.65</v>
      </c>
      <c r="L985" s="10">
        <f t="shared" si="136"/>
        <v>0.43480863182071677</v>
      </c>
      <c r="M985" s="10">
        <f t="shared" si="137"/>
        <v>0.30314516316954965</v>
      </c>
      <c r="N985" s="10">
        <f t="shared" si="138"/>
        <v>6.1809872179009115E-2</v>
      </c>
      <c r="O985" s="10">
        <f t="shared" si="139"/>
        <v>8.869250221450331E-2</v>
      </c>
      <c r="P985" s="10">
        <f t="shared" si="140"/>
        <v>9.3140936488758305E-2</v>
      </c>
      <c r="Q985" s="66">
        <f t="shared" si="143"/>
        <v>4</v>
      </c>
      <c r="R985" s="10">
        <f t="shared" si="141"/>
        <v>7.3908220111306554E-3</v>
      </c>
      <c r="V985" s="10">
        <f t="shared" si="142"/>
        <v>5.6615280429754503E-3</v>
      </c>
    </row>
    <row r="986" spans="11:22">
      <c r="K986" s="66">
        <v>48.7</v>
      </c>
      <c r="L986" s="10">
        <f t="shared" si="136"/>
        <v>0.43346451178752143</v>
      </c>
      <c r="M986" s="10">
        <f t="shared" si="137"/>
        <v>0.3018013844232168</v>
      </c>
      <c r="N986" s="10">
        <f t="shared" si="138"/>
        <v>6.2033421054584467E-2</v>
      </c>
      <c r="O986" s="10">
        <f t="shared" si="139"/>
        <v>8.9013435536112115E-2</v>
      </c>
      <c r="P986" s="10">
        <f t="shared" si="140"/>
        <v>9.2913995334601138E-2</v>
      </c>
      <c r="Q986" s="66">
        <f t="shared" si="143"/>
        <v>2</v>
      </c>
      <c r="R986" s="10">
        <f t="shared" si="141"/>
        <v>3.6719570893974066E-3</v>
      </c>
      <c r="V986" s="10">
        <f t="shared" si="142"/>
        <v>2.8282320629294342E-3</v>
      </c>
    </row>
    <row r="987" spans="11:22">
      <c r="K987" s="66">
        <v>48.75</v>
      </c>
      <c r="L987" s="10">
        <f t="shared" si="136"/>
        <v>0.43211970805648076</v>
      </c>
      <c r="M987" s="10">
        <f t="shared" si="137"/>
        <v>0.30045873223803538</v>
      </c>
      <c r="N987" s="10">
        <f t="shared" si="138"/>
        <v>6.225777975358044E-2</v>
      </c>
      <c r="O987" s="10">
        <f t="shared" si="139"/>
        <v>8.9335531463972509E-2</v>
      </c>
      <c r="P987" s="10">
        <f t="shared" si="140"/>
        <v>9.2687607130515021E-2</v>
      </c>
      <c r="Q987" s="66">
        <f t="shared" si="143"/>
        <v>4</v>
      </c>
      <c r="R987" s="10">
        <f t="shared" si="141"/>
        <v>7.2971051662450463E-3</v>
      </c>
      <c r="V987" s="10">
        <f t="shared" si="142"/>
        <v>5.6512889647117731E-3</v>
      </c>
    </row>
    <row r="988" spans="11:22">
      <c r="K988" s="66">
        <v>48.8</v>
      </c>
      <c r="L988" s="10">
        <f t="shared" si="136"/>
        <v>0.43077423534507664</v>
      </c>
      <c r="M988" s="10">
        <f t="shared" si="137"/>
        <v>0.29911722725472784</v>
      </c>
      <c r="N988" s="10">
        <f t="shared" si="138"/>
        <v>6.2482951209646163E-2</v>
      </c>
      <c r="O988" s="10">
        <f t="shared" si="139"/>
        <v>8.9658794209717202E-2</v>
      </c>
      <c r="P988" s="10">
        <f t="shared" si="140"/>
        <v>9.2461770529217779E-2</v>
      </c>
      <c r="Q988" s="66">
        <f t="shared" si="143"/>
        <v>2</v>
      </c>
      <c r="R988" s="10">
        <f t="shared" si="141"/>
        <v>3.625198085161957E-3</v>
      </c>
      <c r="V988" s="10">
        <f t="shared" si="142"/>
        <v>2.8230012501319177E-3</v>
      </c>
    </row>
    <row r="989" spans="11:22">
      <c r="K989" s="66">
        <v>48.85</v>
      </c>
      <c r="L989" s="10">
        <f t="shared" si="136"/>
        <v>0.4294281084479018</v>
      </c>
      <c r="M989" s="10">
        <f t="shared" si="137"/>
        <v>0.29777689013774589</v>
      </c>
      <c r="N989" s="10">
        <f t="shared" si="138"/>
        <v>6.2708938367058098E-2</v>
      </c>
      <c r="O989" s="10">
        <f t="shared" si="139"/>
        <v>8.9983228000236087E-2</v>
      </c>
      <c r="P989" s="10">
        <f t="shared" si="140"/>
        <v>9.2236484186709808E-2</v>
      </c>
      <c r="Q989" s="66">
        <f t="shared" si="143"/>
        <v>4</v>
      </c>
      <c r="R989" s="10">
        <f t="shared" si="141"/>
        <v>7.20378838329445E-3</v>
      </c>
      <c r="V989" s="10">
        <f t="shared" si="142"/>
        <v>5.640604679987414E-3</v>
      </c>
    </row>
    <row r="990" spans="11:22">
      <c r="K990" s="66">
        <v>48.9</v>
      </c>
      <c r="L990" s="10">
        <f t="shared" si="136"/>
        <v>0.42808134223647937</v>
      </c>
      <c r="M990" s="10">
        <f t="shared" si="137"/>
        <v>0.2964377415743315</v>
      </c>
      <c r="N990" s="10">
        <f t="shared" si="138"/>
        <v>6.2935744180758854E-2</v>
      </c>
      <c r="O990" s="10">
        <f t="shared" si="139"/>
        <v>9.0308837077731144E-2</v>
      </c>
      <c r="P990" s="10">
        <f t="shared" si="140"/>
        <v>9.2011746762266367E-2</v>
      </c>
      <c r="Q990" s="66">
        <f t="shared" si="143"/>
        <v>2</v>
      </c>
      <c r="R990" s="10">
        <f t="shared" si="141"/>
        <v>3.5786414963684676E-3</v>
      </c>
      <c r="V990" s="10">
        <f t="shared" si="142"/>
        <v>2.8175477290707609E-3</v>
      </c>
    </row>
    <row r="991" spans="11:22">
      <c r="K991" s="66">
        <v>48.95</v>
      </c>
      <c r="L991" s="10">
        <f t="shared" si="136"/>
        <v>0.42673395165907185</v>
      </c>
      <c r="M991" s="10">
        <f t="shared" si="137"/>
        <v>0.29509980227356453</v>
      </c>
      <c r="N991" s="10">
        <f t="shared" si="138"/>
        <v>6.3163371616395167E-2</v>
      </c>
      <c r="O991" s="10">
        <f t="shared" si="139"/>
        <v>9.0635625699771877E-2</v>
      </c>
      <c r="P991" s="10">
        <f t="shared" si="140"/>
        <v>9.178755691842938E-2</v>
      </c>
      <c r="Q991" s="66">
        <f t="shared" si="143"/>
        <v>4</v>
      </c>
      <c r="R991" s="10">
        <f t="shared" si="141"/>
        <v>7.1108811814454024E-3</v>
      </c>
      <c r="V991" s="10">
        <f t="shared" si="142"/>
        <v>5.6294747958152806E-3</v>
      </c>
    </row>
    <row r="992" spans="11:22">
      <c r="K992" s="66">
        <v>49</v>
      </c>
      <c r="L992" s="10">
        <f t="shared" si="136"/>
        <v>0.4253859517404891</v>
      </c>
      <c r="M992" s="10">
        <f t="shared" si="137"/>
        <v>0.29376309296540881</v>
      </c>
      <c r="N992" s="10">
        <f t="shared" si="138"/>
        <v>6.3391823650357365E-2</v>
      </c>
      <c r="O992" s="10">
        <f t="shared" si="139"/>
        <v>9.096359813935169E-2</v>
      </c>
      <c r="P992" s="10">
        <f t="shared" si="140"/>
        <v>9.1563913320999626E-2</v>
      </c>
      <c r="Q992" s="66">
        <f t="shared" si="143"/>
        <v>2</v>
      </c>
      <c r="R992" s="10">
        <f t="shared" si="141"/>
        <v>3.532292063662291E-3</v>
      </c>
      <c r="V992" s="10">
        <f t="shared" si="142"/>
        <v>2.8118713304855205E-3</v>
      </c>
    </row>
    <row r="993" spans="11:22">
      <c r="K993" s="66">
        <v>49.05</v>
      </c>
      <c r="L993" s="10">
        <f t="shared" si="136"/>
        <v>0.42403735758188704</v>
      </c>
      <c r="M993" s="10">
        <f t="shared" si="137"/>
        <v>0.29242763439974701</v>
      </c>
      <c r="N993" s="10">
        <f t="shared" si="138"/>
        <v>6.362110326981768E-2</v>
      </c>
      <c r="O993" s="10">
        <f t="shared" si="139"/>
        <v>9.1292758684942465E-2</v>
      </c>
      <c r="P993" s="10">
        <f t="shared" si="140"/>
        <v>9.1340814639028212E-2</v>
      </c>
      <c r="Q993" s="66">
        <f t="shared" si="143"/>
        <v>4</v>
      </c>
      <c r="R993" s="10">
        <f t="shared" si="141"/>
        <v>7.0183930032865216E-3</v>
      </c>
      <c r="V993" s="10">
        <f t="shared" si="142"/>
        <v>5.6178990284868119E-3</v>
      </c>
    </row>
    <row r="994" spans="11:22">
      <c r="K994" s="66">
        <v>49.1</v>
      </c>
      <c r="L994" s="10">
        <f t="shared" si="136"/>
        <v>0.42268818436055838</v>
      </c>
      <c r="M994" s="10">
        <f t="shared" si="137"/>
        <v>0.29109344734540515</v>
      </c>
      <c r="N994" s="10">
        <f t="shared" si="138"/>
        <v>6.3851213472770063E-2</v>
      </c>
      <c r="O994" s="10">
        <f t="shared" si="139"/>
        <v>9.1623111640552174E-2</v>
      </c>
      <c r="P994" s="10">
        <f t="shared" si="140"/>
        <v>9.1118259544809843E-2</v>
      </c>
      <c r="Q994" s="66">
        <f t="shared" si="143"/>
        <v>2</v>
      </c>
      <c r="R994" s="10">
        <f t="shared" si="141"/>
        <v>3.4861544885737825E-3</v>
      </c>
      <c r="V994" s="10">
        <f t="shared" si="142"/>
        <v>2.8059719400992211E-3</v>
      </c>
    </row>
    <row r="995" spans="11:22">
      <c r="K995" s="66">
        <v>49.15</v>
      </c>
      <c r="L995" s="10">
        <f t="shared" si="136"/>
        <v>0.42133844732972381</v>
      </c>
      <c r="M995" s="10">
        <f t="shared" si="137"/>
        <v>0.28976055258917749</v>
      </c>
      <c r="N995" s="10">
        <f t="shared" si="138"/>
        <v>6.4082157268068624E-2</v>
      </c>
      <c r="O995" s="10">
        <f t="shared" si="139"/>
        <v>9.1954661325780215E-2</v>
      </c>
      <c r="P995" s="10">
        <f t="shared" si="140"/>
        <v>9.0896246713873918E-2</v>
      </c>
      <c r="Q995" s="66">
        <f t="shared" si="143"/>
        <v>4</v>
      </c>
      <c r="R995" s="10">
        <f t="shared" si="141"/>
        <v>6.9263332115253387E-3</v>
      </c>
      <c r="V995" s="10">
        <f t="shared" si="142"/>
        <v>5.6058772049411114E-3</v>
      </c>
    </row>
    <row r="996" spans="11:22">
      <c r="K996" s="66">
        <v>49.2</v>
      </c>
      <c r="L996" s="10">
        <f t="shared" si="136"/>
        <v>0.41998816181830895</v>
      </c>
      <c r="M996" s="10">
        <f t="shared" si="137"/>
        <v>0.28842897093483483</v>
      </c>
      <c r="N996" s="10">
        <f t="shared" si="138"/>
        <v>6.4313937675467156E-2</v>
      </c>
      <c r="O996" s="10">
        <f t="shared" si="139"/>
        <v>9.2287412075873682E-2</v>
      </c>
      <c r="P996" s="10">
        <f t="shared" si="140"/>
        <v>9.0674774824976906E-2</v>
      </c>
      <c r="Q996" s="66">
        <f t="shared" si="143"/>
        <v>2</v>
      </c>
      <c r="R996" s="10">
        <f t="shared" si="141"/>
        <v>3.4402334318678509E-3</v>
      </c>
      <c r="V996" s="10">
        <f t="shared" si="142"/>
        <v>2.7998494992951704E-3</v>
      </c>
    </row>
    <row r="997" spans="11:22">
      <c r="K997" s="66">
        <v>49.25</v>
      </c>
      <c r="L997" s="10">
        <f t="shared" si="136"/>
        <v>0.41863734323072149</v>
      </c>
      <c r="M997" s="10">
        <f t="shared" si="137"/>
        <v>0.28709872320213042</v>
      </c>
      <c r="N997" s="10">
        <f t="shared" si="138"/>
        <v>6.4546557725659107E-2</v>
      </c>
      <c r="O997" s="10">
        <f t="shared" si="139"/>
        <v>9.2621368241784838E-2</v>
      </c>
      <c r="P997" s="10">
        <f t="shared" si="140"/>
        <v>9.0453842560094574E-2</v>
      </c>
      <c r="Q997" s="66">
        <f t="shared" si="143"/>
        <v>4</v>
      </c>
      <c r="R997" s="10">
        <f t="shared" si="141"/>
        <v>6.8347110856900716E-3</v>
      </c>
      <c r="V997" s="10">
        <f t="shared" si="142"/>
        <v>5.593409264102546E-3</v>
      </c>
    </row>
    <row r="998" spans="11:22">
      <c r="K998" s="66">
        <v>49.3</v>
      </c>
      <c r="L998" s="10">
        <f t="shared" si="136"/>
        <v>0.41728600704661634</v>
      </c>
      <c r="M998" s="10">
        <f t="shared" si="137"/>
        <v>0.28576983022579622</v>
      </c>
      <c r="N998" s="10">
        <f t="shared" si="138"/>
        <v>6.4780020460316612E-2</v>
      </c>
      <c r="O998" s="10">
        <f t="shared" si="139"/>
        <v>9.2956534190227341E-2</v>
      </c>
      <c r="P998" s="10">
        <f t="shared" si="140"/>
        <v>9.0233448604414165E-2</v>
      </c>
      <c r="Q998" s="66">
        <f t="shared" si="143"/>
        <v>2</v>
      </c>
      <c r="R998" s="10">
        <f t="shared" si="141"/>
        <v>3.39453351189632E-3</v>
      </c>
      <c r="V998" s="10">
        <f t="shared" si="142"/>
        <v>2.7935040057774987E-3</v>
      </c>
    </row>
    <row r="999" spans="11:22">
      <c r="K999" s="66">
        <v>49.35</v>
      </c>
      <c r="L999" s="10">
        <f t="shared" si="136"/>
        <v>0.41593416882065898</v>
      </c>
      <c r="M999" s="10">
        <f t="shared" si="137"/>
        <v>0.28444231285453131</v>
      </c>
      <c r="N999" s="10">
        <f t="shared" si="138"/>
        <v>6.5014328932130508E-2</v>
      </c>
      <c r="O999" s="10">
        <f t="shared" si="139"/>
        <v>9.3292914303733987E-2</v>
      </c>
      <c r="P999" s="10">
        <f t="shared" si="140"/>
        <v>9.0013591646326316E-2</v>
      </c>
      <c r="Q999" s="66">
        <f t="shared" si="143"/>
        <v>4</v>
      </c>
      <c r="R999" s="10">
        <f t="shared" si="141"/>
        <v>6.7435358188378874E-3</v>
      </c>
      <c r="V999" s="10">
        <f t="shared" si="142"/>
        <v>5.5804952581852349E-3</v>
      </c>
    </row>
    <row r="1000" spans="11:22">
      <c r="K1000" s="66">
        <v>49.4</v>
      </c>
      <c r="L1000" s="10">
        <f t="shared" si="136"/>
        <v>0.41458184418228056</v>
      </c>
      <c r="M1000" s="10">
        <f t="shared" si="137"/>
        <v>0.28311619194998555</v>
      </c>
      <c r="N1000" s="10">
        <f t="shared" si="138"/>
        <v>6.5249486204850479E-2</v>
      </c>
      <c r="O1000" s="10">
        <f t="shared" si="139"/>
        <v>9.3630512980713357E-2</v>
      </c>
      <c r="P1000" s="10">
        <f t="shared" si="140"/>
        <v>8.9794270377417759E-2</v>
      </c>
      <c r="Q1000" s="66">
        <f t="shared" si="143"/>
        <v>2</v>
      </c>
      <c r="R1000" s="10">
        <f t="shared" si="141"/>
        <v>3.349059302954145E-3</v>
      </c>
      <c r="V1000" s="10">
        <f t="shared" si="142"/>
        <v>2.7869355142149865E-3</v>
      </c>
    </row>
    <row r="1001" spans="11:22">
      <c r="K1001" s="66">
        <v>49.45</v>
      </c>
      <c r="L1001" s="10">
        <f t="shared" si="136"/>
        <v>0.41322904883542516</v>
      </c>
      <c r="M1001" s="10">
        <f t="shared" si="137"/>
        <v>0.28179148838573048</v>
      </c>
      <c r="N1001" s="10">
        <f t="shared" si="138"/>
        <v>6.5485495353324513E-2</v>
      </c>
      <c r="O1001" s="10">
        <f t="shared" si="139"/>
        <v>9.3969334635507468E-2</v>
      </c>
      <c r="P1001" s="10">
        <f t="shared" si="140"/>
        <v>8.957548349246286E-2</v>
      </c>
      <c r="Q1001" s="66">
        <f t="shared" si="143"/>
        <v>4</v>
      </c>
      <c r="R1001" s="10">
        <f t="shared" si="141"/>
        <v>6.6528165142719781E-3</v>
      </c>
      <c r="V1001" s="10">
        <f t="shared" si="142"/>
        <v>5.5671353539633196E-3</v>
      </c>
    </row>
    <row r="1002" spans="11:22">
      <c r="K1002" s="66">
        <v>49.5</v>
      </c>
      <c r="L1002" s="10">
        <f t="shared" si="136"/>
        <v>0.41187579855829309</v>
      </c>
      <c r="M1002" s="10">
        <f t="shared" si="137"/>
        <v>0.28046822304622809</v>
      </c>
      <c r="N1002" s="10">
        <f t="shared" si="138"/>
        <v>6.5722359463539701E-2</v>
      </c>
      <c r="O1002" s="10">
        <f t="shared" si="139"/>
        <v>9.4309383698450058E-2</v>
      </c>
      <c r="P1002" s="10">
        <f t="shared" si="140"/>
        <v>8.9357229689416548E-2</v>
      </c>
      <c r="Q1002" s="66">
        <f t="shared" si="143"/>
        <v>2</v>
      </c>
      <c r="R1002" s="10">
        <f t="shared" si="141"/>
        <v>3.3038153336404671E-3</v>
      </c>
      <c r="V1002" s="10">
        <f t="shared" si="142"/>
        <v>2.7801441368672996E-3</v>
      </c>
    </row>
    <row r="1003" spans="11:22">
      <c r="K1003" s="66">
        <v>49.55</v>
      </c>
      <c r="L1003" s="10">
        <f t="shared" si="136"/>
        <v>0.41052210920307591</v>
      </c>
      <c r="M1003" s="10">
        <f t="shared" si="137"/>
        <v>0.27914641682578839</v>
      </c>
      <c r="N1003" s="10">
        <f t="shared" si="138"/>
        <v>6.5960081632662412E-2</v>
      </c>
      <c r="O1003" s="10">
        <f t="shared" si="139"/>
        <v>9.4650664615923821E-2</v>
      </c>
      <c r="P1003" s="10">
        <f t="shared" si="140"/>
        <v>8.9139507669406065E-2</v>
      </c>
      <c r="Q1003" s="66">
        <f t="shared" si="143"/>
        <v>4</v>
      </c>
      <c r="R1003" s="10">
        <f t="shared" si="141"/>
        <v>6.5625621822691087E-3</v>
      </c>
      <c r="V1003" s="10">
        <f t="shared" si="142"/>
        <v>5.55332983400539E-3</v>
      </c>
    </row>
    <row r="1004" spans="11:22">
      <c r="K1004" s="66">
        <v>49.6</v>
      </c>
      <c r="L1004" s="10">
        <f t="shared" si="136"/>
        <v>0.40916799669568454</v>
      </c>
      <c r="M1004" s="10">
        <f t="shared" si="137"/>
        <v>0.27782609062752106</v>
      </c>
      <c r="N1004" s="10">
        <f t="shared" si="138"/>
        <v>6.6198664969078627E-2</v>
      </c>
      <c r="O1004" s="10">
        <f t="shared" si="139"/>
        <v>9.4993181850418787E-2</v>
      </c>
      <c r="P1004" s="10">
        <f t="shared" si="140"/>
        <v>8.8922316136723301E-2</v>
      </c>
      <c r="Q1004" s="66">
        <f t="shared" si="143"/>
        <v>2</v>
      </c>
      <c r="R1004" s="10">
        <f t="shared" si="141"/>
        <v>3.2588060852254412E-3</v>
      </c>
      <c r="V1004" s="10">
        <f t="shared" si="142"/>
        <v>2.7731300441930415E-3</v>
      </c>
    </row>
    <row r="1005" spans="11:22">
      <c r="K1005" s="66">
        <v>49.65</v>
      </c>
      <c r="L1005" s="10">
        <f t="shared" si="136"/>
        <v>0.40781347703547322</v>
      </c>
      <c r="M1005" s="10">
        <f t="shared" si="137"/>
        <v>0.27650726536228037</v>
      </c>
      <c r="N1005" s="10">
        <f t="shared" si="138"/>
        <v>6.6438112592434734E-2</v>
      </c>
      <c r="O1005" s="10">
        <f t="shared" si="139"/>
        <v>9.5336939880591068E-2</v>
      </c>
      <c r="P1005" s="10">
        <f t="shared" si="140"/>
        <v>8.8705653798817452E-2</v>
      </c>
      <c r="Q1005" s="66">
        <f t="shared" si="143"/>
        <v>4</v>
      </c>
      <c r="R1005" s="10">
        <f t="shared" si="141"/>
        <v>6.4727817368198616E-3</v>
      </c>
      <c r="V1005" s="10">
        <f t="shared" si="142"/>
        <v>5.5390790978718267E-3</v>
      </c>
    </row>
    <row r="1006" spans="11:22">
      <c r="K1006" s="66">
        <v>49.7</v>
      </c>
      <c r="L1006" s="10">
        <f t="shared" si="136"/>
        <v>0.40645856629495297</v>
      </c>
      <c r="M1006" s="10">
        <f t="shared" si="137"/>
        <v>0.27518996194760015</v>
      </c>
      <c r="N1006" s="10">
        <f t="shared" si="138"/>
        <v>6.6678427633678303E-2</v>
      </c>
      <c r="O1006" s="10">
        <f t="shared" si="139"/>
        <v>9.5681943201320521E-2</v>
      </c>
      <c r="P1006" s="10">
        <f t="shared" si="140"/>
        <v>8.8489519366286781E-2</v>
      </c>
      <c r="Q1006" s="66">
        <f t="shared" si="143"/>
        <v>2</v>
      </c>
      <c r="R1006" s="10">
        <f t="shared" si="141"/>
        <v>3.2140359900238451E-3</v>
      </c>
      <c r="V1006" s="10">
        <f t="shared" si="142"/>
        <v>2.7658934654388634E-3</v>
      </c>
    </row>
    <row r="1007" spans="11:22">
      <c r="K1007" s="66">
        <v>49.75</v>
      </c>
      <c r="L1007" s="10">
        <f t="shared" si="136"/>
        <v>0.40510328061950202</v>
      </c>
      <c r="M1007" s="10">
        <f t="shared" si="137"/>
        <v>0.27387420130662476</v>
      </c>
      <c r="N1007" s="10">
        <f t="shared" si="138"/>
        <v>6.6919613235098985E-2</v>
      </c>
      <c r="O1007" s="10">
        <f t="shared" si="139"/>
        <v>9.6028196323770465E-2</v>
      </c>
      <c r="P1007" s="10">
        <f t="shared" si="140"/>
        <v>8.8273911552871426E-2</v>
      </c>
      <c r="Q1007" s="66">
        <f t="shared" si="143"/>
        <v>4</v>
      </c>
      <c r="R1007" s="10">
        <f t="shared" si="141"/>
        <v>6.3834839923834338E-3</v>
      </c>
      <c r="V1007" s="10">
        <f t="shared" si="142"/>
        <v>5.5243836632735913E-3</v>
      </c>
    </row>
    <row r="1008" spans="11:22">
      <c r="K1008" s="66">
        <v>49.8</v>
      </c>
      <c r="L1008" s="10">
        <f t="shared" si="136"/>
        <v>0.40374763622706705</v>
      </c>
      <c r="M1008" s="10">
        <f t="shared" si="137"/>
        <v>0.27256000436703048</v>
      </c>
      <c r="N1008" s="10">
        <f t="shared" si="138"/>
        <v>6.7161672550369561E-2</v>
      </c>
      <c r="O1008" s="10">
        <f t="shared" si="139"/>
        <v>9.6375703775445992E-2</v>
      </c>
      <c r="P1008" s="10">
        <f t="shared" si="140"/>
        <v>8.8058829075445502E-2</v>
      </c>
      <c r="Q1008" s="66">
        <f t="shared" si="143"/>
        <v>2</v>
      </c>
      <c r="R1008" s="10">
        <f t="shared" si="141"/>
        <v>3.1695094297765087E-3</v>
      </c>
      <c r="V1008" s="10">
        <f t="shared" si="142"/>
        <v>2.7584346892089418E-3</v>
      </c>
    </row>
    <row r="1009" spans="11:22">
      <c r="K1009" s="66">
        <v>49.85</v>
      </c>
      <c r="L1009" s="10">
        <f t="shared" si="136"/>
        <v>0.40239164940785832</v>
      </c>
      <c r="M1009" s="10">
        <f t="shared" si="137"/>
        <v>0.27124739205994008</v>
      </c>
      <c r="N1009" s="10">
        <f t="shared" si="138"/>
        <v>6.7404608744587466E-2</v>
      </c>
      <c r="O1009" s="10">
        <f t="shared" si="139"/>
        <v>9.6724470100253798E-2</v>
      </c>
      <c r="P1009" s="10">
        <f t="shared" si="140"/>
        <v>8.7844270654009321E-2</v>
      </c>
      <c r="Q1009" s="66">
        <f t="shared" si="143"/>
        <v>4</v>
      </c>
      <c r="R1009" s="10">
        <f t="shared" si="141"/>
        <v>6.2946776606590893E-3</v>
      </c>
      <c r="V1009" s="10">
        <f t="shared" si="142"/>
        <v>5.5092441671910882E-3</v>
      </c>
    </row>
    <row r="1010" spans="11:22">
      <c r="K1010" s="66">
        <v>49.9</v>
      </c>
      <c r="L1010" s="10">
        <f t="shared" si="136"/>
        <v>0.40103533652403911</v>
      </c>
      <c r="M1010" s="10">
        <f t="shared" si="137"/>
        <v>0.26993638531883168</v>
      </c>
      <c r="N1010" s="10">
        <f t="shared" si="138"/>
        <v>6.7648424994315767E-2</v>
      </c>
      <c r="O1010" s="10">
        <f t="shared" si="139"/>
        <v>9.7074499858560995E-2</v>
      </c>
      <c r="P1010" s="10">
        <f t="shared" si="140"/>
        <v>8.7630235011682281E-2</v>
      </c>
      <c r="Q1010" s="66">
        <f t="shared" si="143"/>
        <v>2</v>
      </c>
      <c r="R1010" s="10">
        <f t="shared" si="141"/>
        <v>3.1252307340406118E-3</v>
      </c>
      <c r="V1010" s="10">
        <f t="shared" si="142"/>
        <v>2.7507540640142021E-3</v>
      </c>
    </row>
    <row r="1011" spans="11:22">
      <c r="K1011" s="66">
        <v>49.95</v>
      </c>
      <c r="L1011" s="10">
        <f t="shared" si="136"/>
        <v>0.39967871400940563</v>
      </c>
      <c r="M1011" s="10">
        <f t="shared" si="137"/>
        <v>0.2686270050784379</v>
      </c>
      <c r="N1011" s="10">
        <f t="shared" si="138"/>
        <v>6.7893124487624801E-2</v>
      </c>
      <c r="O1011" s="10">
        <f t="shared" si="139"/>
        <v>9.7425797627254757E-2</v>
      </c>
      <c r="P1011" s="10">
        <f t="shared" si="140"/>
        <v>8.7416720874694626E-2</v>
      </c>
      <c r="Q1011" s="66">
        <f t="shared" si="143"/>
        <v>4</v>
      </c>
      <c r="R1011" s="10">
        <f t="shared" si="141"/>
        <v>6.2063713473763209E-3</v>
      </c>
      <c r="V1011" s="10">
        <f t="shared" si="142"/>
        <v>5.4936613669516986E-3</v>
      </c>
    </row>
    <row r="1012" spans="11:22">
      <c r="K1012" s="66">
        <v>50</v>
      </c>
      <c r="L1012" s="10">
        <f t="shared" si="136"/>
        <v>0.39832179836906279</v>
      </c>
      <c r="M1012" s="10">
        <f t="shared" si="137"/>
        <v>0.26731927227364022</v>
      </c>
      <c r="N1012" s="10">
        <f t="shared" si="138"/>
        <v>6.8138710424134177E-2</v>
      </c>
      <c r="O1012" s="10">
        <f t="shared" si="139"/>
        <v>9.7778367999803051E-2</v>
      </c>
      <c r="P1012" s="10">
        <f t="shared" si="140"/>
        <v>8.7203726972380588E-2</v>
      </c>
      <c r="Q1012" s="66">
        <f t="shared" si="143"/>
        <v>2</v>
      </c>
      <c r="R1012" s="10">
        <f t="shared" si="141"/>
        <v>3.0812041785897989E-3</v>
      </c>
      <c r="V1012" s="10">
        <f t="shared" si="142"/>
        <v>2.7428519988004609E-3</v>
      </c>
    </row>
    <row r="1013" spans="11:22">
      <c r="K1013" s="66">
        <v>50.05</v>
      </c>
      <c r="L1013" s="10">
        <f t="shared" si="136"/>
        <v>0.39696460617909274</v>
      </c>
      <c r="M1013" s="10">
        <f t="shared" si="137"/>
        <v>0.26601320783835652</v>
      </c>
      <c r="N1013" s="10">
        <f t="shared" si="138"/>
        <v>6.8385186015054014E-2</v>
      </c>
      <c r="O1013" s="10">
        <f t="shared" si="139"/>
        <v>9.8132215586313146E-2</v>
      </c>
      <c r="P1013" s="10">
        <f t="shared" si="140"/>
        <v>8.6991252037169703E-2</v>
      </c>
      <c r="Q1013" s="66">
        <f t="shared" si="143"/>
        <v>4</v>
      </c>
      <c r="R1013" s="10">
        <f t="shared" si="141"/>
        <v>6.1185735491057101E-3</v>
      </c>
      <c r="V1013" s="10">
        <f t="shared" si="142"/>
        <v>5.4776361412645731E-3</v>
      </c>
    </row>
    <row r="1014" spans="11:22">
      <c r="K1014" s="66">
        <v>50.1</v>
      </c>
      <c r="L1014" s="10">
        <f t="shared" si="136"/>
        <v>0.39560715408621228</v>
      </c>
      <c r="M1014" s="10">
        <f t="shared" si="137"/>
        <v>0.26470883270441764</v>
      </c>
      <c r="N1014" s="10">
        <f t="shared" si="138"/>
        <v>6.8632554483227817E-2</v>
      </c>
      <c r="O1014" s="10">
        <f t="shared" si="139"/>
        <v>9.8487345013593589E-2</v>
      </c>
      <c r="P1014" s="10">
        <f t="shared" si="140"/>
        <v>8.6779294804580798E-2</v>
      </c>
      <c r="Q1014" s="66">
        <f t="shared" si="143"/>
        <v>2</v>
      </c>
      <c r="R1014" s="10">
        <f t="shared" si="141"/>
        <v>3.037433983825224E-3</v>
      </c>
      <c r="V1014" s="10">
        <f t="shared" si="142"/>
        <v>2.7347289634548858E-3</v>
      </c>
    </row>
    <row r="1015" spans="11:22">
      <c r="K1015" s="66">
        <v>50.15</v>
      </c>
      <c r="L1015" s="10">
        <f t="shared" si="136"/>
        <v>0.39424945880743117</v>
      </c>
      <c r="M1015" s="10">
        <f t="shared" si="137"/>
        <v>0.26340616780044385</v>
      </c>
      <c r="N1015" s="10">
        <f t="shared" si="138"/>
        <v>6.8880819063173712E-2</v>
      </c>
      <c r="O1015" s="10">
        <f t="shared" si="139"/>
        <v>9.8843760925213728E-2</v>
      </c>
      <c r="P1015" s="10">
        <f t="shared" si="140"/>
        <v>8.6567854013213291E-2</v>
      </c>
      <c r="Q1015" s="66">
        <f t="shared" si="143"/>
        <v>4</v>
      </c>
      <c r="R1015" s="10">
        <f t="shared" si="141"/>
        <v>6.031292650092778E-3</v>
      </c>
      <c r="V1015" s="10">
        <f t="shared" si="142"/>
        <v>5.4611694912113313E-3</v>
      </c>
    </row>
    <row r="1016" spans="11:22">
      <c r="K1016" s="66">
        <v>50.2</v>
      </c>
      <c r="L1016" s="10">
        <f t="shared" si="136"/>
        <v>0.39289153712969455</v>
      </c>
      <c r="M1016" s="10">
        <f t="shared" si="137"/>
        <v>0.26210523405070779</v>
      </c>
      <c r="N1016" s="10">
        <f t="shared" si="138"/>
        <v>6.9129983001127188E-2</v>
      </c>
      <c r="O1016" s="10">
        <f t="shared" si="139"/>
        <v>9.9201467981564206E-2</v>
      </c>
      <c r="P1016" s="10">
        <f t="shared" si="140"/>
        <v>8.6356928404739894E-2</v>
      </c>
      <c r="Q1016" s="66">
        <f t="shared" si="143"/>
        <v>2</v>
      </c>
      <c r="R1016" s="10">
        <f t="shared" si="141"/>
        <v>2.993924313198594E-3</v>
      </c>
      <c r="V1016" s="10">
        <f t="shared" si="142"/>
        <v>2.7263854892901002E-3</v>
      </c>
    </row>
    <row r="1017" spans="11:22">
      <c r="K1017" s="66">
        <v>50.25</v>
      </c>
      <c r="L1017" s="10">
        <f t="shared" si="136"/>
        <v>0.39153340590952529</v>
      </c>
      <c r="M1017" s="10">
        <f t="shared" si="137"/>
        <v>0.26080605237399496</v>
      </c>
      <c r="N1017" s="10">
        <f t="shared" si="138"/>
        <v>6.9380049555083548E-2</v>
      </c>
      <c r="O1017" s="10">
        <f t="shared" si="139"/>
        <v>9.9560470859918607E-2</v>
      </c>
      <c r="P1017" s="10">
        <f t="shared" si="140"/>
        <v>8.6146516723899627E-2</v>
      </c>
      <c r="Q1017" s="66">
        <f t="shared" si="143"/>
        <v>4</v>
      </c>
      <c r="R1017" s="10">
        <f t="shared" si="141"/>
        <v>5.9445369191167188E-3</v>
      </c>
      <c r="V1017" s="10">
        <f t="shared" si="142"/>
        <v>5.4442625411912377E-3</v>
      </c>
    </row>
    <row r="1018" spans="11:22">
      <c r="K1018" s="66">
        <v>50.3</v>
      </c>
      <c r="L1018" s="10">
        <f t="shared" si="136"/>
        <v>0.39017508207265555</v>
      </c>
      <c r="M1018" s="10">
        <f t="shared" si="137"/>
        <v>0.25950864368245641</v>
      </c>
      <c r="N1018" s="10">
        <f t="shared" si="138"/>
        <v>6.9631021994840295E-2</v>
      </c>
      <c r="O1018" s="10">
        <f t="shared" si="139"/>
        <v>9.9920774254494402E-2</v>
      </c>
      <c r="P1018" s="10">
        <f t="shared" si="140"/>
        <v>8.5936617718489677E-2</v>
      </c>
      <c r="Q1018" s="66">
        <f t="shared" si="143"/>
        <v>2</v>
      </c>
      <c r="R1018" s="10">
        <f t="shared" si="141"/>
        <v>2.9506792716481249E-3</v>
      </c>
      <c r="V1018" s="10">
        <f t="shared" si="142"/>
        <v>2.7178221695050592E-3</v>
      </c>
    </row>
    <row r="1019" spans="11:22">
      <c r="K1019" s="66">
        <v>50.35</v>
      </c>
      <c r="L1019" s="10">
        <f t="shared" si="136"/>
        <v>0.38881658261365121</v>
      </c>
      <c r="M1019" s="10">
        <f t="shared" si="137"/>
        <v>0.25821302888045272</v>
      </c>
      <c r="N1019" s="10">
        <f t="shared" si="138"/>
        <v>6.9882903602040303E-2</v>
      </c>
      <c r="O1019" s="10">
        <f t="shared" si="139"/>
        <v>0.10028238287651403</v>
      </c>
      <c r="P1019" s="10">
        <f t="shared" si="140"/>
        <v>8.5727230139358387E-2</v>
      </c>
      <c r="Q1019" s="66">
        <f t="shared" si="143"/>
        <v>4</v>
      </c>
      <c r="R1019" s="10">
        <f t="shared" si="141"/>
        <v>5.8583145063762984E-3</v>
      </c>
      <c r="V1019" s="10">
        <f t="shared" si="142"/>
        <v>5.4269165398195141E-3</v>
      </c>
    </row>
    <row r="1020" spans="11:22">
      <c r="K1020" s="66">
        <v>50.4</v>
      </c>
      <c r="L1020" s="10">
        <f t="shared" si="136"/>
        <v>0.38745792459553224</v>
      </c>
      <c r="M1020" s="10">
        <f t="shared" si="137"/>
        <v>0.2569192288633958</v>
      </c>
      <c r="N1020" s="10">
        <f t="shared" si="138"/>
        <v>7.0135697670214256E-2</v>
      </c>
      <c r="O1020" s="10">
        <f t="shared" si="139"/>
        <v>0.10064530145426687</v>
      </c>
      <c r="P1020" s="10">
        <f t="shared" si="140"/>
        <v>8.5518352740397846E-2</v>
      </c>
      <c r="Q1020" s="66">
        <f t="shared" si="143"/>
        <v>2</v>
      </c>
      <c r="R1020" s="10">
        <f t="shared" si="141"/>
        <v>2.9077029040487181E-3</v>
      </c>
      <c r="V1020" s="10">
        <f t="shared" si="142"/>
        <v>2.7090396596222729E-3</v>
      </c>
    </row>
    <row r="1021" spans="11:22">
      <c r="K1021" s="66">
        <v>50.45</v>
      </c>
      <c r="L1021" s="10">
        <f t="shared" si="136"/>
        <v>0.38609912514938061</v>
      </c>
      <c r="M1021" s="10">
        <f t="shared" si="137"/>
        <v>0.25562726451657847</v>
      </c>
      <c r="N1021" s="10">
        <f t="shared" si="138"/>
        <v>7.0389407504823864E-2</v>
      </c>
      <c r="O1021" s="10">
        <f t="shared" si="139"/>
        <v>0.10100953473317054</v>
      </c>
      <c r="P1021" s="10">
        <f t="shared" si="140"/>
        <v>8.5309984278536047E-2</v>
      </c>
      <c r="Q1021" s="66">
        <f t="shared" si="143"/>
        <v>4</v>
      </c>
      <c r="R1021" s="10">
        <f t="shared" si="141"/>
        <v>5.7726334404049539E-3</v>
      </c>
      <c r="V1021" s="10">
        <f t="shared" si="142"/>
        <v>5.4091328607773353E-3</v>
      </c>
    </row>
    <row r="1022" spans="11:22">
      <c r="K1022" s="66">
        <v>50.5</v>
      </c>
      <c r="L1022" s="10">
        <f t="shared" si="136"/>
        <v>0.38474020147394694</v>
      </c>
      <c r="M1022" s="10">
        <f t="shared" si="137"/>
        <v>0.25433715671400342</v>
      </c>
      <c r="N1022" s="10">
        <f t="shared" si="138"/>
        <v>7.0644036423305176E-2</v>
      </c>
      <c r="O1022" s="10">
        <f t="shared" si="139"/>
        <v>0.10137508747583382</v>
      </c>
      <c r="P1022" s="10">
        <f t="shared" si="140"/>
        <v>8.5102123513730074E-2</v>
      </c>
      <c r="Q1022" s="66">
        <f t="shared" si="143"/>
        <v>2</v>
      </c>
      <c r="R1022" s="10">
        <f t="shared" si="141"/>
        <v>2.8649991936771954E-3</v>
      </c>
      <c r="V1022" s="10">
        <f t="shared" si="142"/>
        <v>2.7000386779004607E-3</v>
      </c>
    </row>
    <row r="1023" spans="11:22">
      <c r="K1023" s="66">
        <v>50.55</v>
      </c>
      <c r="L1023" s="10">
        <f t="shared" si="136"/>
        <v>0.38338117083524492</v>
      </c>
      <c r="M1023" s="10">
        <f t="shared" si="137"/>
        <v>0.25304892631720149</v>
      </c>
      <c r="N1023" s="10">
        <f t="shared" si="138"/>
        <v>7.0899587755112098E-2</v>
      </c>
      <c r="O1023" s="10">
        <f t="shared" si="139"/>
        <v>0.1017419644621181</v>
      </c>
      <c r="P1023" s="10">
        <f t="shared" si="140"/>
        <v>8.4894769208958151E-2</v>
      </c>
      <c r="Q1023" s="66">
        <f t="shared" si="143"/>
        <v>4</v>
      </c>
      <c r="R1023" s="10">
        <f t="shared" si="141"/>
        <v>5.6875016250172977E-3</v>
      </c>
      <c r="V1023" s="10">
        <f t="shared" si="142"/>
        <v>5.390913003612211E-3</v>
      </c>
    </row>
    <row r="1024" spans="11:22">
      <c r="K1024" s="66">
        <v>50.6</v>
      </c>
      <c r="L1024" s="10">
        <f t="shared" si="136"/>
        <v>0.38202205056614047</v>
      </c>
      <c r="M1024" s="10">
        <f t="shared" si="137"/>
        <v>0.25176259417404467</v>
      </c>
      <c r="N1024" s="10">
        <f t="shared" si="138"/>
        <v>7.1156064841759528E-2</v>
      </c>
      <c r="O1024" s="10">
        <f t="shared" si="139"/>
        <v>0.10211017048920019</v>
      </c>
      <c r="P1024" s="10">
        <f t="shared" si="140"/>
        <v>8.468792013021266E-2</v>
      </c>
      <c r="Q1024" s="66">
        <f t="shared" si="143"/>
        <v>2</v>
      </c>
      <c r="R1024" s="10">
        <f t="shared" si="141"/>
        <v>2.8225720606938481E-3</v>
      </c>
      <c r="V1024" s="10">
        <f t="shared" si="142"/>
        <v>2.6908200057220951E-3</v>
      </c>
    </row>
    <row r="1025" spans="11:22">
      <c r="K1025" s="66">
        <v>50.65</v>
      </c>
      <c r="L1025" s="10">
        <f t="shared" si="136"/>
        <v>0.38066285806593525</v>
      </c>
      <c r="M1025" s="10">
        <f t="shared" si="137"/>
        <v>0.25047818111755565</v>
      </c>
      <c r="N1025" s="10">
        <f t="shared" si="138"/>
        <v>7.1413471036867335E-2</v>
      </c>
      <c r="O1025" s="10">
        <f t="shared" si="139"/>
        <v>0.1024797103716354</v>
      </c>
      <c r="P1025" s="10">
        <f t="shared" si="140"/>
        <v>8.4481575046492799E-2</v>
      </c>
      <c r="Q1025" s="66">
        <f t="shared" si="143"/>
        <v>4</v>
      </c>
      <c r="R1025" s="10">
        <f t="shared" si="141"/>
        <v>5.6029268362892022E-3</v>
      </c>
      <c r="V1025" s="10">
        <f t="shared" si="142"/>
        <v>5.3722585944873608E-3</v>
      </c>
    </row>
    <row r="1026" spans="11:22">
      <c r="K1026" s="66">
        <v>50.7</v>
      </c>
      <c r="L1026" s="10">
        <f t="shared" si="136"/>
        <v>0.37930361079993846</v>
      </c>
      <c r="M1026" s="10">
        <f t="shared" si="137"/>
        <v>0.24919570796470608</v>
      </c>
      <c r="N1026" s="10">
        <f t="shared" si="138"/>
        <v>7.1671809706204181E-2</v>
      </c>
      <c r="O1026" s="10">
        <f t="shared" si="139"/>
        <v>0.10285058894141957</v>
      </c>
      <c r="P1026" s="10">
        <f t="shared" si="140"/>
        <v>8.4275732729796923E-2</v>
      </c>
      <c r="Q1026" s="66">
        <f t="shared" si="143"/>
        <v>2</v>
      </c>
      <c r="R1026" s="10">
        <f t="shared" si="141"/>
        <v>2.7804253606412456E-3</v>
      </c>
      <c r="V1026" s="10">
        <f t="shared" si="142"/>
        <v>2.6813844879550824E-3</v>
      </c>
    </row>
    <row r="1027" spans="11:22">
      <c r="K1027" s="66">
        <v>50.75</v>
      </c>
      <c r="L1027" s="10">
        <f t="shared" si="136"/>
        <v>0.37794432629903629</v>
      </c>
      <c r="M1027" s="10">
        <f t="shared" si="137"/>
        <v>0.24791519551521363</v>
      </c>
      <c r="N1027" s="10">
        <f t="shared" si="138"/>
        <v>7.1931084227731409E-2</v>
      </c>
      <c r="O1027" s="10">
        <f t="shared" si="139"/>
        <v>0.10322281104805316</v>
      </c>
      <c r="P1027" s="10">
        <f t="shared" si="140"/>
        <v>8.4070391955115661E-2</v>
      </c>
      <c r="Q1027" s="66">
        <f t="shared" si="143"/>
        <v>4</v>
      </c>
      <c r="R1027" s="10">
        <f t="shared" si="141"/>
        <v>5.5189167195736546E-3</v>
      </c>
      <c r="V1027" s="10">
        <f t="shared" si="142"/>
        <v>5.3531713868787585E-3</v>
      </c>
    </row>
    <row r="1028" spans="11:22">
      <c r="K1028" s="66">
        <v>50.8</v>
      </c>
      <c r="L1028" s="10">
        <f t="shared" si="136"/>
        <v>0.37658502215924938</v>
      </c>
      <c r="M1028" s="10">
        <f t="shared" si="137"/>
        <v>0.24663666455033009</v>
      </c>
      <c r="N1028" s="10">
        <f t="shared" si="138"/>
        <v>7.2191297991647294E-2</v>
      </c>
      <c r="O1028" s="10">
        <f t="shared" si="139"/>
        <v>0.10359638155860443</v>
      </c>
      <c r="P1028" s="10">
        <f t="shared" si="140"/>
        <v>8.3865551500424268E-2</v>
      </c>
      <c r="Q1028" s="66">
        <f t="shared" si="143"/>
        <v>2</v>
      </c>
      <c r="R1028" s="10">
        <f t="shared" si="141"/>
        <v>2.7385628829614864E-3</v>
      </c>
      <c r="V1028" s="10">
        <f t="shared" si="142"/>
        <v>2.6717330332879088E-3</v>
      </c>
    </row>
    <row r="1029" spans="11:22">
      <c r="K1029" s="66">
        <v>50.85</v>
      </c>
      <c r="L1029" s="10">
        <f t="shared" si="136"/>
        <v>0.37522571604128613</v>
      </c>
      <c r="M1029" s="10">
        <f t="shared" si="137"/>
        <v>0.24536013583162439</v>
      </c>
      <c r="N1029" s="10">
        <f t="shared" si="138"/>
        <v>7.2452454400431521E-2</v>
      </c>
      <c r="O1029" s="10">
        <f t="shared" si="139"/>
        <v>0.10397130535777283</v>
      </c>
      <c r="P1029" s="10">
        <f t="shared" si="140"/>
        <v>8.3661210146675574E-2</v>
      </c>
      <c r="Q1029" s="66">
        <f t="shared" si="143"/>
        <v>4</v>
      </c>
      <c r="R1029" s="10">
        <f t="shared" si="141"/>
        <v>5.435478786554441E-3</v>
      </c>
      <c r="V1029" s="10">
        <f t="shared" si="142"/>
        <v>5.3336532622184629E-3</v>
      </c>
    </row>
    <row r="1030" spans="11:22">
      <c r="K1030" s="66">
        <v>50.9</v>
      </c>
      <c r="L1030" s="10">
        <f t="shared" si="136"/>
        <v>0.37386642567008704</v>
      </c>
      <c r="M1030" s="10">
        <f t="shared" si="137"/>
        <v>0.24408563009976023</v>
      </c>
      <c r="N1030" s="10">
        <f t="shared" si="138"/>
        <v>7.2714556868889446E-2</v>
      </c>
      <c r="O1030" s="10">
        <f t="shared" si="139"/>
        <v>0.10434758734795307</v>
      </c>
      <c r="P1030" s="10">
        <f t="shared" si="140"/>
        <v>8.3457366677792647E-2</v>
      </c>
      <c r="Q1030" s="66">
        <f t="shared" si="143"/>
        <v>2</v>
      </c>
      <c r="R1030" s="10">
        <f t="shared" si="141"/>
        <v>2.6969883495329625E-3</v>
      </c>
      <c r="V1030" s="10">
        <f t="shared" si="142"/>
        <v>2.6618666145376861E-3</v>
      </c>
    </row>
    <row r="1031" spans="11:22">
      <c r="K1031" s="66">
        <v>50.95</v>
      </c>
      <c r="L1031" s="10">
        <f t="shared" si="136"/>
        <v>0.37250716883436169</v>
      </c>
      <c r="M1031" s="10">
        <f t="shared" si="137"/>
        <v>0.24281316807326711</v>
      </c>
      <c r="N1031" s="10">
        <f t="shared" si="138"/>
        <v>7.2977608824196669E-2</v>
      </c>
      <c r="O1031" s="10">
        <f t="shared" si="139"/>
        <v>0.10472523244929886</v>
      </c>
      <c r="P1031" s="10">
        <f t="shared" si="140"/>
        <v>8.3254019880661542E-2</v>
      </c>
      <c r="Q1031" s="66">
        <f t="shared" si="143"/>
        <v>4</v>
      </c>
      <c r="R1031" s="10">
        <f t="shared" si="141"/>
        <v>5.3526204123399666E-3</v>
      </c>
      <c r="V1031" s="10">
        <f t="shared" si="142"/>
        <v>5.3137062304829145E-3</v>
      </c>
    </row>
    <row r="1032" spans="11:22">
      <c r="K1032" s="66">
        <v>51</v>
      </c>
      <c r="L1032" s="10">
        <f t="shared" si="136"/>
        <v>0.371147963386118</v>
      </c>
      <c r="M1032" s="10">
        <f t="shared" si="137"/>
        <v>0.24154277044730602</v>
      </c>
      <c r="N1032" s="10">
        <f t="shared" si="138"/>
        <v>7.3241613705944231E-2</v>
      </c>
      <c r="O1032" s="10">
        <f t="shared" si="139"/>
        <v>0.10510424559978827</v>
      </c>
      <c r="P1032" s="10">
        <f t="shared" si="140"/>
        <v>8.3051168545124371E-2</v>
      </c>
      <c r="Q1032" s="66">
        <f t="shared" si="143"/>
        <v>2</v>
      </c>
      <c r="R1032" s="10">
        <f t="shared" si="141"/>
        <v>2.6557054132276864E-3</v>
      </c>
      <c r="V1032" s="10">
        <f t="shared" si="142"/>
        <v>2.6517862689302658E-3</v>
      </c>
    </row>
    <row r="1033" spans="11:22">
      <c r="K1033" s="66">
        <v>51.05</v>
      </c>
      <c r="L1033" s="10">
        <f t="shared" si="136"/>
        <v>0.36978882724018575</v>
      </c>
      <c r="M1033" s="10">
        <f t="shared" si="137"/>
        <v>0.2402744578924311</v>
      </c>
      <c r="N1033" s="10">
        <f t="shared" si="138"/>
        <v>7.3506574966183069E-2</v>
      </c>
      <c r="O1033" s="10">
        <f t="shared" si="139"/>
        <v>0.10548463175528663</v>
      </c>
      <c r="P1033" s="10">
        <f t="shared" si="140"/>
        <v>8.2848811463971134E-2</v>
      </c>
      <c r="Q1033" s="66">
        <f t="shared" si="143"/>
        <v>4</v>
      </c>
      <c r="R1033" s="10">
        <f t="shared" si="141"/>
        <v>5.2703488325993855E-3</v>
      </c>
      <c r="V1033" s="10">
        <f t="shared" si="142"/>
        <v>5.2933324307249683E-3</v>
      </c>
    </row>
    <row r="1034" spans="11:22">
      <c r="K1034" s="66">
        <v>51.1</v>
      </c>
      <c r="L1034" s="10">
        <f t="shared" si="136"/>
        <v>0.36842977837372759</v>
      </c>
      <c r="M1034" s="10">
        <f t="shared" si="137"/>
        <v>0.23900825105334059</v>
      </c>
      <c r="N1034" s="10">
        <f t="shared" si="138"/>
        <v>7.3772496069469909E-2</v>
      </c>
      <c r="O1034" s="10">
        <f t="shared" si="139"/>
        <v>0.10586639588961311</v>
      </c>
      <c r="P1034" s="10">
        <f t="shared" si="140"/>
        <v>8.2646947432934117E-2</v>
      </c>
      <c r="Q1034" s="66">
        <f t="shared" si="143"/>
        <v>2</v>
      </c>
      <c r="R1034" s="10">
        <f t="shared" si="141"/>
        <v>2.6147176564903446E-3</v>
      </c>
      <c r="V1034" s="10">
        <f t="shared" si="142"/>
        <v>2.6414930983519364E-3</v>
      </c>
    </row>
    <row r="1035" spans="11:22">
      <c r="K1035" s="66">
        <v>51.15</v>
      </c>
      <c r="L1035" s="10">
        <f t="shared" si="136"/>
        <v>0.36707083482574948</v>
      </c>
      <c r="M1035" s="10">
        <f t="shared" si="137"/>
        <v>0.2377441705476302</v>
      </c>
      <c r="N1035" s="10">
        <f t="shared" si="138"/>
        <v>7.4039380492911727E-2</v>
      </c>
      <c r="O1035" s="10">
        <f t="shared" si="139"/>
        <v>0.10624954299460476</v>
      </c>
      <c r="P1035" s="10">
        <f t="shared" si="140"/>
        <v>8.2445575250679304E-2</v>
      </c>
      <c r="Q1035" s="66">
        <f t="shared" si="143"/>
        <v>4</v>
      </c>
      <c r="R1035" s="10">
        <f t="shared" si="141"/>
        <v>5.18867114074314E-3</v>
      </c>
      <c r="V1035" s="10">
        <f t="shared" si="142"/>
        <v>5.2725341315482399E-3</v>
      </c>
    </row>
    <row r="1036" spans="11:22">
      <c r="K1036" s="66">
        <v>51.2</v>
      </c>
      <c r="L1036" s="10">
        <f t="shared" ref="L1036:L1099" si="144">(B$7^K1036)*B$8^((B$5^25)*((B$5^K1036)-1))</f>
        <v>0.3657120146965977</v>
      </c>
      <c r="M1036" s="10">
        <f t="shared" ref="M1036:M1099" si="145">(B$7^K1036)*B$8^((B$5^30)*((B$5^K1036)-1))</f>
        <v>0.2364822369645343</v>
      </c>
      <c r="N1036" s="10">
        <f t="shared" si="138"/>
        <v>7.4307231726211731E-2</v>
      </c>
      <c r="O1036" s="10">
        <f t="shared" si="139"/>
        <v>0.10663407808018154</v>
      </c>
      <c r="P1036" s="10">
        <f t="shared" si="140"/>
        <v>8.2244693718799902E-2</v>
      </c>
      <c r="Q1036" s="66">
        <f t="shared" si="143"/>
        <v>2</v>
      </c>
      <c r="R1036" s="10">
        <f t="shared" si="141"/>
        <v>2.5740285899400971E-3</v>
      </c>
      <c r="V1036" s="10">
        <f t="shared" si="142"/>
        <v>2.6309882695719927E-3</v>
      </c>
    </row>
    <row r="1037" spans="11:22">
      <c r="K1037" s="66">
        <v>51.25</v>
      </c>
      <c r="L1037" s="10">
        <f t="shared" si="144"/>
        <v>0.36435333614745091</v>
      </c>
      <c r="M1037" s="10">
        <f t="shared" si="145"/>
        <v>0.2352224708636656</v>
      </c>
      <c r="N1037" s="10">
        <f t="shared" ref="N1037:N1100" si="146">B$3+B$4*(B$5^(25+K1037))</f>
        <v>7.4576053271714807E-2</v>
      </c>
      <c r="O1037" s="10">
        <f t="shared" ref="O1037:O1100" si="147">$B$3+$B$4*($B$5^(30+K1037))</f>
        <v>0.1070200061744125</v>
      </c>
      <c r="P1037" s="10">
        <f t="shared" ref="P1037:P1100" si="148">(1+B$6)^-K1037</f>
        <v>8.2044301641809161E-2</v>
      </c>
      <c r="Q1037" s="66">
        <f t="shared" si="143"/>
        <v>4</v>
      </c>
      <c r="R1037" s="10">
        <f t="shared" ref="R1037:R1100" si="149">L1037*M1037*(N1037+O1037)*P1037*Q1037</f>
        <v>5.1075942851502229E-3</v>
      </c>
      <c r="V1037" s="10">
        <f t="shared" si="142"/>
        <v>5.2513137315226303E-3</v>
      </c>
    </row>
    <row r="1038" spans="11:22">
      <c r="K1038" s="66">
        <v>51.3</v>
      </c>
      <c r="L1038" s="10">
        <f t="shared" si="144"/>
        <v>0.36299481739980394</v>
      </c>
      <c r="M1038" s="10">
        <f t="shared" si="145"/>
        <v>0.23396489277374832</v>
      </c>
      <c r="N1038" s="10">
        <f t="shared" si="146"/>
        <v>7.4845848644453317E-2</v>
      </c>
      <c r="O1038" s="10">
        <f t="shared" si="147"/>
        <v>0.10740733232358148</v>
      </c>
      <c r="P1038" s="10">
        <f t="shared" si="148"/>
        <v>8.1844397827133014E-2</v>
      </c>
      <c r="Q1038" s="66">
        <f t="shared" si="143"/>
        <v>2</v>
      </c>
      <c r="R1038" s="10">
        <f t="shared" si="149"/>
        <v>2.5336416509962683E-3</v>
      </c>
      <c r="V1038" s="10">
        <f t="shared" ref="V1038:V1101" si="150">(1-L1038)*M1038*O1038*P1038*Q1038</f>
        <v>2.6202730144354752E-3</v>
      </c>
    </row>
    <row r="1039" spans="11:22">
      <c r="K1039" s="66">
        <v>51.35</v>
      </c>
      <c r="L1039" s="10">
        <f t="shared" si="144"/>
        <v>0.36163647673494298</v>
      </c>
      <c r="M1039" s="10">
        <f t="shared" si="145"/>
        <v>0.23270952319134602</v>
      </c>
      <c r="N1039" s="10">
        <f t="shared" si="146"/>
        <v>7.5116621372193326E-2</v>
      </c>
      <c r="O1039" s="10">
        <f t="shared" si="147"/>
        <v>0.10779606159225258</v>
      </c>
      <c r="P1039" s="10">
        <f t="shared" si="148"/>
        <v>8.1644981085103249E-2</v>
      </c>
      <c r="Q1039" s="66">
        <f t="shared" ref="Q1039:Q1102" si="151">IF(Q1038=4,2,4)</f>
        <v>4</v>
      </c>
      <c r="R1039" s="10">
        <f t="shared" si="149"/>
        <v>5.0271250664442489E-3</v>
      </c>
      <c r="V1039" s="10">
        <f t="shared" si="150"/>
        <v>5.2296737595396749E-3</v>
      </c>
    </row>
    <row r="1040" spans="11:22">
      <c r="K1040" s="66">
        <v>51.4</v>
      </c>
      <c r="L1040" s="10">
        <f t="shared" si="144"/>
        <v>0.36027833249341523</v>
      </c>
      <c r="M1040" s="10">
        <f t="shared" si="145"/>
        <v>0.23145638257958598</v>
      </c>
      <c r="N1040" s="10">
        <f t="shared" si="146"/>
        <v>7.5388374995480331E-2</v>
      </c>
      <c r="O1040" s="10">
        <f t="shared" si="147"/>
        <v>0.10818619906333687</v>
      </c>
      <c r="P1040" s="10">
        <f t="shared" si="148"/>
        <v>8.1446050228950323E-2</v>
      </c>
      <c r="Q1040" s="66">
        <f t="shared" si="151"/>
        <v>2</v>
      </c>
      <c r="R1040" s="10">
        <f t="shared" si="149"/>
        <v>2.493560202529005E-3</v>
      </c>
      <c r="V1040" s="10">
        <f t="shared" si="150"/>
        <v>2.609348630025619E-3</v>
      </c>
    </row>
    <row r="1041" spans="11:22">
      <c r="K1041" s="66">
        <v>51.45</v>
      </c>
      <c r="L1041" s="10">
        <f t="shared" si="144"/>
        <v>0.35892040307448847</v>
      </c>
      <c r="M1041" s="10">
        <f t="shared" si="145"/>
        <v>0.23020549136687721</v>
      </c>
      <c r="N1041" s="10">
        <f t="shared" si="146"/>
        <v>7.5661113067685651E-2</v>
      </c>
      <c r="O1041" s="10">
        <f t="shared" si="147"/>
        <v>0.10857774983815831</v>
      </c>
      <c r="P1041" s="10">
        <f t="shared" si="148"/>
        <v>8.1247604074796254E-2</v>
      </c>
      <c r="Q1041" s="66">
        <f t="shared" si="151"/>
        <v>4</v>
      </c>
      <c r="R1041" s="10">
        <f t="shared" si="149"/>
        <v>4.9472701348205151E-3</v>
      </c>
      <c r="V1041" s="10">
        <f t="shared" si="150"/>
        <v>5.2076168751064933E-3</v>
      </c>
    </row>
    <row r="1042" spans="11:22">
      <c r="K1042" s="66">
        <v>51.5</v>
      </c>
      <c r="L1042" s="10">
        <f t="shared" si="144"/>
        <v>0.3575627069356041</v>
      </c>
      <c r="M1042" s="10">
        <f t="shared" si="145"/>
        <v>0.22895686994562409</v>
      </c>
      <c r="N1042" s="10">
        <f t="shared" si="146"/>
        <v>7.5934839155053058E-2</v>
      </c>
      <c r="O1042" s="10">
        <f t="shared" si="147"/>
        <v>0.10897071903652135</v>
      </c>
      <c r="P1042" s="10">
        <f t="shared" si="148"/>
        <v>8.1049641441647682E-2</v>
      </c>
      <c r="Q1042" s="66">
        <f t="shared" si="151"/>
        <v>2</v>
      </c>
      <c r="R1042" s="10">
        <f t="shared" si="149"/>
        <v>2.4537875315359821E-3</v>
      </c>
      <c r="V1042" s="10">
        <f t="shared" si="150"/>
        <v>2.5982164787952504E-3</v>
      </c>
    </row>
    <row r="1043" spans="11:22">
      <c r="K1043" s="66">
        <v>51.55</v>
      </c>
      <c r="L1043" s="10">
        <f t="shared" si="144"/>
        <v>0.35620526259182222</v>
      </c>
      <c r="M1043" s="10">
        <f t="shared" si="145"/>
        <v>0.22771053867093571</v>
      </c>
      <c r="N1043" s="10">
        <f t="shared" si="146"/>
        <v>7.620955683674549E-2</v>
      </c>
      <c r="O1043" s="10">
        <f t="shared" si="147"/>
        <v>0.10936511179677696</v>
      </c>
      <c r="P1043" s="10">
        <f t="shared" si="148"/>
        <v>8.0852161151388685E-2</v>
      </c>
      <c r="Q1043" s="66">
        <f t="shared" si="151"/>
        <v>4</v>
      </c>
      <c r="R1043" s="10">
        <f t="shared" si="149"/>
        <v>4.8680359874263279E-3</v>
      </c>
      <c r="V1043" s="10">
        <f t="shared" si="150"/>
        <v>5.1851458685772201E-3</v>
      </c>
    </row>
    <row r="1044" spans="11:22">
      <c r="K1044" s="66">
        <v>51.6</v>
      </c>
      <c r="L1044" s="10">
        <f t="shared" si="144"/>
        <v>0.35484808861525785</v>
      </c>
      <c r="M1044" s="10">
        <f t="shared" si="145"/>
        <v>0.22646651785933006</v>
      </c>
      <c r="N1044" s="10">
        <f t="shared" si="146"/>
        <v>7.6485269704891487E-2</v>
      </c>
      <c r="O1044" s="10">
        <f t="shared" si="147"/>
        <v>0.1097609332758902</v>
      </c>
      <c r="P1044" s="10">
        <f t="shared" si="148"/>
        <v>8.0655162028773986E-2</v>
      </c>
      <c r="Q1044" s="66">
        <f t="shared" si="151"/>
        <v>2</v>
      </c>
      <c r="R1044" s="10">
        <f t="shared" si="149"/>
        <v>2.4143268478462668E-3</v>
      </c>
      <c r="V1044" s="10">
        <f t="shared" si="150"/>
        <v>2.5868779886666312E-3</v>
      </c>
    </row>
    <row r="1045" spans="11:22">
      <c r="K1045" s="66">
        <v>51.65</v>
      </c>
      <c r="L1045" s="10">
        <f t="shared" si="144"/>
        <v>0.35349120363451181</v>
      </c>
      <c r="M1045" s="10">
        <f t="shared" si="145"/>
        <v>0.22522482778743455</v>
      </c>
      <c r="N1045" s="10">
        <f t="shared" si="146"/>
        <v>7.6761981364632401E-2</v>
      </c>
      <c r="O1045" s="10">
        <f t="shared" si="147"/>
        <v>0.11015818864950805</v>
      </c>
      <c r="P1045" s="10">
        <f t="shared" si="148"/>
        <v>8.0458642901421712E-2</v>
      </c>
      <c r="Q1045" s="66">
        <f t="shared" si="151"/>
        <v>4</v>
      </c>
      <c r="R1045" s="10">
        <f t="shared" si="149"/>
        <v>4.7894289657966181E-3</v>
      </c>
      <c r="V1045" s="10">
        <f t="shared" si="150"/>
        <v>5.1622636613206053E-3</v>
      </c>
    </row>
    <row r="1046" spans="11:22">
      <c r="K1046" s="66">
        <v>51.7</v>
      </c>
      <c r="L1046" s="10">
        <f t="shared" si="144"/>
        <v>0.35213462633409065</v>
      </c>
      <c r="M1046" s="10">
        <f t="shared" si="145"/>
        <v>0.22398548869068133</v>
      </c>
      <c r="N1046" s="10">
        <f t="shared" si="146"/>
        <v>7.7039695434169497E-2</v>
      </c>
      <c r="O1046" s="10">
        <f t="shared" si="147"/>
        <v>0.11055688311202604</v>
      </c>
      <c r="P1046" s="10">
        <f t="shared" si="148"/>
        <v>8.0262602599806609E-2</v>
      </c>
      <c r="Q1046" s="66">
        <f t="shared" si="151"/>
        <v>2</v>
      </c>
      <c r="R1046" s="10">
        <f t="shared" si="149"/>
        <v>2.3751812828523601E-3</v>
      </c>
      <c r="V1046" s="10">
        <f t="shared" si="150"/>
        <v>2.5753346530991098E-3</v>
      </c>
    </row>
    <row r="1047" spans="11:22">
      <c r="K1047" s="66">
        <v>51.75</v>
      </c>
      <c r="L1047" s="10">
        <f t="shared" si="144"/>
        <v>0.35077837545382107</v>
      </c>
      <c r="M1047" s="10">
        <f t="shared" si="145"/>
        <v>0.22274852076199897</v>
      </c>
      <c r="N1047" s="10">
        <f t="shared" si="146"/>
        <v>7.7318415544811253E-2</v>
      </c>
      <c r="O1047" s="10">
        <f t="shared" si="147"/>
        <v>0.11095702187665714</v>
      </c>
      <c r="P1047" s="10">
        <f t="shared" si="148"/>
        <v>8.0067039957253006E-2</v>
      </c>
      <c r="Q1047" s="66">
        <f t="shared" si="151"/>
        <v>4</v>
      </c>
      <c r="R1047" s="10">
        <f t="shared" si="149"/>
        <v>4.7114552533471087E-3</v>
      </c>
      <c r="V1047" s="10">
        <f t="shared" si="150"/>
        <v>5.1389733058227393E-3</v>
      </c>
    </row>
    <row r="1048" spans="11:22">
      <c r="K1048" s="66">
        <v>51.8</v>
      </c>
      <c r="L1048" s="10">
        <f t="shared" si="144"/>
        <v>0.34942246978825509</v>
      </c>
      <c r="M1048" s="10">
        <f t="shared" si="145"/>
        <v>0.2215139441504996</v>
      </c>
      <c r="N1048" s="10">
        <f t="shared" si="146"/>
        <v>7.759814534102083E-2</v>
      </c>
      <c r="O1048" s="10">
        <f t="shared" si="147"/>
        <v>0.11135861017549978</v>
      </c>
      <c r="P1048" s="10">
        <f t="shared" si="148"/>
        <v>7.9871953809927856E-2</v>
      </c>
      <c r="Q1048" s="66">
        <f t="shared" si="151"/>
        <v>2</v>
      </c>
      <c r="R1048" s="10">
        <f t="shared" si="149"/>
        <v>2.3363538882715637E-3</v>
      </c>
      <c r="V1048" s="10">
        <f t="shared" si="150"/>
        <v>2.5635880311240191E-3</v>
      </c>
    </row>
    <row r="1049" spans="11:22">
      <c r="K1049" s="66">
        <v>51.85</v>
      </c>
      <c r="L1049" s="10">
        <f t="shared" si="144"/>
        <v>0.34806692818606783</v>
      </c>
      <c r="M1049" s="10">
        <f t="shared" si="145"/>
        <v>0.22028177896016193</v>
      </c>
      <c r="N1049" s="10">
        <f t="shared" si="146"/>
        <v>7.7878888480463884E-2</v>
      </c>
      <c r="O1049" s="10">
        <f t="shared" si="147"/>
        <v>0.1117616532596058</v>
      </c>
      <c r="P1049" s="10">
        <f t="shared" si="148"/>
        <v>7.9677342996833864E-2</v>
      </c>
      <c r="Q1049" s="66">
        <f t="shared" si="151"/>
        <v>4</v>
      </c>
      <c r="R1049" s="10">
        <f t="shared" si="149"/>
        <v>4.6341208729271197E-3</v>
      </c>
      <c r="V1049" s="10">
        <f t="shared" si="150"/>
        <v>5.1152779857237237E-3</v>
      </c>
    </row>
    <row r="1050" spans="11:22">
      <c r="K1050" s="66">
        <v>51.9</v>
      </c>
      <c r="L1050" s="10">
        <f t="shared" si="144"/>
        <v>0.34671176954944771</v>
      </c>
      <c r="M1050" s="10">
        <f t="shared" si="145"/>
        <v>0.21905204524851116</v>
      </c>
      <c r="N1050" s="10">
        <f t="shared" si="146"/>
        <v>7.8160648634056168E-2</v>
      </c>
      <c r="O1050" s="10">
        <f t="shared" si="147"/>
        <v>0.11216615639904955</v>
      </c>
      <c r="P1050" s="10">
        <f t="shared" si="148"/>
        <v>7.9483206359802508E-2</v>
      </c>
      <c r="Q1050" s="66">
        <f t="shared" si="151"/>
        <v>2</v>
      </c>
      <c r="R1050" s="10">
        <f t="shared" si="149"/>
        <v>2.297847634937694E-3</v>
      </c>
      <c r="V1050" s="10">
        <f t="shared" si="150"/>
        <v>2.5516397473463116E-3</v>
      </c>
    </row>
    <row r="1051" spans="11:22">
      <c r="K1051" s="66">
        <v>51.95</v>
      </c>
      <c r="L1051" s="10">
        <f t="shared" si="144"/>
        <v>0.34535701283347764</v>
      </c>
      <c r="M1051" s="10">
        <f t="shared" si="145"/>
        <v>0.21782476302529405</v>
      </c>
      <c r="N1051" s="10">
        <f t="shared" si="146"/>
        <v>7.8443429486011421E-2</v>
      </c>
      <c r="O1051" s="10">
        <f t="shared" si="147"/>
        <v>0.11257212488299628</v>
      </c>
      <c r="P1051" s="10">
        <f t="shared" si="148"/>
        <v>7.9289542743487207E-2</v>
      </c>
      <c r="Q1051" s="66">
        <f t="shared" si="151"/>
        <v>4</v>
      </c>
      <c r="R1051" s="10">
        <f t="shared" si="149"/>
        <v>4.5574316844341099E-3</v>
      </c>
      <c r="V1051" s="10">
        <f t="shared" si="150"/>
        <v>5.0911810157871417E-3</v>
      </c>
    </row>
    <row r="1052" spans="11:22">
      <c r="K1052" s="66">
        <v>52</v>
      </c>
      <c r="L1052" s="10">
        <f t="shared" si="144"/>
        <v>0.3440026770455093</v>
      </c>
      <c r="M1052" s="10">
        <f t="shared" si="145"/>
        <v>0.21659995225115083</v>
      </c>
      <c r="N1052" s="10">
        <f t="shared" si="146"/>
        <v>7.8727234733890053E-2</v>
      </c>
      <c r="O1052" s="10">
        <f t="shared" si="147"/>
        <v>0.11297956401977238</v>
      </c>
      <c r="P1052" s="10">
        <f t="shared" si="148"/>
        <v>7.9096350995356543E-2</v>
      </c>
      <c r="Q1052" s="66">
        <f t="shared" si="151"/>
        <v>2</v>
      </c>
      <c r="R1052" s="10">
        <f t="shared" si="149"/>
        <v>2.2596654116241862E-3</v>
      </c>
      <c r="V1052" s="10">
        <f t="shared" si="150"/>
        <v>2.5394914919123052E-3</v>
      </c>
    </row>
    <row r="1053" spans="11:22">
      <c r="K1053" s="66">
        <v>52.05</v>
      </c>
      <c r="L1053" s="10">
        <f t="shared" si="144"/>
        <v>0.34264878124453019</v>
      </c>
      <c r="M1053" s="10">
        <f t="shared" si="145"/>
        <v>0.21537763283628458</v>
      </c>
      <c r="N1053" s="10">
        <f t="shared" si="146"/>
        <v>7.9012068088646789E-2</v>
      </c>
      <c r="O1053" s="10">
        <f t="shared" si="147"/>
        <v>0.11338847913693313</v>
      </c>
      <c r="P1053" s="10">
        <f t="shared" si="148"/>
        <v>7.8903629965686783E-2</v>
      </c>
      <c r="Q1053" s="66">
        <f t="shared" si="151"/>
        <v>4</v>
      </c>
      <c r="R1053" s="10">
        <f t="shared" si="149"/>
        <v>4.4813933824921475E-3</v>
      </c>
      <c r="V1053" s="10">
        <f t="shared" si="150"/>
        <v>5.0666858418014086E-3</v>
      </c>
    </row>
    <row r="1054" spans="11:22">
      <c r="K1054" s="66">
        <v>52.1</v>
      </c>
      <c r="L1054" s="10">
        <f t="shared" si="144"/>
        <v>0.3412953445405183</v>
      </c>
      <c r="M1054" s="10">
        <f t="shared" si="145"/>
        <v>0.21415782463912289</v>
      </c>
      <c r="N1054" s="10">
        <f t="shared" si="146"/>
        <v>7.9297933274680155E-2</v>
      </c>
      <c r="O1054" s="10">
        <f t="shared" si="147"/>
        <v>0.11379887558133409</v>
      </c>
      <c r="P1054" s="10">
        <f t="shared" si="148"/>
        <v>7.8711378507556287E-2</v>
      </c>
      <c r="Q1054" s="66">
        <f t="shared" si="151"/>
        <v>2</v>
      </c>
      <c r="R1054" s="10">
        <f t="shared" si="149"/>
        <v>2.2218100238997011E-3</v>
      </c>
      <c r="V1054" s="10">
        <f t="shared" si="150"/>
        <v>2.5271450204430905E-3</v>
      </c>
    </row>
    <row r="1055" spans="11:22">
      <c r="K1055" s="66">
        <v>52.15</v>
      </c>
      <c r="L1055" s="10">
        <f t="shared" si="144"/>
        <v>0.33994238609379557</v>
      </c>
      <c r="M1055" s="10">
        <f t="shared" si="145"/>
        <v>0.21294054746498298</v>
      </c>
      <c r="N1055" s="10">
        <f t="shared" si="146"/>
        <v>7.9584834029880105E-2</v>
      </c>
      <c r="O1055" s="10">
        <f t="shared" si="147"/>
        <v>0.11421075871920011</v>
      </c>
      <c r="P1055" s="10">
        <f t="shared" si="148"/>
        <v>7.8519595476837428E-2</v>
      </c>
      <c r="Q1055" s="66">
        <f t="shared" si="151"/>
        <v>4</v>
      </c>
      <c r="R1055" s="10">
        <f t="shared" si="149"/>
        <v>4.4060114941962825E-3</v>
      </c>
      <c r="V1055" s="10">
        <f t="shared" si="150"/>
        <v>5.0417960404117845E-3</v>
      </c>
    </row>
    <row r="1056" spans="11:22">
      <c r="K1056" s="66">
        <v>52.2</v>
      </c>
      <c r="L1056" s="10">
        <f t="shared" si="144"/>
        <v>0.33858992511436836</v>
      </c>
      <c r="M1056" s="10">
        <f t="shared" si="145"/>
        <v>0.21172582106472806</v>
      </c>
      <c r="N1056" s="10">
        <f t="shared" si="146"/>
        <v>7.9872774105677613E-2</v>
      </c>
      <c r="O1056" s="10">
        <f t="shared" si="147"/>
        <v>0.11462413393619515</v>
      </c>
      <c r="P1056" s="10">
        <f t="shared" si="148"/>
        <v>7.8328279732190392E-2</v>
      </c>
      <c r="Q1056" s="66">
        <f t="shared" si="151"/>
        <v>2</v>
      </c>
      <c r="R1056" s="10">
        <f t="shared" si="149"/>
        <v>2.1842841930171776E-3</v>
      </c>
      <c r="V1056" s="10">
        <f t="shared" si="150"/>
        <v>2.514602153933088E-3</v>
      </c>
    </row>
    <row r="1057" spans="11:22">
      <c r="K1057" s="66">
        <v>52.25</v>
      </c>
      <c r="L1057" s="10">
        <f t="shared" si="144"/>
        <v>0.33723798086126139</v>
      </c>
      <c r="M1057" s="10">
        <f t="shared" si="145"/>
        <v>0.21051366513342273</v>
      </c>
      <c r="N1057" s="10">
        <f t="shared" si="146"/>
        <v>8.0161757267093417E-2</v>
      </c>
      <c r="O1057" s="10">
        <f t="shared" si="147"/>
        <v>0.11503900663749343</v>
      </c>
      <c r="P1057" s="10">
        <f t="shared" si="148"/>
        <v>7.8137430135056335E-2</v>
      </c>
      <c r="Q1057" s="66">
        <f t="shared" si="151"/>
        <v>4</v>
      </c>
      <c r="R1057" s="10">
        <f t="shared" si="149"/>
        <v>4.331291376925E-3</v>
      </c>
      <c r="V1057" s="10">
        <f t="shared" si="150"/>
        <v>5.016515318882221E-3</v>
      </c>
    </row>
    <row r="1058" spans="11:22">
      <c r="K1058" s="66">
        <v>52.3</v>
      </c>
      <c r="L1058" s="10">
        <f t="shared" si="144"/>
        <v>0.33588657264184291</v>
      </c>
      <c r="M1058" s="10">
        <f t="shared" si="145"/>
        <v>0.20930409930898472</v>
      </c>
      <c r="N1058" s="10">
        <f t="shared" si="146"/>
        <v>8.0451787292787319E-2</v>
      </c>
      <c r="O1058" s="10">
        <f t="shared" si="147"/>
        <v>0.1154553822478501</v>
      </c>
      <c r="P1058" s="10">
        <f t="shared" si="148"/>
        <v>7.794704554965047E-2</v>
      </c>
      <c r="Q1058" s="66">
        <f t="shared" si="151"/>
        <v>2</v>
      </c>
      <c r="R1058" s="10">
        <f t="shared" si="149"/>
        <v>2.1470905548374403E-3</v>
      </c>
      <c r="V1058" s="10">
        <f t="shared" si="150"/>
        <v>2.5018647786131647E-3</v>
      </c>
    </row>
    <row r="1059" spans="11:22">
      <c r="K1059" s="66">
        <v>52.35</v>
      </c>
      <c r="L1059" s="10">
        <f t="shared" si="144"/>
        <v>0.33453571981114466</v>
      </c>
      <c r="M1059" s="10">
        <f t="shared" si="145"/>
        <v>0.20809714317083547</v>
      </c>
      <c r="N1059" s="10">
        <f t="shared" si="146"/>
        <v>8.0742867975107824E-2</v>
      </c>
      <c r="O1059" s="10">
        <f t="shared" si="147"/>
        <v>0.11587326621167153</v>
      </c>
      <c r="P1059" s="10">
        <f t="shared" si="148"/>
        <v>7.7757124842955466E-2</v>
      </c>
      <c r="Q1059" s="66">
        <f t="shared" si="151"/>
        <v>4</v>
      </c>
      <c r="R1059" s="10">
        <f t="shared" si="149"/>
        <v>4.2572382162226422E-3</v>
      </c>
      <c r="V1059" s="10">
        <f t="shared" si="150"/>
        <v>4.9908475147859661E-3</v>
      </c>
    </row>
    <row r="1060" spans="11:22">
      <c r="K1060" s="66">
        <v>52.4</v>
      </c>
      <c r="L1060" s="10">
        <f t="shared" si="144"/>
        <v>0.33318544177116943</v>
      </c>
      <c r="M1060" s="10">
        <f t="shared" si="145"/>
        <v>0.20689281623854536</v>
      </c>
      <c r="N1060" s="10">
        <f t="shared" si="146"/>
        <v>8.1035003120141363E-2</v>
      </c>
      <c r="O1060" s="10">
        <f t="shared" si="147"/>
        <v>0.11629266399308716</v>
      </c>
      <c r="P1060" s="10">
        <f t="shared" si="148"/>
        <v>7.7567666884714573E-2</v>
      </c>
      <c r="Q1060" s="66">
        <f t="shared" si="151"/>
        <v>2</v>
      </c>
      <c r="R1060" s="10">
        <f t="shared" si="149"/>
        <v>2.1102316587883261E-3</v>
      </c>
      <c r="V1060" s="10">
        <f t="shared" si="150"/>
        <v>2.4889348457780127E-3</v>
      </c>
    </row>
    <row r="1061" spans="11:22">
      <c r="K1061" s="66">
        <v>52.45</v>
      </c>
      <c r="L1061" s="10">
        <f t="shared" si="144"/>
        <v>0.33183575797019421</v>
      </c>
      <c r="M1061" s="10">
        <f t="shared" si="145"/>
        <v>0.20569113797047864</v>
      </c>
      <c r="N1061" s="10">
        <f t="shared" si="146"/>
        <v>8.1328196547762008E-2</v>
      </c>
      <c r="O1061" s="10">
        <f t="shared" si="147"/>
        <v>0.11671358107602019</v>
      </c>
      <c r="P1061" s="10">
        <f t="shared" si="148"/>
        <v>7.7378670547425005E-2</v>
      </c>
      <c r="Q1061" s="66">
        <f t="shared" si="151"/>
        <v>4</v>
      </c>
      <c r="R1061" s="10">
        <f t="shared" si="149"/>
        <v>4.1838570237539979E-3</v>
      </c>
      <c r="V1061" s="10">
        <f t="shared" si="150"/>
        <v>4.9647965956240488E-3</v>
      </c>
    </row>
    <row r="1062" spans="11:22">
      <c r="K1062" s="66">
        <v>52.5</v>
      </c>
      <c r="L1062" s="10">
        <f t="shared" si="144"/>
        <v>0.33048668790206348</v>
      </c>
      <c r="M1062" s="10">
        <f t="shared" si="145"/>
        <v>0.20449212776243467</v>
      </c>
      <c r="N1062" s="10">
        <f t="shared" si="146"/>
        <v>8.1622452091682049E-2</v>
      </c>
      <c r="O1062" s="10">
        <f t="shared" si="147"/>
        <v>0.11713602296426046</v>
      </c>
      <c r="P1062" s="10">
        <f t="shared" si="148"/>
        <v>7.7190134706331112E-2</v>
      </c>
      <c r="Q1062" s="66">
        <f t="shared" si="151"/>
        <v>2</v>
      </c>
      <c r="R1062" s="10">
        <f t="shared" si="149"/>
        <v>2.0737099668603309E-3</v>
      </c>
      <c r="V1062" s="10">
        <f t="shared" si="150"/>
        <v>2.4758143715771686E-3</v>
      </c>
    </row>
    <row r="1063" spans="11:22">
      <c r="K1063" s="66">
        <v>52.55</v>
      </c>
      <c r="L1063" s="10">
        <f t="shared" si="144"/>
        <v>0.32913825110547462</v>
      </c>
      <c r="M1063" s="10">
        <f t="shared" si="145"/>
        <v>0.20329580494628705</v>
      </c>
      <c r="N1063" s="10">
        <f t="shared" si="146"/>
        <v>8.191777359950142E-2</v>
      </c>
      <c r="O1063" s="10">
        <f t="shared" si="147"/>
        <v>0.11755999518153523</v>
      </c>
      <c r="P1063" s="10">
        <f t="shared" si="148"/>
        <v>7.7002058239417789E-2</v>
      </c>
      <c r="Q1063" s="66">
        <f t="shared" si="151"/>
        <v>4</v>
      </c>
      <c r="R1063" s="10">
        <f t="shared" si="149"/>
        <v>4.1111526353328452E-3</v>
      </c>
      <c r="V1063" s="10">
        <f t="shared" si="150"/>
        <v>4.9383666583708054E-3</v>
      </c>
    </row>
    <row r="1064" spans="11:22">
      <c r="K1064" s="66">
        <v>52.6</v>
      </c>
      <c r="L1064" s="10">
        <f t="shared" si="144"/>
        <v>0.32779046716325583</v>
      </c>
      <c r="M1064" s="10">
        <f t="shared" si="145"/>
        <v>0.20210218878862063</v>
      </c>
      <c r="N1064" s="10">
        <f t="shared" si="146"/>
        <v>8.221416493275828E-2</v>
      </c>
      <c r="O1064" s="10">
        <f t="shared" si="147"/>
        <v>0.11798550327158198</v>
      </c>
      <c r="P1064" s="10">
        <f t="shared" si="148"/>
        <v>7.6814440027403771E-2</v>
      </c>
      <c r="Q1064" s="66">
        <f t="shared" si="151"/>
        <v>2</v>
      </c>
      <c r="R1064" s="10">
        <f t="shared" si="149"/>
        <v>2.0375278526397851E-3</v>
      </c>
      <c r="V1064" s="10">
        <f t="shared" si="150"/>
        <v>2.4625054367693809E-3</v>
      </c>
    </row>
    <row r="1065" spans="11:22">
      <c r="K1065" s="66">
        <v>52.65</v>
      </c>
      <c r="L1065" s="10">
        <f t="shared" si="144"/>
        <v>0.32644335570163591</v>
      </c>
      <c r="M1065" s="10">
        <f t="shared" si="145"/>
        <v>0.20091129848936712</v>
      </c>
      <c r="N1065" s="10">
        <f t="shared" si="146"/>
        <v>8.2511629966979819E-2</v>
      </c>
      <c r="O1065" s="10">
        <f t="shared" si="147"/>
        <v>0.11841255279822116</v>
      </c>
      <c r="P1065" s="10">
        <f t="shared" si="148"/>
        <v>7.6627278953734945E-2</v>
      </c>
      <c r="Q1065" s="66">
        <f t="shared" si="151"/>
        <v>4</v>
      </c>
      <c r="R1065" s="10">
        <f t="shared" si="149"/>
        <v>4.039129709026504E-3</v>
      </c>
      <c r="V1065" s="10">
        <f t="shared" si="150"/>
        <v>4.9115619289455022E-3</v>
      </c>
    </row>
    <row r="1066" spans="11:22">
      <c r="K1066" s="66">
        <v>52.7</v>
      </c>
      <c r="L1066" s="10">
        <f t="shared" si="144"/>
        <v>0.3250969363895051</v>
      </c>
      <c r="M1066" s="10">
        <f t="shared" si="145"/>
        <v>0.19972315318043743</v>
      </c>
      <c r="N1066" s="10">
        <f t="shared" si="146"/>
        <v>8.2810172591732192E-2</v>
      </c>
      <c r="O1066" s="10">
        <f t="shared" si="147"/>
        <v>0.11884114934542798</v>
      </c>
      <c r="P1066" s="10">
        <f t="shared" si="148"/>
        <v>7.6440573904577716E-2</v>
      </c>
      <c r="Q1066" s="66">
        <f t="shared" si="151"/>
        <v>2</v>
      </c>
      <c r="R1066" s="10">
        <f t="shared" si="149"/>
        <v>2.0016876003804873E-3</v>
      </c>
      <c r="V1066" s="10">
        <f t="shared" si="150"/>
        <v>2.4490101864398255E-3</v>
      </c>
    </row>
    <row r="1067" spans="11:22">
      <c r="K1067" s="66">
        <v>52.75</v>
      </c>
      <c r="L1067" s="10">
        <f t="shared" si="144"/>
        <v>0.32375122893766928</v>
      </c>
      <c r="M1067" s="10">
        <f t="shared" si="145"/>
        <v>0.19853777192435371</v>
      </c>
      <c r="N1067" s="10">
        <f t="shared" si="146"/>
        <v>8.3109796710672104E-2</v>
      </c>
      <c r="O1067" s="10">
        <f t="shared" si="147"/>
        <v>0.11927129851740642</v>
      </c>
      <c r="P1067" s="10">
        <f t="shared" si="148"/>
        <v>7.6254323768812374E-2</v>
      </c>
      <c r="Q1067" s="66">
        <f t="shared" si="151"/>
        <v>4</v>
      </c>
      <c r="R1067" s="10">
        <f t="shared" si="149"/>
        <v>3.9677927233383384E-3</v>
      </c>
      <c r="V1067" s="10">
        <f t="shared" si="150"/>
        <v>4.8843867616094215E-3</v>
      </c>
    </row>
    <row r="1068" spans="11:22">
      <c r="K1068" s="66">
        <v>52.8</v>
      </c>
      <c r="L1068" s="10">
        <f t="shared" si="144"/>
        <v>0.32240625309809401</v>
      </c>
      <c r="M1068" s="10">
        <f t="shared" si="145"/>
        <v>0.19735517371287759</v>
      </c>
      <c r="N1068" s="10">
        <f t="shared" si="146"/>
        <v>8.341050624159739E-2</v>
      </c>
      <c r="O1068" s="10">
        <f t="shared" si="147"/>
        <v>0.11970300593866226</v>
      </c>
      <c r="P1068" s="10">
        <f t="shared" si="148"/>
        <v>7.6068527438026556E-2</v>
      </c>
      <c r="Q1068" s="66">
        <f t="shared" si="151"/>
        <v>2</v>
      </c>
      <c r="R1068" s="10">
        <f t="shared" si="149"/>
        <v>1.9661914041147603E-3</v>
      </c>
      <c r="V1068" s="10">
        <f t="shared" si="150"/>
        <v>2.4353308296798113E-3</v>
      </c>
    </row>
    <row r="1069" spans="11:22">
      <c r="K1069" s="66">
        <v>52.85</v>
      </c>
      <c r="L1069" s="10">
        <f t="shared" si="144"/>
        <v>0.32106202866314304</v>
      </c>
      <c r="M1069" s="10">
        <f t="shared" si="145"/>
        <v>0.19617537746564015</v>
      </c>
      <c r="N1069" s="10">
        <f t="shared" si="146"/>
        <v>8.3712305116498686E-2</v>
      </c>
      <c r="O1069" s="10">
        <f t="shared" si="147"/>
        <v>0.12013627725407623</v>
      </c>
      <c r="P1069" s="10">
        <f t="shared" si="148"/>
        <v>7.5883183806508422E-2</v>
      </c>
      <c r="Q1069" s="66">
        <f t="shared" si="151"/>
        <v>4</v>
      </c>
      <c r="R1069" s="10">
        <f t="shared" si="149"/>
        <v>3.8971459754699408E-3</v>
      </c>
      <c r="V1069" s="10">
        <f t="shared" si="150"/>
        <v>4.856845638287483E-3</v>
      </c>
    </row>
    <row r="1070" spans="11:22">
      <c r="K1070" s="66">
        <v>52.9</v>
      </c>
      <c r="L1070" s="10">
        <f t="shared" si="144"/>
        <v>0.31971857546480725</v>
      </c>
      <c r="M1070" s="10">
        <f t="shared" si="145"/>
        <v>0.19499840202876789</v>
      </c>
      <c r="N1070" s="10">
        <f t="shared" si="146"/>
        <v>8.4015197281610374E-2</v>
      </c>
      <c r="O1070" s="10">
        <f t="shared" si="147"/>
        <v>0.12057111812897815</v>
      </c>
      <c r="P1070" s="10">
        <f t="shared" si="148"/>
        <v>7.5698291771240461E-2</v>
      </c>
      <c r="Q1070" s="66">
        <f t="shared" si="151"/>
        <v>2</v>
      </c>
      <c r="R1070" s="10">
        <f t="shared" si="149"/>
        <v>1.9310413668048468E-3</v>
      </c>
      <c r="V1070" s="10">
        <f t="shared" si="150"/>
        <v>2.4214696392286521E-3</v>
      </c>
    </row>
    <row r="1071" spans="11:22">
      <c r="K1071" s="66">
        <v>52.95</v>
      </c>
      <c r="L1071" s="10">
        <f t="shared" si="144"/>
        <v>0.3183759133739249</v>
      </c>
      <c r="M1071" s="10">
        <f t="shared" si="145"/>
        <v>0.19382426617350793</v>
      </c>
      <c r="N1071" s="10">
        <f t="shared" si="146"/>
        <v>8.431918669746219E-2</v>
      </c>
      <c r="O1071" s="10">
        <f t="shared" si="147"/>
        <v>0.121007534249221</v>
      </c>
      <c r="P1071" s="10">
        <f t="shared" si="148"/>
        <v>7.5513850231892568E-2</v>
      </c>
      <c r="Q1071" s="66">
        <f t="shared" si="151"/>
        <v>4</v>
      </c>
      <c r="R1071" s="10">
        <f t="shared" si="149"/>
        <v>3.8271935796650156E-3</v>
      </c>
      <c r="V1071" s="10">
        <f t="shared" si="150"/>
        <v>4.8289431678138666E-3</v>
      </c>
    </row>
    <row r="1072" spans="11:22">
      <c r="K1072" s="66">
        <v>53</v>
      </c>
      <c r="L1072" s="10">
        <f t="shared" si="144"/>
        <v>0.31703406229939579</v>
      </c>
      <c r="M1072" s="10">
        <f t="shared" si="145"/>
        <v>0.19265298859485305</v>
      </c>
      <c r="N1072" s="10">
        <f t="shared" si="146"/>
        <v>8.4624277338931797E-2</v>
      </c>
      <c r="O1072" s="10">
        <f t="shared" si="147"/>
        <v>0.12144553132125532</v>
      </c>
      <c r="P1072" s="10">
        <f t="shared" si="148"/>
        <v>7.5329858090815757E-2</v>
      </c>
      <c r="Q1072" s="66">
        <f t="shared" si="151"/>
        <v>2</v>
      </c>
      <c r="R1072" s="10">
        <f t="shared" si="149"/>
        <v>1.8962394995355859E-3</v>
      </c>
      <c r="V1072" s="10">
        <f t="shared" si="150"/>
        <v>2.4074289510773311E-3</v>
      </c>
    </row>
    <row r="1073" spans="11:22">
      <c r="K1073" s="66">
        <v>53.05</v>
      </c>
      <c r="L1073" s="10">
        <f t="shared" si="144"/>
        <v>0.31569304218738675</v>
      </c>
      <c r="M1073" s="10">
        <f t="shared" si="145"/>
        <v>0.19148458791016629</v>
      </c>
      <c r="N1073" s="10">
        <f t="shared" si="146"/>
        <v>8.4930473195295314E-2</v>
      </c>
      <c r="O1073" s="10">
        <f t="shared" si="147"/>
        <v>0.12188511507220301</v>
      </c>
      <c r="P1073" s="10">
        <f t="shared" si="148"/>
        <v>7.5146314253035057E-2</v>
      </c>
      <c r="Q1073" s="66">
        <f t="shared" si="151"/>
        <v>4</v>
      </c>
      <c r="R1073" s="10">
        <f t="shared" si="149"/>
        <v>3.7579394656365854E-3</v>
      </c>
      <c r="V1073" s="10">
        <f t="shared" si="150"/>
        <v>4.8006840851008642E-3</v>
      </c>
    </row>
    <row r="1074" spans="11:22">
      <c r="K1074" s="66">
        <v>53.1</v>
      </c>
      <c r="L1074" s="10">
        <f t="shared" si="144"/>
        <v>0.31435287302052511</v>
      </c>
      <c r="M1074" s="10">
        <f t="shared" si="145"/>
        <v>0.19031908265780062</v>
      </c>
      <c r="N1074" s="10">
        <f t="shared" si="146"/>
        <v>8.5237778270281089E-2</v>
      </c>
      <c r="O1074" s="10">
        <f t="shared" si="147"/>
        <v>0.12232629124993415</v>
      </c>
      <c r="P1074" s="10">
        <f t="shared" si="148"/>
        <v>7.4963217626244069E-2</v>
      </c>
      <c r="Q1074" s="66">
        <f t="shared" si="151"/>
        <v>2</v>
      </c>
      <c r="R1074" s="10">
        <f t="shared" si="149"/>
        <v>1.8617877207491949E-3</v>
      </c>
      <c r="V1074" s="10">
        <f t="shared" si="150"/>
        <v>2.3932111640335985E-3</v>
      </c>
    </row>
    <row r="1075" spans="11:22">
      <c r="K1075" s="66">
        <v>53.15</v>
      </c>
      <c r="L1075" s="10">
        <f t="shared" si="144"/>
        <v>0.31301357481709224</v>
      </c>
      <c r="M1075" s="10">
        <f t="shared" si="145"/>
        <v>0.18915649129572504</v>
      </c>
      <c r="N1075" s="10">
        <f t="shared" si="146"/>
        <v>8.554619658212112E-2</v>
      </c>
      <c r="O1075" s="10">
        <f t="shared" si="147"/>
        <v>0.12276906562314013</v>
      </c>
      <c r="P1075" s="10">
        <f t="shared" si="148"/>
        <v>7.4780567120797531E-2</v>
      </c>
      <c r="Q1075" s="66">
        <f t="shared" si="151"/>
        <v>4</v>
      </c>
      <c r="R1075" s="10">
        <f t="shared" si="149"/>
        <v>3.6893873770793583E-3</v>
      </c>
      <c r="V1075" s="10">
        <f t="shared" si="150"/>
        <v>4.7720732502304413E-3</v>
      </c>
    </row>
    <row r="1076" spans="11:22">
      <c r="K1076" s="66">
        <v>53.2</v>
      </c>
      <c r="L1076" s="10">
        <f t="shared" si="144"/>
        <v>0.3116751676302017</v>
      </c>
      <c r="M1076" s="10">
        <f t="shared" si="145"/>
        <v>0.18799683220014415</v>
      </c>
      <c r="N1076" s="10">
        <f t="shared" si="146"/>
        <v>8.5855732163603427E-2</v>
      </c>
      <c r="O1076" s="10">
        <f t="shared" si="147"/>
        <v>0.12321344398140979</v>
      </c>
      <c r="P1076" s="10">
        <f t="shared" si="148"/>
        <v>7.4598361649705125E-2</v>
      </c>
      <c r="Q1076" s="66">
        <f t="shared" si="151"/>
        <v>2</v>
      </c>
      <c r="R1076" s="10">
        <f t="shared" si="149"/>
        <v>1.8276878555230722E-3</v>
      </c>
      <c r="V1076" s="10">
        <f t="shared" si="150"/>
        <v>2.3788187392483899E-3</v>
      </c>
    </row>
    <row r="1077" spans="11:22">
      <c r="K1077" s="66">
        <v>53.25</v>
      </c>
      <c r="L1077" s="10">
        <f t="shared" si="144"/>
        <v>0.31033767154697256</v>
      </c>
      <c r="M1077" s="10">
        <f t="shared" si="145"/>
        <v>0.18684012366412003</v>
      </c>
      <c r="N1077" s="10">
        <f t="shared" si="146"/>
        <v>8.6166389062125412E-2</v>
      </c>
      <c r="O1077" s="10">
        <f t="shared" si="147"/>
        <v>0.12365943213530546</v>
      </c>
      <c r="P1077" s="10">
        <f t="shared" si="148"/>
        <v>7.4416600128625054E-2</v>
      </c>
      <c r="Q1077" s="66">
        <f t="shared" si="151"/>
        <v>4</v>
      </c>
      <c r="R1077" s="10">
        <f t="shared" si="149"/>
        <v>3.6215408702689965E-3</v>
      </c>
      <c r="V1077" s="10">
        <f t="shared" si="150"/>
        <v>4.7431156474679369E-3</v>
      </c>
    </row>
    <row r="1078" spans="11:22">
      <c r="K1078" s="66">
        <v>53.3</v>
      </c>
      <c r="L1078" s="10">
        <f t="shared" si="144"/>
        <v>0.3090011066876942</v>
      </c>
      <c r="M1078" s="10">
        <f t="shared" si="145"/>
        <v>0.1856863838961936</v>
      </c>
      <c r="N1078" s="10">
        <f t="shared" si="146"/>
        <v>8.6478171339746363E-2</v>
      </c>
      <c r="O1078" s="10">
        <f t="shared" si="147"/>
        <v>0.12410703591643885</v>
      </c>
      <c r="P1078" s="10">
        <f t="shared" si="148"/>
        <v>7.4235281475857604E-2</v>
      </c>
      <c r="Q1078" s="66">
        <f t="shared" si="151"/>
        <v>2</v>
      </c>
      <c r="R1078" s="10">
        <f t="shared" si="149"/>
        <v>1.7939416348914201E-3</v>
      </c>
      <c r="V1078" s="10">
        <f t="shared" si="150"/>
        <v>2.3642541997030385E-3</v>
      </c>
    </row>
    <row r="1079" spans="11:22">
      <c r="K1079" s="66">
        <v>53.35</v>
      </c>
      <c r="L1079" s="10">
        <f t="shared" si="144"/>
        <v>0.30766549320498338</v>
      </c>
      <c r="M1079" s="10">
        <f t="shared" si="145"/>
        <v>0.18453563101900602</v>
      </c>
      <c r="N1079" s="10">
        <f t="shared" si="146"/>
        <v>8.6791083073240918E-2</v>
      </c>
      <c r="O1079" s="10">
        <f t="shared" si="147"/>
        <v>0.1245562611775469</v>
      </c>
      <c r="P1079" s="10">
        <f t="shared" si="148"/>
        <v>7.4054404612338517E-2</v>
      </c>
      <c r="Q1079" s="66">
        <f t="shared" si="151"/>
        <v>4</v>
      </c>
      <c r="R1079" s="10">
        <f t="shared" si="149"/>
        <v>3.5544033127497847E-3</v>
      </c>
      <c r="V1079" s="10">
        <f t="shared" si="150"/>
        <v>4.7138163841974109E-3</v>
      </c>
    </row>
    <row r="1080" spans="11:22">
      <c r="K1080" s="66">
        <v>53.4</v>
      </c>
      <c r="L1080" s="10">
        <f t="shared" si="144"/>
        <v>0.30633085128293319</v>
      </c>
      <c r="M1080" s="10">
        <f t="shared" si="145"/>
        <v>0.18338788306792037</v>
      </c>
      <c r="N1080" s="10">
        <f t="shared" si="146"/>
        <v>8.7105128354151962E-2</v>
      </c>
      <c r="O1080" s="10">
        <f t="shared" si="147"/>
        <v>0.12500711379256857</v>
      </c>
      <c r="P1080" s="10">
        <f t="shared" si="148"/>
        <v>7.3873968461632952E-2</v>
      </c>
      <c r="Q1080" s="66">
        <f t="shared" si="151"/>
        <v>2</v>
      </c>
      <c r="R1080" s="10">
        <f t="shared" si="149"/>
        <v>1.760550695211542E-3</v>
      </c>
      <c r="V1080" s="10">
        <f t="shared" si="150"/>
        <v>2.3495201296573308E-3</v>
      </c>
    </row>
    <row r="1081" spans="11:22">
      <c r="K1081" s="66">
        <v>53.45</v>
      </c>
      <c r="L1081" s="10">
        <f t="shared" si="144"/>
        <v>0.30499720113625256</v>
      </c>
      <c r="M1081" s="10">
        <f t="shared" si="145"/>
        <v>0.18224315798964255</v>
      </c>
      <c r="N1081" s="10">
        <f t="shared" si="146"/>
        <v>8.7420311288844157E-2</v>
      </c>
      <c r="O1081" s="10">
        <f t="shared" si="147"/>
        <v>0.12545959965672168</v>
      </c>
      <c r="P1081" s="10">
        <f t="shared" si="148"/>
        <v>7.3693971949928563E-2</v>
      </c>
      <c r="Q1081" s="66">
        <f t="shared" si="151"/>
        <v>4</v>
      </c>
      <c r="R1081" s="10">
        <f t="shared" si="149"/>
        <v>3.4879778821124701E-3</v>
      </c>
      <c r="V1081" s="10">
        <f t="shared" si="150"/>
        <v>4.684180689778189E-3</v>
      </c>
    </row>
    <row r="1082" spans="11:22">
      <c r="K1082" s="66">
        <v>53.5</v>
      </c>
      <c r="L1082" s="10">
        <f t="shared" si="144"/>
        <v>0.30366456300940148</v>
      </c>
      <c r="M1082" s="10">
        <f t="shared" si="145"/>
        <v>0.18110147364084514</v>
      </c>
      <c r="N1082" s="10">
        <f t="shared" si="146"/>
        <v>8.7736635998558188E-2</v>
      </c>
      <c r="O1082" s="10">
        <f t="shared" si="147"/>
        <v>0.12591372468657996</v>
      </c>
      <c r="P1082" s="10">
        <f t="shared" si="148"/>
        <v>7.3514414006029608E-2</v>
      </c>
      <c r="Q1082" s="66">
        <f t="shared" si="151"/>
        <v>2</v>
      </c>
      <c r="R1082" s="10">
        <f t="shared" si="149"/>
        <v>1.7275165775755409E-3</v>
      </c>
      <c r="V1082" s="10">
        <f t="shared" si="150"/>
        <v>2.3346191740579877E-3</v>
      </c>
    </row>
    <row r="1083" spans="11:22">
      <c r="K1083" s="66">
        <v>53.55</v>
      </c>
      <c r="L1083" s="10">
        <f t="shared" si="144"/>
        <v>0.30233295717571324</v>
      </c>
      <c r="M1083" s="10">
        <f t="shared" si="145"/>
        <v>0.17996284778678856</v>
      </c>
      <c r="N1083" s="10">
        <f t="shared" si="146"/>
        <v>8.8054106619464015E-2</v>
      </c>
      <c r="O1083" s="10">
        <f t="shared" si="147"/>
        <v>0.12636949482015028</v>
      </c>
      <c r="P1083" s="10">
        <f t="shared" si="148"/>
        <v>7.3335293561350309E-2</v>
      </c>
      <c r="Q1083" s="66">
        <f t="shared" si="151"/>
        <v>4</v>
      </c>
      <c r="R1083" s="10">
        <f t="shared" si="149"/>
        <v>3.4222675648636859E-3</v>
      </c>
      <c r="V1083" s="10">
        <f t="shared" si="150"/>
        <v>4.6542139143222732E-3</v>
      </c>
    </row>
    <row r="1084" spans="11:22">
      <c r="K1084" s="66">
        <v>53.6</v>
      </c>
      <c r="L1084" s="10">
        <f t="shared" si="144"/>
        <v>0.30100240393651351</v>
      </c>
      <c r="M1084" s="10">
        <f t="shared" si="145"/>
        <v>0.1788272980999461</v>
      </c>
      <c r="N1084" s="10">
        <f t="shared" si="146"/>
        <v>8.8372727302715157E-2</v>
      </c>
      <c r="O1084" s="10">
        <f t="shared" si="147"/>
        <v>0.12682691601695062</v>
      </c>
      <c r="P1084" s="10">
        <f t="shared" si="148"/>
        <v>7.3156609549908352E-2</v>
      </c>
      <c r="Q1084" s="66">
        <f t="shared" si="151"/>
        <v>2</v>
      </c>
      <c r="R1084" s="10">
        <f t="shared" si="149"/>
        <v>1.6948407272682551E-3</v>
      </c>
      <c r="V1084" s="10">
        <f t="shared" si="150"/>
        <v>2.3195540379075332E-3</v>
      </c>
    </row>
    <row r="1085" spans="11:22">
      <c r="K1085" s="66">
        <v>53.65</v>
      </c>
      <c r="L1085" s="10">
        <f t="shared" si="144"/>
        <v>0.29967292362022807</v>
      </c>
      <c r="M1085" s="10">
        <f t="shared" si="145"/>
        <v>0.17769484215862807</v>
      </c>
      <c r="N1085" s="10">
        <f t="shared" si="146"/>
        <v>8.869250221450331E-2</v>
      </c>
      <c r="O1085" s="10">
        <f t="shared" si="147"/>
        <v>0.12728599425808773</v>
      </c>
      <c r="P1085" s="10">
        <f t="shared" si="148"/>
        <v>7.2978360908319023E-2</v>
      </c>
      <c r="Q1085" s="66">
        <f t="shared" si="151"/>
        <v>4</v>
      </c>
      <c r="R1085" s="10">
        <f t="shared" si="149"/>
        <v>3.3572751553885157E-3</v>
      </c>
      <c r="V1085" s="10">
        <f t="shared" si="150"/>
        <v>4.6239215273922805E-3</v>
      </c>
    </row>
    <row r="1086" spans="11:22">
      <c r="K1086" s="66">
        <v>53.7</v>
      </c>
      <c r="L1086" s="10">
        <f t="shared" si="144"/>
        <v>0.29834453658148441</v>
      </c>
      <c r="M1086" s="10">
        <f t="shared" si="145"/>
        <v>0.1765654974456074</v>
      </c>
      <c r="N1086" s="10">
        <f t="shared" si="146"/>
        <v>8.9013435536112115E-2</v>
      </c>
      <c r="O1086" s="10">
        <f t="shared" si="147"/>
        <v>0.12774673554633509</v>
      </c>
      <c r="P1086" s="10">
        <f t="shared" si="148"/>
        <v>7.2800546575788286E-2</v>
      </c>
      <c r="Q1086" s="66">
        <f t="shared" si="151"/>
        <v>2</v>
      </c>
      <c r="R1086" s="10">
        <f t="shared" si="149"/>
        <v>1.6625244932720654E-3</v>
      </c>
      <c r="V1086" s="10">
        <f t="shared" si="150"/>
        <v>2.3043274855933348E-3</v>
      </c>
    </row>
    <row r="1087" spans="11:22">
      <c r="K1087" s="66">
        <v>53.75</v>
      </c>
      <c r="L1087" s="10">
        <f t="shared" si="144"/>
        <v>0.29701726320020538</v>
      </c>
      <c r="M1087" s="10">
        <f t="shared" si="145"/>
        <v>0.17543928134674783</v>
      </c>
      <c r="N1087" s="10">
        <f t="shared" si="146"/>
        <v>8.9335531463972509E-2</v>
      </c>
      <c r="O1087" s="10">
        <f t="shared" si="147"/>
        <v>0.12820914590621188</v>
      </c>
      <c r="P1087" s="10">
        <f t="shared" si="148"/>
        <v>7.2623165494107009E-2</v>
      </c>
      <c r="Q1087" s="66">
        <f t="shared" si="151"/>
        <v>4</v>
      </c>
      <c r="R1087" s="10">
        <f t="shared" si="149"/>
        <v>3.2930032550075954E-3</v>
      </c>
      <c r="V1087" s="10">
        <f t="shared" si="150"/>
        <v>4.5933091166196031E-3</v>
      </c>
    </row>
    <row r="1088" spans="11:22">
      <c r="K1088" s="66">
        <v>53.8</v>
      </c>
      <c r="L1088" s="10">
        <f t="shared" si="144"/>
        <v>0.29569112388069368</v>
      </c>
      <c r="M1088" s="10">
        <f t="shared" si="145"/>
        <v>0.17431621114963095</v>
      </c>
      <c r="N1088" s="10">
        <f t="shared" si="146"/>
        <v>8.9658794209717202E-2</v>
      </c>
      <c r="O1088" s="10">
        <f t="shared" si="147"/>
        <v>0.12867323138406192</v>
      </c>
      <c r="P1088" s="10">
        <f t="shared" si="148"/>
        <v>7.2446216607644331E-2</v>
      </c>
      <c r="Q1088" s="66">
        <f t="shared" si="151"/>
        <v>2</v>
      </c>
      <c r="R1088" s="10">
        <f t="shared" si="149"/>
        <v>1.6305691278193527E-3</v>
      </c>
      <c r="V1088" s="10">
        <f t="shared" si="150"/>
        <v>2.2889423401767227E-3</v>
      </c>
    </row>
    <row r="1089" spans="11:22">
      <c r="K1089" s="66">
        <v>53.85</v>
      </c>
      <c r="L1089" s="10">
        <f t="shared" si="144"/>
        <v>0.29436613905070985</v>
      </c>
      <c r="M1089" s="10">
        <f t="shared" si="145"/>
        <v>0.17319630404218769</v>
      </c>
      <c r="N1089" s="10">
        <f t="shared" si="146"/>
        <v>8.9983228000236087E-2</v>
      </c>
      <c r="O1089" s="10">
        <f t="shared" si="147"/>
        <v>0.12913899804813192</v>
      </c>
      <c r="P1089" s="10">
        <f t="shared" si="148"/>
        <v>7.226969886334135E-2</v>
      </c>
      <c r="Q1089" s="66">
        <f t="shared" si="151"/>
        <v>4</v>
      </c>
      <c r="R1089" s="10">
        <f t="shared" si="149"/>
        <v>3.2294542711301601E-3</v>
      </c>
      <c r="V1089" s="10">
        <f t="shared" si="150"/>
        <v>4.5623823862427585E-3</v>
      </c>
    </row>
    <row r="1090" spans="11:22">
      <c r="K1090" s="66">
        <v>53.9</v>
      </c>
      <c r="L1090" s="10">
        <f t="shared" si="144"/>
        <v>0.29304232916054251</v>
      </c>
      <c r="M1090" s="10">
        <f t="shared" si="145"/>
        <v>0.17207957711133032</v>
      </c>
      <c r="N1090" s="10">
        <f t="shared" si="146"/>
        <v>9.0308837077731144E-2</v>
      </c>
      <c r="O1090" s="10">
        <f t="shared" si="147"/>
        <v>0.12960645198865151</v>
      </c>
      <c r="P1090" s="10">
        <f t="shared" si="148"/>
        <v>7.2093611210705219E-2</v>
      </c>
      <c r="Q1090" s="66">
        <f t="shared" si="151"/>
        <v>2</v>
      </c>
      <c r="R1090" s="10">
        <f t="shared" si="149"/>
        <v>1.5989757859932278E-3</v>
      </c>
      <c r="V1090" s="10">
        <f t="shared" si="150"/>
        <v>2.2734014826421398E-3</v>
      </c>
    </row>
    <row r="1091" spans="11:22">
      <c r="K1091" s="66">
        <v>53.95</v>
      </c>
      <c r="L1091" s="10">
        <f t="shared" si="144"/>
        <v>0.29171971468206914</v>
      </c>
      <c r="M1091" s="10">
        <f t="shared" si="145"/>
        <v>0.1709660473415853</v>
      </c>
      <c r="N1091" s="10">
        <f t="shared" si="146"/>
        <v>9.0635625699771877E-2</v>
      </c>
      <c r="O1091" s="10">
        <f t="shared" si="147"/>
        <v>0.13007559931791257</v>
      </c>
      <c r="P1091" s="10">
        <f t="shared" si="148"/>
        <v>7.1917952601802435E-2</v>
      </c>
      <c r="Q1091" s="66">
        <f t="shared" si="151"/>
        <v>4</v>
      </c>
      <c r="R1091" s="10">
        <f t="shared" si="149"/>
        <v>3.1666304165042444E-3</v>
      </c>
      <c r="V1091" s="10">
        <f t="shared" si="150"/>
        <v>4.531147155565558E-3</v>
      </c>
    </row>
    <row r="1092" spans="11:22">
      <c r="K1092" s="66">
        <v>54</v>
      </c>
      <c r="L1092" s="10">
        <f t="shared" si="144"/>
        <v>0.29039831610781125</v>
      </c>
      <c r="M1092" s="10">
        <f t="shared" si="145"/>
        <v>0.16985573161373121</v>
      </c>
      <c r="N1092" s="10">
        <f t="shared" si="146"/>
        <v>9.096359813935169E-2</v>
      </c>
      <c r="O1092" s="10">
        <f t="shared" si="147"/>
        <v>0.13054644617034944</v>
      </c>
      <c r="P1092" s="10">
        <f t="shared" si="148"/>
        <v>7.1742721991253117E-2</v>
      </c>
      <c r="Q1092" s="66">
        <f t="shared" si="151"/>
        <v>2</v>
      </c>
      <c r="R1092" s="10">
        <f t="shared" si="149"/>
        <v>1.5677455253771892E-3</v>
      </c>
      <c r="V1092" s="10">
        <f t="shared" si="150"/>
        <v>2.2577078511062309E-3</v>
      </c>
    </row>
    <row r="1093" spans="11:22">
      <c r="K1093" s="66">
        <v>54.05</v>
      </c>
      <c r="L1093" s="10">
        <f t="shared" si="144"/>
        <v>0.28907815394998138</v>
      </c>
      <c r="M1093" s="10">
        <f t="shared" si="145"/>
        <v>0.1687486467034367</v>
      </c>
      <c r="N1093" s="10">
        <f t="shared" si="146"/>
        <v>9.1292758684942465E-2</v>
      </c>
      <c r="O1093" s="10">
        <f t="shared" si="147"/>
        <v>0.13101899870261821</v>
      </c>
      <c r="P1093" s="10">
        <f t="shared" si="148"/>
        <v>7.1567918336223849E-2</v>
      </c>
      <c r="Q1093" s="66">
        <f t="shared" si="151"/>
        <v>4</v>
      </c>
      <c r="R1093" s="10">
        <f t="shared" si="149"/>
        <v>3.1045337085653757E-3</v>
      </c>
      <c r="V1093" s="10">
        <f t="shared" si="150"/>
        <v>4.4996093573352646E-3</v>
      </c>
    </row>
    <row r="1094" spans="11:22">
      <c r="K1094" s="66">
        <v>54.1</v>
      </c>
      <c r="L1094" s="10">
        <f t="shared" si="144"/>
        <v>0.2877592487395188</v>
      </c>
      <c r="M1094" s="10">
        <f t="shared" si="145"/>
        <v>0.16764480927989991</v>
      </c>
      <c r="N1094" s="10">
        <f t="shared" si="146"/>
        <v>9.1623111640552174E-2</v>
      </c>
      <c r="O1094" s="10">
        <f t="shared" si="147"/>
        <v>0.1314932630936792</v>
      </c>
      <c r="P1094" s="10">
        <f t="shared" si="148"/>
        <v>7.1393540596422916E-2</v>
      </c>
      <c r="Q1094" s="66">
        <f t="shared" si="151"/>
        <v>2</v>
      </c>
      <c r="R1094" s="10">
        <f t="shared" si="149"/>
        <v>1.5368793057542898E-3</v>
      </c>
      <c r="V1094" s="10">
        <f t="shared" si="150"/>
        <v>2.2418644399868574E-3</v>
      </c>
    </row>
    <row r="1095" spans="11:22">
      <c r="K1095" s="66">
        <v>54.15</v>
      </c>
      <c r="L1095" s="10">
        <f t="shared" si="144"/>
        <v>0.2864416210251246</v>
      </c>
      <c r="M1095" s="10">
        <f t="shared" si="145"/>
        <v>0.16654423590449516</v>
      </c>
      <c r="N1095" s="10">
        <f t="shared" si="146"/>
        <v>9.1954661325780215E-2</v>
      </c>
      <c r="O1095" s="10">
        <f t="shared" si="147"/>
        <v>0.13196924554487563</v>
      </c>
      <c r="P1095" s="10">
        <f t="shared" si="148"/>
        <v>7.1219587734092912E-2</v>
      </c>
      <c r="Q1095" s="66">
        <f t="shared" si="151"/>
        <v>4</v>
      </c>
      <c r="R1095" s="10">
        <f t="shared" si="149"/>
        <v>3.0431659688848517E-3</v>
      </c>
      <c r="V1095" s="10">
        <f t="shared" si="150"/>
        <v>4.4677750360406247E-3</v>
      </c>
    </row>
    <row r="1096" spans="11:22">
      <c r="K1096" s="66">
        <v>54.2</v>
      </c>
      <c r="L1096" s="10">
        <f t="shared" si="144"/>
        <v>0.28512529137228171</v>
      </c>
      <c r="M1096" s="10">
        <f t="shared" si="145"/>
        <v>0.16544694302941693</v>
      </c>
      <c r="N1096" s="10">
        <f t="shared" si="146"/>
        <v>9.2287412075873682E-2</v>
      </c>
      <c r="O1096" s="10">
        <f t="shared" si="147"/>
        <v>0.13244695228001552</v>
      </c>
      <c r="P1096" s="10">
        <f t="shared" si="148"/>
        <v>7.1046058714004878E-2</v>
      </c>
      <c r="Q1096" s="66">
        <f t="shared" si="151"/>
        <v>2</v>
      </c>
      <c r="R1096" s="10">
        <f t="shared" si="149"/>
        <v>1.5063779888563977E-3</v>
      </c>
      <c r="V1096" s="10">
        <f t="shared" si="150"/>
        <v>2.225874299132154E-3</v>
      </c>
    </row>
    <row r="1097" spans="11:22">
      <c r="K1097" s="66">
        <v>54.25</v>
      </c>
      <c r="L1097" s="10">
        <f t="shared" si="144"/>
        <v>0.28381028036227346</v>
      </c>
      <c r="M1097" s="10">
        <f t="shared" si="145"/>
        <v>0.16435294699633157</v>
      </c>
      <c r="N1097" s="10">
        <f t="shared" si="146"/>
        <v>9.2621368241784838E-2</v>
      </c>
      <c r="O1097" s="10">
        <f t="shared" si="147"/>
        <v>0.13292638954545336</v>
      </c>
      <c r="P1097" s="10">
        <f t="shared" si="148"/>
        <v>7.0872952503452463E-2</v>
      </c>
      <c r="Q1097" s="66">
        <f t="shared" si="151"/>
        <v>4</v>
      </c>
      <c r="R1097" s="10">
        <f t="shared" si="149"/>
        <v>2.9825288227187294E-3</v>
      </c>
      <c r="V1097" s="10">
        <f t="shared" si="150"/>
        <v>4.4356503461298403E-3</v>
      </c>
    </row>
    <row r="1098" spans="11:22">
      <c r="K1098" s="66">
        <v>54.3</v>
      </c>
      <c r="L1098" s="10">
        <f t="shared" si="144"/>
        <v>0.28249660859118941</v>
      </c>
      <c r="M1098" s="10">
        <f t="shared" si="145"/>
        <v>0.16326226403502858</v>
      </c>
      <c r="N1098" s="10">
        <f t="shared" si="146"/>
        <v>9.2956534190227341E-2</v>
      </c>
      <c r="O1098" s="10">
        <f t="shared" si="147"/>
        <v>0.13340756361017175</v>
      </c>
      <c r="P1098" s="10">
        <f t="shared" si="148"/>
        <v>7.0700268072245331E-2</v>
      </c>
      <c r="Q1098" s="66">
        <f t="shared" si="151"/>
        <v>2</v>
      </c>
      <c r="R1098" s="10">
        <f t="shared" si="149"/>
        <v>1.4762423381640449E-3</v>
      </c>
      <c r="V1098" s="10">
        <f t="shared" si="150"/>
        <v>2.2097405329094735E-3</v>
      </c>
    </row>
    <row r="1099" spans="11:22">
      <c r="K1099" s="66">
        <v>54.35</v>
      </c>
      <c r="L1099" s="10">
        <f t="shared" si="144"/>
        <v>0.28118429666892708</v>
      </c>
      <c r="M1099" s="10">
        <f t="shared" si="145"/>
        <v>0.16217491026207795</v>
      </c>
      <c r="N1099" s="10">
        <f t="shared" si="146"/>
        <v>9.3292914303733987E-2</v>
      </c>
      <c r="O1099" s="10">
        <f t="shared" si="147"/>
        <v>0.13389048076586291</v>
      </c>
      <c r="P1099" s="10">
        <f t="shared" si="148"/>
        <v>7.0528004392703333E-2</v>
      </c>
      <c r="Q1099" s="66">
        <f t="shared" si="151"/>
        <v>4</v>
      </c>
      <c r="R1099" s="10">
        <f t="shared" si="149"/>
        <v>2.9226236986585699E-3</v>
      </c>
      <c r="V1099" s="10">
        <f t="shared" si="150"/>
        <v>4.4032415501487326E-3</v>
      </c>
    </row>
    <row r="1100" spans="11:22">
      <c r="K1100" s="66">
        <v>54.4</v>
      </c>
      <c r="L1100" s="10">
        <f t="shared" ref="L1100:L1163" si="152">(B$7^K1100)*B$8^((B$5^25)*((B$5^K1100)-1))</f>
        <v>0.27987336521818562</v>
      </c>
      <c r="M1100" s="10">
        <f t="shared" ref="M1100:M1163" si="153">(B$7^K1100)*B$8^((B$5^30)*((B$5^K1100)-1))</f>
        <v>0.16109090167948983</v>
      </c>
      <c r="N1100" s="10">
        <f t="shared" si="146"/>
        <v>9.3630512980713357E-2</v>
      </c>
      <c r="O1100" s="10">
        <f t="shared" si="147"/>
        <v>0.1343751473270112</v>
      </c>
      <c r="P1100" s="10">
        <f t="shared" si="148"/>
        <v>7.0356160439650414E-2</v>
      </c>
      <c r="Q1100" s="66">
        <f t="shared" si="151"/>
        <v>2</v>
      </c>
      <c r="R1100" s="10">
        <f t="shared" si="149"/>
        <v>1.446473018757416E-3</v>
      </c>
      <c r="V1100" s="10">
        <f t="shared" si="150"/>
        <v>2.1934662992545732E-3</v>
      </c>
    </row>
    <row r="1101" spans="11:22">
      <c r="K1101" s="66">
        <v>54.45</v>
      </c>
      <c r="L1101" s="10">
        <f t="shared" si="152"/>
        <v>0.27856383487344949</v>
      </c>
      <c r="M1101" s="10">
        <f t="shared" si="153"/>
        <v>0.16001025417337741</v>
      </c>
      <c r="N1101" s="10">
        <f t="shared" ref="N1101:N1164" si="154">B$3+B$4*(B$5^(25+K1101))</f>
        <v>9.3969334635507468E-2</v>
      </c>
      <c r="O1101" s="10">
        <f t="shared" ref="O1101:O1164" si="155">$B$3+$B$4*($B$5^(30+K1101))</f>
        <v>0.13486156963097581</v>
      </c>
      <c r="P1101" s="10">
        <f t="shared" ref="P1101:P1164" si="156">(1+B$6)^-K1101</f>
        <v>7.0184735190408132E-2</v>
      </c>
      <c r="Q1101" s="66">
        <f t="shared" si="151"/>
        <v>4</v>
      </c>
      <c r="R1101" s="10">
        <f t="shared" ref="R1101:R1164" si="157">L1101*M1101*(N1101+O1101)*P1101*Q1101</f>
        <v>2.8634518283848012E-3</v>
      </c>
      <c r="V1101" s="10">
        <f t="shared" si="150"/>
        <v>4.3705550167991748E-3</v>
      </c>
    </row>
    <row r="1102" spans="11:22">
      <c r="K1102" s="66">
        <v>54.5</v>
      </c>
      <c r="L1102" s="10">
        <f t="shared" si="152"/>
        <v>0.27725572627996958</v>
      </c>
      <c r="M1102" s="10">
        <f t="shared" si="153"/>
        <v>0.15893298351262639</v>
      </c>
      <c r="N1102" s="10">
        <f t="shared" si="154"/>
        <v>9.4309383698450058E-2</v>
      </c>
      <c r="O1102" s="10">
        <f t="shared" si="155"/>
        <v>0.13534975403807348</v>
      </c>
      <c r="P1102" s="10">
        <f t="shared" si="156"/>
        <v>7.001372762479012E-2</v>
      </c>
      <c r="Q1102" s="66">
        <f t="shared" si="151"/>
        <v>2</v>
      </c>
      <c r="R1102" s="10">
        <f t="shared" si="157"/>
        <v>1.41707059721886E-3</v>
      </c>
      <c r="V1102" s="10">
        <f t="shared" ref="V1102:V1165" si="158">(1-L1102)*M1102*O1102*P1102*Q1102</f>
        <v>2.1770548086809493E-3</v>
      </c>
    </row>
    <row r="1103" spans="11:22">
      <c r="K1103" s="66">
        <v>54.55</v>
      </c>
      <c r="L1103" s="10">
        <f t="shared" si="152"/>
        <v>0.27594906009273101</v>
      </c>
      <c r="M1103" s="10">
        <f t="shared" si="153"/>
        <v>0.15785910534756445</v>
      </c>
      <c r="N1103" s="10">
        <f t="shared" si="154"/>
        <v>9.4650664615923821E-2</v>
      </c>
      <c r="O1103" s="10">
        <f t="shared" si="155"/>
        <v>0.13583970693166153</v>
      </c>
      <c r="P1103" s="10">
        <f t="shared" si="156"/>
        <v>6.9843136725095512E-2</v>
      </c>
      <c r="Q1103" s="66">
        <f t="shared" ref="Q1103:Q1166" si="159">IF(Q1102=4,2,4)</f>
        <v>4</v>
      </c>
      <c r="R1103" s="10">
        <f t="shared" si="157"/>
        <v>2.8050142465236502E-3</v>
      </c>
      <c r="V1103" s="10">
        <f t="shared" si="158"/>
        <v>4.3375972189181686E-3</v>
      </c>
    </row>
    <row r="1104" spans="11:22">
      <c r="K1104" s="66">
        <v>54.6</v>
      </c>
      <c r="L1104" s="10">
        <f t="shared" si="152"/>
        <v>0.27464385697541849</v>
      </c>
      <c r="M1104" s="10">
        <f t="shared" si="153"/>
        <v>0.15678863520863917</v>
      </c>
      <c r="N1104" s="10">
        <f t="shared" si="154"/>
        <v>9.4993181850418787E-2</v>
      </c>
      <c r="O1104" s="10">
        <f t="shared" si="155"/>
        <v>0.13633143471822193</v>
      </c>
      <c r="P1104" s="10">
        <f t="shared" si="156"/>
        <v>6.9672961476103176E-2</v>
      </c>
      <c r="Q1104" s="66">
        <f t="shared" si="159"/>
        <v>2</v>
      </c>
      <c r="R1104" s="10">
        <f t="shared" si="157"/>
        <v>1.3880355415873994E-3</v>
      </c>
      <c r="V1104" s="10">
        <f t="shared" si="158"/>
        <v>2.1605093232496082E-3</v>
      </c>
    </row>
    <row r="1105" spans="11:22">
      <c r="K1105" s="66">
        <v>54.65</v>
      </c>
      <c r="L1105" s="10">
        <f t="shared" si="152"/>
        <v>0.27334013759937215</v>
      </c>
      <c r="M1105" s="10">
        <f t="shared" si="153"/>
        <v>0.15572158850509807</v>
      </c>
      <c r="N1105" s="10">
        <f t="shared" si="154"/>
        <v>9.5336939880591068E-2</v>
      </c>
      <c r="O1105" s="10">
        <f t="shared" si="155"/>
        <v>0.13682494382744431</v>
      </c>
      <c r="P1105" s="10">
        <f t="shared" si="156"/>
        <v>6.9503200865065728E-2</v>
      </c>
      <c r="Q1105" s="66">
        <f t="shared" si="159"/>
        <v>4</v>
      </c>
      <c r="R1105" s="10">
        <f t="shared" si="157"/>
        <v>2.7473117906083823E-3</v>
      </c>
      <c r="V1105" s="10">
        <f t="shared" si="158"/>
        <v>4.3043747313779223E-3</v>
      </c>
    </row>
    <row r="1106" spans="11:22">
      <c r="K1106" s="66">
        <v>54.7</v>
      </c>
      <c r="L1106" s="10">
        <f t="shared" si="152"/>
        <v>0.27203792264253512</v>
      </c>
      <c r="M1106" s="10">
        <f t="shared" si="153"/>
        <v>0.15465798052367333</v>
      </c>
      <c r="N1106" s="10">
        <f t="shared" si="154"/>
        <v>9.5681943201320521E-2</v>
      </c>
      <c r="O1106" s="10">
        <f t="shared" si="155"/>
        <v>0.13732024071231022</v>
      </c>
      <c r="P1106" s="10">
        <f t="shared" si="156"/>
        <v>6.9333853881703114E-2</v>
      </c>
      <c r="Q1106" s="66">
        <f t="shared" si="159"/>
        <v>2</v>
      </c>
      <c r="R1106" s="10">
        <f t="shared" si="157"/>
        <v>1.3593682213655675E-3</v>
      </c>
      <c r="V1106" s="10">
        <f t="shared" si="158"/>
        <v>2.1438331554994375E-3</v>
      </c>
    </row>
    <row r="1107" spans="11:22">
      <c r="K1107" s="66">
        <v>54.75</v>
      </c>
      <c r="L1107" s="10">
        <f t="shared" si="152"/>
        <v>0.27073723278839756</v>
      </c>
      <c r="M1107" s="10">
        <f t="shared" si="153"/>
        <v>0.15359782642727357</v>
      </c>
      <c r="N1107" s="10">
        <f t="shared" si="154"/>
        <v>9.6028196323770465E-2</v>
      </c>
      <c r="O1107" s="10">
        <f t="shared" si="155"/>
        <v>0.13781733184917777</v>
      </c>
      <c r="P1107" s="10">
        <f t="shared" si="156"/>
        <v>6.9164919518197171E-2</v>
      </c>
      <c r="Q1107" s="66">
        <f t="shared" si="159"/>
        <v>4</v>
      </c>
      <c r="R1107" s="10">
        <f t="shared" si="157"/>
        <v>2.6903451011455835E-3</v>
      </c>
      <c r="V1107" s="10">
        <f t="shared" si="158"/>
        <v>4.2708942289073184E-3</v>
      </c>
    </row>
    <row r="1108" spans="11:22">
      <c r="K1108" s="66">
        <v>54.8</v>
      </c>
      <c r="L1108" s="10">
        <f t="shared" si="152"/>
        <v>0.26943808872492897</v>
      </c>
      <c r="M1108" s="10">
        <f t="shared" si="153"/>
        <v>0.15254114125367751</v>
      </c>
      <c r="N1108" s="10">
        <f t="shared" si="154"/>
        <v>9.6375703775445992E-2</v>
      </c>
      <c r="O1108" s="10">
        <f t="shared" si="155"/>
        <v>0.13831622373786656</v>
      </c>
      <c r="P1108" s="10">
        <f t="shared" si="156"/>
        <v>6.8996396769185064E-2</v>
      </c>
      <c r="Q1108" s="66">
        <f t="shared" si="159"/>
        <v>2</v>
      </c>
      <c r="R1108" s="10">
        <f t="shared" si="157"/>
        <v>1.3310689075789182E-3</v>
      </c>
      <c r="V1108" s="10">
        <f t="shared" si="158"/>
        <v>2.1270296673383754E-3</v>
      </c>
    </row>
    <row r="1109" spans="11:22">
      <c r="K1109" s="66">
        <v>54.85</v>
      </c>
      <c r="L1109" s="10">
        <f t="shared" si="152"/>
        <v>0.26814051114350573</v>
      </c>
      <c r="M1109" s="10">
        <f t="shared" si="153"/>
        <v>0.15148793991423531</v>
      </c>
      <c r="N1109" s="10">
        <f t="shared" si="154"/>
        <v>9.6724470100253798E-2</v>
      </c>
      <c r="O1109" s="10">
        <f t="shared" si="155"/>
        <v>0.13881692290174183</v>
      </c>
      <c r="P1109" s="10">
        <f t="shared" si="156"/>
        <v>6.8828284631753694E-2</v>
      </c>
      <c r="Q1109" s="66">
        <f t="shared" si="159"/>
        <v>4</v>
      </c>
      <c r="R1109" s="10">
        <f t="shared" si="157"/>
        <v>2.6341146217871265E-3</v>
      </c>
      <c r="V1109" s="10">
        <f t="shared" si="158"/>
        <v>4.2371624838353945E-3</v>
      </c>
    </row>
    <row r="1110" spans="11:22">
      <c r="K1110" s="66">
        <v>54.9</v>
      </c>
      <c r="L1110" s="10">
        <f t="shared" si="152"/>
        <v>0.26684452073783316</v>
      </c>
      <c r="M1110" s="10">
        <f t="shared" si="153"/>
        <v>0.15043823719257557</v>
      </c>
      <c r="N1110" s="10">
        <f t="shared" si="154"/>
        <v>9.7074499858560995E-2</v>
      </c>
      <c r="O1110" s="10">
        <f t="shared" si="155"/>
        <v>0.13931943588780038</v>
      </c>
      <c r="P1110" s="10">
        <f t="shared" si="156"/>
        <v>6.8660582105433535E-2</v>
      </c>
      <c r="Q1110" s="66">
        <f t="shared" si="159"/>
        <v>2</v>
      </c>
      <c r="R1110" s="10">
        <f t="shared" si="157"/>
        <v>1.303137772888514E-3</v>
      </c>
      <c r="V1110" s="10">
        <f t="shared" si="158"/>
        <v>2.1101022688957381E-3</v>
      </c>
    </row>
    <row r="1111" spans="11:22">
      <c r="K1111" s="66">
        <v>54.95</v>
      </c>
      <c r="L1111" s="10">
        <f t="shared" si="152"/>
        <v>0.26555013820285617</v>
      </c>
      <c r="M1111" s="10">
        <f t="shared" si="153"/>
        <v>0.14939204774331508</v>
      </c>
      <c r="N1111" s="10">
        <f t="shared" si="154"/>
        <v>9.7425797627254757E-2</v>
      </c>
      <c r="O1111" s="10">
        <f t="shared" si="155"/>
        <v>0.13982376926675602</v>
      </c>
      <c r="P1111" s="10">
        <f t="shared" si="156"/>
        <v>6.8493288192192775E-2</v>
      </c>
      <c r="Q1111" s="66">
        <f t="shared" si="159"/>
        <v>4</v>
      </c>
      <c r="R1111" s="10">
        <f t="shared" si="157"/>
        <v>2.5786205996082556E-3</v>
      </c>
      <c r="V1111" s="10">
        <f t="shared" si="158"/>
        <v>4.2031863637572433E-3</v>
      </c>
    </row>
    <row r="1112" spans="11:22">
      <c r="K1112" s="66">
        <v>55</v>
      </c>
      <c r="L1112" s="10">
        <f t="shared" si="152"/>
        <v>0.26425738423366746</v>
      </c>
      <c r="M1112" s="10">
        <f t="shared" si="153"/>
        <v>0.14834938609077833</v>
      </c>
      <c r="N1112" s="10">
        <f t="shared" si="154"/>
        <v>9.7778367999803051E-2</v>
      </c>
      <c r="O1112" s="10">
        <f t="shared" si="155"/>
        <v>0.14032992963312568</v>
      </c>
      <c r="P1112" s="10">
        <f t="shared" si="156"/>
        <v>6.8326401896431521E-2</v>
      </c>
      <c r="Q1112" s="66">
        <f t="shared" si="159"/>
        <v>2</v>
      </c>
      <c r="R1112" s="10">
        <f t="shared" si="157"/>
        <v>1.2755748917566301E-3</v>
      </c>
      <c r="V1112" s="10">
        <f t="shared" si="158"/>
        <v>2.0930544173359488E-3</v>
      </c>
    </row>
    <row r="1113" spans="11:22">
      <c r="K1113" s="66">
        <v>55.05</v>
      </c>
      <c r="L1113" s="10">
        <f t="shared" si="152"/>
        <v>0.26296627952440665</v>
      </c>
      <c r="M1113" s="10">
        <f t="shared" si="153"/>
        <v>0.14731026662772112</v>
      </c>
      <c r="N1113" s="10">
        <f t="shared" si="154"/>
        <v>9.8132215586313146E-2</v>
      </c>
      <c r="O1113" s="10">
        <f t="shared" si="155"/>
        <v>0.14083792360531458</v>
      </c>
      <c r="P1113" s="10">
        <f t="shared" si="156"/>
        <v>6.8159922224975078E-2</v>
      </c>
      <c r="Q1113" s="66">
        <f t="shared" si="159"/>
        <v>4</v>
      </c>
      <c r="R1113" s="10">
        <f t="shared" si="157"/>
        <v>2.523863085492377E-3</v>
      </c>
      <c r="V1113" s="10">
        <f t="shared" si="158"/>
        <v>4.1689728291231954E-3</v>
      </c>
    </row>
    <row r="1114" spans="11:22">
      <c r="K1114" s="66">
        <v>55.1</v>
      </c>
      <c r="L1114" s="10">
        <f t="shared" si="152"/>
        <v>0.26167684476715025</v>
      </c>
      <c r="M1114" s="10">
        <f t="shared" si="153"/>
        <v>0.14627470361405795</v>
      </c>
      <c r="N1114" s="10">
        <f t="shared" si="154"/>
        <v>9.8487345013593589E-2</v>
      </c>
      <c r="O1114" s="10">
        <f t="shared" si="155"/>
        <v>0.14134775782570513</v>
      </c>
      <c r="P1114" s="10">
        <f t="shared" si="156"/>
        <v>6.7993848187069467E-2</v>
      </c>
      <c r="Q1114" s="66">
        <f t="shared" si="159"/>
        <v>2</v>
      </c>
      <c r="R1114" s="10">
        <f t="shared" si="157"/>
        <v>1.2483802406658636E-3</v>
      </c>
      <c r="V1114" s="10">
        <f t="shared" si="158"/>
        <v>2.0758896156340355E-3</v>
      </c>
    </row>
    <row r="1115" spans="11:22">
      <c r="K1115" s="66">
        <v>55.15</v>
      </c>
      <c r="L1115" s="10">
        <f t="shared" si="152"/>
        <v>0.26038910065080106</v>
      </c>
      <c r="M1115" s="10">
        <f t="shared" si="153"/>
        <v>0.14524271117560217</v>
      </c>
      <c r="N1115" s="10">
        <f t="shared" si="154"/>
        <v>9.8843760925213728E-2</v>
      </c>
      <c r="O1115" s="10">
        <f t="shared" si="155"/>
        <v>0.1418594389607413</v>
      </c>
      <c r="P1115" s="10">
        <f t="shared" si="156"/>
        <v>6.7828178794374194E-2</v>
      </c>
      <c r="Q1115" s="66">
        <f t="shared" si="159"/>
        <v>4</v>
      </c>
      <c r="R1115" s="10">
        <f t="shared" si="157"/>
        <v>2.4698419346227984E-3</v>
      </c>
      <c r="V1115" s="10">
        <f t="shared" si="158"/>
        <v>4.1345289307519002E-3</v>
      </c>
    </row>
    <row r="1116" spans="11:22">
      <c r="K1116" s="66">
        <v>55.2</v>
      </c>
      <c r="L1116" s="10">
        <f t="shared" si="152"/>
        <v>0.25910306785996406</v>
      </c>
      <c r="M1116" s="10">
        <f t="shared" si="153"/>
        <v>0.1442143033028061</v>
      </c>
      <c r="N1116" s="10">
        <f t="shared" si="154"/>
        <v>9.9201467981564206E-2</v>
      </c>
      <c r="O1116" s="10">
        <f t="shared" si="155"/>
        <v>0.14237297370101668</v>
      </c>
      <c r="P1116" s="10">
        <f t="shared" si="156"/>
        <v>6.7662913060957008E-2</v>
      </c>
      <c r="Q1116" s="66">
        <f t="shared" si="159"/>
        <v>2</v>
      </c>
      <c r="R1116" s="10">
        <f t="shared" si="157"/>
        <v>1.2215536983918153E-3</v>
      </c>
      <c r="V1116" s="10">
        <f t="shared" si="158"/>
        <v>2.0586114113133472E-3</v>
      </c>
    </row>
    <row r="1117" spans="11:22">
      <c r="K1117" s="66">
        <v>55.25</v>
      </c>
      <c r="L1117" s="10">
        <f t="shared" si="152"/>
        <v>0.25781876707382034</v>
      </c>
      <c r="M1117" s="10">
        <f t="shared" si="153"/>
        <v>0.14318949384951266</v>
      </c>
      <c r="N1117" s="10">
        <f t="shared" si="154"/>
        <v>9.9560470859918607E-2</v>
      </c>
      <c r="O1117" s="10">
        <f t="shared" si="155"/>
        <v>0.14288836876136235</v>
      </c>
      <c r="P1117" s="10">
        <f t="shared" si="156"/>
        <v>6.749805000328804E-2</v>
      </c>
      <c r="Q1117" s="66">
        <f t="shared" si="159"/>
        <v>4</v>
      </c>
      <c r="R1117" s="10">
        <f t="shared" si="157"/>
        <v>2.4165568070817888E-3</v>
      </c>
      <c r="V1117" s="10">
        <f t="shared" si="158"/>
        <v>4.0998618072681731E-3</v>
      </c>
    </row>
    <row r="1118" spans="11:22">
      <c r="K1118" s="66">
        <v>55.3</v>
      </c>
      <c r="L1118" s="10">
        <f t="shared" si="152"/>
        <v>0.25653621896499174</v>
      </c>
      <c r="M1118" s="10">
        <f t="shared" si="153"/>
        <v>0.1421682965317112</v>
      </c>
      <c r="N1118" s="10">
        <f t="shared" si="154"/>
        <v>9.9920774254494402E-2</v>
      </c>
      <c r="O1118" s="10">
        <f t="shared" si="155"/>
        <v>0.14340563088093464</v>
      </c>
      <c r="P1118" s="10">
        <f t="shared" si="156"/>
        <v>6.7333588640233644E-2</v>
      </c>
      <c r="Q1118" s="66">
        <f t="shared" si="159"/>
        <v>2</v>
      </c>
      <c r="R1118" s="10">
        <f t="shared" si="157"/>
        <v>1.1950950463294648E-3</v>
      </c>
      <c r="V1118" s="10">
        <f t="shared" si="158"/>
        <v>2.0412233951458045E-3</v>
      </c>
    </row>
    <row r="1119" spans="11:22">
      <c r="K1119" s="66">
        <v>55.35</v>
      </c>
      <c r="L1119" s="10">
        <f t="shared" si="152"/>
        <v>0.25525544419839941</v>
      </c>
      <c r="M1119" s="10">
        <f t="shared" si="153"/>
        <v>0.14115072492630168</v>
      </c>
      <c r="N1119" s="10">
        <f t="shared" si="154"/>
        <v>0.10028238287651403</v>
      </c>
      <c r="O1119" s="10">
        <f t="shared" si="155"/>
        <v>0.14392476682330263</v>
      </c>
      <c r="P1119" s="10">
        <f t="shared" si="156"/>
        <v>6.7169527993050815E-2</v>
      </c>
      <c r="Q1119" s="66">
        <f t="shared" si="159"/>
        <v>4</v>
      </c>
      <c r="R1119" s="10">
        <f t="shared" si="157"/>
        <v>2.3640071685570646E-3</v>
      </c>
      <c r="V1119" s="10">
        <f t="shared" si="158"/>
        <v>4.0649786824665671E-3</v>
      </c>
    </row>
    <row r="1120" spans="11:22">
      <c r="K1120" s="66">
        <v>55.4</v>
      </c>
      <c r="L1120" s="10">
        <f t="shared" si="152"/>
        <v>0.25397646343011782</v>
      </c>
      <c r="M1120" s="10">
        <f t="shared" si="153"/>
        <v>0.14013679246986757</v>
      </c>
      <c r="N1120" s="10">
        <f t="shared" si="154"/>
        <v>0.10064530145426687</v>
      </c>
      <c r="O1120" s="10">
        <f t="shared" si="155"/>
        <v>0.14444578337653705</v>
      </c>
      <c r="P1120" s="10">
        <f t="shared" si="156"/>
        <v>6.7005867085381338E-2</v>
      </c>
      <c r="Q1120" s="66">
        <f t="shared" si="159"/>
        <v>2</v>
      </c>
      <c r="R1120" s="10">
        <f t="shared" si="157"/>
        <v>1.1690039688732859E-3</v>
      </c>
      <c r="V1120" s="10">
        <f t="shared" si="158"/>
        <v>2.023729199815283E-3</v>
      </c>
    </row>
    <row r="1121" spans="11:22">
      <c r="K1121" s="66">
        <v>55.45</v>
      </c>
      <c r="L1121" s="10">
        <f t="shared" si="152"/>
        <v>0.25269929730621948</v>
      </c>
      <c r="M1121" s="10">
        <f t="shared" si="153"/>
        <v>0.13912651245745339</v>
      </c>
      <c r="N1121" s="10">
        <f t="shared" si="154"/>
        <v>0.10100953473317054</v>
      </c>
      <c r="O1121" s="10">
        <f t="shared" si="155"/>
        <v>0.14496868735329901</v>
      </c>
      <c r="P1121" s="10">
        <f t="shared" si="156"/>
        <v>6.684260494324587E-2</v>
      </c>
      <c r="Q1121" s="66">
        <f t="shared" si="159"/>
        <v>4</v>
      </c>
      <c r="R1121" s="10">
        <f t="shared" si="157"/>
        <v>2.3121922911557811E-3</v>
      </c>
      <c r="V1121" s="10">
        <f t="shared" si="158"/>
        <v>4.0298868626015205E-3</v>
      </c>
    </row>
    <row r="1122" spans="11:22">
      <c r="K1122" s="66">
        <v>55.5</v>
      </c>
      <c r="L1122" s="10">
        <f t="shared" si="152"/>
        <v>0.25142396646161441</v>
      </c>
      <c r="M1122" s="10">
        <f t="shared" si="153"/>
        <v>0.13811989804135277</v>
      </c>
      <c r="N1122" s="10">
        <f t="shared" si="154"/>
        <v>0.10137508747583382</v>
      </c>
      <c r="O1122" s="10">
        <f t="shared" si="155"/>
        <v>0.14549348559092898</v>
      </c>
      <c r="P1122" s="10">
        <f t="shared" si="156"/>
        <v>6.6679740595038201E-2</v>
      </c>
      <c r="Q1122" s="66">
        <f t="shared" si="159"/>
        <v>2</v>
      </c>
      <c r="R1122" s="10">
        <f t="shared" si="157"/>
        <v>1.1432800538511579E-3</v>
      </c>
      <c r="V1122" s="10">
        <f t="shared" si="158"/>
        <v>2.0061324985445796E-3</v>
      </c>
    </row>
    <row r="1123" spans="11:22">
      <c r="K1123" s="66">
        <v>55.55</v>
      </c>
      <c r="L1123" s="10">
        <f t="shared" si="152"/>
        <v>0.25015049151888497</v>
      </c>
      <c r="M1123" s="10">
        <f t="shared" si="153"/>
        <v>0.13711696222990344</v>
      </c>
      <c r="N1123" s="10">
        <f t="shared" si="154"/>
        <v>0.1017419644621181</v>
      </c>
      <c r="O1123" s="10">
        <f t="shared" si="155"/>
        <v>0.14602018495153615</v>
      </c>
      <c r="P1123" s="10">
        <f t="shared" si="156"/>
        <v>6.6517273071519528E-2</v>
      </c>
      <c r="Q1123" s="66">
        <f t="shared" si="159"/>
        <v>4</v>
      </c>
      <c r="R1123" s="10">
        <f t="shared" si="157"/>
        <v>2.2611112543260946E-3</v>
      </c>
      <c r="V1123" s="10">
        <f t="shared" si="158"/>
        <v>3.9945937336052974E-3</v>
      </c>
    </row>
    <row r="1124" spans="11:22">
      <c r="K1124" s="66">
        <v>55.6</v>
      </c>
      <c r="L1124" s="10">
        <f t="shared" si="152"/>
        <v>0.24887889308711045</v>
      </c>
      <c r="M1124" s="10">
        <f t="shared" si="153"/>
        <v>0.13611771788628962</v>
      </c>
      <c r="N1124" s="10">
        <f t="shared" si="154"/>
        <v>0.10211017048920019</v>
      </c>
      <c r="O1124" s="10">
        <f t="shared" si="155"/>
        <v>0.14654879232208856</v>
      </c>
      <c r="P1124" s="10">
        <f t="shared" si="156"/>
        <v>6.6355201405812567E-2</v>
      </c>
      <c r="Q1124" s="66">
        <f t="shared" si="159"/>
        <v>2</v>
      </c>
      <c r="R1124" s="10">
        <f t="shared" si="157"/>
        <v>1.1179227930119809E-3</v>
      </c>
      <c r="V1124" s="10">
        <f t="shared" si="158"/>
        <v>1.9884370036865055E-3</v>
      </c>
    </row>
    <row r="1125" spans="11:22">
      <c r="K1125" s="66">
        <v>55.65</v>
      </c>
      <c r="L1125" s="10">
        <f t="shared" si="152"/>
        <v>0.24760919176069066</v>
      </c>
      <c r="M1125" s="10">
        <f t="shared" si="153"/>
        <v>0.13512217772735541</v>
      </c>
      <c r="N1125" s="10">
        <f t="shared" si="154"/>
        <v>0.1024797103716354</v>
      </c>
      <c r="O1125" s="10">
        <f t="shared" si="155"/>
        <v>0.14707931461450263</v>
      </c>
      <c r="P1125" s="10">
        <f t="shared" si="156"/>
        <v>6.6193524633395923E-2</v>
      </c>
      <c r="Q1125" s="66">
        <f t="shared" si="159"/>
        <v>4</v>
      </c>
      <c r="R1125" s="10">
        <f t="shared" si="157"/>
        <v>2.2107629458860889E-3</v>
      </c>
      <c r="V1125" s="10">
        <f t="shared" si="158"/>
        <v>3.9591067582347749E-3</v>
      </c>
    </row>
    <row r="1126" spans="11:22">
      <c r="K1126" s="66">
        <v>55.7</v>
      </c>
      <c r="L1126" s="10">
        <f t="shared" si="152"/>
        <v>0.24634140811815933</v>
      </c>
      <c r="M1126" s="10">
        <f t="shared" si="153"/>
        <v>0.13413035432242396</v>
      </c>
      <c r="N1126" s="10">
        <f t="shared" si="154"/>
        <v>0.10285058894141957</v>
      </c>
      <c r="O1126" s="10">
        <f t="shared" si="155"/>
        <v>0.14761175876573335</v>
      </c>
      <c r="P1126" s="10">
        <f t="shared" si="156"/>
        <v>6.6032241792098226E-2</v>
      </c>
      <c r="Q1126" s="66">
        <f t="shared" si="159"/>
        <v>2</v>
      </c>
      <c r="R1126" s="10">
        <f t="shared" si="157"/>
        <v>1.0929315825669683E-3</v>
      </c>
      <c r="V1126" s="10">
        <f t="shared" si="158"/>
        <v>1.970646465279727E-3</v>
      </c>
    </row>
    <row r="1127" spans="11:22">
      <c r="K1127" s="66">
        <v>55.75</v>
      </c>
      <c r="L1127" s="10">
        <f t="shared" si="152"/>
        <v>0.24507556272099262</v>
      </c>
      <c r="M1127" s="10">
        <f t="shared" si="153"/>
        <v>0.13314226009212723</v>
      </c>
      <c r="N1127" s="10">
        <f t="shared" si="154"/>
        <v>0.10322281104805316</v>
      </c>
      <c r="O1127" s="10">
        <f t="shared" si="155"/>
        <v>0.14814613173786612</v>
      </c>
      <c r="P1127" s="10">
        <f t="shared" si="156"/>
        <v>6.5871351922092536E-2</v>
      </c>
      <c r="Q1127" s="66">
        <f t="shared" si="159"/>
        <v>4</v>
      </c>
      <c r="R1127" s="10">
        <f t="shared" si="157"/>
        <v>2.1611460631599665E-3</v>
      </c>
      <c r="V1127" s="10">
        <f t="shared" si="158"/>
        <v>3.9234334731483344E-3</v>
      </c>
    </row>
    <row r="1128" spans="11:22">
      <c r="K1128" s="66">
        <v>55.8</v>
      </c>
      <c r="L1128" s="10">
        <f t="shared" si="152"/>
        <v>0.24381167611241308</v>
      </c>
      <c r="M1128" s="10">
        <f t="shared" si="153"/>
        <v>0.13215790730724392</v>
      </c>
      <c r="N1128" s="10">
        <f t="shared" si="154"/>
        <v>0.10359638155860443</v>
      </c>
      <c r="O1128" s="10">
        <f t="shared" si="155"/>
        <v>0.14868244051820656</v>
      </c>
      <c r="P1128" s="10">
        <f t="shared" si="156"/>
        <v>6.5710854065890528E-2</v>
      </c>
      <c r="Q1128" s="66">
        <f t="shared" si="159"/>
        <v>2</v>
      </c>
      <c r="R1128" s="10">
        <f t="shared" si="157"/>
        <v>1.0683057237844877E-3</v>
      </c>
      <c r="V1128" s="10">
        <f t="shared" si="158"/>
        <v>1.9527646695699965E-3</v>
      </c>
    </row>
    <row r="1129" spans="11:22">
      <c r="K1129" s="66">
        <v>55.85</v>
      </c>
      <c r="L1129" s="10">
        <f t="shared" si="152"/>
        <v>0.24254976881618559</v>
      </c>
      <c r="M1129" s="10">
        <f t="shared" si="153"/>
        <v>0.13117730808754738</v>
      </c>
      <c r="N1129" s="10">
        <f t="shared" si="154"/>
        <v>0.10397130535777283</v>
      </c>
      <c r="O1129" s="10">
        <f t="shared" si="155"/>
        <v>0.14922069211937233</v>
      </c>
      <c r="P1129" s="10">
        <f t="shared" si="156"/>
        <v>6.5550747268336831E-2</v>
      </c>
      <c r="Q1129" s="66">
        <f t="shared" si="159"/>
        <v>4</v>
      </c>
      <c r="R1129" s="10">
        <f t="shared" si="157"/>
        <v>2.1122591142210992E-3</v>
      </c>
      <c r="V1129" s="10">
        <f t="shared" si="158"/>
        <v>3.8875814859142101E-3</v>
      </c>
    </row>
    <row r="1130" spans="11:22">
      <c r="K1130" s="66">
        <v>55.9</v>
      </c>
      <c r="L1130" s="10">
        <f t="shared" si="152"/>
        <v>0.24128986133540925</v>
      </c>
      <c r="M1130" s="10">
        <f t="shared" si="153"/>
        <v>0.13020047440066235</v>
      </c>
      <c r="N1130" s="10">
        <f t="shared" si="154"/>
        <v>0.10434758734795307</v>
      </c>
      <c r="O1130" s="10">
        <f t="shared" si="155"/>
        <v>0.14976089357938541</v>
      </c>
      <c r="P1130" s="10">
        <f t="shared" si="156"/>
        <v>6.5391030576603365E-2</v>
      </c>
      <c r="Q1130" s="66">
        <f t="shared" si="159"/>
        <v>2</v>
      </c>
      <c r="R1130" s="10">
        <f t="shared" si="157"/>
        <v>1.0440444236382439E-3</v>
      </c>
      <c r="V1130" s="10">
        <f t="shared" si="158"/>
        <v>1.9347954374974187E-3</v>
      </c>
    </row>
    <row r="1131" spans="11:22">
      <c r="K1131" s="66">
        <v>55.95</v>
      </c>
      <c r="L1131" s="10">
        <f t="shared" si="152"/>
        <v>0.24003197415130251</v>
      </c>
      <c r="M1131" s="10">
        <f t="shared" si="153"/>
        <v>0.12922741806093158</v>
      </c>
      <c r="N1131" s="10">
        <f t="shared" si="154"/>
        <v>0.10472523244929886</v>
      </c>
      <c r="O1131" s="10">
        <f t="shared" si="155"/>
        <v>0.15030305196176272</v>
      </c>
      <c r="P1131" s="10">
        <f t="shared" si="156"/>
        <v>6.5231703040183622E-2</v>
      </c>
      <c r="Q1131" s="66">
        <f t="shared" si="159"/>
        <v>4</v>
      </c>
      <c r="R1131" s="10">
        <f t="shared" si="157"/>
        <v>2.0641004192416008E-3</v>
      </c>
      <c r="V1131" s="10">
        <f t="shared" si="158"/>
        <v>3.851558471951603E-3</v>
      </c>
    </row>
    <row r="1132" spans="11:22">
      <c r="K1132" s="66">
        <v>56</v>
      </c>
      <c r="L1132" s="10">
        <f t="shared" si="152"/>
        <v>0.23877612772198312</v>
      </c>
      <c r="M1132" s="10">
        <f t="shared" si="153"/>
        <v>0.12825815072829228</v>
      </c>
      <c r="N1132" s="10">
        <f t="shared" si="154"/>
        <v>0.10510424559978827</v>
      </c>
      <c r="O1132" s="10">
        <f t="shared" si="155"/>
        <v>0.1508471743556101</v>
      </c>
      <c r="P1132" s="10">
        <f t="shared" si="156"/>
        <v>6.5072763710887174E-2</v>
      </c>
      <c r="Q1132" s="66">
        <f t="shared" si="159"/>
        <v>2</v>
      </c>
      <c r="R1132" s="10">
        <f t="shared" si="157"/>
        <v>1.0201467955085976E-3</v>
      </c>
      <c r="V1132" s="10">
        <f t="shared" si="158"/>
        <v>1.916742623150502E-3</v>
      </c>
    </row>
    <row r="1133" spans="11:22">
      <c r="K1133" s="66">
        <v>56.05</v>
      </c>
      <c r="L1133" s="10">
        <f t="shared" si="152"/>
        <v>0.23752234248124351</v>
      </c>
      <c r="M1133" s="10">
        <f t="shared" si="153"/>
        <v>0.1272926839071635</v>
      </c>
      <c r="N1133" s="10">
        <f t="shared" si="154"/>
        <v>0.10548463175528663</v>
      </c>
      <c r="O1133" s="10">
        <f t="shared" si="155"/>
        <v>0.15139326787571319</v>
      </c>
      <c r="P1133" s="10">
        <f t="shared" si="156"/>
        <v>6.4914211642833397E-2</v>
      </c>
      <c r="Q1133" s="66">
        <f t="shared" si="159"/>
        <v>4</v>
      </c>
      <c r="R1133" s="10">
        <f t="shared" si="157"/>
        <v>2.0166681119479055E-3</v>
      </c>
      <c r="V1133" s="10">
        <f t="shared" si="158"/>
        <v>3.8153721714060929E-3</v>
      </c>
    </row>
    <row r="1134" spans="11:22">
      <c r="K1134" s="66">
        <v>56.1</v>
      </c>
      <c r="L1134" s="10">
        <f t="shared" si="152"/>
        <v>0.23627063883731653</v>
      </c>
      <c r="M1134" s="10">
        <f t="shared" si="153"/>
        <v>0.12633102894534043</v>
      </c>
      <c r="N1134" s="10">
        <f t="shared" si="154"/>
        <v>0.10586639588961311</v>
      </c>
      <c r="O1134" s="10">
        <f t="shared" si="155"/>
        <v>0.15194133966263301</v>
      </c>
      <c r="P1134" s="10">
        <f t="shared" si="156"/>
        <v>6.4756045892447101E-2</v>
      </c>
      <c r="Q1134" s="66">
        <f t="shared" si="159"/>
        <v>2</v>
      </c>
      <c r="R1134" s="10">
        <f t="shared" si="157"/>
        <v>9.966118599367454E-4</v>
      </c>
      <c r="V1134" s="10">
        <f t="shared" si="158"/>
        <v>1.8986101121877168E-3</v>
      </c>
    </row>
    <row r="1135" spans="11:22">
      <c r="K1135" s="66">
        <v>56.15</v>
      </c>
      <c r="L1135" s="10">
        <f t="shared" si="152"/>
        <v>0.2350210371716428</v>
      </c>
      <c r="M1135" s="10">
        <f t="shared" si="153"/>
        <v>0.1253731970329047</v>
      </c>
      <c r="N1135" s="10">
        <f t="shared" si="154"/>
        <v>0.10624954299460476</v>
      </c>
      <c r="O1135" s="10">
        <f t="shared" si="155"/>
        <v>0.15249139688279689</v>
      </c>
      <c r="P1135" s="10">
        <f t="shared" si="156"/>
        <v>6.4598265518451603E-2</v>
      </c>
      <c r="Q1135" s="66">
        <f t="shared" si="159"/>
        <v>4</v>
      </c>
      <c r="R1135" s="10">
        <f t="shared" si="157"/>
        <v>1.9699601411817202E-3</v>
      </c>
      <c r="V1135" s="10">
        <f t="shared" si="158"/>
        <v>3.779030385960946E-3</v>
      </c>
    </row>
    <row r="1136" spans="11:22">
      <c r="K1136" s="66">
        <v>56.2</v>
      </c>
      <c r="L1136" s="10">
        <f t="shared" si="152"/>
        <v>0.23377355783762693</v>
      </c>
      <c r="M1136" s="10">
        <f t="shared" si="153"/>
        <v>0.12441919920114042</v>
      </c>
      <c r="N1136" s="10">
        <f t="shared" si="154"/>
        <v>0.10663407808018154</v>
      </c>
      <c r="O1136" s="10">
        <f t="shared" si="155"/>
        <v>0.1530434467285928</v>
      </c>
      <c r="P1136" s="10">
        <f t="shared" si="156"/>
        <v>6.4440869581863833E-2</v>
      </c>
      <c r="Q1136" s="66">
        <f t="shared" si="159"/>
        <v>2</v>
      </c>
      <c r="R1136" s="10">
        <f t="shared" si="157"/>
        <v>9.7343854543142081E-4</v>
      </c>
      <c r="V1136" s="10">
        <f t="shared" si="158"/>
        <v>1.880401820227439E-3</v>
      </c>
    </row>
    <row r="1137" spans="11:22">
      <c r="K1137" s="66">
        <v>56.25</v>
      </c>
      <c r="L1137" s="10">
        <f t="shared" si="152"/>
        <v>0.23252822115939056</v>
      </c>
      <c r="M1137" s="10">
        <f t="shared" si="153"/>
        <v>0.12346904632146338</v>
      </c>
      <c r="N1137" s="10">
        <f t="shared" si="154"/>
        <v>0.1070200061744125</v>
      </c>
      <c r="O1137" s="10">
        <f t="shared" si="155"/>
        <v>0.15359749641846454</v>
      </c>
      <c r="P1137" s="10">
        <f t="shared" si="156"/>
        <v>6.4283857145988596E-2</v>
      </c>
      <c r="Q1137" s="66">
        <f t="shared" si="159"/>
        <v>4</v>
      </c>
      <c r="R1137" s="10">
        <f t="shared" si="157"/>
        <v>1.9239742725657126E-3</v>
      </c>
      <c r="V1137" s="10">
        <f t="shared" si="158"/>
        <v>3.7425409755858633E-3</v>
      </c>
    </row>
    <row r="1138" spans="11:22">
      <c r="K1138" s="66">
        <v>56.3</v>
      </c>
      <c r="L1138" s="10">
        <f t="shared" si="152"/>
        <v>0.23128504743052083</v>
      </c>
      <c r="M1138" s="10">
        <f t="shared" si="153"/>
        <v>0.12252274910436087</v>
      </c>
      <c r="N1138" s="10">
        <f t="shared" si="154"/>
        <v>0.10740733232358148</v>
      </c>
      <c r="O1138" s="10">
        <f t="shared" si="155"/>
        <v>0.15415355319700474</v>
      </c>
      <c r="P1138" s="10">
        <f t="shared" si="156"/>
        <v>6.4127227276412971E-2</v>
      </c>
      <c r="Q1138" s="66">
        <f t="shared" si="159"/>
        <v>2</v>
      </c>
      <c r="R1138" s="10">
        <f t="shared" si="157"/>
        <v>9.5062568932775468E-4</v>
      </c>
      <c r="V1138" s="10">
        <f t="shared" si="158"/>
        <v>1.8621216912069936E-3</v>
      </c>
    </row>
    <row r="1139" spans="11:22">
      <c r="K1139" s="66">
        <v>56.35</v>
      </c>
      <c r="L1139" s="10">
        <f t="shared" si="152"/>
        <v>0.23004405691281307</v>
      </c>
      <c r="M1139" s="10">
        <f t="shared" si="153"/>
        <v>0.12158031809834262</v>
      </c>
      <c r="N1139" s="10">
        <f t="shared" si="154"/>
        <v>0.10779606159225258</v>
      </c>
      <c r="O1139" s="10">
        <f t="shared" si="155"/>
        <v>0.15471162433505017</v>
      </c>
      <c r="P1139" s="10">
        <f t="shared" si="156"/>
        <v>6.3970979041000769E-2</v>
      </c>
      <c r="Q1139" s="66">
        <f t="shared" si="159"/>
        <v>4</v>
      </c>
      <c r="R1139" s="10">
        <f t="shared" si="157"/>
        <v>1.8787080902730473E-3</v>
      </c>
      <c r="V1139" s="10">
        <f t="shared" si="158"/>
        <v>3.7059118552249934E-3</v>
      </c>
    </row>
    <row r="1140" spans="11:22">
      <c r="K1140" s="66">
        <v>56.4</v>
      </c>
      <c r="L1140" s="10">
        <f t="shared" si="152"/>
        <v>0.2288052698350086</v>
      </c>
      <c r="M1140" s="10">
        <f t="shared" si="153"/>
        <v>0.12064176368890361</v>
      </c>
      <c r="N1140" s="10">
        <f t="shared" si="154"/>
        <v>0.10818619906333687</v>
      </c>
      <c r="O1140" s="10">
        <f t="shared" si="155"/>
        <v>0.15527171712977733</v>
      </c>
      <c r="P1140" s="10">
        <f t="shared" si="156"/>
        <v>6.3815111509886988E-2</v>
      </c>
      <c r="Q1140" s="66">
        <f t="shared" si="159"/>
        <v>2</v>
      </c>
      <c r="R1140" s="10">
        <f t="shared" si="157"/>
        <v>9.2817203869785178E-4</v>
      </c>
      <c r="V1140" s="10">
        <f t="shared" si="158"/>
        <v>1.8437736957118056E-3</v>
      </c>
    </row>
    <row r="1141" spans="11:22">
      <c r="K1141" s="66">
        <v>56.45</v>
      </c>
      <c r="L1141" s="10">
        <f t="shared" si="152"/>
        <v>0.2275687063915284</v>
      </c>
      <c r="M1141" s="10">
        <f t="shared" si="153"/>
        <v>0.11970709609749795</v>
      </c>
      <c r="N1141" s="10">
        <f t="shared" si="154"/>
        <v>0.10857774983815831</v>
      </c>
      <c r="O1141" s="10">
        <f t="shared" si="155"/>
        <v>0.15583383890479643</v>
      </c>
      <c r="P1141" s="10">
        <f t="shared" si="156"/>
        <v>6.3659623755472239E-2</v>
      </c>
      <c r="Q1141" s="66">
        <f t="shared" si="159"/>
        <v>4</v>
      </c>
      <c r="R1141" s="10">
        <f t="shared" si="157"/>
        <v>1.8341589988999007E-3</v>
      </c>
      <c r="V1141" s="10">
        <f t="shared" si="158"/>
        <v>3.6691509914259313E-3</v>
      </c>
    </row>
    <row r="1142" spans="11:22">
      <c r="K1142" s="66">
        <v>56.5</v>
      </c>
      <c r="L1142" s="10">
        <f t="shared" si="152"/>
        <v>0.22633438674120168</v>
      </c>
      <c r="M1142" s="10">
        <f t="shared" si="153"/>
        <v>0.11877632538052538</v>
      </c>
      <c r="N1142" s="10">
        <f t="shared" si="154"/>
        <v>0.10897071903652135</v>
      </c>
      <c r="O1142" s="10">
        <f t="shared" si="155"/>
        <v>0.15639799701024867</v>
      </c>
      <c r="P1142" s="10">
        <f t="shared" si="156"/>
        <v>6.3504514852417329E-2</v>
      </c>
      <c r="Q1142" s="66">
        <f t="shared" si="159"/>
        <v>2</v>
      </c>
      <c r="R1142" s="10">
        <f t="shared" si="157"/>
        <v>9.0607625131260507E-4</v>
      </c>
      <c r="V1142" s="10">
        <f t="shared" si="158"/>
        <v>1.8253618292755119E-3</v>
      </c>
    </row>
    <row r="1143" spans="11:22">
      <c r="K1143" s="66">
        <v>56.55</v>
      </c>
      <c r="L1143" s="10">
        <f t="shared" si="152"/>
        <v>0.22510233100598837</v>
      </c>
      <c r="M1143" s="10">
        <f t="shared" si="153"/>
        <v>0.11784946142832844</v>
      </c>
      <c r="N1143" s="10">
        <f t="shared" si="154"/>
        <v>0.10936511179677696</v>
      </c>
      <c r="O1143" s="10">
        <f t="shared" si="155"/>
        <v>0.15696419882290139</v>
      </c>
      <c r="P1143" s="10">
        <f t="shared" si="156"/>
        <v>6.3349783877637636E-2</v>
      </c>
      <c r="Q1143" s="66">
        <f t="shared" si="159"/>
        <v>4</v>
      </c>
      <c r="R1143" s="10">
        <f t="shared" si="157"/>
        <v>1.7903242254399502E-3</v>
      </c>
      <c r="V1143" s="10">
        <f t="shared" si="158"/>
        <v>3.6322663989116094E-3</v>
      </c>
    </row>
    <row r="1144" spans="11:22">
      <c r="K1144" s="66">
        <v>56.6</v>
      </c>
      <c r="L1144" s="10">
        <f t="shared" si="152"/>
        <v>0.22387255926970048</v>
      </c>
      <c r="M1144" s="10">
        <f t="shared" si="153"/>
        <v>0.11692651396420438</v>
      </c>
      <c r="N1144" s="10">
        <f t="shared" si="154"/>
        <v>0.1097609332758902</v>
      </c>
      <c r="O1144" s="10">
        <f t="shared" si="155"/>
        <v>0.15753245174624519</v>
      </c>
      <c r="P1144" s="10">
        <f t="shared" si="156"/>
        <v>6.3195429910297682E-2</v>
      </c>
      <c r="Q1144" s="66">
        <f t="shared" si="159"/>
        <v>2</v>
      </c>
      <c r="R1144" s="10">
        <f t="shared" si="157"/>
        <v>8.8433689665421778E-4</v>
      </c>
      <c r="V1144" s="10">
        <f t="shared" si="158"/>
        <v>1.8068901106519997E-3</v>
      </c>
    </row>
    <row r="1145" spans="11:22">
      <c r="K1145" s="66">
        <v>56.65</v>
      </c>
      <c r="L1145" s="10">
        <f t="shared" si="152"/>
        <v>0.22264509157671594</v>
      </c>
      <c r="M1145" s="10">
        <f t="shared" si="153"/>
        <v>0.11600749254342667</v>
      </c>
      <c r="N1145" s="10">
        <f t="shared" si="154"/>
        <v>0.11015818864950805</v>
      </c>
      <c r="O1145" s="10">
        <f t="shared" si="155"/>
        <v>0.15810276321059036</v>
      </c>
      <c r="P1145" s="10">
        <f t="shared" si="156"/>
        <v>6.3041452031805625E-2</v>
      </c>
      <c r="Q1145" s="66">
        <f t="shared" si="159"/>
        <v>4</v>
      </c>
      <c r="R1145" s="10">
        <f t="shared" si="157"/>
        <v>1.747200821359691E-3</v>
      </c>
      <c r="V1145" s="10">
        <f t="shared" si="158"/>
        <v>3.5952661370971255E-3</v>
      </c>
    </row>
    <row r="1146" spans="11:22">
      <c r="K1146" s="66">
        <v>56.7</v>
      </c>
      <c r="L1146" s="10">
        <f t="shared" si="152"/>
        <v>0.22141994793068934</v>
      </c>
      <c r="M1146" s="10">
        <f t="shared" si="153"/>
        <v>0.11509240655228131</v>
      </c>
      <c r="N1146" s="10">
        <f t="shared" si="154"/>
        <v>0.11055688311202604</v>
      </c>
      <c r="O1146" s="10">
        <f t="shared" si="155"/>
        <v>0.15867514067316335</v>
      </c>
      <c r="P1146" s="10">
        <f t="shared" si="156"/>
        <v>6.2887849325807821E-2</v>
      </c>
      <c r="Q1146" s="66">
        <f t="shared" si="159"/>
        <v>2</v>
      </c>
      <c r="R1146" s="10">
        <f t="shared" si="157"/>
        <v>8.6295245697886865E-4</v>
      </c>
      <c r="V1146" s="10">
        <f t="shared" si="158"/>
        <v>1.7883625800604157E-3</v>
      </c>
    </row>
    <row r="1147" spans="11:22">
      <c r="K1147" s="66">
        <v>56.75</v>
      </c>
      <c r="L1147" s="10">
        <f t="shared" si="152"/>
        <v>0.22019714829325829</v>
      </c>
      <c r="M1147" s="10">
        <f t="shared" si="153"/>
        <v>0.11418126520711504</v>
      </c>
      <c r="N1147" s="10">
        <f t="shared" si="154"/>
        <v>0.11095702187665714</v>
      </c>
      <c r="O1147" s="10">
        <f t="shared" si="155"/>
        <v>0.15924959161820607</v>
      </c>
      <c r="P1147" s="10">
        <f t="shared" si="156"/>
        <v>6.2734620878183364E-2</v>
      </c>
      <c r="Q1147" s="66">
        <f t="shared" si="159"/>
        <v>4</v>
      </c>
      <c r="R1147" s="10">
        <f t="shared" si="157"/>
        <v>1.7047856647734129E-3</v>
      </c>
      <c r="V1147" s="10">
        <f t="shared" si="158"/>
        <v>3.5581583065534025E-3</v>
      </c>
    </row>
    <row r="1148" spans="11:22">
      <c r="K1148" s="66">
        <v>56.8</v>
      </c>
      <c r="L1148" s="10">
        <f t="shared" si="152"/>
        <v>0.2189767125827459</v>
      </c>
      <c r="M1148" s="10">
        <f t="shared" si="153"/>
        <v>0.11327407755339654</v>
      </c>
      <c r="N1148" s="10">
        <f t="shared" si="154"/>
        <v>0.11135861017549978</v>
      </c>
      <c r="O1148" s="10">
        <f t="shared" si="155"/>
        <v>0.15982612355707207</v>
      </c>
      <c r="P1148" s="10">
        <f t="shared" si="156"/>
        <v>6.2581765777038625E-2</v>
      </c>
      <c r="Q1148" s="66">
        <f t="shared" si="159"/>
        <v>2</v>
      </c>
      <c r="R1148" s="10">
        <f t="shared" si="157"/>
        <v>8.419213284288408E-4</v>
      </c>
      <c r="V1148" s="10">
        <f t="shared" si="158"/>
        <v>1.7697832974041311E-3</v>
      </c>
    </row>
    <row r="1149" spans="11:22">
      <c r="K1149" s="66">
        <v>56.85</v>
      </c>
      <c r="L1149" s="10">
        <f t="shared" si="152"/>
        <v>0.21775866067285923</v>
      </c>
      <c r="M1149" s="10">
        <f t="shared" si="153"/>
        <v>0.11237085246479178</v>
      </c>
      <c r="N1149" s="10">
        <f t="shared" si="154"/>
        <v>0.1117616532596058</v>
      </c>
      <c r="O1149" s="10">
        <f t="shared" si="155"/>
        <v>0.16040474402832525</v>
      </c>
      <c r="P1149" s="10">
        <f t="shared" si="156"/>
        <v>6.2429283112701739E-2</v>
      </c>
      <c r="Q1149" s="66">
        <f t="shared" si="159"/>
        <v>4</v>
      </c>
      <c r="R1149" s="10">
        <f t="shared" si="157"/>
        <v>1.6630754627164628E-3</v>
      </c>
      <c r="V1149" s="10">
        <f t="shared" si="158"/>
        <v>3.5209510454199803E-3</v>
      </c>
    </row>
    <row r="1150" spans="11:22">
      <c r="K1150" s="66">
        <v>56.9</v>
      </c>
      <c r="L1150" s="10">
        <f t="shared" si="152"/>
        <v>0.21654301239138352</v>
      </c>
      <c r="M1150" s="10">
        <f t="shared" si="153"/>
        <v>0.1114715986422514</v>
      </c>
      <c r="N1150" s="10">
        <f t="shared" si="154"/>
        <v>0.11216615639904955</v>
      </c>
      <c r="O1150" s="10">
        <f t="shared" si="155"/>
        <v>0.1609854605978393</v>
      </c>
      <c r="P1150" s="10">
        <f t="shared" si="156"/>
        <v>6.2277171977717476E-2</v>
      </c>
      <c r="Q1150" s="66">
        <f t="shared" si="159"/>
        <v>2</v>
      </c>
      <c r="R1150" s="10">
        <f t="shared" si="157"/>
        <v>8.2124182219347564E-4</v>
      </c>
      <c r="V1150" s="10">
        <f t="shared" si="158"/>
        <v>1.7511563404647816E-3</v>
      </c>
    </row>
    <row r="1151" spans="11:22">
      <c r="K1151" s="66">
        <v>56.95</v>
      </c>
      <c r="L1151" s="10">
        <f t="shared" si="152"/>
        <v>0.21532978751887294</v>
      </c>
      <c r="M1151" s="10">
        <f t="shared" si="153"/>
        <v>0.11057632461311319</v>
      </c>
      <c r="N1151" s="10">
        <f t="shared" si="154"/>
        <v>0.11257212488299628</v>
      </c>
      <c r="O1151" s="10">
        <f t="shared" si="155"/>
        <v>0.16156828085889494</v>
      </c>
      <c r="P1151" s="10">
        <f t="shared" si="156"/>
        <v>6.2125431466841533E-2</v>
      </c>
      <c r="Q1151" s="66">
        <f t="shared" si="159"/>
        <v>4</v>
      </c>
      <c r="R1151" s="10">
        <f t="shared" si="157"/>
        <v>1.6220667535153967E-3</v>
      </c>
      <c r="V1151" s="10">
        <f t="shared" si="158"/>
        <v>3.4836525257689681E-3</v>
      </c>
    </row>
    <row r="1152" spans="11:22">
      <c r="K1152" s="66">
        <v>57</v>
      </c>
      <c r="L1152" s="10">
        <f t="shared" si="152"/>
        <v>0.21411900578733739</v>
      </c>
      <c r="M1152" s="10">
        <f t="shared" si="153"/>
        <v>0.10968503873021729</v>
      </c>
      <c r="N1152" s="10">
        <f t="shared" si="154"/>
        <v>0.11297956401977238</v>
      </c>
      <c r="O1152" s="10">
        <f t="shared" si="155"/>
        <v>0.16215321243228084</v>
      </c>
      <c r="P1152" s="10">
        <f t="shared" si="156"/>
        <v>6.1974060677035397E-2</v>
      </c>
      <c r="Q1152" s="66">
        <f t="shared" si="159"/>
        <v>2</v>
      </c>
      <c r="R1152" s="10">
        <f t="shared" si="157"/>
        <v>8.009121657181872E-4</v>
      </c>
      <c r="V1152" s="10">
        <f t="shared" si="158"/>
        <v>1.732485803072506E-3</v>
      </c>
    </row>
    <row r="1153" spans="11:22">
      <c r="K1153" s="66">
        <v>57.05</v>
      </c>
      <c r="L1153" s="10">
        <f t="shared" si="152"/>
        <v>0.21291068687892772</v>
      </c>
      <c r="M1153" s="10">
        <f t="shared" si="153"/>
        <v>0.1087977491710371</v>
      </c>
      <c r="N1153" s="10">
        <f t="shared" si="154"/>
        <v>0.11338847913693313</v>
      </c>
      <c r="O1153" s="10">
        <f t="shared" si="155"/>
        <v>0.16274026296639169</v>
      </c>
      <c r="P1153" s="10">
        <f t="shared" si="156"/>
        <v>6.1823058707460396E-2</v>
      </c>
      <c r="Q1153" s="66">
        <f t="shared" si="159"/>
        <v>4</v>
      </c>
      <c r="R1153" s="10">
        <f t="shared" si="157"/>
        <v>1.581755909253492E-3</v>
      </c>
      <c r="V1153" s="10">
        <f t="shared" si="158"/>
        <v>3.4462709499225321E-3</v>
      </c>
    </row>
    <row r="1154" spans="11:22">
      <c r="K1154" s="66">
        <v>57.1</v>
      </c>
      <c r="L1154" s="10">
        <f t="shared" si="152"/>
        <v>0.21170485042461187</v>
      </c>
      <c r="M1154" s="10">
        <f t="shared" si="153"/>
        <v>0.10791446393682073</v>
      </c>
      <c r="N1154" s="10">
        <f t="shared" si="154"/>
        <v>0.11379887558133409</v>
      </c>
      <c r="O1154" s="10">
        <f t="shared" si="155"/>
        <v>0.1633294401373305</v>
      </c>
      <c r="P1154" s="10">
        <f t="shared" si="156"/>
        <v>6.167242465947341E-2</v>
      </c>
      <c r="Q1154" s="66">
        <f t="shared" si="159"/>
        <v>2</v>
      </c>
      <c r="R1154" s="10">
        <f t="shared" si="157"/>
        <v>7.8093050396076081E-4</v>
      </c>
      <c r="V1154" s="10">
        <f t="shared" si="158"/>
        <v>1.7137757932534894E-3</v>
      </c>
    </row>
    <row r="1155" spans="11:22">
      <c r="K1155" s="66">
        <v>57.15</v>
      </c>
      <c r="L1155" s="10">
        <f t="shared" si="152"/>
        <v>0.21050151600285616</v>
      </c>
      <c r="M1155" s="10">
        <f t="shared" si="153"/>
        <v>0.10703519085175209</v>
      </c>
      <c r="N1155" s="10">
        <f t="shared" si="154"/>
        <v>0.11421075871920011</v>
      </c>
      <c r="O1155" s="10">
        <f t="shared" si="155"/>
        <v>0.16392075164900669</v>
      </c>
      <c r="P1155" s="10">
        <f t="shared" si="156"/>
        <v>6.1522157636620563E-2</v>
      </c>
      <c r="Q1155" s="66">
        <f t="shared" si="159"/>
        <v>4</v>
      </c>
      <c r="R1155" s="10">
        <f t="shared" si="157"/>
        <v>1.5421391383299995E-3</v>
      </c>
      <c r="V1155" s="10">
        <f t="shared" si="158"/>
        <v>3.408814546726291E-3</v>
      </c>
    </row>
    <row r="1156" spans="11:22">
      <c r="K1156" s="66">
        <v>57.2</v>
      </c>
      <c r="L1156" s="10">
        <f t="shared" si="152"/>
        <v>0.20930070313829632</v>
      </c>
      <c r="M1156" s="10">
        <f t="shared" si="153"/>
        <v>0.10615993756212259</v>
      </c>
      <c r="N1156" s="10">
        <f t="shared" si="154"/>
        <v>0.11462413393619515</v>
      </c>
      <c r="O1156" s="10">
        <f t="shared" si="155"/>
        <v>0.16451420523323726</v>
      </c>
      <c r="P1156" s="10">
        <f t="shared" si="156"/>
        <v>6.1372256744632217E-2</v>
      </c>
      <c r="Q1156" s="66">
        <f t="shared" si="159"/>
        <v>2</v>
      </c>
      <c r="R1156" s="10">
        <f t="shared" si="157"/>
        <v>7.6129490069408955E-4</v>
      </c>
      <c r="V1156" s="10">
        <f t="shared" si="158"/>
        <v>1.6950304313560999E-3</v>
      </c>
    </row>
    <row r="1157" spans="11:22">
      <c r="K1157" s="66">
        <v>57.25</v>
      </c>
      <c r="L1157" s="10">
        <f t="shared" si="152"/>
        <v>0.20810243130040876</v>
      </c>
      <c r="M1157" s="10">
        <f t="shared" si="153"/>
        <v>0.10528871153551908</v>
      </c>
      <c r="N1157" s="10">
        <f t="shared" si="154"/>
        <v>0.11503900663749343</v>
      </c>
      <c r="O1157" s="10">
        <f t="shared" si="155"/>
        <v>0.16510980864984937</v>
      </c>
      <c r="P1157" s="10">
        <f t="shared" si="156"/>
        <v>6.1222721091417708E-2</v>
      </c>
      <c r="Q1157" s="66">
        <f t="shared" si="159"/>
        <v>4</v>
      </c>
      <c r="R1157" s="10">
        <f t="shared" si="157"/>
        <v>1.5032124881114259E-3</v>
      </c>
      <c r="V1157" s="10">
        <f t="shared" si="158"/>
        <v>3.3712915677809605E-3</v>
      </c>
    </row>
    <row r="1158" spans="11:22">
      <c r="K1158" s="66">
        <v>57.3</v>
      </c>
      <c r="L1158" s="10">
        <f t="shared" si="152"/>
        <v>0.20690671990217774</v>
      </c>
      <c r="M1158" s="10">
        <f t="shared" si="153"/>
        <v>0.10442152006002675</v>
      </c>
      <c r="N1158" s="10">
        <f t="shared" si="154"/>
        <v>0.1154553822478501</v>
      </c>
      <c r="O1158" s="10">
        <f t="shared" si="155"/>
        <v>0.1657075696867801</v>
      </c>
      <c r="P1158" s="10">
        <f t="shared" si="156"/>
        <v>6.1073549787059998E-2</v>
      </c>
      <c r="Q1158" s="66">
        <f t="shared" si="159"/>
        <v>2</v>
      </c>
      <c r="R1158" s="10">
        <f t="shared" si="157"/>
        <v>7.4200333985448091E-4</v>
      </c>
      <c r="V1158" s="10">
        <f t="shared" si="158"/>
        <v>1.6762538481567338E-3</v>
      </c>
    </row>
    <row r="1159" spans="11:22">
      <c r="K1159" s="66">
        <v>57.35</v>
      </c>
      <c r="L1159" s="10">
        <f t="shared" si="152"/>
        <v>0.20571358829876074</v>
      </c>
      <c r="M1159" s="10">
        <f t="shared" si="153"/>
        <v>0.10355837024344713</v>
      </c>
      <c r="N1159" s="10">
        <f t="shared" si="154"/>
        <v>0.11587326621167153</v>
      </c>
      <c r="O1159" s="10">
        <f t="shared" si="155"/>
        <v>0.16630749616017895</v>
      </c>
      <c r="P1159" s="10">
        <f t="shared" si="156"/>
        <v>6.092474194381025E-2</v>
      </c>
      <c r="Q1159" s="66">
        <f t="shared" si="159"/>
        <v>4</v>
      </c>
      <c r="R1159" s="10">
        <f t="shared" si="157"/>
        <v>1.4649718476729817E-3</v>
      </c>
      <c r="V1159" s="10">
        <f t="shared" si="158"/>
        <v>3.3337102836348315E-3</v>
      </c>
    </row>
    <row r="1160" spans="11:22">
      <c r="K1160" s="66">
        <v>57.4</v>
      </c>
      <c r="L1160" s="10">
        <f t="shared" si="152"/>
        <v>0.20452305578615063</v>
      </c>
      <c r="M1160" s="10">
        <f t="shared" si="153"/>
        <v>0.10269926901253165</v>
      </c>
      <c r="N1160" s="10">
        <f t="shared" si="154"/>
        <v>0.11629266399308716</v>
      </c>
      <c r="O1160" s="10">
        <f t="shared" si="155"/>
        <v>0.16690959591451063</v>
      </c>
      <c r="P1160" s="10">
        <f t="shared" si="156"/>
        <v>6.0776296676082857E-2</v>
      </c>
      <c r="Q1160" s="66">
        <f t="shared" si="159"/>
        <v>2</v>
      </c>
      <c r="R1160" s="10">
        <f t="shared" si="157"/>
        <v>7.230537269345697E-4</v>
      </c>
      <c r="V1160" s="10">
        <f t="shared" si="158"/>
        <v>1.657450182946735E-3</v>
      </c>
    </row>
    <row r="1161" spans="11:22">
      <c r="K1161" s="66">
        <v>57.45</v>
      </c>
      <c r="L1161" s="10">
        <f t="shared" si="152"/>
        <v>0.20333514159983343</v>
      </c>
      <c r="M1161" s="10">
        <f t="shared" si="153"/>
        <v>0.10184422311222972</v>
      </c>
      <c r="N1161" s="10">
        <f t="shared" si="154"/>
        <v>0.11671358107602019</v>
      </c>
      <c r="O1161" s="10">
        <f t="shared" si="155"/>
        <v>0.16751387682265617</v>
      </c>
      <c r="P1161" s="10">
        <f t="shared" si="156"/>
        <v>6.0628213100449746E-2</v>
      </c>
      <c r="Q1161" s="66">
        <f t="shared" si="159"/>
        <v>4</v>
      </c>
      <c r="R1161" s="10">
        <f t="shared" si="157"/>
        <v>1.4274129506282984E-3</v>
      </c>
      <c r="V1161" s="10">
        <f t="shared" si="158"/>
        <v>3.2960789799395744E-3</v>
      </c>
    </row>
    <row r="1162" spans="11:22">
      <c r="K1162" s="66">
        <v>57.5</v>
      </c>
      <c r="L1162" s="10">
        <f t="shared" si="152"/>
        <v>0.20214986491344933</v>
      </c>
      <c r="M1162" s="10">
        <f t="shared" si="153"/>
        <v>0.10099323910495533</v>
      </c>
      <c r="N1162" s="10">
        <f t="shared" si="154"/>
        <v>0.11713602296426046</v>
      </c>
      <c r="O1162" s="10">
        <f t="shared" si="155"/>
        <v>0.16812034678601734</v>
      </c>
      <c r="P1162" s="10">
        <f t="shared" si="156"/>
        <v>6.0480490335635545E-2</v>
      </c>
      <c r="Q1162" s="66">
        <f t="shared" si="159"/>
        <v>2</v>
      </c>
      <c r="R1162" s="10">
        <f t="shared" si="157"/>
        <v>7.0444389041986113E-4</v>
      </c>
      <c r="V1162" s="10">
        <f t="shared" si="158"/>
        <v>1.6386235816016293E-3</v>
      </c>
    </row>
    <row r="1163" spans="11:22">
      <c r="K1163" s="66">
        <v>57.55</v>
      </c>
      <c r="L1163" s="10">
        <f t="shared" si="152"/>
        <v>0.2009672448374428</v>
      </c>
      <c r="M1163" s="10">
        <f t="shared" si="153"/>
        <v>0.10014632336986519</v>
      </c>
      <c r="N1163" s="10">
        <f t="shared" si="154"/>
        <v>0.11755999518153523</v>
      </c>
      <c r="O1163" s="10">
        <f t="shared" si="155"/>
        <v>0.16872901373461896</v>
      </c>
      <c r="P1163" s="10">
        <f t="shared" si="156"/>
        <v>6.0333127502512053E-2</v>
      </c>
      <c r="Q1163" s="66">
        <f t="shared" si="159"/>
        <v>4</v>
      </c>
      <c r="R1163" s="10">
        <f t="shared" si="157"/>
        <v>1.3905313780453996E-3</v>
      </c>
      <c r="V1163" s="10">
        <f t="shared" si="158"/>
        <v>3.258405953572051E-3</v>
      </c>
    </row>
    <row r="1164" spans="11:22">
      <c r="K1164" s="66">
        <v>57.6</v>
      </c>
      <c r="L1164" s="10">
        <f t="shared" ref="L1164:L1227" si="160">(B$7^K1164)*B$8^((B$5^25)*((B$5^K1164)-1))</f>
        <v>0.19978730041771886</v>
      </c>
      <c r="M1164" s="10">
        <f t="shared" ref="M1164:M1227" si="161">(B$7^K1164)*B$8^((B$5^30)*((B$5^K1164)-1))</f>
        <v>9.9303482102157573E-2</v>
      </c>
      <c r="N1164" s="10">
        <f t="shared" si="154"/>
        <v>0.11798550327158198</v>
      </c>
      <c r="O1164" s="10">
        <f t="shared" si="155"/>
        <v>0.16933988562721361</v>
      </c>
      <c r="P1164" s="10">
        <f t="shared" si="156"/>
        <v>6.0186123724093016E-2</v>
      </c>
      <c r="Q1164" s="66">
        <f t="shared" si="159"/>
        <v>2</v>
      </c>
      <c r="R1164" s="10">
        <f t="shared" si="157"/>
        <v>6.8617158326789976E-4</v>
      </c>
      <c r="V1164" s="10">
        <f t="shared" si="158"/>
        <v>1.6197781946340503E-3</v>
      </c>
    </row>
    <row r="1165" spans="11:22">
      <c r="K1165" s="66">
        <v>57.65</v>
      </c>
      <c r="L1165" s="10">
        <f t="shared" si="160"/>
        <v>0.19861005063429193</v>
      </c>
      <c r="M1165" s="10">
        <f t="shared" si="161"/>
        <v>9.8464721312384082E-2</v>
      </c>
      <c r="N1165" s="10">
        <f t="shared" ref="N1165:N1228" si="162">B$3+B$4*(B$5^(25+K1165))</f>
        <v>0.11841255279822116</v>
      </c>
      <c r="O1165" s="10">
        <f t="shared" ref="O1165:O1228" si="163">$B$3+$B$4*($B$5^(30+K1165))</f>
        <v>0.16995297045138463</v>
      </c>
      <c r="P1165" s="10">
        <f t="shared" ref="P1165:P1228" si="164">(1+B$6)^-K1165</f>
        <v>6.0039478125529178E-2</v>
      </c>
      <c r="Q1165" s="66">
        <f t="shared" si="159"/>
        <v>4</v>
      </c>
      <c r="R1165" s="10">
        <f t="shared" ref="R1165:R1228" si="165">L1165*M1165*(N1165+O1165)*P1165*Q1165</f>
        <v>1.3543225614467943E-3</v>
      </c>
      <c r="V1165" s="10">
        <f t="shared" si="158"/>
        <v>3.2206995087248596E-3</v>
      </c>
    </row>
    <row r="1166" spans="11:22">
      <c r="K1166" s="66">
        <v>57.7</v>
      </c>
      <c r="L1166" s="10">
        <f t="shared" si="160"/>
        <v>0.19743551439993537</v>
      </c>
      <c r="M1166" s="10">
        <f t="shared" si="161"/>
        <v>9.7630046825779707E-2</v>
      </c>
      <c r="N1166" s="10">
        <f t="shared" si="162"/>
        <v>0.11884114934542798</v>
      </c>
      <c r="O1166" s="10">
        <f t="shared" si="163"/>
        <v>0.17056827622365059</v>
      </c>
      <c r="P1166" s="10">
        <f t="shared" si="164"/>
        <v>5.9893189834102689E-2</v>
      </c>
      <c r="Q1166" s="66">
        <f t="shared" si="159"/>
        <v>2</v>
      </c>
      <c r="R1166" s="10">
        <f t="shared" si="165"/>
        <v>6.6823448442892978E-4</v>
      </c>
      <c r="V1166" s="10">
        <f t="shared" ref="V1166:V1229" si="166">(1-L1166)*M1166*O1166*P1166*Q1166</f>
        <v>1.6009181752316922E-3</v>
      </c>
    </row>
    <row r="1167" spans="11:22">
      <c r="K1167" s="66">
        <v>57.75</v>
      </c>
      <c r="L1167" s="10">
        <f t="shared" si="160"/>
        <v>0.19626371055882763</v>
      </c>
      <c r="M1167" s="10">
        <f t="shared" si="161"/>
        <v>9.6799464281608696E-2</v>
      </c>
      <c r="N1167" s="10">
        <f t="shared" si="162"/>
        <v>0.11927129851740642</v>
      </c>
      <c r="O1167" s="10">
        <f t="shared" si="163"/>
        <v>0.17118581098957153</v>
      </c>
      <c r="P1167" s="10">
        <f t="shared" si="164"/>
        <v>5.9747257979222236E-2</v>
      </c>
      <c r="Q1167" s="66">
        <f t="shared" ref="Q1167:Q1230" si="167">IF(Q1166=4,2,4)</f>
        <v>4</v>
      </c>
      <c r="R1167" s="10">
        <f t="shared" si="165"/>
        <v>1.318781785891507E-3</v>
      </c>
      <c r="V1167" s="10">
        <f t="shared" si="166"/>
        <v>3.1829679529683137E-3</v>
      </c>
    </row>
    <row r="1168" spans="11:22">
      <c r="K1168" s="66">
        <v>57.8</v>
      </c>
      <c r="L1168" s="10">
        <f t="shared" si="160"/>
        <v>0.19509465788519845</v>
      </c>
      <c r="M1168" s="10">
        <f t="shared" si="161"/>
        <v>9.5972979132527669E-2</v>
      </c>
      <c r="N1168" s="10">
        <f t="shared" si="162"/>
        <v>0.11970300593866226</v>
      </c>
      <c r="O1168" s="10">
        <f t="shared" si="163"/>
        <v>0.17180558282385244</v>
      </c>
      <c r="P1168" s="10">
        <f t="shared" si="164"/>
        <v>5.9601681692417717E-2</v>
      </c>
      <c r="Q1168" s="66">
        <f t="shared" si="167"/>
        <v>2</v>
      </c>
      <c r="R1168" s="10">
        <f t="shared" si="165"/>
        <v>6.5063020040695483E-4</v>
      </c>
      <c r="V1168" s="10">
        <f t="shared" si="166"/>
        <v>1.5820476772817013E-3</v>
      </c>
    </row>
    <row r="1169" spans="11:22">
      <c r="K1169" s="66">
        <v>57.85</v>
      </c>
      <c r="L1169" s="10">
        <f t="shared" si="160"/>
        <v>0.19392837508197244</v>
      </c>
      <c r="M1169" s="10">
        <f t="shared" si="161"/>
        <v>9.5150596643965524E-2</v>
      </c>
      <c r="N1169" s="10">
        <f t="shared" si="162"/>
        <v>0.12013627725407623</v>
      </c>
      <c r="O1169" s="10">
        <f t="shared" si="163"/>
        <v>0.17242759983044967</v>
      </c>
      <c r="P1169" s="10">
        <f t="shared" si="164"/>
        <v>5.9456460107334977E-2</v>
      </c>
      <c r="Q1169" s="66">
        <f t="shared" si="167"/>
        <v>4</v>
      </c>
      <c r="R1169" s="10">
        <f t="shared" si="165"/>
        <v>1.2839041931367171E-3</v>
      </c>
      <c r="V1169" s="10">
        <f t="shared" si="166"/>
        <v>3.145219593286779E-3</v>
      </c>
    </row>
    <row r="1170" spans="11:22">
      <c r="K1170" s="66">
        <v>57.9</v>
      </c>
      <c r="L1170" s="10">
        <f t="shared" si="160"/>
        <v>0.19276488077941165</v>
      </c>
      <c r="M1170" s="10">
        <f t="shared" si="161"/>
        <v>9.4332321893520907E-2</v>
      </c>
      <c r="N1170" s="10">
        <f t="shared" si="162"/>
        <v>0.12057111812897815</v>
      </c>
      <c r="O1170" s="10">
        <f t="shared" si="163"/>
        <v>0.17305187014267728</v>
      </c>
      <c r="P1170" s="10">
        <f t="shared" si="164"/>
        <v>5.9311592359730943E-2</v>
      </c>
      <c r="Q1170" s="66">
        <f t="shared" si="167"/>
        <v>2</v>
      </c>
      <c r="R1170" s="10">
        <f t="shared" si="165"/>
        <v>6.3335626686002839E-4</v>
      </c>
      <c r="V1170" s="10">
        <f t="shared" si="166"/>
        <v>1.5631708533829557E-3</v>
      </c>
    </row>
    <row r="1171" spans="11:22">
      <c r="K1171" s="66">
        <v>57.95</v>
      </c>
      <c r="L1171" s="10">
        <f t="shared" si="160"/>
        <v>0.19160419353375571</v>
      </c>
      <c r="M1171" s="10">
        <f t="shared" si="161"/>
        <v>9.351815977037535E-2</v>
      </c>
      <c r="N1171" s="10">
        <f t="shared" si="162"/>
        <v>0.121007534249221</v>
      </c>
      <c r="O1171" s="10">
        <f t="shared" si="163"/>
        <v>0.17367840192331205</v>
      </c>
      <c r="P1171" s="10">
        <f t="shared" si="164"/>
        <v>5.9167077587468121E-2</v>
      </c>
      <c r="Q1171" s="66">
        <f t="shared" si="167"/>
        <v>4</v>
      </c>
      <c r="R1171" s="10">
        <f t="shared" si="165"/>
        <v>1.2496847848766281E-3</v>
      </c>
      <c r="V1171" s="10">
        <f t="shared" si="166"/>
        <v>3.1074627320921704E-3</v>
      </c>
    </row>
    <row r="1172" spans="11:22">
      <c r="K1172" s="66">
        <v>58</v>
      </c>
      <c r="L1172" s="10">
        <f t="shared" si="160"/>
        <v>0.1904463318258651</v>
      </c>
      <c r="M1172" s="10">
        <f t="shared" si="161"/>
        <v>9.2708114974727543E-2</v>
      </c>
      <c r="N1172" s="10">
        <f t="shared" si="162"/>
        <v>0.12144553132125532</v>
      </c>
      <c r="O1172" s="10">
        <f t="shared" si="163"/>
        <v>0.1743072033647019</v>
      </c>
      <c r="P1172" s="10">
        <f t="shared" si="164"/>
        <v>5.9022914930509894E-2</v>
      </c>
      <c r="Q1172" s="66">
        <f t="shared" si="167"/>
        <v>2</v>
      </c>
      <c r="R1172" s="10">
        <f t="shared" si="165"/>
        <v>6.1641015023851755E-4</v>
      </c>
      <c r="V1172" s="10">
        <f t="shared" si="166"/>
        <v>1.5442918528476655E-3</v>
      </c>
    </row>
    <row r="1173" spans="11:22">
      <c r="K1173" s="66">
        <v>58.05</v>
      </c>
      <c r="L1173" s="10">
        <f t="shared" si="160"/>
        <v>0.18929131405985794</v>
      </c>
      <c r="M1173" s="10">
        <f t="shared" si="161"/>
        <v>9.1902192017241327E-2</v>
      </c>
      <c r="N1173" s="10">
        <f t="shared" si="162"/>
        <v>0.12188511507220301</v>
      </c>
      <c r="O1173" s="10">
        <f t="shared" si="163"/>
        <v>0.17493828268887104</v>
      </c>
      <c r="P1173" s="10">
        <f t="shared" si="164"/>
        <v>5.8879103530914662E-2</v>
      </c>
      <c r="Q1173" s="66">
        <f t="shared" si="167"/>
        <v>4</v>
      </c>
      <c r="R1173" s="10">
        <f t="shared" si="165"/>
        <v>1.2161184260560851E-3</v>
      </c>
      <c r="V1173" s="10">
        <f t="shared" si="166"/>
        <v>3.0697056632175974E-3</v>
      </c>
    </row>
    <row r="1174" spans="11:22">
      <c r="K1174" s="66">
        <v>58.1</v>
      </c>
      <c r="L1174" s="10">
        <f t="shared" si="160"/>
        <v>0.18813915856174829</v>
      </c>
      <c r="M1174" s="10">
        <f t="shared" si="161"/>
        <v>9.1100395218512875E-2</v>
      </c>
      <c r="N1174" s="10">
        <f t="shared" si="162"/>
        <v>0.12232629124993415</v>
      </c>
      <c r="O1174" s="10">
        <f t="shared" si="163"/>
        <v>0.17557164814763029</v>
      </c>
      <c r="P1174" s="10">
        <f t="shared" si="164"/>
        <v>5.8735642532831811E-2</v>
      </c>
      <c r="Q1174" s="66">
        <f t="shared" si="167"/>
        <v>2</v>
      </c>
      <c r="R1174" s="10">
        <f t="shared" si="165"/>
        <v>5.9978924946014285E-4</v>
      </c>
      <c r="V1174" s="10">
        <f t="shared" si="166"/>
        <v>1.5254148196938136E-3</v>
      </c>
    </row>
    <row r="1175" spans="11:22">
      <c r="K1175" s="66">
        <v>58.15</v>
      </c>
      <c r="L1175" s="10">
        <f t="shared" si="160"/>
        <v>0.18698988357808663</v>
      </c>
      <c r="M1175" s="10">
        <f t="shared" si="161"/>
        <v>9.0302728708557808E-2</v>
      </c>
      <c r="N1175" s="10">
        <f t="shared" si="162"/>
        <v>0.12276906562314013</v>
      </c>
      <c r="O1175" s="10">
        <f t="shared" si="163"/>
        <v>0.17620730802268217</v>
      </c>
      <c r="P1175" s="10">
        <f t="shared" si="164"/>
        <v>5.8592531082495784E-2</v>
      </c>
      <c r="Q1175" s="66">
        <f t="shared" si="167"/>
        <v>4</v>
      </c>
      <c r="R1175" s="10">
        <f t="shared" si="165"/>
        <v>1.1831998482563649E-3</v>
      </c>
      <c r="V1175" s="10">
        <f t="shared" si="166"/>
        <v>3.0319566678942184E-3</v>
      </c>
    </row>
    <row r="1176" spans="11:22">
      <c r="K1176" s="66">
        <v>58.2</v>
      </c>
      <c r="L1176" s="10">
        <f t="shared" si="160"/>
        <v>0.18584350727459548</v>
      </c>
      <c r="M1176" s="10">
        <f t="shared" si="161"/>
        <v>8.9509196426313595E-2</v>
      </c>
      <c r="N1176" s="10">
        <f t="shared" si="162"/>
        <v>0.12321344398140979</v>
      </c>
      <c r="O1176" s="10">
        <f t="shared" si="163"/>
        <v>0.17684527062573005</v>
      </c>
      <c r="P1176" s="10">
        <f t="shared" si="164"/>
        <v>5.8449768328221158E-2</v>
      </c>
      <c r="Q1176" s="66">
        <f t="shared" si="167"/>
        <v>2</v>
      </c>
      <c r="R1176" s="10">
        <f t="shared" si="165"/>
        <v>5.8349089762040898E-4</v>
      </c>
      <c r="V1176" s="10">
        <f t="shared" si="166"/>
        <v>1.5065438906299365E-3</v>
      </c>
    </row>
    <row r="1177" spans="11:22">
      <c r="K1177" s="66">
        <v>58.25</v>
      </c>
      <c r="L1177" s="10">
        <f t="shared" si="160"/>
        <v>0.18470004773480733</v>
      </c>
      <c r="M1177" s="10">
        <f t="shared" si="161"/>
        <v>8.8719802119162181E-2</v>
      </c>
      <c r="N1177" s="10">
        <f t="shared" si="162"/>
        <v>0.12365943213530546</v>
      </c>
      <c r="O1177" s="10">
        <f t="shared" si="163"/>
        <v>0.17748554429858807</v>
      </c>
      <c r="P1177" s="10">
        <f t="shared" si="164"/>
        <v>5.8307353420397834E-2</v>
      </c>
      <c r="Q1177" s="66">
        <f t="shared" si="167"/>
        <v>4</v>
      </c>
      <c r="R1177" s="10">
        <f t="shared" si="165"/>
        <v>1.1509236531505201E-3</v>
      </c>
      <c r="V1177" s="10">
        <f t="shared" si="166"/>
        <v>2.9942240107142725E-3</v>
      </c>
    </row>
    <row r="1178" spans="11:22">
      <c r="K1178" s="66">
        <v>58.3</v>
      </c>
      <c r="L1178" s="10">
        <f t="shared" si="160"/>
        <v>0.18355952295870173</v>
      </c>
      <c r="M1178" s="10">
        <f t="shared" si="161"/>
        <v>8.7934549342470233E-2</v>
      </c>
      <c r="N1178" s="10">
        <f t="shared" si="162"/>
        <v>0.12410703591643885</v>
      </c>
      <c r="O1178" s="10">
        <f t="shared" si="163"/>
        <v>0.17812813741328862</v>
      </c>
      <c r="P1178" s="10">
        <f t="shared" si="164"/>
        <v>5.8165285511485698E-2</v>
      </c>
      <c r="Q1178" s="66">
        <f t="shared" si="167"/>
        <v>2</v>
      </c>
      <c r="R1178" s="10">
        <f t="shared" si="165"/>
        <v>5.6751236373714972E-4</v>
      </c>
      <c r="V1178" s="10">
        <f t="shared" si="166"/>
        <v>1.4876831930337713E-3</v>
      </c>
    </row>
    <row r="1179" spans="11:22">
      <c r="K1179" s="66">
        <v>58.35</v>
      </c>
      <c r="L1179" s="10">
        <f t="shared" si="160"/>
        <v>0.18242195086134214</v>
      </c>
      <c r="M1179" s="10">
        <f t="shared" si="161"/>
        <v>8.7153441459148343E-2</v>
      </c>
      <c r="N1179" s="10">
        <f t="shared" si="162"/>
        <v>0.1245562611775469</v>
      </c>
      <c r="O1179" s="10">
        <f t="shared" si="163"/>
        <v>0.17877305837219234</v>
      </c>
      <c r="P1179" s="10">
        <f t="shared" si="164"/>
        <v>5.8023563756009755E-2</v>
      </c>
      <c r="Q1179" s="66">
        <f t="shared" si="167"/>
        <v>4</v>
      </c>
      <c r="R1179" s="10">
        <f t="shared" si="165"/>
        <v>1.1192843160255049E-3</v>
      </c>
      <c r="V1179" s="10">
        <f t="shared" si="166"/>
        <v>2.9565159355834916E-3</v>
      </c>
    </row>
    <row r="1180" spans="11:22">
      <c r="K1180" s="66">
        <v>58.4</v>
      </c>
      <c r="L1180" s="10">
        <f t="shared" si="160"/>
        <v>0.18128734927151388</v>
      </c>
      <c r="M1180" s="10">
        <f t="shared" si="161"/>
        <v>8.6376481639229119E-2</v>
      </c>
      <c r="N1180" s="10">
        <f t="shared" si="162"/>
        <v>0.12500711379256857</v>
      </c>
      <c r="O1180" s="10">
        <f t="shared" si="163"/>
        <v>0.17942031560809893</v>
      </c>
      <c r="P1180" s="10">
        <f t="shared" si="164"/>
        <v>5.788218731055509E-2</v>
      </c>
      <c r="Q1180" s="66">
        <f t="shared" si="167"/>
        <v>2</v>
      </c>
      <c r="R1180" s="10">
        <f t="shared" si="165"/>
        <v>5.5185085452777016E-4</v>
      </c>
      <c r="V1180" s="10">
        <f t="shared" si="166"/>
        <v>1.4688368429263891E-3</v>
      </c>
    </row>
    <row r="1181" spans="11:22">
      <c r="K1181" s="66">
        <v>58.45</v>
      </c>
      <c r="L1181" s="10">
        <f t="shared" si="160"/>
        <v>0.18015573593035997</v>
      </c>
      <c r="M1181" s="10">
        <f t="shared" si="161"/>
        <v>8.5603672859463381E-2</v>
      </c>
      <c r="N1181" s="10">
        <f t="shared" si="162"/>
        <v>0.12545959965672168</v>
      </c>
      <c r="O1181" s="10">
        <f t="shared" si="163"/>
        <v>0.18006991758435539</v>
      </c>
      <c r="P1181" s="10">
        <f t="shared" si="164"/>
        <v>5.774115533376166E-2</v>
      </c>
      <c r="Q1181" s="66">
        <f t="shared" si="167"/>
        <v>4</v>
      </c>
      <c r="R1181" s="10">
        <f t="shared" si="165"/>
        <v>1.0882761893682839E-3</v>
      </c>
      <c r="V1181" s="10">
        <f t="shared" si="166"/>
        <v>2.9188406616659666E-3</v>
      </c>
    </row>
    <row r="1182" spans="11:22">
      <c r="K1182" s="66">
        <v>58.5</v>
      </c>
      <c r="L1182" s="10">
        <f t="shared" si="160"/>
        <v>0.17902712849002225</v>
      </c>
      <c r="M1182" s="10">
        <f t="shared" si="161"/>
        <v>8.4835017902937543E-2</v>
      </c>
      <c r="N1182" s="10">
        <f t="shared" si="162"/>
        <v>0.12591372468657996</v>
      </c>
      <c r="O1182" s="10">
        <f t="shared" si="163"/>
        <v>0.18072187279496849</v>
      </c>
      <c r="P1182" s="10">
        <f t="shared" si="164"/>
        <v>5.7600466986319585E-2</v>
      </c>
      <c r="Q1182" s="66">
        <f t="shared" si="167"/>
        <v>2</v>
      </c>
      <c r="R1182" s="10">
        <f t="shared" si="165"/>
        <v>5.3650351621774988E-4</v>
      </c>
      <c r="V1182" s="10">
        <f t="shared" si="166"/>
        <v>1.4500089429433467E-3</v>
      </c>
    </row>
    <row r="1183" spans="11:22">
      <c r="K1183" s="66">
        <v>58.55</v>
      </c>
      <c r="L1183" s="10">
        <f t="shared" si="160"/>
        <v>0.17790154451227669</v>
      </c>
      <c r="M1183" s="10">
        <f t="shared" si="161"/>
        <v>8.4070519358707213E-2</v>
      </c>
      <c r="N1183" s="10">
        <f t="shared" si="162"/>
        <v>0.12636949482015028</v>
      </c>
      <c r="O1183" s="10">
        <f t="shared" si="163"/>
        <v>0.1813761897647154</v>
      </c>
      <c r="P1183" s="10">
        <f t="shared" si="164"/>
        <v>5.7460121430963851E-2</v>
      </c>
      <c r="Q1183" s="66">
        <f t="shared" si="167"/>
        <v>4</v>
      </c>
      <c r="R1183" s="10">
        <f t="shared" si="165"/>
        <v>1.0578935065130356E-3</v>
      </c>
      <c r="V1183" s="10">
        <f t="shared" si="166"/>
        <v>2.8812063793247087E-3</v>
      </c>
    </row>
    <row r="1184" spans="11:22">
      <c r="K1184" s="66">
        <v>58.6</v>
      </c>
      <c r="L1184" s="10">
        <f t="shared" si="160"/>
        <v>0.17677900146717529</v>
      </c>
      <c r="M1184" s="10">
        <f t="shared" si="161"/>
        <v>8.3310179621452915E-2</v>
      </c>
      <c r="N1184" s="10">
        <f t="shared" si="162"/>
        <v>0.12682691601695062</v>
      </c>
      <c r="O1184" s="10">
        <f t="shared" si="163"/>
        <v>0.18203287704925461</v>
      </c>
      <c r="P1184" s="10">
        <f t="shared" si="164"/>
        <v>5.7320117832469528E-2</v>
      </c>
      <c r="Q1184" s="66">
        <f t="shared" si="167"/>
        <v>2</v>
      </c>
      <c r="R1184" s="10">
        <f t="shared" si="165"/>
        <v>5.2146743637898109E-4</v>
      </c>
      <c r="V1184" s="10">
        <f t="shared" si="166"/>
        <v>1.4312035803045215E-3</v>
      </c>
    </row>
    <row r="1185" spans="11:22">
      <c r="K1185" s="66">
        <v>58.65</v>
      </c>
      <c r="L1185" s="10">
        <f t="shared" si="160"/>
        <v>0.17565951673168537</v>
      </c>
      <c r="M1185" s="10">
        <f t="shared" si="161"/>
        <v>8.2554000891153737E-2</v>
      </c>
      <c r="N1185" s="10">
        <f t="shared" si="162"/>
        <v>0.12728599425808773</v>
      </c>
      <c r="O1185" s="10">
        <f t="shared" si="163"/>
        <v>0.18269194323523846</v>
      </c>
      <c r="P1185" s="10">
        <f t="shared" si="164"/>
        <v>5.7180455357646834E-2</v>
      </c>
      <c r="Q1185" s="66">
        <f t="shared" si="167"/>
        <v>4</v>
      </c>
      <c r="R1185" s="10">
        <f t="shared" si="165"/>
        <v>1.0281303853465059E-3</v>
      </c>
      <c r="V1185" s="10">
        <f t="shared" si="166"/>
        <v>2.8436212460612028E-3</v>
      </c>
    </row>
    <row r="1186" spans="11:22">
      <c r="K1186" s="66">
        <v>58.7</v>
      </c>
      <c r="L1186" s="10">
        <f t="shared" si="160"/>
        <v>0.17454310758833169</v>
      </c>
      <c r="M1186" s="10">
        <f t="shared" si="161"/>
        <v>8.1801985172781283E-2</v>
      </c>
      <c r="N1186" s="10">
        <f t="shared" si="162"/>
        <v>0.12774673554633509</v>
      </c>
      <c r="O1186" s="10">
        <f t="shared" si="163"/>
        <v>0.18335339694042441</v>
      </c>
      <c r="P1186" s="10">
        <f t="shared" si="164"/>
        <v>5.7041133175335879E-2</v>
      </c>
      <c r="Q1186" s="66">
        <f t="shared" si="167"/>
        <v>2</v>
      </c>
      <c r="R1186" s="10">
        <f t="shared" si="165"/>
        <v>5.067396457964019E-4</v>
      </c>
      <c r="V1186" s="10">
        <f t="shared" si="166"/>
        <v>1.4124248247842147E-3</v>
      </c>
    </row>
    <row r="1187" spans="11:22">
      <c r="K1187" s="66">
        <v>58.75</v>
      </c>
      <c r="L1187" s="10">
        <f t="shared" si="160"/>
        <v>0.17342979122383906</v>
      </c>
      <c r="M1187" s="10">
        <f t="shared" si="161"/>
        <v>8.1054134276013268E-2</v>
      </c>
      <c r="N1187" s="10">
        <f t="shared" si="162"/>
        <v>0.12820914590621188</v>
      </c>
      <c r="O1187" s="10">
        <f t="shared" si="163"/>
        <v>0.18401724681378939</v>
      </c>
      <c r="P1187" s="10">
        <f t="shared" si="164"/>
        <v>5.6902150456402144E-2</v>
      </c>
      <c r="Q1187" s="66">
        <f t="shared" si="167"/>
        <v>4</v>
      </c>
      <c r="R1187" s="10">
        <f t="shared" si="165"/>
        <v>9.9898083206846101E-4</v>
      </c>
      <c r="V1187" s="10">
        <f t="shared" si="166"/>
        <v>2.8060933824571419E-3</v>
      </c>
    </row>
    <row r="1188" spans="11:22">
      <c r="K1188" s="66">
        <v>58.8</v>
      </c>
      <c r="L1188" s="10">
        <f t="shared" si="160"/>
        <v>0.17231958472777686</v>
      </c>
      <c r="M1188" s="10">
        <f t="shared" si="161"/>
        <v>8.03104498149671E-2</v>
      </c>
      <c r="N1188" s="10">
        <f t="shared" si="162"/>
        <v>0.12867323138406192</v>
      </c>
      <c r="O1188" s="10">
        <f t="shared" si="163"/>
        <v>0.18468350153564139</v>
      </c>
      <c r="P1188" s="10">
        <f t="shared" si="164"/>
        <v>5.6763506373731148E-2</v>
      </c>
      <c r="Q1188" s="66">
        <f t="shared" si="167"/>
        <v>2</v>
      </c>
      <c r="R1188" s="10">
        <f t="shared" si="165"/>
        <v>4.923171203614254E-4</v>
      </c>
      <c r="V1188" s="10">
        <f t="shared" si="166"/>
        <v>1.3936767266832157E-3</v>
      </c>
    </row>
    <row r="1189" spans="11:22">
      <c r="K1189" s="66">
        <v>58.85</v>
      </c>
      <c r="L1189" s="10">
        <f t="shared" si="160"/>
        <v>0.1712125050912037</v>
      </c>
      <c r="M1189" s="10">
        <f t="shared" si="161"/>
        <v>7.9570933207952527E-2</v>
      </c>
      <c r="N1189" s="10">
        <f t="shared" si="162"/>
        <v>0.12913899804813192</v>
      </c>
      <c r="O1189" s="10">
        <f t="shared" si="163"/>
        <v>0.18535216981773339</v>
      </c>
      <c r="P1189" s="10">
        <f t="shared" si="164"/>
        <v>5.6625200102223806E-2</v>
      </c>
      <c r="Q1189" s="66">
        <f t="shared" si="167"/>
        <v>4</v>
      </c>
      <c r="R1189" s="10">
        <f t="shared" si="165"/>
        <v>9.7043874500414649E-4</v>
      </c>
      <c r="V1189" s="10">
        <f t="shared" si="166"/>
        <v>2.7686308681217531E-3</v>
      </c>
    </row>
    <row r="1190" spans="11:22">
      <c r="K1190" s="66">
        <v>58.9</v>
      </c>
      <c r="L1190" s="10">
        <f t="shared" si="160"/>
        <v>0.17010856920531828</v>
      </c>
      <c r="M1190" s="10">
        <f t="shared" si="161"/>
        <v>7.883558567724773E-2</v>
      </c>
      <c r="N1190" s="10">
        <f t="shared" si="162"/>
        <v>0.12960645198865151</v>
      </c>
      <c r="O1190" s="10">
        <f t="shared" si="163"/>
        <v>0.18602326040337808</v>
      </c>
      <c r="P1190" s="10">
        <f t="shared" si="164"/>
        <v>5.6487230818791374E-2</v>
      </c>
      <c r="Q1190" s="66">
        <f t="shared" si="167"/>
        <v>2</v>
      </c>
      <c r="R1190" s="10">
        <f t="shared" si="165"/>
        <v>4.7819678299056584E-4</v>
      </c>
      <c r="V1190" s="10">
        <f t="shared" si="166"/>
        <v>1.3749633148044489E-3</v>
      </c>
    </row>
    <row r="1191" spans="11:22">
      <c r="K1191" s="66">
        <v>58.95</v>
      </c>
      <c r="L1191" s="10">
        <f t="shared" si="160"/>
        <v>0.16900779386010509</v>
      </c>
      <c r="M1191" s="10">
        <f t="shared" si="161"/>
        <v>7.8104408248890436E-2</v>
      </c>
      <c r="N1191" s="10">
        <f t="shared" si="162"/>
        <v>0.13007559931791257</v>
      </c>
      <c r="O1191" s="10">
        <f t="shared" si="163"/>
        <v>0.18669678206756046</v>
      </c>
      <c r="P1191" s="10">
        <f t="shared" si="164"/>
        <v>5.6349597702350582E-2</v>
      </c>
      <c r="Q1191" s="66">
        <f t="shared" si="167"/>
        <v>4</v>
      </c>
      <c r="R1191" s="10">
        <f t="shared" si="165"/>
        <v>9.4249791846557978E-4</v>
      </c>
      <c r="V1191" s="10">
        <f t="shared" si="166"/>
        <v>2.7312417376479806E-3</v>
      </c>
    </row>
    <row r="1192" spans="11:22">
      <c r="K1192" s="66">
        <v>59</v>
      </c>
      <c r="L1192" s="10">
        <f t="shared" si="160"/>
        <v>0.16791019574298965</v>
      </c>
      <c r="M1192" s="10">
        <f t="shared" si="161"/>
        <v>7.7377401752495023E-2</v>
      </c>
      <c r="N1192" s="10">
        <f t="shared" si="162"/>
        <v>0.13054644617034944</v>
      </c>
      <c r="O1192" s="10">
        <f t="shared" si="163"/>
        <v>0.18737274361705453</v>
      </c>
      <c r="P1192" s="10">
        <f t="shared" si="164"/>
        <v>5.6212299933818946E-2</v>
      </c>
      <c r="Q1192" s="66">
        <f t="shared" si="167"/>
        <v>2</v>
      </c>
      <c r="R1192" s="10">
        <f t="shared" si="165"/>
        <v>4.6437550556771372E-4</v>
      </c>
      <c r="V1192" s="10">
        <f t="shared" si="166"/>
        <v>1.3562885944339602E-3</v>
      </c>
    </row>
    <row r="1193" spans="11:22">
      <c r="K1193" s="66">
        <v>59.05</v>
      </c>
      <c r="L1193" s="10">
        <f t="shared" si="160"/>
        <v>0.1668157914374912</v>
      </c>
      <c r="M1193" s="10">
        <f t="shared" si="161"/>
        <v>7.6654566821086345E-2</v>
      </c>
      <c r="N1193" s="10">
        <f t="shared" si="162"/>
        <v>0.13101899870261821</v>
      </c>
      <c r="O1193" s="10">
        <f t="shared" si="163"/>
        <v>0.18805115389053639</v>
      </c>
      <c r="P1193" s="10">
        <f t="shared" si="164"/>
        <v>5.6075336696109195E-2</v>
      </c>
      <c r="Q1193" s="66">
        <f t="shared" si="167"/>
        <v>4</v>
      </c>
      <c r="R1193" s="10">
        <f t="shared" si="165"/>
        <v>9.1515204665847322E-4</v>
      </c>
      <c r="V1193" s="10">
        <f t="shared" si="166"/>
        <v>2.6939339765809588E-3</v>
      </c>
    </row>
    <row r="1194" spans="11:22">
      <c r="K1194" s="66">
        <v>59.1</v>
      </c>
      <c r="L1194" s="10">
        <f t="shared" si="160"/>
        <v>0.16572459742187809</v>
      </c>
      <c r="M1194" s="10">
        <f t="shared" si="161"/>
        <v>7.5935903890955156E-2</v>
      </c>
      <c r="N1194" s="10">
        <f t="shared" si="162"/>
        <v>0.1314932630936792</v>
      </c>
      <c r="O1194" s="10">
        <f t="shared" si="163"/>
        <v>0.18873202175870257</v>
      </c>
      <c r="P1194" s="10">
        <f t="shared" si="164"/>
        <v>5.5938707174125551E-2</v>
      </c>
      <c r="Q1194" s="66">
        <f t="shared" si="167"/>
        <v>2</v>
      </c>
      <c r="R1194" s="10">
        <f t="shared" si="165"/>
        <v>4.5085011090837752E-4</v>
      </c>
      <c r="V1194" s="10">
        <f t="shared" si="166"/>
        <v>1.3376565453288394E-3</v>
      </c>
    </row>
    <row r="1195" spans="11:22">
      <c r="K1195" s="66">
        <v>59.15</v>
      </c>
      <c r="L1195" s="10">
        <f t="shared" si="160"/>
        <v>0.16463663006782958</v>
      </c>
      <c r="M1195" s="10">
        <f t="shared" si="161"/>
        <v>7.5221413201535817E-2</v>
      </c>
      <c r="N1195" s="10">
        <f t="shared" si="162"/>
        <v>0.13196924554487563</v>
      </c>
      <c r="O1195" s="10">
        <f t="shared" si="163"/>
        <v>0.18941535612438334</v>
      </c>
      <c r="P1195" s="10">
        <f t="shared" si="164"/>
        <v>5.5802410554757889E-2</v>
      </c>
      <c r="Q1195" s="66">
        <f t="shared" si="167"/>
        <v>4</v>
      </c>
      <c r="R1195" s="10">
        <f t="shared" si="165"/>
        <v>8.883947276314858E-4</v>
      </c>
      <c r="V1195" s="10">
        <f t="shared" si="166"/>
        <v>2.6567155174021927E-3</v>
      </c>
    </row>
    <row r="1196" spans="11:22">
      <c r="K1196" s="66">
        <v>59.2</v>
      </c>
      <c r="L1196" s="10">
        <f t="shared" si="160"/>
        <v>0.16355190563909638</v>
      </c>
      <c r="M1196" s="10">
        <f t="shared" si="161"/>
        <v>7.4511094795303087E-2</v>
      </c>
      <c r="N1196" s="10">
        <f t="shared" si="162"/>
        <v>0.13244695228001552</v>
      </c>
      <c r="O1196" s="10">
        <f t="shared" si="163"/>
        <v>0.19010116592265983</v>
      </c>
      <c r="P1196" s="10">
        <f t="shared" si="164"/>
        <v>5.566644602687728E-2</v>
      </c>
      <c r="Q1196" s="66">
        <f t="shared" si="167"/>
        <v>2</v>
      </c>
      <c r="R1196" s="10">
        <f t="shared" si="165"/>
        <v>4.3761737474427045E-4</v>
      </c>
      <c r="V1196" s="10">
        <f t="shared" si="166"/>
        <v>1.3190711197138818E-3</v>
      </c>
    </row>
    <row r="1197" spans="11:22">
      <c r="K1197" s="66">
        <v>59.25</v>
      </c>
      <c r="L1197" s="10">
        <f t="shared" si="160"/>
        <v>0.16247044029016622</v>
      </c>
      <c r="M1197" s="10">
        <f t="shared" si="161"/>
        <v>7.3804948517690677E-2</v>
      </c>
      <c r="N1197" s="10">
        <f t="shared" si="162"/>
        <v>0.13292638954545336</v>
      </c>
      <c r="O1197" s="10">
        <f t="shared" si="163"/>
        <v>0.19078946012098219</v>
      </c>
      <c r="P1197" s="10">
        <f t="shared" si="164"/>
        <v>5.5530812781331262E-2</v>
      </c>
      <c r="Q1197" s="66">
        <f t="shared" si="167"/>
        <v>4</v>
      </c>
      <c r="R1197" s="10">
        <f t="shared" si="165"/>
        <v>8.6221946726449371E-4</v>
      </c>
      <c r="V1197" s="10">
        <f t="shared" si="166"/>
        <v>2.6195942355328084E-3</v>
      </c>
    </row>
    <row r="1198" spans="11:22">
      <c r="K1198" s="66">
        <v>59.3</v>
      </c>
      <c r="L1198" s="10">
        <f t="shared" si="160"/>
        <v>0.16139225006493235</v>
      </c>
      <c r="M1198" s="10">
        <f t="shared" si="161"/>
        <v>7.31029740170311E-2</v>
      </c>
      <c r="N1198" s="10">
        <f t="shared" si="162"/>
        <v>0.13340756361017175</v>
      </c>
      <c r="O1198" s="10">
        <f t="shared" si="163"/>
        <v>0.19148024771928523</v>
      </c>
      <c r="P1198" s="10">
        <f t="shared" si="164"/>
        <v>5.5395510010938752E-2</v>
      </c>
      <c r="Q1198" s="66">
        <f t="shared" si="167"/>
        <v>2</v>
      </c>
      <c r="R1198" s="10">
        <f t="shared" si="165"/>
        <v>4.2467402772656892E-4</v>
      </c>
      <c r="V1198" s="10">
        <f t="shared" si="166"/>
        <v>1.3005362402886311E-3</v>
      </c>
    </row>
    <row r="1199" spans="11:22">
      <c r="K1199" s="66">
        <v>59.35</v>
      </c>
      <c r="L1199" s="10">
        <f t="shared" si="160"/>
        <v>0.16031735089536378</v>
      </c>
      <c r="M1199" s="10">
        <f t="shared" si="161"/>
        <v>7.2405170744515537E-2</v>
      </c>
      <c r="N1199" s="10">
        <f t="shared" si="162"/>
        <v>0.13389048076586291</v>
      </c>
      <c r="O1199" s="10">
        <f t="shared" si="163"/>
        <v>0.19217353775010682</v>
      </c>
      <c r="P1199" s="10">
        <f t="shared" si="164"/>
        <v>5.5260536910485492E-2</v>
      </c>
      <c r="Q1199" s="66">
        <f t="shared" si="167"/>
        <v>4</v>
      </c>
      <c r="R1199" s="10">
        <f t="shared" si="165"/>
        <v>8.3661968329247635E-4</v>
      </c>
      <c r="V1199" s="10">
        <f t="shared" si="166"/>
        <v>2.582577945359391E-3</v>
      </c>
    </row>
    <row r="1200" spans="11:22">
      <c r="K1200" s="66">
        <v>59.4</v>
      </c>
      <c r="L1200" s="10">
        <f t="shared" si="160"/>
        <v>0.15924575860018375</v>
      </c>
      <c r="M1200" s="10">
        <f t="shared" si="161"/>
        <v>7.1711537954177951E-2</v>
      </c>
      <c r="N1200" s="10">
        <f t="shared" si="162"/>
        <v>0.1343751473270112</v>
      </c>
      <c r="O1200" s="10">
        <f t="shared" si="163"/>
        <v>0.19286933927870634</v>
      </c>
      <c r="P1200" s="10">
        <f t="shared" si="164"/>
        <v>5.5125892676719121E-2</v>
      </c>
      <c r="Q1200" s="66">
        <f t="shared" si="167"/>
        <v>2</v>
      </c>
      <c r="R1200" s="10">
        <f t="shared" si="165"/>
        <v>4.1201675744610792E-4</v>
      </c>
      <c r="V1200" s="10">
        <f t="shared" si="166"/>
        <v>1.2820557982465683E-3</v>
      </c>
    </row>
    <row r="1201" spans="11:22">
      <c r="K1201" s="66">
        <v>59.45</v>
      </c>
      <c r="L1201" s="10">
        <f t="shared" si="160"/>
        <v>0.15817748888354471</v>
      </c>
      <c r="M1201" s="10">
        <f t="shared" si="161"/>
        <v>7.1022074702895996E-2</v>
      </c>
      <c r="N1201" s="10">
        <f t="shared" si="162"/>
        <v>0.13486156963097581</v>
      </c>
      <c r="O1201" s="10">
        <f t="shared" si="163"/>
        <v>0.19356766140318207</v>
      </c>
      <c r="P1201" s="10">
        <f t="shared" si="164"/>
        <v>5.499157650834445E-2</v>
      </c>
      <c r="Q1201" s="66">
        <f t="shared" si="167"/>
        <v>4</v>
      </c>
      <c r="R1201" s="10">
        <f t="shared" si="165"/>
        <v>8.1158870936158707E-4</v>
      </c>
      <c r="V1201" s="10">
        <f t="shared" si="166"/>
        <v>2.5456743962857884E-3</v>
      </c>
    </row>
    <row r="1202" spans="11:22">
      <c r="K1202" s="66">
        <v>59.5</v>
      </c>
      <c r="L1202" s="10">
        <f t="shared" si="160"/>
        <v>0.15711255733371501</v>
      </c>
      <c r="M1202" s="10">
        <f t="shared" si="161"/>
        <v>7.0336779850418835E-2</v>
      </c>
      <c r="N1202" s="10">
        <f t="shared" si="162"/>
        <v>0.13534975403807348</v>
      </c>
      <c r="O1202" s="10">
        <f t="shared" si="163"/>
        <v>0.1942685132545911</v>
      </c>
      <c r="P1202" s="10">
        <f t="shared" si="164"/>
        <v>5.4857587606018644E-2</v>
      </c>
      <c r="Q1202" s="66">
        <f t="shared" si="167"/>
        <v>2</v>
      </c>
      <c r="R1202" s="10">
        <f t="shared" si="165"/>
        <v>3.9964221046883308E-4</v>
      </c>
      <c r="V1202" s="10">
        <f t="shared" si="166"/>
        <v>1.2636336513081855E-3</v>
      </c>
    </row>
    <row r="1203" spans="11:22">
      <c r="K1203" s="66">
        <v>59.55</v>
      </c>
      <c r="L1203" s="10">
        <f t="shared" si="160"/>
        <v>0.15605097942176246</v>
      </c>
      <c r="M1203" s="10">
        <f t="shared" si="161"/>
        <v>6.9655652059411099E-2</v>
      </c>
      <c r="N1203" s="10">
        <f t="shared" si="162"/>
        <v>0.13583970693166153</v>
      </c>
      <c r="O1203" s="10">
        <f t="shared" si="163"/>
        <v>0.19497190399706904</v>
      </c>
      <c r="P1203" s="10">
        <f t="shared" si="164"/>
        <v>5.4723925172346512E-2</v>
      </c>
      <c r="Q1203" s="66">
        <f t="shared" si="167"/>
        <v>4</v>
      </c>
      <c r="R1203" s="10">
        <f t="shared" si="165"/>
        <v>7.8711979911396377E-4</v>
      </c>
      <c r="V1203" s="10">
        <f t="shared" si="166"/>
        <v>2.5088912688143879E-3</v>
      </c>
    </row>
    <row r="1204" spans="11:22">
      <c r="K1204" s="66">
        <v>59.6</v>
      </c>
      <c r="L1204" s="10">
        <f t="shared" si="160"/>
        <v>0.15499277050024832</v>
      </c>
      <c r="M1204" s="10">
        <f t="shared" si="161"/>
        <v>6.8978689795523254E-2</v>
      </c>
      <c r="N1204" s="10">
        <f t="shared" si="162"/>
        <v>0.13633143471822193</v>
      </c>
      <c r="O1204" s="10">
        <f t="shared" si="163"/>
        <v>0.19567784282794873</v>
      </c>
      <c r="P1204" s="10">
        <f t="shared" si="164"/>
        <v>5.4590588411875758E-2</v>
      </c>
      <c r="Q1204" s="66">
        <f t="shared" si="167"/>
        <v>2</v>
      </c>
      <c r="R1204" s="10">
        <f t="shared" si="165"/>
        <v>3.8754699438471715E-4</v>
      </c>
      <c r="V1204" s="10">
        <f t="shared" si="166"/>
        <v>1.2452736217696365E-3</v>
      </c>
    </row>
    <row r="1205" spans="11:22">
      <c r="K1205" s="66">
        <v>59.65</v>
      </c>
      <c r="L1205" s="10">
        <f t="shared" si="160"/>
        <v>0.15393794580192155</v>
      </c>
      <c r="M1205" s="10">
        <f t="shared" si="161"/>
        <v>6.8305891327480522E-2</v>
      </c>
      <c r="N1205" s="10">
        <f t="shared" si="162"/>
        <v>0.13682494382744431</v>
      </c>
      <c r="O1205" s="10">
        <f t="shared" si="163"/>
        <v>0.19638633897788135</v>
      </c>
      <c r="P1205" s="10">
        <f t="shared" si="164"/>
        <v>5.4457576531092212E-2</v>
      </c>
      <c r="Q1205" s="66">
        <f t="shared" si="167"/>
        <v>4</v>
      </c>
      <c r="R1205" s="10">
        <f t="shared" si="165"/>
        <v>7.6320613029774048E-4</v>
      </c>
      <c r="V1205" s="10">
        <f t="shared" si="166"/>
        <v>2.4722361706603492E-3</v>
      </c>
    </row>
    <row r="1206" spans="11:22">
      <c r="K1206" s="66">
        <v>59.7</v>
      </c>
      <c r="L1206" s="10">
        <f t="shared" si="160"/>
        <v>0.15288652043841985</v>
      </c>
      <c r="M1206" s="10">
        <f t="shared" si="161"/>
        <v>6.763725472719527E-2</v>
      </c>
      <c r="N1206" s="10">
        <f t="shared" si="162"/>
        <v>0.13732024071231022</v>
      </c>
      <c r="O1206" s="10">
        <f t="shared" si="163"/>
        <v>0.19709740171095624</v>
      </c>
      <c r="P1206" s="10">
        <f t="shared" si="164"/>
        <v>5.4324888738415136E-2</v>
      </c>
      <c r="Q1206" s="66">
        <f t="shared" si="167"/>
        <v>2</v>
      </c>
      <c r="R1206" s="10">
        <f t="shared" si="165"/>
        <v>3.7572767986841424E-4</v>
      </c>
      <c r="V1206" s="10">
        <f t="shared" si="166"/>
        <v>1.2269794945687269E-3</v>
      </c>
    </row>
    <row r="1207" spans="11:22">
      <c r="K1207" s="66">
        <v>59.75</v>
      </c>
      <c r="L1207" s="10">
        <f t="shared" si="160"/>
        <v>0.15183850939897464</v>
      </c>
      <c r="M1207" s="10">
        <f t="shared" si="161"/>
        <v>6.6972777869900579E-2</v>
      </c>
      <c r="N1207" s="10">
        <f t="shared" si="162"/>
        <v>0.13781733184917777</v>
      </c>
      <c r="O1207" s="10">
        <f t="shared" si="163"/>
        <v>0.19781104032482361</v>
      </c>
      <c r="P1207" s="10">
        <f t="shared" si="164"/>
        <v>5.4192524244192505E-2</v>
      </c>
      <c r="Q1207" s="66">
        <f t="shared" si="167"/>
        <v>4</v>
      </c>
      <c r="R1207" s="10">
        <f t="shared" si="165"/>
        <v>7.3984080889875144E-4</v>
      </c>
      <c r="V1207" s="10">
        <f t="shared" si="166"/>
        <v>2.4357166329022121E-3</v>
      </c>
    </row>
    <row r="1208" spans="11:22">
      <c r="K1208" s="66">
        <v>59.8</v>
      </c>
      <c r="L1208" s="10">
        <f t="shared" si="160"/>
        <v>0.1507939275491216</v>
      </c>
      <c r="M1208" s="10">
        <f t="shared" si="161"/>
        <v>6.6312458434306207E-2</v>
      </c>
      <c r="N1208" s="10">
        <f t="shared" si="162"/>
        <v>0.13831622373786656</v>
      </c>
      <c r="O1208" s="10">
        <f t="shared" si="163"/>
        <v>0.19852726415081451</v>
      </c>
      <c r="P1208" s="10">
        <f t="shared" si="164"/>
        <v>5.4060482260696333E-2</v>
      </c>
      <c r="Q1208" s="66">
        <f t="shared" si="167"/>
        <v>2</v>
      </c>
      <c r="R1208" s="10">
        <f t="shared" si="165"/>
        <v>3.6418080274985972E-4</v>
      </c>
      <c r="V1208" s="10">
        <f t="shared" si="166"/>
        <v>1.2087550153699839E-3</v>
      </c>
    </row>
    <row r="1209" spans="11:22">
      <c r="K1209" s="66">
        <v>59.85</v>
      </c>
      <c r="L1209" s="10">
        <f t="shared" si="160"/>
        <v>0.14975278962941513</v>
      </c>
      <c r="M1209" s="10">
        <f t="shared" si="161"/>
        <v>6.5656293902775789E-2</v>
      </c>
      <c r="N1209" s="10">
        <f t="shared" si="162"/>
        <v>0.13881692290174183</v>
      </c>
      <c r="O1209" s="10">
        <f t="shared" si="163"/>
        <v>0.1992460825540634</v>
      </c>
      <c r="P1209" s="10">
        <f t="shared" si="164"/>
        <v>5.3928762002117901E-2</v>
      </c>
      <c r="Q1209" s="66">
        <f t="shared" si="167"/>
        <v>4</v>
      </c>
      <c r="R1209" s="10">
        <f t="shared" si="165"/>
        <v>7.1701687329033459E-4</v>
      </c>
      <c r="V1209" s="10">
        <f t="shared" si="166"/>
        <v>2.3993401061724096E-3</v>
      </c>
    </row>
    <row r="1210" spans="11:22">
      <c r="K1210" s="66">
        <v>59.9</v>
      </c>
      <c r="L1210" s="10">
        <f t="shared" si="160"/>
        <v>0.14871511025415196</v>
      </c>
      <c r="M1210" s="10">
        <f t="shared" si="161"/>
        <v>6.5004281561528196E-2</v>
      </c>
      <c r="N1210" s="10">
        <f t="shared" si="162"/>
        <v>0.13931943588780038</v>
      </c>
      <c r="O1210" s="10">
        <f t="shared" si="163"/>
        <v>0.19996750493363144</v>
      </c>
      <c r="P1210" s="10">
        <f t="shared" si="164"/>
        <v>5.3797362684563206E-2</v>
      </c>
      <c r="Q1210" s="66">
        <f t="shared" si="167"/>
        <v>2</v>
      </c>
      <c r="R1210" s="10">
        <f t="shared" si="165"/>
        <v>3.5290286609302102E-4</v>
      </c>
      <c r="V1210" s="10">
        <f t="shared" si="166"/>
        <v>1.1906038886705058E-3</v>
      </c>
    </row>
    <row r="1211" spans="11:22">
      <c r="K1211" s="66">
        <v>59.95</v>
      </c>
      <c r="L1211" s="10">
        <f t="shared" si="160"/>
        <v>0.1476809039100935</v>
      </c>
      <c r="M1211" s="10">
        <f t="shared" si="161"/>
        <v>6.4356418500857562E-2</v>
      </c>
      <c r="N1211" s="10">
        <f t="shared" si="162"/>
        <v>0.13982376926675602</v>
      </c>
      <c r="O1211" s="10">
        <f t="shared" si="163"/>
        <v>0.20069154072262749</v>
      </c>
      <c r="P1211" s="10">
        <f t="shared" si="164"/>
        <v>5.3666283526048186E-2</v>
      </c>
      <c r="Q1211" s="66">
        <f t="shared" si="167"/>
        <v>4</v>
      </c>
      <c r="R1211" s="10">
        <f t="shared" si="165"/>
        <v>6.9472729839764418E-4</v>
      </c>
      <c r="V1211" s="10">
        <f t="shared" si="166"/>
        <v>2.3631139568910707E-3</v>
      </c>
    </row>
    <row r="1212" spans="11:22">
      <c r="K1212" s="66">
        <v>60</v>
      </c>
      <c r="L1212" s="10">
        <f t="shared" si="160"/>
        <v>0.14665018495520257</v>
      </c>
      <c r="M1212" s="10">
        <f t="shared" si="161"/>
        <v>6.3712701615379702E-2</v>
      </c>
      <c r="N1212" s="10">
        <f t="shared" si="162"/>
        <v>0.14032992963312568</v>
      </c>
      <c r="O1212" s="10">
        <f t="shared" si="163"/>
        <v>0.20141819938833358</v>
      </c>
      <c r="P1212" s="10">
        <f t="shared" si="164"/>
        <v>5.3535523746494243E-2</v>
      </c>
      <c r="Q1212" s="66">
        <f t="shared" si="167"/>
        <v>2</v>
      </c>
      <c r="R1212" s="10">
        <f t="shared" si="165"/>
        <v>3.418903422810122E-4</v>
      </c>
      <c r="V1212" s="10">
        <f t="shared" si="166"/>
        <v>1.1725297759283637E-3</v>
      </c>
    </row>
    <row r="1213" spans="11:22">
      <c r="K1213" s="66">
        <v>60.05</v>
      </c>
      <c r="L1213" s="10">
        <f t="shared" si="160"/>
        <v>0.14562296761737925</v>
      </c>
      <c r="M1213" s="10">
        <f t="shared" si="161"/>
        <v>6.307312760429766E-2</v>
      </c>
      <c r="N1213" s="10">
        <f t="shared" si="162"/>
        <v>0.14083792360531458</v>
      </c>
      <c r="O1213" s="10">
        <f t="shared" si="163"/>
        <v>0.20214749043232663</v>
      </c>
      <c r="P1213" s="10">
        <f t="shared" si="164"/>
        <v>5.3405082567723035E-2</v>
      </c>
      <c r="Q1213" s="66">
        <f t="shared" si="167"/>
        <v>4</v>
      </c>
      <c r="R1213" s="10">
        <f t="shared" si="165"/>
        <v>6.7296499987287077E-4</v>
      </c>
      <c r="V1213" s="10">
        <f t="shared" si="166"/>
        <v>2.3270454635466111E-3</v>
      </c>
    </row>
    <row r="1214" spans="11:22">
      <c r="K1214" s="66">
        <v>60.1</v>
      </c>
      <c r="L1214" s="10">
        <f t="shared" si="160"/>
        <v>0.1445992659932045</v>
      </c>
      <c r="M1214" s="10">
        <f t="shared" si="161"/>
        <v>6.2437692971690002E-2</v>
      </c>
      <c r="N1214" s="10">
        <f t="shared" si="162"/>
        <v>0.14134775782570513</v>
      </c>
      <c r="O1214" s="10">
        <f t="shared" si="163"/>
        <v>0.20287942339060527</v>
      </c>
      <c r="P1214" s="10">
        <f t="shared" si="164"/>
        <v>5.3274959213452898E-2</v>
      </c>
      <c r="Q1214" s="66">
        <f t="shared" si="167"/>
        <v>2</v>
      </c>
      <c r="R1214" s="10">
        <f t="shared" si="165"/>
        <v>3.3113967510575243E-4</v>
      </c>
      <c r="V1214" s="10">
        <f t="shared" si="166"/>
        <v>1.1545362937152325E-3</v>
      </c>
    </row>
    <row r="1215" spans="11:22">
      <c r="K1215" s="66">
        <v>60.15</v>
      </c>
      <c r="L1215" s="10">
        <f t="shared" si="160"/>
        <v>0.14357909404669358</v>
      </c>
      <c r="M1215" s="10">
        <f t="shared" si="161"/>
        <v>6.1806394026823398E-2</v>
      </c>
      <c r="N1215" s="10">
        <f t="shared" si="162"/>
        <v>0.1418594389607413</v>
      </c>
      <c r="O1215" s="10">
        <f t="shared" si="163"/>
        <v>0.20361400783371209</v>
      </c>
      <c r="P1215" s="10">
        <f t="shared" si="164"/>
        <v>5.3145152909293211E-2</v>
      </c>
      <c r="Q1215" s="66">
        <f t="shared" si="167"/>
        <v>4</v>
      </c>
      <c r="R1215" s="10">
        <f t="shared" si="165"/>
        <v>6.5172283827772944E-4</v>
      </c>
      <c r="V1215" s="10">
        <f t="shared" si="166"/>
        <v>2.291141813026545E-3</v>
      </c>
    </row>
    <row r="1216" spans="11:22">
      <c r="K1216" s="66">
        <v>60.2</v>
      </c>
      <c r="L1216" s="10">
        <f t="shared" si="160"/>
        <v>0.14256246560805189</v>
      </c>
      <c r="M1216" s="10">
        <f t="shared" si="161"/>
        <v>6.1179226884485835E-2</v>
      </c>
      <c r="N1216" s="10">
        <f t="shared" si="162"/>
        <v>0.14237297370101668</v>
      </c>
      <c r="O1216" s="10">
        <f t="shared" si="163"/>
        <v>0.2043512533668593</v>
      </c>
      <c r="P1216" s="10">
        <f t="shared" si="164"/>
        <v>5.3015662882740275E-2</v>
      </c>
      <c r="Q1216" s="66">
        <f t="shared" si="167"/>
        <v>2</v>
      </c>
      <c r="R1216" s="10">
        <f t="shared" si="165"/>
        <v>3.2064728186033506E-4</v>
      </c>
      <c r="V1216" s="10">
        <f t="shared" si="166"/>
        <v>1.1366270118949788E-3</v>
      </c>
    </row>
    <row r="1217" spans="11:22">
      <c r="K1217" s="66">
        <v>60.25</v>
      </c>
      <c r="L1217" s="10">
        <f t="shared" si="160"/>
        <v>0.14154939437243949</v>
      </c>
      <c r="M1217" s="10">
        <f t="shared" si="161"/>
        <v>6.055618746534247E-2</v>
      </c>
      <c r="N1217" s="10">
        <f t="shared" si="162"/>
        <v>0.14288836876136235</v>
      </c>
      <c r="O1217" s="10">
        <f t="shared" si="163"/>
        <v>0.20509116963005586</v>
      </c>
      <c r="P1217" s="10">
        <f t="shared" si="164"/>
        <v>5.2886488363172626E-2</v>
      </c>
      <c r="Q1217" s="66">
        <f t="shared" si="167"/>
        <v>4</v>
      </c>
      <c r="R1217" s="10">
        <f t="shared" si="165"/>
        <v>6.3099362326959115E-4</v>
      </c>
      <c r="V1217" s="10">
        <f t="shared" si="166"/>
        <v>2.2554100970018968E-3</v>
      </c>
    </row>
    <row r="1218" spans="11:22">
      <c r="K1218" s="66">
        <v>60.3</v>
      </c>
      <c r="L1218" s="10">
        <f t="shared" si="160"/>
        <v>0.14053989389874227</v>
      </c>
      <c r="M1218" s="10">
        <f t="shared" si="161"/>
        <v>5.9937271496314677E-2</v>
      </c>
      <c r="N1218" s="10">
        <f t="shared" si="162"/>
        <v>0.14340563088093464</v>
      </c>
      <c r="O1218" s="10">
        <f t="shared" si="163"/>
        <v>0.20583376629823164</v>
      </c>
      <c r="P1218" s="10">
        <f t="shared" si="164"/>
        <v>5.2757628581846419E-2</v>
      </c>
      <c r="Q1218" s="66">
        <f t="shared" si="167"/>
        <v>2</v>
      </c>
      <c r="R1218" s="10">
        <f t="shared" si="165"/>
        <v>3.1040955543232772E-4</v>
      </c>
      <c r="V1218" s="10">
        <f t="shared" si="166"/>
        <v>1.1188054518299121E-3</v>
      </c>
    </row>
    <row r="1219" spans="11:22">
      <c r="K1219" s="66">
        <v>60.35</v>
      </c>
      <c r="L1219" s="10">
        <f t="shared" si="160"/>
        <v>0.13953397760834949</v>
      </c>
      <c r="M1219" s="10">
        <f t="shared" si="161"/>
        <v>5.9322474510980418E-2</v>
      </c>
      <c r="N1219" s="10">
        <f t="shared" si="162"/>
        <v>0.14392476682330263</v>
      </c>
      <c r="O1219" s="10">
        <f t="shared" si="163"/>
        <v>0.20657905308136484</v>
      </c>
      <c r="P1219" s="10">
        <f t="shared" si="164"/>
        <v>5.2629082771890941E-2</v>
      </c>
      <c r="Q1219" s="66">
        <f t="shared" si="167"/>
        <v>4</v>
      </c>
      <c r="R1219" s="10">
        <f t="shared" si="165"/>
        <v>6.1077011778758726E-4</v>
      </c>
      <c r="V1219" s="10">
        <f t="shared" si="166"/>
        <v>2.2198573083686076E-3</v>
      </c>
    </row>
    <row r="1220" spans="11:22">
      <c r="K1220" s="66">
        <v>60.4</v>
      </c>
      <c r="L1220" s="10">
        <f t="shared" si="160"/>
        <v>0.13853165878394183</v>
      </c>
      <c r="M1220" s="10">
        <f t="shared" si="161"/>
        <v>5.8711791849999521E-2</v>
      </c>
      <c r="N1220" s="10">
        <f t="shared" si="162"/>
        <v>0.14444578337653705</v>
      </c>
      <c r="O1220" s="10">
        <f t="shared" si="163"/>
        <v>0.20732703972460934</v>
      </c>
      <c r="P1220" s="10">
        <f t="shared" si="164"/>
        <v>5.2500850168303914E-2</v>
      </c>
      <c r="Q1220" s="66">
        <f t="shared" si="167"/>
        <v>2</v>
      </c>
      <c r="R1220" s="10">
        <f t="shared" si="165"/>
        <v>3.0042286639612976E-4</v>
      </c>
      <c r="V1220" s="10">
        <f t="shared" si="166"/>
        <v>1.101075084616359E-3</v>
      </c>
    </row>
    <row r="1221" spans="11:22">
      <c r="K1221" s="66">
        <v>60.45</v>
      </c>
      <c r="L1221" s="10">
        <f t="shared" si="160"/>
        <v>0.13753295056828083</v>
      </c>
      <c r="M1221" s="10">
        <f t="shared" si="161"/>
        <v>5.8105218661557601E-2</v>
      </c>
      <c r="N1221" s="10">
        <f t="shared" si="162"/>
        <v>0.14496868735329901</v>
      </c>
      <c r="O1221" s="10">
        <f t="shared" si="163"/>
        <v>0.20807773600842069</v>
      </c>
      <c r="P1221" s="10">
        <f t="shared" si="164"/>
        <v>5.2372930007947086E-2</v>
      </c>
      <c r="Q1221" s="66">
        <f t="shared" si="167"/>
        <v>4</v>
      </c>
      <c r="R1221" s="10">
        <f t="shared" si="165"/>
        <v>5.9104504223506831E-4</v>
      </c>
      <c r="V1221" s="10">
        <f t="shared" si="166"/>
        <v>2.1844903377493132E-3</v>
      </c>
    </row>
    <row r="1222" spans="11:22">
      <c r="K1222" s="66">
        <v>60.5</v>
      </c>
      <c r="L1222" s="10">
        <f t="shared" si="160"/>
        <v>0.13653786596301426</v>
      </c>
      <c r="M1222" s="10">
        <f t="shared" si="161"/>
        <v>5.7502749901837409E-2</v>
      </c>
      <c r="N1222" s="10">
        <f t="shared" si="162"/>
        <v>0.14549348559092898</v>
      </c>
      <c r="O1222" s="10">
        <f t="shared" si="163"/>
        <v>0.20883115174868541</v>
      </c>
      <c r="P1222" s="10">
        <f t="shared" si="164"/>
        <v>5.2245321529541554E-2</v>
      </c>
      <c r="Q1222" s="66">
        <f t="shared" si="167"/>
        <v>2</v>
      </c>
      <c r="R1222" s="10">
        <f t="shared" si="165"/>
        <v>2.9068356510261262E-4</v>
      </c>
      <c r="V1222" s="10">
        <f t="shared" si="166"/>
        <v>1.0834393293512735E-3</v>
      </c>
    </row>
    <row r="1223" spans="11:22">
      <c r="K1223" s="66">
        <v>60.55</v>
      </c>
      <c r="L1223" s="10">
        <f t="shared" si="160"/>
        <v>0.13554641782748048</v>
      </c>
      <c r="M1223" s="10">
        <f t="shared" si="161"/>
        <v>5.6904380335507584E-2</v>
      </c>
      <c r="N1223" s="10">
        <f t="shared" si="162"/>
        <v>0.14602018495153615</v>
      </c>
      <c r="O1223" s="10">
        <f t="shared" si="163"/>
        <v>0.20958729679684923</v>
      </c>
      <c r="P1223" s="10">
        <f t="shared" si="164"/>
        <v>5.2118023973663337E-2</v>
      </c>
      <c r="Q1223" s="66">
        <f t="shared" si="167"/>
        <v>4</v>
      </c>
      <c r="R1223" s="10">
        <f t="shared" si="165"/>
        <v>5.7181107865475825E-4</v>
      </c>
      <c r="V1223" s="10">
        <f t="shared" si="166"/>
        <v>2.1493159700587705E-3</v>
      </c>
    </row>
    <row r="1224" spans="11:22">
      <c r="K1224" s="66">
        <v>60.6</v>
      </c>
      <c r="L1224" s="10">
        <f t="shared" si="160"/>
        <v>0.1345586188775291</v>
      </c>
      <c r="M1224" s="10">
        <f t="shared" si="161"/>
        <v>5.6310104536238678E-2</v>
      </c>
      <c r="N1224" s="10">
        <f t="shared" si="162"/>
        <v>0.14654879232208856</v>
      </c>
      <c r="O1224" s="10">
        <f t="shared" si="163"/>
        <v>0.21034618104004488</v>
      </c>
      <c r="P1224" s="10">
        <f t="shared" si="164"/>
        <v>5.1991036582738813E-2</v>
      </c>
      <c r="Q1224" s="66">
        <f t="shared" si="167"/>
        <v>2</v>
      </c>
      <c r="R1224" s="10">
        <f t="shared" si="165"/>
        <v>2.8118798376418314E-4</v>
      </c>
      <c r="V1224" s="10">
        <f t="shared" si="166"/>
        <v>1.0659015514314846E-3</v>
      </c>
    </row>
    <row r="1225" spans="11:22">
      <c r="K1225" s="66">
        <v>60.65</v>
      </c>
      <c r="L1225" s="10">
        <f t="shared" si="160"/>
        <v>0.13357448168434446</v>
      </c>
      <c r="M1225" s="10">
        <f t="shared" si="161"/>
        <v>5.5719916887238603E-2</v>
      </c>
      <c r="N1225" s="10">
        <f t="shared" si="162"/>
        <v>0.14707931461450263</v>
      </c>
      <c r="O1225" s="10">
        <f t="shared" si="163"/>
        <v>0.21110781440122225</v>
      </c>
      <c r="P1225" s="10">
        <f t="shared" si="164"/>
        <v>5.1864358601040196E-2</v>
      </c>
      <c r="Q1225" s="66">
        <f t="shared" si="167"/>
        <v>4</v>
      </c>
      <c r="R1225" s="10">
        <f t="shared" si="165"/>
        <v>5.5306087489296327E-4</v>
      </c>
      <c r="V1225" s="10">
        <f t="shared" si="166"/>
        <v>2.1143408811362444E-3</v>
      </c>
    </row>
    <row r="1226" spans="11:22">
      <c r="K1226" s="66">
        <v>60.7</v>
      </c>
      <c r="L1226" s="10">
        <f t="shared" si="160"/>
        <v>0.13259401867328027</v>
      </c>
      <c r="M1226" s="10">
        <f t="shared" si="161"/>
        <v>5.5133811581812138E-2</v>
      </c>
      <c r="N1226" s="10">
        <f t="shared" si="162"/>
        <v>0.14761175876573335</v>
      </c>
      <c r="O1226" s="10">
        <f t="shared" si="163"/>
        <v>0.21187220683927796</v>
      </c>
      <c r="P1226" s="10">
        <f t="shared" si="164"/>
        <v>5.1737989274681075E-2</v>
      </c>
      <c r="Q1226" s="66">
        <f t="shared" si="167"/>
        <v>2</v>
      </c>
      <c r="R1226" s="10">
        <f t="shared" si="165"/>
        <v>2.7193243853348227E-4</v>
      </c>
      <c r="V1226" s="10">
        <f t="shared" si="166"/>
        <v>1.0484650608872357E-3</v>
      </c>
    </row>
    <row r="1227" spans="11:22">
      <c r="K1227" s="66">
        <v>60.75</v>
      </c>
      <c r="L1227" s="10">
        <f t="shared" si="160"/>
        <v>0.13161724212270173</v>
      </c>
      <c r="M1227" s="10">
        <f t="shared" si="161"/>
        <v>5.4551782623942432E-2</v>
      </c>
      <c r="N1227" s="10">
        <f t="shared" si="162"/>
        <v>0.14814613173786612</v>
      </c>
      <c r="O1227" s="10">
        <f t="shared" si="163"/>
        <v>0.2126393683491854</v>
      </c>
      <c r="P1227" s="10">
        <f t="shared" si="164"/>
        <v>5.1611927851611908E-2</v>
      </c>
      <c r="Q1227" s="66">
        <f t="shared" si="167"/>
        <v>4</v>
      </c>
      <c r="R1227" s="10">
        <f t="shared" si="165"/>
        <v>5.3478704874925225E-4</v>
      </c>
      <c r="V1227" s="10">
        <f t="shared" si="166"/>
        <v>2.0795716344481174E-3</v>
      </c>
    </row>
    <row r="1228" spans="11:22">
      <c r="K1228" s="66">
        <v>60.8</v>
      </c>
      <c r="L1228" s="10">
        <f t="shared" ref="L1228:L1291" si="168">(B$7^K1228)*B$8^((B$5^25)*((B$5^K1228)-1))</f>
        <v>0.13064416416283786</v>
      </c>
      <c r="M1228" s="10">
        <f t="shared" ref="M1228:M1291" si="169">(B$7^K1228)*B$8^((B$5^30)*((B$5^K1228)-1))</f>
        <v>5.3973823828895554E-2</v>
      </c>
      <c r="N1228" s="10">
        <f t="shared" si="162"/>
        <v>0.14868244051820656</v>
      </c>
      <c r="O1228" s="10">
        <f t="shared" si="163"/>
        <v>0.2134093089621254</v>
      </c>
      <c r="P1228" s="10">
        <f t="shared" si="164"/>
        <v>5.1486173581615564E-2</v>
      </c>
      <c r="Q1228" s="66">
        <f t="shared" si="167"/>
        <v>2</v>
      </c>
      <c r="R1228" s="10">
        <f t="shared" si="165"/>
        <v>2.6291323157390294E-4</v>
      </c>
      <c r="V1228" s="10">
        <f t="shared" si="166"/>
        <v>1.0311331107516338E-3</v>
      </c>
    </row>
    <row r="1229" spans="11:22">
      <c r="K1229" s="66">
        <v>60.85</v>
      </c>
      <c r="L1229" s="10">
        <f t="shared" si="168"/>
        <v>0.1296747967746408</v>
      </c>
      <c r="M1229" s="10">
        <f t="shared" si="169"/>
        <v>5.3399928823846504E-2</v>
      </c>
      <c r="N1229" s="10">
        <f t="shared" ref="N1229:N1292" si="170">B$3+B$4*(B$5^(25+K1229))</f>
        <v>0.14922069211937233</v>
      </c>
      <c r="O1229" s="10">
        <f t="shared" ref="O1229:O1292" si="171">$B$3+$B$4*($B$5^(30+K1229))</f>
        <v>0.21418203874561814</v>
      </c>
      <c r="P1229" s="10">
        <f t="shared" ref="P1229:P1292" si="172">(1+B$6)^-K1229</f>
        <v>5.1360725716302749E-2</v>
      </c>
      <c r="Q1229" s="66">
        <f t="shared" si="167"/>
        <v>4</v>
      </c>
      <c r="R1229" s="10">
        <f t="shared" ref="R1229:R1292" si="173">L1229*M1229*(N1229+O1229)*P1229*Q1229</f>
        <v>5.1698219210795121E-4</v>
      </c>
      <c r="V1229" s="10">
        <f t="shared" si="166"/>
        <v>2.0450146778638371E-3</v>
      </c>
    </row>
    <row r="1230" spans="11:22">
      <c r="K1230" s="66">
        <v>60.9</v>
      </c>
      <c r="L1230" s="10">
        <f t="shared" si="168"/>
        <v>0.12870915178865838</v>
      </c>
      <c r="M1230" s="10">
        <f t="shared" si="169"/>
        <v>5.2830091048530307E-2</v>
      </c>
      <c r="N1230" s="10">
        <f t="shared" si="170"/>
        <v>0.14976089357938541</v>
      </c>
      <c r="O1230" s="10">
        <f t="shared" si="171"/>
        <v>0.21495756780365377</v>
      </c>
      <c r="P1230" s="10">
        <f t="shared" si="172"/>
        <v>5.1235583509107806E-2</v>
      </c>
      <c r="Q1230" s="66">
        <f t="shared" si="167"/>
        <v>2</v>
      </c>
      <c r="R1230" s="10">
        <f t="shared" si="173"/>
        <v>2.5412665312012658E-4</v>
      </c>
      <c r="V1230" s="10">
        <f t="shared" ref="V1230:V1293" si="174">(1-L1230)*M1230*O1230*P1230*Q1230</f>
        <v>1.0139088954675577E-3</v>
      </c>
    </row>
    <row r="1231" spans="11:22">
      <c r="K1231" s="66">
        <v>60.95</v>
      </c>
      <c r="L1231" s="10">
        <f t="shared" si="168"/>
        <v>0.12774724088391043</v>
      </c>
      <c r="M1231" s="10">
        <f t="shared" si="169"/>
        <v>5.2264303755911588E-2</v>
      </c>
      <c r="N1231" s="10">
        <f t="shared" si="170"/>
        <v>0.15030305196176272</v>
      </c>
      <c r="O1231" s="10">
        <f t="shared" si="171"/>
        <v>0.21573590627682457</v>
      </c>
      <c r="P1231" s="10">
        <f t="shared" si="172"/>
        <v>5.1110746215283977E-2</v>
      </c>
      <c r="Q1231" s="66">
        <f t="shared" ref="Q1231:Q1294" si="175">IF(Q1230=4,2,4)</f>
        <v>4</v>
      </c>
      <c r="R1231" s="10">
        <f t="shared" si="173"/>
        <v>4.9963887504791754E-4</v>
      </c>
      <c r="V1231" s="10">
        <f t="shared" si="174"/>
        <v>2.010676340508423E-3</v>
      </c>
    </row>
    <row r="1232" spans="11:22">
      <c r="K1232" s="66">
        <v>61</v>
      </c>
      <c r="L1232" s="10">
        <f t="shared" si="168"/>
        <v>0.1267890755867814</v>
      </c>
      <c r="M1232" s="10">
        <f t="shared" si="169"/>
        <v>5.170256001288108E-2</v>
      </c>
      <c r="N1232" s="10">
        <f t="shared" si="170"/>
        <v>0.1508471743556101</v>
      </c>
      <c r="O1232" s="10">
        <f t="shared" si="171"/>
        <v>0.21651706434245863</v>
      </c>
      <c r="P1232" s="10">
        <f t="shared" si="172"/>
        <v>5.0986213091899268E-2</v>
      </c>
      <c r="Q1232" s="66">
        <f t="shared" si="175"/>
        <v>2</v>
      </c>
      <c r="R1232" s="10">
        <f t="shared" si="173"/>
        <v>2.4556898352691219E-4</v>
      </c>
      <c r="V1232" s="10">
        <f t="shared" si="174"/>
        <v>9.9679554933362479E-4</v>
      </c>
    </row>
    <row r="1233" spans="11:22">
      <c r="K1233" s="66">
        <v>61.05</v>
      </c>
      <c r="L1233" s="10">
        <f t="shared" si="168"/>
        <v>0.12583466726991774</v>
      </c>
      <c r="M1233" s="10">
        <f t="shared" si="169"/>
        <v>5.1144852700971459E-2</v>
      </c>
      <c r="N1233" s="10">
        <f t="shared" si="170"/>
        <v>0.15139326787571319</v>
      </c>
      <c r="O1233" s="10">
        <f t="shared" si="171"/>
        <v>0.2173010522147511</v>
      </c>
      <c r="P1233" s="10">
        <f t="shared" si="172"/>
        <v>5.0861983397831476E-2</v>
      </c>
      <c r="Q1233" s="66">
        <f t="shared" si="175"/>
        <v>4</v>
      </c>
      <c r="R1233" s="10">
        <f t="shared" si="173"/>
        <v>4.8274964992701469E-4</v>
      </c>
      <c r="V1233" s="10">
        <f t="shared" si="174"/>
        <v>1.976562829694536E-3</v>
      </c>
    </row>
    <row r="1234" spans="11:22">
      <c r="K1234" s="66">
        <v>61.1</v>
      </c>
      <c r="L1234" s="10">
        <f t="shared" si="168"/>
        <v>0.12488402715113668</v>
      </c>
      <c r="M1234" s="10">
        <f t="shared" si="169"/>
        <v>5.0591174517095869E-2</v>
      </c>
      <c r="N1234" s="10">
        <f t="shared" si="170"/>
        <v>0.15194133966263301</v>
      </c>
      <c r="O1234" s="10">
        <f t="shared" si="171"/>
        <v>0.21808788014490069</v>
      </c>
      <c r="P1234" s="10">
        <f t="shared" si="172"/>
        <v>5.0738056393764656E-2</v>
      </c>
      <c r="Q1234" s="66">
        <f t="shared" si="175"/>
        <v>2</v>
      </c>
      <c r="R1234" s="10">
        <f t="shared" si="173"/>
        <v>2.3723649530435319E-4</v>
      </c>
      <c r="V1234" s="10">
        <f t="shared" si="174"/>
        <v>9.7979614499070175E-4</v>
      </c>
    </row>
    <row r="1235" spans="11:22">
      <c r="K1235" s="66">
        <v>61.15</v>
      </c>
      <c r="L1235" s="10">
        <f t="shared" si="168"/>
        <v>0.12393716629234795</v>
      </c>
      <c r="M1235" s="10">
        <f t="shared" si="169"/>
        <v>5.0041517974311001E-2</v>
      </c>
      <c r="N1235" s="10">
        <f t="shared" si="170"/>
        <v>0.15249139688279689</v>
      </c>
      <c r="O1235" s="10">
        <f t="shared" si="171"/>
        <v>0.21887755842124032</v>
      </c>
      <c r="P1235" s="10">
        <f t="shared" si="172"/>
        <v>5.0614431342184005E-2</v>
      </c>
      <c r="Q1235" s="66">
        <f t="shared" si="175"/>
        <v>4</v>
      </c>
      <c r="R1235" s="10">
        <f t="shared" si="173"/>
        <v>4.6630705543778051E-4</v>
      </c>
      <c r="V1235" s="10">
        <f t="shared" si="174"/>
        <v>1.942680227937196E-3</v>
      </c>
    </row>
    <row r="1236" spans="11:22">
      <c r="K1236" s="66">
        <v>61.2</v>
      </c>
      <c r="L1236" s="10">
        <f t="shared" si="168"/>
        <v>0.1229940955984828</v>
      </c>
      <c r="M1236" s="10">
        <f t="shared" si="169"/>
        <v>4.9495875402600309E-2</v>
      </c>
      <c r="N1236" s="10">
        <f t="shared" si="170"/>
        <v>0.1530434467285928</v>
      </c>
      <c r="O1236" s="10">
        <f t="shared" si="171"/>
        <v>0.21967009736937373</v>
      </c>
      <c r="P1236" s="10">
        <f t="shared" si="172"/>
        <v>5.0491107507371687E-2</v>
      </c>
      <c r="Q1236" s="66">
        <f t="shared" si="175"/>
        <v>2</v>
      </c>
      <c r="R1236" s="10">
        <f t="shared" si="173"/>
        <v>2.2912545513784698E-4</v>
      </c>
      <c r="V1236" s="10">
        <f t="shared" si="174"/>
        <v>9.6291369195045996E-4</v>
      </c>
    </row>
    <row r="1237" spans="11:22">
      <c r="K1237" s="66">
        <v>61.25</v>
      </c>
      <c r="L1237" s="10">
        <f t="shared" si="168"/>
        <v>0.12205482581643536</v>
      </c>
      <c r="M1237" s="10">
        <f t="shared" si="169"/>
        <v>4.8954238949680227E-2</v>
      </c>
      <c r="N1237" s="10">
        <f t="shared" si="170"/>
        <v>0.15359749641846454</v>
      </c>
      <c r="O1237" s="10">
        <f t="shared" si="171"/>
        <v>0.22046550735231005</v>
      </c>
      <c r="P1237" s="10">
        <f t="shared" si="172"/>
        <v>5.0368084155402483E-2</v>
      </c>
      <c r="Q1237" s="66">
        <f t="shared" si="175"/>
        <v>4</v>
      </c>
      <c r="R1237" s="10">
        <f t="shared" si="173"/>
        <v>4.503036206308174E-4</v>
      </c>
      <c r="V1237" s="10">
        <f t="shared" si="174"/>
        <v>1.9090344900540772E-3</v>
      </c>
    </row>
    <row r="1238" spans="11:22">
      <c r="K1238" s="66">
        <v>61.3</v>
      </c>
      <c r="L1238" s="10">
        <f t="shared" si="168"/>
        <v>0.12111936753401469</v>
      </c>
      <c r="M1238" s="10">
        <f t="shared" si="169"/>
        <v>4.8416600581828895E-2</v>
      </c>
      <c r="N1238" s="10">
        <f t="shared" si="170"/>
        <v>0.15415355319700474</v>
      </c>
      <c r="O1238" s="10">
        <f t="shared" si="171"/>
        <v>0.22126379877059885</v>
      </c>
      <c r="P1238" s="10">
        <f t="shared" si="172"/>
        <v>5.0245360554139466E-2</v>
      </c>
      <c r="Q1238" s="66">
        <f t="shared" si="175"/>
        <v>2</v>
      </c>
      <c r="R1238" s="10">
        <f t="shared" si="173"/>
        <v>2.2123212589107935E-4</v>
      </c>
      <c r="V1238" s="10">
        <f t="shared" si="174"/>
        <v>9.4615113516746934E-4</v>
      </c>
    </row>
    <row r="1239" spans="11:22">
      <c r="K1239" s="66">
        <v>61.35</v>
      </c>
      <c r="L1239" s="10">
        <f t="shared" si="168"/>
        <v>0.12018773117890669</v>
      </c>
      <c r="M1239" s="10">
        <f t="shared" si="169"/>
        <v>4.7882952084736044E-2</v>
      </c>
      <c r="N1239" s="10">
        <f t="shared" si="170"/>
        <v>0.15471162433505017</v>
      </c>
      <c r="O1239" s="10">
        <f t="shared" si="171"/>
        <v>0.22206498206246719</v>
      </c>
      <c r="P1239" s="10">
        <f t="shared" si="172"/>
        <v>5.0122935973229456E-2</v>
      </c>
      <c r="Q1239" s="66">
        <f t="shared" si="175"/>
        <v>4</v>
      </c>
      <c r="R1239" s="10">
        <f t="shared" si="173"/>
        <v>4.3473186890243942E-4</v>
      </c>
      <c r="V1239" s="10">
        <f t="shared" si="174"/>
        <v>1.8756314403542344E-3</v>
      </c>
    </row>
    <row r="1240" spans="11:22">
      <c r="K1240" s="66">
        <v>61.4</v>
      </c>
      <c r="L1240" s="10">
        <f t="shared" si="168"/>
        <v>0.11925992701765117</v>
      </c>
      <c r="M1240" s="10">
        <f t="shared" si="169"/>
        <v>4.7353285064377269E-2</v>
      </c>
      <c r="N1240" s="10">
        <f t="shared" si="170"/>
        <v>0.15527171712977733</v>
      </c>
      <c r="O1240" s="10">
        <f t="shared" si="171"/>
        <v>0.22286906770395504</v>
      </c>
      <c r="P1240" s="10">
        <f t="shared" si="172"/>
        <v>5.0000809684098986E-2</v>
      </c>
      <c r="Q1240" s="66">
        <f t="shared" si="175"/>
        <v>2</v>
      </c>
      <c r="R1240" s="10">
        <f t="shared" si="173"/>
        <v>2.1355276859027087E-4</v>
      </c>
      <c r="V1240" s="10">
        <f t="shared" si="174"/>
        <v>9.2951135365619542E-4</v>
      </c>
    </row>
    <row r="1241" spans="11:22">
      <c r="K1241" s="66">
        <v>61.45</v>
      </c>
      <c r="L1241" s="10">
        <f t="shared" si="168"/>
        <v>0.11833596515462472</v>
      </c>
      <c r="M1241" s="10">
        <f t="shared" si="169"/>
        <v>4.682759094790688E-2</v>
      </c>
      <c r="N1241" s="10">
        <f t="shared" si="170"/>
        <v>0.15583383890479643</v>
      </c>
      <c r="O1241" s="10">
        <f t="shared" si="171"/>
        <v>0.22367606620905225</v>
      </c>
      <c r="P1241" s="10">
        <f t="shared" si="172"/>
        <v>4.9878980959949595E-2</v>
      </c>
      <c r="Q1241" s="66">
        <f t="shared" si="175"/>
        <v>4</v>
      </c>
      <c r="R1241" s="10">
        <f t="shared" si="173"/>
        <v>4.1958432194320823E-4</v>
      </c>
      <c r="V1241" s="10">
        <f t="shared" si="174"/>
        <v>1.842476769918123E-3</v>
      </c>
    </row>
    <row r="1242" spans="11:22">
      <c r="K1242" s="66">
        <v>61.5</v>
      </c>
      <c r="L1242" s="10">
        <f t="shared" si="168"/>
        <v>0.11741585553104041</v>
      </c>
      <c r="M1242" s="10">
        <f t="shared" si="169"/>
        <v>4.6305860984576029E-2</v>
      </c>
      <c r="N1242" s="10">
        <f t="shared" si="170"/>
        <v>0.15639799701024867</v>
      </c>
      <c r="O1242" s="10">
        <f t="shared" si="171"/>
        <v>0.22448598812983683</v>
      </c>
      <c r="P1242" s="10">
        <f t="shared" si="172"/>
        <v>4.9757449075753857E-2</v>
      </c>
      <c r="Q1242" s="66">
        <f t="shared" si="175"/>
        <v>2</v>
      </c>
      <c r="R1242" s="10">
        <f t="shared" si="173"/>
        <v>2.0608364438804298E-4</v>
      </c>
      <c r="V1242" s="10">
        <f t="shared" si="174"/>
        <v>9.129971591543424E-4</v>
      </c>
    </row>
    <row r="1243" spans="11:22">
      <c r="K1243" s="66">
        <v>61.55</v>
      </c>
      <c r="L1243" s="10">
        <f t="shared" si="168"/>
        <v>0.11649960792395685</v>
      </c>
      <c r="M1243" s="10">
        <f t="shared" si="169"/>
        <v>4.5788086246670752E-2</v>
      </c>
      <c r="N1243" s="10">
        <f t="shared" si="170"/>
        <v>0.15696419882290139</v>
      </c>
      <c r="O1243" s="10">
        <f t="shared" si="171"/>
        <v>0.22529884405661291</v>
      </c>
      <c r="P1243" s="10">
        <f t="shared" si="172"/>
        <v>4.9636213308250805E-2</v>
      </c>
      <c r="Q1243" s="66">
        <f t="shared" si="175"/>
        <v>4</v>
      </c>
      <c r="R1243" s="10">
        <f t="shared" si="173"/>
        <v>4.0485350364399396E-4</v>
      </c>
      <c r="V1243" s="10">
        <f t="shared" si="174"/>
        <v>1.8095760339715535E-3</v>
      </c>
    </row>
    <row r="1244" spans="11:22">
      <c r="K1244" s="66">
        <v>61.6</v>
      </c>
      <c r="L1244" s="10">
        <f t="shared" si="168"/>
        <v>0.11558723194529989</v>
      </c>
      <c r="M1244" s="10">
        <f t="shared" si="169"/>
        <v>4.5274257630472568E-2</v>
      </c>
      <c r="N1244" s="10">
        <f t="shared" si="170"/>
        <v>0.15753245174624519</v>
      </c>
      <c r="O1244" s="10">
        <f t="shared" si="171"/>
        <v>0.22611464461804825</v>
      </c>
      <c r="P1244" s="10">
        <f t="shared" si="172"/>
        <v>4.9515272935941712E-2</v>
      </c>
      <c r="Q1244" s="66">
        <f t="shared" si="175"/>
        <v>2</v>
      </c>
      <c r="R1244" s="10">
        <f t="shared" si="173"/>
        <v>1.9882101650521873E-4</v>
      </c>
      <c r="V1244" s="10">
        <f t="shared" si="174"/>
        <v>8.9661129483384729E-4</v>
      </c>
    </row>
    <row r="1245" spans="11:22">
      <c r="K1245" s="66">
        <v>61.65</v>
      </c>
      <c r="L1245" s="10">
        <f t="shared" si="168"/>
        <v>0.11467873704089647</v>
      </c>
      <c r="M1245" s="10">
        <f t="shared" si="169"/>
        <v>4.4764365857240258E-2</v>
      </c>
      <c r="N1245" s="10">
        <f t="shared" si="170"/>
        <v>0.15810276321059036</v>
      </c>
      <c r="O1245" s="10">
        <f t="shared" si="171"/>
        <v>0.22693340048131397</v>
      </c>
      <c r="P1245" s="10">
        <f t="shared" si="172"/>
        <v>4.9394627239085914E-2</v>
      </c>
      <c r="Q1245" s="66">
        <f t="shared" si="175"/>
        <v>4</v>
      </c>
      <c r="R1245" s="10">
        <f t="shared" si="173"/>
        <v>3.9053194395632793E-4</v>
      </c>
      <c r="V1245" s="10">
        <f t="shared" si="174"/>
        <v>1.7769346493563905E-3</v>
      </c>
    </row>
    <row r="1246" spans="11:22">
      <c r="K1246" s="66">
        <v>61.7</v>
      </c>
      <c r="L1246" s="10">
        <f t="shared" si="168"/>
        <v>0.11377413248952163</v>
      </c>
      <c r="M1246" s="10">
        <f t="shared" si="169"/>
        <v>4.4258401474213879E-2</v>
      </c>
      <c r="N1246" s="10">
        <f t="shared" si="170"/>
        <v>0.15867514067316335</v>
      </c>
      <c r="O1246" s="10">
        <f t="shared" si="171"/>
        <v>0.22775512235222381</v>
      </c>
      <c r="P1246" s="10">
        <f t="shared" si="172"/>
        <v>4.9274275499696256E-2</v>
      </c>
      <c r="Q1246" s="66">
        <f t="shared" si="175"/>
        <v>2</v>
      </c>
      <c r="R1246" s="10">
        <f t="shared" si="173"/>
        <v>1.9176115214894661E-4</v>
      </c>
      <c r="V1246" s="10">
        <f t="shared" si="174"/>
        <v>8.8035643406083263E-4</v>
      </c>
    </row>
    <row r="1247" spans="11:22">
      <c r="K1247" s="66">
        <v>61.75</v>
      </c>
      <c r="L1247" s="10">
        <f t="shared" si="168"/>
        <v>0.11287342740195759</v>
      </c>
      <c r="M1247" s="10">
        <f t="shared" si="169"/>
        <v>4.3756354855640035E-2</v>
      </c>
      <c r="N1247" s="10">
        <f t="shared" si="170"/>
        <v>0.15924959161820607</v>
      </c>
      <c r="O1247" s="10">
        <f t="shared" si="171"/>
        <v>0.2285798209753743</v>
      </c>
      <c r="P1247" s="10">
        <f t="shared" si="172"/>
        <v>4.915421700153514E-2</v>
      </c>
      <c r="Q1247" s="66">
        <f t="shared" si="175"/>
        <v>4</v>
      </c>
      <c r="R1247" s="10">
        <f t="shared" si="173"/>
        <v>3.7661218270374885E-4</v>
      </c>
      <c r="V1247" s="10">
        <f t="shared" si="174"/>
        <v>1.7445578921003225E-3</v>
      </c>
    </row>
    <row r="1248" spans="11:22">
      <c r="K1248" s="66">
        <v>61.8</v>
      </c>
      <c r="L1248" s="10">
        <f t="shared" si="168"/>
        <v>0.11197663072006606</v>
      </c>
      <c r="M1248" s="10">
        <f t="shared" si="169"/>
        <v>4.3258216203818409E-2</v>
      </c>
      <c r="N1248" s="10">
        <f t="shared" si="170"/>
        <v>0.15982612355707207</v>
      </c>
      <c r="O1248" s="10">
        <f t="shared" si="171"/>
        <v>0.22940750713428482</v>
      </c>
      <c r="P1248" s="10">
        <f t="shared" si="172"/>
        <v>4.903445103011006E-2</v>
      </c>
      <c r="Q1248" s="66">
        <f t="shared" si="175"/>
        <v>2</v>
      </c>
      <c r="R1248" s="10">
        <f t="shared" si="173"/>
        <v>1.8490032440555068E-4</v>
      </c>
      <c r="V1248" s="10">
        <f t="shared" si="174"/>
        <v>8.6423517920579461E-4</v>
      </c>
    </row>
    <row r="1249" spans="11:22">
      <c r="K1249" s="66">
        <v>61.85</v>
      </c>
      <c r="L1249" s="10">
        <f t="shared" si="168"/>
        <v>0.11108375121587288</v>
      </c>
      <c r="M1249" s="10">
        <f t="shared" si="169"/>
        <v>4.2763975550169225E-2</v>
      </c>
      <c r="N1249" s="10">
        <f t="shared" si="170"/>
        <v>0.16040474402832525</v>
      </c>
      <c r="O1249" s="10">
        <f t="shared" si="171"/>
        <v>0.23023819165153953</v>
      </c>
      <c r="P1249" s="10">
        <f t="shared" si="172"/>
        <v>4.8914976872669276E-2</v>
      </c>
      <c r="Q1249" s="66">
        <f t="shared" si="175"/>
        <v>4</v>
      </c>
      <c r="R1249" s="10">
        <f t="shared" si="173"/>
        <v>3.6308677334106202E-4</v>
      </c>
      <c r="V1249" s="10">
        <f t="shared" si="174"/>
        <v>1.7124508950883952E-3</v>
      </c>
    </row>
    <row r="1250" spans="11:22">
      <c r="K1250" s="66">
        <v>61.9</v>
      </c>
      <c r="L1250" s="10">
        <f t="shared" si="168"/>
        <v>0.11019479749066842</v>
      </c>
      <c r="M1250" s="10">
        <f t="shared" si="169"/>
        <v>4.2273622756323834E-2</v>
      </c>
      <c r="N1250" s="10">
        <f t="shared" si="170"/>
        <v>0.1609854605978393</v>
      </c>
      <c r="O1250" s="10">
        <f t="shared" si="171"/>
        <v>0.23107188538892781</v>
      </c>
      <c r="P1250" s="10">
        <f t="shared" si="172"/>
        <v>4.8795793818197923E-2</v>
      </c>
      <c r="Q1250" s="66">
        <f t="shared" si="175"/>
        <v>2</v>
      </c>
      <c r="R1250" s="10">
        <f t="shared" si="173"/>
        <v>1.7823481410653836E-4</v>
      </c>
      <c r="V1250" s="10">
        <f t="shared" si="174"/>
        <v>8.4825006050519682E-4</v>
      </c>
    </row>
    <row r="1251" spans="11:22">
      <c r="K1251" s="66">
        <v>61.95</v>
      </c>
      <c r="L1251" s="10">
        <f t="shared" si="168"/>
        <v>0.10930977797411735</v>
      </c>
      <c r="M1251" s="10">
        <f t="shared" si="169"/>
        <v>4.1787147515233151E-2</v>
      </c>
      <c r="N1251" s="10">
        <f t="shared" si="170"/>
        <v>0.16156828085889494</v>
      </c>
      <c r="O1251" s="10">
        <f t="shared" si="171"/>
        <v>0.23190859924758642</v>
      </c>
      <c r="P1251" s="10">
        <f t="shared" si="172"/>
        <v>4.8676901157413306E-2</v>
      </c>
      <c r="Q1251" s="66">
        <f t="shared" si="175"/>
        <v>4</v>
      </c>
      <c r="R1251" s="10">
        <f t="shared" si="173"/>
        <v>3.4994828665837541E-4</v>
      </c>
      <c r="V1251" s="10">
        <f t="shared" si="174"/>
        <v>1.6806186458385131E-3</v>
      </c>
    </row>
    <row r="1252" spans="11:22">
      <c r="K1252" s="66">
        <v>62</v>
      </c>
      <c r="L1252" s="10">
        <f t="shared" si="168"/>
        <v>0.10842870092338604</v>
      </c>
      <c r="M1252" s="10">
        <f t="shared" si="169"/>
        <v>4.1304539352300072E-2</v>
      </c>
      <c r="N1252" s="10">
        <f t="shared" si="170"/>
        <v>0.16215321243228084</v>
      </c>
      <c r="O1252" s="10">
        <f t="shared" si="171"/>
        <v>0.23274834416814302</v>
      </c>
      <c r="P1252" s="10">
        <f t="shared" si="172"/>
        <v>4.855829818276123E-2</v>
      </c>
      <c r="Q1252" s="66">
        <f t="shared" si="175"/>
        <v>2</v>
      </c>
      <c r="R1252" s="10">
        <f t="shared" si="173"/>
        <v>1.7176091166625767E-4</v>
      </c>
      <c r="V1252" s="10">
        <f t="shared" si="174"/>
        <v>8.3240353497568268E-4</v>
      </c>
    </row>
    <row r="1253" spans="11:22">
      <c r="K1253" s="66">
        <v>62.05</v>
      </c>
      <c r="L1253" s="10">
        <f t="shared" si="168"/>
        <v>0.10755157442228291</v>
      </c>
      <c r="M1253" s="10">
        <f t="shared" si="169"/>
        <v>4.0825787626531607E-2</v>
      </c>
      <c r="N1253" s="10">
        <f t="shared" si="170"/>
        <v>0.16274026296639169</v>
      </c>
      <c r="O1253" s="10">
        <f t="shared" si="171"/>
        <v>0.23359113113085744</v>
      </c>
      <c r="P1253" s="10">
        <f t="shared" si="172"/>
        <v>4.8439984188410917E-2</v>
      </c>
      <c r="Q1253" s="66">
        <f t="shared" si="175"/>
        <v>4</v>
      </c>
      <c r="R1253" s="10">
        <f t="shared" si="173"/>
        <v>3.3718931442691804E-4</v>
      </c>
      <c r="V1253" s="10">
        <f t="shared" si="174"/>
        <v>1.6490659843832471E-3</v>
      </c>
    </row>
    <row r="1254" spans="11:22">
      <c r="K1254" s="66">
        <v>62.1</v>
      </c>
      <c r="L1254" s="10">
        <f t="shared" si="168"/>
        <v>0.10667840638040936</v>
      </c>
      <c r="M1254" s="10">
        <f t="shared" si="169"/>
        <v>4.0350881531710271E-2</v>
      </c>
      <c r="N1254" s="10">
        <f t="shared" si="170"/>
        <v>0.1633294401373305</v>
      </c>
      <c r="O1254" s="10">
        <f t="shared" si="171"/>
        <v>0.2344369711557682</v>
      </c>
      <c r="P1254" s="10">
        <f t="shared" si="172"/>
        <v>4.8321958470252044E-2</v>
      </c>
      <c r="Q1254" s="66">
        <f t="shared" si="175"/>
        <v>2</v>
      </c>
      <c r="R1254" s="10">
        <f t="shared" si="173"/>
        <v>1.654749188897024E-4</v>
      </c>
      <c r="V1254" s="10">
        <f t="shared" si="174"/>
        <v>8.1669798538196419E-4</v>
      </c>
    </row>
    <row r="1255" spans="11:22">
      <c r="K1255" s="66">
        <v>62.15</v>
      </c>
      <c r="L1255" s="10">
        <f t="shared" si="168"/>
        <v>0.10580920453233063</v>
      </c>
      <c r="M1255" s="10">
        <f t="shared" si="169"/>
        <v>3.9879810097588821E-2</v>
      </c>
      <c r="N1255" s="10">
        <f t="shared" si="170"/>
        <v>0.16392075164900669</v>
      </c>
      <c r="O1255" s="10">
        <f t="shared" si="171"/>
        <v>0.23528587530283335</v>
      </c>
      <c r="P1255" s="10">
        <f t="shared" si="172"/>
        <v>4.8204220325889544E-2</v>
      </c>
      <c r="Q1255" s="66">
        <f t="shared" si="175"/>
        <v>4</v>
      </c>
      <c r="R1255" s="10">
        <f t="shared" si="173"/>
        <v>3.2480247298372777E-4</v>
      </c>
      <c r="V1255" s="10">
        <f t="shared" si="174"/>
        <v>1.6177976012601602E-3</v>
      </c>
    </row>
    <row r="1256" spans="11:22">
      <c r="K1256" s="66">
        <v>62.2</v>
      </c>
      <c r="L1256" s="10">
        <f t="shared" si="168"/>
        <v>0.10494397643675714</v>
      </c>
      <c r="M1256" s="10">
        <f t="shared" si="169"/>
        <v>3.9412562191103326E-2</v>
      </c>
      <c r="N1256" s="10">
        <f t="shared" si="170"/>
        <v>0.16451420523323726</v>
      </c>
      <c r="O1256" s="10">
        <f t="shared" si="171"/>
        <v>0.23613785467207679</v>
      </c>
      <c r="P1256" s="10">
        <f t="shared" si="172"/>
        <v>4.808676905463969E-2</v>
      </c>
      <c r="Q1256" s="66">
        <f t="shared" si="175"/>
        <v>2</v>
      </c>
      <c r="R1256" s="10">
        <f t="shared" si="173"/>
        <v>1.5937315074902075E-4</v>
      </c>
      <c r="V1256" s="10">
        <f t="shared" si="174"/>
        <v>8.0113571925947318E-4</v>
      </c>
    </row>
    <row r="1257" spans="11:22">
      <c r="K1257" s="66">
        <v>62.25</v>
      </c>
      <c r="L1257" s="10">
        <f t="shared" si="168"/>
        <v>0.10408272947574167</v>
      </c>
      <c r="M1257" s="10">
        <f t="shared" si="169"/>
        <v>3.8949126517607194E-2</v>
      </c>
      <c r="N1257" s="10">
        <f t="shared" si="170"/>
        <v>0.16510980864984937</v>
      </c>
      <c r="O1257" s="10">
        <f t="shared" si="171"/>
        <v>0.23699292040373332</v>
      </c>
      <c r="P1257" s="10">
        <f t="shared" si="172"/>
        <v>4.7969603957526197E-2</v>
      </c>
      <c r="Q1257" s="66">
        <f t="shared" si="175"/>
        <v>4</v>
      </c>
      <c r="R1257" s="10">
        <f t="shared" si="173"/>
        <v>3.1278040675232006E-4</v>
      </c>
      <c r="V1257" s="10">
        <f t="shared" si="174"/>
        <v>1.5868180356125945E-3</v>
      </c>
    </row>
    <row r="1258" spans="11:22">
      <c r="K1258" s="66">
        <v>62.3</v>
      </c>
      <c r="L1258" s="10">
        <f t="shared" si="168"/>
        <v>0.10322547085389154</v>
      </c>
      <c r="M1258" s="10">
        <f t="shared" si="169"/>
        <v>3.8489491622125484E-2</v>
      </c>
      <c r="N1258" s="10">
        <f t="shared" si="170"/>
        <v>0.1657075696867801</v>
      </c>
      <c r="O1258" s="10">
        <f t="shared" si="171"/>
        <v>0.23785108367839375</v>
      </c>
      <c r="P1258" s="10">
        <f t="shared" si="172"/>
        <v>4.7852724337275672E-2</v>
      </c>
      <c r="Q1258" s="66">
        <f t="shared" si="175"/>
        <v>2</v>
      </c>
      <c r="R1258" s="10">
        <f t="shared" si="173"/>
        <v>1.5345193712734125E-4</v>
      </c>
      <c r="V1258" s="10">
        <f t="shared" si="174"/>
        <v>7.8571896799276984E-4</v>
      </c>
    </row>
    <row r="1259" spans="11:22">
      <c r="K1259" s="66">
        <v>62.35</v>
      </c>
      <c r="L1259" s="10">
        <f t="shared" si="168"/>
        <v>0.10237220759759447</v>
      </c>
      <c r="M1259" s="10">
        <f t="shared" si="169"/>
        <v>3.8033645890628381E-2</v>
      </c>
      <c r="N1259" s="10">
        <f t="shared" si="170"/>
        <v>0.16630749616017895</v>
      </c>
      <c r="O1259" s="10">
        <f t="shared" si="171"/>
        <v>0.23871235571715224</v>
      </c>
      <c r="P1259" s="10">
        <f t="shared" si="172"/>
        <v>4.773612949831376E-2</v>
      </c>
      <c r="Q1259" s="66">
        <f t="shared" si="175"/>
        <v>4</v>
      </c>
      <c r="R1259" s="10">
        <f t="shared" si="173"/>
        <v>3.0111579169661112E-4</v>
      </c>
      <c r="V1259" s="10">
        <f t="shared" si="174"/>
        <v>1.556131673402968E-3</v>
      </c>
    </row>
    <row r="1260" spans="11:22">
      <c r="K1260" s="66">
        <v>62.4</v>
      </c>
      <c r="L1260" s="10">
        <f t="shared" si="168"/>
        <v>0.10152294655426332</v>
      </c>
      <c r="M1260" s="10">
        <f t="shared" si="169"/>
        <v>3.7581577551326371E-2</v>
      </c>
      <c r="N1260" s="10">
        <f t="shared" si="170"/>
        <v>0.16690959591451063</v>
      </c>
      <c r="O1260" s="10">
        <f t="shared" si="171"/>
        <v>0.23957674778175167</v>
      </c>
      <c r="P1260" s="10">
        <f t="shared" si="172"/>
        <v>4.7619818746760932E-2</v>
      </c>
      <c r="Q1260" s="66">
        <f t="shared" si="175"/>
        <v>2</v>
      </c>
      <c r="R1260" s="10">
        <f t="shared" si="173"/>
        <v>1.4770762452853228E-4</v>
      </c>
      <c r="V1260" s="10">
        <f t="shared" si="174"/>
        <v>7.7044988595064768E-4</v>
      </c>
    </row>
    <row r="1261" spans="11:22">
      <c r="K1261" s="66">
        <v>62.45</v>
      </c>
      <c r="L1261" s="10">
        <f t="shared" si="168"/>
        <v>0.10067769439159034</v>
      </c>
      <c r="M1261" s="10">
        <f t="shared" si="169"/>
        <v>3.7133274675982202E-2</v>
      </c>
      <c r="N1261" s="10">
        <f t="shared" si="170"/>
        <v>0.16751387682265617</v>
      </c>
      <c r="O1261" s="10">
        <f t="shared" si="171"/>
        <v>0.24044427117473119</v>
      </c>
      <c r="P1261" s="10">
        <f t="shared" si="172"/>
        <v>4.7503791390428186E-2</v>
      </c>
      <c r="Q1261" s="66">
        <f t="shared" si="175"/>
        <v>4</v>
      </c>
      <c r="R1261" s="10">
        <f t="shared" si="173"/>
        <v>2.8980133870540667E-4</v>
      </c>
      <c r="V1261" s="10">
        <f t="shared" si="174"/>
        <v>1.5257427457403762E-3</v>
      </c>
    </row>
    <row r="1262" spans="11:22">
      <c r="K1262" s="66">
        <v>62.5</v>
      </c>
      <c r="L1262" s="10">
        <f t="shared" si="168"/>
        <v>9.9836457596822831E-2</v>
      </c>
      <c r="M1262" s="10">
        <f t="shared" si="169"/>
        <v>3.6688725181245239E-2</v>
      </c>
      <c r="N1262" s="10">
        <f t="shared" si="170"/>
        <v>0.16812034678601734</v>
      </c>
      <c r="O1262" s="10">
        <f t="shared" si="171"/>
        <v>0.24131493723957462</v>
      </c>
      <c r="P1262" s="10">
        <f t="shared" si="172"/>
        <v>4.7388046738813201E-2</v>
      </c>
      <c r="Q1262" s="66">
        <f t="shared" si="175"/>
        <v>2</v>
      </c>
      <c r="R1262" s="10">
        <f t="shared" si="173"/>
        <v>1.4213657775160763E-4</v>
      </c>
      <c r="V1262" s="10">
        <f t="shared" si="174"/>
        <v>7.5533054967883643E-4</v>
      </c>
    </row>
    <row r="1263" spans="11:22">
      <c r="K1263" s="66">
        <v>62.55</v>
      </c>
      <c r="L1263" s="10">
        <f t="shared" si="168"/>
        <v>9.8999242476050839E-2</v>
      </c>
      <c r="M1263" s="10">
        <f t="shared" si="169"/>
        <v>3.6247916830003085E-2</v>
      </c>
      <c r="N1263" s="10">
        <f t="shared" si="170"/>
        <v>0.16872901373461896</v>
      </c>
      <c r="O1263" s="10">
        <f t="shared" si="171"/>
        <v>0.24218875736085893</v>
      </c>
      <c r="P1263" s="10">
        <f t="shared" si="172"/>
        <v>4.727258410309601E-2</v>
      </c>
      <c r="Q1263" s="66">
        <f t="shared" si="175"/>
        <v>4</v>
      </c>
      <c r="R1263" s="10">
        <f t="shared" si="173"/>
        <v>2.7882979690487669E-4</v>
      </c>
      <c r="V1263" s="10">
        <f t="shared" si="174"/>
        <v>1.4956553273241802E-3</v>
      </c>
    </row>
    <row r="1264" spans="11:22">
      <c r="K1264" s="66">
        <v>62.6</v>
      </c>
      <c r="L1264" s="10">
        <f t="shared" si="168"/>
        <v>9.8166055153512413E-2</v>
      </c>
      <c r="M1264" s="10">
        <f t="shared" si="169"/>
        <v>3.5810837232753294E-2</v>
      </c>
      <c r="N1264" s="10">
        <f t="shared" si="170"/>
        <v>0.16933988562721361</v>
      </c>
      <c r="O1264" s="10">
        <f t="shared" si="171"/>
        <v>0.24306574296440187</v>
      </c>
      <c r="P1264" s="10">
        <f t="shared" si="172"/>
        <v>4.7157402796134958E-2</v>
      </c>
      <c r="Q1264" s="66">
        <f t="shared" si="175"/>
        <v>2</v>
      </c>
      <c r="R1264" s="10">
        <f t="shared" si="173"/>
        <v>1.3673518152849652E-4</v>
      </c>
      <c r="V1264" s="10">
        <f t="shared" si="174"/>
        <v>7.4036295715112328E-4</v>
      </c>
    </row>
    <row r="1265" spans="11:22">
      <c r="K1265" s="66">
        <v>62.65</v>
      </c>
      <c r="L1265" s="10">
        <f t="shared" si="168"/>
        <v>9.7336901570913931E-2</v>
      </c>
      <c r="M1265" s="10">
        <f t="shared" si="169"/>
        <v>3.5377473848993715E-2</v>
      </c>
      <c r="N1265" s="10">
        <f t="shared" si="170"/>
        <v>0.16995297045138463</v>
      </c>
      <c r="O1265" s="10">
        <f t="shared" si="171"/>
        <v>0.24394590551741249</v>
      </c>
      <c r="P1265" s="10">
        <f t="shared" si="172"/>
        <v>4.704250213246277E-2</v>
      </c>
      <c r="Q1265" s="66">
        <f t="shared" si="175"/>
        <v>4</v>
      </c>
      <c r="R1265" s="10">
        <f t="shared" si="173"/>
        <v>2.6819395689656655E-4</v>
      </c>
      <c r="V1265" s="10">
        <f t="shared" si="174"/>
        <v>1.4658733350052767E-3</v>
      </c>
    </row>
    <row r="1266" spans="11:22">
      <c r="K1266" s="66">
        <v>62.7</v>
      </c>
      <c r="L1266" s="10">
        <f t="shared" si="168"/>
        <v>9.651178748676785E-2</v>
      </c>
      <c r="M1266" s="10">
        <f t="shared" si="169"/>
        <v>3.494781398863165E-2</v>
      </c>
      <c r="N1266" s="10">
        <f t="shared" si="170"/>
        <v>0.17056827622365059</v>
      </c>
      <c r="O1266" s="10">
        <f t="shared" si="171"/>
        <v>0.2448292565286406</v>
      </c>
      <c r="P1266" s="10">
        <f t="shared" si="172"/>
        <v>4.6927881428282144E-2</v>
      </c>
      <c r="Q1266" s="66">
        <f t="shared" si="175"/>
        <v>2</v>
      </c>
      <c r="R1266" s="10">
        <f t="shared" si="173"/>
        <v>1.3149984212397316E-4</v>
      </c>
      <c r="V1266" s="10">
        <f t="shared" si="174"/>
        <v>7.2554902707964389E-4</v>
      </c>
    </row>
    <row r="1267" spans="11:22">
      <c r="K1267" s="66">
        <v>62.75</v>
      </c>
      <c r="L1267" s="10">
        <f t="shared" si="168"/>
        <v>9.5690718475746075E-2</v>
      </c>
      <c r="M1267" s="10">
        <f t="shared" si="169"/>
        <v>3.4521844813411584E-2</v>
      </c>
      <c r="N1267" s="10">
        <f t="shared" si="170"/>
        <v>0.17118581098957153</v>
      </c>
      <c r="O1267" s="10">
        <f t="shared" si="171"/>
        <v>0.24571580754852737</v>
      </c>
      <c r="P1267" s="10">
        <f t="shared" si="172"/>
        <v>4.6813540001462053E-2</v>
      </c>
      <c r="Q1267" s="66">
        <f t="shared" si="175"/>
        <v>4</v>
      </c>
      <c r="R1267" s="10">
        <f t="shared" si="173"/>
        <v>2.5788665391852553E-4</v>
      </c>
      <c r="V1267" s="10">
        <f t="shared" si="174"/>
        <v>1.4364005264663898E-3</v>
      </c>
    </row>
    <row r="1268" spans="11:22">
      <c r="K1268" s="66">
        <v>62.8</v>
      </c>
      <c r="L1268" s="10">
        <f t="shared" si="168"/>
        <v>9.4873699928050434E-2</v>
      </c>
      <c r="M1268" s="10">
        <f t="shared" si="169"/>
        <v>3.4099553338361441E-2</v>
      </c>
      <c r="N1268" s="10">
        <f t="shared" si="170"/>
        <v>0.17180558282385244</v>
      </c>
      <c r="O1268" s="10">
        <f t="shared" si="171"/>
        <v>0.24660557016935616</v>
      </c>
      <c r="P1268" s="10">
        <f t="shared" si="172"/>
        <v>4.6699477171533381E-2</v>
      </c>
      <c r="Q1268" s="66">
        <f t="shared" si="175"/>
        <v>2</v>
      </c>
      <c r="R1268" s="10">
        <f t="shared" si="173"/>
        <v>1.2642698889658212E-4</v>
      </c>
      <c r="V1268" s="10">
        <f t="shared" si="174"/>
        <v>7.1089059828507214E-4</v>
      </c>
    </row>
    <row r="1269" spans="11:22">
      <c r="K1269" s="66">
        <v>62.85</v>
      </c>
      <c r="L1269" s="10">
        <f t="shared" si="168"/>
        <v>9.4060737048798942E-2</v>
      </c>
      <c r="M1269" s="10">
        <f t="shared" si="169"/>
        <v>3.3680926433256278E-2</v>
      </c>
      <c r="N1269" s="10">
        <f t="shared" si="170"/>
        <v>0.17242759983044967</v>
      </c>
      <c r="O1269" s="10">
        <f t="shared" si="171"/>
        <v>0.24749855602540496</v>
      </c>
      <c r="P1269" s="10">
        <f t="shared" si="172"/>
        <v>4.6585692259685042E-2</v>
      </c>
      <c r="Q1269" s="66">
        <f t="shared" si="175"/>
        <v>4</v>
      </c>
      <c r="R1269" s="10">
        <f t="shared" si="173"/>
        <v>2.4790077092732172E-4</v>
      </c>
      <c r="V1269" s="10">
        <f t="shared" si="174"/>
        <v>1.4072404990228304E-3</v>
      </c>
    </row>
    <row r="1270" spans="11:22">
      <c r="K1270" s="66">
        <v>62.9</v>
      </c>
      <c r="L1270" s="10">
        <f t="shared" si="168"/>
        <v>9.3251834857431076E-2</v>
      </c>
      <c r="M1270" s="10">
        <f t="shared" si="169"/>
        <v>3.326595082410122E-2</v>
      </c>
      <c r="N1270" s="10">
        <f t="shared" si="170"/>
        <v>0.17305187014267728</v>
      </c>
      <c r="O1270" s="10">
        <f t="shared" si="171"/>
        <v>0.24839477679309738</v>
      </c>
      <c r="P1270" s="10">
        <f t="shared" si="172"/>
        <v>4.6472184588759916E-2</v>
      </c>
      <c r="Q1270" s="66">
        <f t="shared" si="175"/>
        <v>2</v>
      </c>
      <c r="R1270" s="10">
        <f t="shared" si="173"/>
        <v>1.2151307581944958E-4</v>
      </c>
      <c r="V1270" s="10">
        <f t="shared" si="174"/>
        <v>6.96389429127329E-4</v>
      </c>
    </row>
    <row r="1271" spans="11:22">
      <c r="K1271" s="66">
        <v>62.95</v>
      </c>
      <c r="L1271" s="10">
        <f t="shared" si="168"/>
        <v>9.2446998187128093E-2</v>
      </c>
      <c r="M1271" s="10">
        <f t="shared" si="169"/>
        <v>3.2854613094630961E-2</v>
      </c>
      <c r="N1271" s="10">
        <f t="shared" si="170"/>
        <v>0.17367840192331205</v>
      </c>
      <c r="O1271" s="10">
        <f t="shared" si="171"/>
        <v>0.24929424419115537</v>
      </c>
      <c r="P1271" s="10">
        <f t="shared" si="172"/>
        <v>4.6358953483250753E-2</v>
      </c>
      <c r="Q1271" s="66">
        <f t="shared" si="175"/>
        <v>4</v>
      </c>
      <c r="R1271" s="10">
        <f t="shared" si="173"/>
        <v>2.3822924159874951E-4</v>
      </c>
      <c r="V1271" s="10">
        <f t="shared" si="174"/>
        <v>1.3783966885448683E-3</v>
      </c>
    </row>
    <row r="1272" spans="11:22">
      <c r="K1272" s="66">
        <v>63</v>
      </c>
      <c r="L1272" s="10">
        <f t="shared" si="168"/>
        <v>9.1646231684251664E-2</v>
      </c>
      <c r="M1272" s="10">
        <f t="shared" si="169"/>
        <v>3.2446899687827199E-2</v>
      </c>
      <c r="N1272" s="10">
        <f t="shared" si="170"/>
        <v>0.1743072033647019</v>
      </c>
      <c r="O1272" s="10">
        <f t="shared" si="171"/>
        <v>0.2501969699807538</v>
      </c>
      <c r="P1272" s="10">
        <f t="shared" si="172"/>
        <v>4.6245998269296387E-2</v>
      </c>
      <c r="Q1272" s="66">
        <f t="shared" si="175"/>
        <v>2</v>
      </c>
      <c r="R1272" s="10">
        <f t="shared" si="173"/>
        <v>1.1675458295993204E-4</v>
      </c>
      <c r="V1272" s="10">
        <f t="shared" si="174"/>
        <v>6.8204719699739927E-4</v>
      </c>
    </row>
    <row r="1273" spans="11:22">
      <c r="K1273" s="66">
        <v>63.05</v>
      </c>
      <c r="L1273" s="10">
        <f t="shared" si="168"/>
        <v>9.0849539807800805E-2</v>
      </c>
      <c r="M1273" s="10">
        <f t="shared" si="169"/>
        <v>3.2042796907454089E-2</v>
      </c>
      <c r="N1273" s="10">
        <f t="shared" si="170"/>
        <v>0.17493828268887104</v>
      </c>
      <c r="O1273" s="10">
        <f t="shared" si="171"/>
        <v>0.25110296596567178</v>
      </c>
      <c r="P1273" s="10">
        <f t="shared" si="172"/>
        <v>4.6133318274677058E-2</v>
      </c>
      <c r="Q1273" s="66">
        <f t="shared" si="175"/>
        <v>4</v>
      </c>
      <c r="R1273" s="10">
        <f t="shared" si="173"/>
        <v>2.2886505324521002E-4</v>
      </c>
      <c r="V1273" s="10">
        <f t="shared" si="174"/>
        <v>1.3498723685028652E-3</v>
      </c>
    </row>
    <row r="1274" spans="11:22">
      <c r="K1274" s="66">
        <v>63.1</v>
      </c>
      <c r="L1274" s="10">
        <f t="shared" si="168"/>
        <v>9.0056926828883166E-2</v>
      </c>
      <c r="M1274" s="10">
        <f t="shared" si="169"/>
        <v>3.1642290919608698E-2</v>
      </c>
      <c r="N1274" s="10">
        <f t="shared" si="170"/>
        <v>0.17557164814763029</v>
      </c>
      <c r="O1274" s="10">
        <f t="shared" si="171"/>
        <v>0.25201224399245087</v>
      </c>
      <c r="P1274" s="10">
        <f t="shared" si="172"/>
        <v>4.6020912828811489E-2</v>
      </c>
      <c r="Q1274" s="66">
        <f t="shared" si="175"/>
        <v>2</v>
      </c>
      <c r="R1274" s="10">
        <f t="shared" si="173"/>
        <v>1.1214801791709942E-4</v>
      </c>
      <c r="V1274" s="10">
        <f t="shared" si="174"/>
        <v>6.6786549787074931E-4</v>
      </c>
    </row>
    <row r="1275" spans="11:22">
      <c r="K1275" s="66">
        <v>63.15</v>
      </c>
      <c r="L1275" s="10">
        <f t="shared" si="168"/>
        <v>8.9268396830208915E-2</v>
      </c>
      <c r="M1275" s="10">
        <f t="shared" si="169"/>
        <v>3.1245367754291219E-2</v>
      </c>
      <c r="N1275" s="10">
        <f t="shared" si="170"/>
        <v>0.17620730802268217</v>
      </c>
      <c r="O1275" s="10">
        <f t="shared" si="171"/>
        <v>0.25292481595054583</v>
      </c>
      <c r="P1275" s="10">
        <f t="shared" si="172"/>
        <v>4.5908781262751934E-2</v>
      </c>
      <c r="Q1275" s="66">
        <f t="shared" si="175"/>
        <v>4</v>
      </c>
      <c r="R1275" s="10">
        <f t="shared" si="173"/>
        <v>2.1980124964779434E-4</v>
      </c>
      <c r="V1275" s="10">
        <f t="shared" si="174"/>
        <v>1.3216706491360379E-3</v>
      </c>
    </row>
    <row r="1276" spans="11:22">
      <c r="K1276" s="66">
        <v>63.2</v>
      </c>
      <c r="L1276" s="10">
        <f t="shared" si="168"/>
        <v>8.8483953705598833E-2</v>
      </c>
      <c r="M1276" s="10">
        <f t="shared" si="169"/>
        <v>3.0852013306989431E-2</v>
      </c>
      <c r="N1276" s="10">
        <f t="shared" si="170"/>
        <v>0.17684527062573005</v>
      </c>
      <c r="O1276" s="10">
        <f t="shared" si="171"/>
        <v>0.25384069377248258</v>
      </c>
      <c r="P1276" s="10">
        <f t="shared" si="172"/>
        <v>4.5796922909180658E-2</v>
      </c>
      <c r="Q1276" s="66">
        <f t="shared" si="175"/>
        <v>2</v>
      </c>
      <c r="R1276" s="10">
        <f t="shared" si="173"/>
        <v>1.0768991721611002E-4</v>
      </c>
      <c r="V1276" s="10">
        <f t="shared" si="174"/>
        <v>6.5384584592278376E-4</v>
      </c>
    </row>
    <row r="1277" spans="11:22">
      <c r="K1277" s="66">
        <v>63.25</v>
      </c>
      <c r="L1277" s="10">
        <f t="shared" si="168"/>
        <v>8.7703601159512132E-2</v>
      </c>
      <c r="M1277" s="10">
        <f t="shared" si="169"/>
        <v>3.0462213340280726E-2</v>
      </c>
      <c r="N1277" s="10">
        <f t="shared" si="170"/>
        <v>0.17748554429858807</v>
      </c>
      <c r="O1277" s="10">
        <f t="shared" si="171"/>
        <v>0.25475988943401329</v>
      </c>
      <c r="P1277" s="10">
        <f t="shared" si="172"/>
        <v>4.5685337102405896E-2</v>
      </c>
      <c r="Q1277" s="66">
        <f t="shared" si="175"/>
        <v>4</v>
      </c>
      <c r="R1277" s="10">
        <f t="shared" si="173"/>
        <v>2.1103093380127333E-4</v>
      </c>
      <c r="V1277" s="10">
        <f t="shared" si="174"/>
        <v>1.2937944767457241E-3</v>
      </c>
    </row>
    <row r="1278" spans="11:22">
      <c r="K1278" s="66">
        <v>63.3</v>
      </c>
      <c r="L1278" s="10">
        <f t="shared" si="168"/>
        <v>8.6927342706592317E-2</v>
      </c>
      <c r="M1278" s="10">
        <f t="shared" si="169"/>
        <v>3.0075953485449974E-2</v>
      </c>
      <c r="N1278" s="10">
        <f t="shared" si="170"/>
        <v>0.17812813741328862</v>
      </c>
      <c r="O1278" s="10">
        <f t="shared" si="171"/>
        <v>0.2556824149542733</v>
      </c>
      <c r="P1278" s="10">
        <f t="shared" si="172"/>
        <v>4.5574023178357778E-2</v>
      </c>
      <c r="Q1278" s="66">
        <f t="shared" si="175"/>
        <v>2</v>
      </c>
      <c r="R1278" s="10">
        <f t="shared" si="173"/>
        <v>1.0337684765861182E-4</v>
      </c>
      <c r="V1278" s="10">
        <f t="shared" si="174"/>
        <v>6.3998967320673275E-4</v>
      </c>
    </row>
    <row r="1279" spans="11:22">
      <c r="K1279" s="66">
        <v>63.35</v>
      </c>
      <c r="L1279" s="10">
        <f t="shared" si="168"/>
        <v>8.6155181671230693E-2</v>
      </c>
      <c r="M1279" s="10">
        <f t="shared" si="169"/>
        <v>2.9693219244122805E-2</v>
      </c>
      <c r="N1279" s="10">
        <f t="shared" si="170"/>
        <v>0.17877305837219234</v>
      </c>
      <c r="O1279" s="10">
        <f t="shared" si="171"/>
        <v>0.25660828239593864</v>
      </c>
      <c r="P1279" s="10">
        <f t="shared" si="172"/>
        <v>4.5462980474584545E-2</v>
      </c>
      <c r="Q1279" s="66">
        <f t="shared" si="175"/>
        <v>4</v>
      </c>
      <c r="R1279" s="10">
        <f t="shared" si="173"/>
        <v>2.0254727057028389E-4</v>
      </c>
      <c r="V1279" s="10">
        <f t="shared" si="174"/>
        <v>1.2662466331137912E-3</v>
      </c>
    </row>
    <row r="1280" spans="11:22">
      <c r="K1280" s="66">
        <v>63.4</v>
      </c>
      <c r="L1280" s="10">
        <f t="shared" si="168"/>
        <v>8.5387121187150083E-2</v>
      </c>
      <c r="M1280" s="10">
        <f t="shared" si="169"/>
        <v>2.9313995989915742E-2</v>
      </c>
      <c r="N1280" s="10">
        <f t="shared" si="170"/>
        <v>0.17942031560809893</v>
      </c>
      <c r="O1280" s="10">
        <f t="shared" si="171"/>
        <v>0.25753750386538304</v>
      </c>
      <c r="P1280" s="10">
        <f t="shared" si="172"/>
        <v>4.53522083302485E-2</v>
      </c>
      <c r="Q1280" s="66">
        <f t="shared" si="175"/>
        <v>2</v>
      </c>
      <c r="R1280" s="10">
        <f t="shared" si="173"/>
        <v>9.9205407628328427E-5</v>
      </c>
      <c r="V1280" s="10">
        <f t="shared" si="174"/>
        <v>6.2629832939423667E-4</v>
      </c>
    </row>
    <row r="1281" spans="11:22">
      <c r="K1281" s="66">
        <v>63.45</v>
      </c>
      <c r="L1281" s="10">
        <f t="shared" si="168"/>
        <v>8.4623164197006009E-2</v>
      </c>
      <c r="M1281" s="10">
        <f t="shared" si="169"/>
        <v>2.8938268970100423E-2</v>
      </c>
      <c r="N1281" s="10">
        <f t="shared" si="170"/>
        <v>0.18006991758435539</v>
      </c>
      <c r="O1281" s="10">
        <f t="shared" si="171"/>
        <v>0.25847009151283579</v>
      </c>
      <c r="P1281" s="10">
        <f t="shared" si="172"/>
        <v>4.5241706086122088E-2</v>
      </c>
      <c r="Q1281" s="66">
        <f t="shared" si="175"/>
        <v>4</v>
      </c>
      <c r="R1281" s="10">
        <f t="shared" si="173"/>
        <v>1.9434348925512278E-4</v>
      </c>
      <c r="V1281" s="10">
        <f t="shared" si="174"/>
        <v>1.239029735046709E-3</v>
      </c>
    </row>
    <row r="1282" spans="11:22">
      <c r="K1282" s="66">
        <v>63.5</v>
      </c>
      <c r="L1282" s="10">
        <f t="shared" si="168"/>
        <v>8.3863313452006732E-2</v>
      </c>
      <c r="M1282" s="10">
        <f t="shared" si="169"/>
        <v>2.8566023307283684E-2</v>
      </c>
      <c r="N1282" s="10">
        <f t="shared" si="170"/>
        <v>0.18072187279496849</v>
      </c>
      <c r="O1282" s="10">
        <f t="shared" si="171"/>
        <v>0.25940605753254276</v>
      </c>
      <c r="P1282" s="10">
        <f t="shared" si="172"/>
        <v>4.5131473084583998E-2</v>
      </c>
      <c r="Q1282" s="66">
        <f t="shared" si="175"/>
        <v>2</v>
      </c>
      <c r="R1282" s="10">
        <f t="shared" si="173"/>
        <v>9.5172228351089627E-5</v>
      </c>
      <c r="V1282" s="10">
        <f t="shared" si="174"/>
        <v>6.1277308157889527E-4</v>
      </c>
    </row>
    <row r="1283" spans="11:22">
      <c r="K1283" s="66">
        <v>63.55</v>
      </c>
      <c r="L1283" s="10">
        <f t="shared" si="168"/>
        <v>8.3107571511552999E-2</v>
      </c>
      <c r="M1283" s="10">
        <f t="shared" si="169"/>
        <v>2.8197244001102233E-2</v>
      </c>
      <c r="N1283" s="10">
        <f t="shared" si="170"/>
        <v>0.1813761897647154</v>
      </c>
      <c r="O1283" s="10">
        <f t="shared" si="171"/>
        <v>0.26034541416292334</v>
      </c>
      <c r="P1283" s="10">
        <f t="shared" si="172"/>
        <v>4.502150866961524E-2</v>
      </c>
      <c r="Q1283" s="66">
        <f t="shared" si="175"/>
        <v>4</v>
      </c>
      <c r="R1283" s="10">
        <f t="shared" si="173"/>
        <v>1.8641288606571115E-4</v>
      </c>
      <c r="V1283" s="10">
        <f t="shared" si="174"/>
        <v>1.2121462340457178E-3</v>
      </c>
    </row>
    <row r="1284" spans="11:22">
      <c r="K1284" s="66">
        <v>63.6</v>
      </c>
      <c r="L1284" s="10">
        <f t="shared" si="168"/>
        <v>8.2355940742896427E-2</v>
      </c>
      <c r="M1284" s="10">
        <f t="shared" si="169"/>
        <v>2.7831915929932088E-2</v>
      </c>
      <c r="N1284" s="10">
        <f t="shared" si="170"/>
        <v>0.18203287704925461</v>
      </c>
      <c r="O1284" s="10">
        <f t="shared" si="171"/>
        <v>0.26128817368673179</v>
      </c>
      <c r="P1284" s="10">
        <f t="shared" si="172"/>
        <v>4.4911812186795214E-2</v>
      </c>
      <c r="Q1284" s="66">
        <f t="shared" si="175"/>
        <v>2</v>
      </c>
      <c r="R1284" s="10">
        <f t="shared" si="173"/>
        <v>9.1273975108593634E-5</v>
      </c>
      <c r="V1284" s="10">
        <f t="shared" si="174"/>
        <v>5.994151141429045E-4</v>
      </c>
    </row>
    <row r="1285" spans="11:22">
      <c r="K1285" s="66">
        <v>63.65</v>
      </c>
      <c r="L1285" s="10">
        <f t="shared" si="168"/>
        <v>8.160842332081758E-2</v>
      </c>
      <c r="M1285" s="10">
        <f t="shared" si="169"/>
        <v>2.7470023852612171E-2</v>
      </c>
      <c r="N1285" s="10">
        <f t="shared" si="170"/>
        <v>0.18269194323523846</v>
      </c>
      <c r="O1285" s="10">
        <f t="shared" si="171"/>
        <v>0.2622343484312184</v>
      </c>
      <c r="P1285" s="10">
        <f t="shared" si="172"/>
        <v>4.4802382983297868E-2</v>
      </c>
      <c r="Q1285" s="66">
        <f t="shared" si="175"/>
        <v>4</v>
      </c>
      <c r="R1285" s="10">
        <f t="shared" si="173"/>
        <v>1.7874882650237343E-4</v>
      </c>
      <c r="V1285" s="10">
        <f t="shared" si="174"/>
        <v>1.1855984161032781E-3</v>
      </c>
    </row>
    <row r="1286" spans="11:22">
      <c r="K1286" s="66">
        <v>63.7</v>
      </c>
      <c r="L1286" s="10">
        <f t="shared" si="168"/>
        <v>8.0865021227322906E-2</v>
      </c>
      <c r="M1286" s="10">
        <f t="shared" si="169"/>
        <v>2.711155241018208E-2</v>
      </c>
      <c r="N1286" s="10">
        <f t="shared" si="170"/>
        <v>0.18335339694042441</v>
      </c>
      <c r="O1286" s="10">
        <f t="shared" si="171"/>
        <v>0.26318395076828865</v>
      </c>
      <c r="P1286" s="10">
        <f t="shared" si="172"/>
        <v>4.4693220407887764E-2</v>
      </c>
      <c r="Q1286" s="66">
        <f t="shared" si="175"/>
        <v>2</v>
      </c>
      <c r="R1286" s="10">
        <f t="shared" si="173"/>
        <v>8.7507348405275564E-5</v>
      </c>
      <c r="V1286" s="10">
        <f t="shared" si="174"/>
        <v>5.8622552868689115E-4</v>
      </c>
    </row>
    <row r="1287" spans="11:22">
      <c r="K1287" s="66">
        <v>63.75</v>
      </c>
      <c r="L1287" s="10">
        <f t="shared" si="168"/>
        <v>8.0125736251361948E-2</v>
      </c>
      <c r="M1287" s="10">
        <f t="shared" si="169"/>
        <v>2.675648612763348E-2</v>
      </c>
      <c r="N1287" s="10">
        <f t="shared" si="170"/>
        <v>0.18401724681378939</v>
      </c>
      <c r="O1287" s="10">
        <f t="shared" si="171"/>
        <v>0.26413699311466693</v>
      </c>
      <c r="P1287" s="10">
        <f t="shared" si="172"/>
        <v>4.4584323810916239E-2</v>
      </c>
      <c r="Q1287" s="66">
        <f t="shared" si="175"/>
        <v>4</v>
      </c>
      <c r="R1287" s="10">
        <f t="shared" si="173"/>
        <v>1.7134474764224017E-4</v>
      </c>
      <c r="V1287" s="10">
        <f t="shared" si="174"/>
        <v>1.1593884016259503E-3</v>
      </c>
    </row>
    <row r="1288" spans="11:22">
      <c r="K1288" s="66">
        <v>63.8</v>
      </c>
      <c r="L1288" s="10">
        <f t="shared" si="168"/>
        <v>7.9390569988563933E-2</v>
      </c>
      <c r="M1288" s="10">
        <f t="shared" si="169"/>
        <v>2.6404809415675228E-2</v>
      </c>
      <c r="N1288" s="10">
        <f t="shared" si="170"/>
        <v>0.18468350153564139</v>
      </c>
      <c r="O1288" s="10">
        <f t="shared" si="171"/>
        <v>0.26509348793205789</v>
      </c>
      <c r="P1288" s="10">
        <f t="shared" si="172"/>
        <v>4.4475692544317491E-2</v>
      </c>
      <c r="Q1288" s="66">
        <f t="shared" si="175"/>
        <v>2</v>
      </c>
      <c r="R1288" s="10">
        <f t="shared" si="173"/>
        <v>8.3869085087706215E-5</v>
      </c>
      <c r="V1288" s="10">
        <f t="shared" si="174"/>
        <v>5.7320534402294199E-4</v>
      </c>
    </row>
    <row r="1289" spans="11:22">
      <c r="K1289" s="66">
        <v>63.85</v>
      </c>
      <c r="L1289" s="10">
        <f t="shared" si="168"/>
        <v>7.8659523840993534E-2</v>
      </c>
      <c r="M1289" s="10">
        <f t="shared" si="169"/>
        <v>2.6056506572511174E-2</v>
      </c>
      <c r="N1289" s="10">
        <f t="shared" si="170"/>
        <v>0.18535216981773339</v>
      </c>
      <c r="O1289" s="10">
        <f t="shared" si="171"/>
        <v>0.26605344772731032</v>
      </c>
      <c r="P1289" s="10">
        <f t="shared" si="172"/>
        <v>4.4367325961604795E-2</v>
      </c>
      <c r="Q1289" s="66">
        <f t="shared" si="175"/>
        <v>4</v>
      </c>
      <c r="R1289" s="10">
        <f t="shared" si="173"/>
        <v>1.641941603301899E-4</v>
      </c>
      <c r="V1289" s="10">
        <f t="shared" si="174"/>
        <v>1.1335181454836167E-3</v>
      </c>
    </row>
    <row r="1290" spans="11:22">
      <c r="K1290" s="66">
        <v>63.9</v>
      </c>
      <c r="L1290" s="10">
        <f t="shared" si="168"/>
        <v>7.7932599016928214E-2</v>
      </c>
      <c r="M1290" s="10">
        <f t="shared" si="169"/>
        <v>2.5711561785631713E-2</v>
      </c>
      <c r="N1290" s="10">
        <f t="shared" si="170"/>
        <v>0.18602326040337808</v>
      </c>
      <c r="O1290" s="10">
        <f t="shared" si="171"/>
        <v>0.2670168850525797</v>
      </c>
      <c r="P1290" s="10">
        <f t="shared" si="172"/>
        <v>4.4259223417866582E-2</v>
      </c>
      <c r="Q1290" s="66">
        <f t="shared" si="175"/>
        <v>2</v>
      </c>
      <c r="R1290" s="10">
        <f t="shared" si="173"/>
        <v>8.0355959416015111E-5</v>
      </c>
      <c r="V1290" s="10">
        <f t="shared" si="174"/>
        <v>5.6035549623078054E-4</v>
      </c>
    </row>
    <row r="1291" spans="11:22">
      <c r="K1291" s="66">
        <v>63.95</v>
      </c>
      <c r="L1291" s="10">
        <f t="shared" si="168"/>
        <v>7.7209796530654157E-2</v>
      </c>
      <c r="M1291" s="10">
        <f t="shared" si="169"/>
        <v>2.5369959133617129E-2</v>
      </c>
      <c r="N1291" s="10">
        <f t="shared" si="170"/>
        <v>0.18669678206756046</v>
      </c>
      <c r="O1291" s="10">
        <f t="shared" si="171"/>
        <v>0.2679838125054918</v>
      </c>
      <c r="P1291" s="10">
        <f t="shared" si="172"/>
        <v>4.4151384269762638E-2</v>
      </c>
      <c r="Q1291" s="66">
        <f t="shared" si="175"/>
        <v>4</v>
      </c>
      <c r="R1291" s="10">
        <f t="shared" si="173"/>
        <v>1.5729065127337874E-4</v>
      </c>
      <c r="V1291" s="10">
        <f t="shared" si="174"/>
        <v>1.1079894371848905E-3</v>
      </c>
    </row>
    <row r="1292" spans="11:22">
      <c r="K1292" s="66">
        <v>64</v>
      </c>
      <c r="L1292" s="10">
        <f t="shared" ref="L1292:L1355" si="176">(B$7^K1292)*B$8^((B$5^25)*((B$5^K1292)-1))</f>
        <v>7.6491117202282619E-2</v>
      </c>
      <c r="M1292" s="10">
        <f t="shared" ref="M1292:M1355" si="177">(B$7^K1292)*B$8^((B$5^30)*((B$5^K1292)-1))</f>
        <v>2.5031682587953512E-2</v>
      </c>
      <c r="N1292" s="10">
        <f t="shared" si="170"/>
        <v>0.18737274361705453</v>
      </c>
      <c r="O1292" s="10">
        <f t="shared" si="171"/>
        <v>0.26895424272931029</v>
      </c>
      <c r="P1292" s="10">
        <f t="shared" si="172"/>
        <v>4.4043807875520369E-2</v>
      </c>
      <c r="Q1292" s="66">
        <f t="shared" si="175"/>
        <v>2</v>
      </c>
      <c r="R1292" s="10">
        <f t="shared" si="173"/>
        <v>7.696478408689741E-5</v>
      </c>
      <c r="V1292" s="10">
        <f t="shared" si="174"/>
        <v>5.4767683877695445E-4</v>
      </c>
    </row>
    <row r="1293" spans="11:22">
      <c r="K1293" s="66">
        <v>64.05</v>
      </c>
      <c r="L1293" s="10">
        <f t="shared" si="176"/>
        <v>7.5776561657588323E-2</v>
      </c>
      <c r="M1293" s="10">
        <f t="shared" si="177"/>
        <v>2.4696716014861366E-2</v>
      </c>
      <c r="N1293" s="10">
        <f t="shared" ref="N1293:N1356" si="178">B$3+B$4*(B$5^(25+K1293))</f>
        <v>0.18805115389053639</v>
      </c>
      <c r="O1293" s="10">
        <f t="shared" ref="O1293:O1356" si="179">$B$3+$B$4*($B$5^(30+K1293))</f>
        <v>0.26992818841309718</v>
      </c>
      <c r="P1293" s="10">
        <f t="shared" ref="P1293:P1356" si="180">(1+B$6)^-K1293</f>
        <v>4.3936493594930522E-2</v>
      </c>
      <c r="Q1293" s="66">
        <f t="shared" si="175"/>
        <v>4</v>
      </c>
      <c r="R1293" s="10">
        <f t="shared" ref="R1293:R1356" si="181">L1293*M1293*(N1293+O1293)*P1293*Q1293</f>
        <v>1.5062788503854483E-4</v>
      </c>
      <c r="V1293" s="10">
        <f t="shared" si="174"/>
        <v>1.0828039011783535E-3</v>
      </c>
    </row>
    <row r="1294" spans="11:22">
      <c r="K1294" s="66">
        <v>64.099999999999994</v>
      </c>
      <c r="L1294" s="10">
        <f t="shared" si="176"/>
        <v>7.5066130327864716E-2</v>
      </c>
      <c r="M1294" s="10">
        <f t="shared" si="177"/>
        <v>2.4365043177134189E-2</v>
      </c>
      <c r="N1294" s="10">
        <f t="shared" si="178"/>
        <v>0.18873202175870257</v>
      </c>
      <c r="O1294" s="10">
        <f t="shared" si="179"/>
        <v>0.2709056622918844</v>
      </c>
      <c r="P1294" s="10">
        <f t="shared" si="180"/>
        <v>4.3829440789344289E-2</v>
      </c>
      <c r="Q1294" s="66">
        <f t="shared" si="175"/>
        <v>2</v>
      </c>
      <c r="R1294" s="10">
        <f t="shared" si="181"/>
        <v>7.3692411207824043E-5</v>
      </c>
      <c r="V1294" s="10">
        <f t="shared" ref="V1294:V1357" si="182">(1-L1294)*M1294*O1294*P1294*Q1294</f>
        <v>5.351701426968274E-4</v>
      </c>
    </row>
    <row r="1295" spans="11:22">
      <c r="K1295" s="66">
        <v>64.150000000000006</v>
      </c>
      <c r="L1295" s="10">
        <f t="shared" si="176"/>
        <v>7.4359823449803034E-2</v>
      </c>
      <c r="M1295" s="10">
        <f t="shared" si="177"/>
        <v>2.4036647735990273E-2</v>
      </c>
      <c r="N1295" s="10">
        <f t="shared" si="178"/>
        <v>0.18941535612438334</v>
      </c>
      <c r="O1295" s="10">
        <f t="shared" si="179"/>
        <v>0.27188667714683679</v>
      </c>
      <c r="P1295" s="10">
        <f t="shared" si="180"/>
        <v>4.3722648821668493E-2</v>
      </c>
      <c r="Q1295" s="66">
        <f t="shared" ref="Q1295:Q1358" si="183">IF(Q1294=4,2,4)</f>
        <v>4</v>
      </c>
      <c r="R1295" s="10">
        <f t="shared" si="181"/>
        <v>1.4419960595138645E-4</v>
      </c>
      <c r="V1295" s="10">
        <f t="shared" si="182"/>
        <v>1.0579629972791288E-3</v>
      </c>
    </row>
    <row r="1296" spans="11:22">
      <c r="K1296" s="66">
        <v>64.2</v>
      </c>
      <c r="L1296" s="10">
        <f t="shared" si="176"/>
        <v>7.3657641065392146E-2</v>
      </c>
      <c r="M1296" s="10">
        <f t="shared" si="177"/>
        <v>2.3711513252935183E-2</v>
      </c>
      <c r="N1296" s="10">
        <f t="shared" si="178"/>
        <v>0.19010116592265983</v>
      </c>
      <c r="O1296" s="10">
        <f t="shared" si="179"/>
        <v>0.27287124580541877</v>
      </c>
      <c r="P1296" s="10">
        <f t="shared" si="180"/>
        <v>4.3616117056362536E-2</v>
      </c>
      <c r="Q1296" s="66">
        <f t="shared" si="183"/>
        <v>2</v>
      </c>
      <c r="R1296" s="10">
        <f t="shared" si="181"/>
        <v>7.0535733222136789E-5</v>
      </c>
      <c r="V1296" s="10">
        <f t="shared" si="182"/>
        <v>5.2283609683907359E-4</v>
      </c>
    </row>
    <row r="1297" spans="11:22">
      <c r="K1297" s="66">
        <v>64.25</v>
      </c>
      <c r="L1297" s="10">
        <f t="shared" si="176"/>
        <v>7.2959583021836125E-2</v>
      </c>
      <c r="M1297" s="10">
        <f t="shared" si="177"/>
        <v>2.3389623191633954E-2</v>
      </c>
      <c r="N1297" s="10">
        <f t="shared" si="178"/>
        <v>0.19078946012098219</v>
      </c>
      <c r="O1297" s="10">
        <f t="shared" si="179"/>
        <v>0.27385938114156433</v>
      </c>
      <c r="P1297" s="10">
        <f t="shared" si="180"/>
        <v>4.3509844859434176E-2</v>
      </c>
      <c r="Q1297" s="66">
        <f t="shared" si="183"/>
        <v>4</v>
      </c>
      <c r="R1297" s="10">
        <f t="shared" si="181"/>
        <v>1.3799963989746076E-4</v>
      </c>
      <c r="V1297" s="10">
        <f t="shared" si="182"/>
        <v>1.0334680212201737E-3</v>
      </c>
    </row>
    <row r="1298" spans="11:22">
      <c r="K1298" s="66">
        <v>64.3</v>
      </c>
      <c r="L1298" s="10">
        <f t="shared" si="176"/>
        <v>7.2265648971495025E-2</v>
      </c>
      <c r="M1298" s="10">
        <f t="shared" si="177"/>
        <v>2.3070960919794645E-2</v>
      </c>
      <c r="N1298" s="10">
        <f t="shared" si="178"/>
        <v>0.19148024771928523</v>
      </c>
      <c r="O1298" s="10">
        <f t="shared" si="179"/>
        <v>0.27485109607584379</v>
      </c>
      <c r="P1298" s="10">
        <f t="shared" si="180"/>
        <v>4.3403831598435978E-2</v>
      </c>
      <c r="Q1298" s="66">
        <f t="shared" si="183"/>
        <v>2</v>
      </c>
      <c r="R1298" s="10">
        <f t="shared" si="181"/>
        <v>6.7491683784801264E-5</v>
      </c>
      <c r="V1298" s="10">
        <f t="shared" si="182"/>
        <v>5.106753081723811E-4</v>
      </c>
    </row>
    <row r="1299" spans="11:22">
      <c r="K1299" s="66">
        <v>64.349999999999994</v>
      </c>
      <c r="L1299" s="10">
        <f t="shared" si="176"/>
        <v>7.1575838371846764E-2</v>
      </c>
      <c r="M1299" s="10">
        <f t="shared" si="177"/>
        <v>2.2755509711062133E-2</v>
      </c>
      <c r="N1299" s="10">
        <f t="shared" si="178"/>
        <v>0.19217353775010682</v>
      </c>
      <c r="O1299" s="10">
        <f t="shared" si="179"/>
        <v>0.27584640357563406</v>
      </c>
      <c r="P1299" s="10">
        <f t="shared" si="180"/>
        <v>4.3298076642461485E-2</v>
      </c>
      <c r="Q1299" s="66">
        <f t="shared" si="183"/>
        <v>4</v>
      </c>
      <c r="R1299" s="10">
        <f t="shared" si="181"/>
        <v>1.3202189602417124E-4</v>
      </c>
      <c r="V1299" s="10">
        <f t="shared" si="182"/>
        <v>1.0093201053274802E-3</v>
      </c>
    </row>
    <row r="1300" spans="11:22">
      <c r="K1300" s="66">
        <v>64.400000000000006</v>
      </c>
      <c r="L1300" s="10">
        <f t="shared" si="176"/>
        <v>7.0890150485468831E-2</v>
      </c>
      <c r="M1300" s="10">
        <f t="shared" si="177"/>
        <v>2.2443252746921039E-2</v>
      </c>
      <c r="N1300" s="10">
        <f t="shared" si="178"/>
        <v>0.19286933927870634</v>
      </c>
      <c r="O1300" s="10">
        <f t="shared" si="179"/>
        <v>0.27684531665528678</v>
      </c>
      <c r="P1300" s="10">
        <f t="shared" si="180"/>
        <v>4.3192579362141402E-2</v>
      </c>
      <c r="Q1300" s="66">
        <f t="shared" si="183"/>
        <v>2</v>
      </c>
      <c r="R1300" s="10">
        <f t="shared" si="181"/>
        <v>6.455723858860597E-5</v>
      </c>
      <c r="V1300" s="10">
        <f t="shared" si="182"/>
        <v>4.9868830215384866E-4</v>
      </c>
    </row>
    <row r="1301" spans="11:22">
      <c r="K1301" s="66">
        <v>64.45</v>
      </c>
      <c r="L1301" s="10">
        <f t="shared" si="176"/>
        <v>7.0208584380042627E-2</v>
      </c>
      <c r="M1301" s="10">
        <f t="shared" si="177"/>
        <v>2.2134173118608953E-2</v>
      </c>
      <c r="N1301" s="10">
        <f t="shared" si="178"/>
        <v>0.19356766140318207</v>
      </c>
      <c r="O1301" s="10">
        <f t="shared" si="179"/>
        <v>0.2778478483762985</v>
      </c>
      <c r="P1301" s="10">
        <f t="shared" si="180"/>
        <v>4.3087339129640079E-2</v>
      </c>
      <c r="Q1301" s="66">
        <f t="shared" si="183"/>
        <v>4</v>
      </c>
      <c r="R1301" s="10">
        <f t="shared" si="181"/>
        <v>1.2626036834355154E-4</v>
      </c>
      <c r="V1301" s="10">
        <f t="shared" si="182"/>
        <v>9.8552021931831864E-4</v>
      </c>
    </row>
    <row r="1302" spans="11:22">
      <c r="K1302" s="66">
        <v>64.5</v>
      </c>
      <c r="L1302" s="10">
        <f t="shared" si="176"/>
        <v>6.9531138928376535E-2</v>
      </c>
      <c r="M1302" s="10">
        <f t="shared" si="177"/>
        <v>2.1828253829037518E-2</v>
      </c>
      <c r="N1302" s="10">
        <f t="shared" si="178"/>
        <v>0.1942685132545911</v>
      </c>
      <c r="O1302" s="10">
        <f t="shared" si="179"/>
        <v>0.27885401184748343</v>
      </c>
      <c r="P1302" s="10">
        <f t="shared" si="180"/>
        <v>4.2982355318651418E-2</v>
      </c>
      <c r="Q1302" s="66">
        <f t="shared" si="183"/>
        <v>2</v>
      </c>
      <c r="R1302" s="10">
        <f t="shared" si="181"/>
        <v>6.1729416140720927E-5</v>
      </c>
      <c r="V1302" s="10">
        <f t="shared" si="182"/>
        <v>4.8687552315867236E-4</v>
      </c>
    </row>
    <row r="1303" spans="11:22">
      <c r="K1303" s="66">
        <v>64.55</v>
      </c>
      <c r="L1303" s="10">
        <f t="shared" si="176"/>
        <v>6.8857812808453933E-2</v>
      </c>
      <c r="M1303" s="10">
        <f t="shared" si="177"/>
        <v>2.1525477794723906E-2</v>
      </c>
      <c r="N1303" s="10">
        <f t="shared" si="178"/>
        <v>0.19497190399706904</v>
      </c>
      <c r="O1303" s="10">
        <f t="shared" si="179"/>
        <v>0.27986382022514256</v>
      </c>
      <c r="P1303" s="10">
        <f t="shared" si="180"/>
        <v>4.2877627304395455E-2</v>
      </c>
      <c r="Q1303" s="66">
        <f t="shared" si="183"/>
        <v>4</v>
      </c>
      <c r="R1303" s="10">
        <f t="shared" si="181"/>
        <v>1.2070913723566563E-4</v>
      </c>
      <c r="V1303" s="10">
        <f t="shared" si="182"/>
        <v>9.6206917122137266E-4</v>
      </c>
    </row>
    <row r="1304" spans="11:22">
      <c r="K1304" s="66">
        <v>64.599999999999994</v>
      </c>
      <c r="L1304" s="10">
        <f t="shared" si="176"/>
        <v>6.8188604503499589E-2</v>
      </c>
      <c r="M1304" s="10">
        <f t="shared" si="177"/>
        <v>2.1225827847729611E-2</v>
      </c>
      <c r="N1304" s="10">
        <f t="shared" si="178"/>
        <v>0.19567784282794873</v>
      </c>
      <c r="O1304" s="10">
        <f t="shared" si="179"/>
        <v>0.2808772867132367</v>
      </c>
      <c r="P1304" s="10">
        <f t="shared" si="180"/>
        <v>4.2773154463614502E-2</v>
      </c>
      <c r="Q1304" s="66">
        <f t="shared" si="183"/>
        <v>2</v>
      </c>
      <c r="R1304" s="10">
        <f t="shared" si="181"/>
        <v>5.9005278489538622E-5</v>
      </c>
      <c r="V1304" s="10">
        <f t="shared" si="182"/>
        <v>4.7523733497045945E-4</v>
      </c>
    </row>
    <row r="1305" spans="11:22">
      <c r="K1305" s="66">
        <v>64.650000000000006</v>
      </c>
      <c r="L1305" s="10">
        <f t="shared" si="176"/>
        <v>6.7523512302068503E-2</v>
      </c>
      <c r="M1305" s="10">
        <f t="shared" si="177"/>
        <v>2.0929286737607512E-2</v>
      </c>
      <c r="N1305" s="10">
        <f t="shared" si="178"/>
        <v>0.19638633897788135</v>
      </c>
      <c r="O1305" s="10">
        <f t="shared" si="179"/>
        <v>0.28189442456355984</v>
      </c>
      <c r="P1305" s="10">
        <f t="shared" si="180"/>
        <v>4.2668936174569391E-2</v>
      </c>
      <c r="Q1305" s="66">
        <f t="shared" si="183"/>
        <v>4</v>
      </c>
      <c r="R1305" s="10">
        <f t="shared" si="181"/>
        <v>1.1536237085259604E-4</v>
      </c>
      <c r="V1305" s="10">
        <f t="shared" si="182"/>
        <v>9.389676084176011E-4</v>
      </c>
    </row>
    <row r="1306" spans="11:22">
      <c r="K1306" s="66">
        <v>64.7</v>
      </c>
      <c r="L1306" s="10">
        <f t="shared" si="176"/>
        <v>6.6862534298157875E-2</v>
      </c>
      <c r="M1306" s="10">
        <f t="shared" si="177"/>
        <v>2.0635837133357531E-2</v>
      </c>
      <c r="N1306" s="10">
        <f t="shared" si="178"/>
        <v>0.19709740171095624</v>
      </c>
      <c r="O1306" s="10">
        <f t="shared" si="179"/>
        <v>0.28291524707591031</v>
      </c>
      <c r="P1306" s="10">
        <f t="shared" si="180"/>
        <v>4.256497181703596E-2</v>
      </c>
      <c r="Q1306" s="66">
        <f t="shared" si="183"/>
        <v>2</v>
      </c>
      <c r="R1306" s="10">
        <f t="shared" si="181"/>
        <v>5.6381931901828567E-5</v>
      </c>
      <c r="V1306" s="10">
        <f t="shared" si="182"/>
        <v>4.6377402133159553E-4</v>
      </c>
    </row>
    <row r="1307" spans="11:22">
      <c r="K1307" s="66">
        <v>64.75</v>
      </c>
      <c r="L1307" s="10">
        <f t="shared" si="176"/>
        <v>6.6205668391337985E-2</v>
      </c>
      <c r="M1307" s="10">
        <f t="shared" si="177"/>
        <v>2.0345461625388559E-2</v>
      </c>
      <c r="N1307" s="10">
        <f t="shared" si="178"/>
        <v>0.19781104032482361</v>
      </c>
      <c r="O1307" s="10">
        <f t="shared" si="179"/>
        <v>0.28393976759826695</v>
      </c>
      <c r="P1307" s="10">
        <f t="shared" si="180"/>
        <v>4.2461260772301175E-2</v>
      </c>
      <c r="Q1307" s="66">
        <f t="shared" si="183"/>
        <v>4</v>
      </c>
      <c r="R1307" s="10">
        <f t="shared" si="181"/>
        <v>1.1021432642310556E-4</v>
      </c>
      <c r="V1307" s="10">
        <f t="shared" si="182"/>
        <v>9.1621601880045693E-4</v>
      </c>
    </row>
    <row r="1308" spans="11:22">
      <c r="K1308" s="66">
        <v>64.8</v>
      </c>
      <c r="L1308" s="10">
        <f t="shared" si="176"/>
        <v>6.5552912286906295E-2</v>
      </c>
      <c r="M1308" s="10">
        <f t="shared" si="177"/>
        <v>2.0058142727488088E-2</v>
      </c>
      <c r="N1308" s="10">
        <f t="shared" si="178"/>
        <v>0.19852726415081451</v>
      </c>
      <c r="O1308" s="10">
        <f t="shared" si="179"/>
        <v>0.28496799952696222</v>
      </c>
      <c r="P1308" s="10">
        <f t="shared" si="180"/>
        <v>4.2357802423159535E-2</v>
      </c>
      <c r="Q1308" s="66">
        <f t="shared" si="183"/>
        <v>2</v>
      </c>
      <c r="R1308" s="10">
        <f t="shared" si="181"/>
        <v>5.3856527490275764E-5</v>
      </c>
      <c r="V1308" s="10">
        <f t="shared" si="182"/>
        <v>4.524857865529188E-4</v>
      </c>
    </row>
    <row r="1309" spans="11:22">
      <c r="K1309" s="66">
        <v>64.849999999999994</v>
      </c>
      <c r="L1309" s="10">
        <f t="shared" si="176"/>
        <v>6.4904263496064138E-2</v>
      </c>
      <c r="M1309" s="10">
        <f t="shared" si="177"/>
        <v>1.9773862878798808E-2</v>
      </c>
      <c r="N1309" s="10">
        <f t="shared" si="178"/>
        <v>0.1992460825540634</v>
      </c>
      <c r="O1309" s="10">
        <f t="shared" si="179"/>
        <v>0.28599995630685865</v>
      </c>
      <c r="P1309" s="10">
        <f t="shared" si="180"/>
        <v>4.2254596153909342E-2</v>
      </c>
      <c r="Q1309" s="66">
        <f t="shared" si="183"/>
        <v>4</v>
      </c>
      <c r="R1309" s="10">
        <f t="shared" si="181"/>
        <v>1.0525935145818939E-4</v>
      </c>
      <c r="V1309" s="10">
        <f t="shared" si="182"/>
        <v>8.9381473205393911E-4</v>
      </c>
    </row>
    <row r="1310" spans="11:22">
      <c r="K1310" s="66">
        <v>64.900000000000006</v>
      </c>
      <c r="L1310" s="10">
        <f t="shared" si="176"/>
        <v>6.4259719336113449E-2</v>
      </c>
      <c r="M1310" s="10">
        <f t="shared" si="177"/>
        <v>1.9492604445800987E-2</v>
      </c>
      <c r="N1310" s="10">
        <f t="shared" si="178"/>
        <v>0.19996750493363144</v>
      </c>
      <c r="O1310" s="10">
        <f t="shared" si="179"/>
        <v>0.28703565143152321</v>
      </c>
      <c r="P1310" s="10">
        <f t="shared" si="180"/>
        <v>4.2151641350349121E-2</v>
      </c>
      <c r="Q1310" s="66">
        <f t="shared" si="183"/>
        <v>2</v>
      </c>
      <c r="R1310" s="10">
        <f t="shared" si="181"/>
        <v>5.142626179153673E-5</v>
      </c>
      <c r="V1310" s="10">
        <f t="shared" si="182"/>
        <v>4.4137275618189237E-4</v>
      </c>
    </row>
    <row r="1311" spans="11:22">
      <c r="K1311" s="66">
        <v>64.95</v>
      </c>
      <c r="L1311" s="10">
        <f t="shared" si="176"/>
        <v>6.3619276930677329E-2</v>
      </c>
      <c r="M1311" s="10">
        <f t="shared" si="177"/>
        <v>1.9214349724301607E-2</v>
      </c>
      <c r="N1311" s="10">
        <f t="shared" si="178"/>
        <v>0.20069154072262749</v>
      </c>
      <c r="O1311" s="10">
        <f t="shared" si="179"/>
        <v>0.28807509844340368</v>
      </c>
      <c r="P1311" s="10">
        <f t="shared" si="180"/>
        <v>4.2048937399773938E-2</v>
      </c>
      <c r="Q1311" s="66">
        <f t="shared" si="183"/>
        <v>4</v>
      </c>
      <c r="R1311" s="10">
        <f t="shared" si="181"/>
        <v>1.0049188485786872E-4</v>
      </c>
      <c r="V1311" s="10">
        <f t="shared" si="182"/>
        <v>8.7176392104687409E-4</v>
      </c>
    </row>
    <row r="1312" spans="11:22">
      <c r="K1312" s="66">
        <v>65</v>
      </c>
      <c r="L1312" s="10">
        <f t="shared" si="176"/>
        <v>6.2982933209939806E-2</v>
      </c>
      <c r="M1312" s="10">
        <f t="shared" si="177"/>
        <v>1.8939080941427995E-2</v>
      </c>
      <c r="N1312" s="10">
        <f t="shared" si="178"/>
        <v>0.20141819938833358</v>
      </c>
      <c r="O1312" s="10">
        <f t="shared" si="179"/>
        <v>0.28911831093400858</v>
      </c>
      <c r="P1312" s="10">
        <f t="shared" si="180"/>
        <v>4.1946483690971779E-2</v>
      </c>
      <c r="Q1312" s="66">
        <f t="shared" si="183"/>
        <v>2</v>
      </c>
      <c r="R1312" s="10">
        <f t="shared" si="181"/>
        <v>4.9088377295032858E-5</v>
      </c>
      <c r="V1312" s="10">
        <f t="shared" si="182"/>
        <v>4.3043497772847906E-4</v>
      </c>
    </row>
    <row r="1313" spans="11:22">
      <c r="K1313" s="66">
        <v>65.05</v>
      </c>
      <c r="L1313" s="10">
        <f t="shared" si="176"/>
        <v>6.2350684910911919E-2</v>
      </c>
      <c r="M1313" s="10">
        <f t="shared" si="177"/>
        <v>1.866678025762853E-2</v>
      </c>
      <c r="N1313" s="10">
        <f t="shared" si="178"/>
        <v>0.20214749043232663</v>
      </c>
      <c r="O1313" s="10">
        <f t="shared" si="179"/>
        <v>0.29016530254407946</v>
      </c>
      <c r="P1313" s="10">
        <f t="shared" si="180"/>
        <v>4.1844279614219562E-2</v>
      </c>
      <c r="Q1313" s="66">
        <f t="shared" si="183"/>
        <v>4</v>
      </c>
      <c r="R1313" s="10">
        <f t="shared" si="181"/>
        <v>9.5906457919685934E-5</v>
      </c>
      <c r="V1313" s="10">
        <f t="shared" si="182"/>
        <v>8.5006360334160223E-4</v>
      </c>
    </row>
    <row r="1314" spans="11:22">
      <c r="K1314" s="66">
        <v>65.099999999999994</v>
      </c>
      <c r="L1314" s="10">
        <f t="shared" si="176"/>
        <v>6.1722528577714778E-2</v>
      </c>
      <c r="M1314" s="10">
        <f t="shared" si="177"/>
        <v>1.8397429768676313E-2</v>
      </c>
      <c r="N1314" s="10">
        <f t="shared" si="178"/>
        <v>0.20287942339060527</v>
      </c>
      <c r="O1314" s="10">
        <f t="shared" si="179"/>
        <v>0.29121608696377577</v>
      </c>
      <c r="P1314" s="10">
        <f t="shared" si="180"/>
        <v>4.174232456128027E-2</v>
      </c>
      <c r="Q1314" s="66">
        <f t="shared" si="183"/>
        <v>2</v>
      </c>
      <c r="R1314" s="10">
        <f t="shared" si="181"/>
        <v>4.6840162922729804E-5</v>
      </c>
      <c r="V1314" s="10">
        <f t="shared" si="182"/>
        <v>4.1967242144772264E-4</v>
      </c>
    </row>
    <row r="1315" spans="11:22">
      <c r="K1315" s="66">
        <v>65.150000000000006</v>
      </c>
      <c r="L1315" s="10">
        <f t="shared" si="176"/>
        <v>6.1098460561888411E-2</v>
      </c>
      <c r="M1315" s="10">
        <f t="shared" si="177"/>
        <v>1.8131011507678863E-2</v>
      </c>
      <c r="N1315" s="10">
        <f t="shared" si="178"/>
        <v>0.20361400783371209</v>
      </c>
      <c r="O1315" s="10">
        <f t="shared" si="179"/>
        <v>0.29227067793284955</v>
      </c>
      <c r="P1315" s="10">
        <f t="shared" si="180"/>
        <v>4.1640617925398575E-2</v>
      </c>
      <c r="Q1315" s="66">
        <f t="shared" si="183"/>
        <v>4</v>
      </c>
      <c r="R1315" s="10">
        <f t="shared" si="181"/>
        <v>9.1497695249500191E-5</v>
      </c>
      <c r="V1315" s="10">
        <f t="shared" si="182"/>
        <v>8.2871364281517004E-4</v>
      </c>
    </row>
    <row r="1316" spans="11:22">
      <c r="K1316" s="66">
        <v>65.2</v>
      </c>
      <c r="L1316" s="10">
        <f t="shared" si="176"/>
        <v>6.0478477022722625E-2</v>
      </c>
      <c r="M1316" s="10">
        <f t="shared" si="177"/>
        <v>1.7867507447091893E-2</v>
      </c>
      <c r="N1316" s="10">
        <f t="shared" si="178"/>
        <v>0.2043512533668593</v>
      </c>
      <c r="O1316" s="10">
        <f t="shared" si="179"/>
        <v>0.29332908924082518</v>
      </c>
      <c r="P1316" s="10">
        <f t="shared" si="180"/>
        <v>4.153915910129765E-2</v>
      </c>
      <c r="Q1316" s="66">
        <f t="shared" si="183"/>
        <v>2</v>
      </c>
      <c r="R1316" s="10">
        <f t="shared" si="181"/>
        <v>4.4678954460239646E-5</v>
      </c>
      <c r="V1316" s="10">
        <f t="shared" si="182"/>
        <v>4.0908498117809715E-4</v>
      </c>
    </row>
    <row r="1317" spans="11:22">
      <c r="K1317" s="66">
        <v>65.25</v>
      </c>
      <c r="L1317" s="10">
        <f t="shared" si="176"/>
        <v>5.9862573927607535E-2</v>
      </c>
      <c r="M1317" s="10">
        <f t="shared" si="177"/>
        <v>1.7606899500736056E-2</v>
      </c>
      <c r="N1317" s="10">
        <f t="shared" si="178"/>
        <v>0.20509116963005586</v>
      </c>
      <c r="O1317" s="10">
        <f t="shared" si="179"/>
        <v>0.29439133472718165</v>
      </c>
      <c r="P1317" s="10">
        <f t="shared" si="180"/>
        <v>4.1437947485175396E-2</v>
      </c>
      <c r="Q1317" s="66">
        <f t="shared" si="183"/>
        <v>4</v>
      </c>
      <c r="R1317" s="10">
        <f t="shared" si="181"/>
        <v>8.7260315575296975E-5</v>
      </c>
      <c r="V1317" s="10">
        <f t="shared" si="182"/>
        <v>8.0771375139099299E-4</v>
      </c>
    </row>
    <row r="1318" spans="11:22">
      <c r="K1318" s="66">
        <v>65.3</v>
      </c>
      <c r="L1318" s="10">
        <f t="shared" si="176"/>
        <v>5.9250747052408091E-2</v>
      </c>
      <c r="M1318" s="10">
        <f t="shared" si="177"/>
        <v>1.7349169525817873E-2</v>
      </c>
      <c r="N1318" s="10">
        <f t="shared" si="178"/>
        <v>0.20583376629823164</v>
      </c>
      <c r="O1318" s="10">
        <f t="shared" si="179"/>
        <v>0.2954574282815321</v>
      </c>
      <c r="P1318" s="10">
        <f t="shared" si="180"/>
        <v>4.133698247470094E-2</v>
      </c>
      <c r="Q1318" s="66">
        <f t="shared" si="183"/>
        <v>2</v>
      </c>
      <c r="R1318" s="10">
        <f t="shared" si="181"/>
        <v>4.2602134939634881E-5</v>
      </c>
      <c r="V1318" s="10">
        <f t="shared" si="182"/>
        <v>3.9867247523455064E-4</v>
      </c>
    </row>
    <row r="1319" spans="11:22">
      <c r="K1319" s="66">
        <v>65.349999999999994</v>
      </c>
      <c r="L1319" s="10">
        <f t="shared" si="176"/>
        <v>5.8642991981861486E-2</v>
      </c>
      <c r="M1319" s="10">
        <f t="shared" si="177"/>
        <v>1.7094299324953925E-2</v>
      </c>
      <c r="N1319" s="10">
        <f t="shared" si="178"/>
        <v>0.20657905308136484</v>
      </c>
      <c r="O1319" s="10">
        <f t="shared" si="179"/>
        <v>0.29652738384380661</v>
      </c>
      <c r="P1319" s="10">
        <f t="shared" si="180"/>
        <v>4.1236263469010936E-2</v>
      </c>
      <c r="Q1319" s="66">
        <f t="shared" si="183"/>
        <v>4</v>
      </c>
      <c r="R1319" s="10">
        <f t="shared" si="181"/>
        <v>8.3189132464840765E-5</v>
      </c>
      <c r="V1319" s="10">
        <f t="shared" si="182"/>
        <v>7.8706349087876327E-4</v>
      </c>
    </row>
    <row r="1320" spans="11:22">
      <c r="K1320" s="66">
        <v>65.400000000000006</v>
      </c>
      <c r="L1320" s="10">
        <f t="shared" si="176"/>
        <v>5.8039304109995096E-2</v>
      </c>
      <c r="M1320" s="10">
        <f t="shared" si="177"/>
        <v>1.6842270648197249E-2</v>
      </c>
      <c r="N1320" s="10">
        <f t="shared" si="178"/>
        <v>0.20732703972460934</v>
      </c>
      <c r="O1320" s="10">
        <f t="shared" si="179"/>
        <v>0.29760121540443329</v>
      </c>
      <c r="P1320" s="10">
        <f t="shared" si="180"/>
        <v>4.1135789868706106E-2</v>
      </c>
      <c r="Q1320" s="66">
        <f t="shared" si="183"/>
        <v>2</v>
      </c>
      <c r="R1320" s="10">
        <f t="shared" si="181"/>
        <v>4.0607134974406793E-5</v>
      </c>
      <c r="V1320" s="10">
        <f t="shared" si="182"/>
        <v>3.8843464735508745E-4</v>
      </c>
    </row>
    <row r="1321" spans="11:22">
      <c r="K1321" s="66">
        <v>65.45</v>
      </c>
      <c r="L1321" s="10">
        <f t="shared" si="176"/>
        <v>5.7439678640568516E-2</v>
      </c>
      <c r="M1321" s="10">
        <f t="shared" si="177"/>
        <v>1.6593065195066717E-2</v>
      </c>
      <c r="N1321" s="10">
        <f t="shared" si="178"/>
        <v>0.20807773600842069</v>
      </c>
      <c r="O1321" s="10">
        <f t="shared" si="179"/>
        <v>0.29867893700452086</v>
      </c>
      <c r="P1321" s="10">
        <f t="shared" si="180"/>
        <v>4.1035561075847687E-2</v>
      </c>
      <c r="Q1321" s="66">
        <f t="shared" si="183"/>
        <v>4</v>
      </c>
      <c r="R1321" s="10">
        <f t="shared" si="181"/>
        <v>7.927905494812889E-5</v>
      </c>
      <c r="V1321" s="10">
        <f t="shared" si="182"/>
        <v>7.6676227492035183E-4</v>
      </c>
    </row>
    <row r="1322" spans="11:22">
      <c r="K1322" s="66">
        <v>65.5</v>
      </c>
      <c r="L1322" s="10">
        <f t="shared" si="176"/>
        <v>5.6844110587535523E-2</v>
      </c>
      <c r="M1322" s="10">
        <f t="shared" si="177"/>
        <v>1.6346664616577477E-2</v>
      </c>
      <c r="N1322" s="10">
        <f t="shared" si="178"/>
        <v>0.20883115174868541</v>
      </c>
      <c r="O1322" s="10">
        <f t="shared" si="179"/>
        <v>0.29976056273604468</v>
      </c>
      <c r="P1322" s="10">
        <f t="shared" si="180"/>
        <v>4.0935576493953726E-2</v>
      </c>
      <c r="Q1322" s="66">
        <f t="shared" si="183"/>
        <v>2</v>
      </c>
      <c r="R1322" s="10">
        <f t="shared" si="181"/>
        <v>3.8691433047090428E-5</v>
      </c>
      <c r="V1322" s="10">
        <f t="shared" si="182"/>
        <v>3.7837116769976771E-4</v>
      </c>
    </row>
    <row r="1323" spans="11:22">
      <c r="K1323" s="66">
        <v>65.55</v>
      </c>
      <c r="L1323" s="10">
        <f t="shared" si="176"/>
        <v>5.625259477553117E-2</v>
      </c>
      <c r="M1323" s="10">
        <f t="shared" si="177"/>
        <v>1.6103050517274231E-2</v>
      </c>
      <c r="N1323" s="10">
        <f t="shared" si="178"/>
        <v>0.20958729679684923</v>
      </c>
      <c r="O1323" s="10">
        <f t="shared" si="179"/>
        <v>0.30084610674202827</v>
      </c>
      <c r="P1323" s="10">
        <f t="shared" si="180"/>
        <v>4.0835835527995683E-2</v>
      </c>
      <c r="Q1323" s="66">
        <f t="shared" si="183"/>
        <v>4</v>
      </c>
      <c r="R1323" s="10">
        <f t="shared" si="181"/>
        <v>7.5525088045699928E-5</v>
      </c>
      <c r="V1323" s="10">
        <f t="shared" si="182"/>
        <v>7.4680937103920508E-4</v>
      </c>
    </row>
    <row r="1324" spans="11:22">
      <c r="K1324" s="66">
        <v>65.599999999999994</v>
      </c>
      <c r="L1324" s="10">
        <f t="shared" si="176"/>
        <v>5.5665125840379415E-2</v>
      </c>
      <c r="M1324" s="10">
        <f t="shared" si="177"/>
        <v>1.5862204457264922E-2</v>
      </c>
      <c r="N1324" s="10">
        <f t="shared" si="178"/>
        <v>0.21034618104004488</v>
      </c>
      <c r="O1324" s="10">
        <f t="shared" si="179"/>
        <v>0.30193558321672942</v>
      </c>
      <c r="P1324" s="10">
        <f t="shared" si="180"/>
        <v>4.0736337584394759E-2</v>
      </c>
      <c r="Q1324" s="66">
        <f t="shared" si="183"/>
        <v>2</v>
      </c>
      <c r="R1324" s="10">
        <f t="shared" si="181"/>
        <v>3.6852555750097918E-5</v>
      </c>
      <c r="V1324" s="10">
        <f t="shared" si="182"/>
        <v>3.6848163390079604E-4</v>
      </c>
    </row>
    <row r="1325" spans="11:22">
      <c r="K1325" s="66">
        <v>65.650000000000006</v>
      </c>
      <c r="L1325" s="10">
        <f t="shared" si="176"/>
        <v>5.5081698229622778E-2</v>
      </c>
      <c r="M1325" s="10">
        <f t="shared" si="177"/>
        <v>1.5624107954255322E-2</v>
      </c>
      <c r="N1325" s="10">
        <f t="shared" si="178"/>
        <v>0.21110781440122225</v>
      </c>
      <c r="O1325" s="10">
        <f t="shared" si="179"/>
        <v>0.30302900640582681</v>
      </c>
      <c r="P1325" s="10">
        <f t="shared" si="180"/>
        <v>4.063708207101846E-2</v>
      </c>
      <c r="Q1325" s="66">
        <f t="shared" si="183"/>
        <v>4</v>
      </c>
      <c r="R1325" s="10">
        <f t="shared" si="181"/>
        <v>7.1922333203979308E-5</v>
      </c>
      <c r="V1325" s="10">
        <f t="shared" si="182"/>
        <v>7.2720390279071376E-4</v>
      </c>
    </row>
    <row r="1326" spans="11:22">
      <c r="K1326" s="66">
        <v>65.7</v>
      </c>
      <c r="L1326" s="10">
        <f t="shared" si="176"/>
        <v>5.4502306203076611E-2</v>
      </c>
      <c r="M1326" s="10">
        <f t="shared" si="177"/>
        <v>1.538874248558484E-2</v>
      </c>
      <c r="N1326" s="10">
        <f t="shared" si="178"/>
        <v>0.21187220683927796</v>
      </c>
      <c r="O1326" s="10">
        <f t="shared" si="179"/>
        <v>0.30412639060660357</v>
      </c>
      <c r="P1326" s="10">
        <f t="shared" si="180"/>
        <v>4.05380683971771E-2</v>
      </c>
      <c r="Q1326" s="66">
        <f t="shared" si="183"/>
        <v>2</v>
      </c>
      <c r="R1326" s="10">
        <f t="shared" si="181"/>
        <v>3.5088077980388931E-5</v>
      </c>
      <c r="V1326" s="10">
        <f t="shared" si="182"/>
        <v>3.5876557216246046E-4</v>
      </c>
    </row>
    <row r="1327" spans="11:22">
      <c r="K1327" s="66">
        <v>65.75</v>
      </c>
      <c r="L1327" s="10">
        <f t="shared" si="176"/>
        <v>5.3926943833402741E-2</v>
      </c>
      <c r="M1327" s="10">
        <f t="shared" si="177"/>
        <v>1.5156089490261484E-2</v>
      </c>
      <c r="N1327" s="10">
        <f t="shared" si="178"/>
        <v>0.2126393683491854</v>
      </c>
      <c r="O1327" s="10">
        <f t="shared" si="179"/>
        <v>0.30522775016813697</v>
      </c>
      <c r="P1327" s="10">
        <f t="shared" si="180"/>
        <v>4.0439295973620157E-2</v>
      </c>
      <c r="Q1327" s="66">
        <f t="shared" si="183"/>
        <v>4</v>
      </c>
      <c r="R1327" s="10">
        <f t="shared" si="181"/>
        <v>6.8465988638944218E-5</v>
      </c>
      <c r="V1327" s="10">
        <f t="shared" si="182"/>
        <v>7.0794485201088303E-4</v>
      </c>
    </row>
    <row r="1328" spans="11:22">
      <c r="K1328" s="66">
        <v>65.8</v>
      </c>
      <c r="L1328" s="10">
        <f t="shared" si="176"/>
        <v>5.3355605006707038E-2</v>
      </c>
      <c r="M1328" s="10">
        <f t="shared" si="177"/>
        <v>1.4926130370997036E-2</v>
      </c>
      <c r="N1328" s="10">
        <f t="shared" si="178"/>
        <v>0.2134093089621254</v>
      </c>
      <c r="O1328" s="10">
        <f t="shared" si="179"/>
        <v>0.30633309949148441</v>
      </c>
      <c r="P1328" s="10">
        <f t="shared" si="180"/>
        <v>4.0340764212532881E-2</v>
      </c>
      <c r="Q1328" s="66">
        <f t="shared" si="183"/>
        <v>2</v>
      </c>
      <c r="R1328" s="10">
        <f t="shared" si="181"/>
        <v>3.3395623088640499E-5</v>
      </c>
      <c r="V1328" s="10">
        <f t="shared" si="182"/>
        <v>3.4922243840951827E-4</v>
      </c>
    </row>
    <row r="1329" spans="11:22">
      <c r="K1329" s="66">
        <v>65.849999999999994</v>
      </c>
      <c r="L1329" s="10">
        <f t="shared" si="176"/>
        <v>5.2788283423159756E-2</v>
      </c>
      <c r="M1329" s="10">
        <f t="shared" si="177"/>
        <v>1.4698846496241879E-2</v>
      </c>
      <c r="N1329" s="10">
        <f t="shared" si="178"/>
        <v>0.21418203874561814</v>
      </c>
      <c r="O1329" s="10">
        <f t="shared" si="179"/>
        <v>0.30744245302987305</v>
      </c>
      <c r="P1329" s="10">
        <f t="shared" si="180"/>
        <v>4.0242472527532699E-2</v>
      </c>
      <c r="Q1329" s="66">
        <f t="shared" si="183"/>
        <v>4</v>
      </c>
      <c r="R1329" s="10">
        <f t="shared" si="181"/>
        <v>6.5151349589491944E-5</v>
      </c>
      <c r="V1329" s="10">
        <f t="shared" si="182"/>
        <v>6.89031061160471E-4</v>
      </c>
    </row>
    <row r="1330" spans="11:22">
      <c r="K1330" s="66">
        <v>65.900000000000006</v>
      </c>
      <c r="L1330" s="10">
        <f t="shared" si="176"/>
        <v>5.2224972597636775E-2</v>
      </c>
      <c r="M1330" s="10">
        <f t="shared" si="177"/>
        <v>1.4474219202218211E-2</v>
      </c>
      <c r="N1330" s="10">
        <f t="shared" si="178"/>
        <v>0.21495756780365377</v>
      </c>
      <c r="O1330" s="10">
        <f t="shared" si="179"/>
        <v>0.30855582528888742</v>
      </c>
      <c r="P1330" s="10">
        <f t="shared" si="180"/>
        <v>4.0144420333665824E-2</v>
      </c>
      <c r="Q1330" s="66">
        <f t="shared" si="183"/>
        <v>2</v>
      </c>
      <c r="R1330" s="10">
        <f t="shared" si="181"/>
        <v>3.1772862983632593E-5</v>
      </c>
      <c r="V1330" s="10">
        <f t="shared" si="182"/>
        <v>3.3985161948259381E-4</v>
      </c>
    </row>
    <row r="1331" spans="11:22">
      <c r="K1331" s="66">
        <v>65.95</v>
      </c>
      <c r="L1331" s="10">
        <f t="shared" si="176"/>
        <v>5.1665665860384617E-2</v>
      </c>
      <c r="M1331" s="10">
        <f t="shared" si="177"/>
        <v>1.4252229794952451E-2</v>
      </c>
      <c r="N1331" s="10">
        <f t="shared" si="178"/>
        <v>0.21573590627682457</v>
      </c>
      <c r="O1331" s="10">
        <f t="shared" si="179"/>
        <v>0.30967323082665893</v>
      </c>
      <c r="P1331" s="10">
        <f t="shared" si="180"/>
        <v>4.0046607047403739E-2</v>
      </c>
      <c r="Q1331" s="66">
        <f t="shared" si="183"/>
        <v>4</v>
      </c>
      <c r="R1331" s="10">
        <f t="shared" si="181"/>
        <v>6.1973808482011398E-5</v>
      </c>
      <c r="V1331" s="10">
        <f t="shared" si="182"/>
        <v>6.7046123576176028E-4</v>
      </c>
    </row>
    <row r="1332" spans="11:22">
      <c r="K1332" s="66">
        <v>66</v>
      </c>
      <c r="L1332" s="10">
        <f t="shared" si="176"/>
        <v>5.1110356357705222E-2</v>
      </c>
      <c r="M1332" s="10">
        <f t="shared" si="177"/>
        <v>1.4032859552304986E-2</v>
      </c>
      <c r="N1332" s="10">
        <f t="shared" si="178"/>
        <v>0.21651706434245863</v>
      </c>
      <c r="O1332" s="10">
        <f t="shared" si="179"/>
        <v>0.31079468425405915</v>
      </c>
      <c r="P1332" s="10">
        <f t="shared" si="180"/>
        <v>3.9949032086639788E-2</v>
      </c>
      <c r="Q1332" s="66">
        <f t="shared" si="183"/>
        <v>2</v>
      </c>
      <c r="R1332" s="10">
        <f t="shared" si="181"/>
        <v>3.0217518192629356E-5</v>
      </c>
      <c r="V1332" s="10">
        <f t="shared" si="182"/>
        <v>3.3065243437915788E-4</v>
      </c>
    </row>
    <row r="1333" spans="11:22">
      <c r="K1333" s="66">
        <v>66.05</v>
      </c>
      <c r="L1333" s="10">
        <f t="shared" si="176"/>
        <v>5.0559037052666934E-2</v>
      </c>
      <c r="M1333" s="10">
        <f t="shared" si="177"/>
        <v>1.381608972599919E-2</v>
      </c>
      <c r="N1333" s="10">
        <f t="shared" si="178"/>
        <v>0.2173010522147511</v>
      </c>
      <c r="O1333" s="10">
        <f t="shared" si="179"/>
        <v>0.31192020023488543</v>
      </c>
      <c r="P1333" s="10">
        <f t="shared" si="180"/>
        <v>3.9851694870685288E-2</v>
      </c>
      <c r="Q1333" s="66">
        <f t="shared" si="183"/>
        <v>4</v>
      </c>
      <c r="R1333" s="10">
        <f t="shared" si="181"/>
        <v>5.8928855007733798E-5</v>
      </c>
      <c r="V1333" s="10">
        <f t="shared" si="182"/>
        <v>6.5223394692487987E-4</v>
      </c>
    </row>
    <row r="1334" spans="11:22">
      <c r="K1334" s="66">
        <v>66.099999999999994</v>
      </c>
      <c r="L1334" s="10">
        <f t="shared" si="176"/>
        <v>5.0011700725832955E-2</v>
      </c>
      <c r="M1334" s="10">
        <f t="shared" si="177"/>
        <v>1.3601901543646225E-2</v>
      </c>
      <c r="N1334" s="10">
        <f t="shared" si="178"/>
        <v>0.21808788014490069</v>
      </c>
      <c r="O1334" s="10">
        <f t="shared" si="179"/>
        <v>0.31304979348605894</v>
      </c>
      <c r="P1334" s="10">
        <f t="shared" si="180"/>
        <v>3.9754594820266914E-2</v>
      </c>
      <c r="Q1334" s="66">
        <f t="shared" si="183"/>
        <v>2</v>
      </c>
      <c r="R1334" s="10">
        <f t="shared" si="181"/>
        <v>2.8727357878562435E-5</v>
      </c>
      <c r="V1334" s="10">
        <f t="shared" si="182"/>
        <v>3.2162413553849759E-4</v>
      </c>
    </row>
    <row r="1335" spans="11:22">
      <c r="K1335" s="66">
        <v>66.150000000000006</v>
      </c>
      <c r="L1335" s="10">
        <f t="shared" si="176"/>
        <v>4.9468339976015435E-2</v>
      </c>
      <c r="M1335" s="10">
        <f t="shared" si="177"/>
        <v>1.3390276210768154E-2</v>
      </c>
      <c r="N1335" s="10">
        <f t="shared" si="178"/>
        <v>0.21887755842124032</v>
      </c>
      <c r="O1335" s="10">
        <f t="shared" si="179"/>
        <v>0.31418347877781327</v>
      </c>
      <c r="P1335" s="10">
        <f t="shared" si="180"/>
        <v>3.9657731357522444E-2</v>
      </c>
      <c r="Q1335" s="66">
        <f t="shared" si="183"/>
        <v>4</v>
      </c>
      <c r="R1335" s="10">
        <f t="shared" si="181"/>
        <v>5.6012076114555046E-5</v>
      </c>
      <c r="V1335" s="10">
        <f t="shared" si="182"/>
        <v>6.3434763396061941E-4</v>
      </c>
    </row>
    <row r="1336" spans="11:22">
      <c r="K1336" s="66">
        <v>66.2</v>
      </c>
      <c r="L1336" s="10">
        <f t="shared" si="176"/>
        <v>4.8928947221050872E-2</v>
      </c>
      <c r="M1336" s="10">
        <f t="shared" si="177"/>
        <v>1.3181194912817584E-2</v>
      </c>
      <c r="N1336" s="10">
        <f t="shared" si="178"/>
        <v>0.21967009736937373</v>
      </c>
      <c r="O1336" s="10">
        <f t="shared" si="179"/>
        <v>0.31532127093388707</v>
      </c>
      <c r="P1336" s="10">
        <f t="shared" si="180"/>
        <v>3.9561103905997756E-2</v>
      </c>
      <c r="Q1336" s="66">
        <f t="shared" si="183"/>
        <v>2</v>
      </c>
      <c r="R1336" s="10">
        <f t="shared" si="181"/>
        <v>2.7300199814888559E-5</v>
      </c>
      <c r="V1336" s="10">
        <f t="shared" si="182"/>
        <v>3.1276591016914757E-4</v>
      </c>
    </row>
    <row r="1337" spans="11:22">
      <c r="K1337" s="66">
        <v>66.25</v>
      </c>
      <c r="L1337" s="10">
        <f t="shared" si="176"/>
        <v>4.8393514698596193E-2</v>
      </c>
      <c r="M1337" s="10">
        <f t="shared" si="177"/>
        <v>1.2974638817192987E-2</v>
      </c>
      <c r="N1337" s="10">
        <f t="shared" si="178"/>
        <v>0.22046550735231005</v>
      </c>
      <c r="O1337" s="10">
        <f t="shared" si="179"/>
        <v>0.31646318483171998</v>
      </c>
      <c r="P1337" s="10">
        <f t="shared" si="180"/>
        <v>3.9464711890643246E-2</v>
      </c>
      <c r="Q1337" s="66">
        <f t="shared" si="183"/>
        <v>4</v>
      </c>
      <c r="R1337" s="10">
        <f t="shared" si="181"/>
        <v>5.3219155915098201E-5</v>
      </c>
      <c r="V1337" s="10">
        <f t="shared" si="182"/>
        <v>6.1680060707650878E-4</v>
      </c>
    </row>
    <row r="1338" spans="11:22">
      <c r="K1338" s="66">
        <v>66.3</v>
      </c>
      <c r="L1338" s="10">
        <f t="shared" si="176"/>
        <v>4.7862034466947777E-2</v>
      </c>
      <c r="M1338" s="10">
        <f t="shared" si="177"/>
        <v>1.2770589075250523E-2</v>
      </c>
      <c r="N1338" s="10">
        <f t="shared" si="178"/>
        <v>0.22126379877059885</v>
      </c>
      <c r="O1338" s="10">
        <f t="shared" si="179"/>
        <v>0.31760923540264696</v>
      </c>
      <c r="P1338" s="10">
        <f t="shared" si="180"/>
        <v>3.936855473781041E-2</v>
      </c>
      <c r="Q1338" s="66">
        <f t="shared" si="183"/>
        <v>2</v>
      </c>
      <c r="R1338" s="10">
        <f t="shared" si="181"/>
        <v>2.5933910319029108E-5</v>
      </c>
      <c r="V1338" s="10">
        <f t="shared" si="182"/>
        <v>3.0407688161713408E-4</v>
      </c>
    </row>
    <row r="1339" spans="11:22">
      <c r="K1339" s="66">
        <v>66.349999999999994</v>
      </c>
      <c r="L1339" s="10">
        <f t="shared" si="176"/>
        <v>4.7334498405882948E-2</v>
      </c>
      <c r="M1339" s="10">
        <f t="shared" si="177"/>
        <v>1.2569026824311456E-2</v>
      </c>
      <c r="N1339" s="10">
        <f t="shared" si="178"/>
        <v>0.22206498206246719</v>
      </c>
      <c r="O1339" s="10">
        <f t="shared" si="179"/>
        <v>0.31875943763209214</v>
      </c>
      <c r="P1339" s="10">
        <f t="shared" si="180"/>
        <v>3.9272631875248501E-2</v>
      </c>
      <c r="Q1339" s="66">
        <f t="shared" si="183"/>
        <v>4</v>
      </c>
      <c r="R1339" s="10">
        <f t="shared" si="181"/>
        <v>5.0545875512875398E-5</v>
      </c>
      <c r="V1339" s="10">
        <f t="shared" si="182"/>
        <v>5.9959105015285085E-4</v>
      </c>
    </row>
    <row r="1340" spans="11:22">
      <c r="K1340" s="66">
        <v>66.400000000000006</v>
      </c>
      <c r="L1340" s="10">
        <f t="shared" si="176"/>
        <v>4.6810898217522254E-2</v>
      </c>
      <c r="M1340" s="10">
        <f t="shared" si="177"/>
        <v>1.2369933189664487E-2</v>
      </c>
      <c r="N1340" s="10">
        <f t="shared" si="178"/>
        <v>0.22286906770395504</v>
      </c>
      <c r="O1340" s="10">
        <f t="shared" si="179"/>
        <v>0.31991380655976581</v>
      </c>
      <c r="P1340" s="10">
        <f t="shared" si="180"/>
        <v>3.9176942732101053E-2</v>
      </c>
      <c r="Q1340" s="66">
        <f t="shared" si="183"/>
        <v>2</v>
      </c>
      <c r="R1340" s="10">
        <f t="shared" si="181"/>
        <v>2.46264041453356E-5</v>
      </c>
      <c r="V1340" s="10">
        <f t="shared" si="182"/>
        <v>2.9555611077334247E-4</v>
      </c>
    </row>
    <row r="1341" spans="11:22">
      <c r="K1341" s="66">
        <v>66.45</v>
      </c>
      <c r="L1341" s="10">
        <f t="shared" si="176"/>
        <v>4.6291225427214533E-2</v>
      </c>
      <c r="M1341" s="10">
        <f t="shared" si="177"/>
        <v>1.2173289286563192E-2</v>
      </c>
      <c r="N1341" s="10">
        <f t="shared" si="178"/>
        <v>0.22367606620905225</v>
      </c>
      <c r="O1341" s="10">
        <f t="shared" si="179"/>
        <v>0.32107235727986</v>
      </c>
      <c r="P1341" s="10">
        <f t="shared" si="180"/>
        <v>3.9081486738902549E-2</v>
      </c>
      <c r="Q1341" s="66">
        <f t="shared" si="183"/>
        <v>4</v>
      </c>
      <c r="R1341" s="10">
        <f t="shared" si="181"/>
        <v>4.7988112748495831E-5</v>
      </c>
      <c r="V1341" s="10">
        <f t="shared" si="182"/>
        <v>5.8271702359535469E-4</v>
      </c>
    </row>
    <row r="1342" spans="11:22">
      <c r="K1342" s="66">
        <v>66.5</v>
      </c>
      <c r="L1342" s="10">
        <f t="shared" si="176"/>
        <v>4.5775471384442053E-2</v>
      </c>
      <c r="M1342" s="10">
        <f t="shared" si="177"/>
        <v>1.1979076222217378E-2</v>
      </c>
      <c r="N1342" s="10">
        <f t="shared" si="178"/>
        <v>0.22448598812983683</v>
      </c>
      <c r="O1342" s="10">
        <f t="shared" si="179"/>
        <v>0.32223510494124807</v>
      </c>
      <c r="P1342" s="10">
        <f t="shared" si="180"/>
        <v>3.8986263327574988E-2</v>
      </c>
      <c r="Q1342" s="66">
        <f t="shared" si="183"/>
        <v>2</v>
      </c>
      <c r="R1342" s="10">
        <f t="shared" si="181"/>
        <v>2.3375644338582468E-5</v>
      </c>
      <c r="V1342" s="10">
        <f t="shared" si="182"/>
        <v>2.8720259751833735E-4</v>
      </c>
    </row>
    <row r="1343" spans="11:22">
      <c r="K1343" s="66">
        <v>66.55</v>
      </c>
      <c r="L1343" s="10">
        <f t="shared" si="176"/>
        <v>4.5263627263749336E-2</v>
      </c>
      <c r="M1343" s="10">
        <f t="shared" si="177"/>
        <v>1.178727509777925E-2</v>
      </c>
      <c r="N1343" s="10">
        <f t="shared" si="178"/>
        <v>0.22529884405661291</v>
      </c>
      <c r="O1343" s="10">
        <f t="shared" si="179"/>
        <v>0.32340206474768041</v>
      </c>
      <c r="P1343" s="10">
        <f t="shared" si="180"/>
        <v>3.8891271931424456E-2</v>
      </c>
      <c r="Q1343" s="66">
        <f t="shared" si="183"/>
        <v>4</v>
      </c>
      <c r="R1343" s="10">
        <f t="shared" si="181"/>
        <v>4.5541841867932405E-5</v>
      </c>
      <c r="V1343" s="10">
        <f t="shared" si="182"/>
        <v>5.661764672608479E-4</v>
      </c>
    </row>
    <row r="1344" spans="11:22">
      <c r="K1344" s="66">
        <v>66.599999999999994</v>
      </c>
      <c r="L1344" s="10">
        <f t="shared" si="176"/>
        <v>4.4755684065692462E-2</v>
      </c>
      <c r="M1344" s="10">
        <f t="shared" si="177"/>
        <v>1.1597867010322773E-2</v>
      </c>
      <c r="N1344" s="10">
        <f t="shared" si="178"/>
        <v>0.22611464461804825</v>
      </c>
      <c r="O1344" s="10">
        <f t="shared" si="179"/>
        <v>0.32457325195798414</v>
      </c>
      <c r="P1344" s="10">
        <f t="shared" si="180"/>
        <v>3.8796511985137859E-2</v>
      </c>
      <c r="Q1344" s="66">
        <f t="shared" si="183"/>
        <v>2</v>
      </c>
      <c r="R1344" s="10">
        <f t="shared" si="181"/>
        <v>2.2179642049004493E-5</v>
      </c>
      <c r="V1344" s="10">
        <f t="shared" si="182"/>
        <v>2.7901528220282016E-4</v>
      </c>
    </row>
    <row r="1345" spans="11:22">
      <c r="K1345" s="66">
        <v>66.650000000000006</v>
      </c>
      <c r="L1345" s="10">
        <f t="shared" si="176"/>
        <v>4.4251632617809032E-2</v>
      </c>
      <c r="M1345" s="10">
        <f t="shared" si="177"/>
        <v>1.1410833054816298E-2</v>
      </c>
      <c r="N1345" s="10">
        <f t="shared" si="178"/>
        <v>0.22693340048131397</v>
      </c>
      <c r="O1345" s="10">
        <f t="shared" si="179"/>
        <v>0.32574868188626382</v>
      </c>
      <c r="P1345" s="10">
        <f t="shared" si="180"/>
        <v>3.8701982924779478E-2</v>
      </c>
      <c r="Q1345" s="66">
        <f t="shared" si="183"/>
        <v>4</v>
      </c>
      <c r="R1345" s="10">
        <f t="shared" si="181"/>
        <v>4.3203133114945593E-5</v>
      </c>
      <c r="V1345" s="10">
        <f t="shared" si="182"/>
        <v>5.4996720345255044E-4</v>
      </c>
    </row>
    <row r="1346" spans="11:22">
      <c r="K1346" s="66">
        <v>66.7</v>
      </c>
      <c r="L1346" s="10">
        <f t="shared" si="176"/>
        <v>4.3751463575611896E-2</v>
      </c>
      <c r="M1346" s="10">
        <f t="shared" si="177"/>
        <v>1.1226154326088728E-2</v>
      </c>
      <c r="N1346" s="10">
        <f t="shared" si="178"/>
        <v>0.22775512235222381</v>
      </c>
      <c r="O1346" s="10">
        <f t="shared" si="179"/>
        <v>0.32692836990209884</v>
      </c>
      <c r="P1346" s="10">
        <f t="shared" si="180"/>
        <v>3.8607684187787705E-2</v>
      </c>
      <c r="Q1346" s="66">
        <f t="shared" si="183"/>
        <v>2</v>
      </c>
      <c r="R1346" s="10">
        <f t="shared" si="181"/>
        <v>2.103645630995229E-5</v>
      </c>
      <c r="V1346" s="10">
        <f t="shared" si="182"/>
        <v>2.7099304716198799E-4</v>
      </c>
    </row>
    <row r="1347" spans="11:22">
      <c r="K1347" s="66">
        <v>66.75</v>
      </c>
      <c r="L1347" s="10">
        <f t="shared" si="176"/>
        <v>4.3255167423601401E-2</v>
      </c>
      <c r="M1347" s="10">
        <f t="shared" si="177"/>
        <v>1.1043811920787471E-2</v>
      </c>
      <c r="N1347" s="10">
        <f t="shared" si="178"/>
        <v>0.2285798209753743</v>
      </c>
      <c r="O1347" s="10">
        <f t="shared" si="179"/>
        <v>0.32811233143074697</v>
      </c>
      <c r="P1347" s="10">
        <f t="shared" si="180"/>
        <v>3.8513615212971593E-2</v>
      </c>
      <c r="Q1347" s="66">
        <f t="shared" si="183"/>
        <v>4</v>
      </c>
      <c r="R1347" s="10">
        <f t="shared" si="181"/>
        <v>4.0968152249826283E-5</v>
      </c>
      <c r="V1347" s="10">
        <f t="shared" si="182"/>
        <v>5.3408693998129204E-4</v>
      </c>
    </row>
    <row r="1348" spans="11:22">
      <c r="K1348" s="66">
        <v>66.8</v>
      </c>
      <c r="L1348" s="10">
        <f t="shared" si="176"/>
        <v>4.2762734476300267E-2</v>
      </c>
      <c r="M1348" s="10">
        <f t="shared" si="177"/>
        <v>1.086378693932913E-2</v>
      </c>
      <c r="N1348" s="10">
        <f t="shared" si="178"/>
        <v>0.22940750713428482</v>
      </c>
      <c r="O1348" s="10">
        <f t="shared" si="179"/>
        <v>0.32930058195334577</v>
      </c>
      <c r="P1348" s="10">
        <f t="shared" si="180"/>
        <v>3.8419775440507502E-2</v>
      </c>
      <c r="Q1348" s="66">
        <f t="shared" si="183"/>
        <v>2</v>
      </c>
      <c r="R1348" s="10">
        <f t="shared" si="181"/>
        <v>1.9944193779259065E-5</v>
      </c>
      <c r="V1348" s="10">
        <f t="shared" si="182"/>
        <v>2.6313471826193234E-4</v>
      </c>
    </row>
    <row r="1349" spans="11:22">
      <c r="K1349" s="66">
        <v>66.849999999999994</v>
      </c>
      <c r="L1349" s="10">
        <f t="shared" si="176"/>
        <v>4.22741548793098E-2</v>
      </c>
      <c r="M1349" s="10">
        <f t="shared" si="177"/>
        <v>1.0686060487842026E-2</v>
      </c>
      <c r="N1349" s="10">
        <f t="shared" si="178"/>
        <v>0.23023819165153953</v>
      </c>
      <c r="O1349" s="10">
        <f t="shared" si="179"/>
        <v>0.33049313700711352</v>
      </c>
      <c r="P1349" s="10">
        <f t="shared" si="180"/>
        <v>3.8326164311935897E-2</v>
      </c>
      <c r="Q1349" s="66">
        <f t="shared" si="183"/>
        <v>4</v>
      </c>
      <c r="R1349" s="10">
        <f t="shared" si="181"/>
        <v>3.8833159996681281E-5</v>
      </c>
      <c r="V1349" s="10">
        <f t="shared" si="182"/>
        <v>5.185332732889485E-4</v>
      </c>
    </row>
    <row r="1350" spans="11:22">
      <c r="K1350" s="66">
        <v>66.900000000000006</v>
      </c>
      <c r="L1350" s="10">
        <f t="shared" si="176"/>
        <v>4.178941861038625E-2</v>
      </c>
      <c r="M1350" s="10">
        <f t="shared" si="177"/>
        <v>1.0510613680100003E-2</v>
      </c>
      <c r="N1350" s="10">
        <f t="shared" si="178"/>
        <v>0.23107188538892781</v>
      </c>
      <c r="O1350" s="10">
        <f t="shared" si="179"/>
        <v>0.33169001218555405</v>
      </c>
      <c r="P1350" s="10">
        <f t="shared" si="180"/>
        <v>3.8232781270157924E-2</v>
      </c>
      <c r="Q1350" s="66">
        <f t="shared" si="183"/>
        <v>2</v>
      </c>
      <c r="R1350" s="10">
        <f t="shared" si="181"/>
        <v>1.8901008445445604E-5</v>
      </c>
      <c r="V1350" s="10">
        <f t="shared" si="182"/>
        <v>2.5543906647621477E-4</v>
      </c>
    </row>
    <row r="1351" spans="11:22">
      <c r="K1351" s="66">
        <v>66.95</v>
      </c>
      <c r="L1351" s="10">
        <f t="shared" si="176"/>
        <v>4.1308515480538315E-2</v>
      </c>
      <c r="M1351" s="10">
        <f t="shared" si="177"/>
        <v>1.0337427639447489E-2</v>
      </c>
      <c r="N1351" s="10">
        <f t="shared" si="178"/>
        <v>0.23190859924758642</v>
      </c>
      <c r="O1351" s="10">
        <f t="shared" si="179"/>
        <v>0.33289122313865843</v>
      </c>
      <c r="P1351" s="10">
        <f t="shared" si="180"/>
        <v>3.8139625759432132E-2</v>
      </c>
      <c r="Q1351" s="66">
        <f t="shared" si="183"/>
        <v>4</v>
      </c>
      <c r="R1351" s="10">
        <f t="shared" si="181"/>
        <v>3.679451142155328E-5</v>
      </c>
      <c r="V1351" s="10">
        <f t="shared" si="182"/>
        <v>5.0330369163039659E-4</v>
      </c>
    </row>
    <row r="1352" spans="11:22">
      <c r="K1352" s="66">
        <v>67</v>
      </c>
      <c r="L1352" s="10">
        <f t="shared" si="176"/>
        <v>4.0831435135145352E-2</v>
      </c>
      <c r="M1352" s="10">
        <f t="shared" si="177"/>
        <v>1.0166483500715267E-2</v>
      </c>
      <c r="N1352" s="10">
        <f t="shared" si="178"/>
        <v>0.23274834416814302</v>
      </c>
      <c r="O1352" s="10">
        <f t="shared" si="179"/>
        <v>0.33409678557311356</v>
      </c>
      <c r="P1352" s="10">
        <f t="shared" si="180"/>
        <v>3.8046697225371226E-2</v>
      </c>
      <c r="Q1352" s="66">
        <f t="shared" si="183"/>
        <v>2</v>
      </c>
      <c r="R1352" s="10">
        <f t="shared" si="181"/>
        <v>1.7905101299925878E-5</v>
      </c>
      <c r="V1352" s="10">
        <f t="shared" si="182"/>
        <v>2.4790480949075542E-4</v>
      </c>
    </row>
    <row r="1353" spans="11:22">
      <c r="K1353" s="66">
        <v>67.05</v>
      </c>
      <c r="L1353" s="10">
        <f t="shared" si="176"/>
        <v>4.0358167055096851E-2</v>
      </c>
      <c r="M1353" s="10">
        <f t="shared" si="177"/>
        <v>9.9977624121269527E-3</v>
      </c>
      <c r="N1353" s="10">
        <f t="shared" si="178"/>
        <v>0.23359113113085744</v>
      </c>
      <c r="O1353" s="10">
        <f t="shared" si="179"/>
        <v>0.33530671525250177</v>
      </c>
      <c r="P1353" s="10">
        <f t="shared" si="180"/>
        <v>3.7953995114938362E-2</v>
      </c>
      <c r="Q1353" s="66">
        <f t="shared" si="183"/>
        <v>4</v>
      </c>
      <c r="R1353" s="10">
        <f t="shared" si="181"/>
        <v>3.4848655243711051E-5</v>
      </c>
      <c r="V1353" s="10">
        <f t="shared" si="182"/>
        <v>4.8839557831013641E-4</v>
      </c>
    </row>
    <row r="1354" spans="11:22">
      <c r="K1354" s="66">
        <v>67.099999999999994</v>
      </c>
      <c r="L1354" s="10">
        <f t="shared" si="176"/>
        <v>3.988870055795013E-2</v>
      </c>
      <c r="M1354" s="10">
        <f t="shared" si="177"/>
        <v>9.8312455371946921E-3</v>
      </c>
      <c r="N1354" s="10">
        <f t="shared" si="178"/>
        <v>0.2344369711557682</v>
      </c>
      <c r="O1354" s="10">
        <f t="shared" si="179"/>
        <v>0.33652102799751338</v>
      </c>
      <c r="P1354" s="10">
        <f t="shared" si="180"/>
        <v>3.7861518876444671E-2</v>
      </c>
      <c r="Q1354" s="66">
        <f t="shared" si="183"/>
        <v>2</v>
      </c>
      <c r="R1354" s="10">
        <f t="shared" si="181"/>
        <v>1.6954719976392765E-5</v>
      </c>
      <c r="V1354" s="10">
        <f t="shared" si="182"/>
        <v>2.4053061333509753E-4</v>
      </c>
    </row>
    <row r="1355" spans="11:22">
      <c r="K1355" s="66">
        <v>67.150000000000006</v>
      </c>
      <c r="L1355" s="10">
        <f t="shared" si="176"/>
        <v>3.9423024799111701E-2</v>
      </c>
      <c r="M1355" s="10">
        <f t="shared" si="177"/>
        <v>9.6669140566057413E-3</v>
      </c>
      <c r="N1355" s="10">
        <f t="shared" si="178"/>
        <v>0.23528587530283335</v>
      </c>
      <c r="O1355" s="10">
        <f t="shared" si="179"/>
        <v>0.33773973968614923</v>
      </c>
      <c r="P1355" s="10">
        <f t="shared" si="180"/>
        <v>3.7769267959545175E-2</v>
      </c>
      <c r="Q1355" s="66">
        <f t="shared" si="183"/>
        <v>4</v>
      </c>
      <c r="R1355" s="10">
        <f t="shared" si="181"/>
        <v>3.2992133082504149E-5</v>
      </c>
      <c r="V1355" s="10">
        <f t="shared" si="182"/>
        <v>4.738062149697446E-4</v>
      </c>
    </row>
    <row r="1356" spans="11:22">
      <c r="K1356" s="66">
        <v>67.2</v>
      </c>
      <c r="L1356" s="10">
        <f t="shared" ref="L1356:L1419" si="184">(B$7^K1356)*B$8^((B$5^25)*((B$5^K1356)-1))</f>
        <v>3.8961128773036501E-2</v>
      </c>
      <c r="M1356" s="10">
        <f t="shared" ref="M1356:M1419" si="185">(B$7^K1356)*B$8^((B$5^30)*((B$5^K1356)-1))</f>
        <v>9.5047491700976684E-3</v>
      </c>
      <c r="N1356" s="10">
        <f t="shared" si="178"/>
        <v>0.23613785467207679</v>
      </c>
      <c r="O1356" s="10">
        <f t="shared" si="179"/>
        <v>0.33896286625392857</v>
      </c>
      <c r="P1356" s="10">
        <f t="shared" si="180"/>
        <v>3.7677241815235948E-2</v>
      </c>
      <c r="Q1356" s="66">
        <f t="shared" si="183"/>
        <v>2</v>
      </c>
      <c r="R1356" s="10">
        <f t="shared" si="181"/>
        <v>1.6048158358591102E-5</v>
      </c>
      <c r="V1356" s="10">
        <f t="shared" si="182"/>
        <v>2.3331509403810833E-4</v>
      </c>
    </row>
    <row r="1357" spans="11:22">
      <c r="K1357" s="66">
        <v>67.25</v>
      </c>
      <c r="L1357" s="10">
        <f t="shared" si="184"/>
        <v>3.8503001314447345E-2</v>
      </c>
      <c r="M1357" s="10">
        <f t="shared" si="185"/>
        <v>9.3447320983224818E-3</v>
      </c>
      <c r="N1357" s="10">
        <f t="shared" ref="N1357:N1420" si="186">B$3+B$4*(B$5^(25+K1357))</f>
        <v>0.23699292040373332</v>
      </c>
      <c r="O1357" s="10">
        <f t="shared" ref="O1357:O1420" si="187">$B$3+$B$4*($B$5^(30+K1357))</f>
        <v>0.34019042369409902</v>
      </c>
      <c r="P1357" s="10">
        <f t="shared" ref="P1357:P1420" si="188">(1+B$6)^-K1357</f>
        <v>3.7585439895850711E-2</v>
      </c>
      <c r="Q1357" s="66">
        <f t="shared" si="183"/>
        <v>4</v>
      </c>
      <c r="R1357" s="10">
        <f t="shared" ref="R1357:R1420" si="189">L1357*M1357*(N1357+O1357)*P1357*Q1357</f>
        <v>3.1221578642221647E-5</v>
      </c>
      <c r="V1357" s="10">
        <f t="shared" si="182"/>
        <v>4.595327849222849E-4</v>
      </c>
    </row>
    <row r="1358" spans="11:22">
      <c r="K1358" s="66">
        <v>67.3</v>
      </c>
      <c r="L1358" s="10">
        <f t="shared" si="184"/>
        <v>3.8048631099574813E-2</v>
      </c>
      <c r="M1358" s="10">
        <f t="shared" si="185"/>
        <v>9.1868440846997641E-3</v>
      </c>
      <c r="N1358" s="10">
        <f t="shared" si="186"/>
        <v>0.23785108367839375</v>
      </c>
      <c r="O1358" s="10">
        <f t="shared" si="187"/>
        <v>0.34142242805784556</v>
      </c>
      <c r="P1358" s="10">
        <f t="shared" si="188"/>
        <v>3.7493861655057525E-2</v>
      </c>
      <c r="Q1358" s="66">
        <f t="shared" si="183"/>
        <v>2</v>
      </c>
      <c r="R1358" s="10">
        <f t="shared" si="189"/>
        <v>1.518375615771117E-5</v>
      </c>
      <c r="V1358" s="10">
        <f t="shared" ref="V1358:V1421" si="190">(1-L1358)*M1358*O1358*P1358*Q1358</f>
        <v>2.2625681930617998E-4</v>
      </c>
    </row>
    <row r="1359" spans="11:22">
      <c r="K1359" s="66">
        <v>67.349999999999994</v>
      </c>
      <c r="L1359" s="10">
        <f t="shared" si="184"/>
        <v>3.7598006647417199E-2</v>
      </c>
      <c r="M1359" s="10">
        <f t="shared" si="185"/>
        <v>9.0310663972581282E-3</v>
      </c>
      <c r="N1359" s="10">
        <f t="shared" si="186"/>
        <v>0.23871235571715224</v>
      </c>
      <c r="O1359" s="10">
        <f t="shared" si="187"/>
        <v>0.34265889545449901</v>
      </c>
      <c r="P1359" s="10">
        <f t="shared" si="188"/>
        <v>3.7402506547855707E-2</v>
      </c>
      <c r="Q1359" s="66">
        <f t="shared" ref="Q1359:Q1422" si="191">IF(Q1358=4,2,4)</f>
        <v>4</v>
      </c>
      <c r="R1359" s="10">
        <f t="shared" si="189"/>
        <v>2.9533716837422534E-5</v>
      </c>
      <c r="V1359" s="10">
        <f t="shared" si="190"/>
        <v>4.4557237652966127E-4</v>
      </c>
    </row>
    <row r="1360" spans="11:22">
      <c r="K1360" s="66">
        <v>67.400000000000006</v>
      </c>
      <c r="L1360" s="10">
        <f t="shared" si="184"/>
        <v>3.7151116321019223E-2</v>
      </c>
      <c r="M1360" s="10">
        <f t="shared" si="185"/>
        <v>8.877380330464462E-3</v>
      </c>
      <c r="N1360" s="10">
        <f t="shared" si="186"/>
        <v>0.23957674778175167</v>
      </c>
      <c r="O1360" s="10">
        <f t="shared" si="187"/>
        <v>0.34389984205174823</v>
      </c>
      <c r="P1360" s="10">
        <f t="shared" si="188"/>
        <v>3.7311374030572428E-2</v>
      </c>
      <c r="Q1360" s="66">
        <f t="shared" si="191"/>
        <v>2</v>
      </c>
      <c r="R1360" s="10">
        <f t="shared" si="189"/>
        <v>1.4359898460643329E-5</v>
      </c>
      <c r="V1360" s="10">
        <f t="shared" si="190"/>
        <v>2.1935431022191456E-4</v>
      </c>
    </row>
    <row r="1361" spans="11:22">
      <c r="K1361" s="66">
        <v>67.45</v>
      </c>
      <c r="L1361" s="10">
        <f t="shared" si="184"/>
        <v>3.6707948328770591E-2</v>
      </c>
      <c r="M1361" s="10">
        <f t="shared" si="185"/>
        <v>8.725767207040892E-3</v>
      </c>
      <c r="N1361" s="10">
        <f t="shared" si="186"/>
        <v>0.24044427117473119</v>
      </c>
      <c r="O1361" s="10">
        <f t="shared" si="187"/>
        <v>0.34514528407584949</v>
      </c>
      <c r="P1361" s="10">
        <f t="shared" si="188"/>
        <v>3.7220463560859583E-2</v>
      </c>
      <c r="Q1361" s="66">
        <f t="shared" si="191"/>
        <v>4</v>
      </c>
      <c r="R1361" s="10">
        <f t="shared" si="189"/>
        <v>2.7925362861262763E-5</v>
      </c>
      <c r="V1361" s="10">
        <f t="shared" si="190"/>
        <v>4.3192198661905294E-4</v>
      </c>
    </row>
    <row r="1362" spans="11:22">
      <c r="K1362" s="66">
        <v>67.5</v>
      </c>
      <c r="L1362" s="10">
        <f t="shared" si="184"/>
        <v>3.6268490725723773E-2</v>
      </c>
      <c r="M1362" s="10">
        <f t="shared" si="185"/>
        <v>8.5762083797691277E-3</v>
      </c>
      <c r="N1362" s="10">
        <f t="shared" si="186"/>
        <v>0.24131493723957462</v>
      </c>
      <c r="O1362" s="10">
        <f t="shared" si="187"/>
        <v>0.34639523781184162</v>
      </c>
      <c r="P1362" s="10">
        <f t="shared" si="188"/>
        <v>3.7129774597690457E-2</v>
      </c>
      <c r="Q1362" s="66">
        <f t="shared" si="191"/>
        <v>2</v>
      </c>
      <c r="R1362" s="10">
        <f t="shared" si="189"/>
        <v>1.357501525036458E-5</v>
      </c>
      <c r="V1362" s="10">
        <f t="shared" si="190"/>
        <v>2.1260604296134596E-4</v>
      </c>
    </row>
    <row r="1363" spans="11:22">
      <c r="K1363" s="66">
        <v>67.55</v>
      </c>
      <c r="L1363" s="10">
        <f t="shared" si="184"/>
        <v>3.5832731414931047E-2</v>
      </c>
      <c r="M1363" s="10">
        <f t="shared" si="185"/>
        <v>8.4286852332817637E-3</v>
      </c>
      <c r="N1363" s="10">
        <f t="shared" si="186"/>
        <v>0.24218875736085893</v>
      </c>
      <c r="O1363" s="10">
        <f t="shared" si="187"/>
        <v>0.3476497196037564</v>
      </c>
      <c r="P1363" s="10">
        <f t="shared" si="188"/>
        <v>3.7039306601356618E-2</v>
      </c>
      <c r="Q1363" s="66">
        <f t="shared" si="191"/>
        <v>4</v>
      </c>
      <c r="R1363" s="10">
        <f t="shared" si="189"/>
        <v>2.6393421199350191E-5</v>
      </c>
      <c r="V1363" s="10">
        <f t="shared" si="190"/>
        <v>4.1857852393434238E-4</v>
      </c>
    </row>
    <row r="1364" spans="11:22">
      <c r="K1364" s="66">
        <v>67.599999999999994</v>
      </c>
      <c r="L1364" s="10">
        <f t="shared" si="184"/>
        <v>3.5400658148799675E-2</v>
      </c>
      <c r="M1364" s="10">
        <f t="shared" si="185"/>
        <v>8.2831791858401019E-3</v>
      </c>
      <c r="N1364" s="10">
        <f t="shared" si="186"/>
        <v>0.24306574296440187</v>
      </c>
      <c r="O1364" s="10">
        <f t="shared" si="187"/>
        <v>0.348908745854833</v>
      </c>
      <c r="P1364" s="10">
        <f t="shared" si="188"/>
        <v>3.6949059033464633E-2</v>
      </c>
      <c r="Q1364" s="66">
        <f t="shared" si="191"/>
        <v>2</v>
      </c>
      <c r="R1364" s="10">
        <f t="shared" si="189"/>
        <v>1.282758089973018E-5</v>
      </c>
      <c r="V1364" s="10">
        <f t="shared" si="190"/>
        <v>2.060104505276609E-4</v>
      </c>
    </row>
    <row r="1365" spans="11:22">
      <c r="K1365" s="66">
        <v>67.650000000000006</v>
      </c>
      <c r="L1365" s="10">
        <f t="shared" si="184"/>
        <v>3.4972258530467017E-2</v>
      </c>
      <c r="M1365" s="10">
        <f t="shared" si="185"/>
        <v>8.1396716910986759E-3</v>
      </c>
      <c r="N1365" s="10">
        <f t="shared" si="186"/>
        <v>0.24394590551741249</v>
      </c>
      <c r="O1365" s="10">
        <f t="shared" si="187"/>
        <v>0.35017233302773365</v>
      </c>
      <c r="P1365" s="10">
        <f t="shared" si="188"/>
        <v>3.6859031356932831E-2</v>
      </c>
      <c r="Q1365" s="66">
        <f t="shared" si="191"/>
        <v>4</v>
      </c>
      <c r="R1365" s="10">
        <f t="shared" si="189"/>
        <v>2.4934884591700473E-5</v>
      </c>
      <c r="V1365" s="10">
        <f t="shared" si="190"/>
        <v>4.0553881261856152E-4</v>
      </c>
    </row>
    <row r="1366" spans="11:22">
      <c r="K1366" s="66">
        <v>67.7</v>
      </c>
      <c r="L1366" s="10">
        <f t="shared" si="184"/>
        <v>3.4547520015193574E-2</v>
      </c>
      <c r="M1366" s="10">
        <f t="shared" si="185"/>
        <v>7.9981442398555386E-3</v>
      </c>
      <c r="N1366" s="10">
        <f t="shared" si="186"/>
        <v>0.2448292565286406</v>
      </c>
      <c r="O1366" s="10">
        <f t="shared" si="187"/>
        <v>0.35144049764475627</v>
      </c>
      <c r="P1366" s="10">
        <f t="shared" si="188"/>
        <v>3.6769223035988299E-2</v>
      </c>
      <c r="Q1366" s="66">
        <f t="shared" si="191"/>
        <v>2</v>
      </c>
      <c r="R1366" s="10">
        <f t="shared" si="189"/>
        <v>1.2116113639961262E-5</v>
      </c>
      <c r="V1366" s="10">
        <f t="shared" si="190"/>
        <v>1.9956592449942151E-4</v>
      </c>
    </row>
    <row r="1367" spans="11:22">
      <c r="K1367" s="66">
        <v>67.75</v>
      </c>
      <c r="L1367" s="10">
        <f t="shared" si="184"/>
        <v>3.412642991177383E-2</v>
      </c>
      <c r="M1367" s="10">
        <f t="shared" si="185"/>
        <v>7.8585783617881547E-3</v>
      </c>
      <c r="N1367" s="10">
        <f t="shared" si="186"/>
        <v>0.24571580754852737</v>
      </c>
      <c r="O1367" s="10">
        <f t="shared" si="187"/>
        <v>0.352713256288053</v>
      </c>
      <c r="P1367" s="10">
        <f t="shared" si="188"/>
        <v>3.6679633536163408E-2</v>
      </c>
      <c r="Q1367" s="66">
        <f t="shared" si="191"/>
        <v>4</v>
      </c>
      <c r="R1367" s="10">
        <f t="shared" si="189"/>
        <v>2.3546832945384318E-5</v>
      </c>
      <c r="V1367" s="10">
        <f t="shared" si="190"/>
        <v>3.9279959572335676E-4</v>
      </c>
    </row>
    <row r="1368" spans="11:22">
      <c r="K1368" s="66">
        <v>67.8</v>
      </c>
      <c r="L1368" s="10">
        <f t="shared" si="184"/>
        <v>3.3708975383965889E-2</v>
      </c>
      <c r="M1368" s="10">
        <f t="shared" si="185"/>
        <v>7.7209556271749108E-3</v>
      </c>
      <c r="N1368" s="10">
        <f t="shared" si="186"/>
        <v>0.24660557016935616</v>
      </c>
      <c r="O1368" s="10">
        <f t="shared" si="187"/>
        <v>0.35399062559984673</v>
      </c>
      <c r="P1368" s="10">
        <f t="shared" si="188"/>
        <v>3.6590262324292848E-2</v>
      </c>
      <c r="Q1368" s="66">
        <f t="shared" si="191"/>
        <v>2</v>
      </c>
      <c r="R1368" s="10">
        <f t="shared" si="189"/>
        <v>1.1439175005128278E-5</v>
      </c>
      <c r="V1368" s="10">
        <f t="shared" si="190"/>
        <v>1.9327081679128494E-4</v>
      </c>
    </row>
    <row r="1369" spans="11:22">
      <c r="K1369" s="66">
        <v>67.849999999999994</v>
      </c>
      <c r="L1369" s="10">
        <f t="shared" si="184"/>
        <v>3.329514345193936E-2</v>
      </c>
      <c r="M1369" s="10">
        <f t="shared" si="185"/>
        <v>7.5852576486017936E-3</v>
      </c>
      <c r="N1369" s="10">
        <f t="shared" si="186"/>
        <v>0.24749855602540496</v>
      </c>
      <c r="O1369" s="10">
        <f t="shared" si="187"/>
        <v>0.35527262228264705</v>
      </c>
      <c r="P1369" s="10">
        <f t="shared" si="188"/>
        <v>3.6501108868510393E-2</v>
      </c>
      <c r="Q1369" s="66">
        <f t="shared" si="191"/>
        <v>4</v>
      </c>
      <c r="R1369" s="10">
        <f t="shared" si="189"/>
        <v>2.222643220046154E-5</v>
      </c>
      <c r="V1369" s="10">
        <f t="shared" si="190"/>
        <v>3.8035753874135573E-4</v>
      </c>
    </row>
    <row r="1370" spans="11:22">
      <c r="K1370" s="66">
        <v>67.900000000000006</v>
      </c>
      <c r="L1370" s="10">
        <f t="shared" si="184"/>
        <v>3.2884920993740255E-2</v>
      </c>
      <c r="M1370" s="10">
        <f t="shared" si="185"/>
        <v>7.4514660826535796E-3</v>
      </c>
      <c r="N1370" s="10">
        <f t="shared" si="186"/>
        <v>0.24839477679309738</v>
      </c>
      <c r="O1370" s="10">
        <f t="shared" si="187"/>
        <v>0.35655926309947056</v>
      </c>
      <c r="P1370" s="10">
        <f t="shared" si="188"/>
        <v>3.641217263824563E-2</v>
      </c>
      <c r="Q1370" s="66">
        <f t="shared" si="191"/>
        <v>2</v>
      </c>
      <c r="R1370" s="10">
        <f t="shared" si="189"/>
        <v>1.0795369253931252E-5</v>
      </c>
      <c r="V1370" s="10">
        <f t="shared" si="190"/>
        <v>1.8712344142517368E-4</v>
      </c>
    </row>
    <row r="1371" spans="11:22">
      <c r="K1371" s="66">
        <v>67.95</v>
      </c>
      <c r="L1371" s="10">
        <f t="shared" si="184"/>
        <v>3.2478294746773842E-2</v>
      </c>
      <c r="M1371" s="10">
        <f t="shared" si="185"/>
        <v>7.3195626315897544E-3</v>
      </c>
      <c r="N1371" s="10">
        <f t="shared" si="186"/>
        <v>0.24929424419115537</v>
      </c>
      <c r="O1371" s="10">
        <f t="shared" si="187"/>
        <v>0.35785056487405775</v>
      </c>
      <c r="P1371" s="10">
        <f t="shared" si="188"/>
        <v>3.6323453104221089E-2</v>
      </c>
      <c r="Q1371" s="66">
        <f t="shared" si="191"/>
        <v>4</v>
      </c>
      <c r="R1371" s="10">
        <f t="shared" si="189"/>
        <v>2.0970933151826593E-5</v>
      </c>
      <c r="V1371" s="10">
        <f t="shared" si="190"/>
        <v>3.6820923315750116E-4</v>
      </c>
    </row>
    <row r="1372" spans="11:22">
      <c r="K1372" s="66">
        <v>68</v>
      </c>
      <c r="L1372" s="10">
        <f t="shared" si="184"/>
        <v>3.2075251309304574E-2</v>
      </c>
      <c r="M1372" s="10">
        <f t="shared" si="185"/>
        <v>7.1895290450044429E-3</v>
      </c>
      <c r="N1372" s="10">
        <f t="shared" si="186"/>
        <v>0.2501969699807538</v>
      </c>
      <c r="O1372" s="10">
        <f t="shared" si="187"/>
        <v>0.35914654449109706</v>
      </c>
      <c r="P1372" s="10">
        <f t="shared" si="188"/>
        <v>3.6234949738448791E-2</v>
      </c>
      <c r="Q1372" s="66">
        <f t="shared" si="191"/>
        <v>2</v>
      </c>
      <c r="R1372" s="10">
        <f t="shared" si="189"/>
        <v>1.0183342770089949E-5</v>
      </c>
      <c r="V1372" s="10">
        <f t="shared" si="190"/>
        <v>1.8112207630991166E-4</v>
      </c>
    </row>
    <row r="1373" spans="11:22">
      <c r="K1373" s="66">
        <v>68.05</v>
      </c>
      <c r="L1373" s="10">
        <f t="shared" si="184"/>
        <v>3.1675777141973956E-2</v>
      </c>
      <c r="M1373" s="10">
        <f t="shared" si="185"/>
        <v>7.0613471214706338E-3</v>
      </c>
      <c r="N1373" s="10">
        <f t="shared" si="186"/>
        <v>0.25110296596567178</v>
      </c>
      <c r="O1373" s="10">
        <f t="shared" si="187"/>
        <v>0.36044721889643949</v>
      </c>
      <c r="P1373" s="10">
        <f t="shared" si="188"/>
        <v>3.6146662014227005E-2</v>
      </c>
      <c r="Q1373" s="66">
        <f t="shared" si="191"/>
        <v>4</v>
      </c>
      <c r="R1373" s="10">
        <f t="shared" si="189"/>
        <v>1.9777670229577167E-5</v>
      </c>
      <c r="V1373" s="10">
        <f t="shared" si="190"/>
        <v>3.5635120001524393E-4</v>
      </c>
    </row>
    <row r="1374" spans="11:22">
      <c r="K1374" s="66">
        <v>68.099999999999994</v>
      </c>
      <c r="L1374" s="10">
        <f t="shared" si="184"/>
        <v>3.127985856933322E-2</v>
      </c>
      <c r="M1374" s="10">
        <f t="shared" si="185"/>
        <v>6.9349987101672405E-3</v>
      </c>
      <c r="N1374" s="10">
        <f t="shared" si="186"/>
        <v>0.25201224399245087</v>
      </c>
      <c r="O1374" s="10">
        <f t="shared" si="187"/>
        <v>0.36175260509732687</v>
      </c>
      <c r="P1374" s="10">
        <f t="shared" si="188"/>
        <v>3.6058589406137792E-2</v>
      </c>
      <c r="Q1374" s="66">
        <f t="shared" si="191"/>
        <v>2</v>
      </c>
      <c r="R1374" s="10">
        <f t="shared" si="189"/>
        <v>9.6017834426514496E-6</v>
      </c>
      <c r="V1374" s="10">
        <f t="shared" si="190"/>
        <v>1.752649650272904E-4</v>
      </c>
    </row>
    <row r="1375" spans="11:22">
      <c r="K1375" s="66">
        <v>68.150000000000006</v>
      </c>
      <c r="L1375" s="10">
        <f t="shared" si="184"/>
        <v>3.0887481781395512E-2</v>
      </c>
      <c r="M1375" s="10">
        <f t="shared" si="185"/>
        <v>6.8104657124905543E-3</v>
      </c>
      <c r="N1375" s="10">
        <f t="shared" si="186"/>
        <v>0.25292481595054583</v>
      </c>
      <c r="O1375" s="10">
        <f t="shared" si="187"/>
        <v>0.36306272016261043</v>
      </c>
      <c r="P1375" s="10">
        <f t="shared" si="188"/>
        <v>3.5970731390043018E-2</v>
      </c>
      <c r="Q1375" s="66">
        <f t="shared" si="191"/>
        <v>4</v>
      </c>
      <c r="R1375" s="10">
        <f t="shared" si="189"/>
        <v>1.8644060240529897E-5</v>
      </c>
      <c r="V1375" s="10">
        <f t="shared" si="190"/>
        <v>3.4477989349360422E-4</v>
      </c>
    </row>
    <row r="1376" spans="11:22">
      <c r="K1376" s="66">
        <v>68.2</v>
      </c>
      <c r="L1376" s="10">
        <f t="shared" si="184"/>
        <v>3.0498632835202648E-2</v>
      </c>
      <c r="M1376" s="10">
        <f t="shared" si="185"/>
        <v>6.6877300836480254E-3</v>
      </c>
      <c r="N1376" s="10">
        <f t="shared" si="186"/>
        <v>0.25384069377248258</v>
      </c>
      <c r="O1376" s="10">
        <f t="shared" si="187"/>
        <v>0.3643775812229732</v>
      </c>
      <c r="P1376" s="10">
        <f t="shared" si="188"/>
        <v>3.5883087443081871E-2</v>
      </c>
      <c r="Q1376" s="66">
        <f t="shared" si="191"/>
        <v>2</v>
      </c>
      <c r="R1376" s="10">
        <f t="shared" si="189"/>
        <v>9.0494200275251808E-6</v>
      </c>
      <c r="V1376" s="10">
        <f t="shared" si="190"/>
        <v>1.6955031862256448E-4</v>
      </c>
    </row>
    <row r="1377" spans="11:22">
      <c r="K1377" s="66">
        <v>68.25</v>
      </c>
      <c r="L1377" s="10">
        <f t="shared" si="184"/>
        <v>3.0113297656408123E-2</v>
      </c>
      <c r="M1377" s="10">
        <f t="shared" si="185"/>
        <v>6.5667738342350219E-3</v>
      </c>
      <c r="N1377" s="10">
        <f t="shared" si="186"/>
        <v>0.25475988943401329</v>
      </c>
      <c r="O1377" s="10">
        <f t="shared" si="187"/>
        <v>0.36569720547115642</v>
      </c>
      <c r="P1377" s="10">
        <f t="shared" si="188"/>
        <v>3.5795657043667335E-2</v>
      </c>
      <c r="Q1377" s="66">
        <f t="shared" si="191"/>
        <v>4</v>
      </c>
      <c r="R1377" s="10">
        <f t="shared" si="189"/>
        <v>1.7567601073501826E-5</v>
      </c>
      <c r="V1377" s="10">
        <f t="shared" si="190"/>
        <v>3.3349170449112098E-4</v>
      </c>
    </row>
    <row r="1378" spans="11:22">
      <c r="K1378" s="66">
        <v>68.3</v>
      </c>
      <c r="L1378" s="10">
        <f t="shared" si="184"/>
        <v>2.9731462040876455E-2</v>
      </c>
      <c r="M1378" s="10">
        <f t="shared" si="185"/>
        <v>6.4475790317941387E-3</v>
      </c>
      <c r="N1378" s="10">
        <f t="shared" si="186"/>
        <v>0.2556824149542733</v>
      </c>
      <c r="O1378" s="10">
        <f t="shared" si="187"/>
        <v>0.36702161016218393</v>
      </c>
      <c r="P1378" s="10">
        <f t="shared" si="188"/>
        <v>3.5708439671483357E-2</v>
      </c>
      <c r="Q1378" s="66">
        <f t="shared" si="191"/>
        <v>2</v>
      </c>
      <c r="R1378" s="10">
        <f t="shared" si="189"/>
        <v>8.5250214915544507E-6</v>
      </c>
      <c r="V1378" s="10">
        <f t="shared" si="190"/>
        <v>1.6397631739739659E-4</v>
      </c>
    </row>
    <row r="1379" spans="11:22">
      <c r="K1379" s="66">
        <v>68.349999999999994</v>
      </c>
      <c r="L1379" s="10">
        <f t="shared" si="184"/>
        <v>2.9353111656298739E-2</v>
      </c>
      <c r="M1379" s="10">
        <f t="shared" si="185"/>
        <v>6.3301278023569409E-3</v>
      </c>
      <c r="N1379" s="10">
        <f t="shared" si="186"/>
        <v>0.25660828239593864</v>
      </c>
      <c r="O1379" s="10">
        <f t="shared" si="187"/>
        <v>0.36835081261358643</v>
      </c>
      <c r="P1379" s="10">
        <f t="shared" si="188"/>
        <v>3.5621434807481638E-2</v>
      </c>
      <c r="Q1379" s="66">
        <f t="shared" si="191"/>
        <v>4</v>
      </c>
      <c r="R1379" s="10">
        <f t="shared" si="189"/>
        <v>1.6545870370960795E-5</v>
      </c>
      <c r="V1379" s="10">
        <f t="shared" si="190"/>
        <v>3.2248296421265646E-4</v>
      </c>
    </row>
    <row r="1380" spans="11:22">
      <c r="K1380" s="66">
        <v>68.400000000000006</v>
      </c>
      <c r="L1380" s="10">
        <f t="shared" si="184"/>
        <v>2.8978232043822626E-2</v>
      </c>
      <c r="M1380" s="10">
        <f t="shared" si="185"/>
        <v>6.2144023319674413E-3</v>
      </c>
      <c r="N1380" s="10">
        <f t="shared" si="186"/>
        <v>0.25753750386538304</v>
      </c>
      <c r="O1380" s="10">
        <f t="shared" si="187"/>
        <v>0.36968483020562942</v>
      </c>
      <c r="P1380" s="10">
        <f t="shared" si="188"/>
        <v>3.5534641933878494E-2</v>
      </c>
      <c r="Q1380" s="66">
        <f t="shared" si="191"/>
        <v>2</v>
      </c>
      <c r="R1380" s="10">
        <f t="shared" si="189"/>
        <v>8.0273963404215635E-6</v>
      </c>
      <c r="V1380" s="10">
        <f t="shared" si="190"/>
        <v>1.5854111270324138E-4</v>
      </c>
    </row>
    <row r="1381" spans="11:22">
      <c r="K1381" s="66">
        <v>68.45</v>
      </c>
      <c r="L1381" s="10">
        <f t="shared" si="184"/>
        <v>2.860680861969828E-2</v>
      </c>
      <c r="M1381" s="10">
        <f t="shared" si="185"/>
        <v>6.1003848681875734E-3</v>
      </c>
      <c r="N1381" s="10">
        <f t="shared" si="186"/>
        <v>0.25847009151283579</v>
      </c>
      <c r="O1381" s="10">
        <f t="shared" si="187"/>
        <v>0.37102368038153816</v>
      </c>
      <c r="P1381" s="10">
        <f t="shared" si="188"/>
        <v>3.5448060534151983E-2</v>
      </c>
      <c r="Q1381" s="66">
        <f t="shared" si="191"/>
        <v>4</v>
      </c>
      <c r="R1381" s="10">
        <f t="shared" si="189"/>
        <v>1.5576524169646199E-5</v>
      </c>
      <c r="V1381" s="10">
        <f t="shared" si="190"/>
        <v>3.1174994775517024E-4</v>
      </c>
    </row>
    <row r="1382" spans="11:22">
      <c r="K1382" s="66">
        <v>68.5</v>
      </c>
      <c r="L1382" s="10">
        <f t="shared" si="184"/>
        <v>2.8238826676938868E-2</v>
      </c>
      <c r="M1382" s="10">
        <f t="shared" si="185"/>
        <v>5.988057721584031E-3</v>
      </c>
      <c r="N1382" s="10">
        <f t="shared" si="186"/>
        <v>0.25940605753254276</v>
      </c>
      <c r="O1382" s="10">
        <f t="shared" si="187"/>
        <v>0.37236738064772978</v>
      </c>
      <c r="P1382" s="10">
        <f t="shared" si="188"/>
        <v>3.5361690093038529E-2</v>
      </c>
      <c r="Q1382" s="66">
        <f t="shared" si="191"/>
        <v>2</v>
      </c>
      <c r="R1382" s="10">
        <f t="shared" si="189"/>
        <v>7.555391931684047E-6</v>
      </c>
      <c r="V1382" s="10">
        <f t="shared" si="190"/>
        <v>1.5324282873323169E-4</v>
      </c>
    </row>
    <row r="1383" spans="11:22">
      <c r="K1383" s="66">
        <v>68.55</v>
      </c>
      <c r="L1383" s="10">
        <f t="shared" si="184"/>
        <v>2.7874271386996174E-2</v>
      </c>
      <c r="M1383" s="10">
        <f t="shared" si="185"/>
        <v>5.8774032671965017E-3</v>
      </c>
      <c r="N1383" s="10">
        <f t="shared" si="186"/>
        <v>0.26034541416292334</v>
      </c>
      <c r="O1383" s="10">
        <f t="shared" si="187"/>
        <v>0.37371594857403817</v>
      </c>
      <c r="P1383" s="10">
        <f t="shared" si="188"/>
        <v>3.527553009653011E-2</v>
      </c>
      <c r="Q1383" s="66">
        <f t="shared" si="191"/>
        <v>4</v>
      </c>
      <c r="R1383" s="10">
        <f t="shared" si="189"/>
        <v>1.4657295512733433E-5</v>
      </c>
      <c r="V1383" s="10">
        <f t="shared" si="190"/>
        <v>3.0128887768850876E-4</v>
      </c>
    </row>
    <row r="1384" spans="11:22">
      <c r="K1384" s="66">
        <v>68.599999999999994</v>
      </c>
      <c r="L1384" s="10">
        <f t="shared" si="184"/>
        <v>2.7513127801449776E-2</v>
      </c>
      <c r="M1384" s="10">
        <f t="shared" si="185"/>
        <v>5.7684039459867517E-3</v>
      </c>
      <c r="N1384" s="10">
        <f t="shared" si="186"/>
        <v>0.26128817368673179</v>
      </c>
      <c r="O1384" s="10">
        <f t="shared" si="187"/>
        <v>0.37506940179394543</v>
      </c>
      <c r="P1384" s="10">
        <f t="shared" si="188"/>
        <v>3.518958003187108E-2</v>
      </c>
      <c r="Q1384" s="66">
        <f t="shared" si="191"/>
        <v>2</v>
      </c>
      <c r="R1384" s="10">
        <f t="shared" si="189"/>
        <v>7.1078937742231303E-6</v>
      </c>
      <c r="V1384" s="10">
        <f t="shared" si="190"/>
        <v>1.480795643106026E-4</v>
      </c>
    </row>
    <row r="1385" spans="11:22">
      <c r="K1385" s="66">
        <v>68.650000000000006</v>
      </c>
      <c r="L1385" s="10">
        <f t="shared" si="184"/>
        <v>2.715538085371165E-2</v>
      </c>
      <c r="M1385" s="10">
        <f t="shared" si="185"/>
        <v>5.6610422662688488E-3</v>
      </c>
      <c r="N1385" s="10">
        <f t="shared" si="186"/>
        <v>0.2622343484312184</v>
      </c>
      <c r="O1385" s="10">
        <f t="shared" si="187"/>
        <v>0.37642775800481365</v>
      </c>
      <c r="P1385" s="10">
        <f t="shared" si="188"/>
        <v>3.510383938755509E-2</v>
      </c>
      <c r="Q1385" s="66">
        <f t="shared" si="191"/>
        <v>4</v>
      </c>
      <c r="R1385" s="10">
        <f t="shared" si="189"/>
        <v>1.3785993036098924E-5</v>
      </c>
      <c r="V1385" s="10">
        <f t="shared" si="190"/>
        <v>2.9109592762734197E-4</v>
      </c>
    </row>
    <row r="1386" spans="11:22">
      <c r="K1386" s="66">
        <v>68.7</v>
      </c>
      <c r="L1386" s="10">
        <f t="shared" si="184"/>
        <v>2.6801015360743842E-2</v>
      </c>
      <c r="M1386" s="10">
        <f t="shared" si="185"/>
        <v>5.5553008051197001E-3</v>
      </c>
      <c r="N1386" s="10">
        <f t="shared" si="186"/>
        <v>0.26318395076828865</v>
      </c>
      <c r="O1386" s="10">
        <f t="shared" si="187"/>
        <v>0.37779103496811295</v>
      </c>
      <c r="P1386" s="10">
        <f t="shared" si="188"/>
        <v>3.5018307653322187E-2</v>
      </c>
      <c r="Q1386" s="66">
        <f t="shared" si="191"/>
        <v>2</v>
      </c>
      <c r="R1386" s="10">
        <f t="shared" si="189"/>
        <v>6.6838248153768799E-6</v>
      </c>
      <c r="V1386" s="10">
        <f t="shared" si="190"/>
        <v>1.4304939467173262E-4</v>
      </c>
    </row>
    <row r="1387" spans="11:22">
      <c r="K1387" s="66">
        <v>68.75</v>
      </c>
      <c r="L1387" s="10">
        <f t="shared" si="184"/>
        <v>2.64500160247895E-2</v>
      </c>
      <c r="M1387" s="10">
        <f t="shared" si="185"/>
        <v>5.451162209769966E-3</v>
      </c>
      <c r="N1387" s="10">
        <f t="shared" si="186"/>
        <v>0.26413699311466693</v>
      </c>
      <c r="O1387" s="10">
        <f t="shared" si="187"/>
        <v>0.37915925050965693</v>
      </c>
      <c r="P1387" s="10">
        <f t="shared" si="188"/>
        <v>3.4932984320155624E-2</v>
      </c>
      <c r="Q1387" s="66">
        <f t="shared" si="191"/>
        <v>4</v>
      </c>
      <c r="R1387" s="10">
        <f t="shared" si="189"/>
        <v>1.2960499531218169E-5</v>
      </c>
      <c r="V1387" s="10">
        <f t="shared" si="190"/>
        <v>2.8116722579046106E-4</v>
      </c>
    </row>
    <row r="1388" spans="11:22">
      <c r="K1388" s="66">
        <v>68.8</v>
      </c>
      <c r="L1388" s="10">
        <f t="shared" si="184"/>
        <v>2.6102367435117752E-2</v>
      </c>
      <c r="M1388" s="10">
        <f t="shared" si="185"/>
        <v>5.3486091989752276E-3</v>
      </c>
      <c r="N1388" s="10">
        <f t="shared" si="186"/>
        <v>0.26509348793205789</v>
      </c>
      <c r="O1388" s="10">
        <f t="shared" si="187"/>
        <v>0.38053242251983516</v>
      </c>
      <c r="P1388" s="10">
        <f t="shared" si="188"/>
        <v>3.4847868880278916E-2</v>
      </c>
      <c r="Q1388" s="66">
        <f t="shared" si="191"/>
        <v>2</v>
      </c>
      <c r="R1388" s="10">
        <f t="shared" si="189"/>
        <v>6.2821447170163366E-6</v>
      </c>
      <c r="V1388" s="10">
        <f t="shared" si="190"/>
        <v>1.3815037324191342E-4</v>
      </c>
    </row>
    <row r="1389" spans="11:22">
      <c r="K1389" s="66">
        <v>68.849999999999994</v>
      </c>
      <c r="L1389" s="10">
        <f t="shared" si="184"/>
        <v>2.5758054069781842E-2</v>
      </c>
      <c r="M1389" s="10">
        <f t="shared" si="185"/>
        <v>5.2476245643671504E-3</v>
      </c>
      <c r="N1389" s="10">
        <f t="shared" si="186"/>
        <v>0.26605344772731032</v>
      </c>
      <c r="O1389" s="10">
        <f t="shared" si="187"/>
        <v>0.38191056895384562</v>
      </c>
      <c r="P1389" s="10">
        <f t="shared" si="188"/>
        <v>3.4762960827152745E-2</v>
      </c>
      <c r="Q1389" s="66">
        <f t="shared" si="191"/>
        <v>4</v>
      </c>
      <c r="R1389" s="10">
        <f t="shared" si="189"/>
        <v>1.217877048719076E-5</v>
      </c>
      <c r="V1389" s="10">
        <f t="shared" si="190"/>
        <v>2.714988585436007E-4</v>
      </c>
    </row>
    <row r="1390" spans="11:22">
      <c r="K1390" s="66">
        <v>68.900000000000006</v>
      </c>
      <c r="L1390" s="10">
        <f t="shared" si="184"/>
        <v>2.5417060297389358E-2</v>
      </c>
      <c r="M1390" s="10">
        <f t="shared" si="185"/>
        <v>5.148191171784223E-3</v>
      </c>
      <c r="N1390" s="10">
        <f t="shared" si="186"/>
        <v>0.2670168850525797</v>
      </c>
      <c r="O1390" s="10">
        <f t="shared" si="187"/>
        <v>0.38329370783193051</v>
      </c>
      <c r="P1390" s="10">
        <f t="shared" si="188"/>
        <v>3.4678259655472041E-2</v>
      </c>
      <c r="Q1390" s="66">
        <f t="shared" si="191"/>
        <v>2</v>
      </c>
      <c r="R1390" s="10">
        <f t="shared" si="189"/>
        <v>5.9018491218042677E-6</v>
      </c>
      <c r="V1390" s="10">
        <f t="shared" si="190"/>
        <v>1.3338053340195639E-4</v>
      </c>
    </row>
    <row r="1391" spans="11:22">
      <c r="K1391" s="66">
        <v>68.95</v>
      </c>
      <c r="L1391" s="10">
        <f t="shared" si="184"/>
        <v>2.5079370378885271E-2</v>
      </c>
      <c r="M1391" s="10">
        <f t="shared" si="185"/>
        <v>5.0502919625821747E-3</v>
      </c>
      <c r="N1391" s="10">
        <f t="shared" si="186"/>
        <v>0.2679838125054918</v>
      </c>
      <c r="O1391" s="10">
        <f t="shared" si="187"/>
        <v>0.38468185723961212</v>
      </c>
      <c r="P1391" s="10">
        <f t="shared" si="188"/>
        <v>3.4593764861162932E-2</v>
      </c>
      <c r="Q1391" s="66">
        <f t="shared" si="191"/>
        <v>4</v>
      </c>
      <c r="R1391" s="10">
        <f t="shared" si="189"/>
        <v>1.1438832614364029E-5</v>
      </c>
      <c r="V1391" s="10">
        <f t="shared" si="190"/>
        <v>2.6208687392214165E-4</v>
      </c>
    </row>
    <row r="1392" spans="11:22">
      <c r="K1392" s="66">
        <v>69</v>
      </c>
      <c r="L1392" s="10">
        <f t="shared" si="184"/>
        <v>2.4744968469347071E-2</v>
      </c>
      <c r="M1392" s="10">
        <f t="shared" si="185"/>
        <v>4.9539099549236569E-3</v>
      </c>
      <c r="N1392" s="10">
        <f t="shared" si="186"/>
        <v>0.26895424272931029</v>
      </c>
      <c r="O1392" s="10">
        <f t="shared" si="187"/>
        <v>0.38607503532792942</v>
      </c>
      <c r="P1392" s="10">
        <f t="shared" si="188"/>
        <v>3.4509475941379798E-2</v>
      </c>
      <c r="Q1392" s="66">
        <f t="shared" si="191"/>
        <v>2</v>
      </c>
      <c r="R1392" s="10">
        <f t="shared" si="189"/>
        <v>5.5419689108620421E-6</v>
      </c>
      <c r="V1392" s="10">
        <f t="shared" si="190"/>
        <v>1.2873789024381942E-4</v>
      </c>
    </row>
    <row r="1393" spans="11:22">
      <c r="K1393" s="66">
        <v>69.05</v>
      </c>
      <c r="L1393" s="10">
        <f t="shared" si="184"/>
        <v>2.441383861979244E-2</v>
      </c>
      <c r="M1393" s="10">
        <f t="shared" si="185"/>
        <v>4.8590282450473197E-3</v>
      </c>
      <c r="N1393" s="10">
        <f t="shared" si="186"/>
        <v>0.26992818841309718</v>
      </c>
      <c r="O1393" s="10">
        <f t="shared" si="187"/>
        <v>0.38747326031367213</v>
      </c>
      <c r="P1393" s="10">
        <f t="shared" si="188"/>
        <v>3.4425392394501923E-2</v>
      </c>
      <c r="Q1393" s="66">
        <f t="shared" si="191"/>
        <v>4</v>
      </c>
      <c r="R1393" s="10">
        <f t="shared" si="189"/>
        <v>1.073878235197787E-5</v>
      </c>
      <c r="V1393" s="10">
        <f t="shared" si="190"/>
        <v>2.529272851300029E-4</v>
      </c>
    </row>
    <row r="1394" spans="11:22">
      <c r="K1394" s="66">
        <v>69.099999999999994</v>
      </c>
      <c r="L1394" s="10">
        <f t="shared" si="184"/>
        <v>2.4085964778996365E-2</v>
      </c>
      <c r="M1394" s="10">
        <f t="shared" si="185"/>
        <v>4.7656300085153402E-3</v>
      </c>
      <c r="N1394" s="10">
        <f t="shared" si="186"/>
        <v>0.2709056622918844</v>
      </c>
      <c r="O1394" s="10">
        <f t="shared" si="187"/>
        <v>0.38887655047962638</v>
      </c>
      <c r="P1394" s="10">
        <f t="shared" si="188"/>
        <v>3.434151372013123E-2</v>
      </c>
      <c r="Q1394" s="66">
        <f t="shared" si="191"/>
        <v>2</v>
      </c>
      <c r="R1394" s="10">
        <f t="shared" si="189"/>
        <v>5.2015694540466586E-6</v>
      </c>
      <c r="V1394" s="10">
        <f t="shared" si="190"/>
        <v>1.2422044231342983E-4</v>
      </c>
    </row>
    <row r="1395" spans="11:22">
      <c r="K1395" s="66">
        <v>69.150000000000006</v>
      </c>
      <c r="L1395" s="10">
        <f t="shared" si="184"/>
        <v>2.3761330795322666E-2</v>
      </c>
      <c r="M1395" s="10">
        <f t="shared" si="185"/>
        <v>4.6736985014405241E-3</v>
      </c>
      <c r="N1395" s="10">
        <f t="shared" si="186"/>
        <v>0.27188667714683679</v>
      </c>
      <c r="O1395" s="10">
        <f t="shared" si="187"/>
        <v>0.39028492417480626</v>
      </c>
      <c r="P1395" s="10">
        <f t="shared" si="188"/>
        <v>3.4257839419088602E-2</v>
      </c>
      <c r="Q1395" s="66">
        <f t="shared" si="191"/>
        <v>4</v>
      </c>
      <c r="R1395" s="10">
        <f t="shared" si="189"/>
        <v>1.0076784362218079E-5</v>
      </c>
      <c r="V1395" s="10">
        <f t="shared" si="190"/>
        <v>2.4401607401114953E-4</v>
      </c>
    </row>
    <row r="1396" spans="11:22">
      <c r="K1396" s="66">
        <v>69.2</v>
      </c>
      <c r="L1396" s="10">
        <f t="shared" si="184"/>
        <v>2.3439920418564061E-2</v>
      </c>
      <c r="M1396" s="10">
        <f t="shared" si="185"/>
        <v>4.5832170616915413E-3</v>
      </c>
      <c r="N1396" s="10">
        <f t="shared" si="186"/>
        <v>0.27287124580541877</v>
      </c>
      <c r="O1396" s="10">
        <f t="shared" si="187"/>
        <v>0.39169839981469623</v>
      </c>
      <c r="P1396" s="10">
        <f t="shared" si="188"/>
        <v>3.4174368993411301E-2</v>
      </c>
      <c r="Q1396" s="66">
        <f t="shared" si="191"/>
        <v>2</v>
      </c>
      <c r="R1396" s="10">
        <f t="shared" si="189"/>
        <v>4.8797498540195045E-6</v>
      </c>
      <c r="V1396" s="10">
        <f t="shared" si="190"/>
        <v>1.198261733389335E-4</v>
      </c>
    </row>
    <row r="1397" spans="11:22">
      <c r="K1397" s="66">
        <v>69.25</v>
      </c>
      <c r="L1397" s="10">
        <f t="shared" si="184"/>
        <v>2.3121717301793635E-2</v>
      </c>
      <c r="M1397" s="10">
        <f t="shared" si="185"/>
        <v>4.4941691100767569E-3</v>
      </c>
      <c r="N1397" s="10">
        <f t="shared" si="186"/>
        <v>0.27385938114156433</v>
      </c>
      <c r="O1397" s="10">
        <f t="shared" si="187"/>
        <v>0.39311699588149318</v>
      </c>
      <c r="P1397" s="10">
        <f t="shared" si="188"/>
        <v>3.4091101946349837E-2</v>
      </c>
      <c r="Q1397" s="66">
        <f t="shared" si="191"/>
        <v>4</v>
      </c>
      <c r="R1397" s="10">
        <f t="shared" si="189"/>
        <v>9.4510700130198091E-6</v>
      </c>
      <c r="V1397" s="10">
        <f t="shared" si="190"/>
        <v>2.3534919449023781E-4</v>
      </c>
    </row>
    <row r="1398" spans="11:22">
      <c r="K1398" s="66">
        <v>69.3</v>
      </c>
      <c r="L1398" s="10">
        <f t="shared" si="184"/>
        <v>2.2806705003226495E-2</v>
      </c>
      <c r="M1398" s="10">
        <f t="shared" si="185"/>
        <v>4.4065381515063957E-3</v>
      </c>
      <c r="N1398" s="10">
        <f t="shared" si="186"/>
        <v>0.27485109607584379</v>
      </c>
      <c r="O1398" s="10">
        <f t="shared" si="187"/>
        <v>0.39454073092434772</v>
      </c>
      <c r="P1398" s="10">
        <f t="shared" si="188"/>
        <v>3.4008037782365108E-2</v>
      </c>
      <c r="Q1398" s="66">
        <f t="shared" si="191"/>
        <v>2</v>
      </c>
      <c r="R1398" s="10">
        <f t="shared" si="189"/>
        <v>4.5756421852669076E-6</v>
      </c>
      <c r="V1398" s="10">
        <f t="shared" si="190"/>
        <v>1.1555305394265402E-4</v>
      </c>
    </row>
    <row r="1399" spans="11:22">
      <c r="K1399" s="66">
        <v>69.349999999999994</v>
      </c>
      <c r="L1399" s="10">
        <f t="shared" si="184"/>
        <v>2.2494866988092013E-2</v>
      </c>
      <c r="M1399" s="10">
        <f t="shared" si="185"/>
        <v>4.3203077761331185E-3</v>
      </c>
      <c r="N1399" s="10">
        <f t="shared" si="186"/>
        <v>0.27584640357563406</v>
      </c>
      <c r="O1399" s="10">
        <f t="shared" si="187"/>
        <v>0.39596962355960547</v>
      </c>
      <c r="P1399" s="10">
        <f t="shared" si="188"/>
        <v>3.3925176007125364E-2</v>
      </c>
      <c r="Q1399" s="66">
        <f t="shared" si="191"/>
        <v>4</v>
      </c>
      <c r="R1399" s="10">
        <f t="shared" si="189"/>
        <v>8.8599358519097737E-6</v>
      </c>
      <c r="V1399" s="10">
        <f t="shared" si="190"/>
        <v>2.2692257597892808E-4</v>
      </c>
    </row>
    <row r="1400" spans="11:22">
      <c r="K1400" s="66">
        <v>69.400000000000006</v>
      </c>
      <c r="L1400" s="10">
        <f t="shared" si="184"/>
        <v>2.2186186630515026E-2</v>
      </c>
      <c r="M1400" s="10">
        <f t="shared" si="185"/>
        <v>4.2354616604703341E-3</v>
      </c>
      <c r="N1400" s="10">
        <f t="shared" si="186"/>
        <v>0.27684531665528678</v>
      </c>
      <c r="O1400" s="10">
        <f t="shared" si="187"/>
        <v>0.39740369247105123</v>
      </c>
      <c r="P1400" s="10">
        <f t="shared" si="188"/>
        <v>3.3842516127503337E-2</v>
      </c>
      <c r="Q1400" s="66">
        <f t="shared" si="191"/>
        <v>2</v>
      </c>
      <c r="R1400" s="10">
        <f t="shared" si="189"/>
        <v>4.2884107292030208E-6</v>
      </c>
      <c r="V1400" s="10">
        <f t="shared" si="190"/>
        <v>1.1139904333504193E-4</v>
      </c>
    </row>
    <row r="1401" spans="11:22">
      <c r="K1401" s="66">
        <v>69.45</v>
      </c>
      <c r="L1401" s="10">
        <f t="shared" si="184"/>
        <v>2.1880647215406633E-2</v>
      </c>
      <c r="M1401" s="10">
        <f t="shared" si="185"/>
        <v>4.1519835684886118E-3</v>
      </c>
      <c r="N1401" s="10">
        <f t="shared" si="186"/>
        <v>0.2778478483762985</v>
      </c>
      <c r="O1401" s="10">
        <f t="shared" si="187"/>
        <v>0.39884295641015355</v>
      </c>
      <c r="P1401" s="10">
        <f t="shared" si="188"/>
        <v>3.3760057651573312E-2</v>
      </c>
      <c r="Q1401" s="66">
        <f t="shared" si="191"/>
        <v>4</v>
      </c>
      <c r="R1401" s="10">
        <f t="shared" si="189"/>
        <v>8.3017420731313427E-6</v>
      </c>
      <c r="V1401" s="10">
        <f t="shared" si="190"/>
        <v>2.1873212674457219E-4</v>
      </c>
    </row>
    <row r="1402" spans="11:22">
      <c r="K1402" s="66">
        <v>69.5</v>
      </c>
      <c r="L1402" s="10">
        <f t="shared" si="184"/>
        <v>2.1578231940364224E-2</v>
      </c>
      <c r="M1402" s="10">
        <f t="shared" si="185"/>
        <v>4.0698573526898717E-3</v>
      </c>
      <c r="N1402" s="10">
        <f t="shared" si="186"/>
        <v>0.27885401184748343</v>
      </c>
      <c r="O1402" s="10">
        <f t="shared" si="187"/>
        <v>0.40028743419630958</v>
      </c>
      <c r="P1402" s="10">
        <f t="shared" si="188"/>
        <v>3.3677800088608122E-2</v>
      </c>
      <c r="Q1402" s="66">
        <f t="shared" si="191"/>
        <v>2</v>
      </c>
      <c r="R1402" s="10">
        <f t="shared" si="189"/>
        <v>4.017251206464074E-6</v>
      </c>
      <c r="V1402" s="10">
        <f t="shared" si="190"/>
        <v>1.07362090988993E-4</v>
      </c>
    </row>
    <row r="1403" spans="11:22">
      <c r="K1403" s="66">
        <v>69.55</v>
      </c>
      <c r="L1403" s="10">
        <f t="shared" si="184"/>
        <v>2.1278923917580003E-2</v>
      </c>
      <c r="M1403" s="10">
        <f t="shared" si="185"/>
        <v>3.9890669551592081E-3</v>
      </c>
      <c r="N1403" s="10">
        <f t="shared" si="186"/>
        <v>0.27986382022514256</v>
      </c>
      <c r="O1403" s="10">
        <f t="shared" si="187"/>
        <v>0.40173714471709071</v>
      </c>
      <c r="P1403" s="10">
        <f t="shared" si="188"/>
        <v>3.3595742949076302E-2</v>
      </c>
      <c r="Q1403" s="66">
        <f t="shared" si="191"/>
        <v>4</v>
      </c>
      <c r="R1403" s="10">
        <f t="shared" si="189"/>
        <v>7.7749109802347631E-6</v>
      </c>
      <c r="V1403" s="10">
        <f t="shared" si="190"/>
        <v>2.1077373723798595E-4</v>
      </c>
    </row>
    <row r="1404" spans="11:22">
      <c r="K1404" s="66">
        <v>69.599999999999994</v>
      </c>
      <c r="L1404" s="10">
        <f t="shared" si="184"/>
        <v>2.0982706175757673E-2</v>
      </c>
      <c r="M1404" s="10">
        <f t="shared" si="185"/>
        <v>3.9095964085941936E-3</v>
      </c>
      <c r="N1404" s="10">
        <f t="shared" si="186"/>
        <v>0.2808772867132367</v>
      </c>
      <c r="O1404" s="10">
        <f t="shared" si="187"/>
        <v>0.40319210692849133</v>
      </c>
      <c r="P1404" s="10">
        <f t="shared" si="188"/>
        <v>3.3513885744639114E-2</v>
      </c>
      <c r="Q1404" s="66">
        <f t="shared" si="191"/>
        <v>2</v>
      </c>
      <c r="R1404" s="10">
        <f t="shared" si="189"/>
        <v>3.761390007471079E-6</v>
      </c>
      <c r="V1404" s="10">
        <f t="shared" si="190"/>
        <v>1.034401382929161E-4</v>
      </c>
    </row>
    <row r="1405" spans="11:22">
      <c r="K1405" s="66">
        <v>69.650000000000006</v>
      </c>
      <c r="L1405" s="10">
        <f t="shared" si="184"/>
        <v>2.0689561662037777E-2</v>
      </c>
      <c r="M1405" s="10">
        <f t="shared" si="185"/>
        <v>3.8314298373117988E-3</v>
      </c>
      <c r="N1405" s="10">
        <f t="shared" si="186"/>
        <v>0.28189442456355984</v>
      </c>
      <c r="O1405" s="10">
        <f t="shared" si="187"/>
        <v>0.40465233985517468</v>
      </c>
      <c r="P1405" s="10">
        <f t="shared" si="188"/>
        <v>3.3432227988147697E-2</v>
      </c>
      <c r="Q1405" s="66">
        <f t="shared" si="191"/>
        <v>4</v>
      </c>
      <c r="R1405" s="10">
        <f t="shared" si="189"/>
        <v>7.2779254462620343E-6</v>
      </c>
      <c r="V1405" s="10">
        <f t="shared" si="190"/>
        <v>2.0304328337716367E-4</v>
      </c>
    </row>
    <row r="1406" spans="11:22">
      <c r="K1406" s="66">
        <v>69.7</v>
      </c>
      <c r="L1406" s="10">
        <f t="shared" si="184"/>
        <v>2.0399473243930343E-2</v>
      </c>
      <c r="M1406" s="10">
        <f t="shared" si="185"/>
        <v>3.7545514582325978E-3</v>
      </c>
      <c r="N1406" s="10">
        <f t="shared" si="186"/>
        <v>0.28291524707591031</v>
      </c>
      <c r="O1406" s="10">
        <f t="shared" si="187"/>
        <v>0.40611786259072152</v>
      </c>
      <c r="P1406" s="10">
        <f t="shared" si="188"/>
        <v>3.3350769193640176E-2</v>
      </c>
      <c r="Q1406" s="66">
        <f t="shared" si="191"/>
        <v>2</v>
      </c>
      <c r="R1406" s="10">
        <f t="shared" si="189"/>
        <v>3.5200834223104301E-6</v>
      </c>
      <c r="V1406" s="10">
        <f t="shared" si="190"/>
        <v>9.9631120180996376E-5</v>
      </c>
    </row>
    <row r="1407" spans="11:22">
      <c r="K1407" s="66">
        <v>69.75</v>
      </c>
      <c r="L1407" s="10">
        <f t="shared" si="184"/>
        <v>2.0112423711254421E-2</v>
      </c>
      <c r="M1407" s="10">
        <f t="shared" si="185"/>
        <v>3.6789455818419768E-3</v>
      </c>
      <c r="N1407" s="10">
        <f t="shared" si="186"/>
        <v>0.28393976759826695</v>
      </c>
      <c r="O1407" s="10">
        <f t="shared" si="187"/>
        <v>0.40758869429788125</v>
      </c>
      <c r="P1407" s="10">
        <f t="shared" si="188"/>
        <v>3.3269508876338685E-2</v>
      </c>
      <c r="Q1407" s="66">
        <f t="shared" si="191"/>
        <v>4</v>
      </c>
      <c r="R1407" s="10">
        <f t="shared" si="189"/>
        <v>6.8093273735949045E-6</v>
      </c>
      <c r="V1407" s="10">
        <f t="shared" si="190"/>
        <v>1.9553662978388255E-4</v>
      </c>
    </row>
    <row r="1408" spans="11:22">
      <c r="K1408" s="66">
        <v>69.8</v>
      </c>
      <c r="L1408" s="10">
        <f t="shared" si="184"/>
        <v>1.9828395778085581E-2</v>
      </c>
      <c r="M1408" s="10">
        <f t="shared" si="185"/>
        <v>3.6045966131288908E-3</v>
      </c>
      <c r="N1408" s="10">
        <f t="shared" si="186"/>
        <v>0.28496799952696222</v>
      </c>
      <c r="O1408" s="10">
        <f t="shared" si="187"/>
        <v>0.40906485420882283</v>
      </c>
      <c r="P1408" s="10">
        <f t="shared" si="188"/>
        <v>3.3188446552646585E-2</v>
      </c>
      <c r="Q1408" s="66">
        <f t="shared" si="191"/>
        <v>2</v>
      </c>
      <c r="R1408" s="10">
        <f t="shared" si="189"/>
        <v>3.2926168709514438E-6</v>
      </c>
      <c r="V1408" s="10">
        <f t="shared" si="190"/>
        <v>9.5932966739158482E-5</v>
      </c>
    </row>
    <row r="1409" spans="11:22">
      <c r="K1409" s="66">
        <v>69.849999999999994</v>
      </c>
      <c r="L1409" s="10">
        <f t="shared" si="184"/>
        <v>1.9547372084709455E-2</v>
      </c>
      <c r="M1409" s="10">
        <f t="shared" si="185"/>
        <v>3.531489052501446E-3</v>
      </c>
      <c r="N1409" s="10">
        <f t="shared" si="186"/>
        <v>0.28599995630685865</v>
      </c>
      <c r="O1409" s="10">
        <f t="shared" si="187"/>
        <v>0.41054636162538399</v>
      </c>
      <c r="P1409" s="10">
        <f t="shared" si="188"/>
        <v>3.310758174014547E-2</v>
      </c>
      <c r="Q1409" s="66">
        <f t="shared" si="191"/>
        <v>4</v>
      </c>
      <c r="R1409" s="10">
        <f t="shared" si="189"/>
        <v>6.367716155469271E-6</v>
      </c>
      <c r="V1409" s="10">
        <f t="shared" si="190"/>
        <v>1.8824963297020704E-4</v>
      </c>
    </row>
    <row r="1410" spans="11:22">
      <c r="K1410" s="66">
        <v>69.900000000000006</v>
      </c>
      <c r="L1410" s="10">
        <f t="shared" si="184"/>
        <v>1.9269335199581395E-2</v>
      </c>
      <c r="M1410" s="10">
        <f t="shared" si="185"/>
        <v>3.4596074966794167E-3</v>
      </c>
      <c r="N1410" s="10">
        <f t="shared" si="186"/>
        <v>0.28703565143152321</v>
      </c>
      <c r="O1410" s="10">
        <f t="shared" si="187"/>
        <v>0.41203323591932528</v>
      </c>
      <c r="P1410" s="10">
        <f t="shared" si="188"/>
        <v>3.3026913957592413E-2</v>
      </c>
      <c r="Q1410" s="66">
        <f t="shared" si="191"/>
        <v>2</v>
      </c>
      <c r="R1410" s="10">
        <f t="shared" si="189"/>
        <v>3.0783041347866537E-6</v>
      </c>
      <c r="V1410" s="10">
        <f t="shared" si="190"/>
        <v>9.2343604785263258E-5</v>
      </c>
    </row>
    <row r="1411" spans="11:22">
      <c r="K1411" s="66">
        <v>69.95</v>
      </c>
      <c r="L1411" s="10">
        <f t="shared" si="184"/>
        <v>1.8994267621293061E-2</v>
      </c>
      <c r="M1411" s="10">
        <f t="shared" si="185"/>
        <v>3.3889366395640158E-3</v>
      </c>
      <c r="N1411" s="10">
        <f t="shared" si="186"/>
        <v>0.28807509844340368</v>
      </c>
      <c r="O1411" s="10">
        <f t="shared" si="187"/>
        <v>0.41352549653258303</v>
      </c>
      <c r="P1411" s="10">
        <f t="shared" si="188"/>
        <v>3.2946442724917077E-2</v>
      </c>
      <c r="Q1411" s="66">
        <f t="shared" si="191"/>
        <v>4</v>
      </c>
      <c r="R1411" s="10">
        <f t="shared" si="189"/>
        <v>5.9517471410990638E-6</v>
      </c>
      <c r="V1411" s="10">
        <f t="shared" si="190"/>
        <v>1.8117814447207207E-4</v>
      </c>
    </row>
    <row r="1412" spans="11:22">
      <c r="K1412" s="66">
        <v>70</v>
      </c>
      <c r="L1412" s="10">
        <f t="shared" si="184"/>
        <v>1.8722151780543275E-2</v>
      </c>
      <c r="M1412" s="10">
        <f t="shared" si="185"/>
        <v>3.3194612730840932E-3</v>
      </c>
      <c r="N1412" s="10">
        <f t="shared" si="186"/>
        <v>0.28911831093400858</v>
      </c>
      <c r="O1412" s="10">
        <f t="shared" si="187"/>
        <v>0.41502316297752412</v>
      </c>
      <c r="P1412" s="10">
        <f t="shared" si="188"/>
        <v>3.2866167563218862E-2</v>
      </c>
      <c r="Q1412" s="66">
        <f t="shared" si="191"/>
        <v>2</v>
      </c>
      <c r="R1412" s="10">
        <f t="shared" si="189"/>
        <v>2.8764865904491673E-6</v>
      </c>
      <c r="V1412" s="10">
        <f t="shared" si="190"/>
        <v>8.8860959422144554E-5</v>
      </c>
    </row>
    <row r="1413" spans="11:22">
      <c r="K1413" s="66">
        <v>70.05</v>
      </c>
      <c r="L1413" s="10">
        <f t="shared" si="184"/>
        <v>1.8452970042115484E-2</v>
      </c>
      <c r="M1413" s="10">
        <f t="shared" si="185"/>
        <v>3.2511662880195702E-3</v>
      </c>
      <c r="N1413" s="10">
        <f t="shared" si="186"/>
        <v>0.29016530254407946</v>
      </c>
      <c r="O1413" s="10">
        <f t="shared" si="187"/>
        <v>0.41652625483719752</v>
      </c>
      <c r="P1413" s="10">
        <f t="shared" si="188"/>
        <v>3.2786087994763728E-2</v>
      </c>
      <c r="Q1413" s="66">
        <f t="shared" si="191"/>
        <v>4</v>
      </c>
      <c r="R1413" s="10">
        <f t="shared" si="189"/>
        <v>5.5601301062823644E-6</v>
      </c>
      <c r="V1413" s="10">
        <f t="shared" si="190"/>
        <v>1.7431801392718579E-4</v>
      </c>
    </row>
    <row r="1414" spans="11:22">
      <c r="K1414" s="66">
        <v>70.099999999999994</v>
      </c>
      <c r="L1414" s="10">
        <f t="shared" si="184"/>
        <v>1.8186704706858525E-2</v>
      </c>
      <c r="M1414" s="10">
        <f t="shared" si="185"/>
        <v>3.1840366748011519E-3</v>
      </c>
      <c r="N1414" s="10">
        <f t="shared" si="186"/>
        <v>0.29121608696377577</v>
      </c>
      <c r="O1414" s="10">
        <f t="shared" si="187"/>
        <v>0.41803479176559838</v>
      </c>
      <c r="P1414" s="10">
        <f t="shared" si="188"/>
        <v>3.2706203542982114E-2</v>
      </c>
      <c r="Q1414" s="66">
        <f t="shared" si="191"/>
        <v>2</v>
      </c>
      <c r="R1414" s="10">
        <f t="shared" si="189"/>
        <v>2.6865324468269068E-6</v>
      </c>
      <c r="V1414" s="10">
        <f t="shared" si="190"/>
        <v>8.548295556214061E-5</v>
      </c>
    </row>
    <row r="1415" spans="11:22">
      <c r="K1415" s="66">
        <v>70.150000000000006</v>
      </c>
      <c r="L1415" s="10">
        <f t="shared" si="184"/>
        <v>1.7923338013673743E-2</v>
      </c>
      <c r="M1415" s="10">
        <f t="shared" si="185"/>
        <v>3.1180575242872998E-3</v>
      </c>
      <c r="N1415" s="10">
        <f t="shared" si="186"/>
        <v>0.29227067793284955</v>
      </c>
      <c r="O1415" s="10">
        <f t="shared" si="187"/>
        <v>0.41954879348791674</v>
      </c>
      <c r="P1415" s="10">
        <f t="shared" si="188"/>
        <v>3.2626513732465327E-2</v>
      </c>
      <c r="Q1415" s="66">
        <f t="shared" si="191"/>
        <v>4</v>
      </c>
      <c r="R1415" s="10">
        <f t="shared" si="189"/>
        <v>5.191627731294058E-6</v>
      </c>
      <c r="V1415" s="10">
        <f t="shared" si="190"/>
        <v>1.6766509209459747E-4</v>
      </c>
    </row>
    <row r="1416" spans="11:22">
      <c r="K1416" s="66">
        <v>70.2</v>
      </c>
      <c r="L1416" s="10">
        <f t="shared" si="184"/>
        <v>1.7662852141505248E-2</v>
      </c>
      <c r="M1416" s="10">
        <f t="shared" si="185"/>
        <v>3.0532140285175176E-3</v>
      </c>
      <c r="N1416" s="10">
        <f t="shared" si="186"/>
        <v>0.29332908924082518</v>
      </c>
      <c r="O1416" s="10">
        <f t="shared" si="187"/>
        <v>0.42106827980079847</v>
      </c>
      <c r="P1416" s="10">
        <f t="shared" si="188"/>
        <v>3.2547018088963139E-2</v>
      </c>
      <c r="Q1416" s="66">
        <f t="shared" si="191"/>
        <v>2</v>
      </c>
      <c r="R1416" s="10">
        <f t="shared" si="189"/>
        <v>2.5078359861585263E-6</v>
      </c>
      <c r="V1416" s="10">
        <f t="shared" si="190"/>
        <v>8.2207519421827687E-5</v>
      </c>
    </row>
    <row r="1417" spans="11:22">
      <c r="K1417" s="66">
        <v>70.25</v>
      </c>
      <c r="L1417" s="10">
        <f t="shared" si="184"/>
        <v>1.7405229211333487E-2</v>
      </c>
      <c r="M1417" s="10">
        <f t="shared" si="185"/>
        <v>2.9894914814422792E-3</v>
      </c>
      <c r="N1417" s="10">
        <f t="shared" si="186"/>
        <v>0.29439133472718165</v>
      </c>
      <c r="O1417" s="10">
        <f t="shared" si="187"/>
        <v>0.42259327057260515</v>
      </c>
      <c r="P1417" s="10">
        <f t="shared" si="188"/>
        <v>3.2467716139380806E-2</v>
      </c>
      <c r="Q1417" s="66">
        <f t="shared" si="191"/>
        <v>4</v>
      </c>
      <c r="R1417" s="10">
        <f t="shared" si="189"/>
        <v>4.8450540878027064E-6</v>
      </c>
      <c r="V1417" s="10">
        <f t="shared" si="190"/>
        <v>1.6121523381345911E-4</v>
      </c>
    </row>
    <row r="1418" spans="11:22">
      <c r="K1418" s="66">
        <v>70.3</v>
      </c>
      <c r="L1418" s="10">
        <f t="shared" si="184"/>
        <v>1.7150451288173597E-2</v>
      </c>
      <c r="M1418" s="10">
        <f t="shared" si="185"/>
        <v>2.9268752796298169E-3</v>
      </c>
      <c r="N1418" s="10">
        <f t="shared" si="186"/>
        <v>0.2954574282815321</v>
      </c>
      <c r="O1418" s="10">
        <f t="shared" si="187"/>
        <v>0.42412378574367382</v>
      </c>
      <c r="P1418" s="10">
        <f t="shared" si="188"/>
        <v>3.2388607411776293E-2</v>
      </c>
      <c r="Q1418" s="66">
        <f t="shared" si="191"/>
        <v>2</v>
      </c>
      <c r="R1418" s="10">
        <f t="shared" si="189"/>
        <v>2.3398168100615393E-6</v>
      </c>
      <c r="V1418" s="10">
        <f t="shared" si="190"/>
        <v>7.9032579985734987E-5</v>
      </c>
    </row>
    <row r="1419" spans="11:22">
      <c r="K1419" s="66">
        <v>70.349999999999994</v>
      </c>
      <c r="L1419" s="10">
        <f t="shared" si="184"/>
        <v>1.6898500383075922E-2</v>
      </c>
      <c r="M1419" s="10">
        <f t="shared" si="185"/>
        <v>2.8653509229493346E-3</v>
      </c>
      <c r="N1419" s="10">
        <f t="shared" si="186"/>
        <v>0.29652738384380661</v>
      </c>
      <c r="O1419" s="10">
        <f t="shared" si="187"/>
        <v>0.42565984532657586</v>
      </c>
      <c r="P1419" s="10">
        <f t="shared" si="188"/>
        <v>3.2309691435357488E-2</v>
      </c>
      <c r="Q1419" s="66">
        <f t="shared" si="191"/>
        <v>4</v>
      </c>
      <c r="R1419" s="10">
        <f t="shared" si="189"/>
        <v>4.5192731364720041E-6</v>
      </c>
      <c r="V1419" s="10">
        <f t="shared" si="190"/>
        <v>1.5496430089852832E-4</v>
      </c>
    </row>
    <row r="1420" spans="11:22">
      <c r="K1420" s="66">
        <v>70.400000000000006</v>
      </c>
      <c r="L1420" s="10">
        <f t="shared" ref="L1420:L1483" si="192">(B$7^K1420)*B$8^((B$5^25)*((B$5^K1420)-1))</f>
        <v>1.6649358455129125E-2</v>
      </c>
      <c r="M1420" s="10">
        <f t="shared" ref="M1420:M1483" si="193">(B$7^K1420)*B$8^((B$5^30)*((B$5^K1420)-1))</f>
        <v>2.8049040152308292E-3</v>
      </c>
      <c r="N1420" s="10">
        <f t="shared" si="186"/>
        <v>0.29760121540443329</v>
      </c>
      <c r="O1420" s="10">
        <f t="shared" si="187"/>
        <v>0.4272014694063801</v>
      </c>
      <c r="P1420" s="10">
        <f t="shared" si="188"/>
        <v>3.2230967740479365E-2</v>
      </c>
      <c r="Q1420" s="66">
        <f t="shared" si="191"/>
        <v>2</v>
      </c>
      <c r="R1420" s="10">
        <f t="shared" si="189"/>
        <v>2.181919091305239E-6</v>
      </c>
      <c r="V1420" s="10">
        <f t="shared" si="190"/>
        <v>7.59560704378595E-5</v>
      </c>
    </row>
    <row r="1421" spans="11:22">
      <c r="K1421" s="66">
        <v>70.45</v>
      </c>
      <c r="L1421" s="10">
        <f t="shared" si="192"/>
        <v>1.6403007413466675E-2</v>
      </c>
      <c r="M1421" s="10">
        <f t="shared" si="193"/>
        <v>2.7455202649016922E-3</v>
      </c>
      <c r="N1421" s="10">
        <f t="shared" ref="N1421:N1484" si="194">B$3+B$4*(B$5^(25+K1421))</f>
        <v>0.29867893700452086</v>
      </c>
      <c r="O1421" s="10">
        <f t="shared" ref="O1421:O1484" si="195">$B$3+$B$4*($B$5^(30+K1421))</f>
        <v>0.42874867814091505</v>
      </c>
      <c r="P1421" s="10">
        <f t="shared" ref="P1421:P1484" si="196">(1+B$6)^-K1421</f>
        <v>3.2152435858641241E-2</v>
      </c>
      <c r="Q1421" s="66">
        <f t="shared" si="191"/>
        <v>4</v>
      </c>
      <c r="R1421" s="10">
        <f t="shared" ref="R1421:R1484" si="197">L1421*M1421*(N1421+O1421)*P1421*Q1421</f>
        <v>4.2131972368397361E-6</v>
      </c>
      <c r="V1421" s="10">
        <f t="shared" si="190"/>
        <v>1.4890816497017256E-4</v>
      </c>
    </row>
    <row r="1422" spans="11:22">
      <c r="K1422" s="66">
        <v>70.5</v>
      </c>
      <c r="L1422" s="10">
        <f t="shared" si="192"/>
        <v>1.6159429119274031E-2</v>
      </c>
      <c r="M1422" s="10">
        <f t="shared" si="193"/>
        <v>2.6871854855996446E-3</v>
      </c>
      <c r="N1422" s="10">
        <f t="shared" si="194"/>
        <v>0.29976056273604468</v>
      </c>
      <c r="O1422" s="10">
        <f t="shared" si="195"/>
        <v>0.43030149176103277</v>
      </c>
      <c r="P1422" s="10">
        <f t="shared" si="196"/>
        <v>3.2074095322483932E-2</v>
      </c>
      <c r="Q1422" s="66">
        <f t="shared" si="191"/>
        <v>2</v>
      </c>
      <c r="R1422" s="10">
        <f t="shared" si="197"/>
        <v>2.03361083210592E-6</v>
      </c>
      <c r="V1422" s="10">
        <f t="shared" ref="V1422:V1485" si="198">(1-L1422)*M1422*O1422*P1422*Q1422</f>
        <v>7.2975929559881026E-5</v>
      </c>
    </row>
    <row r="1423" spans="11:22">
      <c r="K1423" s="66">
        <v>70.55</v>
      </c>
      <c r="L1423" s="10">
        <f t="shared" si="192"/>
        <v>1.5918605387798365E-2</v>
      </c>
      <c r="M1423" s="10">
        <f t="shared" si="193"/>
        <v>2.6298855967625155E-3</v>
      </c>
      <c r="N1423" s="10">
        <f t="shared" si="194"/>
        <v>0.30084610674202827</v>
      </c>
      <c r="O1423" s="10">
        <f t="shared" si="195"/>
        <v>0.43185993057087246</v>
      </c>
      <c r="P1423" s="10">
        <f t="shared" si="196"/>
        <v>3.1995945665786951E-2</v>
      </c>
      <c r="Q1423" s="66">
        <f t="shared" ref="Q1423:Q1486" si="199">IF(Q1422=4,2,4)</f>
        <v>4</v>
      </c>
      <c r="R1423" s="10">
        <f t="shared" si="197"/>
        <v>3.9257856709899415E-6</v>
      </c>
      <c r="V1423" s="10">
        <f t="shared" si="198"/>
        <v>1.4304271021670746E-4</v>
      </c>
    </row>
    <row r="1424" spans="11:22">
      <c r="K1424" s="66">
        <v>70.599999999999994</v>
      </c>
      <c r="L1424" s="10">
        <f t="shared" si="192"/>
        <v>1.5680517990358835E-2</v>
      </c>
      <c r="M1424" s="10">
        <f t="shared" si="193"/>
        <v>2.5736066241944799E-3</v>
      </c>
      <c r="N1424" s="10">
        <f t="shared" si="194"/>
        <v>0.30193558321672942</v>
      </c>
      <c r="O1424" s="10">
        <f t="shared" si="195"/>
        <v>0.43342401494812816</v>
      </c>
      <c r="P1424" s="10">
        <f t="shared" si="196"/>
        <v>3.191798642346582E-2</v>
      </c>
      <c r="Q1424" s="66">
        <f t="shared" si="199"/>
        <v>2</v>
      </c>
      <c r="R1424" s="10">
        <f t="shared" si="197"/>
        <v>1.894383129683885E-6</v>
      </c>
      <c r="V1424" s="10">
        <f t="shared" si="198"/>
        <v>7.0090103095026604E-5</v>
      </c>
    </row>
    <row r="1425" spans="11:22">
      <c r="K1425" s="66">
        <v>70.650000000000006</v>
      </c>
      <c r="L1425" s="10">
        <f t="shared" si="192"/>
        <v>1.5445148656358501E-2</v>
      </c>
      <c r="M1425" s="10">
        <f t="shared" si="193"/>
        <v>2.5183347006091151E-3</v>
      </c>
      <c r="N1425" s="10">
        <f t="shared" si="194"/>
        <v>0.30302900640582681</v>
      </c>
      <c r="O1425" s="10">
        <f t="shared" si="195"/>
        <v>0.43499376534431283</v>
      </c>
      <c r="P1425" s="10">
        <f t="shared" si="196"/>
        <v>3.1840217131569232E-2</v>
      </c>
      <c r="Q1425" s="66">
        <f t="shared" si="199"/>
        <v>4</v>
      </c>
      <c r="R1425" s="10">
        <f t="shared" si="197"/>
        <v>3.6560431824593781E-6</v>
      </c>
      <c r="V1425" s="10">
        <f t="shared" si="198"/>
        <v>1.3736383608701884E-4</v>
      </c>
    </row>
    <row r="1426" spans="11:22">
      <c r="K1426" s="66">
        <v>70.7</v>
      </c>
      <c r="L1426" s="10">
        <f t="shared" si="192"/>
        <v>1.5212479075296232E-2</v>
      </c>
      <c r="M1426" s="10">
        <f t="shared" si="193"/>
        <v>2.4640560661490789E-3</v>
      </c>
      <c r="N1426" s="10">
        <f t="shared" si="194"/>
        <v>0.30412639060660357</v>
      </c>
      <c r="O1426" s="10">
        <f t="shared" si="195"/>
        <v>0.4365692022850256</v>
      </c>
      <c r="P1426" s="10">
        <f t="shared" si="196"/>
        <v>3.1762637327276355E-2</v>
      </c>
      <c r="Q1426" s="66">
        <f t="shared" si="199"/>
        <v>2</v>
      </c>
      <c r="R1426" s="10">
        <f t="shared" si="197"/>
        <v>1.7637494497842215E-6</v>
      </c>
      <c r="V1426" s="10">
        <f t="shared" si="198"/>
        <v>6.7296545076600325E-5</v>
      </c>
    </row>
    <row r="1427" spans="11:22">
      <c r="K1427" s="66">
        <v>70.75</v>
      </c>
      <c r="L1427" s="10">
        <f t="shared" si="192"/>
        <v>1.4982490898778384E-2</v>
      </c>
      <c r="M1427" s="10">
        <f t="shared" si="193"/>
        <v>2.4107570688823693E-3</v>
      </c>
      <c r="N1427" s="10">
        <f t="shared" si="194"/>
        <v>0.30522775016813697</v>
      </c>
      <c r="O1427" s="10">
        <f t="shared" si="195"/>
        <v>0.43815034637022232</v>
      </c>
      <c r="P1427" s="10">
        <f t="shared" si="196"/>
        <v>3.1685246548893993E-2</v>
      </c>
      <c r="Q1427" s="66">
        <f t="shared" si="199"/>
        <v>4</v>
      </c>
      <c r="R1427" s="10">
        <f t="shared" si="197"/>
        <v>3.4030185317467602E-6</v>
      </c>
      <c r="V1427" s="10">
        <f t="shared" si="198"/>
        <v>1.3186745991160563E-4</v>
      </c>
    </row>
    <row r="1428" spans="11:22">
      <c r="K1428" s="66">
        <v>70.8</v>
      </c>
      <c r="L1428" s="10">
        <f t="shared" si="192"/>
        <v>1.4755165742531157E-2</v>
      </c>
      <c r="M1428" s="10">
        <f t="shared" si="193"/>
        <v>2.3584241652756231E-3</v>
      </c>
      <c r="N1428" s="10">
        <f t="shared" si="194"/>
        <v>0.30633309949148441</v>
      </c>
      <c r="O1428" s="10">
        <f t="shared" si="195"/>
        <v>0.43973721827448459</v>
      </c>
      <c r="P1428" s="10">
        <f t="shared" si="196"/>
        <v>3.1608044335853881E-2</v>
      </c>
      <c r="Q1428" s="66">
        <f t="shared" si="199"/>
        <v>2</v>
      </c>
      <c r="R1428" s="10">
        <f t="shared" si="197"/>
        <v>1.6412449088260389E-6</v>
      </c>
      <c r="V1428" s="10">
        <f t="shared" si="198"/>
        <v>6.4593219120263664E-5</v>
      </c>
    </row>
    <row r="1429" spans="11:22">
      <c r="K1429" s="66">
        <v>70.849999999999994</v>
      </c>
      <c r="L1429" s="10">
        <f t="shared" si="192"/>
        <v>1.4530485188411605E-2</v>
      </c>
      <c r="M1429" s="10">
        <f t="shared" si="193"/>
        <v>2.3070439206440215E-3</v>
      </c>
      <c r="N1429" s="10">
        <f t="shared" si="194"/>
        <v>0.30744245302987305</v>
      </c>
      <c r="O1429" s="10">
        <f t="shared" si="195"/>
        <v>0.44132983874728782</v>
      </c>
      <c r="P1429" s="10">
        <f t="shared" si="196"/>
        <v>3.1531030228709969E-2</v>
      </c>
      <c r="Q1429" s="66">
        <f t="shared" si="199"/>
        <v>4</v>
      </c>
      <c r="R1429" s="10">
        <f t="shared" si="197"/>
        <v>3.1658030697132884E-6</v>
      </c>
      <c r="V1429" s="10">
        <f t="shared" si="198"/>
        <v>1.2654951945022518E-4</v>
      </c>
    </row>
    <row r="1430" spans="11:22">
      <c r="K1430" s="66">
        <v>70.900000000000006</v>
      </c>
      <c r="L1430" s="10">
        <f t="shared" si="192"/>
        <v>1.4308430786417654E-2</v>
      </c>
      <c r="M1430" s="10">
        <f t="shared" si="193"/>
        <v>2.2566030095781181E-3</v>
      </c>
      <c r="N1430" s="10">
        <f t="shared" si="194"/>
        <v>0.30855582528888742</v>
      </c>
      <c r="O1430" s="10">
        <f t="shared" si="195"/>
        <v>0.44292822861327474</v>
      </c>
      <c r="P1430" s="10">
        <f t="shared" si="196"/>
        <v>3.145420376913563E-2</v>
      </c>
      <c r="Q1430" s="66">
        <f t="shared" si="199"/>
        <v>2</v>
      </c>
      <c r="R1430" s="10">
        <f t="shared" si="197"/>
        <v>1.5264255653061243E-6</v>
      </c>
      <c r="V1430" s="10">
        <f t="shared" si="198"/>
        <v>6.1978099679205301E-5</v>
      </c>
    </row>
    <row r="1431" spans="11:22">
      <c r="K1431" s="66">
        <v>70.95</v>
      </c>
      <c r="L1431" s="10">
        <f t="shared" si="192"/>
        <v>1.4088984056697411E-2</v>
      </c>
      <c r="M1431" s="10">
        <f t="shared" si="193"/>
        <v>2.2070882163477256E-3</v>
      </c>
      <c r="N1431" s="10">
        <f t="shared" si="194"/>
        <v>0.30967323082665893</v>
      </c>
      <c r="O1431" s="10">
        <f t="shared" si="195"/>
        <v>0.44453240877252681</v>
      </c>
      <c r="P1431" s="10">
        <f t="shared" si="196"/>
        <v>3.1377564499921018E-2</v>
      </c>
      <c r="Q1431" s="66">
        <f t="shared" si="199"/>
        <v>4</v>
      </c>
      <c r="R1431" s="10">
        <f t="shared" si="197"/>
        <v>2.9435293300909347E-6</v>
      </c>
      <c r="V1431" s="10">
        <f t="shared" si="198"/>
        <v>1.2140597536453249E-4</v>
      </c>
    </row>
    <row r="1432" spans="11:22">
      <c r="K1432" s="66">
        <v>71</v>
      </c>
      <c r="L1432" s="10">
        <f t="shared" si="192"/>
        <v>1.3872126491555671E-2</v>
      </c>
      <c r="M1432" s="10">
        <f t="shared" si="193"/>
        <v>2.1584864352825884E-3</v>
      </c>
      <c r="N1432" s="10">
        <f t="shared" si="194"/>
        <v>0.31079468425405915</v>
      </c>
      <c r="O1432" s="10">
        <f t="shared" si="195"/>
        <v>0.4461424002008384</v>
      </c>
      <c r="P1432" s="10">
        <f t="shared" si="196"/>
        <v>3.1301111964970339E-2</v>
      </c>
      <c r="Q1432" s="66">
        <f t="shared" si="199"/>
        <v>2</v>
      </c>
      <c r="R1432" s="10">
        <f t="shared" si="197"/>
        <v>1.4188677210456163E-6</v>
      </c>
      <c r="V1432" s="10">
        <f t="shared" si="198"/>
        <v>5.9449173261416532E-5</v>
      </c>
    </row>
    <row r="1433" spans="11:22">
      <c r="K1433" s="66">
        <v>71.05</v>
      </c>
      <c r="L1433" s="10">
        <f t="shared" si="192"/>
        <v>1.365783955745949E-2</v>
      </c>
      <c r="M1433" s="10">
        <f t="shared" si="193"/>
        <v>2.1107846711303983E-3</v>
      </c>
      <c r="N1433" s="10">
        <f t="shared" si="194"/>
        <v>0.31192020023488543</v>
      </c>
      <c r="O1433" s="10">
        <f t="shared" si="195"/>
        <v>0.44775822394998732</v>
      </c>
      <c r="P1433" s="10">
        <f t="shared" si="196"/>
        <v>3.1224845709298784E-2</v>
      </c>
      <c r="Q1433" s="66">
        <f t="shared" si="199"/>
        <v>4</v>
      </c>
      <c r="R1433" s="10">
        <f t="shared" si="197"/>
        <v>2.7353696422362776E-6</v>
      </c>
      <c r="V1433" s="10">
        <f t="shared" si="198"/>
        <v>1.1643281361418706E-4</v>
      </c>
    </row>
    <row r="1434" spans="11:22">
      <c r="K1434" s="66">
        <v>71.099999999999994</v>
      </c>
      <c r="L1434" s="10">
        <f t="shared" si="192"/>
        <v>1.3446104697039718E-2</v>
      </c>
      <c r="M1434" s="10">
        <f t="shared" si="193"/>
        <v>2.0639700393916501E-3</v>
      </c>
      <c r="N1434" s="10">
        <f t="shared" si="194"/>
        <v>0.31304979348605894</v>
      </c>
      <c r="O1434" s="10">
        <f t="shared" si="195"/>
        <v>0.44937990114801823</v>
      </c>
      <c r="P1434" s="10">
        <f t="shared" si="196"/>
        <v>3.1148765279030578E-2</v>
      </c>
      <c r="Q1434" s="66">
        <f t="shared" si="199"/>
        <v>2</v>
      </c>
      <c r="R1434" s="10">
        <f t="shared" si="197"/>
        <v>1.3181672328299071E-6</v>
      </c>
      <c r="V1434" s="10">
        <f t="shared" si="198"/>
        <v>5.7004439608346889E-5</v>
      </c>
    </row>
    <row r="1435" spans="11:22">
      <c r="K1435" s="66">
        <v>71.150000000000006</v>
      </c>
      <c r="L1435" s="10">
        <f t="shared" si="192"/>
        <v>1.3236903331091465E-2</v>
      </c>
      <c r="M1435" s="10">
        <f t="shared" si="193"/>
        <v>2.0180297666321356E-3</v>
      </c>
      <c r="N1435" s="10">
        <f t="shared" si="194"/>
        <v>0.31418347877781327</v>
      </c>
      <c r="O1435" s="10">
        <f t="shared" si="195"/>
        <v>0.45100745299951045</v>
      </c>
      <c r="P1435" s="10">
        <f t="shared" si="196"/>
        <v>3.1072870221395547E-2</v>
      </c>
      <c r="Q1435" s="66">
        <f t="shared" si="199"/>
        <v>4</v>
      </c>
      <c r="R1435" s="10">
        <f t="shared" si="197"/>
        <v>2.5405347651920489E-6</v>
      </c>
      <c r="V1435" s="10">
        <f t="shared" si="198"/>
        <v>1.1162604777503323E-4</v>
      </c>
    </row>
    <row r="1436" spans="11:22">
      <c r="K1436" s="66">
        <v>71.2</v>
      </c>
      <c r="L1436" s="10">
        <f t="shared" si="192"/>
        <v>1.3030216860570076E-2</v>
      </c>
      <c r="M1436" s="10">
        <f t="shared" si="193"/>
        <v>1.9729511907725372E-3</v>
      </c>
      <c r="N1436" s="10">
        <f t="shared" si="194"/>
        <v>0.31532127093388707</v>
      </c>
      <c r="O1436" s="10">
        <f t="shared" si="195"/>
        <v>0.45264090078585834</v>
      </c>
      <c r="P1436" s="10">
        <f t="shared" si="196"/>
        <v>3.0997160084726794E-2</v>
      </c>
      <c r="Q1436" s="66">
        <f t="shared" si="199"/>
        <v>2</v>
      </c>
      <c r="R1436" s="10">
        <f t="shared" si="197"/>
        <v>1.2239388349539506E-6</v>
      </c>
      <c r="V1436" s="10">
        <f t="shared" si="198"/>
        <v>5.4641912834280889E-5</v>
      </c>
    </row>
    <row r="1437" spans="11:22">
      <c r="K1437" s="66">
        <v>71.25</v>
      </c>
      <c r="L1437" s="10">
        <f t="shared" si="192"/>
        <v>1.2826026668583422E-2</v>
      </c>
      <c r="M1437" s="10">
        <f t="shared" si="193"/>
        <v>1.9287217613554424E-3</v>
      </c>
      <c r="N1437" s="10">
        <f t="shared" si="194"/>
        <v>0.31646318483171998</v>
      </c>
      <c r="O1437" s="10">
        <f t="shared" si="195"/>
        <v>0.45428026586555054</v>
      </c>
      <c r="P1437" s="10">
        <f t="shared" si="196"/>
        <v>3.0921634418457904E-2</v>
      </c>
      <c r="Q1437" s="66">
        <f t="shared" si="199"/>
        <v>4</v>
      </c>
      <c r="R1437" s="10">
        <f t="shared" si="197"/>
        <v>2.3582725440446902E-6</v>
      </c>
      <c r="V1437" s="10">
        <f t="shared" si="198"/>
        <v>1.069817212781407E-4</v>
      </c>
    </row>
    <row r="1438" spans="11:22">
      <c r="K1438" s="66">
        <v>71.3</v>
      </c>
      <c r="L1438" s="10">
        <f t="shared" si="192"/>
        <v>1.2624314122381079E-2</v>
      </c>
      <c r="M1438" s="10">
        <f t="shared" si="193"/>
        <v>1.8853290397901072E-3</v>
      </c>
      <c r="N1438" s="10">
        <f t="shared" si="194"/>
        <v>0.31760923540264696</v>
      </c>
      <c r="O1438" s="10">
        <f t="shared" si="195"/>
        <v>0.45592556967444936</v>
      </c>
      <c r="P1438" s="10">
        <f t="shared" si="196"/>
        <v>3.084629277312027E-2</v>
      </c>
      <c r="Q1438" s="66">
        <f t="shared" si="199"/>
        <v>2</v>
      </c>
      <c r="R1438" s="10">
        <f t="shared" si="197"/>
        <v>1.1358154731480672E-6</v>
      </c>
      <c r="V1438" s="10">
        <f t="shared" si="198"/>
        <v>5.2359622525852907E-5</v>
      </c>
    </row>
    <row r="1439" spans="11:22">
      <c r="K1439" s="66">
        <v>71.349999999999994</v>
      </c>
      <c r="L1439" s="10">
        <f t="shared" si="192"/>
        <v>1.24250605753384E-2</v>
      </c>
      <c r="M1439" s="10">
        <f t="shared" si="193"/>
        <v>1.8427606995747522E-3</v>
      </c>
      <c r="N1439" s="10">
        <f t="shared" si="194"/>
        <v>0.31875943763209214</v>
      </c>
      <c r="O1439" s="10">
        <f t="shared" si="195"/>
        <v>0.45757683372606905</v>
      </c>
      <c r="P1439" s="10">
        <f t="shared" si="196"/>
        <v>3.0771134700340454E-2</v>
      </c>
      <c r="Q1439" s="66">
        <f t="shared" si="199"/>
        <v>4</v>
      </c>
      <c r="R1439" s="10">
        <f t="shared" si="197"/>
        <v>2.1878665894880456E-6</v>
      </c>
      <c r="V1439" s="10">
        <f t="shared" si="198"/>
        <v>1.0249590956855192E-4</v>
      </c>
    </row>
    <row r="1440" spans="11:22">
      <c r="K1440" s="66">
        <v>71.400000000000006</v>
      </c>
      <c r="L1440" s="10">
        <f t="shared" si="192"/>
        <v>1.2228247368935798E-2</v>
      </c>
      <c r="M1440" s="10">
        <f t="shared" si="193"/>
        <v>1.8010045264966242E-3</v>
      </c>
      <c r="N1440" s="10">
        <f t="shared" si="194"/>
        <v>0.31991380655976581</v>
      </c>
      <c r="O1440" s="10">
        <f t="shared" si="195"/>
        <v>0.45923407961185858</v>
      </c>
      <c r="P1440" s="10">
        <f t="shared" si="196"/>
        <v>3.0696159752837484E-2</v>
      </c>
      <c r="Q1440" s="66">
        <f t="shared" si="199"/>
        <v>2</v>
      </c>
      <c r="R1440" s="10">
        <f t="shared" si="197"/>
        <v>1.0534476503209198E-6</v>
      </c>
      <c r="V1440" s="10">
        <f t="shared" si="198"/>
        <v>5.0155614801166834E-5</v>
      </c>
    </row>
    <row r="1441" spans="11:22">
      <c r="K1441" s="66">
        <v>71.45</v>
      </c>
      <c r="L1441" s="10">
        <f t="shared" si="192"/>
        <v>1.2033855834733723E-2</v>
      </c>
      <c r="M1441" s="10">
        <f t="shared" si="193"/>
        <v>1.7600484188101426E-3</v>
      </c>
      <c r="N1441" s="10">
        <f t="shared" si="194"/>
        <v>0.32107235727986</v>
      </c>
      <c r="O1441" s="10">
        <f t="shared" si="195"/>
        <v>0.46089732900148367</v>
      </c>
      <c r="P1441" s="10">
        <f t="shared" si="196"/>
        <v>3.0621367484420237E-2</v>
      </c>
      <c r="Q1441" s="66">
        <f t="shared" si="199"/>
        <v>4</v>
      </c>
      <c r="R1441" s="10">
        <f t="shared" si="197"/>
        <v>2.028634981431754E-6</v>
      </c>
      <c r="V1441" s="10">
        <f t="shared" si="198"/>
        <v>9.8164722182786192E-5</v>
      </c>
    </row>
    <row r="1442" spans="11:22">
      <c r="K1442" s="66">
        <v>71.5</v>
      </c>
      <c r="L1442" s="10">
        <f t="shared" si="192"/>
        <v>1.1841867296340952E-2</v>
      </c>
      <c r="M1442" s="10">
        <f t="shared" si="193"/>
        <v>1.7198803873928704E-3</v>
      </c>
      <c r="N1442" s="10">
        <f t="shared" si="194"/>
        <v>0.32223510494124807</v>
      </c>
      <c r="O1442" s="10">
        <f t="shared" si="195"/>
        <v>0.46256660364311025</v>
      </c>
      <c r="P1442" s="10">
        <f t="shared" si="196"/>
        <v>3.0546757449984689E-2</v>
      </c>
      <c r="Q1442" s="66">
        <f t="shared" si="199"/>
        <v>2</v>
      </c>
      <c r="R1442" s="10">
        <f t="shared" si="197"/>
        <v>9.7650278452010896E-7</v>
      </c>
      <c r="V1442" s="10">
        <f t="shared" si="198"/>
        <v>4.8027953328069535E-5</v>
      </c>
    </row>
    <row r="1443" spans="11:22">
      <c r="K1443" s="66">
        <v>71.55</v>
      </c>
      <c r="L1443" s="10">
        <f t="shared" si="192"/>
        <v>1.165226307137808E-2</v>
      </c>
      <c r="M1443" s="10">
        <f t="shared" si="193"/>
        <v>1.6804885558798336E-3</v>
      </c>
      <c r="N1443" s="10">
        <f t="shared" si="194"/>
        <v>0.32340206474768041</v>
      </c>
      <c r="O1443" s="10">
        <f t="shared" si="195"/>
        <v>0.46424192536368791</v>
      </c>
      <c r="P1443" s="10">
        <f t="shared" si="196"/>
        <v>3.0472329205511375E-2</v>
      </c>
      <c r="Q1443" s="66">
        <f t="shared" si="199"/>
        <v>4</v>
      </c>
      <c r="R1443" s="10">
        <f t="shared" si="197"/>
        <v>1.879928997417201E-6</v>
      </c>
      <c r="V1443" s="10">
        <f t="shared" si="198"/>
        <v>9.3984304744240517E-5</v>
      </c>
    </row>
    <row r="1444" spans="11:22">
      <c r="K1444" s="66">
        <v>71.599999999999994</v>
      </c>
      <c r="L1444" s="10">
        <f t="shared" si="192"/>
        <v>1.1465024473433953E-2</v>
      </c>
      <c r="M1444" s="10">
        <f t="shared" si="193"/>
        <v>1.6418611607760529E-3</v>
      </c>
      <c r="N1444" s="10">
        <f t="shared" si="194"/>
        <v>0.32457325195798414</v>
      </c>
      <c r="O1444" s="10">
        <f t="shared" si="195"/>
        <v>0.46592331606923787</v>
      </c>
      <c r="P1444" s="10">
        <f t="shared" si="196"/>
        <v>3.0398082308062697E-2</v>
      </c>
      <c r="Q1444" s="66">
        <f t="shared" si="199"/>
        <v>2</v>
      </c>
      <c r="R1444" s="10">
        <f t="shared" si="197"/>
        <v>9.0466457947379343E-7</v>
      </c>
      <c r="V1444" s="10">
        <f t="shared" si="198"/>
        <v>4.5974720301186119E-5</v>
      </c>
    </row>
    <row r="1445" spans="11:22">
      <c r="K1445" s="66">
        <v>71.650000000000006</v>
      </c>
      <c r="L1445" s="10">
        <f t="shared" si="192"/>
        <v>1.1280132814016207E-2</v>
      </c>
      <c r="M1445" s="10">
        <f t="shared" si="193"/>
        <v>1.6039865515476458E-3</v>
      </c>
      <c r="N1445" s="10">
        <f t="shared" si="194"/>
        <v>0.32574868188626382</v>
      </c>
      <c r="O1445" s="10">
        <f t="shared" si="195"/>
        <v>0.46761079774513625</v>
      </c>
      <c r="P1445" s="10">
        <f t="shared" si="196"/>
        <v>3.0324016315780217E-2</v>
      </c>
      <c r="Q1445" s="66">
        <f t="shared" si="199"/>
        <v>4</v>
      </c>
      <c r="R1445" s="10">
        <f t="shared" si="197"/>
        <v>1.7411318665314773E-6</v>
      </c>
      <c r="V1445" s="10">
        <f t="shared" si="198"/>
        <v>8.9950840875760993E-5</v>
      </c>
    </row>
    <row r="1446" spans="11:22">
      <c r="K1446" s="66">
        <v>71.7</v>
      </c>
      <c r="L1446" s="10">
        <f t="shared" si="192"/>
        <v>1.1097569404494497E-2</v>
      </c>
      <c r="M1446" s="10">
        <f t="shared" si="193"/>
        <v>1.5668531906915194E-3</v>
      </c>
      <c r="N1446" s="10">
        <f t="shared" si="194"/>
        <v>0.32692836990209884</v>
      </c>
      <c r="O1446" s="10">
        <f t="shared" si="195"/>
        <v>0.4693043924564021</v>
      </c>
      <c r="P1446" s="10">
        <f t="shared" si="196"/>
        <v>3.0250130787882249E-2</v>
      </c>
      <c r="Q1446" s="66">
        <f t="shared" si="199"/>
        <v>2</v>
      </c>
      <c r="R1446" s="10">
        <f t="shared" si="197"/>
        <v>8.3763240804063436E-7</v>
      </c>
      <c r="V1446" s="10">
        <f t="shared" si="198"/>
        <v>4.3994017377389769E-5</v>
      </c>
    </row>
    <row r="1447" spans="11:22">
      <c r="K1447" s="66">
        <v>71.75</v>
      </c>
      <c r="L1447" s="10">
        <f t="shared" si="192"/>
        <v>1.091731555803606E-2</v>
      </c>
      <c r="M1447" s="10">
        <f t="shared" si="193"/>
        <v>1.5304496537837439E-3</v>
      </c>
      <c r="N1447" s="10">
        <f t="shared" si="194"/>
        <v>0.32811233143074697</v>
      </c>
      <c r="O1447" s="10">
        <f t="shared" si="195"/>
        <v>0.471004122347989</v>
      </c>
      <c r="P1447" s="10">
        <f t="shared" si="196"/>
        <v>3.0176425284660944E-2</v>
      </c>
      <c r="Q1447" s="66">
        <f t="shared" si="199"/>
        <v>4</v>
      </c>
      <c r="R1447" s="10">
        <f t="shared" si="197"/>
        <v>1.6116575494393001E-6</v>
      </c>
      <c r="V1447" s="10">
        <f t="shared" si="198"/>
        <v>8.6060554028827074E-5</v>
      </c>
    </row>
    <row r="1448" spans="11:22">
      <c r="K1448" s="66">
        <v>71.8</v>
      </c>
      <c r="L1448" s="10">
        <f t="shared" si="192"/>
        <v>1.073935259153435E-2</v>
      </c>
      <c r="M1448" s="10">
        <f t="shared" si="193"/>
        <v>1.4947646295070591E-3</v>
      </c>
      <c r="N1448" s="10">
        <f t="shared" si="194"/>
        <v>0.32930058195334577</v>
      </c>
      <c r="O1448" s="10">
        <f t="shared" si="195"/>
        <v>0.47271000964507093</v>
      </c>
      <c r="P1448" s="10">
        <f t="shared" si="196"/>
        <v>3.0102899367479886E-2</v>
      </c>
      <c r="Q1448" s="66">
        <f t="shared" si="199"/>
        <v>2</v>
      </c>
      <c r="R1448" s="10">
        <f t="shared" si="197"/>
        <v>7.7512070886008599E-7</v>
      </c>
      <c r="V1448" s="10">
        <f t="shared" si="198"/>
        <v>4.2083966569452396E-5</v>
      </c>
    </row>
    <row r="1449" spans="11:22">
      <c r="K1449" s="66">
        <v>71.849999999999994</v>
      </c>
      <c r="L1449" s="10">
        <f t="shared" si="192"/>
        <v>1.0563661827529023E-2</v>
      </c>
      <c r="M1449" s="10">
        <f t="shared" si="193"/>
        <v>1.4597869196573724E-3</v>
      </c>
      <c r="N1449" s="10">
        <f t="shared" si="194"/>
        <v>0.33049313700711352</v>
      </c>
      <c r="O1449" s="10">
        <f t="shared" si="195"/>
        <v>0.47442207665333397</v>
      </c>
      <c r="P1449" s="10">
        <f t="shared" si="196"/>
        <v>3.0029552598771402E-2</v>
      </c>
      <c r="Q1449" s="66">
        <f t="shared" si="199"/>
        <v>4</v>
      </c>
      <c r="R1449" s="10">
        <f t="shared" si="197"/>
        <v>1.4909495450805287E-6</v>
      </c>
      <c r="V1449" s="10">
        <f t="shared" si="198"/>
        <v>8.2309709228866663E-5</v>
      </c>
    </row>
    <row r="1450" spans="11:22">
      <c r="K1450" s="66">
        <v>71.900000000000006</v>
      </c>
      <c r="L1450" s="10">
        <f t="shared" si="192"/>
        <v>1.0390224596117563E-2</v>
      </c>
      <c r="M1450" s="10">
        <f t="shared" si="193"/>
        <v>1.425505439129536E-3</v>
      </c>
      <c r="N1450" s="10">
        <f t="shared" si="194"/>
        <v>0.33169001218555405</v>
      </c>
      <c r="O1450" s="10">
        <f t="shared" si="195"/>
        <v>0.47614034575927028</v>
      </c>
      <c r="P1450" s="10">
        <f t="shared" si="196"/>
        <v>2.9956384542033927E-2</v>
      </c>
      <c r="Q1450" s="66">
        <f t="shared" si="199"/>
        <v>2</v>
      </c>
      <c r="R1450" s="10">
        <f t="shared" si="197"/>
        <v>7.1685839645981759E-7</v>
      </c>
      <c r="V1450" s="10">
        <f t="shared" si="198"/>
        <v>4.0242711097675743E-5</v>
      </c>
    </row>
    <row r="1451" spans="11:22">
      <c r="K1451" s="66">
        <v>71.95</v>
      </c>
      <c r="L1451" s="10">
        <f t="shared" si="192"/>
        <v>1.0219022236858664E-2</v>
      </c>
      <c r="M1451" s="10">
        <f t="shared" si="193"/>
        <v>1.3919092158827485E-3</v>
      </c>
      <c r="N1451" s="10">
        <f t="shared" si="194"/>
        <v>0.33289122313865843</v>
      </c>
      <c r="O1451" s="10">
        <f t="shared" si="195"/>
        <v>0.47786483943046631</v>
      </c>
      <c r="P1451" s="10">
        <f t="shared" si="196"/>
        <v>2.9883394761829548E-2</v>
      </c>
      <c r="Q1451" s="66">
        <f t="shared" si="199"/>
        <v>4</v>
      </c>
      <c r="R1451" s="10">
        <f t="shared" si="197"/>
        <v>1.3784797245137868E-6</v>
      </c>
      <c r="V1451" s="10">
        <f t="shared" si="198"/>
        <v>7.8694614736402857E-5</v>
      </c>
    </row>
    <row r="1452" spans="11:22">
      <c r="K1452" s="66">
        <v>72</v>
      </c>
      <c r="L1452" s="10">
        <f t="shared" si="192"/>
        <v>1.0050036100665646E-2</v>
      </c>
      <c r="M1452" s="10">
        <f t="shared" si="193"/>
        <v>1.3589873908853899E-3</v>
      </c>
      <c r="N1452" s="10">
        <f t="shared" si="194"/>
        <v>0.33409678557311356</v>
      </c>
      <c r="O1452" s="10">
        <f t="shared" si="195"/>
        <v>0.47959558021590121</v>
      </c>
      <c r="P1452" s="10">
        <f t="shared" si="196"/>
        <v>2.9810582823781274E-2</v>
      </c>
      <c r="Q1452" s="66">
        <f t="shared" si="199"/>
        <v>2</v>
      </c>
      <c r="R1452" s="10">
        <f t="shared" si="197"/>
        <v>6.6258828504328813E-7</v>
      </c>
      <c r="V1452" s="10">
        <f t="shared" si="198"/>
        <v>3.846841619937888E-5</v>
      </c>
    </row>
    <row r="1453" spans="11:22">
      <c r="K1453" s="66">
        <v>72.05</v>
      </c>
      <c r="L1453" s="10">
        <f t="shared" si="192"/>
        <v>9.8832475516912755E-3</v>
      </c>
      <c r="M1453" s="10">
        <f t="shared" si="193"/>
        <v>1.3267292180399433E-3</v>
      </c>
      <c r="N1453" s="10">
        <f t="shared" si="194"/>
        <v>0.33530671525250177</v>
      </c>
      <c r="O1453" s="10">
        <f t="shared" si="195"/>
        <v>0.48133259074623636</v>
      </c>
      <c r="P1453" s="10">
        <f t="shared" si="196"/>
        <v>2.9737948294570268E-2</v>
      </c>
      <c r="Q1453" s="66">
        <f t="shared" si="199"/>
        <v>4</v>
      </c>
      <c r="R1453" s="10">
        <f t="shared" si="197"/>
        <v>1.2737471923180114E-6</v>
      </c>
      <c r="V1453" s="10">
        <f t="shared" si="198"/>
        <v>7.5211623623827229E-5</v>
      </c>
    </row>
    <row r="1454" spans="11:22">
      <c r="K1454" s="66">
        <v>72.099999999999994</v>
      </c>
      <c r="L1454" s="10">
        <f t="shared" si="192"/>
        <v>9.7186379692017644E-3</v>
      </c>
      <c r="M1454" s="10">
        <f t="shared" si="193"/>
        <v>1.2951240640877058E-3</v>
      </c>
      <c r="N1454" s="10">
        <f t="shared" si="194"/>
        <v>0.33652102799751338</v>
      </c>
      <c r="O1454" s="10">
        <f t="shared" si="195"/>
        <v>0.48307589373411963</v>
      </c>
      <c r="P1454" s="10">
        <f t="shared" si="196"/>
        <v>2.9665490741933895E-2</v>
      </c>
      <c r="Q1454" s="66">
        <f t="shared" si="199"/>
        <v>2</v>
      </c>
      <c r="R1454" s="10">
        <f t="shared" si="197"/>
        <v>6.1206652614695677E-7</v>
      </c>
      <c r="V1454" s="10">
        <f t="shared" si="198"/>
        <v>3.6759269896174032E-5</v>
      </c>
    </row>
    <row r="1455" spans="11:22">
      <c r="K1455" s="66">
        <v>72.150000000000006</v>
      </c>
      <c r="L1455" s="10">
        <f t="shared" si="192"/>
        <v>9.5561887494416981E-3</v>
      </c>
      <c r="M1455" s="10">
        <f t="shared" si="193"/>
        <v>1.2641614084939971E-3</v>
      </c>
      <c r="N1455" s="10">
        <f t="shared" si="194"/>
        <v>0.33773973968614923</v>
      </c>
      <c r="O1455" s="10">
        <f t="shared" si="195"/>
        <v>0.48482551197447382</v>
      </c>
      <c r="P1455" s="10">
        <f t="shared" si="196"/>
        <v>2.959320973466242E-2</v>
      </c>
      <c r="Q1455" s="66">
        <f t="shared" si="199"/>
        <v>4</v>
      </c>
      <c r="R1455" s="10">
        <f t="shared" si="197"/>
        <v>1.1762771758980484E-6</v>
      </c>
      <c r="V1455" s="10">
        <f t="shared" si="198"/>
        <v>7.1857135267725027E-5</v>
      </c>
    </row>
    <row r="1456" spans="11:22">
      <c r="K1456" s="66">
        <v>72.2</v>
      </c>
      <c r="L1456" s="10">
        <f t="shared" si="192"/>
        <v>9.3958813074878043E-3</v>
      </c>
      <c r="M1456" s="10">
        <f t="shared" si="193"/>
        <v>1.2338308433136791E-3</v>
      </c>
      <c r="N1456" s="10">
        <f t="shared" si="194"/>
        <v>0.33896286625392857</v>
      </c>
      <c r="O1456" s="10">
        <f t="shared" si="195"/>
        <v>0.48658146834479726</v>
      </c>
      <c r="P1456" s="10">
        <f t="shared" si="196"/>
        <v>2.9521104842596953E-2</v>
      </c>
      <c r="Q1456" s="66">
        <f t="shared" si="199"/>
        <v>2</v>
      </c>
      <c r="R1456" s="10">
        <f t="shared" si="197"/>
        <v>5.65062060324069E-7</v>
      </c>
      <c r="V1456" s="10">
        <f t="shared" si="198"/>
        <v>3.5113483719027121E-5</v>
      </c>
    </row>
    <row r="1457" spans="11:22">
      <c r="K1457" s="66">
        <v>72.25</v>
      </c>
      <c r="L1457" s="10">
        <f t="shared" si="192"/>
        <v>9.2376970790915523E-3</v>
      </c>
      <c r="M1457" s="10">
        <f t="shared" si="193"/>
        <v>1.2041220730372787E-3</v>
      </c>
      <c r="N1457" s="10">
        <f t="shared" si="194"/>
        <v>0.34019042369409902</v>
      </c>
      <c r="O1457" s="10">
        <f t="shared" si="195"/>
        <v>0.48834378580546678</v>
      </c>
      <c r="P1457" s="10">
        <f t="shared" si="196"/>
        <v>2.9449175636626568E-2</v>
      </c>
      <c r="Q1457" s="66">
        <f t="shared" si="199"/>
        <v>4</v>
      </c>
      <c r="R1457" s="10">
        <f t="shared" si="197"/>
        <v>1.0856199429771471E-6</v>
      </c>
      <c r="V1457" s="10">
        <f t="shared" si="198"/>
        <v>6.862759675682758E-5</v>
      </c>
    </row>
    <row r="1458" spans="11:22">
      <c r="K1458" s="66">
        <v>72.3</v>
      </c>
      <c r="L1458" s="10">
        <f t="shared" si="192"/>
        <v>9.0816175225114388E-3</v>
      </c>
      <c r="M1458" s="10">
        <f t="shared" si="193"/>
        <v>1.1750249144181317E-3</v>
      </c>
      <c r="N1458" s="10">
        <f t="shared" si="194"/>
        <v>0.34142242805784556</v>
      </c>
      <c r="O1458" s="10">
        <f t="shared" si="195"/>
        <v>0.49011248740003305</v>
      </c>
      <c r="P1458" s="10">
        <f t="shared" si="196"/>
        <v>2.9377421688685967E-2</v>
      </c>
      <c r="Q1458" s="66">
        <f t="shared" si="199"/>
        <v>2</v>
      </c>
      <c r="R1458" s="10">
        <f t="shared" si="197"/>
        <v>5.2135608298067318E-7</v>
      </c>
      <c r="V1458" s="10">
        <f t="shared" si="198"/>
        <v>3.3529293391167179E-5</v>
      </c>
    </row>
    <row r="1459" spans="11:22">
      <c r="K1459" s="66">
        <v>72.349999999999994</v>
      </c>
      <c r="L1459" s="10">
        <f t="shared" si="192"/>
        <v>8.9276241203329852E-3</v>
      </c>
      <c r="M1459" s="10">
        <f t="shared" si="193"/>
        <v>1.1465292962805121E-3</v>
      </c>
      <c r="N1459" s="10">
        <f t="shared" si="194"/>
        <v>0.34265889545449901</v>
      </c>
      <c r="O1459" s="10">
        <f t="shared" si="195"/>
        <v>0.49188759625552381</v>
      </c>
      <c r="P1459" s="10">
        <f t="shared" si="196"/>
        <v>2.9305842571752824E-2</v>
      </c>
      <c r="Q1459" s="66">
        <f t="shared" si="199"/>
        <v>4</v>
      </c>
      <c r="R1459" s="10">
        <f t="shared" si="197"/>
        <v>1.0013497474955977E-6</v>
      </c>
      <c r="V1459" s="10">
        <f t="shared" si="198"/>
        <v>6.5519504215748968E-5</v>
      </c>
    </row>
    <row r="1460" spans="11:22">
      <c r="K1460" s="66">
        <v>72.400000000000006</v>
      </c>
      <c r="L1460" s="10">
        <f t="shared" si="192"/>
        <v>8.7756983812770605E-3</v>
      </c>
      <c r="M1460" s="10">
        <f t="shared" si="193"/>
        <v>1.1186252593090684E-3</v>
      </c>
      <c r="N1460" s="10">
        <f t="shared" si="194"/>
        <v>0.34389984205174823</v>
      </c>
      <c r="O1460" s="10">
        <f t="shared" si="195"/>
        <v>0.493669135582748</v>
      </c>
      <c r="P1460" s="10">
        <f t="shared" si="196"/>
        <v>2.9234437859845214E-2</v>
      </c>
      <c r="Q1460" s="66">
        <f t="shared" si="199"/>
        <v>2</v>
      </c>
      <c r="R1460" s="10">
        <f t="shared" si="197"/>
        <v>4.8074152445838265E-7</v>
      </c>
      <c r="V1460" s="10">
        <f t="shared" si="198"/>
        <v>3.2004959468956814E-5</v>
      </c>
    </row>
    <row r="1461" spans="11:22">
      <c r="K1461" s="66">
        <v>72.45</v>
      </c>
      <c r="L1461" s="10">
        <f t="shared" si="192"/>
        <v>8.6258218419963586E-3</v>
      </c>
      <c r="M1461" s="10">
        <f t="shared" si="193"/>
        <v>1.0913029558198947E-3</v>
      </c>
      <c r="N1461" s="10">
        <f t="shared" si="194"/>
        <v>0.34514528407584949</v>
      </c>
      <c r="O1461" s="10">
        <f t="shared" si="195"/>
        <v>0.49545712867659503</v>
      </c>
      <c r="P1461" s="10">
        <f t="shared" si="196"/>
        <v>2.9163207128019269E-2</v>
      </c>
      <c r="Q1461" s="66">
        <f t="shared" si="199"/>
        <v>4</v>
      </c>
      <c r="R1461" s="10">
        <f t="shared" si="197"/>
        <v>9.2306380407580298E-7</v>
      </c>
      <c r="V1461" s="10">
        <f t="shared" si="198"/>
        <v>6.2529404044825508E-5</v>
      </c>
    </row>
    <row r="1462" spans="11:22">
      <c r="K1462" s="66">
        <v>72.5</v>
      </c>
      <c r="L1462" s="10">
        <f t="shared" si="192"/>
        <v>8.4779760688587398E-3</v>
      </c>
      <c r="M1462" s="10">
        <f t="shared" si="193"/>
        <v>1.064552649513244E-3</v>
      </c>
      <c r="N1462" s="10">
        <f t="shared" si="194"/>
        <v>0.34639523781184162</v>
      </c>
      <c r="O1462" s="10">
        <f t="shared" si="195"/>
        <v>0.49725159891634346</v>
      </c>
      <c r="P1462" s="10">
        <f t="shared" si="196"/>
        <v>2.9092149952366367E-2</v>
      </c>
      <c r="Q1462" s="66">
        <f t="shared" si="199"/>
        <v>2</v>
      </c>
      <c r="R1462" s="10">
        <f t="shared" si="197"/>
        <v>4.4302254442922905E-7</v>
      </c>
      <c r="V1462" s="10">
        <f t="shared" si="198"/>
        <v>3.0538767940910127E-5</v>
      </c>
    </row>
    <row r="1463" spans="11:22">
      <c r="K1463" s="66">
        <v>72.55</v>
      </c>
      <c r="L1463" s="10">
        <f t="shared" si="192"/>
        <v>8.332142659718024E-3</v>
      </c>
      <c r="M1463" s="10">
        <f t="shared" si="193"/>
        <v>1.0383647152083068E-3</v>
      </c>
      <c r="N1463" s="10">
        <f t="shared" si="194"/>
        <v>0.3476497196037564</v>
      </c>
      <c r="O1463" s="10">
        <f t="shared" si="195"/>
        <v>0.49905256976596457</v>
      </c>
      <c r="P1463" s="10">
        <f t="shared" si="196"/>
        <v>2.9021265910010828E-2</v>
      </c>
      <c r="Q1463" s="66">
        <f t="shared" si="199"/>
        <v>4</v>
      </c>
      <c r="R1463" s="10">
        <f t="shared" si="197"/>
        <v>8.5038129115489442E-7</v>
      </c>
      <c r="V1463" s="10">
        <f t="shared" si="198"/>
        <v>5.9653894076467524E-5</v>
      </c>
    </row>
    <row r="1464" spans="11:22">
      <c r="K1464" s="66">
        <v>72.599999999999994</v>
      </c>
      <c r="L1464" s="10">
        <f t="shared" si="192"/>
        <v>8.1883032456717669E-3</v>
      </c>
      <c r="M1464" s="10">
        <f t="shared" si="193"/>
        <v>1.0127296385602554E-3</v>
      </c>
      <c r="N1464" s="10">
        <f t="shared" si="194"/>
        <v>0.348908745854833</v>
      </c>
      <c r="O1464" s="10">
        <f t="shared" si="195"/>
        <v>0.50086006477443068</v>
      </c>
      <c r="P1464" s="10">
        <f t="shared" si="196"/>
        <v>2.8950554579107324E-2</v>
      </c>
      <c r="Q1464" s="66">
        <f t="shared" si="199"/>
        <v>2</v>
      </c>
      <c r="R1464" s="10">
        <f t="shared" si="197"/>
        <v>4.0801404063900351E-7</v>
      </c>
      <c r="V1464" s="10">
        <f t="shared" si="198"/>
        <v>2.9129030785090865E-5</v>
      </c>
    </row>
    <row r="1465" spans="11:22">
      <c r="K1465" s="66">
        <v>72.650000000000006</v>
      </c>
      <c r="L1465" s="10">
        <f t="shared" si="192"/>
        <v>8.0464394928052088E-3</v>
      </c>
      <c r="M1465" s="10">
        <f t="shared" si="193"/>
        <v>9.8763801575972024E-4</v>
      </c>
      <c r="N1465" s="10">
        <f t="shared" si="194"/>
        <v>0.35017233302773365</v>
      </c>
      <c r="O1465" s="10">
        <f t="shared" si="195"/>
        <v>0.50267410757602149</v>
      </c>
      <c r="P1465" s="10">
        <f t="shared" si="196"/>
        <v>2.8880015538838306E-2</v>
      </c>
      <c r="Q1465" s="66">
        <f t="shared" si="199"/>
        <v>4</v>
      </c>
      <c r="R1465" s="10">
        <f t="shared" si="197"/>
        <v>7.8294238282992411E-7</v>
      </c>
      <c r="V1465" s="10">
        <f t="shared" si="198"/>
        <v>5.6889624648548297E-5</v>
      </c>
    </row>
    <row r="1466" spans="11:22">
      <c r="K1466" s="66">
        <v>72.7</v>
      </c>
      <c r="L1466" s="10">
        <f t="shared" si="192"/>
        <v>7.9065331039217396E-3</v>
      </c>
      <c r="M1466" s="10">
        <f t="shared" si="193"/>
        <v>9.6308055321504273E-4</v>
      </c>
      <c r="N1466" s="10">
        <f t="shared" si="194"/>
        <v>0.35144049764475627</v>
      </c>
      <c r="O1466" s="10">
        <f t="shared" si="195"/>
        <v>0.50449472189063227</v>
      </c>
      <c r="P1466" s="10">
        <f t="shared" si="196"/>
        <v>2.8809648369411658E-2</v>
      </c>
      <c r="Q1466" s="66">
        <f t="shared" si="199"/>
        <v>2</v>
      </c>
      <c r="R1466" s="10">
        <f t="shared" si="197"/>
        <v>3.7554117200814465E-7</v>
      </c>
      <c r="V1466" s="10">
        <f t="shared" si="198"/>
        <v>2.7774086485189475E-5</v>
      </c>
    </row>
    <row r="1467" spans="11:22">
      <c r="K1467" s="66">
        <v>72.75</v>
      </c>
      <c r="L1467" s="10">
        <f t="shared" si="192"/>
        <v>7.768565820258715E-3</v>
      </c>
      <c r="M1467" s="10">
        <f t="shared" si="193"/>
        <v>9.3904806721742786E-4</v>
      </c>
      <c r="N1467" s="10">
        <f t="shared" si="194"/>
        <v>0.352713256288053</v>
      </c>
      <c r="O1467" s="10">
        <f t="shared" si="195"/>
        <v>0.50632193152408822</v>
      </c>
      <c r="P1467" s="10">
        <f t="shared" si="196"/>
        <v>2.8739452652058038E-2</v>
      </c>
      <c r="Q1467" s="66">
        <f t="shared" si="199"/>
        <v>4</v>
      </c>
      <c r="R1467" s="10">
        <f t="shared" si="197"/>
        <v>7.2040730940735801E-7</v>
      </c>
      <c r="V1467" s="10">
        <f t="shared" si="198"/>
        <v>5.4233299595494105E-5</v>
      </c>
    </row>
    <row r="1468" spans="11:22">
      <c r="K1468" s="66">
        <v>72.8</v>
      </c>
      <c r="L1468" s="10">
        <f t="shared" si="192"/>
        <v>7.6325194231895554E-3</v>
      </c>
      <c r="M1468" s="10">
        <f t="shared" si="193"/>
        <v>9.155314835894374E-4</v>
      </c>
      <c r="N1468" s="10">
        <f t="shared" si="194"/>
        <v>0.35399062559984673</v>
      </c>
      <c r="O1468" s="10">
        <f t="shared" si="195"/>
        <v>0.50815576036845123</v>
      </c>
      <c r="P1468" s="10">
        <f t="shared" si="196"/>
        <v>2.8669427969028469E-2</v>
      </c>
      <c r="Q1468" s="66">
        <f t="shared" si="199"/>
        <v>2</v>
      </c>
      <c r="R1468" s="10">
        <f t="shared" si="197"/>
        <v>3.4543889607260933E-7</v>
      </c>
      <c r="V1468" s="10">
        <f t="shared" si="198"/>
        <v>2.6472300505624978E-5</v>
      </c>
    </row>
    <row r="1469" spans="11:22">
      <c r="K1469" s="66">
        <v>72.849999999999994</v>
      </c>
      <c r="L1469" s="10">
        <f t="shared" si="192"/>
        <v>7.4983757359105702E-3</v>
      </c>
      <c r="M1469" s="10">
        <f t="shared" si="193"/>
        <v>8.9252183731688397E-4</v>
      </c>
      <c r="N1469" s="10">
        <f t="shared" si="194"/>
        <v>0.35527262228264705</v>
      </c>
      <c r="O1469" s="10">
        <f t="shared" si="195"/>
        <v>0.50999623240233405</v>
      </c>
      <c r="P1469" s="10">
        <f t="shared" si="196"/>
        <v>2.8599573903591809E-2</v>
      </c>
      <c r="Q1469" s="66">
        <f t="shared" si="199"/>
        <v>4</v>
      </c>
      <c r="R1469" s="10">
        <f t="shared" si="197"/>
        <v>6.6245544659572522E-7</v>
      </c>
      <c r="V1469" s="10">
        <f t="shared" si="198"/>
        <v>5.1681677157807185E-5</v>
      </c>
    </row>
    <row r="1470" spans="11:22">
      <c r="K1470" s="66">
        <v>72.900000000000006</v>
      </c>
      <c r="L1470" s="10">
        <f t="shared" si="192"/>
        <v>7.3661166251128398E-3</v>
      </c>
      <c r="M1470" s="10">
        <f t="shared" si="193"/>
        <v>8.7001027216448783E-4</v>
      </c>
      <c r="N1470" s="10">
        <f t="shared" si="194"/>
        <v>0.35655926309947056</v>
      </c>
      <c r="O1470" s="10">
        <f t="shared" si="195"/>
        <v>0.51184337169121563</v>
      </c>
      <c r="P1470" s="10">
        <f t="shared" si="196"/>
        <v>2.8529890040032316E-2</v>
      </c>
      <c r="Q1470" s="66">
        <f t="shared" si="199"/>
        <v>2</v>
      </c>
      <c r="R1470" s="10">
        <f t="shared" si="197"/>
        <v>3.1755152072198425E-7</v>
      </c>
      <c r="V1470" s="10">
        <f t="shared" si="198"/>
        <v>2.5222065726077328E-5</v>
      </c>
    </row>
    <row r="1471" spans="11:22">
      <c r="K1471" s="66">
        <v>72.95</v>
      </c>
      <c r="L1471" s="10">
        <f t="shared" si="192"/>
        <v>7.235724002639137E-3</v>
      </c>
      <c r="M1471" s="10">
        <f t="shared" si="193"/>
        <v>8.4798804027560396E-4</v>
      </c>
      <c r="N1471" s="10">
        <f t="shared" si="194"/>
        <v>0.35785056487405775</v>
      </c>
      <c r="O1471" s="10">
        <f t="shared" si="195"/>
        <v>0.51369720238775129</v>
      </c>
      <c r="P1471" s="10">
        <f t="shared" si="196"/>
        <v>2.8460375963647186E-2</v>
      </c>
      <c r="Q1471" s="66">
        <f t="shared" si="199"/>
        <v>4</v>
      </c>
      <c r="R1471" s="10">
        <f t="shared" si="197"/>
        <v>6.0878443323182801E-7</v>
      </c>
      <c r="V1471" s="10">
        <f t="shared" si="198"/>
        <v>4.9231570810897826E-5</v>
      </c>
    </row>
    <row r="1472" spans="11:22">
      <c r="K1472" s="66">
        <v>73</v>
      </c>
      <c r="L1472" s="10">
        <f t="shared" si="192"/>
        <v>7.1071798271246239E-3</v>
      </c>
      <c r="M1472" s="10">
        <f t="shared" si="193"/>
        <v>8.2644650175611278E-4</v>
      </c>
      <c r="N1472" s="10">
        <f t="shared" si="194"/>
        <v>0.35914654449109706</v>
      </c>
      <c r="O1472" s="10">
        <f t="shared" si="195"/>
        <v>0.51555774873209381</v>
      </c>
      <c r="P1472" s="10">
        <f t="shared" si="196"/>
        <v>2.8391031260744073E-2</v>
      </c>
      <c r="Q1472" s="66">
        <f t="shared" si="199"/>
        <v>2</v>
      </c>
      <c r="R1472" s="10">
        <f t="shared" si="197"/>
        <v>2.9173227016787341E-7</v>
      </c>
      <c r="V1472" s="10">
        <f t="shared" si="198"/>
        <v>2.4021802835906153E-5</v>
      </c>
    </row>
    <row r="1473" spans="11:22">
      <c r="K1473" s="66">
        <v>73.05</v>
      </c>
      <c r="L1473" s="10">
        <f t="shared" si="192"/>
        <v>6.9804661056222994E-3</v>
      </c>
      <c r="M1473" s="10">
        <f t="shared" si="193"/>
        <v>8.0537712424297032E-4</v>
      </c>
      <c r="N1473" s="10">
        <f t="shared" si="194"/>
        <v>0.36044721889643949</v>
      </c>
      <c r="O1473" s="10">
        <f t="shared" si="195"/>
        <v>0.51742503505220405</v>
      </c>
      <c r="P1473" s="10">
        <f t="shared" si="196"/>
        <v>2.8321855518638354E-2</v>
      </c>
      <c r="Q1473" s="66">
        <f t="shared" si="199"/>
        <v>4</v>
      </c>
      <c r="R1473" s="10">
        <f t="shared" si="197"/>
        <v>5.5910931738314148E-7</v>
      </c>
      <c r="V1473" s="10">
        <f t="shared" si="198"/>
        <v>4.6879850014181874E-5</v>
      </c>
    </row>
    <row r="1474" spans="11:22">
      <c r="K1474" s="66">
        <v>73.099999999999994</v>
      </c>
      <c r="L1474" s="10">
        <f t="shared" si="192"/>
        <v>6.8555648952114898E-3</v>
      </c>
      <c r="M1474" s="10">
        <f t="shared" si="193"/>
        <v>7.8477148245744126E-4</v>
      </c>
      <c r="N1474" s="10">
        <f t="shared" si="194"/>
        <v>0.36175260509732687</v>
      </c>
      <c r="O1474" s="10">
        <f t="shared" si="195"/>
        <v>0.5192990857641786</v>
      </c>
      <c r="P1474" s="10">
        <f t="shared" si="196"/>
        <v>2.8252848325651322E-2</v>
      </c>
      <c r="Q1474" s="66">
        <f t="shared" si="199"/>
        <v>2</v>
      </c>
      <c r="R1474" s="10">
        <f t="shared" si="197"/>
        <v>2.6784286505260695E-7</v>
      </c>
      <c r="V1474" s="10">
        <f t="shared" si="198"/>
        <v>2.2869960688960323E-5</v>
      </c>
    </row>
    <row r="1475" spans="11:22">
      <c r="K1475" s="66">
        <v>73.150000000000006</v>
      </c>
      <c r="L1475" s="10">
        <f t="shared" si="192"/>
        <v>6.7324583045907686E-3</v>
      </c>
      <c r="M1475" s="10">
        <f t="shared" si="193"/>
        <v>7.646212577435607E-4</v>
      </c>
      <c r="N1475" s="10">
        <f t="shared" si="194"/>
        <v>0.36306272016261043</v>
      </c>
      <c r="O1475" s="10">
        <f t="shared" si="195"/>
        <v>0.52117992537255931</v>
      </c>
      <c r="P1475" s="10">
        <f t="shared" si="196"/>
        <v>2.8184009271107077E-2</v>
      </c>
      <c r="Q1475" s="66">
        <f t="shared" si="199"/>
        <v>4</v>
      </c>
      <c r="R1475" s="10">
        <f t="shared" si="197"/>
        <v>5.1316173062426116E-7</v>
      </c>
      <c r="V1475" s="10">
        <f t="shared" si="198"/>
        <v>4.4623440881497471E-5</v>
      </c>
    </row>
    <row r="1476" spans="11:22">
      <c r="K1476" s="66">
        <v>73.2</v>
      </c>
      <c r="L1476" s="10">
        <f t="shared" si="192"/>
        <v>6.6111284956535711E-3</v>
      </c>
      <c r="M1476" s="10">
        <f t="shared" si="193"/>
        <v>7.4491823759186937E-4</v>
      </c>
      <c r="N1476" s="10">
        <f t="shared" si="194"/>
        <v>0.3643775812229732</v>
      </c>
      <c r="O1476" s="10">
        <f t="shared" si="195"/>
        <v>0.5230675784706571</v>
      </c>
      <c r="P1476" s="10">
        <f t="shared" si="196"/>
        <v>2.8115337945330429E-2</v>
      </c>
      <c r="Q1476" s="66">
        <f t="shared" si="199"/>
        <v>2</v>
      </c>
      <c r="R1476" s="10">
        <f t="shared" si="197"/>
        <v>2.4575311658648732E-7</v>
      </c>
      <c r="V1476" s="10">
        <f t="shared" si="198"/>
        <v>2.176501661933315E-5</v>
      </c>
    </row>
    <row r="1477" spans="11:22">
      <c r="K1477" s="66">
        <v>73.25</v>
      </c>
      <c r="L1477" s="10">
        <f t="shared" si="192"/>
        <v>6.4915576850466811E-3</v>
      </c>
      <c r="M1477" s="10">
        <f t="shared" si="193"/>
        <v>7.2565431514876272E-4</v>
      </c>
      <c r="N1477" s="10">
        <f t="shared" si="194"/>
        <v>0.36569720547115642</v>
      </c>
      <c r="O1477" s="10">
        <f t="shared" si="195"/>
        <v>0.52496206974087689</v>
      </c>
      <c r="P1477" s="10">
        <f t="shared" si="196"/>
        <v>2.8046833939644349E-2</v>
      </c>
      <c r="Q1477" s="66">
        <f t="shared" si="199"/>
        <v>4</v>
      </c>
      <c r="R1477" s="10">
        <f t="shared" si="197"/>
        <v>4.7068909024332982E-7</v>
      </c>
      <c r="V1477" s="10">
        <f t="shared" si="198"/>
        <v>4.2459326774012446E-5</v>
      </c>
    </row>
    <row r="1478" spans="11:22">
      <c r="K1478" s="66">
        <v>73.3</v>
      </c>
      <c r="L1478" s="10">
        <f t="shared" si="192"/>
        <v>6.3737281457120435E-3</v>
      </c>
      <c r="M1478" s="10">
        <f t="shared" si="193"/>
        <v>7.0682148871185327E-4</v>
      </c>
      <c r="N1478" s="10">
        <f t="shared" si="194"/>
        <v>0.36702161016218393</v>
      </c>
      <c r="O1478" s="10">
        <f t="shared" si="195"/>
        <v>0.5268634239550356</v>
      </c>
      <c r="P1478" s="10">
        <f t="shared" si="196"/>
        <v>2.7978496846367596E-2</v>
      </c>
      <c r="Q1478" s="66">
        <f t="shared" si="199"/>
        <v>2</v>
      </c>
      <c r="R1478" s="10">
        <f t="shared" si="197"/>
        <v>2.2534053458130461E-7</v>
      </c>
      <c r="V1478" s="10">
        <f t="shared" si="198"/>
        <v>2.0705476718666393E-5</v>
      </c>
    </row>
    <row r="1479" spans="11:22">
      <c r="K1479" s="66">
        <v>73.349999999999994</v>
      </c>
      <c r="L1479" s="10">
        <f t="shared" si="192"/>
        <v>6.2576222084104998E-3</v>
      </c>
      <c r="M1479" s="10">
        <f t="shared" si="193"/>
        <v>6.884118612114639E-4</v>
      </c>
      <c r="N1479" s="10">
        <f t="shared" si="194"/>
        <v>0.36835081261358643</v>
      </c>
      <c r="O1479" s="10">
        <f t="shared" si="195"/>
        <v>0.52877166597468805</v>
      </c>
      <c r="P1479" s="10">
        <f t="shared" si="196"/>
        <v>2.791032625881221E-2</v>
      </c>
      <c r="Q1479" s="66">
        <f t="shared" si="199"/>
        <v>4</v>
      </c>
      <c r="R1479" s="10">
        <f t="shared" si="197"/>
        <v>4.3145382909363979E-7</v>
      </c>
      <c r="V1479" s="10">
        <f t="shared" si="198"/>
        <v>4.0384548816851893E-5</v>
      </c>
    </row>
    <row r="1480" spans="11:22">
      <c r="K1480" s="66">
        <v>73.400000000000006</v>
      </c>
      <c r="L1480" s="10">
        <f t="shared" si="192"/>
        <v>6.1432222632279362E-3</v>
      </c>
      <c r="M1480" s="10">
        <f t="shared" si="193"/>
        <v>6.7041763967860726E-4</v>
      </c>
      <c r="N1480" s="10">
        <f t="shared" si="194"/>
        <v>0.36968483020562942</v>
      </c>
      <c r="O1480" s="10">
        <f t="shared" si="195"/>
        <v>0.53068682075145412</v>
      </c>
      <c r="P1480" s="10">
        <f t="shared" si="196"/>
        <v>2.7842321771281167E-2</v>
      </c>
      <c r="Q1480" s="66">
        <f t="shared" si="199"/>
        <v>2</v>
      </c>
      <c r="R1480" s="10">
        <f t="shared" si="197"/>
        <v>2.0648994922824583E-7</v>
      </c>
      <c r="V1480" s="10">
        <f t="shared" si="198"/>
        <v>1.9689876075644738E-5</v>
      </c>
    </row>
    <row r="1481" spans="11:22">
      <c r="K1481" s="66">
        <v>73.45</v>
      </c>
      <c r="L1481" s="10">
        <f t="shared" si="192"/>
        <v>6.0305107610636533E-3</v>
      </c>
      <c r="M1481" s="10">
        <f t="shared" si="193"/>
        <v>6.5283113469981097E-4</v>
      </c>
      <c r="N1481" s="10">
        <f t="shared" si="194"/>
        <v>0.37102368038153816</v>
      </c>
      <c r="O1481" s="10">
        <f t="shared" si="195"/>
        <v>0.53260891332733962</v>
      </c>
      <c r="P1481" s="10">
        <f t="shared" si="196"/>
        <v>2.7774482979065967E-2</v>
      </c>
      <c r="Q1481" s="66">
        <f t="shared" si="199"/>
        <v>4</v>
      </c>
      <c r="R1481" s="10">
        <f t="shared" si="197"/>
        <v>3.9523265276868723E-7</v>
      </c>
      <c r="V1481" s="10">
        <f t="shared" si="198"/>
        <v>3.8396206340793955E-5</v>
      </c>
    </row>
    <row r="1482" spans="11:22">
      <c r="K1482" s="66">
        <v>73.5</v>
      </c>
      <c r="L1482" s="10">
        <f t="shared" si="192"/>
        <v>5.919470215099986E-3</v>
      </c>
      <c r="M1482" s="10">
        <f t="shared" si="193"/>
        <v>6.3564475985890137E-4</v>
      </c>
      <c r="N1482" s="10">
        <f t="shared" si="194"/>
        <v>0.37236738064772978</v>
      </c>
      <c r="O1482" s="10">
        <f t="shared" si="195"/>
        <v>0.53453796883506921</v>
      </c>
      <c r="P1482" s="10">
        <f t="shared" si="196"/>
        <v>2.7706809478444155E-2</v>
      </c>
      <c r="Q1482" s="66">
        <f t="shared" si="199"/>
        <v>2</v>
      </c>
      <c r="R1482" s="10">
        <f t="shared" si="197"/>
        <v>1.8909314645033035E-7</v>
      </c>
      <c r="V1482" s="10">
        <f t="shared" si="198"/>
        <v>1.8716778978372602E-5</v>
      </c>
    </row>
    <row r="1483" spans="11:22">
      <c r="K1483" s="66">
        <v>73.55</v>
      </c>
      <c r="L1483" s="10">
        <f t="shared" si="192"/>
        <v>5.810083202253684E-3</v>
      </c>
      <c r="M1483" s="10">
        <f t="shared" si="193"/>
        <v>6.188510311661993E-4</v>
      </c>
      <c r="N1483" s="10">
        <f t="shared" si="194"/>
        <v>0.37371594857403817</v>
      </c>
      <c r="O1483" s="10">
        <f t="shared" si="195"/>
        <v>0.53647401249841187</v>
      </c>
      <c r="P1483" s="10">
        <f t="shared" si="196"/>
        <v>2.7639300866676989E-2</v>
      </c>
      <c r="Q1483" s="66">
        <f t="shared" si="199"/>
        <v>4</v>
      </c>
      <c r="R1483" s="10">
        <f t="shared" si="197"/>
        <v>3.6181582374338262E-7</v>
      </c>
      <c r="V1483" s="10">
        <f t="shared" si="198"/>
        <v>3.649145725044708E-5</v>
      </c>
    </row>
    <row r="1484" spans="11:22">
      <c r="K1484" s="66">
        <v>73.599999999999994</v>
      </c>
      <c r="L1484" s="10">
        <f t="shared" ref="L1484:L1547" si="200">(B$7^K1484)*B$8^((B$5^25)*((B$5^K1484)-1))</f>
        <v>5.7023323646087001E-3</v>
      </c>
      <c r="M1484" s="10">
        <f t="shared" ref="M1484:M1547" si="201">(B$7^K1484)*B$8^((B$5^30)*((B$5^K1484)-1))</f>
        <v>6.0244256647536013E-4</v>
      </c>
      <c r="N1484" s="10">
        <f t="shared" si="194"/>
        <v>0.37506940179394543</v>
      </c>
      <c r="O1484" s="10">
        <f t="shared" si="195"/>
        <v>0.53841706963251301</v>
      </c>
      <c r="P1484" s="10">
        <f t="shared" si="196"/>
        <v>2.7571956742006971E-2</v>
      </c>
      <c r="Q1484" s="66">
        <f t="shared" si="199"/>
        <v>2</v>
      </c>
      <c r="R1484" s="10">
        <f t="shared" si="197"/>
        <v>1.7304851664238229E-7</v>
      </c>
      <c r="V1484" s="10">
        <f t="shared" si="198"/>
        <v>1.7784779080359637E-5</v>
      </c>
    </row>
    <row r="1485" spans="11:22">
      <c r="K1485" s="66">
        <v>73.650000000000006</v>
      </c>
      <c r="L1485" s="10">
        <f t="shared" si="200"/>
        <v>5.5962004108296853E-3</v>
      </c>
      <c r="M1485" s="10">
        <f t="shared" si="201"/>
        <v>5.8641208488811609E-4</v>
      </c>
      <c r="N1485" s="10">
        <f t="shared" ref="N1485:N1548" si="202">B$3+B$4*(B$5^(25+K1485))</f>
        <v>0.37642775800481365</v>
      </c>
      <c r="O1485" s="10">
        <f t="shared" ref="O1485:O1548" si="203">$B$3+$B$4*($B$5^(30+K1485))</f>
        <v>0.54036716564422305</v>
      </c>
      <c r="P1485" s="10">
        <f t="shared" ref="P1485:P1548" si="204">(1+B$6)^-K1485</f>
        <v>2.7504776703655528E-2</v>
      </c>
      <c r="Q1485" s="66">
        <f t="shared" si="199"/>
        <v>4</v>
      </c>
      <c r="R1485" s="10">
        <f t="shared" ref="R1485:R1548" si="205">L1485*M1485*(N1485+O1485)*P1485*Q1485</f>
        <v>3.3100647209133727E-7</v>
      </c>
      <c r="V1485" s="10">
        <f t="shared" si="198"/>
        <v>3.4667518320398963E-5</v>
      </c>
    </row>
    <row r="1486" spans="11:22">
      <c r="K1486" s="66">
        <v>73.7</v>
      </c>
      <c r="L1486" s="10">
        <f t="shared" si="200"/>
        <v>5.4916701175565874E-3</v>
      </c>
      <c r="M1486" s="10">
        <f t="shared" si="201"/>
        <v>5.707524061472802E-4</v>
      </c>
      <c r="N1486" s="10">
        <f t="shared" si="202"/>
        <v>0.37779103496811295</v>
      </c>
      <c r="O1486" s="10">
        <f t="shared" si="203"/>
        <v>0.54232432603242975</v>
      </c>
      <c r="P1486" s="10">
        <f t="shared" si="204"/>
        <v>2.7437760351820623E-2</v>
      </c>
      <c r="Q1486" s="66">
        <f t="shared" si="199"/>
        <v>2</v>
      </c>
      <c r="R1486" s="10">
        <f t="shared" si="205"/>
        <v>1.5826071659586051E-7</v>
      </c>
      <c r="V1486" s="10">
        <f t="shared" ref="V1486:V1549" si="206">(1-L1486)*M1486*O1486*P1486*Q1486</f>
        <v>1.6892499530884607E-5</v>
      </c>
    </row>
    <row r="1487" spans="11:22">
      <c r="K1487" s="66">
        <v>73.75</v>
      </c>
      <c r="L1487" s="10">
        <f t="shared" si="200"/>
        <v>5.3887243307794768E-3</v>
      </c>
      <c r="M1487" s="10">
        <f t="shared" si="201"/>
        <v>5.5545645001821807E-4</v>
      </c>
      <c r="N1487" s="10">
        <f t="shared" si="202"/>
        <v>0.37915925050965693</v>
      </c>
      <c r="O1487" s="10">
        <f t="shared" si="203"/>
        <v>0.5442885763883949</v>
      </c>
      <c r="P1487" s="10">
        <f t="shared" si="204"/>
        <v>2.7370907287674315E-2</v>
      </c>
      <c r="Q1487" s="66">
        <f t="shared" ref="Q1487:Q1550" si="207">IF(Q1486=4,2,4)</f>
        <v>4</v>
      </c>
      <c r="R1487" s="10">
        <f t="shared" si="205"/>
        <v>3.0261993235814359E-7</v>
      </c>
      <c r="V1487" s="10">
        <f t="shared" si="206"/>
        <v>3.292166542092224E-5</v>
      </c>
    </row>
    <row r="1488" spans="11:22">
      <c r="K1488" s="66">
        <v>73.8</v>
      </c>
      <c r="L1488" s="10">
        <f t="shared" si="200"/>
        <v>5.2873459671942159E-3</v>
      </c>
      <c r="M1488" s="10">
        <f t="shared" si="201"/>
        <v>5.4051723565920343E-4</v>
      </c>
      <c r="N1488" s="10">
        <f t="shared" si="202"/>
        <v>0.38053242251983516</v>
      </c>
      <c r="O1488" s="10">
        <f t="shared" si="203"/>
        <v>0.54625994239608511</v>
      </c>
      <c r="P1488" s="10">
        <f t="shared" si="204"/>
        <v>2.7304217113360445E-2</v>
      </c>
      <c r="Q1488" s="66">
        <f t="shared" si="207"/>
        <v>2</v>
      </c>
      <c r="R1488" s="10">
        <f t="shared" si="205"/>
        <v>1.4464034439118124E-7</v>
      </c>
      <c r="V1488" s="10">
        <f t="shared" si="206"/>
        <v>1.603859307053883E-5</v>
      </c>
    </row>
    <row r="1489" spans="11:22">
      <c r="K1489" s="66">
        <v>73.849999999999994</v>
      </c>
      <c r="L1489" s="10">
        <f t="shared" si="200"/>
        <v>5.1875180155379653E-3</v>
      </c>
      <c r="M1489" s="10">
        <f t="shared" si="201"/>
        <v>5.2592788098084766E-4</v>
      </c>
      <c r="N1489" s="10">
        <f t="shared" si="202"/>
        <v>0.38191056895384562</v>
      </c>
      <c r="O1489" s="10">
        <f t="shared" si="203"/>
        <v>0.54823844983250913</v>
      </c>
      <c r="P1489" s="10">
        <f t="shared" si="204"/>
        <v>2.7237689431992194E-2</v>
      </c>
      <c r="Q1489" s="66">
        <f t="shared" si="207"/>
        <v>4</v>
      </c>
      <c r="R1489" s="10">
        <f t="shared" si="205"/>
        <v>2.7648310614204249E-7</v>
      </c>
      <c r="V1489" s="10">
        <f t="shared" si="206"/>
        <v>3.1251233674863689E-5</v>
      </c>
    </row>
    <row r="1490" spans="11:22">
      <c r="K1490" s="66">
        <v>73.900000000000006</v>
      </c>
      <c r="L1490" s="10">
        <f t="shared" si="200"/>
        <v>5.0892235379046708E-3</v>
      </c>
      <c r="M1490" s="10">
        <f t="shared" si="201"/>
        <v>5.1168160199492466E-4</v>
      </c>
      <c r="N1490" s="10">
        <f t="shared" si="202"/>
        <v>0.38329370783193051</v>
      </c>
      <c r="O1490" s="10">
        <f t="shared" si="203"/>
        <v>0.5502241245680568</v>
      </c>
      <c r="P1490" s="10">
        <f t="shared" si="204"/>
        <v>2.7171323847649823E-2</v>
      </c>
      <c r="Q1490" s="66">
        <f t="shared" si="207"/>
        <v>2</v>
      </c>
      <c r="R1490" s="10">
        <f t="shared" si="205"/>
        <v>1.3210362702684726E-7</v>
      </c>
      <c r="V1490" s="10">
        <f t="shared" si="206"/>
        <v>1.5221742092788358E-5</v>
      </c>
    </row>
    <row r="1491" spans="11:22">
      <c r="K1491" s="66">
        <v>73.95</v>
      </c>
      <c r="L1491" s="10">
        <f t="shared" si="200"/>
        <v>4.9924456710406734E-3</v>
      </c>
      <c r="M1491" s="10">
        <f t="shared" si="201"/>
        <v>4.9777171215296598E-4</v>
      </c>
      <c r="N1491" s="10">
        <f t="shared" si="202"/>
        <v>0.38468185723961212</v>
      </c>
      <c r="O1491" s="10">
        <f t="shared" si="203"/>
        <v>0.55221699256683265</v>
      </c>
      <c r="P1491" s="10">
        <f t="shared" si="204"/>
        <v>2.7105119965378267E-2</v>
      </c>
      <c r="Q1491" s="66">
        <f t="shared" si="207"/>
        <v>4</v>
      </c>
      <c r="R1491" s="10">
        <f t="shared" si="205"/>
        <v>2.5243384990821321E-7</v>
      </c>
      <c r="V1491" s="10">
        <f t="shared" si="206"/>
        <v>2.9653617547437079E-5</v>
      </c>
    </row>
    <row r="1492" spans="11:22">
      <c r="K1492" s="66">
        <v>74</v>
      </c>
      <c r="L1492" s="10">
        <f t="shared" si="200"/>
        <v>4.8971676276194209E-3</v>
      </c>
      <c r="M1492" s="10">
        <f t="shared" si="201"/>
        <v>4.841916216747853E-4</v>
      </c>
      <c r="N1492" s="10">
        <f t="shared" si="202"/>
        <v>0.38607503532792942</v>
      </c>
      <c r="O1492" s="10">
        <f t="shared" si="203"/>
        <v>0.55421707988700086</v>
      </c>
      <c r="P1492" s="10">
        <f t="shared" si="204"/>
        <v>2.7039077391184833E-2</v>
      </c>
      <c r="Q1492" s="66">
        <f t="shared" si="207"/>
        <v>2</v>
      </c>
      <c r="R1492" s="10">
        <f t="shared" si="205"/>
        <v>1.205721205424055E-7</v>
      </c>
      <c r="V1492" s="10">
        <f t="shared" si="206"/>
        <v>1.4440658672424334E-5</v>
      </c>
    </row>
    <row r="1493" spans="11:22">
      <c r="K1493" s="66">
        <v>74.05</v>
      </c>
      <c r="L1493" s="10">
        <f t="shared" si="200"/>
        <v>4.8033726974960325E-3</v>
      </c>
      <c r="M1493" s="10">
        <f t="shared" si="201"/>
        <v>4.7093483686737558E-4</v>
      </c>
      <c r="N1493" s="10">
        <f t="shared" si="202"/>
        <v>0.38747326031367213</v>
      </c>
      <c r="O1493" s="10">
        <f t="shared" si="203"/>
        <v>0.55622441268111944</v>
      </c>
      <c r="P1493" s="10">
        <f t="shared" si="204"/>
        <v>2.6973195732036527E-2</v>
      </c>
      <c r="Q1493" s="66">
        <f t="shared" si="207"/>
        <v>4</v>
      </c>
      <c r="R1493" s="10">
        <f t="shared" si="205"/>
        <v>2.3032038753929806E-7</v>
      </c>
      <c r="V1493" s="10">
        <f t="shared" si="206"/>
        <v>2.8126270870683615E-5</v>
      </c>
    </row>
    <row r="1494" spans="11:22">
      <c r="K1494" s="66">
        <v>74.099999999999994</v>
      </c>
      <c r="L1494" s="10">
        <f t="shared" si="200"/>
        <v>4.7110442489406495E-3</v>
      </c>
      <c r="M1494" s="10">
        <f t="shared" si="201"/>
        <v>4.5799495943433908E-4</v>
      </c>
      <c r="N1494" s="10">
        <f t="shared" si="202"/>
        <v>0.38887655047962638</v>
      </c>
      <c r="O1494" s="10">
        <f t="shared" si="203"/>
        <v>0.55823901719649205</v>
      </c>
      <c r="P1494" s="10">
        <f t="shared" si="204"/>
        <v>2.6907474595858401E-2</v>
      </c>
      <c r="Q1494" s="66">
        <f t="shared" si="207"/>
        <v>2</v>
      </c>
      <c r="R1494" s="10">
        <f t="shared" si="205"/>
        <v>1.0997242238118986E-7</v>
      </c>
      <c r="V1494" s="10">
        <f t="shared" si="206"/>
        <v>1.3694084561800814E-5</v>
      </c>
    </row>
    <row r="1495" spans="11:22">
      <c r="K1495" s="66">
        <v>74.150000000000006</v>
      </c>
      <c r="L1495" s="10">
        <f t="shared" si="200"/>
        <v>4.6201657298513788E-3</v>
      </c>
      <c r="M1495" s="10">
        <f t="shared" si="201"/>
        <v>4.453656857763009E-4</v>
      </c>
      <c r="N1495" s="10">
        <f t="shared" si="202"/>
        <v>0.39028492417480626</v>
      </c>
      <c r="O1495" s="10">
        <f t="shared" si="203"/>
        <v>0.5602609197755013</v>
      </c>
      <c r="P1495" s="10">
        <f t="shared" si="204"/>
        <v>2.6841913591530545E-2</v>
      </c>
      <c r="Q1495" s="66">
        <f t="shared" si="207"/>
        <v>4</v>
      </c>
      <c r="R1495" s="10">
        <f t="shared" si="205"/>
        <v>2.1000074710376102E-7</v>
      </c>
      <c r="V1495" s="10">
        <f t="shared" si="206"/>
        <v>2.6666706804423703E-5</v>
      </c>
    </row>
    <row r="1496" spans="11:22">
      <c r="K1496" s="66">
        <v>74.2</v>
      </c>
      <c r="L1496" s="10">
        <f t="shared" si="200"/>
        <v>4.5307206689457775E-3</v>
      </c>
      <c r="M1496" s="10">
        <f t="shared" si="201"/>
        <v>4.330408062824722E-4</v>
      </c>
      <c r="N1496" s="10">
        <f t="shared" si="202"/>
        <v>0.39169839981469623</v>
      </c>
      <c r="O1496" s="10">
        <f t="shared" si="203"/>
        <v>0.56229014685595646</v>
      </c>
      <c r="P1496" s="10">
        <f t="shared" si="204"/>
        <v>2.6776512328886115E-2</v>
      </c>
      <c r="Q1496" s="66">
        <f t="shared" si="207"/>
        <v>2</v>
      </c>
      <c r="R1496" s="10">
        <f t="shared" si="205"/>
        <v>1.0023589572881141E-7</v>
      </c>
      <c r="V1496" s="10">
        <f t="shared" si="206"/>
        <v>1.2980791155785762E-5</v>
      </c>
    </row>
    <row r="1497" spans="11:22">
      <c r="K1497" s="66">
        <v>74.25</v>
      </c>
      <c r="L1497" s="10">
        <f t="shared" si="200"/>
        <v>4.4426926769310206E-3</v>
      </c>
      <c r="M1497" s="10">
        <f t="shared" si="201"/>
        <v>4.2101420461369924E-4</v>
      </c>
      <c r="N1497" s="10">
        <f t="shared" si="202"/>
        <v>0.39311699588149318</v>
      </c>
      <c r="O1497" s="10">
        <f t="shared" si="203"/>
        <v>0.56432672497144265</v>
      </c>
      <c r="P1497" s="10">
        <f t="shared" si="204"/>
        <v>2.6711270418708914E-2</v>
      </c>
      <c r="Q1497" s="66">
        <f t="shared" si="207"/>
        <v>4</v>
      </c>
      <c r="R1497" s="10">
        <f t="shared" si="205"/>
        <v>1.9134222130507131E-7</v>
      </c>
      <c r="V1497" s="10">
        <f t="shared" si="206"/>
        <v>2.527249773558803E-5</v>
      </c>
    </row>
    <row r="1498" spans="11:22">
      <c r="K1498" s="66">
        <v>74.3</v>
      </c>
      <c r="L1498" s="10">
        <f t="shared" si="200"/>
        <v>4.356065447652966E-3</v>
      </c>
      <c r="M1498" s="10">
        <f t="shared" si="201"/>
        <v>4.0927985697736258E-4</v>
      </c>
      <c r="N1498" s="10">
        <f t="shared" si="202"/>
        <v>0.39454073092434772</v>
      </c>
      <c r="O1498" s="10">
        <f t="shared" si="203"/>
        <v>0.56637068075166319</v>
      </c>
      <c r="P1498" s="10">
        <f t="shared" si="204"/>
        <v>2.6646187472731044E-2</v>
      </c>
      <c r="Q1498" s="66">
        <f t="shared" si="207"/>
        <v>2</v>
      </c>
      <c r="R1498" s="10">
        <f t="shared" si="205"/>
        <v>9.1298405554569598E-8</v>
      </c>
      <c r="V1498" s="10">
        <f t="shared" si="206"/>
        <v>1.2299579426379285E-5</v>
      </c>
    </row>
    <row r="1499" spans="11:22">
      <c r="K1499" s="66">
        <v>74.349999999999994</v>
      </c>
      <c r="L1499" s="10">
        <f t="shared" si="200"/>
        <v>4.2708227592234641E-3</v>
      </c>
      <c r="M1499" s="10">
        <f t="shared" si="201"/>
        <v>3.9783183139433561E-4</v>
      </c>
      <c r="N1499" s="10">
        <f t="shared" si="202"/>
        <v>0.39596962355960547</v>
      </c>
      <c r="O1499" s="10">
        <f t="shared" si="203"/>
        <v>0.5684220409227897</v>
      </c>
      <c r="P1499" s="10">
        <f t="shared" si="204"/>
        <v>2.6581263103630674E-2</v>
      </c>
      <c r="Q1499" s="66">
        <f t="shared" si="207"/>
        <v>4</v>
      </c>
      <c r="R1499" s="10">
        <f t="shared" si="205"/>
        <v>1.7422085105776124E-7</v>
      </c>
      <c r="V1499" s="10">
        <f t="shared" si="206"/>
        <v>2.3941275117843871E-5</v>
      </c>
    </row>
    <row r="1500" spans="11:22">
      <c r="K1500" s="66">
        <v>74.400000000000006</v>
      </c>
      <c r="L1500" s="10">
        <f t="shared" si="200"/>
        <v>4.1869484751258677E-3</v>
      </c>
      <c r="M1500" s="10">
        <f t="shared" si="201"/>
        <v>3.8666428695833236E-4</v>
      </c>
      <c r="N1500" s="10">
        <f t="shared" si="202"/>
        <v>0.39740369247105123</v>
      </c>
      <c r="O1500" s="10">
        <f t="shared" si="203"/>
        <v>0.5704808323078131</v>
      </c>
      <c r="P1500" s="10">
        <f t="shared" si="204"/>
        <v>2.6516496925029678E-2</v>
      </c>
      <c r="Q1500" s="66">
        <f t="shared" si="207"/>
        <v>2</v>
      </c>
      <c r="R1500" s="10">
        <f t="shared" si="205"/>
        <v>8.3100066075090011E-8</v>
      </c>
      <c r="V1500" s="10">
        <f t="shared" si="206"/>
        <v>1.1649279827970891E-5</v>
      </c>
    </row>
    <row r="1501" spans="11:22">
      <c r="K1501" s="66">
        <v>74.45</v>
      </c>
      <c r="L1501" s="10">
        <f t="shared" si="200"/>
        <v>4.1044265452991049E-3</v>
      </c>
      <c r="M1501" s="10">
        <f t="shared" si="201"/>
        <v>3.7577147308798698E-4</v>
      </c>
      <c r="N1501" s="10">
        <f t="shared" si="202"/>
        <v>0.39884295641015355</v>
      </c>
      <c r="O1501" s="10">
        <f t="shared" si="203"/>
        <v>0.57254708182689018</v>
      </c>
      <c r="P1501" s="10">
        <f t="shared" si="204"/>
        <v>2.6451888551491394E-2</v>
      </c>
      <c r="Q1501" s="66">
        <f t="shared" si="207"/>
        <v>4</v>
      </c>
      <c r="R1501" s="10">
        <f t="shared" si="205"/>
        <v>1.5852093162221945E-7</v>
      </c>
      <c r="V1501" s="10">
        <f t="shared" si="206"/>
        <v>2.2670729253496635E-5</v>
      </c>
    </row>
    <row r="1502" spans="11:22">
      <c r="K1502" s="66">
        <v>74.5</v>
      </c>
      <c r="L1502" s="10">
        <f t="shared" si="200"/>
        <v>4.0232410071993196E-3</v>
      </c>
      <c r="M1502" s="10">
        <f t="shared" si="201"/>
        <v>3.6514772877186509E-4</v>
      </c>
      <c r="N1502" s="10">
        <f t="shared" si="202"/>
        <v>0.40028743419630958</v>
      </c>
      <c r="O1502" s="10">
        <f t="shared" si="203"/>
        <v>0.57462081649769892</v>
      </c>
      <c r="P1502" s="10">
        <f t="shared" si="204"/>
        <v>2.6387437598518249E-2</v>
      </c>
      <c r="Q1502" s="66">
        <f t="shared" si="207"/>
        <v>2</v>
      </c>
      <c r="R1502" s="10">
        <f t="shared" si="205"/>
        <v>7.558499935285518E-8</v>
      </c>
      <c r="V1502" s="10">
        <f t="shared" si="206"/>
        <v>1.1028752174233346E-5</v>
      </c>
    </row>
    <row r="1503" spans="11:22">
      <c r="K1503" s="66">
        <v>74.55</v>
      </c>
      <c r="L1503" s="10">
        <f t="shared" si="200"/>
        <v>3.9433759868396845E-3</v>
      </c>
      <c r="M1503" s="10">
        <f t="shared" si="201"/>
        <v>3.5478748180678855E-4</v>
      </c>
      <c r="N1503" s="10">
        <f t="shared" si="202"/>
        <v>0.40173714471709071</v>
      </c>
      <c r="O1503" s="10">
        <f t="shared" si="203"/>
        <v>0.57670206343579278</v>
      </c>
      <c r="P1503" s="10">
        <f t="shared" si="204"/>
        <v>2.6323143682549507E-2</v>
      </c>
      <c r="Q1503" s="66">
        <f t="shared" si="207"/>
        <v>4</v>
      </c>
      <c r="R1503" s="10">
        <f t="shared" si="205"/>
        <v>1.4413454071746294E-7</v>
      </c>
      <c r="V1503" s="10">
        <f t="shared" si="206"/>
        <v>2.1458609019670896E-5</v>
      </c>
    </row>
    <row r="1504" spans="11:22">
      <c r="K1504" s="66">
        <v>74.599999999999994</v>
      </c>
      <c r="L1504" s="10">
        <f t="shared" si="200"/>
        <v>3.8648156998080988E-3</v>
      </c>
      <c r="M1504" s="10">
        <f t="shared" si="201"/>
        <v>3.4468524802974313E-4</v>
      </c>
      <c r="N1504" s="10">
        <f t="shared" si="202"/>
        <v>0.40319210692849133</v>
      </c>
      <c r="O1504" s="10">
        <f t="shared" si="203"/>
        <v>0.57879084985495144</v>
      </c>
      <c r="P1504" s="10">
        <f t="shared" si="204"/>
        <v>2.6259006420959016E-2</v>
      </c>
      <c r="Q1504" s="66">
        <f t="shared" si="207"/>
        <v>2</v>
      </c>
      <c r="R1504" s="10">
        <f t="shared" si="205"/>
        <v>6.870110473653265E-8</v>
      </c>
      <c r="V1504" s="10">
        <f t="shared" si="206"/>
        <v>1.0436885487664726E-5</v>
      </c>
    </row>
    <row r="1505" spans="11:22">
      <c r="K1505" s="66">
        <v>74.650000000000006</v>
      </c>
      <c r="L1505" s="10">
        <f t="shared" si="200"/>
        <v>3.7875444522623954E-3</v>
      </c>
      <c r="M1505" s="10">
        <f t="shared" si="201"/>
        <v>3.3483563054363062E-4</v>
      </c>
      <c r="N1505" s="10">
        <f t="shared" si="202"/>
        <v>0.40465233985517468</v>
      </c>
      <c r="O1505" s="10">
        <f t="shared" si="203"/>
        <v>0.58088720306753983</v>
      </c>
      <c r="P1505" s="10">
        <f t="shared" si="204"/>
        <v>2.619502543205288E-2</v>
      </c>
      <c r="Q1505" s="66">
        <f t="shared" si="207"/>
        <v>4</v>
      </c>
      <c r="R1505" s="10">
        <f t="shared" si="205"/>
        <v>1.3096108802075769E-7</v>
      </c>
      <c r="V1505" s="10">
        <f t="shared" si="206"/>
        <v>2.0302721540813124E-5</v>
      </c>
    </row>
    <row r="1506" spans="11:22">
      <c r="K1506" s="66">
        <v>74.7</v>
      </c>
      <c r="L1506" s="10">
        <f t="shared" si="200"/>
        <v>3.7115466419032346E-3</v>
      </c>
      <c r="M1506" s="10">
        <f t="shared" si="201"/>
        <v>3.2523331893719867E-4</v>
      </c>
      <c r="N1506" s="10">
        <f t="shared" si="202"/>
        <v>0.40611786259072152</v>
      </c>
      <c r="O1506" s="10">
        <f t="shared" si="203"/>
        <v>0.58299115048486194</v>
      </c>
      <c r="P1506" s="10">
        <f t="shared" si="204"/>
        <v>2.6131200335067255E-2</v>
      </c>
      <c r="Q1506" s="66">
        <f t="shared" si="207"/>
        <v>2</v>
      </c>
      <c r="R1506" s="10">
        <f t="shared" si="205"/>
        <v>6.2399838845330925E-8</v>
      </c>
      <c r="V1506" s="10">
        <f t="shared" si="206"/>
        <v>9.8725978228099152E-6</v>
      </c>
    </row>
    <row r="1507" spans="11:22">
      <c r="K1507" s="66">
        <v>74.75</v>
      </c>
      <c r="L1507" s="10">
        <f t="shared" si="200"/>
        <v>3.636806758924551E-3</v>
      </c>
      <c r="M1507" s="10">
        <f t="shared" si="201"/>
        <v>3.1587308849941796E-4</v>
      </c>
      <c r="N1507" s="10">
        <f t="shared" si="202"/>
        <v>0.40758869429788125</v>
      </c>
      <c r="O1507" s="10">
        <f t="shared" si="203"/>
        <v>0.58510271961752447</v>
      </c>
      <c r="P1507" s="10">
        <f t="shared" si="204"/>
        <v>2.6067530750166025E-2</v>
      </c>
      <c r="Q1507" s="66">
        <f t="shared" si="207"/>
        <v>4</v>
      </c>
      <c r="R1507" s="10">
        <f t="shared" si="205"/>
        <v>1.1890688545458678E-7</v>
      </c>
      <c r="V1507" s="10">
        <f t="shared" si="206"/>
        <v>1.9200931809594053E-5</v>
      </c>
    </row>
    <row r="1508" spans="11:22">
      <c r="K1508" s="66">
        <v>74.8</v>
      </c>
      <c r="L1508" s="10">
        <f t="shared" si="200"/>
        <v>3.5633093869413077E-3</v>
      </c>
      <c r="M1508" s="10">
        <f t="shared" si="201"/>
        <v>3.06749799428603E-4</v>
      </c>
      <c r="N1508" s="10">
        <f t="shared" si="202"/>
        <v>0.40906485420882283</v>
      </c>
      <c r="O1508" s="10">
        <f t="shared" si="203"/>
        <v>0.58722193807579148</v>
      </c>
      <c r="P1508" s="10">
        <f t="shared" si="204"/>
        <v>2.6004016298438515E-2</v>
      </c>
      <c r="Q1508" s="66">
        <f t="shared" si="207"/>
        <v>2</v>
      </c>
      <c r="R1508" s="10">
        <f t="shared" si="205"/>
        <v>5.6636005795811525E-8</v>
      </c>
      <c r="V1508" s="10">
        <f t="shared" si="206"/>
        <v>9.3348360642028622E-6</v>
      </c>
    </row>
    <row r="1509" spans="11:22">
      <c r="K1509" s="66">
        <v>74.849999999999994</v>
      </c>
      <c r="L1509" s="10">
        <f t="shared" si="200"/>
        <v>3.4910392038946395E-3</v>
      </c>
      <c r="M1509" s="10">
        <f t="shared" si="201"/>
        <v>2.9785839603654879E-4</v>
      </c>
      <c r="N1509" s="10">
        <f t="shared" si="202"/>
        <v>0.41054636162538399</v>
      </c>
      <c r="O1509" s="10">
        <f t="shared" si="203"/>
        <v>0.58934883356994727</v>
      </c>
      <c r="P1509" s="10">
        <f t="shared" si="204"/>
        <v>2.5940656601897327E-2</v>
      </c>
      <c r="Q1509" s="66">
        <f t="shared" si="207"/>
        <v>4</v>
      </c>
      <c r="R1509" s="10">
        <f t="shared" si="205"/>
        <v>1.0788473765473322E-7</v>
      </c>
      <c r="V1509" s="10">
        <f t="shared" si="206"/>
        <v>1.8151162258304753E-5</v>
      </c>
    </row>
    <row r="1510" spans="11:22">
      <c r="K1510" s="66">
        <v>74.900000000000006</v>
      </c>
      <c r="L1510" s="10">
        <f t="shared" si="200"/>
        <v>3.4199809829343099E-3</v>
      </c>
      <c r="M1510" s="10">
        <f t="shared" si="201"/>
        <v>2.8919390594800762E-4</v>
      </c>
      <c r="N1510" s="10">
        <f t="shared" si="202"/>
        <v>0.41203323591932528</v>
      </c>
      <c r="O1510" s="10">
        <f t="shared" si="203"/>
        <v>0.59148343391066105</v>
      </c>
      <c r="P1510" s="10">
        <f t="shared" si="204"/>
        <v>2.587745128347602E-2</v>
      </c>
      <c r="Q1510" s="66">
        <f t="shared" si="207"/>
        <v>2</v>
      </c>
      <c r="R1510" s="10">
        <f t="shared" si="205"/>
        <v>5.136755736677342E-8</v>
      </c>
      <c r="V1510" s="10">
        <f t="shared" si="206"/>
        <v>8.8225757000849866E-6</v>
      </c>
    </row>
    <row r="1511" spans="11:22">
      <c r="K1511" s="66">
        <v>74.95</v>
      </c>
      <c r="L1511" s="10">
        <f t="shared" si="200"/>
        <v>3.3501195932783105E-3</v>
      </c>
      <c r="M1511" s="10">
        <f t="shared" si="201"/>
        <v>2.8075143929574592E-4</v>
      </c>
      <c r="N1511" s="10">
        <f t="shared" si="202"/>
        <v>0.41352549653258303</v>
      </c>
      <c r="O1511" s="10">
        <f t="shared" si="203"/>
        <v>0.59362576700934511</v>
      </c>
      <c r="P1511" s="10">
        <f t="shared" si="204"/>
        <v>2.5814399967026919E-2</v>
      </c>
      <c r="Q1511" s="66">
        <f t="shared" si="207"/>
        <v>4</v>
      </c>
      <c r="R1511" s="10">
        <f t="shared" si="205"/>
        <v>9.7813552008529735E-8</v>
      </c>
      <c r="V1511" s="10">
        <f t="shared" si="206"/>
        <v>1.7151392282866397E-5</v>
      </c>
    </row>
    <row r="1512" spans="11:22">
      <c r="K1512" s="66">
        <v>75</v>
      </c>
      <c r="L1512" s="10">
        <f t="shared" si="200"/>
        <v>3.2814400010494861E-3</v>
      </c>
      <c r="M1512" s="10">
        <f t="shared" si="201"/>
        <v>2.7252618791147928E-4</v>
      </c>
      <c r="N1512" s="10">
        <f t="shared" si="202"/>
        <v>0.41502316297752412</v>
      </c>
      <c r="O1512" s="10">
        <f t="shared" si="203"/>
        <v>0.59577586087852596</v>
      </c>
      <c r="P1512" s="10">
        <f t="shared" si="204"/>
        <v>2.5751502277318886E-2</v>
      </c>
      <c r="Q1512" s="66">
        <f t="shared" si="207"/>
        <v>2</v>
      </c>
      <c r="R1512" s="10">
        <f t="shared" si="205"/>
        <v>4.6555402795861534E-8</v>
      </c>
      <c r="V1512" s="10">
        <f t="shared" si="206"/>
        <v>8.334820572964551E-6</v>
      </c>
    </row>
    <row r="1513" spans="11:22">
      <c r="K1513" s="66">
        <v>75.05</v>
      </c>
      <c r="L1513" s="10">
        <f t="shared" si="200"/>
        <v>3.2139272700894986E-3</v>
      </c>
      <c r="M1513" s="10">
        <f t="shared" si="201"/>
        <v>2.6451342451299514E-4</v>
      </c>
      <c r="N1513" s="10">
        <f t="shared" si="202"/>
        <v>0.41652625483719752</v>
      </c>
      <c r="O1513" s="10">
        <f t="shared" si="203"/>
        <v>0.59793374363220342</v>
      </c>
      <c r="P1513" s="10">
        <f t="shared" si="204"/>
        <v>2.5688757840034784E-2</v>
      </c>
      <c r="Q1513" s="66">
        <f t="shared" si="207"/>
        <v>4</v>
      </c>
      <c r="R1513" s="10">
        <f t="shared" si="205"/>
        <v>8.861796764925743E-8</v>
      </c>
      <c r="V1513" s="10">
        <f t="shared" si="206"/>
        <v>1.6199657721591304E-5</v>
      </c>
    </row>
    <row r="1514" spans="11:22">
      <c r="K1514" s="66">
        <v>75.099999999999994</v>
      </c>
      <c r="L1514" s="10">
        <f t="shared" si="200"/>
        <v>3.147566562749411E-3</v>
      </c>
      <c r="M1514" s="10">
        <f t="shared" si="201"/>
        <v>2.5670850188767456E-4</v>
      </c>
      <c r="N1514" s="10">
        <f t="shared" si="202"/>
        <v>0.41803479176559838</v>
      </c>
      <c r="O1514" s="10">
        <f t="shared" si="203"/>
        <v>0.6000994434862289</v>
      </c>
      <c r="P1514" s="10">
        <f t="shared" si="204"/>
        <v>2.5626166281769901E-2</v>
      </c>
      <c r="Q1514" s="66">
        <f t="shared" si="207"/>
        <v>2</v>
      </c>
      <c r="R1514" s="10">
        <f t="shared" si="205"/>
        <v>4.2163227900400041E-8</v>
      </c>
      <c r="V1514" s="10">
        <f t="shared" si="206"/>
        <v>7.8706026080856094E-6</v>
      </c>
    </row>
    <row r="1515" spans="11:22">
      <c r="K1515" s="66">
        <v>75.150000000000006</v>
      </c>
      <c r="L1515" s="10">
        <f t="shared" si="200"/>
        <v>3.0823431406577268E-3</v>
      </c>
      <c r="M1515" s="10">
        <f t="shared" si="201"/>
        <v>2.4910685207278469E-4</v>
      </c>
      <c r="N1515" s="10">
        <f t="shared" si="202"/>
        <v>0.41954879348791674</v>
      </c>
      <c r="O1515" s="10">
        <f t="shared" si="203"/>
        <v>0.60227298875866386</v>
      </c>
      <c r="P1515" s="10">
        <f t="shared" si="204"/>
        <v>2.5563727230029084E-2</v>
      </c>
      <c r="Q1515" s="66">
        <f t="shared" si="207"/>
        <v>4</v>
      </c>
      <c r="R1515" s="10">
        <f t="shared" si="205"/>
        <v>8.0228002791178473E-8</v>
      </c>
      <c r="V1515" s="10">
        <f t="shared" si="206"/>
        <v>1.5294050290837747E-5</v>
      </c>
    </row>
    <row r="1516" spans="11:22">
      <c r="K1516" s="66">
        <v>75.2</v>
      </c>
      <c r="L1516" s="10">
        <f t="shared" si="200"/>
        <v>3.0182423654650098E-3</v>
      </c>
      <c r="M1516" s="10">
        <f t="shared" si="201"/>
        <v>2.4170398553271825E-4</v>
      </c>
      <c r="N1516" s="10">
        <f t="shared" si="202"/>
        <v>0.42106827980079847</v>
      </c>
      <c r="O1516" s="10">
        <f t="shared" si="203"/>
        <v>0.60445440787015314</v>
      </c>
      <c r="P1516" s="10">
        <f t="shared" si="204"/>
        <v>2.5501440313224866E-2</v>
      </c>
      <c r="Q1516" s="66">
        <f t="shared" si="207"/>
        <v>2</v>
      </c>
      <c r="R1516" s="10">
        <f t="shared" si="205"/>
        <v>3.8157323214671907E-8</v>
      </c>
      <c r="V1516" s="10">
        <f t="shared" si="206"/>
        <v>7.4289815208841553E-6</v>
      </c>
    </row>
    <row r="1517" spans="11:22">
      <c r="K1517" s="66">
        <v>75.25</v>
      </c>
      <c r="L1517" s="10">
        <f t="shared" si="200"/>
        <v>2.9552496995655878E-3</v>
      </c>
      <c r="M1517" s="10">
        <f t="shared" si="201"/>
        <v>2.3449549033351916E-4</v>
      </c>
      <c r="N1517" s="10">
        <f t="shared" si="202"/>
        <v>0.42259327057260515</v>
      </c>
      <c r="O1517" s="10">
        <f t="shared" si="203"/>
        <v>0.60664372934430089</v>
      </c>
      <c r="P1517" s="10">
        <f t="shared" si="204"/>
        <v>2.5439305160675153E-2</v>
      </c>
      <c r="Q1517" s="66">
        <f t="shared" si="207"/>
        <v>4</v>
      </c>
      <c r="R1517" s="10">
        <f t="shared" si="205"/>
        <v>7.257871978992558E-8</v>
      </c>
      <c r="V1517" s="10">
        <f t="shared" si="206"/>
        <v>1.4432716979718623E-5</v>
      </c>
    </row>
    <row r="1518" spans="11:22">
      <c r="K1518" s="66">
        <v>75.3</v>
      </c>
      <c r="L1518" s="10">
        <f t="shared" si="200"/>
        <v>2.893350706796121E-3</v>
      </c>
      <c r="M1518" s="10">
        <f t="shared" si="201"/>
        <v>2.2747703131493826E-4</v>
      </c>
      <c r="N1518" s="10">
        <f t="shared" si="202"/>
        <v>0.42412378574367382</v>
      </c>
      <c r="O1518" s="10">
        <f t="shared" si="203"/>
        <v>0.60884098180803803</v>
      </c>
      <c r="P1518" s="10">
        <f t="shared" si="204"/>
        <v>2.5377321402600985E-2</v>
      </c>
      <c r="Q1518" s="66">
        <f t="shared" si="207"/>
        <v>2</v>
      </c>
      <c r="R1518" s="10">
        <f t="shared" si="205"/>
        <v>3.4506420836298902E-8</v>
      </c>
      <c r="V1518" s="10">
        <f t="shared" si="206"/>
        <v>7.0090445045098137E-6</v>
      </c>
    </row>
    <row r="1519" spans="11:22">
      <c r="K1519" s="66">
        <v>75.349999999999994</v>
      </c>
      <c r="L1519" s="10">
        <f t="shared" si="200"/>
        <v>2.8325310531109823E-3</v>
      </c>
      <c r="M1519" s="10">
        <f t="shared" si="201"/>
        <v>2.2064434926027734E-4</v>
      </c>
      <c r="N1519" s="10">
        <f t="shared" si="202"/>
        <v>0.42565984532657586</v>
      </c>
      <c r="O1519" s="10">
        <f t="shared" si="203"/>
        <v>0.61104619399199889</v>
      </c>
      <c r="P1519" s="10">
        <f t="shared" si="204"/>
        <v>2.5315488670124446E-2</v>
      </c>
      <c r="Q1519" s="66">
        <f t="shared" si="207"/>
        <v>4</v>
      </c>
      <c r="R1519" s="10">
        <f t="shared" si="205"/>
        <v>6.5609907314507075E-8</v>
      </c>
      <c r="V1519" s="10">
        <f t="shared" si="206"/>
        <v>1.3613859406018482E-5</v>
      </c>
    </row>
    <row r="1520" spans="11:22">
      <c r="K1520" s="66">
        <v>75.400000000000006</v>
      </c>
      <c r="L1520" s="10">
        <f t="shared" si="200"/>
        <v>2.7727765072346334E-3</v>
      </c>
      <c r="M1520" s="10">
        <f t="shared" si="201"/>
        <v>2.1399326006431806E-4</v>
      </c>
      <c r="N1520" s="10">
        <f t="shared" si="202"/>
        <v>0.4272014694063801</v>
      </c>
      <c r="O1520" s="10">
        <f t="shared" si="203"/>
        <v>0.61325939473089919</v>
      </c>
      <c r="P1520" s="10">
        <f t="shared" si="204"/>
        <v>2.5253806595266361E-2</v>
      </c>
      <c r="Q1520" s="66">
        <f t="shared" si="207"/>
        <v>2</v>
      </c>
      <c r="R1520" s="10">
        <f t="shared" si="205"/>
        <v>3.1181539675523138E-8</v>
      </c>
      <c r="V1520" s="10">
        <f t="shared" si="206"/>
        <v>6.6099058984909539E-6</v>
      </c>
    </row>
    <row r="1521" spans="11:22">
      <c r="K1521" s="66">
        <v>75.45</v>
      </c>
      <c r="L1521" s="10">
        <f t="shared" si="200"/>
        <v>2.7140729412908414E-3</v>
      </c>
      <c r="M1521" s="10">
        <f t="shared" si="201"/>
        <v>2.0751965389956772E-4</v>
      </c>
      <c r="N1521" s="10">
        <f t="shared" si="202"/>
        <v>0.42874867814091505</v>
      </c>
      <c r="O1521" s="10">
        <f t="shared" si="203"/>
        <v>0.61548061296390677</v>
      </c>
      <c r="P1521" s="10">
        <f t="shared" si="204"/>
        <v>2.5192274810944191E-2</v>
      </c>
      <c r="Q1521" s="66">
        <f t="shared" si="207"/>
        <v>4</v>
      </c>
      <c r="R1521" s="10">
        <f t="shared" si="205"/>
        <v>5.9265779020254154E-8</v>
      </c>
      <c r="V1521" s="10">
        <f t="shared" si="206"/>
        <v>1.2835733135476943E-5</v>
      </c>
    </row>
    <row r="1522" spans="11:22">
      <c r="K1522" s="66">
        <v>75.5</v>
      </c>
      <c r="L1522" s="10">
        <f t="shared" si="200"/>
        <v>2.6564063314086215E-3</v>
      </c>
      <c r="M1522" s="10">
        <f t="shared" si="201"/>
        <v>2.0121949438108055E-4</v>
      </c>
      <c r="N1522" s="10">
        <f t="shared" si="202"/>
        <v>0.43030149176103277</v>
      </c>
      <c r="O1522" s="10">
        <f t="shared" si="203"/>
        <v>0.61770987773502628</v>
      </c>
      <c r="P1522" s="10">
        <f t="shared" si="204"/>
        <v>2.5130892950969756E-2</v>
      </c>
      <c r="Q1522" s="66">
        <f t="shared" si="207"/>
        <v>2</v>
      </c>
      <c r="R1522" s="10">
        <f t="shared" si="205"/>
        <v>2.8155838803077968E-8</v>
      </c>
      <c r="V1522" s="10">
        <f t="shared" si="206"/>
        <v>6.2307068396230091E-6</v>
      </c>
    </row>
    <row r="1523" spans="11:22">
      <c r="K1523" s="66">
        <v>75.55</v>
      </c>
      <c r="L1523" s="10">
        <f t="shared" si="200"/>
        <v>2.5997627583052049E-3</v>
      </c>
      <c r="M1523" s="10">
        <f t="shared" si="201"/>
        <v>1.9508881773012946E-4</v>
      </c>
      <c r="N1523" s="10">
        <f t="shared" si="202"/>
        <v>0.43185993057087246</v>
      </c>
      <c r="O1523" s="10">
        <f t="shared" si="203"/>
        <v>0.61994721819347731</v>
      </c>
      <c r="P1523" s="10">
        <f t="shared" si="204"/>
        <v>2.5069660650047149E-2</v>
      </c>
      <c r="Q1523" s="66">
        <f t="shared" si="207"/>
        <v>4</v>
      </c>
      <c r="R1523" s="10">
        <f t="shared" si="205"/>
        <v>5.3494688116400429E-8</v>
      </c>
      <c r="V1523" s="10">
        <f t="shared" si="206"/>
        <v>1.2096646966594027E-5</v>
      </c>
    </row>
    <row r="1524" spans="11:22">
      <c r="K1524" s="66">
        <v>75.599999999999994</v>
      </c>
      <c r="L1524" s="10">
        <f t="shared" si="200"/>
        <v>2.5441284078459372E-3</v>
      </c>
      <c r="M1524" s="10">
        <f t="shared" si="201"/>
        <v>1.8912373193698349E-4</v>
      </c>
      <c r="N1524" s="10">
        <f t="shared" si="202"/>
        <v>0.43342401494812816</v>
      </c>
      <c r="O1524" s="10">
        <f t="shared" si="203"/>
        <v>0.62219266359407277</v>
      </c>
      <c r="P1524" s="10">
        <f t="shared" si="204"/>
        <v>2.5008577543770498E-2</v>
      </c>
      <c r="Q1524" s="66">
        <f t="shared" si="207"/>
        <v>2</v>
      </c>
      <c r="R1524" s="10">
        <f t="shared" si="205"/>
        <v>2.540447859478111E-8</v>
      </c>
      <c r="V1524" s="10">
        <f t="shared" si="206"/>
        <v>5.8706148961520085E-6</v>
      </c>
    </row>
    <row r="1525" spans="11:22">
      <c r="K1525" s="66">
        <v>75.650000000000006</v>
      </c>
      <c r="L1525" s="10">
        <f t="shared" si="200"/>
        <v>2.4894895715809775E-3</v>
      </c>
      <c r="M1525" s="10">
        <f t="shared" si="201"/>
        <v>1.8332041592300857E-4</v>
      </c>
      <c r="N1525" s="10">
        <f t="shared" si="202"/>
        <v>0.43499376534431283</v>
      </c>
      <c r="O1525" s="10">
        <f t="shared" si="203"/>
        <v>0.62444624329760534</v>
      </c>
      <c r="P1525" s="10">
        <f t="shared" si="204"/>
        <v>2.4947643268621787E-2</v>
      </c>
      <c r="Q1525" s="66">
        <f t="shared" si="207"/>
        <v>4</v>
      </c>
      <c r="R1525" s="10">
        <f t="shared" si="205"/>
        <v>4.8248857227500584E-8</v>
      </c>
      <c r="V1525" s="10">
        <f t="shared" si="206"/>
        <v>1.1394962183096435E-5</v>
      </c>
    </row>
    <row r="1526" spans="11:22">
      <c r="K1526" s="66">
        <v>75.7</v>
      </c>
      <c r="L1526" s="10">
        <f t="shared" si="200"/>
        <v>2.4358326472590183E-3</v>
      </c>
      <c r="M1526" s="10">
        <f t="shared" si="201"/>
        <v>1.7767511870237412E-4</v>
      </c>
      <c r="N1526" s="10">
        <f t="shared" si="202"/>
        <v>0.4365692022850256</v>
      </c>
      <c r="O1526" s="10">
        <f t="shared" si="203"/>
        <v>0.62670798677122652</v>
      </c>
      <c r="P1526" s="10">
        <f t="shared" si="204"/>
        <v>2.4886857461968823E-2</v>
      </c>
      <c r="Q1526" s="66">
        <f t="shared" si="207"/>
        <v>2</v>
      </c>
      <c r="R1526" s="10">
        <f t="shared" si="205"/>
        <v>2.2904489374111608E-8</v>
      </c>
      <c r="V1526" s="10">
        <f t="shared" si="206"/>
        <v>5.5288236863251269E-6</v>
      </c>
    </row>
    <row r="1527" spans="11:22">
      <c r="K1527" s="66">
        <v>75.75</v>
      </c>
      <c r="L1527" s="10">
        <f t="shared" si="200"/>
        <v>2.3831441393179957E-3</v>
      </c>
      <c r="M1527" s="10">
        <f t="shared" si="201"/>
        <v>1.7218415854359362E-4</v>
      </c>
      <c r="N1527" s="10">
        <f t="shared" si="202"/>
        <v>0.43815034637022232</v>
      </c>
      <c r="O1527" s="10">
        <f t="shared" si="203"/>
        <v>0.62897792358883875</v>
      </c>
      <c r="P1527" s="10">
        <f t="shared" si="204"/>
        <v>2.4826219762062875E-2</v>
      </c>
      <c r="Q1527" s="66">
        <f t="shared" si="207"/>
        <v>4</v>
      </c>
      <c r="R1527" s="10">
        <f t="shared" si="205"/>
        <v>4.3484122954718853E-8</v>
      </c>
      <c r="V1527" s="10">
        <f t="shared" si="206"/>
        <v>1.0729091776201607E-5</v>
      </c>
    </row>
    <row r="1528" spans="11:22">
      <c r="K1528" s="66">
        <v>75.8</v>
      </c>
      <c r="L1528" s="10">
        <f t="shared" si="200"/>
        <v>2.3314106593528392E-3</v>
      </c>
      <c r="M1528" s="10">
        <f t="shared" si="201"/>
        <v>1.6684392213113907E-4</v>
      </c>
      <c r="N1528" s="10">
        <f t="shared" si="202"/>
        <v>0.43973721827448459</v>
      </c>
      <c r="O1528" s="10">
        <f t="shared" si="203"/>
        <v>0.63125608343147588</v>
      </c>
      <c r="P1528" s="10">
        <f t="shared" si="204"/>
        <v>2.4765729808036673E-2</v>
      </c>
      <c r="Q1528" s="66">
        <f t="shared" si="207"/>
        <v>2</v>
      </c>
      <c r="R1528" s="10">
        <f t="shared" si="205"/>
        <v>2.0634647257632104E-8</v>
      </c>
      <c r="V1528" s="10">
        <f t="shared" si="206"/>
        <v>5.2045524823680522E-6</v>
      </c>
    </row>
    <row r="1529" spans="11:22">
      <c r="K1529" s="66">
        <v>75.849999999999994</v>
      </c>
      <c r="L1529" s="10">
        <f t="shared" si="200"/>
        <v>2.280618926560236E-3</v>
      </c>
      <c r="M1529" s="10">
        <f t="shared" si="201"/>
        <v>1.6165086372736993E-4</v>
      </c>
      <c r="N1529" s="10">
        <f t="shared" si="202"/>
        <v>0.44132983874728782</v>
      </c>
      <c r="O1529" s="10">
        <f t="shared" si="203"/>
        <v>0.63354249608769342</v>
      </c>
      <c r="P1529" s="10">
        <f t="shared" si="204"/>
        <v>2.4705387239902222E-2</v>
      </c>
      <c r="Q1529" s="66">
        <f t="shared" si="207"/>
        <v>4</v>
      </c>
      <c r="R1529" s="10">
        <f t="shared" si="205"/>
        <v>3.9159694550748581E-8</v>
      </c>
      <c r="V1529" s="10">
        <f t="shared" si="206"/>
        <v>1.0097499638791383E-5</v>
      </c>
    </row>
    <row r="1530" spans="11:22">
      <c r="K1530" s="66">
        <v>75.900000000000006</v>
      </c>
      <c r="L1530" s="10">
        <f t="shared" si="200"/>
        <v>2.2307557681606671E-3</v>
      </c>
      <c r="M1530" s="10">
        <f t="shared" si="201"/>
        <v>1.5660150433501391E-4</v>
      </c>
      <c r="N1530" s="10">
        <f t="shared" si="202"/>
        <v>0.44292822861327474</v>
      </c>
      <c r="O1530" s="10">
        <f t="shared" si="203"/>
        <v>0.63583719145396067</v>
      </c>
      <c r="P1530" s="10">
        <f t="shared" si="204"/>
        <v>2.4645191698548587E-2</v>
      </c>
      <c r="Q1530" s="66">
        <f t="shared" si="207"/>
        <v>2</v>
      </c>
      <c r="R1530" s="10">
        <f t="shared" si="205"/>
        <v>1.8575356912302031E-8</v>
      </c>
      <c r="V1530" s="10">
        <f t="shared" si="206"/>
        <v>4.8970458009430746E-6</v>
      </c>
    </row>
    <row r="1531" spans="11:22">
      <c r="K1531" s="66">
        <v>75.95</v>
      </c>
      <c r="L1531" s="10">
        <f t="shared" si="200"/>
        <v>2.1818081197975503E-3</v>
      </c>
      <c r="M1531" s="10">
        <f t="shared" si="201"/>
        <v>1.5169243086042886E-4</v>
      </c>
      <c r="N1531" s="10">
        <f t="shared" si="202"/>
        <v>0.44453240877252681</v>
      </c>
      <c r="O1531" s="10">
        <f t="shared" si="203"/>
        <v>0.63814019953504597</v>
      </c>
      <c r="P1531" s="10">
        <f t="shared" si="204"/>
        <v>2.4585142825739932E-2</v>
      </c>
      <c r="Q1531" s="66">
        <f t="shared" si="207"/>
        <v>4</v>
      </c>
      <c r="R1531" s="10">
        <f t="shared" si="205"/>
        <v>3.5237926130961052E-8</v>
      </c>
      <c r="V1531" s="10">
        <f t="shared" si="206"/>
        <v>9.4986997335916677E-6</v>
      </c>
    </row>
    <row r="1532" spans="11:22">
      <c r="K1532" s="66">
        <v>76</v>
      </c>
      <c r="L1532" s="10">
        <f t="shared" si="200"/>
        <v>2.1337630259136231E-3</v>
      </c>
      <c r="M1532" s="10">
        <f t="shared" si="201"/>
        <v>1.4692029527785711E-4</v>
      </c>
      <c r="N1532" s="10">
        <f t="shared" si="202"/>
        <v>0.4461424002008384</v>
      </c>
      <c r="O1532" s="10">
        <f t="shared" si="203"/>
        <v>0.64045155044441537</v>
      </c>
      <c r="P1532" s="10">
        <f t="shared" si="204"/>
        <v>2.4525240264113228E-2</v>
      </c>
      <c r="Q1532" s="66">
        <f t="shared" si="207"/>
        <v>2</v>
      </c>
      <c r="R1532" s="10">
        <f t="shared" si="205"/>
        <v>1.6708540938347076E-8</v>
      </c>
      <c r="V1532" s="10">
        <f t="shared" si="206"/>
        <v>4.6055729811303606E-6</v>
      </c>
    </row>
    <row r="1533" spans="11:22">
      <c r="K1533" s="66">
        <v>76.05</v>
      </c>
      <c r="L1533" s="10">
        <f t="shared" si="200"/>
        <v>2.086607640104828E-3</v>
      </c>
      <c r="M1533" s="10">
        <f t="shared" si="201"/>
        <v>1.4228181379493312E-4</v>
      </c>
      <c r="N1533" s="10">
        <f t="shared" si="202"/>
        <v>0.44775822394998732</v>
      </c>
      <c r="O1533" s="10">
        <f t="shared" si="203"/>
        <v>0.64277127440461868</v>
      </c>
      <c r="P1533" s="10">
        <f t="shared" si="204"/>
        <v>2.446548365717598E-2</v>
      </c>
      <c r="Q1533" s="66">
        <f t="shared" si="207"/>
        <v>4</v>
      </c>
      <c r="R1533" s="10">
        <f t="shared" si="205"/>
        <v>3.1684101853080951E-8</v>
      </c>
      <c r="V1533" s="10">
        <f t="shared" si="206"/>
        <v>8.9312552374318992E-6</v>
      </c>
    </row>
    <row r="1534" spans="11:22">
      <c r="K1534" s="66">
        <v>76.099999999999994</v>
      </c>
      <c r="L1534" s="10">
        <f t="shared" si="200"/>
        <v>2.0403292254513551E-3</v>
      </c>
      <c r="M1534" s="10">
        <f t="shared" si="201"/>
        <v>1.3777376601961148E-4</v>
      </c>
      <c r="N1534" s="10">
        <f t="shared" si="202"/>
        <v>0.44937990114801823</v>
      </c>
      <c r="O1534" s="10">
        <f t="shared" si="203"/>
        <v>0.64509940174769609</v>
      </c>
      <c r="P1534" s="10">
        <f t="shared" si="204"/>
        <v>2.4405872649304675E-2</v>
      </c>
      <c r="Q1534" s="66">
        <f t="shared" si="207"/>
        <v>2</v>
      </c>
      <c r="R1534" s="10">
        <f t="shared" si="205"/>
        <v>1.501753559640689E-8</v>
      </c>
      <c r="V1534" s="10">
        <f t="shared" si="206"/>
        <v>4.3294277509611796E-6</v>
      </c>
    </row>
    <row r="1535" spans="11:22">
      <c r="K1535" s="66">
        <v>76.150000000000006</v>
      </c>
      <c r="L1535" s="10">
        <f t="shared" si="200"/>
        <v>1.994915154826546E-3</v>
      </c>
      <c r="M1535" s="10">
        <f t="shared" si="201"/>
        <v>1.3339299412879477E-4</v>
      </c>
      <c r="N1535" s="10">
        <f t="shared" si="202"/>
        <v>0.45100745299951045</v>
      </c>
      <c r="O1535" s="10">
        <f t="shared" si="203"/>
        <v>0.64743596291556371</v>
      </c>
      <c r="P1535" s="10">
        <f t="shared" si="204"/>
        <v>2.4346406885741984E-2</v>
      </c>
      <c r="Q1535" s="66">
        <f t="shared" si="207"/>
        <v>4</v>
      </c>
      <c r="R1535" s="10">
        <f t="shared" si="205"/>
        <v>2.8466233508187561E-8</v>
      </c>
      <c r="V1535" s="10">
        <f t="shared" si="206"/>
        <v>8.3937776636272287E-6</v>
      </c>
    </row>
    <row r="1536" spans="11:22">
      <c r="K1536" s="66">
        <v>76.2</v>
      </c>
      <c r="L1536" s="10">
        <f t="shared" si="200"/>
        <v>1.9503529111831277E-3</v>
      </c>
      <c r="M1536" s="10">
        <f t="shared" si="201"/>
        <v>1.291364020388154E-4</v>
      </c>
      <c r="N1536" s="10">
        <f t="shared" si="202"/>
        <v>0.45264090078585834</v>
      </c>
      <c r="O1536" s="10">
        <f t="shared" si="203"/>
        <v>0.64978098846041465</v>
      </c>
      <c r="P1536" s="10">
        <f t="shared" si="204"/>
        <v>2.4287086012595119E-2</v>
      </c>
      <c r="Q1536" s="66">
        <f t="shared" si="207"/>
        <v>2</v>
      </c>
      <c r="R1536" s="10">
        <f t="shared" si="205"/>
        <v>1.3486992603148639E-8</v>
      </c>
      <c r="V1536" s="10">
        <f t="shared" si="206"/>
        <v>4.0679277835193982E-6</v>
      </c>
    </row>
    <row r="1537" spans="11:22">
      <c r="K1537" s="66">
        <v>76.25</v>
      </c>
      <c r="L1537" s="10">
        <f t="shared" si="200"/>
        <v>1.9066300878172733E-3</v>
      </c>
      <c r="M1537" s="10">
        <f t="shared" si="201"/>
        <v>1.250009545780176E-4</v>
      </c>
      <c r="N1537" s="10">
        <f t="shared" si="202"/>
        <v>0.45428026586555054</v>
      </c>
      <c r="O1537" s="10">
        <f t="shared" si="203"/>
        <v>0.65213450904512338</v>
      </c>
      <c r="P1537" s="10">
        <f t="shared" si="204"/>
        <v>2.4227909676833474E-2</v>
      </c>
      <c r="Q1537" s="66">
        <f t="shared" si="207"/>
        <v>4</v>
      </c>
      <c r="R1537" s="10">
        <f t="shared" si="205"/>
        <v>2.5554869977157015E-8</v>
      </c>
      <c r="V1537" s="10">
        <f t="shared" si="206"/>
        <v>7.8849259645023289E-6</v>
      </c>
    </row>
    <row r="1538" spans="11:22">
      <c r="K1538" s="66">
        <v>76.3</v>
      </c>
      <c r="L1538" s="10">
        <f t="shared" si="200"/>
        <v>1.8637343886104679E-3</v>
      </c>
      <c r="M1538" s="10">
        <f t="shared" si="201"/>
        <v>1.2098367666163253E-4</v>
      </c>
      <c r="N1538" s="10">
        <f t="shared" si="202"/>
        <v>0.45592556967444936</v>
      </c>
      <c r="O1538" s="10">
        <f t="shared" si="203"/>
        <v>0.65449655544364094</v>
      </c>
      <c r="P1538" s="10">
        <f t="shared" si="204"/>
        <v>2.4168877526286651E-2</v>
      </c>
      <c r="Q1538" s="66">
        <f t="shared" si="207"/>
        <v>2</v>
      </c>
      <c r="R1538" s="10">
        <f t="shared" si="205"/>
        <v>1.2102786725343822E-8</v>
      </c>
      <c r="V1538" s="10">
        <f t="shared" si="206"/>
        <v>3.8204142436114883E-6</v>
      </c>
    </row>
    <row r="1539" spans="11:22">
      <c r="K1539" s="66">
        <v>76.349999999999994</v>
      </c>
      <c r="L1539" s="10">
        <f t="shared" si="200"/>
        <v>1.821653628249252E-3</v>
      </c>
      <c r="M1539" s="10">
        <f t="shared" si="201"/>
        <v>1.1708165246913983E-4</v>
      </c>
      <c r="N1539" s="10">
        <f t="shared" si="202"/>
        <v>0.45757683372606905</v>
      </c>
      <c r="O1539" s="10">
        <f t="shared" si="203"/>
        <v>0.65686715854139888</v>
      </c>
      <c r="P1539" s="10">
        <f t="shared" si="204"/>
        <v>2.410998920964234E-2</v>
      </c>
      <c r="Q1539" s="66">
        <f t="shared" si="207"/>
        <v>4</v>
      </c>
      <c r="R1539" s="10">
        <f t="shared" si="205"/>
        <v>2.292291801857263E-8</v>
      </c>
      <c r="V1539" s="10">
        <f t="shared" si="206"/>
        <v>7.4034056160384834E-6</v>
      </c>
    </row>
    <row r="1540" spans="11:22">
      <c r="K1540" s="66">
        <v>76.400000000000006</v>
      </c>
      <c r="L1540" s="10">
        <f t="shared" si="200"/>
        <v>1.780375732423099E-3</v>
      </c>
      <c r="M1540" s="10">
        <f t="shared" si="201"/>
        <v>1.1329202462433759E-4</v>
      </c>
      <c r="N1540" s="10">
        <f t="shared" si="202"/>
        <v>0.45923407961185858</v>
      </c>
      <c r="O1540" s="10">
        <f t="shared" si="203"/>
        <v>0.65924634933571657</v>
      </c>
      <c r="P1540" s="10">
        <f t="shared" si="204"/>
        <v>2.4051244376444146E-2</v>
      </c>
      <c r="Q1540" s="66">
        <f t="shared" si="207"/>
        <v>2</v>
      </c>
      <c r="R1540" s="10">
        <f t="shared" si="205"/>
        <v>1.0851928908521466E-8</v>
      </c>
      <c r="V1540" s="10">
        <f t="shared" si="206"/>
        <v>3.5862513259869452E-6</v>
      </c>
    </row>
    <row r="1541" spans="11:22">
      <c r="K1541" s="66">
        <v>76.45</v>
      </c>
      <c r="L1541" s="10">
        <f t="shared" si="200"/>
        <v>1.7398887380004032E-3</v>
      </c>
      <c r="M1541" s="10">
        <f t="shared" si="201"/>
        <v>1.0961199337828694E-4</v>
      </c>
      <c r="N1541" s="10">
        <f t="shared" si="202"/>
        <v>0.46089732900148367</v>
      </c>
      <c r="O1541" s="10">
        <f t="shared" si="203"/>
        <v>0.66163415893619981</v>
      </c>
      <c r="P1541" s="10">
        <f t="shared" si="204"/>
        <v>2.3992642677089702E-2</v>
      </c>
      <c r="Q1541" s="66">
        <f t="shared" si="207"/>
        <v>4</v>
      </c>
      <c r="R1541" s="10">
        <f t="shared" si="205"/>
        <v>2.0545473866689721E-8</v>
      </c>
      <c r="V1541" s="10">
        <f t="shared" si="206"/>
        <v>6.947967686591241E-6</v>
      </c>
    </row>
    <row r="1542" spans="11:22">
      <c r="K1542" s="66">
        <v>76.5</v>
      </c>
      <c r="L1542" s="10">
        <f t="shared" si="200"/>
        <v>1.7001807931827351E-3</v>
      </c>
      <c r="M1542" s="10">
        <f t="shared" si="201"/>
        <v>1.0603881579533435E-4</v>
      </c>
      <c r="N1542" s="10">
        <f t="shared" si="202"/>
        <v>0.46256660364311025</v>
      </c>
      <c r="O1542" s="10">
        <f t="shared" si="203"/>
        <v>0.66403061856515333</v>
      </c>
      <c r="P1542" s="10">
        <f t="shared" si="204"/>
        <v>2.393418376282834E-2</v>
      </c>
      <c r="Q1542" s="66">
        <f t="shared" si="207"/>
        <v>2</v>
      </c>
      <c r="R1542" s="10">
        <f t="shared" si="205"/>
        <v>9.7224846827343434E-9</v>
      </c>
      <c r="V1542" s="10">
        <f t="shared" si="206"/>
        <v>3.3648257860748346E-6</v>
      </c>
    </row>
    <row r="1543" spans="11:22">
      <c r="K1543" s="66">
        <v>76.55</v>
      </c>
      <c r="L1543" s="10">
        <f t="shared" si="200"/>
        <v>1.6612401576375523E-3</v>
      </c>
      <c r="M1543" s="10">
        <f t="shared" si="201"/>
        <v>1.0256980494239418E-4</v>
      </c>
      <c r="N1543" s="10">
        <f t="shared" si="202"/>
        <v>0.46424192536368791</v>
      </c>
      <c r="O1543" s="10">
        <f t="shared" si="203"/>
        <v>0.66643575955798817</v>
      </c>
      <c r="P1543" s="10">
        <f t="shared" si="204"/>
        <v>2.3875867285759182E-2</v>
      </c>
      <c r="Q1543" s="66">
        <f t="shared" si="207"/>
        <v>4</v>
      </c>
      <c r="R1543" s="10">
        <f t="shared" si="205"/>
        <v>1.8399665131110911E-8</v>
      </c>
      <c r="V1543" s="10">
        <f t="shared" si="206"/>
        <v>6.5174078915900393E-6</v>
      </c>
    </row>
    <row r="1544" spans="11:22">
      <c r="K1544" s="66">
        <v>76.599999999999994</v>
      </c>
      <c r="L1544" s="10">
        <f t="shared" si="200"/>
        <v>1.6230552026095554E-3</v>
      </c>
      <c r="M1544" s="10">
        <f t="shared" si="201"/>
        <v>9.9202329081683863E-5</v>
      </c>
      <c r="N1544" s="10">
        <f t="shared" si="202"/>
        <v>0.46592331606923787</v>
      </c>
      <c r="O1544" s="10">
        <f t="shared" si="203"/>
        <v>0.66884961336362836</v>
      </c>
      <c r="P1544" s="10">
        <f t="shared" si="204"/>
        <v>2.3817692898829044E-2</v>
      </c>
      <c r="Q1544" s="66">
        <f t="shared" si="207"/>
        <v>2</v>
      </c>
      <c r="R1544" s="10">
        <f t="shared" si="205"/>
        <v>8.7034975946060297E-9</v>
      </c>
      <c r="V1544" s="10">
        <f t="shared" si="206"/>
        <v>3.1555464641794533E-6</v>
      </c>
    </row>
    <row r="1545" spans="11:22">
      <c r="K1545" s="66">
        <v>76.650000000000006</v>
      </c>
      <c r="L1545" s="10">
        <f t="shared" si="200"/>
        <v>1.5856144110106484E-3</v>
      </c>
      <c r="M1545" s="10">
        <f t="shared" si="201"/>
        <v>9.5933810867069675E-5</v>
      </c>
      <c r="N1545" s="10">
        <f t="shared" si="202"/>
        <v>0.46761079774513625</v>
      </c>
      <c r="O1545" s="10">
        <f t="shared" si="203"/>
        <v>0.67127221154492511</v>
      </c>
      <c r="P1545" s="10">
        <f t="shared" si="204"/>
        <v>2.3759660255830279E-2</v>
      </c>
      <c r="Q1545" s="66">
        <f t="shared" si="207"/>
        <v>4</v>
      </c>
      <c r="R1545" s="10">
        <f t="shared" si="205"/>
        <v>1.6464502503319546E-8</v>
      </c>
      <c r="V1545" s="10">
        <f t="shared" si="206"/>
        <v>6.1105656360846244E-6</v>
      </c>
    </row>
    <row r="1546" spans="11:22">
      <c r="K1546" s="66">
        <v>76.7</v>
      </c>
      <c r="L1546" s="10">
        <f t="shared" si="200"/>
        <v>1.5489063774888367E-3</v>
      </c>
      <c r="M1546" s="10">
        <f t="shared" si="201"/>
        <v>9.2761726544210457E-5</v>
      </c>
      <c r="N1546" s="10">
        <f t="shared" si="202"/>
        <v>0.4693043924564021</v>
      </c>
      <c r="O1546" s="10">
        <f t="shared" si="203"/>
        <v>0.67370358577906853</v>
      </c>
      <c r="P1546" s="10">
        <f t="shared" si="204"/>
        <v>2.3701769011398876E-2</v>
      </c>
      <c r="Q1546" s="66">
        <f t="shared" si="207"/>
        <v>2</v>
      </c>
      <c r="R1546" s="10">
        <f t="shared" si="205"/>
        <v>7.7849174217020231E-9</v>
      </c>
      <c r="V1546" s="10">
        <f t="shared" si="206"/>
        <v>2.9578438040601575E-6</v>
      </c>
    </row>
    <row r="1547" spans="11:22">
      <c r="K1547" s="66">
        <v>76.75</v>
      </c>
      <c r="L1547" s="10">
        <f t="shared" si="200"/>
        <v>1.5129198084761273E-3</v>
      </c>
      <c r="M1547" s="10">
        <f t="shared" si="201"/>
        <v>8.9683605154666858E-5</v>
      </c>
      <c r="N1547" s="10">
        <f t="shared" si="202"/>
        <v>0.471004122347989</v>
      </c>
      <c r="O1547" s="10">
        <f t="shared" si="203"/>
        <v>0.67614376785800179</v>
      </c>
      <c r="P1547" s="10">
        <f t="shared" si="204"/>
        <v>2.3644018821012257E-2</v>
      </c>
      <c r="Q1547" s="66">
        <f t="shared" si="207"/>
        <v>4</v>
      </c>
      <c r="R1547" s="10">
        <f t="shared" si="205"/>
        <v>1.4720740789151508E-8</v>
      </c>
      <c r="V1547" s="10">
        <f t="shared" si="206"/>
        <v>5.7263230469670834E-6</v>
      </c>
    </row>
    <row r="1548" spans="11:22">
      <c r="K1548" s="66">
        <v>76.8</v>
      </c>
      <c r="L1548" s="10">
        <f t="shared" ref="L1548:L1611" si="208">(B$7^K1548)*B$8^((B$5^25)*((B$5^K1548)-1))</f>
        <v>1.4776435222156423E-3</v>
      </c>
      <c r="M1548" s="10">
        <f t="shared" ref="M1548:M1611" si="209">(B$7^K1548)*B$8^((B$5^30)*((B$5^K1548)-1))</f>
        <v>8.6697027744136958E-5</v>
      </c>
      <c r="N1548" s="10">
        <f t="shared" si="202"/>
        <v>0.47271000964507093</v>
      </c>
      <c r="O1548" s="10">
        <f t="shared" si="203"/>
        <v>0.67859278968883596</v>
      </c>
      <c r="P1548" s="10">
        <f t="shared" si="204"/>
        <v>2.3586409340987314E-2</v>
      </c>
      <c r="Q1548" s="66">
        <f t="shared" si="207"/>
        <v>2</v>
      </c>
      <c r="R1548" s="10">
        <f t="shared" si="205"/>
        <v>6.9575329322853086E-9</v>
      </c>
      <c r="V1548" s="10">
        <f t="shared" si="206"/>
        <v>2.7711693667953778E-6</v>
      </c>
    </row>
    <row r="1549" spans="11:22">
      <c r="K1549" s="66">
        <v>76.849999999999994</v>
      </c>
      <c r="L1549" s="10">
        <f t="shared" si="208"/>
        <v>1.4430664487680429E-3</v>
      </c>
      <c r="M1549" s="10">
        <f t="shared" si="209"/>
        <v>8.3799626574983157E-5</v>
      </c>
      <c r="N1549" s="10">
        <f t="shared" ref="N1549:N1612" si="210">B$3+B$4*(B$5^(25+K1549))</f>
        <v>0.47442207665333397</v>
      </c>
      <c r="O1549" s="10">
        <f t="shared" ref="O1549:O1612" si="211">$B$3+$B$4*($B$5^(30+K1549))</f>
        <v>0.68105068329427043</v>
      </c>
      <c r="P1549" s="10">
        <f t="shared" ref="P1549:P1612" si="212">(1+B$6)^-K1549</f>
        <v>2.3528940228478304E-2</v>
      </c>
      <c r="Q1549" s="66">
        <f t="shared" si="207"/>
        <v>4</v>
      </c>
      <c r="R1549" s="10">
        <f t="shared" ref="R1549:R1612" si="213">L1549*M1549*(N1549+O1549)*P1549*Q1549</f>
        <v>1.3150748800468001E-8</v>
      </c>
      <c r="V1549" s="10">
        <f t="shared" si="206"/>
        <v>5.3636039966456003E-6</v>
      </c>
    </row>
    <row r="1550" spans="11:22">
      <c r="K1550" s="66">
        <v>76.900000000000006</v>
      </c>
      <c r="L1550" s="10">
        <f t="shared" si="208"/>
        <v>1.4091776299975426E-3</v>
      </c>
      <c r="M1550" s="10">
        <f t="shared" si="209"/>
        <v>8.0989084343208639E-5</v>
      </c>
      <c r="N1550" s="10">
        <f t="shared" si="210"/>
        <v>0.47614034575927028</v>
      </c>
      <c r="O1550" s="10">
        <f t="shared" si="211"/>
        <v>0.68351748081300767</v>
      </c>
      <c r="P1550" s="10">
        <f t="shared" si="212"/>
        <v>2.3471611141474849E-2</v>
      </c>
      <c r="Q1550" s="66">
        <f t="shared" si="207"/>
        <v>2</v>
      </c>
      <c r="R1550" s="10">
        <f t="shared" si="213"/>
        <v>6.2129089607010998E-9</v>
      </c>
      <c r="V1550" s="10">
        <f t="shared" ref="V1550:V1613" si="214">(1-L1550)*M1550*O1550*P1550*Q1550</f>
        <v>2.5949953408090301E-6</v>
      </c>
    </row>
    <row r="1551" spans="11:22">
      <c r="K1551" s="66">
        <v>76.95</v>
      </c>
      <c r="L1551" s="10">
        <f t="shared" si="208"/>
        <v>1.3759662195376224E-3</v>
      </c>
      <c r="M1551" s="10">
        <f t="shared" si="209"/>
        <v>7.8263133400033132E-5</v>
      </c>
      <c r="N1551" s="10">
        <f t="shared" si="210"/>
        <v>0.47786483943046631</v>
      </c>
      <c r="O1551" s="10">
        <f t="shared" si="211"/>
        <v>0.68599321450017448</v>
      </c>
      <c r="P1551" s="10">
        <f t="shared" si="212"/>
        <v>2.3414421738799929E-2</v>
      </c>
      <c r="Q1551" s="66">
        <f t="shared" ref="Q1551:Q1614" si="215">IF(Q1550=4,2,4)</f>
        <v>4</v>
      </c>
      <c r="R1551" s="10">
        <f t="shared" si="213"/>
        <v>1.1738387653783059E-8</v>
      </c>
      <c r="V1551" s="10">
        <f t="shared" si="214"/>
        <v>5.0213731199032873E-6</v>
      </c>
    </row>
    <row r="1552" spans="11:22">
      <c r="K1552" s="66">
        <v>77</v>
      </c>
      <c r="L1552" s="10">
        <f t="shared" si="208"/>
        <v>1.3434214827365508E-3</v>
      </c>
      <c r="M1552" s="10">
        <f t="shared" si="209"/>
        <v>7.5619554978211331E-5</v>
      </c>
      <c r="N1552" s="10">
        <f t="shared" si="210"/>
        <v>0.47959558021590121</v>
      </c>
      <c r="O1552" s="10">
        <f t="shared" si="211"/>
        <v>0.68847791672774661</v>
      </c>
      <c r="P1552" s="10">
        <f t="shared" si="212"/>
        <v>2.3357371680107829E-2</v>
      </c>
      <c r="Q1552" s="66">
        <f t="shared" si="215"/>
        <v>2</v>
      </c>
      <c r="R1552" s="10">
        <f t="shared" si="213"/>
        <v>5.5433275759205207E-9</v>
      </c>
      <c r="V1552" s="10">
        <f t="shared" si="214"/>
        <v>2.428814048913346E-6</v>
      </c>
    </row>
    <row r="1553" spans="11:22">
      <c r="K1553" s="66">
        <v>77.05</v>
      </c>
      <c r="L1553" s="10">
        <f t="shared" si="208"/>
        <v>1.311532796583128E-3</v>
      </c>
      <c r="M1553" s="10">
        <f t="shared" si="209"/>
        <v>7.3056178423256597E-5</v>
      </c>
      <c r="N1553" s="10">
        <f t="shared" si="210"/>
        <v>0.48133259074623636</v>
      </c>
      <c r="O1553" s="10">
        <f t="shared" si="211"/>
        <v>0.69097161998496504</v>
      </c>
      <c r="P1553" s="10">
        <f t="shared" si="212"/>
        <v>2.3300460625881893E-2</v>
      </c>
      <c r="Q1553" s="66">
        <f t="shared" si="215"/>
        <v>4</v>
      </c>
      <c r="R1553" s="10">
        <f t="shared" si="213"/>
        <v>1.0468897038254853E-8</v>
      </c>
      <c r="V1553" s="10">
        <f t="shared" si="214"/>
        <v>4.6986348256240141E-6</v>
      </c>
    </row>
    <row r="1554" spans="11:22">
      <c r="K1554" s="66">
        <v>77.099999999999994</v>
      </c>
      <c r="L1554" s="10">
        <f t="shared" si="208"/>
        <v>1.2802896496125213E-3</v>
      </c>
      <c r="M1554" s="10">
        <f t="shared" si="209"/>
        <v>7.0570880429682824E-5</v>
      </c>
      <c r="N1554" s="10">
        <f t="shared" si="210"/>
        <v>0.48307589373411963</v>
      </c>
      <c r="O1554" s="10">
        <f t="shared" si="211"/>
        <v>0.69347435687877335</v>
      </c>
      <c r="P1554" s="10">
        <f t="shared" si="212"/>
        <v>2.324368823743302E-2</v>
      </c>
      <c r="Q1554" s="66">
        <f t="shared" si="215"/>
        <v>2</v>
      </c>
      <c r="R1554" s="10">
        <f t="shared" si="213"/>
        <v>4.941733128136866E-9</v>
      </c>
      <c r="V1554" s="10">
        <f t="shared" si="214"/>
        <v>2.2721374531953911E-6</v>
      </c>
    </row>
    <row r="1555" spans="11:22">
      <c r="K1555" s="66">
        <v>77.150000000000006</v>
      </c>
      <c r="L1555" s="10">
        <f t="shared" si="208"/>
        <v>1.2496816417927816E-3</v>
      </c>
      <c r="M1555" s="10">
        <f t="shared" si="209"/>
        <v>6.8161584282433268E-5</v>
      </c>
      <c r="N1555" s="10">
        <f t="shared" si="210"/>
        <v>0.48482551197447382</v>
      </c>
      <c r="O1555" s="10">
        <f t="shared" si="211"/>
        <v>0.69598616013423042</v>
      </c>
      <c r="P1555" s="10">
        <f t="shared" si="212"/>
        <v>2.3187054176897134E-2</v>
      </c>
      <c r="Q1555" s="66">
        <f t="shared" si="215"/>
        <v>4</v>
      </c>
      <c r="R1555" s="10">
        <f t="shared" si="213"/>
        <v>9.3287890302414429E-9</v>
      </c>
      <c r="V1555" s="10">
        <f t="shared" si="214"/>
        <v>4.3944323050145838E-6</v>
      </c>
    </row>
    <row r="1556" spans="11:22">
      <c r="K1556" s="66">
        <v>77.2</v>
      </c>
      <c r="L1556" s="10">
        <f t="shared" si="208"/>
        <v>1.2196984843918541E-3</v>
      </c>
      <c r="M1556" s="10">
        <f t="shared" si="209"/>
        <v>6.5826259103595123E-5</v>
      </c>
      <c r="N1556" s="10">
        <f t="shared" si="210"/>
        <v>0.48658146834479726</v>
      </c>
      <c r="O1556" s="10">
        <f t="shared" si="211"/>
        <v>0.69850706259494577</v>
      </c>
      <c r="P1556" s="10">
        <f t="shared" si="212"/>
        <v>2.3130558107233447E-2</v>
      </c>
      <c r="Q1556" s="66">
        <f t="shared" si="215"/>
        <v>2</v>
      </c>
      <c r="R1556" s="10">
        <f t="shared" si="213"/>
        <v>4.4016809657371934E-9</v>
      </c>
      <c r="V1556" s="10">
        <f t="shared" si="214"/>
        <v>2.1244966585502607E-6</v>
      </c>
    </row>
    <row r="1557" spans="11:22">
      <c r="K1557" s="66">
        <v>77.25</v>
      </c>
      <c r="L1557" s="10">
        <f t="shared" si="208"/>
        <v>1.1903299998255621E-3</v>
      </c>
      <c r="M1557" s="10">
        <f t="shared" si="209"/>
        <v>6.3562919104553423E-5</v>
      </c>
      <c r="N1557" s="10">
        <f t="shared" si="210"/>
        <v>0.48834378580546678</v>
      </c>
      <c r="O1557" s="10">
        <f t="shared" si="211"/>
        <v>0.70103709722350771</v>
      </c>
      <c r="P1557" s="10">
        <f t="shared" si="212"/>
        <v>2.3074199692222352E-2</v>
      </c>
      <c r="Q1557" s="66">
        <f t="shared" si="215"/>
        <v>4</v>
      </c>
      <c r="R1557" s="10">
        <f t="shared" si="213"/>
        <v>8.3057490465158841E-9</v>
      </c>
      <c r="V1557" s="10">
        <f t="shared" si="214"/>
        <v>4.1078465379026682E-6</v>
      </c>
    </row>
    <row r="1558" spans="11:22">
      <c r="K1558" s="66">
        <v>77.3</v>
      </c>
      <c r="L1558" s="10">
        <f t="shared" si="208"/>
        <v>1.1615661214866495E-3</v>
      </c>
      <c r="M1558" s="10">
        <f t="shared" si="209"/>
        <v>6.1369622843691663E-5</v>
      </c>
      <c r="N1558" s="10">
        <f t="shared" si="210"/>
        <v>0.49011248740003305</v>
      </c>
      <c r="O1558" s="10">
        <f t="shared" si="211"/>
        <v>0.70357629710191338</v>
      </c>
      <c r="P1558" s="10">
        <f t="shared" si="212"/>
        <v>2.3017978596463484E-2</v>
      </c>
      <c r="Q1558" s="66">
        <f t="shared" si="215"/>
        <v>2</v>
      </c>
      <c r="R1558" s="10">
        <f t="shared" si="213"/>
        <v>3.9172896224193682E-9</v>
      </c>
      <c r="V1558" s="10">
        <f t="shared" si="214"/>
        <v>1.9854414156359994E-6</v>
      </c>
    </row>
    <row r="1559" spans="11:22">
      <c r="K1559" s="66">
        <v>77.349999999999994</v>
      </c>
      <c r="L1559" s="10">
        <f t="shared" si="208"/>
        <v>1.1333968935551045E-3</v>
      </c>
      <c r="M1559" s="10">
        <f t="shared" si="209"/>
        <v>5.9244472489765287E-5</v>
      </c>
      <c r="N1559" s="10">
        <f t="shared" si="210"/>
        <v>0.49188759625552381</v>
      </c>
      <c r="O1559" s="10">
        <f t="shared" si="211"/>
        <v>0.70612469543200385</v>
      </c>
      <c r="P1559" s="10">
        <f t="shared" si="212"/>
        <v>2.2961894485373651E-2</v>
      </c>
      <c r="Q1559" s="66">
        <f t="shared" si="215"/>
        <v>4</v>
      </c>
      <c r="R1559" s="10">
        <f t="shared" si="213"/>
        <v>7.3885435431302908E-9</v>
      </c>
      <c r="V1559" s="10">
        <f t="shared" si="214"/>
        <v>3.8379952986323567E-6</v>
      </c>
    </row>
    <row r="1560" spans="11:22">
      <c r="K1560" s="66">
        <v>77.400000000000006</v>
      </c>
      <c r="L1560" s="10">
        <f t="shared" si="208"/>
        <v>1.1058124707900875E-3</v>
      </c>
      <c r="M1560" s="10">
        <f t="shared" si="209"/>
        <v>5.7185613091064077E-5</v>
      </c>
      <c r="N1560" s="10">
        <f t="shared" si="210"/>
        <v>0.493669135582748</v>
      </c>
      <c r="O1560" s="10">
        <f t="shared" si="211"/>
        <v>0.70868232553589527</v>
      </c>
      <c r="P1560" s="10">
        <f t="shared" si="212"/>
        <v>2.2905947025184906E-2</v>
      </c>
      <c r="Q1560" s="66">
        <f t="shared" si="215"/>
        <v>2</v>
      </c>
      <c r="R1560" s="10">
        <f t="shared" si="213"/>
        <v>3.4831962816758126E-9</v>
      </c>
      <c r="V1560" s="10">
        <f t="shared" si="214"/>
        <v>1.8545396239977123E-6</v>
      </c>
    </row>
    <row r="1561" spans="11:22">
      <c r="K1561" s="66">
        <v>77.45</v>
      </c>
      <c r="L1561" s="10">
        <f t="shared" si="208"/>
        <v>1.0788031183035409E-3</v>
      </c>
      <c r="M1561" s="10">
        <f t="shared" si="209"/>
        <v>5.5191231850471223E-5</v>
      </c>
      <c r="N1561" s="10">
        <f t="shared" si="210"/>
        <v>0.49545712867659503</v>
      </c>
      <c r="O1561" s="10">
        <f t="shared" si="211"/>
        <v>0.71124922085641495</v>
      </c>
      <c r="P1561" s="10">
        <f t="shared" si="212"/>
        <v>2.285013588294257E-2</v>
      </c>
      <c r="Q1561" s="66">
        <f t="shared" si="215"/>
        <v>4</v>
      </c>
      <c r="R1561" s="10">
        <f t="shared" si="213"/>
        <v>6.5669340818178181E-9</v>
      </c>
      <c r="V1561" s="10">
        <f t="shared" si="214"/>
        <v>3.5840321630252054E-6</v>
      </c>
    </row>
    <row r="1562" spans="11:22">
      <c r="K1562" s="66">
        <v>77.5</v>
      </c>
      <c r="L1562" s="10">
        <f t="shared" si="208"/>
        <v>1.052359211315756E-3</v>
      </c>
      <c r="M1562" s="10">
        <f t="shared" si="209"/>
        <v>5.3259557406521289E-5</v>
      </c>
      <c r="N1562" s="10">
        <f t="shared" si="210"/>
        <v>0.49725159891634346</v>
      </c>
      <c r="O1562" s="10">
        <f t="shared" si="211"/>
        <v>0.71382541495753982</v>
      </c>
      <c r="P1562" s="10">
        <f t="shared" si="212"/>
        <v>2.2794460726503176E-2</v>
      </c>
      <c r="Q1562" s="66">
        <f t="shared" si="215"/>
        <v>2</v>
      </c>
      <c r="R1562" s="10">
        <f t="shared" si="213"/>
        <v>3.094515333302468E-9</v>
      </c>
      <c r="V1562" s="10">
        <f t="shared" si="214"/>
        <v>1.73137683608108E-6</v>
      </c>
    </row>
    <row r="1563" spans="11:22">
      <c r="K1563" s="66">
        <v>77.55</v>
      </c>
      <c r="L1563" s="10">
        <f t="shared" si="208"/>
        <v>1.026471234893232E-3</v>
      </c>
      <c r="M1563" s="10">
        <f t="shared" si="209"/>
        <v>5.1388859120573215E-5</v>
      </c>
      <c r="N1563" s="10">
        <f t="shared" si="210"/>
        <v>0.49905256976596457</v>
      </c>
      <c r="O1563" s="10">
        <f t="shared" si="211"/>
        <v>0.7164109415248372</v>
      </c>
      <c r="P1563" s="10">
        <f t="shared" si="212"/>
        <v>2.2738921224532561E-2</v>
      </c>
      <c r="Q1563" s="66">
        <f t="shared" si="215"/>
        <v>4</v>
      </c>
      <c r="R1563" s="10">
        <f t="shared" si="213"/>
        <v>5.8315974006486407E-9</v>
      </c>
      <c r="V1563" s="10">
        <f t="shared" si="214"/>
        <v>3.3451455178181671E-6</v>
      </c>
    </row>
    <row r="1564" spans="11:22">
      <c r="K1564" s="66">
        <v>77.599999999999994</v>
      </c>
      <c r="L1564" s="10">
        <f t="shared" si="208"/>
        <v>1.0011297836689172E-3</v>
      </c>
      <c r="M1564" s="10">
        <f t="shared" si="209"/>
        <v>4.9577446370182587E-5</v>
      </c>
      <c r="N1564" s="10">
        <f t="shared" si="210"/>
        <v>0.50086006477443068</v>
      </c>
      <c r="O1564" s="10">
        <f t="shared" si="211"/>
        <v>0.71900583436590049</v>
      </c>
      <c r="P1564" s="10">
        <f t="shared" si="212"/>
        <v>2.2683517046503846E-2</v>
      </c>
      <c r="Q1564" s="66">
        <f t="shared" si="215"/>
        <v>2</v>
      </c>
      <c r="R1564" s="10">
        <f t="shared" si="213"/>
        <v>2.7467998439755179E-9</v>
      </c>
      <c r="V1564" s="10">
        <f t="shared" si="214"/>
        <v>1.6155557628256459E-6</v>
      </c>
    </row>
    <row r="1565" spans="11:22">
      <c r="K1565" s="66">
        <v>77.650000000000006</v>
      </c>
      <c r="L1565" s="10">
        <f t="shared" si="208"/>
        <v>9.7632556154511997E-4</v>
      </c>
      <c r="M1565" s="10">
        <f t="shared" si="209"/>
        <v>4.7823667848772025E-5</v>
      </c>
      <c r="N1565" s="10">
        <f t="shared" si="210"/>
        <v>0.50267410757602149</v>
      </c>
      <c r="O1565" s="10">
        <f t="shared" si="211"/>
        <v>0.72161012741079456</v>
      </c>
      <c r="P1565" s="10">
        <f t="shared" si="212"/>
        <v>2.2628247862695502E-2</v>
      </c>
      <c r="Q1565" s="66">
        <f t="shared" si="215"/>
        <v>4</v>
      </c>
      <c r="R1565" s="10">
        <f t="shared" si="213"/>
        <v>5.1740511403723335E-9</v>
      </c>
      <c r="V1565" s="10">
        <f t="shared" si="214"/>
        <v>3.1205575739305614E-6</v>
      </c>
    </row>
    <row r="1566" spans="11:22">
      <c r="K1566" s="66">
        <v>77.7</v>
      </c>
      <c r="L1566" s="10">
        <f t="shared" si="208"/>
        <v>9.5204938137943688E-4</v>
      </c>
      <c r="M1566" s="10">
        <f t="shared" si="209"/>
        <v>4.6125910871698254E-5</v>
      </c>
      <c r="N1566" s="10">
        <f t="shared" si="210"/>
        <v>0.50449472189063227</v>
      </c>
      <c r="O1566" s="10">
        <f t="shared" si="211"/>
        <v>0.72422385471249873</v>
      </c>
      <c r="P1566" s="10">
        <f t="shared" si="212"/>
        <v>2.2573113344189401E-2</v>
      </c>
      <c r="Q1566" s="66">
        <f t="shared" si="215"/>
        <v>2</v>
      </c>
      <c r="R1566" s="10">
        <f t="shared" si="213"/>
        <v>2.4360057712700863E-9</v>
      </c>
      <c r="V1566" s="10">
        <f t="shared" si="214"/>
        <v>1.5066957815003671E-6</v>
      </c>
    </row>
    <row r="1567" spans="11:22">
      <c r="K1567" s="66">
        <v>77.75</v>
      </c>
      <c r="L1567" s="10">
        <f t="shared" si="208"/>
        <v>9.2829216465373438E-4</v>
      </c>
      <c r="M1567" s="10">
        <f t="shared" si="209"/>
        <v>4.4482600688784533E-5</v>
      </c>
      <c r="N1567" s="10">
        <f t="shared" si="210"/>
        <v>0.50632193152408822</v>
      </c>
      <c r="O1567" s="10">
        <f t="shared" si="211"/>
        <v>0.72684705044735187</v>
      </c>
      <c r="P1567" s="10">
        <f t="shared" si="212"/>
        <v>2.2518113162868812E-2</v>
      </c>
      <c r="Q1567" s="66">
        <f t="shared" si="215"/>
        <v>4</v>
      </c>
      <c r="R1567" s="10">
        <f t="shared" si="213"/>
        <v>4.5865848924604026E-9</v>
      </c>
      <c r="V1567" s="10">
        <f t="shared" si="214"/>
        <v>2.9095233848552767E-6</v>
      </c>
    </row>
    <row r="1568" spans="11:22">
      <c r="K1568" s="66">
        <v>77.8</v>
      </c>
      <c r="L1568" s="10">
        <f t="shared" si="208"/>
        <v>9.0504494112664659E-4</v>
      </c>
      <c r="M1568" s="10">
        <f t="shared" si="209"/>
        <v>4.2892199803417777E-5</v>
      </c>
      <c r="N1568" s="10">
        <f t="shared" si="210"/>
        <v>0.50815576036845123</v>
      </c>
      <c r="O1568" s="10">
        <f t="shared" si="211"/>
        <v>0.72947974891549872</v>
      </c>
      <c r="P1568" s="10">
        <f t="shared" si="212"/>
        <v>2.2463246991416486E-2</v>
      </c>
      <c r="Q1568" s="66">
        <f t="shared" si="215"/>
        <v>2</v>
      </c>
      <c r="R1568" s="10">
        <f t="shared" si="213"/>
        <v>2.158458757737081E-9</v>
      </c>
      <c r="V1568" s="10">
        <f t="shared" si="214"/>
        <v>1.4044324464138804E-6</v>
      </c>
    </row>
    <row r="1569" spans="11:22">
      <c r="K1569" s="66">
        <v>77.849999999999994</v>
      </c>
      <c r="L1569" s="10">
        <f t="shared" si="208"/>
        <v>8.8229884846968254E-4</v>
      </c>
      <c r="M1569" s="10">
        <f t="shared" si="209"/>
        <v>4.1353207298275383E-5</v>
      </c>
      <c r="N1569" s="10">
        <f t="shared" si="210"/>
        <v>0.50999623240233405</v>
      </c>
      <c r="O1569" s="10">
        <f t="shared" si="211"/>
        <v>0.73212198454134059</v>
      </c>
      <c r="P1569" s="10">
        <f t="shared" si="212"/>
        <v>2.2408514503312667E-2</v>
      </c>
      <c r="Q1569" s="66">
        <f t="shared" si="215"/>
        <v>4</v>
      </c>
      <c r="R1569" s="10">
        <f t="shared" si="213"/>
        <v>4.0621962492553496E-9</v>
      </c>
      <c r="V1569" s="10">
        <f t="shared" si="214"/>
        <v>2.7113298714096626E-6</v>
      </c>
    </row>
    <row r="1570" spans="11:22">
      <c r="K1570" s="66">
        <v>77.900000000000006</v>
      </c>
      <c r="L1570" s="10">
        <f t="shared" si="208"/>
        <v>8.6004513188733204E-4</v>
      </c>
      <c r="M1570" s="10">
        <f t="shared" si="209"/>
        <v>3.986415816776679E-5</v>
      </c>
      <c r="N1570" s="10">
        <f t="shared" si="210"/>
        <v>0.51184337169121563</v>
      </c>
      <c r="O1570" s="10">
        <f t="shared" si="211"/>
        <v>0.73477379187398328</v>
      </c>
      <c r="P1570" s="10">
        <f t="shared" si="212"/>
        <v>2.2353915372833186E-2</v>
      </c>
      <c r="Q1570" s="66">
        <f t="shared" si="215"/>
        <v>2</v>
      </c>
      <c r="R1570" s="10">
        <f t="shared" si="213"/>
        <v>1.9108233488002424E-9</v>
      </c>
      <c r="V1570" s="10">
        <f t="shared" si="214"/>
        <v>1.3084170031019451E-6</v>
      </c>
    </row>
    <row r="1571" spans="11:22">
      <c r="K1571" s="66">
        <v>77.95</v>
      </c>
      <c r="L1571" s="10">
        <f t="shared" si="208"/>
        <v>8.3827514372132746E-4</v>
      </c>
      <c r="M1571" s="10">
        <f t="shared" si="209"/>
        <v>3.8423622657249641E-5</v>
      </c>
      <c r="N1571" s="10">
        <f t="shared" si="210"/>
        <v>0.51369720238775129</v>
      </c>
      <c r="O1571" s="10">
        <f t="shared" si="211"/>
        <v>0.73743520558768749</v>
      </c>
      <c r="P1571" s="10">
        <f t="shared" si="212"/>
        <v>2.2299449275047546E-2</v>
      </c>
      <c r="Q1571" s="66">
        <f t="shared" si="215"/>
        <v>4</v>
      </c>
      <c r="R1571" s="10">
        <f t="shared" si="213"/>
        <v>3.5945315508130334E-9</v>
      </c>
      <c r="V1571" s="10">
        <f t="shared" si="214"/>
        <v>2.5252948540217607E-6</v>
      </c>
    </row>
    <row r="1572" spans="11:22">
      <c r="K1572" s="66">
        <v>78</v>
      </c>
      <c r="L1572" s="10">
        <f t="shared" si="208"/>
        <v>8.169803430393025E-4</v>
      </c>
      <c r="M1572" s="10">
        <f t="shared" si="209"/>
        <v>3.7030205609088562E-5</v>
      </c>
      <c r="N1572" s="10">
        <f t="shared" si="210"/>
        <v>0.51555774873209381</v>
      </c>
      <c r="O1572" s="10">
        <f t="shared" si="211"/>
        <v>0.74010626048232742</v>
      </c>
      <c r="P1572" s="10">
        <f t="shared" si="212"/>
        <v>2.2245115885816989E-2</v>
      </c>
      <c r="Q1572" s="66">
        <f t="shared" si="215"/>
        <v>2</v>
      </c>
      <c r="R1572" s="10">
        <f t="shared" si="213"/>
        <v>1.6900744852694574E-9</v>
      </c>
      <c r="V1572" s="10">
        <f t="shared" si="214"/>
        <v>1.218315906565859E-6</v>
      </c>
    </row>
    <row r="1573" spans="11:22">
      <c r="K1573" s="66">
        <v>78.05</v>
      </c>
      <c r="L1573" s="10">
        <f t="shared" si="208"/>
        <v>7.9615229520833407E-4</v>
      </c>
      <c r="M1573" s="10">
        <f t="shared" si="209"/>
        <v>3.5682545815630941E-5</v>
      </c>
      <c r="N1573" s="10">
        <f t="shared" si="210"/>
        <v>0.51742503505220405</v>
      </c>
      <c r="O1573" s="10">
        <f t="shared" si="211"/>
        <v>0.74278699148383753</v>
      </c>
      <c r="P1573" s="10">
        <f t="shared" si="212"/>
        <v>2.2190914881792277E-2</v>
      </c>
      <c r="Q1573" s="66">
        <f t="shared" si="215"/>
        <v>4</v>
      </c>
      <c r="R1573" s="10">
        <f t="shared" si="213"/>
        <v>3.1778310369638394E-9</v>
      </c>
      <c r="V1573" s="10">
        <f t="shared" si="214"/>
        <v>2.3507660936683811E-6</v>
      </c>
    </row>
    <row r="1574" spans="11:22">
      <c r="K1574" s="66">
        <v>78.099999999999994</v>
      </c>
      <c r="L1574" s="10">
        <f t="shared" si="208"/>
        <v>7.7578267145324395E-4</v>
      </c>
      <c r="M1574" s="10">
        <f t="shared" si="209"/>
        <v>3.4379315379133376E-5</v>
      </c>
      <c r="N1574" s="10">
        <f t="shared" si="210"/>
        <v>0.5192990857641786</v>
      </c>
      <c r="O1574" s="10">
        <f t="shared" si="211"/>
        <v>0.74547743364468133</v>
      </c>
      <c r="P1574" s="10">
        <f t="shared" si="212"/>
        <v>2.2136845940412399E-2</v>
      </c>
      <c r="Q1574" s="66">
        <f t="shared" si="215"/>
        <v>2</v>
      </c>
      <c r="R1574" s="10">
        <f t="shared" si="213"/>
        <v>1.4934711281645837E-9</v>
      </c>
      <c r="V1574" s="10">
        <f t="shared" si="214"/>
        <v>1.1338103441041276E-6</v>
      </c>
    </row>
    <row r="1575" spans="11:22">
      <c r="K1575" s="66">
        <v>78.150000000000006</v>
      </c>
      <c r="L1575" s="10">
        <f t="shared" si="208"/>
        <v>7.558632484003494E-4</v>
      </c>
      <c r="M1575" s="10">
        <f t="shared" si="209"/>
        <v>3.3119219078719222E-5</v>
      </c>
      <c r="N1575" s="10">
        <f t="shared" si="210"/>
        <v>0.52117992537255931</v>
      </c>
      <c r="O1575" s="10">
        <f t="shared" si="211"/>
        <v>0.74817762214429773</v>
      </c>
      <c r="P1575" s="10">
        <f t="shared" si="212"/>
        <v>2.2082908739902027E-2</v>
      </c>
      <c r="Q1575" s="66">
        <f t="shared" si="215"/>
        <v>4</v>
      </c>
      <c r="R1575" s="10">
        <f t="shared" si="213"/>
        <v>2.8068781267813541E-9</v>
      </c>
      <c r="V1575" s="10">
        <f t="shared" si="214"/>
        <v>2.1871203425208394E-6</v>
      </c>
    </row>
    <row r="1576" spans="11:22">
      <c r="K1576" s="66">
        <v>78.2</v>
      </c>
      <c r="L1576" s="10">
        <f t="shared" si="208"/>
        <v>7.36385907606676E-4</v>
      </c>
      <c r="M1576" s="10">
        <f t="shared" si="209"/>
        <v>3.190099374440222E-5</v>
      </c>
      <c r="N1576" s="10">
        <f t="shared" si="210"/>
        <v>0.5230675784706571</v>
      </c>
      <c r="O1576" s="10">
        <f t="shared" si="211"/>
        <v>0.75088759228956659</v>
      </c>
      <c r="P1576" s="10">
        <f t="shared" si="212"/>
        <v>2.2029102959269943E-2</v>
      </c>
      <c r="Q1576" s="66">
        <f t="shared" si="215"/>
        <v>2</v>
      </c>
      <c r="R1576" s="10">
        <f t="shared" si="213"/>
        <v>1.3185318803073037E-9</v>
      </c>
      <c r="V1576" s="10">
        <f t="shared" si="214"/>
        <v>1.054595763250856E-6</v>
      </c>
    </row>
    <row r="1577" spans="11:22">
      <c r="K1577" s="66">
        <v>78.25</v>
      </c>
      <c r="L1577" s="10">
        <f t="shared" si="208"/>
        <v>7.1734263507492824E-4</v>
      </c>
      <c r="M1577" s="10">
        <f t="shared" si="209"/>
        <v>3.0723407638223798E-5</v>
      </c>
      <c r="N1577" s="10">
        <f t="shared" si="210"/>
        <v>0.52496206974087689</v>
      </c>
      <c r="O1577" s="10">
        <f t="shared" si="211"/>
        <v>0.75360737951527079</v>
      </c>
      <c r="P1577" s="10">
        <f t="shared" si="212"/>
        <v>2.1975428278307008E-2</v>
      </c>
      <c r="Q1577" s="66">
        <f t="shared" si="215"/>
        <v>4</v>
      </c>
      <c r="R1577" s="10">
        <f t="shared" si="213"/>
        <v>2.4769525610181204E-9</v>
      </c>
      <c r="V1577" s="10">
        <f t="shared" si="214"/>
        <v>2.0337624052943565E-6</v>
      </c>
    </row>
    <row r="1578" spans="11:22">
      <c r="K1578" s="66">
        <v>78.3</v>
      </c>
      <c r="L1578" s="10">
        <f t="shared" si="208"/>
        <v>6.9872552075460814E-4</v>
      </c>
      <c r="M1578" s="10">
        <f t="shared" si="209"/>
        <v>2.9585259842554004E-5</v>
      </c>
      <c r="N1578" s="10">
        <f t="shared" si="210"/>
        <v>0.5268634239550356</v>
      </c>
      <c r="O1578" s="10">
        <f t="shared" si="211"/>
        <v>0.75633701938455689</v>
      </c>
      <c r="P1578" s="10">
        <f t="shared" si="212"/>
        <v>2.1921884377584269E-2</v>
      </c>
      <c r="Q1578" s="66">
        <f t="shared" si="215"/>
        <v>2</v>
      </c>
      <c r="R1578" s="10">
        <f t="shared" si="213"/>
        <v>1.16301247574468E-9</v>
      </c>
      <c r="V1578" s="10">
        <f t="shared" si="214"/>
        <v>9.8038140530400601E-7</v>
      </c>
    </row>
    <row r="1579" spans="11:22">
      <c r="K1579" s="66">
        <v>78.349999999999994</v>
      </c>
      <c r="L1579" s="10">
        <f t="shared" si="208"/>
        <v>6.8052675802944692E-4</v>
      </c>
      <c r="M1579" s="10">
        <f t="shared" si="209"/>
        <v>2.8485379655588305E-5</v>
      </c>
      <c r="N1579" s="10">
        <f t="shared" si="210"/>
        <v>0.52877166597468805</v>
      </c>
      <c r="O1579" s="10">
        <f t="shared" si="211"/>
        <v>0.75907654758940413</v>
      </c>
      <c r="P1579" s="10">
        <f t="shared" si="212"/>
        <v>2.1868470938451092E-2</v>
      </c>
      <c r="Q1579" s="66">
        <f t="shared" si="215"/>
        <v>4</v>
      </c>
      <c r="R1579" s="10">
        <f t="shared" si="213"/>
        <v>2.1837871561211422E-9</v>
      </c>
      <c r="V1579" s="10">
        <f t="shared" si="214"/>
        <v>1.8901242122375879E-6</v>
      </c>
    </row>
    <row r="1580" spans="11:22">
      <c r="K1580" s="66">
        <v>78.400000000000006</v>
      </c>
      <c r="L1580" s="10">
        <f t="shared" si="208"/>
        <v>6.6273864319152452E-4</v>
      </c>
      <c r="M1580" s="10">
        <f t="shared" si="209"/>
        <v>2.7422625994081952E-5</v>
      </c>
      <c r="N1580" s="10">
        <f t="shared" si="210"/>
        <v>0.53068682075145412</v>
      </c>
      <c r="O1580" s="10">
        <f t="shared" si="211"/>
        <v>0.76182599995108746</v>
      </c>
      <c r="P1580" s="10">
        <f t="shared" si="212"/>
        <v>2.1815187643033244E-2</v>
      </c>
      <c r="Q1580" s="66">
        <f t="shared" si="215"/>
        <v>2</v>
      </c>
      <c r="R1580" s="10">
        <f t="shared" si="213"/>
        <v>1.0248850145097888E-9</v>
      </c>
      <c r="V1580" s="10">
        <f t="shared" si="214"/>
        <v>9.1088984489612744E-7</v>
      </c>
    </row>
    <row r="1581" spans="11:22">
      <c r="K1581" s="66">
        <v>78.45</v>
      </c>
      <c r="L1581" s="10">
        <f t="shared" si="208"/>
        <v>6.4535357490228039E-4</v>
      </c>
      <c r="M1581" s="10">
        <f t="shared" si="209"/>
        <v>2.6395886803349016E-5</v>
      </c>
      <c r="N1581" s="10">
        <f t="shared" si="210"/>
        <v>0.53260891332733962</v>
      </c>
      <c r="O1581" s="10">
        <f t="shared" si="211"/>
        <v>0.76458541242064604</v>
      </c>
      <c r="P1581" s="10">
        <f t="shared" si="212"/>
        <v>2.1762034174231015E-2</v>
      </c>
      <c r="Q1581" s="66">
        <f t="shared" si="215"/>
        <v>4</v>
      </c>
      <c r="R1581" s="10">
        <f t="shared" si="213"/>
        <v>1.9235279311554335E-9</v>
      </c>
      <c r="V1581" s="10">
        <f t="shared" si="214"/>
        <v>1.7556639046384775E-6</v>
      </c>
    </row>
    <row r="1582" spans="11:22">
      <c r="K1582" s="66">
        <v>78.5</v>
      </c>
      <c r="L1582" s="10">
        <f t="shared" si="208"/>
        <v>6.2836405364071564E-4</v>
      </c>
      <c r="M1582" s="10">
        <f t="shared" si="209"/>
        <v>2.5404078474555504E-5</v>
      </c>
      <c r="N1582" s="10">
        <f t="shared" si="210"/>
        <v>0.53453796883506921</v>
      </c>
      <c r="O1582" s="10">
        <f t="shared" si="211"/>
        <v>0.76735482107935538</v>
      </c>
      <c r="P1582" s="10">
        <f t="shared" si="212"/>
        <v>2.1709010215717316E-2</v>
      </c>
      <c r="Q1582" s="66">
        <f t="shared" si="215"/>
        <v>2</v>
      </c>
      <c r="R1582" s="10">
        <f t="shared" si="213"/>
        <v>9.0231882649922782E-10</v>
      </c>
      <c r="V1582" s="10">
        <f t="shared" si="214"/>
        <v>8.4585653603166645E-7</v>
      </c>
    </row>
    <row r="1583" spans="11:22">
      <c r="K1583" s="66">
        <v>78.55</v>
      </c>
      <c r="L1583" s="10">
        <f t="shared" si="208"/>
        <v>6.1176268113914559E-4</v>
      </c>
      <c r="M1583" s="10">
        <f t="shared" si="209"/>
        <v>2.4446145269336236E-5</v>
      </c>
      <c r="N1583" s="10">
        <f t="shared" si="210"/>
        <v>0.53647401249841187</v>
      </c>
      <c r="O1583" s="10">
        <f t="shared" si="211"/>
        <v>0.7701342621392</v>
      </c>
      <c r="P1583" s="10">
        <f t="shared" si="212"/>
        <v>2.165611545193577E-2</v>
      </c>
      <c r="Q1583" s="66">
        <f t="shared" si="215"/>
        <v>4</v>
      </c>
      <c r="R1583" s="10">
        <f t="shared" si="213"/>
        <v>1.6926973813298923E-9</v>
      </c>
      <c r="V1583" s="10">
        <f t="shared" si="214"/>
        <v>1.6298649336640088E-6</v>
      </c>
    </row>
    <row r="1584" spans="11:22">
      <c r="K1584" s="66">
        <v>78.599999999999994</v>
      </c>
      <c r="L1584" s="10">
        <f t="shared" si="208"/>
        <v>5.9554215980669198E-4</v>
      </c>
      <c r="M1584" s="10">
        <f t="shared" si="209"/>
        <v>2.3521058751750776E-5</v>
      </c>
      <c r="N1584" s="10">
        <f t="shared" si="210"/>
        <v>0.53841706963251301</v>
      </c>
      <c r="O1584" s="10">
        <f t="shared" si="211"/>
        <v>0.77292377194334294</v>
      </c>
      <c r="P1584" s="10">
        <f t="shared" si="212"/>
        <v>2.1603349568098899E-2</v>
      </c>
      <c r="Q1584" s="66">
        <f t="shared" si="215"/>
        <v>2</v>
      </c>
      <c r="R1584" s="10">
        <f t="shared" si="213"/>
        <v>7.9366285433595722E-10</v>
      </c>
      <c r="V1584" s="10">
        <f t="shared" si="214"/>
        <v>7.8502936498421047E-7</v>
      </c>
    </row>
    <row r="1585" spans="11:22">
      <c r="K1585" s="66">
        <v>78.650000000000006</v>
      </c>
      <c r="L1585" s="10">
        <f t="shared" si="208"/>
        <v>5.7969529214084382E-4</v>
      </c>
      <c r="M1585" s="10">
        <f t="shared" si="209"/>
        <v>2.2627817227599373E-5</v>
      </c>
      <c r="N1585" s="10">
        <f t="shared" si="210"/>
        <v>0.54036716564422305</v>
      </c>
      <c r="O1585" s="10">
        <f t="shared" si="211"/>
        <v>0.77572338696660414</v>
      </c>
      <c r="P1585" s="10">
        <f t="shared" si="212"/>
        <v>2.1550712250186187E-2</v>
      </c>
      <c r="Q1585" s="66">
        <f t="shared" si="215"/>
        <v>4</v>
      </c>
      <c r="R1585" s="10">
        <f t="shared" si="213"/>
        <v>1.4881606838175561E-9</v>
      </c>
      <c r="V1585" s="10">
        <f t="shared" si="214"/>
        <v>1.5122351732922777E-6</v>
      </c>
    </row>
    <row r="1586" spans="11:22">
      <c r="K1586" s="66">
        <v>78.7</v>
      </c>
      <c r="L1586" s="10">
        <f t="shared" si="208"/>
        <v>5.6421498012743316E-4</v>
      </c>
      <c r="M1586" s="10">
        <f t="shared" si="209"/>
        <v>2.1765445191116654E-5</v>
      </c>
      <c r="N1586" s="10">
        <f t="shared" si="210"/>
        <v>0.54232432603242975</v>
      </c>
      <c r="O1586" s="10">
        <f t="shared" si="211"/>
        <v>0.77853314381593619</v>
      </c>
      <c r="P1586" s="10">
        <f t="shared" si="212"/>
        <v>2.1498203184942284E-2</v>
      </c>
      <c r="Q1586" s="66">
        <f t="shared" si="215"/>
        <v>2</v>
      </c>
      <c r="R1586" s="10">
        <f t="shared" si="213"/>
        <v>6.9742945099397649E-10</v>
      </c>
      <c r="V1586" s="10">
        <f t="shared" si="214"/>
        <v>7.2816821041884568E-7</v>
      </c>
    </row>
    <row r="1587" spans="11:22">
      <c r="K1587" s="66">
        <v>78.75</v>
      </c>
      <c r="L1587" s="10">
        <f t="shared" si="208"/>
        <v>5.4909422462918632E-4</v>
      </c>
      <c r="M1587" s="10">
        <f t="shared" si="209"/>
        <v>2.0932992779047619E-5</v>
      </c>
      <c r="N1587" s="10">
        <f t="shared" si="210"/>
        <v>0.5442885763883949</v>
      </c>
      <c r="O1587" s="10">
        <f t="shared" si="211"/>
        <v>0.78135307923090325</v>
      </c>
      <c r="P1587" s="10">
        <f t="shared" si="212"/>
        <v>2.1445822059875067E-2</v>
      </c>
      <c r="Q1587" s="66">
        <f t="shared" si="215"/>
        <v>4</v>
      </c>
      <c r="R1587" s="10">
        <f t="shared" si="213"/>
        <v>1.3070946331848433E-9</v>
      </c>
      <c r="V1587" s="10">
        <f t="shared" si="214"/>
        <v>1.4023060480375604E-6</v>
      </c>
    </row>
    <row r="1588" spans="11:22">
      <c r="K1588" s="66">
        <v>78.8</v>
      </c>
      <c r="L1588" s="10">
        <f t="shared" si="208"/>
        <v>5.3432612476328153E-4</v>
      </c>
      <c r="M1588" s="10">
        <f t="shared" si="209"/>
        <v>2.012953523212177E-5</v>
      </c>
      <c r="N1588" s="10">
        <f t="shared" si="210"/>
        <v>0.54625994239608511</v>
      </c>
      <c r="O1588" s="10">
        <f t="shared" si="211"/>
        <v>0.78418323008416113</v>
      </c>
      <c r="P1588" s="10">
        <f t="shared" si="212"/>
        <v>2.1393568563253796E-2</v>
      </c>
      <c r="Q1588" s="66">
        <f t="shared" si="215"/>
        <v>2</v>
      </c>
      <c r="R1588" s="10">
        <f t="shared" si="213"/>
        <v>6.1227949367478739E-10</v>
      </c>
      <c r="V1588" s="10">
        <f t="shared" si="214"/>
        <v>6.7504451107535035E-7</v>
      </c>
    </row>
    <row r="1589" spans="11:22">
      <c r="K1589" s="66">
        <v>78.849999999999994</v>
      </c>
      <c r="L1589" s="10">
        <f t="shared" si="208"/>
        <v>5.1990387726810609E-4</v>
      </c>
      <c r="M1589" s="10">
        <f t="shared" si="209"/>
        <v>1.9354172363924831E-5</v>
      </c>
      <c r="N1589" s="10">
        <f t="shared" si="210"/>
        <v>0.54823844983250913</v>
      </c>
      <c r="O1589" s="10">
        <f t="shared" si="211"/>
        <v>0.78702363338194115</v>
      </c>
      <c r="P1589" s="10">
        <f t="shared" si="212"/>
        <v>2.1341442384107297E-2</v>
      </c>
      <c r="Q1589" s="66">
        <f t="shared" si="215"/>
        <v>4</v>
      </c>
      <c r="R1589" s="10">
        <f t="shared" si="213"/>
        <v>1.1469591149791683E-9</v>
      </c>
      <c r="V1589" s="10">
        <f t="shared" si="214"/>
        <v>1.2996316761116133E-6</v>
      </c>
    </row>
    <row r="1590" spans="11:22">
      <c r="K1590" s="66">
        <v>78.900000000000006</v>
      </c>
      <c r="L1590" s="10">
        <f t="shared" si="208"/>
        <v>5.0582077585957996E-4</v>
      </c>
      <c r="M1590" s="10">
        <f t="shared" si="209"/>
        <v>1.860602803717458E-5</v>
      </c>
      <c r="N1590" s="10">
        <f t="shared" si="210"/>
        <v>0.5502241245680568</v>
      </c>
      <c r="O1590" s="10">
        <f t="shared" si="211"/>
        <v>0.78987432626453202</v>
      </c>
      <c r="P1590" s="10">
        <f t="shared" si="212"/>
        <v>2.1289443212222078E-2</v>
      </c>
      <c r="Q1590" s="66">
        <f t="shared" si="215"/>
        <v>2</v>
      </c>
      <c r="R1590" s="10">
        <f t="shared" si="213"/>
        <v>5.3700872094553721E-10</v>
      </c>
      <c r="V1590" s="10">
        <f t="shared" si="214"/>
        <v>6.2544084131960681E-7</v>
      </c>
    </row>
    <row r="1591" spans="11:22">
      <c r="K1591" s="66">
        <v>78.95</v>
      </c>
      <c r="L1591" s="10">
        <f t="shared" si="208"/>
        <v>4.9207021057728732E-4</v>
      </c>
      <c r="M1591" s="10">
        <f t="shared" si="209"/>
        <v>1.7884249647396007E-5</v>
      </c>
      <c r="N1591" s="10">
        <f t="shared" si="210"/>
        <v>0.55221699256683265</v>
      </c>
      <c r="O1591" s="10">
        <f t="shared" si="211"/>
        <v>0.7927353460067641</v>
      </c>
      <c r="P1591" s="10">
        <f t="shared" si="212"/>
        <v>2.1237570738140518E-2</v>
      </c>
      <c r="Q1591" s="66">
        <f t="shared" si="215"/>
        <v>4</v>
      </c>
      <c r="R1591" s="10">
        <f t="shared" si="213"/>
        <v>1.0054709368666817E-9</v>
      </c>
      <c r="V1591" s="10">
        <f t="shared" si="214"/>
        <v>1.2037880286081203E-6</v>
      </c>
    </row>
    <row r="1592" spans="11:22">
      <c r="K1592" s="66">
        <v>79</v>
      </c>
      <c r="L1592" s="10">
        <f t="shared" si="208"/>
        <v>4.7864566712069829E-4</v>
      </c>
      <c r="M1592" s="10">
        <f t="shared" si="209"/>
        <v>1.7188007613992304E-5</v>
      </c>
      <c r="N1592" s="10">
        <f t="shared" si="210"/>
        <v>0.55421707988700086</v>
      </c>
      <c r="O1592" s="10">
        <f t="shared" si="211"/>
        <v>0.79560673001850202</v>
      </c>
      <c r="P1592" s="10">
        <f t="shared" si="212"/>
        <v>2.1185824653159029E-2</v>
      </c>
      <c r="Q1592" s="66">
        <f t="shared" si="215"/>
        <v>2</v>
      </c>
      <c r="R1592" s="10">
        <f t="shared" si="213"/>
        <v>4.7053520547124516E-10</v>
      </c>
      <c r="V1592" s="10">
        <f t="shared" si="214"/>
        <v>5.7915049484308354E-7</v>
      </c>
    </row>
    <row r="1593" spans="11:22">
      <c r="K1593" s="66">
        <v>79.05</v>
      </c>
      <c r="L1593" s="10">
        <f t="shared" si="208"/>
        <v>4.6554072617589136E-4</v>
      </c>
      <c r="M1593" s="10">
        <f t="shared" si="209"/>
        <v>1.6516494878709469E-5</v>
      </c>
      <c r="N1593" s="10">
        <f t="shared" si="210"/>
        <v>0.55622441268111944</v>
      </c>
      <c r="O1593" s="10">
        <f t="shared" si="211"/>
        <v>0.79848851584512526</v>
      </c>
      <c r="P1593" s="10">
        <f t="shared" si="212"/>
        <v>2.1134204649325972E-2</v>
      </c>
      <c r="Q1593" s="66">
        <f t="shared" si="215"/>
        <v>4</v>
      </c>
      <c r="R1593" s="10">
        <f t="shared" si="213"/>
        <v>8.8057984715592757E-10</v>
      </c>
      <c r="V1593" s="10">
        <f t="shared" si="214"/>
        <v>1.1143721052418305E-6</v>
      </c>
    </row>
    <row r="1594" spans="11:22">
      <c r="K1594" s="66">
        <v>79.099999999999994</v>
      </c>
      <c r="L1594" s="10">
        <f t="shared" si="208"/>
        <v>4.5274906273287018E-4</v>
      </c>
      <c r="M1594" s="10">
        <f t="shared" si="209"/>
        <v>1.5868926411475078E-5</v>
      </c>
      <c r="N1594" s="10">
        <f t="shared" si="210"/>
        <v>0.55823901719649205</v>
      </c>
      <c r="O1594" s="10">
        <f t="shared" si="211"/>
        <v>0.80138074116803248</v>
      </c>
      <c r="P1594" s="10">
        <f t="shared" si="212"/>
        <v>2.1082710419440376E-2</v>
      </c>
      <c r="Q1594" s="66">
        <f t="shared" si="215"/>
        <v>2</v>
      </c>
      <c r="R1594" s="10">
        <f t="shared" si="213"/>
        <v>4.1188787979416844E-10</v>
      </c>
      <c r="V1594" s="10">
        <f t="shared" si="214"/>
        <v>5.3597707676212509E-7</v>
      </c>
    </row>
    <row r="1595" spans="11:22">
      <c r="K1595" s="66">
        <v>79.150000000000006</v>
      </c>
      <c r="L1595" s="10">
        <f t="shared" si="208"/>
        <v>4.4026444539399035E-4</v>
      </c>
      <c r="M1595" s="10">
        <f t="shared" si="209"/>
        <v>1.5244538723609313E-5</v>
      </c>
      <c r="N1595" s="10">
        <f t="shared" si="210"/>
        <v>0.5602609197755013</v>
      </c>
      <c r="O1595" s="10">
        <f t="shared" si="211"/>
        <v>0.80428344380511996</v>
      </c>
      <c r="P1595" s="10">
        <f t="shared" si="212"/>
        <v>2.1031341657049549E-2</v>
      </c>
      <c r="Q1595" s="66">
        <f t="shared" si="215"/>
        <v>4</v>
      </c>
      <c r="R1595" s="10">
        <f t="shared" si="213"/>
        <v>7.7044658058552985E-10</v>
      </c>
      <c r="V1595" s="10">
        <f t="shared" si="214"/>
        <v>1.0310011271194028E-6</v>
      </c>
    </row>
    <row r="1596" spans="11:22">
      <c r="K1596" s="66">
        <v>79.2</v>
      </c>
      <c r="L1596" s="10">
        <f t="shared" si="208"/>
        <v>4.280807356736488E-4</v>
      </c>
      <c r="M1596" s="10">
        <f t="shared" si="209"/>
        <v>1.4642589388385466E-5</v>
      </c>
      <c r="N1596" s="10">
        <f t="shared" si="210"/>
        <v>0.56229014685595646</v>
      </c>
      <c r="O1596" s="10">
        <f t="shared" si="211"/>
        <v>0.80719666171128412</v>
      </c>
      <c r="P1596" s="10">
        <f t="shared" si="212"/>
        <v>2.0980098056447561E-2</v>
      </c>
      <c r="Q1596" s="66">
        <f t="shared" si="215"/>
        <v>2</v>
      </c>
      <c r="R1596" s="10">
        <f t="shared" si="213"/>
        <v>3.6019603753505636E-10</v>
      </c>
      <c r="V1596" s="10">
        <f t="shared" si="214"/>
        <v>4.9573410434246126E-7</v>
      </c>
    </row>
    <row r="1597" spans="11:22">
      <c r="K1597" s="66">
        <v>79.25</v>
      </c>
      <c r="L1597" s="10">
        <f t="shared" si="208"/>
        <v>4.1619188728954452E-4</v>
      </c>
      <c r="M1597" s="10">
        <f t="shared" si="209"/>
        <v>1.4062356568922729E-5</v>
      </c>
      <c r="N1597" s="10">
        <f t="shared" si="210"/>
        <v>0.56432672497144265</v>
      </c>
      <c r="O1597" s="10">
        <f t="shared" si="211"/>
        <v>0.81012043297891601</v>
      </c>
      <c r="P1597" s="10">
        <f t="shared" si="212"/>
        <v>2.0928979312673339E-2</v>
      </c>
      <c r="Q1597" s="66">
        <f t="shared" si="215"/>
        <v>4</v>
      </c>
      <c r="R1597" s="10">
        <f t="shared" si="213"/>
        <v>6.7342278089492134E-10</v>
      </c>
      <c r="V1597" s="10">
        <f t="shared" si="214"/>
        <v>9.5331174696612905E-7</v>
      </c>
    </row>
    <row r="1598" spans="11:22">
      <c r="K1598" s="66">
        <v>79.3</v>
      </c>
      <c r="L1598" s="10">
        <f t="shared" si="208"/>
        <v>4.0459194544587658E-4</v>
      </c>
      <c r="M1598" s="10">
        <f t="shared" si="209"/>
        <v>1.3503138553393552E-5</v>
      </c>
      <c r="N1598" s="10">
        <f t="shared" si="210"/>
        <v>0.56637068075166319</v>
      </c>
      <c r="O1598" s="10">
        <f t="shared" si="211"/>
        <v>0.81305479583839857</v>
      </c>
      <c r="P1598" s="10">
        <f t="shared" si="212"/>
        <v>2.0877985121508822E-2</v>
      </c>
      <c r="Q1598" s="66">
        <f t="shared" si="215"/>
        <v>2</v>
      </c>
      <c r="R1598" s="10">
        <f t="shared" si="213"/>
        <v>3.1467973711045011E-10</v>
      </c>
      <c r="V1598" s="10">
        <f t="shared" si="214"/>
        <v>4.582446165479694E-7</v>
      </c>
    </row>
    <row r="1599" spans="11:22">
      <c r="K1599" s="66">
        <v>79.349999999999994</v>
      </c>
      <c r="L1599" s="10">
        <f t="shared" si="208"/>
        <v>3.9327504610868626E-4</v>
      </c>
      <c r="M1599" s="10">
        <f t="shared" si="209"/>
        <v>1.2964253297517933E-5</v>
      </c>
      <c r="N1599" s="10">
        <f t="shared" si="210"/>
        <v>0.5684220409227897</v>
      </c>
      <c r="O1599" s="10">
        <f t="shared" si="211"/>
        <v>0.81599978865860945</v>
      </c>
      <c r="P1599" s="10">
        <f t="shared" si="212"/>
        <v>2.0827115179477225E-2</v>
      </c>
      <c r="Q1599" s="66">
        <f t="shared" si="215"/>
        <v>4</v>
      </c>
      <c r="R1599" s="10">
        <f t="shared" si="213"/>
        <v>5.8803265893509476E-10</v>
      </c>
      <c r="V1599" s="10">
        <f t="shared" si="214"/>
        <v>8.8095927718058911E-7</v>
      </c>
    </row>
    <row r="1600" spans="11:22">
      <c r="K1600" s="66">
        <v>79.400000000000006</v>
      </c>
      <c r="L1600" s="10">
        <f t="shared" si="208"/>
        <v>3.8223541527372581E-4</v>
      </c>
      <c r="M1600" s="10">
        <f t="shared" si="209"/>
        <v>1.2445037974323102E-5</v>
      </c>
      <c r="N1600" s="10">
        <f t="shared" si="210"/>
        <v>0.5704808323078131</v>
      </c>
      <c r="O1600" s="10">
        <f t="shared" si="211"/>
        <v>0.81895544994741909</v>
      </c>
      <c r="P1600" s="10">
        <f t="shared" si="212"/>
        <v>2.0776369183841178E-2</v>
      </c>
      <c r="Q1600" s="66">
        <f t="shared" si="215"/>
        <v>2</v>
      </c>
      <c r="R1600" s="10">
        <f t="shared" si="213"/>
        <v>2.7464103957865697E-10</v>
      </c>
      <c r="V1600" s="10">
        <f t="shared" si="214"/>
        <v>4.2334079258674781E-7</v>
      </c>
    </row>
    <row r="1601" spans="11:22">
      <c r="K1601" s="66">
        <v>79.45</v>
      </c>
      <c r="L1601" s="10">
        <f t="shared" si="208"/>
        <v>3.7146736822706722E-4</v>
      </c>
      <c r="M1601" s="10">
        <f t="shared" si="209"/>
        <v>1.194484853113618E-5</v>
      </c>
      <c r="N1601" s="10">
        <f t="shared" si="210"/>
        <v>0.57254708182689018</v>
      </c>
      <c r="O1601" s="10">
        <f t="shared" si="211"/>
        <v>0.8219218183521938</v>
      </c>
      <c r="P1601" s="10">
        <f t="shared" si="212"/>
        <v>2.0725746832600971E-2</v>
      </c>
      <c r="Q1601" s="66">
        <f t="shared" si="215"/>
        <v>4</v>
      </c>
      <c r="R1601" s="10">
        <f t="shared" si="213"/>
        <v>5.1295625391480668E-10</v>
      </c>
      <c r="V1601" s="10">
        <f t="shared" si="214"/>
        <v>8.136169360388379E-7</v>
      </c>
    </row>
    <row r="1602" spans="11:22">
      <c r="K1602" s="66">
        <v>79.5</v>
      </c>
      <c r="L1602" s="10">
        <f t="shared" si="208"/>
        <v>3.6096530879877224E-4</v>
      </c>
      <c r="M1602" s="10">
        <f t="shared" si="209"/>
        <v>1.1463059253780144E-5</v>
      </c>
      <c r="N1602" s="10">
        <f t="shared" si="210"/>
        <v>0.57462081649769892</v>
      </c>
      <c r="O1602" s="10">
        <f t="shared" si="211"/>
        <v>0.824898932660307</v>
      </c>
      <c r="P1602" s="10">
        <f t="shared" si="212"/>
        <v>2.067524782449268E-2</v>
      </c>
      <c r="Q1602" s="66">
        <f t="shared" si="215"/>
        <v>2</v>
      </c>
      <c r="R1602" s="10">
        <f t="shared" si="213"/>
        <v>2.3945601654770073E-10</v>
      </c>
      <c r="V1602" s="10">
        <f t="shared" si="214"/>
        <v>3.9086357960330235E-7</v>
      </c>
    </row>
    <row r="1603" spans="11:22">
      <c r="K1603" s="66">
        <v>79.55</v>
      </c>
      <c r="L1603" s="10">
        <f t="shared" si="208"/>
        <v>3.5072372860995833E-4</v>
      </c>
      <c r="M1603" s="10">
        <f t="shared" si="209"/>
        <v>1.099906233794255E-5</v>
      </c>
      <c r="N1603" s="10">
        <f t="shared" si="210"/>
        <v>0.57670206343579278</v>
      </c>
      <c r="O1603" s="10">
        <f t="shared" si="211"/>
        <v>0.82788683179963996</v>
      </c>
      <c r="P1603" s="10">
        <f t="shared" si="212"/>
        <v>2.0624871858986444E-2</v>
      </c>
      <c r="Q1603" s="66">
        <f t="shared" si="215"/>
        <v>4</v>
      </c>
      <c r="R1603" s="10">
        <f t="shared" si="213"/>
        <v>4.4701417381953492E-10</v>
      </c>
      <c r="V1603" s="10">
        <f t="shared" si="214"/>
        <v>7.5097511232075446E-7</v>
      </c>
    </row>
    <row r="1604" spans="11:22">
      <c r="K1604" s="66">
        <v>79.599999999999994</v>
      </c>
      <c r="L1604" s="10">
        <f t="shared" si="208"/>
        <v>3.4073720631348233E-4</v>
      </c>
      <c r="M1604" s="10">
        <f t="shared" si="209"/>
        <v>1.0552267467677648E-5</v>
      </c>
      <c r="N1604" s="10">
        <f t="shared" si="210"/>
        <v>0.57879084985495144</v>
      </c>
      <c r="O1604" s="10">
        <f t="shared" si="211"/>
        <v>0.8308855548390931</v>
      </c>
      <c r="P1604" s="10">
        <f t="shared" si="212"/>
        <v>2.057461863628467E-2</v>
      </c>
      <c r="Q1604" s="66">
        <f t="shared" si="215"/>
        <v>2</v>
      </c>
      <c r="R1604" s="10">
        <f t="shared" si="213"/>
        <v>2.0856746820017491E-10</v>
      </c>
      <c r="V1604" s="10">
        <f t="shared" si="214"/>
        <v>3.6066232964077156E-7</v>
      </c>
    </row>
    <row r="1605" spans="11:22">
      <c r="K1605" s="66">
        <v>79.650000000000006</v>
      </c>
      <c r="L1605" s="10">
        <f t="shared" si="208"/>
        <v>3.3100040682856267E-4</v>
      </c>
      <c r="M1605" s="10">
        <f t="shared" si="209"/>
        <v>1.0122101401006243E-5</v>
      </c>
      <c r="N1605" s="10">
        <f t="shared" si="210"/>
        <v>0.58088720306753983</v>
      </c>
      <c r="O1605" s="10">
        <f t="shared" si="211"/>
        <v>0.83389514098909945</v>
      </c>
      <c r="P1605" s="10">
        <f t="shared" si="212"/>
        <v>2.0524487857320178E-2</v>
      </c>
      <c r="Q1605" s="66">
        <f t="shared" si="215"/>
        <v>4</v>
      </c>
      <c r="R1605" s="10">
        <f t="shared" si="213"/>
        <v>3.8915369908989762E-10</v>
      </c>
      <c r="V1605" s="10">
        <f t="shared" si="214"/>
        <v>6.9274064858327072E-7</v>
      </c>
    </row>
    <row r="1606" spans="11:22">
      <c r="K1606" s="66">
        <v>79.7</v>
      </c>
      <c r="L1606" s="10">
        <f t="shared" si="208"/>
        <v>3.2150808056966609E-4</v>
      </c>
      <c r="M1606" s="10">
        <f t="shared" si="209"/>
        <v>9.7080075625750635E-6</v>
      </c>
      <c r="N1606" s="10">
        <f t="shared" si="210"/>
        <v>0.58299115048486194</v>
      </c>
      <c r="O1606" s="10">
        <f t="shared" si="211"/>
        <v>0.83691562960213139</v>
      </c>
      <c r="P1606" s="10">
        <f t="shared" si="212"/>
        <v>2.0474479223754564E-2</v>
      </c>
      <c r="Q1606" s="66">
        <f t="shared" si="215"/>
        <v>2</v>
      </c>
      <c r="R1606" s="10">
        <f t="shared" si="213"/>
        <v>1.8147829541857695E-10</v>
      </c>
      <c r="V1606" s="10">
        <f t="shared" si="214"/>
        <v>3.3259444597426229E-7</v>
      </c>
    </row>
    <row r="1607" spans="11:22">
      <c r="K1607" s="66">
        <v>79.75</v>
      </c>
      <c r="L1607" s="10">
        <f t="shared" si="208"/>
        <v>3.1225506266985569E-4</v>
      </c>
      <c r="M1607" s="10">
        <f t="shared" si="209"/>
        <v>9.3094456433296066E-6</v>
      </c>
      <c r="N1607" s="10">
        <f t="shared" si="210"/>
        <v>0.58510271961752447</v>
      </c>
      <c r="O1607" s="10">
        <f t="shared" si="211"/>
        <v>0.83994706017322107</v>
      </c>
      <c r="P1607" s="10">
        <f t="shared" si="212"/>
        <v>2.0424592437976251E-2</v>
      </c>
      <c r="Q1607" s="66">
        <f t="shared" si="215"/>
        <v>4</v>
      </c>
      <c r="R1607" s="10">
        <f t="shared" si="213"/>
        <v>3.3843614131018186E-10</v>
      </c>
      <c r="V1607" s="10">
        <f t="shared" si="214"/>
        <v>6.3863614325941648E-7</v>
      </c>
    </row>
    <row r="1608" spans="11:22">
      <c r="K1608" s="66">
        <v>79.8</v>
      </c>
      <c r="L1608" s="10">
        <f t="shared" si="208"/>
        <v>3.0323627219898668E-4</v>
      </c>
      <c r="M1608" s="10">
        <f t="shared" si="209"/>
        <v>8.9258912071614253E-6</v>
      </c>
      <c r="N1608" s="10">
        <f t="shared" si="210"/>
        <v>0.58722193807579148</v>
      </c>
      <c r="O1608" s="10">
        <f t="shared" si="211"/>
        <v>0.84298947234047317</v>
      </c>
      <c r="P1608" s="10">
        <f t="shared" si="212"/>
        <v>2.0374827203098848E-2</v>
      </c>
      <c r="Q1608" s="66">
        <f t="shared" si="215"/>
        <v>2</v>
      </c>
      <c r="R1608" s="10">
        <f t="shared" si="213"/>
        <v>1.5774547373082254E-10</v>
      </c>
      <c r="V1608" s="10">
        <f t="shared" si="214"/>
        <v>3.0652503889339189E-7</v>
      </c>
    </row>
    <row r="1609" spans="11:22">
      <c r="K1609" s="66">
        <v>79.849999999999994</v>
      </c>
      <c r="L1609" s="10">
        <f t="shared" si="208"/>
        <v>2.944467113769547E-4</v>
      </c>
      <c r="M1609" s="10">
        <f t="shared" si="209"/>
        <v>8.5568353044801399E-6</v>
      </c>
      <c r="N1609" s="10">
        <f t="shared" si="210"/>
        <v>0.58934883356994727</v>
      </c>
      <c r="O1609" s="10">
        <f t="shared" si="211"/>
        <v>0.84604290588558673</v>
      </c>
      <c r="P1609" s="10">
        <f t="shared" si="212"/>
        <v>2.0325183222959335E-2</v>
      </c>
      <c r="Q1609" s="66">
        <f t="shared" si="215"/>
        <v>4</v>
      </c>
      <c r="R1609" s="10">
        <f t="shared" si="213"/>
        <v>2.9402535594189247E-10</v>
      </c>
      <c r="V1609" s="10">
        <f t="shared" si="214"/>
        <v>5.8839927171754464E-7</v>
      </c>
    </row>
    <row r="1610" spans="11:22">
      <c r="K1610" s="66">
        <v>79.900000000000006</v>
      </c>
      <c r="L1610" s="10">
        <f t="shared" si="208"/>
        <v>2.8588146478234047E-4</v>
      </c>
      <c r="M1610" s="10">
        <f t="shared" si="209"/>
        <v>8.2017840926656818E-6</v>
      </c>
      <c r="N1610" s="10">
        <f t="shared" si="210"/>
        <v>0.59148343391066105</v>
      </c>
      <c r="O1610" s="10">
        <f t="shared" si="211"/>
        <v>0.84910740073437196</v>
      </c>
      <c r="P1610" s="10">
        <f t="shared" si="212"/>
        <v>2.0275660202116262E-2</v>
      </c>
      <c r="Q1610" s="66">
        <f t="shared" si="215"/>
        <v>2</v>
      </c>
      <c r="R1610" s="10">
        <f t="shared" si="213"/>
        <v>1.3697458034457622E-10</v>
      </c>
      <c r="V1610" s="10">
        <f t="shared" si="214"/>
        <v>2.8232659099036911E-7</v>
      </c>
    </row>
    <row r="1611" spans="11:22">
      <c r="K1611" s="66">
        <v>79.95</v>
      </c>
      <c r="L1611" s="10">
        <f t="shared" si="208"/>
        <v>2.7753569855669261E-4</v>
      </c>
      <c r="M1611" s="10">
        <f t="shared" si="209"/>
        <v>7.8602584633490349E-6</v>
      </c>
      <c r="N1611" s="10">
        <f t="shared" si="210"/>
        <v>0.59362576700934511</v>
      </c>
      <c r="O1611" s="10">
        <f t="shared" si="211"/>
        <v>0.85218299695727073</v>
      </c>
      <c r="P1611" s="10">
        <f t="shared" si="212"/>
        <v>2.0226257845848118E-2</v>
      </c>
      <c r="Q1611" s="66">
        <f t="shared" si="215"/>
        <v>4</v>
      </c>
      <c r="R1611" s="10">
        <f t="shared" si="213"/>
        <v>2.5517731505026055E-10</v>
      </c>
      <c r="V1611" s="10">
        <f t="shared" si="214"/>
        <v>5.4178212637226019E-7</v>
      </c>
    </row>
    <row r="1612" spans="11:22">
      <c r="K1612" s="66">
        <v>80</v>
      </c>
      <c r="L1612" s="10">
        <f t="shared" ref="L1612:L1675" si="216">(B$7^K1612)*B$8^((B$5^25)*((B$5^K1612)-1))</f>
        <v>2.6940465960471584E-4</v>
      </c>
      <c r="M1612" s="10">
        <f t="shared" ref="M1612:M1675" si="217">(B$7^K1612)*B$8^((B$5^30)*((B$5^K1612)-1))</f>
        <v>7.5317936764705581E-6</v>
      </c>
      <c r="N1612" s="10">
        <f t="shared" si="210"/>
        <v>0.59577586087852596</v>
      </c>
      <c r="O1612" s="10">
        <f t="shared" si="211"/>
        <v>0.85526973476988954</v>
      </c>
      <c r="P1612" s="10">
        <f t="shared" si="212"/>
        <v>2.0176975860151457E-2</v>
      </c>
      <c r="Q1612" s="66">
        <f t="shared" si="215"/>
        <v>2</v>
      </c>
      <c r="R1612" s="10">
        <f t="shared" si="213"/>
        <v>1.1881482890449933E-10</v>
      </c>
      <c r="V1612" s="10">
        <f t="shared" si="214"/>
        <v>2.5987863198915849E-7</v>
      </c>
    </row>
    <row r="1613" spans="11:22">
      <c r="K1613" s="66">
        <v>80.05</v>
      </c>
      <c r="L1613" s="10">
        <f t="shared" si="216"/>
        <v>2.6148367479072462E-4</v>
      </c>
      <c r="M1613" s="10">
        <f t="shared" si="217"/>
        <v>7.2159390010655402E-6</v>
      </c>
      <c r="N1613" s="10">
        <f t="shared" ref="N1613:N1676" si="218">B$3+B$4*(B$5^(25+K1613))</f>
        <v>0.59793374363220342</v>
      </c>
      <c r="O1613" s="10">
        <f t="shared" ref="O1613:O1676" si="219">$B$3+$B$4*($B$5^(30+K1613))</f>
        <v>0.85836765453350961</v>
      </c>
      <c r="P1613" s="10">
        <f t="shared" ref="P1613:P1676" si="220">(1+B$6)^-K1613</f>
        <v>2.0127813951739019E-2</v>
      </c>
      <c r="Q1613" s="66">
        <f t="shared" si="215"/>
        <v>4</v>
      </c>
      <c r="R1613" s="10">
        <f t="shared" ref="R1613:R1676" si="221">L1613*M1613*(N1613+O1613)*P1613*Q1613</f>
        <v>2.212306525221236E-10</v>
      </c>
      <c r="V1613" s="10">
        <f t="shared" si="214"/>
        <v>4.9855057589761907E-7</v>
      </c>
    </row>
    <row r="1614" spans="11:22">
      <c r="K1614" s="66">
        <v>80.099999999999994</v>
      </c>
      <c r="L1614" s="10">
        <f t="shared" si="216"/>
        <v>2.5376815013150133E-4</v>
      </c>
      <c r="M1614" s="10">
        <f t="shared" si="217"/>
        <v>6.9122573627176681E-6</v>
      </c>
      <c r="N1614" s="10">
        <f t="shared" si="218"/>
        <v>0.6000994434862289</v>
      </c>
      <c r="O1614" s="10">
        <f t="shared" si="219"/>
        <v>0.86147679675563416</v>
      </c>
      <c r="P1614" s="10">
        <f t="shared" si="220"/>
        <v>2.0078771828038456E-2</v>
      </c>
      <c r="Q1614" s="66">
        <f t="shared" si="215"/>
        <v>2</v>
      </c>
      <c r="R1614" s="10">
        <f t="shared" si="221"/>
        <v>1.0295456979247748E-10</v>
      </c>
      <c r="V1614" s="10">
        <f t="shared" ref="V1614:V1677" si="222">(1-L1614)*M1614*O1614*P1614*Q1614</f>
        <v>2.3906742313087702E-7</v>
      </c>
    </row>
    <row r="1615" spans="11:22">
      <c r="K1615" s="66">
        <v>80.150000000000006</v>
      </c>
      <c r="L1615" s="10">
        <f t="shared" si="216"/>
        <v>2.462535699859761E-4</v>
      </c>
      <c r="M1615" s="10">
        <f t="shared" si="217"/>
        <v>6.6203249976297028E-6</v>
      </c>
      <c r="N1615" s="10">
        <f t="shared" si="218"/>
        <v>0.60227298875866386</v>
      </c>
      <c r="O1615" s="10">
        <f t="shared" si="219"/>
        <v>0.86459720209050395</v>
      </c>
      <c r="P1615" s="10">
        <f t="shared" si="220"/>
        <v>2.0029849197190041E-2</v>
      </c>
      <c r="Q1615" s="66">
        <f t="shared" ref="Q1615:Q1678" si="223">IF(Q1614=4,2,4)</f>
        <v>4</v>
      </c>
      <c r="R1615" s="10">
        <f t="shared" si="221"/>
        <v>1.9159810047047273E-10</v>
      </c>
      <c r="V1615" s="10">
        <f t="shared" si="222"/>
        <v>4.5848364355360072E-7</v>
      </c>
    </row>
    <row r="1616" spans="11:22">
      <c r="K1616" s="66">
        <v>80.2</v>
      </c>
      <c r="L1616" s="10">
        <f t="shared" si="216"/>
        <v>2.3893549624190891E-4</v>
      </c>
      <c r="M1616" s="10">
        <f t="shared" si="217"/>
        <v>6.3397311132503492E-6</v>
      </c>
      <c r="N1616" s="10">
        <f t="shared" si="218"/>
        <v>0.60445440787015314</v>
      </c>
      <c r="O1616" s="10">
        <f t="shared" si="219"/>
        <v>0.86772891133963048</v>
      </c>
      <c r="P1616" s="10">
        <f t="shared" si="220"/>
        <v>1.9981045768045304E-2</v>
      </c>
      <c r="Q1616" s="66">
        <f t="shared" si="223"/>
        <v>2</v>
      </c>
      <c r="R1616" s="10">
        <f t="shared" si="221"/>
        <v>8.911721680318663E-11</v>
      </c>
      <c r="V1616" s="10">
        <f t="shared" si="222"/>
        <v>2.1978565111153501E-7</v>
      </c>
    </row>
    <row r="1617" spans="11:22">
      <c r="K1617" s="66">
        <v>80.25</v>
      </c>
      <c r="L1617" s="10">
        <f t="shared" si="216"/>
        <v>2.3180956749985091E-4</v>
      </c>
      <c r="M1617" s="10">
        <f t="shared" si="217"/>
        <v>6.0700775553987803E-6</v>
      </c>
      <c r="N1617" s="10">
        <f t="shared" si="218"/>
        <v>0.60664372934430089</v>
      </c>
      <c r="O1617" s="10">
        <f t="shared" si="219"/>
        <v>0.87087196545233481</v>
      </c>
      <c r="P1617" s="10">
        <f t="shared" si="220"/>
        <v>1.9932361250165079E-2</v>
      </c>
      <c r="Q1617" s="66">
        <f t="shared" si="223"/>
        <v>4</v>
      </c>
      <c r="R1617" s="10">
        <f t="shared" si="221"/>
        <v>1.6575874137499581E-10</v>
      </c>
      <c r="V1617" s="10">
        <f t="shared" si="222"/>
        <v>4.2137290459946287E-7</v>
      </c>
    </row>
    <row r="1618" spans="11:22">
      <c r="K1618" s="66">
        <v>80.3</v>
      </c>
      <c r="L1618" s="10">
        <f t="shared" si="216"/>
        <v>2.2487149825468485E-4</v>
      </c>
      <c r="M1618" s="10">
        <f t="shared" si="217"/>
        <v>5.8109784818276445E-6</v>
      </c>
      <c r="N1618" s="10">
        <f t="shared" si="218"/>
        <v>0.60884098180803803</v>
      </c>
      <c r="O1618" s="10">
        <f t="shared" si="219"/>
        <v>0.87402640552627853</v>
      </c>
      <c r="P1618" s="10">
        <f t="shared" si="220"/>
        <v>1.9883795353817922E-2</v>
      </c>
      <c r="Q1618" s="66">
        <f t="shared" si="223"/>
        <v>2</v>
      </c>
      <c r="R1618" s="10">
        <f t="shared" si="221"/>
        <v>7.7057563870391674E-11</v>
      </c>
      <c r="V1618" s="10">
        <f t="shared" si="222"/>
        <v>2.0193213154986124E-7</v>
      </c>
    </row>
    <row r="1619" spans="11:22">
      <c r="K1619" s="66">
        <v>80.349999999999994</v>
      </c>
      <c r="L1619" s="10">
        <f t="shared" si="216"/>
        <v>2.1811707807499521E-4</v>
      </c>
      <c r="M1619" s="10">
        <f t="shared" si="217"/>
        <v>5.5620600421624797E-6</v>
      </c>
      <c r="N1619" s="10">
        <f t="shared" si="218"/>
        <v>0.61104619399199889</v>
      </c>
      <c r="O1619" s="10">
        <f t="shared" si="219"/>
        <v>0.87719227280800516</v>
      </c>
      <c r="P1619" s="10">
        <f t="shared" si="220"/>
        <v>1.9835347789978315E-2</v>
      </c>
      <c r="Q1619" s="66">
        <f t="shared" si="223"/>
        <v>4</v>
      </c>
      <c r="R1619" s="10">
        <f t="shared" si="221"/>
        <v>1.4325100602892676E-10</v>
      </c>
      <c r="V1619" s="10">
        <f t="shared" si="222"/>
        <v>3.8702190273160263E-7</v>
      </c>
    </row>
    <row r="1620" spans="11:22">
      <c r="K1620" s="66">
        <v>80.400000000000006</v>
      </c>
      <c r="L1620" s="10">
        <f t="shared" si="216"/>
        <v>2.1154217078050793E-4</v>
      </c>
      <c r="M1620" s="10">
        <f t="shared" si="217"/>
        <v>5.322960064153842E-6</v>
      </c>
      <c r="N1620" s="10">
        <f t="shared" si="218"/>
        <v>0.61325939473089919</v>
      </c>
      <c r="O1620" s="10">
        <f t="shared" si="219"/>
        <v>0.88036960869347547</v>
      </c>
      <c r="P1620" s="10">
        <f t="shared" si="220"/>
        <v>1.9787018270324929E-2</v>
      </c>
      <c r="Q1620" s="66">
        <f t="shared" si="223"/>
        <v>2</v>
      </c>
      <c r="R1620" s="10">
        <f t="shared" si="221"/>
        <v>6.6558458198668636E-11</v>
      </c>
      <c r="V1620" s="10">
        <f t="shared" si="222"/>
        <v>1.8541152194531066E-7</v>
      </c>
    </row>
    <row r="1621" spans="11:22">
      <c r="K1621" s="66">
        <v>80.45</v>
      </c>
      <c r="L1621" s="10">
        <f t="shared" si="216"/>
        <v>2.0514271361789737E-4</v>
      </c>
      <c r="M1621" s="10">
        <f t="shared" si="217"/>
        <v>5.0933277461795113E-6</v>
      </c>
      <c r="N1621" s="10">
        <f t="shared" si="218"/>
        <v>0.61548061296390677</v>
      </c>
      <c r="O1621" s="10">
        <f t="shared" si="219"/>
        <v>0.88355845472860828</v>
      </c>
      <c r="P1621" s="10">
        <f t="shared" si="220"/>
        <v>1.9738806507239019E-2</v>
      </c>
      <c r="Q1621" s="66">
        <f t="shared" si="223"/>
        <v>4</v>
      </c>
      <c r="R1621" s="10">
        <f t="shared" si="221"/>
        <v>1.2366635256210781E-10</v>
      </c>
      <c r="V1621" s="10">
        <f t="shared" si="222"/>
        <v>3.5524558544972265E-7</v>
      </c>
    </row>
    <row r="1622" spans="11:22">
      <c r="K1622" s="66">
        <v>80.5</v>
      </c>
      <c r="L1622" s="10">
        <f t="shared" si="216"/>
        <v>1.9891471643516335E-4</v>
      </c>
      <c r="M1622" s="10">
        <f t="shared" si="217"/>
        <v>4.8728233559298697E-6</v>
      </c>
      <c r="N1622" s="10">
        <f t="shared" si="218"/>
        <v>0.61770987773502628</v>
      </c>
      <c r="O1622" s="10">
        <f t="shared" si="219"/>
        <v>0.88675885260983001</v>
      </c>
      <c r="P1622" s="10">
        <f t="shared" si="220"/>
        <v>1.9690712213802548E-2</v>
      </c>
      <c r="Q1622" s="66">
        <f t="shared" si="223"/>
        <v>2</v>
      </c>
      <c r="R1622" s="10">
        <f t="shared" si="221"/>
        <v>5.7427798676918489E-11</v>
      </c>
      <c r="V1622" s="10">
        <f t="shared" si="222"/>
        <v>1.701340440701067E-7</v>
      </c>
    </row>
    <row r="1623" spans="11:22">
      <c r="K1623" s="66">
        <v>80.55</v>
      </c>
      <c r="L1623" s="10">
        <f t="shared" si="216"/>
        <v>1.9285426085490021E-4</v>
      </c>
      <c r="M1623" s="10">
        <f t="shared" si="217"/>
        <v>4.6611179352123644E-6</v>
      </c>
      <c r="N1623" s="10">
        <f t="shared" si="218"/>
        <v>0.61994721819347731</v>
      </c>
      <c r="O1623" s="10">
        <f t="shared" si="219"/>
        <v>0.88997084418461292</v>
      </c>
      <c r="P1623" s="10">
        <f t="shared" si="220"/>
        <v>1.9642735103796612E-2</v>
      </c>
      <c r="Q1623" s="66">
        <f t="shared" si="223"/>
        <v>4</v>
      </c>
      <c r="R1623" s="10">
        <f t="shared" si="221"/>
        <v>1.0664356669916116E-10</v>
      </c>
      <c r="V1623" s="10">
        <f t="shared" si="222"/>
        <v>3.2586975822271494E-7</v>
      </c>
    </row>
    <row r="1624" spans="11:22">
      <c r="K1624" s="66">
        <v>80.599999999999994</v>
      </c>
      <c r="L1624" s="10">
        <f t="shared" si="216"/>
        <v>1.8695749944664601E-4</v>
      </c>
      <c r="M1624" s="10">
        <f t="shared" si="217"/>
        <v>4.4578930108059002E-6</v>
      </c>
      <c r="N1624" s="10">
        <f t="shared" si="218"/>
        <v>0.62219266359407277</v>
      </c>
      <c r="O1624" s="10">
        <f t="shared" si="219"/>
        <v>0.89319447145202502</v>
      </c>
      <c r="P1624" s="10">
        <f t="shared" si="220"/>
        <v>1.9594874891699681E-2</v>
      </c>
      <c r="Q1624" s="66">
        <f t="shared" si="223"/>
        <v>2</v>
      </c>
      <c r="R1624" s="10">
        <f t="shared" si="221"/>
        <v>4.9495830818956822E-11</v>
      </c>
      <c r="V1624" s="10">
        <f t="shared" si="222"/>
        <v>1.5601521572323691E-7</v>
      </c>
    </row>
    <row r="1625" spans="11:22">
      <c r="K1625" s="66">
        <v>80.650000000000006</v>
      </c>
      <c r="L1625" s="10">
        <f t="shared" si="216"/>
        <v>1.8122065489858415E-4</v>
      </c>
      <c r="M1625" s="10">
        <f t="shared" si="217"/>
        <v>4.2628403112979907E-6</v>
      </c>
      <c r="N1625" s="10">
        <f t="shared" si="218"/>
        <v>0.62444624329760534</v>
      </c>
      <c r="O1625" s="10">
        <f t="shared" si="219"/>
        <v>0.89642977656328271</v>
      </c>
      <c r="P1625" s="10">
        <f t="shared" si="220"/>
        <v>1.9547131292685885E-2</v>
      </c>
      <c r="Q1625" s="66">
        <f t="shared" si="223"/>
        <v>4</v>
      </c>
      <c r="R1625" s="10">
        <f t="shared" si="221"/>
        <v>9.1863628002184022E-11</v>
      </c>
      <c r="V1625" s="10">
        <f t="shared" si="222"/>
        <v>2.9873055729547393E-7</v>
      </c>
    </row>
    <row r="1626" spans="11:22">
      <c r="K1626" s="66">
        <v>80.7</v>
      </c>
      <c r="L1626" s="10">
        <f t="shared" si="216"/>
        <v>1.756400191888652E-4</v>
      </c>
      <c r="M1626" s="10">
        <f t="shared" si="217"/>
        <v>4.0756614898360005E-6</v>
      </c>
      <c r="N1626" s="10">
        <f t="shared" si="218"/>
        <v>0.62670798677122652</v>
      </c>
      <c r="O1626" s="10">
        <f t="shared" si="219"/>
        <v>0.89967680182229126</v>
      </c>
      <c r="P1626" s="10">
        <f t="shared" si="220"/>
        <v>1.949950402262339E-2</v>
      </c>
      <c r="Q1626" s="66">
        <f t="shared" si="223"/>
        <v>2</v>
      </c>
      <c r="R1626" s="10">
        <f t="shared" si="221"/>
        <v>4.2612711699365042E-11</v>
      </c>
      <c r="V1626" s="10">
        <f t="shared" si="222"/>
        <v>1.4297559175982275E-7</v>
      </c>
    </row>
    <row r="1627" spans="11:22">
      <c r="K1627" s="66">
        <v>80.75</v>
      </c>
      <c r="L1627" s="10">
        <f t="shared" si="216"/>
        <v>1.7021195275673397E-4</v>
      </c>
      <c r="M1627" s="10">
        <f t="shared" si="217"/>
        <v>3.8960678527212567E-6</v>
      </c>
      <c r="N1627" s="10">
        <f t="shared" si="218"/>
        <v>0.62897792358883875</v>
      </c>
      <c r="O1627" s="10">
        <f t="shared" si="219"/>
        <v>0.90293558968621179</v>
      </c>
      <c r="P1627" s="10">
        <f t="shared" si="220"/>
        <v>1.9451992798072616E-2</v>
      </c>
      <c r="Q1627" s="66">
        <f t="shared" si="223"/>
        <v>4</v>
      </c>
      <c r="R1627" s="10">
        <f t="shared" si="221"/>
        <v>7.9045091150817209E-11</v>
      </c>
      <c r="V1627" s="10">
        <f t="shared" si="222"/>
        <v>2.7367394094926002E-7</v>
      </c>
    </row>
    <row r="1628" spans="11:22">
      <c r="K1628" s="66">
        <v>80.8</v>
      </c>
      <c r="L1628" s="10">
        <f t="shared" si="216"/>
        <v>1.6493288367375254E-4</v>
      </c>
      <c r="M1628" s="10">
        <f t="shared" si="217"/>
        <v>3.7237800937768968E-6</v>
      </c>
      <c r="N1628" s="10">
        <f t="shared" si="218"/>
        <v>0.63125608343147588</v>
      </c>
      <c r="O1628" s="10">
        <f t="shared" si="219"/>
        <v>0.90620618276600939</v>
      </c>
      <c r="P1628" s="10">
        <f t="shared" si="220"/>
        <v>1.9404597336284624E-2</v>
      </c>
      <c r="Q1628" s="66">
        <f t="shared" si="223"/>
        <v>2</v>
      </c>
      <c r="R1628" s="10">
        <f t="shared" si="221"/>
        <v>3.6646320434939197E-11</v>
      </c>
      <c r="V1628" s="10">
        <f t="shared" si="222"/>
        <v>1.3094051429534376E-7</v>
      </c>
    </row>
    <row r="1629" spans="11:22">
      <c r="K1629" s="66">
        <v>80.849999999999994</v>
      </c>
      <c r="L1629" s="10">
        <f t="shared" si="216"/>
        <v>1.5979930681533577E-4</v>
      </c>
      <c r="M1629" s="10">
        <f t="shared" si="217"/>
        <v>3.5585280344174828E-6</v>
      </c>
      <c r="N1629" s="10">
        <f t="shared" si="218"/>
        <v>0.63354249608769342</v>
      </c>
      <c r="O1629" s="10">
        <f t="shared" si="219"/>
        <v>0.90948862382700579</v>
      </c>
      <c r="P1629" s="10">
        <f t="shared" si="220"/>
        <v>1.9357317355199365E-2</v>
      </c>
      <c r="Q1629" s="66">
        <f t="shared" si="223"/>
        <v>4</v>
      </c>
      <c r="R1629" s="10">
        <f t="shared" si="221"/>
        <v>6.7939935341020247E-11</v>
      </c>
      <c r="V1629" s="10">
        <f t="shared" si="222"/>
        <v>2.5055519900146546E-7</v>
      </c>
    </row>
    <row r="1630" spans="11:22">
      <c r="K1630" s="66">
        <v>80.900000000000006</v>
      </c>
      <c r="L1630" s="10">
        <f t="shared" si="216"/>
        <v>1.5480778303281621E-4</v>
      </c>
      <c r="M1630" s="10">
        <f t="shared" si="217"/>
        <v>3.4000503693483318E-6</v>
      </c>
      <c r="N1630" s="10">
        <f t="shared" si="218"/>
        <v>0.63583719145396067</v>
      </c>
      <c r="O1630" s="10">
        <f t="shared" si="219"/>
        <v>0.9127829557894499</v>
      </c>
      <c r="P1630" s="10">
        <f t="shared" si="220"/>
        <v>1.9310152573444064E-2</v>
      </c>
      <c r="Q1630" s="66">
        <f t="shared" si="223"/>
        <v>2</v>
      </c>
      <c r="R1630" s="10">
        <f t="shared" si="221"/>
        <v>3.1480291709831631E-11</v>
      </c>
      <c r="V1630" s="10">
        <f t="shared" si="222"/>
        <v>1.1983987197129358E-7</v>
      </c>
    </row>
    <row r="1631" spans="11:22">
      <c r="K1631" s="66">
        <v>80.95</v>
      </c>
      <c r="L1631" s="10">
        <f t="shared" si="216"/>
        <v>1.4995493832629424E-4</v>
      </c>
      <c r="M1631" s="10">
        <f t="shared" si="217"/>
        <v>3.2480944178223117E-6</v>
      </c>
      <c r="N1631" s="10">
        <f t="shared" si="218"/>
        <v>0.63814019953504597</v>
      </c>
      <c r="O1631" s="10">
        <f t="shared" si="219"/>
        <v>0.91608922172906593</v>
      </c>
      <c r="P1631" s="10">
        <f t="shared" si="220"/>
        <v>1.9263102710331541E-2</v>
      </c>
      <c r="Q1631" s="66">
        <f t="shared" si="223"/>
        <v>4</v>
      </c>
      <c r="R1631" s="10">
        <f t="shared" si="221"/>
        <v>5.8329838649408439E-11</v>
      </c>
      <c r="V1631" s="10">
        <f t="shared" si="222"/>
        <v>2.2923848030583842E-7</v>
      </c>
    </row>
    <row r="1632" spans="11:22">
      <c r="K1632" s="66">
        <v>81</v>
      </c>
      <c r="L1632" s="10">
        <f t="shared" si="216"/>
        <v>1.452374630184608E-4</v>
      </c>
      <c r="M1632" s="10">
        <f t="shared" si="217"/>
        <v>3.1024158803804374E-6</v>
      </c>
      <c r="N1632" s="10">
        <f t="shared" si="218"/>
        <v>0.64045155044441537</v>
      </c>
      <c r="O1632" s="10">
        <f t="shared" si="219"/>
        <v>0.91940746487763136</v>
      </c>
      <c r="P1632" s="10">
        <f t="shared" si="220"/>
        <v>1.9216167485858526E-2</v>
      </c>
      <c r="Q1632" s="66">
        <f t="shared" si="223"/>
        <v>2</v>
      </c>
      <c r="R1632" s="10">
        <f t="shared" si="221"/>
        <v>2.7012251661758435E-11</v>
      </c>
      <c r="V1632" s="10">
        <f t="shared" si="222"/>
        <v>1.0960786815695079E-7</v>
      </c>
    </row>
    <row r="1633" spans="11:22">
      <c r="K1633" s="66">
        <v>81.05</v>
      </c>
      <c r="L1633" s="10">
        <f t="shared" si="216"/>
        <v>1.4065211092966992E-4</v>
      </c>
      <c r="M1633" s="10">
        <f t="shared" si="217"/>
        <v>2.9627786010040069E-6</v>
      </c>
      <c r="N1633" s="10">
        <f t="shared" si="218"/>
        <v>0.64277127440461868</v>
      </c>
      <c r="O1633" s="10">
        <f t="shared" si="219"/>
        <v>0.92273772862352288</v>
      </c>
      <c r="P1633" s="10">
        <f t="shared" si="220"/>
        <v>1.9169346620703832E-2</v>
      </c>
      <c r="Q1633" s="66">
        <f t="shared" si="223"/>
        <v>4</v>
      </c>
      <c r="R1633" s="10">
        <f t="shared" si="221"/>
        <v>5.0022837724348597E-11</v>
      </c>
      <c r="V1633" s="10">
        <f t="shared" si="222"/>
        <v>2.0959633799096809E-7</v>
      </c>
    </row>
    <row r="1634" spans="11:22">
      <c r="K1634" s="66">
        <v>81.099999999999994</v>
      </c>
      <c r="L1634" s="10">
        <f t="shared" si="216"/>
        <v>1.3619569855440684E-4</v>
      </c>
      <c r="M1634" s="10">
        <f t="shared" si="217"/>
        <v>2.8289543346021977E-6</v>
      </c>
      <c r="N1634" s="10">
        <f t="shared" si="218"/>
        <v>0.64509940174769609</v>
      </c>
      <c r="O1634" s="10">
        <f t="shared" si="219"/>
        <v>0.92608005651230674</v>
      </c>
      <c r="P1634" s="10">
        <f t="shared" si="220"/>
        <v>1.9122639836227102E-2</v>
      </c>
      <c r="Q1634" s="66">
        <f t="shared" si="223"/>
        <v>2</v>
      </c>
      <c r="R1634" s="10">
        <f t="shared" si="221"/>
        <v>2.3152237143236315E-11</v>
      </c>
      <c r="V1634" s="10">
        <f t="shared" si="222"/>
        <v>1.0018279795066721E-7</v>
      </c>
    </row>
    <row r="1635" spans="11:22">
      <c r="K1635" s="66">
        <v>81.150000000000006</v>
      </c>
      <c r="L1635" s="10">
        <f t="shared" si="216"/>
        <v>1.3186510423942994E-4</v>
      </c>
      <c r="M1635" s="10">
        <f t="shared" si="217"/>
        <v>2.7007225197627539E-6</v>
      </c>
      <c r="N1635" s="10">
        <f t="shared" si="218"/>
        <v>0.64743596291556371</v>
      </c>
      <c r="O1635" s="10">
        <f t="shared" si="219"/>
        <v>0.9294344922472918</v>
      </c>
      <c r="P1635" s="10">
        <f t="shared" si="220"/>
        <v>1.9076046854466712E-2</v>
      </c>
      <c r="Q1635" s="66">
        <f t="shared" si="223"/>
        <v>4</v>
      </c>
      <c r="R1635" s="10">
        <f t="shared" si="221"/>
        <v>4.2850336440324202E-11</v>
      </c>
      <c r="V1635" s="10">
        <f t="shared" si="222"/>
        <v>1.9150929215361331E-7</v>
      </c>
    </row>
    <row r="1636" spans="11:22">
      <c r="K1636" s="66">
        <v>81.2</v>
      </c>
      <c r="L1636" s="10">
        <f t="shared" si="216"/>
        <v>1.2765726736377E-4</v>
      </c>
      <c r="M1636" s="10">
        <f t="shared" si="217"/>
        <v>2.5778700566900385E-6</v>
      </c>
      <c r="N1636" s="10">
        <f t="shared" si="218"/>
        <v>0.64978098846041465</v>
      </c>
      <c r="O1636" s="10">
        <f t="shared" si="219"/>
        <v>0.93280107969010195</v>
      </c>
      <c r="P1636" s="10">
        <f t="shared" si="220"/>
        <v>1.9029567398138381E-2</v>
      </c>
      <c r="Q1636" s="66">
        <f t="shared" si="223"/>
        <v>2</v>
      </c>
      <c r="R1636" s="10">
        <f t="shared" si="221"/>
        <v>1.9821280951928814E-11</v>
      </c>
      <c r="V1636" s="10">
        <f t="shared" si="222"/>
        <v>9.1506833833988802E-8</v>
      </c>
    </row>
    <row r="1637" spans="11:22">
      <c r="K1637" s="66">
        <v>81.25</v>
      </c>
      <c r="L1637" s="10">
        <f t="shared" si="216"/>
        <v>1.2356918752077527E-4</v>
      </c>
      <c r="M1637" s="10">
        <f t="shared" si="217"/>
        <v>2.4601910902550698E-6</v>
      </c>
      <c r="N1637" s="10">
        <f t="shared" si="218"/>
        <v>0.65213450904512338</v>
      </c>
      <c r="O1637" s="10">
        <f t="shared" si="219"/>
        <v>0.93617986286125998</v>
      </c>
      <c r="P1637" s="10">
        <f t="shared" si="220"/>
        <v>1.8983201190633407E-2</v>
      </c>
      <c r="Q1637" s="66">
        <f t="shared" si="223"/>
        <v>4</v>
      </c>
      <c r="R1637" s="10">
        <f t="shared" si="221"/>
        <v>3.6664430199904161E-11</v>
      </c>
      <c r="V1637" s="10">
        <f t="shared" si="222"/>
        <v>1.7486540970379168E-7</v>
      </c>
    </row>
    <row r="1638" spans="11:22">
      <c r="K1638" s="66">
        <v>81.3</v>
      </c>
      <c r="L1638" s="10">
        <f t="shared" si="216"/>
        <v>1.1959792370244049E-4</v>
      </c>
      <c r="M1638" s="10">
        <f t="shared" si="217"/>
        <v>2.3474867980831254E-6</v>
      </c>
      <c r="N1638" s="10">
        <f t="shared" si="218"/>
        <v>0.65449655544364094</v>
      </c>
      <c r="O1638" s="10">
        <f t="shared" si="219"/>
        <v>0.93957088594074945</v>
      </c>
      <c r="P1638" s="10">
        <f t="shared" si="220"/>
        <v>1.8936947956017074E-2</v>
      </c>
      <c r="Q1638" s="66">
        <f t="shared" si="223"/>
        <v>2</v>
      </c>
      <c r="R1638" s="10">
        <f t="shared" si="221"/>
        <v>1.6950147093427958E-11</v>
      </c>
      <c r="V1638" s="10">
        <f t="shared" si="222"/>
        <v>8.3525819822511272E-8</v>
      </c>
    </row>
    <row r="1639" spans="11:22">
      <c r="K1639" s="66">
        <v>81.349999999999994</v>
      </c>
      <c r="L1639" s="10">
        <f t="shared" si="216"/>
        <v>1.1574059348619973E-4</v>
      </c>
      <c r="M1639" s="10">
        <f t="shared" si="217"/>
        <v>2.2395651836031808E-6</v>
      </c>
      <c r="N1639" s="10">
        <f t="shared" si="218"/>
        <v>0.65686715854139888</v>
      </c>
      <c r="O1639" s="10">
        <f t="shared" si="219"/>
        <v>0.94297419326860477</v>
      </c>
      <c r="P1639" s="10">
        <f t="shared" si="220"/>
        <v>1.8890807419026965E-2</v>
      </c>
      <c r="Q1639" s="66">
        <f t="shared" si="223"/>
        <v>4</v>
      </c>
      <c r="R1639" s="10">
        <f t="shared" si="221"/>
        <v>3.1335515399758859E-11</v>
      </c>
      <c r="V1639" s="10">
        <f t="shared" si="222"/>
        <v>1.5955990104069458E-7</v>
      </c>
    </row>
    <row r="1640" spans="11:22">
      <c r="K1640" s="66">
        <v>81.400000000000006</v>
      </c>
      <c r="L1640" s="10">
        <f t="shared" si="216"/>
        <v>1.1199437222437693E-4</v>
      </c>
      <c r="M1640" s="10">
        <f t="shared" si="217"/>
        <v>2.1362408739832319E-6</v>
      </c>
      <c r="N1640" s="10">
        <f t="shared" si="218"/>
        <v>0.65924634933571657</v>
      </c>
      <c r="O1640" s="10">
        <f t="shared" si="219"/>
        <v>0.94638982934548532</v>
      </c>
      <c r="P1640" s="10">
        <f t="shared" si="220"/>
        <v>1.8844779305071366E-2</v>
      </c>
      <c r="Q1640" s="66">
        <f t="shared" si="223"/>
        <v>2</v>
      </c>
      <c r="R1640" s="10">
        <f t="shared" si="221"/>
        <v>1.4478201504020565E-11</v>
      </c>
      <c r="V1640" s="10">
        <f t="shared" si="222"/>
        <v>7.6189073948789856E-8</v>
      </c>
    </row>
    <row r="1641" spans="11:22">
      <c r="K1641" s="66">
        <v>81.45</v>
      </c>
      <c r="L1641" s="10">
        <f t="shared" si="216"/>
        <v>1.083564922364959E-4</v>
      </c>
      <c r="M1641" s="10">
        <f t="shared" si="217"/>
        <v>2.0373349228763837E-6</v>
      </c>
      <c r="N1641" s="10">
        <f t="shared" si="218"/>
        <v>0.66163415893619981</v>
      </c>
      <c r="O1641" s="10">
        <f t="shared" si="219"/>
        <v>0.94981783883325477</v>
      </c>
      <c r="P1641" s="10">
        <f t="shared" si="220"/>
        <v>1.8798863340227633E-2</v>
      </c>
      <c r="Q1641" s="66">
        <f t="shared" si="223"/>
        <v>4</v>
      </c>
      <c r="R1641" s="10">
        <f t="shared" si="221"/>
        <v>2.675015620490778E-11</v>
      </c>
      <c r="V1641" s="10">
        <f t="shared" si="222"/>
        <v>1.4549473322233887E-7</v>
      </c>
    </row>
    <row r="1642" spans="11:22">
      <c r="K1642" s="66">
        <v>81.5</v>
      </c>
      <c r="L1642" s="10">
        <f t="shared" si="216"/>
        <v>1.0482424200461897E-4</v>
      </c>
      <c r="M1642" s="10">
        <f t="shared" si="217"/>
        <v>1.9426746179012852E-6</v>
      </c>
      <c r="N1642" s="10">
        <f t="shared" si="218"/>
        <v>0.66403061856515333</v>
      </c>
      <c r="O1642" s="10">
        <f t="shared" si="219"/>
        <v>0.95325826655556734</v>
      </c>
      <c r="P1642" s="10">
        <f t="shared" si="220"/>
        <v>1.875305925124052E-2</v>
      </c>
      <c r="Q1642" s="66">
        <f t="shared" si="223"/>
        <v>2</v>
      </c>
      <c r="R1642" s="10">
        <f t="shared" si="221"/>
        <v>1.2352404925927598E-11</v>
      </c>
      <c r="V1642" s="10">
        <f t="shared" si="222"/>
        <v>6.9449198905096333E-8</v>
      </c>
    </row>
    <row r="1643" spans="11:22">
      <c r="K1643" s="66">
        <v>81.55</v>
      </c>
      <c r="L1643" s="10">
        <f t="shared" si="216"/>
        <v>1.0139496537192716E-4</v>
      </c>
      <c r="M1643" s="10">
        <f t="shared" si="217"/>
        <v>1.8520932927820569E-6</v>
      </c>
      <c r="N1643" s="10">
        <f t="shared" si="218"/>
        <v>0.66643575955798817</v>
      </c>
      <c r="O1643" s="10">
        <f t="shared" si="219"/>
        <v>0.95671115749845814</v>
      </c>
      <c r="P1643" s="10">
        <f t="shared" si="220"/>
        <v>1.8707366765520587E-2</v>
      </c>
      <c r="Q1643" s="66">
        <f t="shared" si="223"/>
        <v>4</v>
      </c>
      <c r="R1643" s="10">
        <f t="shared" si="221"/>
        <v>2.2809183209908609E-11</v>
      </c>
      <c r="V1643" s="10">
        <f t="shared" si="222"/>
        <v>1.3257825927726607E-7</v>
      </c>
    </row>
    <row r="1644" spans="11:22">
      <c r="K1644" s="66">
        <v>81.599999999999994</v>
      </c>
      <c r="L1644" s="10">
        <f t="shared" si="216"/>
        <v>9.806606074469113E-5</v>
      </c>
      <c r="M1644" s="10">
        <f t="shared" si="217"/>
        <v>1.7654301440711469E-6</v>
      </c>
      <c r="N1644" s="10">
        <f t="shared" si="218"/>
        <v>0.66884961336362836</v>
      </c>
      <c r="O1644" s="10">
        <f t="shared" si="219"/>
        <v>0.96017655681092762</v>
      </c>
      <c r="P1644" s="10">
        <f t="shared" si="220"/>
        <v>1.8661785611142553E-2</v>
      </c>
      <c r="Q1644" s="66">
        <f t="shared" si="223"/>
        <v>2</v>
      </c>
      <c r="R1644" s="10">
        <f t="shared" si="221"/>
        <v>1.0526415798472212E-11</v>
      </c>
      <c r="V1644" s="10">
        <f t="shared" si="222"/>
        <v>6.3261900666792418E-8</v>
      </c>
    </row>
    <row r="1645" spans="11:22">
      <c r="K1645" s="66">
        <v>81.650000000000006</v>
      </c>
      <c r="L1645" s="10">
        <f t="shared" si="216"/>
        <v>9.4834980297823379E-5</v>
      </c>
      <c r="M1645" s="10">
        <f t="shared" si="217"/>
        <v>1.682530052379862E-6</v>
      </c>
      <c r="N1645" s="10">
        <f t="shared" si="218"/>
        <v>0.67127221154492511</v>
      </c>
      <c r="O1645" s="10">
        <f t="shared" si="219"/>
        <v>0.96365450980552891</v>
      </c>
      <c r="P1645" s="10">
        <f t="shared" si="220"/>
        <v>1.8616315516843698E-2</v>
      </c>
      <c r="Q1645" s="66">
        <f t="shared" si="223"/>
        <v>4</v>
      </c>
      <c r="R1645" s="10">
        <f t="shared" si="221"/>
        <v>1.9426000817975487E-11</v>
      </c>
      <c r="V1645" s="10">
        <f t="shared" si="222"/>
        <v>1.2072486329375473E-7</v>
      </c>
    </row>
    <row r="1646" spans="11:22">
      <c r="K1646" s="66">
        <v>81.7</v>
      </c>
      <c r="L1646" s="10">
        <f t="shared" si="216"/>
        <v>9.1699229184191404E-5</v>
      </c>
      <c r="M1646" s="10">
        <f t="shared" si="217"/>
        <v>1.6032434080413232E-6</v>
      </c>
      <c r="N1646" s="10">
        <f t="shared" si="218"/>
        <v>0.67370358577906853</v>
      </c>
      <c r="O1646" s="10">
        <f t="shared" si="219"/>
        <v>0.9671450619589631</v>
      </c>
      <c r="P1646" s="10">
        <f t="shared" si="220"/>
        <v>1.8570956212022274E-2</v>
      </c>
      <c r="Q1646" s="66">
        <f t="shared" si="223"/>
        <v>2</v>
      </c>
      <c r="R1646" s="10">
        <f t="shared" si="221"/>
        <v>8.9597921112290012E-12</v>
      </c>
      <c r="V1646" s="10">
        <f t="shared" si="222"/>
        <v>5.7585814911154669E-8</v>
      </c>
    </row>
    <row r="1647" spans="11:22">
      <c r="K1647" s="66">
        <v>81.75</v>
      </c>
      <c r="L1647" s="10">
        <f t="shared" si="216"/>
        <v>8.8656364747834136E-5</v>
      </c>
      <c r="M1647" s="10">
        <f t="shared" si="217"/>
        <v>1.5274259411297576E-6</v>
      </c>
      <c r="N1647" s="10">
        <f t="shared" si="218"/>
        <v>0.67614376785800179</v>
      </c>
      <c r="O1647" s="10">
        <f t="shared" si="219"/>
        <v>0.9706482589126777</v>
      </c>
      <c r="P1647" s="10">
        <f t="shared" si="220"/>
        <v>1.8525707426735823E-2</v>
      </c>
      <c r="Q1647" s="66">
        <f t="shared" si="223"/>
        <v>4</v>
      </c>
      <c r="R1647" s="10">
        <f t="shared" si="221"/>
        <v>1.6525082249556463E-11</v>
      </c>
      <c r="V1647" s="10">
        <f t="shared" si="222"/>
        <v>1.0985462091060806E-7</v>
      </c>
    </row>
    <row r="1648" spans="11:22">
      <c r="K1648" s="66">
        <v>81.8</v>
      </c>
      <c r="L1648" s="10">
        <f t="shared" si="216"/>
        <v>8.5703995741269308E-5</v>
      </c>
      <c r="M1648" s="10">
        <f t="shared" si="217"/>
        <v>1.454938555761622E-6</v>
      </c>
      <c r="N1648" s="10">
        <f t="shared" si="218"/>
        <v>0.67859278968883596</v>
      </c>
      <c r="O1648" s="10">
        <f t="shared" si="219"/>
        <v>0.97416414647346017</v>
      </c>
      <c r="P1648" s="10">
        <f t="shared" si="220"/>
        <v>1.8480568891699641E-2</v>
      </c>
      <c r="Q1648" s="66">
        <f t="shared" si="223"/>
        <v>2</v>
      </c>
      <c r="R1648" s="10">
        <f t="shared" si="221"/>
        <v>7.6172821644719385E-12</v>
      </c>
      <c r="V1648" s="10">
        <f t="shared" si="222"/>
        <v>5.2382341041117962E-8</v>
      </c>
    </row>
    <row r="1649" spans="11:22">
      <c r="K1649" s="66">
        <v>81.849999999999994</v>
      </c>
      <c r="L1649" s="10">
        <f t="shared" si="216"/>
        <v>8.2839781547043971E-5</v>
      </c>
      <c r="M1649" s="10">
        <f t="shared" si="217"/>
        <v>1.3856471686034141E-6</v>
      </c>
      <c r="N1649" s="10">
        <f t="shared" si="218"/>
        <v>0.68105068329427043</v>
      </c>
      <c r="O1649" s="10">
        <f t="shared" si="219"/>
        <v>0.97769277061403126</v>
      </c>
      <c r="P1649" s="10">
        <f t="shared" si="220"/>
        <v>1.8435540338285109E-2</v>
      </c>
      <c r="Q1649" s="66">
        <f t="shared" si="223"/>
        <v>4</v>
      </c>
      <c r="R1649" s="10">
        <f t="shared" si="221"/>
        <v>1.4040633011038489E-11</v>
      </c>
      <c r="V1649" s="10">
        <f t="shared" si="222"/>
        <v>9.9892974823767392E-8</v>
      </c>
    </row>
    <row r="1650" spans="11:22">
      <c r="K1650" s="66">
        <v>81.900000000000006</v>
      </c>
      <c r="L1650" s="10">
        <f t="shared" si="216"/>
        <v>8.006143140367429E-5</v>
      </c>
      <c r="M1650" s="10">
        <f t="shared" si="217"/>
        <v>1.3194225515112881E-6</v>
      </c>
      <c r="N1650" s="10">
        <f t="shared" si="218"/>
        <v>0.68351748081300767</v>
      </c>
      <c r="O1650" s="10">
        <f t="shared" si="219"/>
        <v>0.9812341774736586</v>
      </c>
      <c r="P1650" s="10">
        <f t="shared" si="220"/>
        <v>1.8390621498518153E-2</v>
      </c>
      <c r="Q1650" s="66">
        <f t="shared" si="223"/>
        <v>2</v>
      </c>
      <c r="R1650" s="10">
        <f t="shared" si="221"/>
        <v>6.4681951033285803E-12</v>
      </c>
      <c r="V1650" s="10">
        <f t="shared" si="222"/>
        <v>4.76154836188678E-8</v>
      </c>
    </row>
    <row r="1651" spans="11:22">
      <c r="K1651" s="66">
        <v>81.95</v>
      </c>
      <c r="L1651" s="10">
        <f t="shared" si="216"/>
        <v>7.7366703636140447E-5</v>
      </c>
      <c r="M1651" s="10">
        <f t="shared" si="217"/>
        <v>1.256140178228413E-6</v>
      </c>
      <c r="N1651" s="10">
        <f t="shared" si="218"/>
        <v>0.68599321450017448</v>
      </c>
      <c r="O1651" s="10">
        <f t="shared" si="219"/>
        <v>0.9847884133587459</v>
      </c>
      <c r="P1651" s="10">
        <f t="shared" si="220"/>
        <v>1.8345812105077654E-2</v>
      </c>
      <c r="Q1651" s="66">
        <f t="shared" si="223"/>
        <v>4</v>
      </c>
      <c r="R1651" s="10">
        <f t="shared" si="221"/>
        <v>1.1915405421897988E-11</v>
      </c>
      <c r="V1651" s="10">
        <f t="shared" si="222"/>
        <v>9.0770424914654699E-8</v>
      </c>
    </row>
    <row r="1652" spans="11:22">
      <c r="K1652" s="66">
        <v>82</v>
      </c>
      <c r="L1652" s="10">
        <f t="shared" si="216"/>
        <v>7.4753404891064558E-5</v>
      </c>
      <c r="M1652" s="10">
        <f t="shared" si="217"/>
        <v>1.1956800750656545E-6</v>
      </c>
      <c r="N1652" s="10">
        <f t="shared" si="218"/>
        <v>0.68847791672774661</v>
      </c>
      <c r="O1652" s="10">
        <f t="shared" si="219"/>
        <v>0.98835552474345367</v>
      </c>
      <c r="P1652" s="10">
        <f t="shared" si="220"/>
        <v>1.8301111891293836E-2</v>
      </c>
      <c r="Q1652" s="66">
        <f t="shared" si="223"/>
        <v>2</v>
      </c>
      <c r="R1652" s="10">
        <f t="shared" si="221"/>
        <v>5.4858429398150823E-12</v>
      </c>
      <c r="V1652" s="10">
        <f t="shared" si="222"/>
        <v>4.3251701010442894E-8</v>
      </c>
    </row>
    <row r="1653" spans="11:22">
      <c r="K1653" s="66">
        <v>82.05</v>
      </c>
      <c r="L1653" s="10">
        <f t="shared" si="216"/>
        <v>7.2219389376743882E-5</v>
      </c>
      <c r="M1653" s="10">
        <f t="shared" si="217"/>
        <v>1.137926675492527E-6</v>
      </c>
      <c r="N1653" s="10">
        <f t="shared" si="218"/>
        <v>0.69097161998496504</v>
      </c>
      <c r="O1653" s="10">
        <f t="shared" si="219"/>
        <v>0.99193555827028712</v>
      </c>
      <c r="P1653" s="10">
        <f t="shared" si="220"/>
        <v>1.8256520591146495E-2</v>
      </c>
      <c r="Q1653" s="66">
        <f t="shared" si="223"/>
        <v>4</v>
      </c>
      <c r="R1653" s="10">
        <f t="shared" si="221"/>
        <v>1.0099648424325398E-11</v>
      </c>
      <c r="V1653" s="10">
        <f t="shared" si="222"/>
        <v>8.2422232599180165E-8</v>
      </c>
    </row>
    <row r="1654" spans="11:22">
      <c r="K1654" s="66">
        <v>82.1</v>
      </c>
      <c r="L1654" s="10">
        <f t="shared" si="216"/>
        <v>6.9762558108138359E-5</v>
      </c>
      <c r="M1654" s="10">
        <f t="shared" si="217"/>
        <v>1.0827686785642399E-6</v>
      </c>
      <c r="N1654" s="10">
        <f t="shared" si="218"/>
        <v>0.69347435687877335</v>
      </c>
      <c r="O1654" s="10">
        <f t="shared" si="219"/>
        <v>0.99552856075072971</v>
      </c>
      <c r="P1654" s="10">
        <f t="shared" si="220"/>
        <v>1.821203793926391E-2</v>
      </c>
      <c r="Q1654" s="66">
        <f t="shared" si="223"/>
        <v>2</v>
      </c>
      <c r="R1654" s="10">
        <f t="shared" si="221"/>
        <v>4.6470465560260933E-12</v>
      </c>
      <c r="V1654" s="10">
        <f t="shared" si="222"/>
        <v>3.9259761039313197E-8</v>
      </c>
    </row>
    <row r="1655" spans="11:22">
      <c r="K1655" s="66">
        <v>82.15</v>
      </c>
      <c r="L1655" s="10">
        <f t="shared" si="216"/>
        <v>6.7380858156984366E-5</v>
      </c>
      <c r="M1655" s="10">
        <f t="shared" si="217"/>
        <v>1.0300989111129248E-6</v>
      </c>
      <c r="N1655" s="10">
        <f t="shared" si="218"/>
        <v>0.69598616013423042</v>
      </c>
      <c r="O1655" s="10">
        <f t="shared" si="219"/>
        <v>0.9991345791658387</v>
      </c>
      <c r="P1655" s="10">
        <f t="shared" si="220"/>
        <v>1.8167663670920674E-2</v>
      </c>
      <c r="Q1655" s="66">
        <f t="shared" si="223"/>
        <v>4</v>
      </c>
      <c r="R1655" s="10">
        <f t="shared" si="221"/>
        <v>8.5501783923695934E-12</v>
      </c>
      <c r="V1655" s="10">
        <f t="shared" si="222"/>
        <v>7.4788138990823003E-8</v>
      </c>
    </row>
    <row r="1656" spans="11:22">
      <c r="K1656" s="66">
        <v>82.2</v>
      </c>
      <c r="L1656" s="10">
        <f t="shared" si="216"/>
        <v>6.5072281907146908E-5</v>
      </c>
      <c r="M1656" s="10">
        <f t="shared" si="217"/>
        <v>9.7981419363011591E-7</v>
      </c>
      <c r="N1656" s="10">
        <f t="shared" si="218"/>
        <v>0.69850706259494577</v>
      </c>
      <c r="O1656" s="10">
        <f t="shared" si="219"/>
        <v>1.0027536606668597</v>
      </c>
      <c r="P1656" s="10">
        <f t="shared" si="220"/>
        <v>1.8123397522036552E-2</v>
      </c>
      <c r="Q1656" s="66">
        <f t="shared" si="223"/>
        <v>2</v>
      </c>
      <c r="R1656" s="10">
        <f t="shared" si="221"/>
        <v>3.931698896757034E-12</v>
      </c>
      <c r="V1656" s="10">
        <f t="shared" si="222"/>
        <v>3.5610603444506231E-8</v>
      </c>
    </row>
    <row r="1657" spans="11:22">
      <c r="K1657" s="66">
        <v>82.25</v>
      </c>
      <c r="L1657" s="10">
        <f t="shared" si="216"/>
        <v>6.2834866315330441E-5</v>
      </c>
      <c r="M1657" s="10">
        <f t="shared" si="217"/>
        <v>9.3181520976855018E-7</v>
      </c>
      <c r="N1657" s="10">
        <f t="shared" si="218"/>
        <v>0.70103709722350771</v>
      </c>
      <c r="O1657" s="10">
        <f t="shared" si="219"/>
        <v>1.0063858525758544</v>
      </c>
      <c r="P1657" s="10">
        <f t="shared" si="220"/>
        <v>1.8079239229174669E-2</v>
      </c>
      <c r="Q1657" s="66">
        <f t="shared" si="223"/>
        <v>4</v>
      </c>
      <c r="R1657" s="10">
        <f t="shared" si="221"/>
        <v>7.2295580267472323E-12</v>
      </c>
      <c r="V1657" s="10">
        <f t="shared" si="222"/>
        <v>6.781209646691867E-8</v>
      </c>
    </row>
    <row r="1658" spans="11:22">
      <c r="K1658" s="66">
        <v>82.3</v>
      </c>
      <c r="L1658" s="10">
        <f t="shared" si="216"/>
        <v>6.0666692177284549E-5</v>
      </c>
      <c r="M1658" s="10">
        <f t="shared" si="217"/>
        <v>8.8600637939222848E-7</v>
      </c>
      <c r="N1658" s="10">
        <f t="shared" si="218"/>
        <v>0.70357629710191338</v>
      </c>
      <c r="O1658" s="10">
        <f t="shared" si="219"/>
        <v>1.0100312023863056</v>
      </c>
      <c r="P1658" s="10">
        <f t="shared" si="220"/>
        <v>1.8035188529540058E-2</v>
      </c>
      <c r="Q1658" s="66">
        <f t="shared" si="223"/>
        <v>2</v>
      </c>
      <c r="R1658" s="10">
        <f t="shared" si="221"/>
        <v>3.3223792150055787E-12</v>
      </c>
      <c r="V1658" s="10">
        <f t="shared" si="222"/>
        <v>3.2277208937031057E-8</v>
      </c>
    </row>
    <row r="1659" spans="11:22">
      <c r="K1659" s="66">
        <v>82.35</v>
      </c>
      <c r="L1659" s="10">
        <f t="shared" si="216"/>
        <v>5.8565883399618125E-5</v>
      </c>
      <c r="M1659" s="10">
        <f t="shared" si="217"/>
        <v>8.4229573510373851E-7</v>
      </c>
      <c r="N1659" s="10">
        <f t="shared" si="218"/>
        <v>0.70612469543200385</v>
      </c>
      <c r="O1659" s="10">
        <f t="shared" si="219"/>
        <v>1.01368975776375</v>
      </c>
      <c r="P1659" s="10">
        <f t="shared" si="220"/>
        <v>1.7991245160978067E-2</v>
      </c>
      <c r="Q1659" s="66">
        <f t="shared" si="223"/>
        <v>4</v>
      </c>
      <c r="R1659" s="10">
        <f t="shared" si="221"/>
        <v>6.1053716751111419E-12</v>
      </c>
      <c r="V1659" s="10">
        <f t="shared" si="222"/>
        <v>6.1442013224288709E-8</v>
      </c>
    </row>
    <row r="1660" spans="11:22">
      <c r="K1660" s="66">
        <v>82.4</v>
      </c>
      <c r="L1660" s="10">
        <f t="shared" si="216"/>
        <v>5.6530606277328291E-5</v>
      </c>
      <c r="M1660" s="10">
        <f t="shared" si="217"/>
        <v>8.0059480217842971E-7</v>
      </c>
      <c r="N1660" s="10">
        <f t="shared" si="218"/>
        <v>0.70868232553589527</v>
      </c>
      <c r="O1660" s="10">
        <f t="shared" si="219"/>
        <v>1.0173615665463966</v>
      </c>
      <c r="P1660" s="10">
        <f t="shared" si="220"/>
        <v>1.7947408861972727E-2</v>
      </c>
      <c r="Q1660" s="66">
        <f t="shared" si="223"/>
        <v>2</v>
      </c>
      <c r="R1660" s="10">
        <f t="shared" si="221"/>
        <v>2.8040128332715302E-12</v>
      </c>
      <c r="V1660" s="10">
        <f t="shared" si="222"/>
        <v>2.9234474647122922E-8</v>
      </c>
    </row>
    <row r="1661" spans="11:22">
      <c r="K1661" s="66">
        <v>82.45</v>
      </c>
      <c r="L1661" s="10">
        <f t="shared" si="216"/>
        <v>5.4559068777165492E-5</v>
      </c>
      <c r="M1661" s="10">
        <f t="shared" si="217"/>
        <v>7.6081848183606281E-7</v>
      </c>
      <c r="N1661" s="10">
        <f t="shared" si="218"/>
        <v>0.71124922085641495</v>
      </c>
      <c r="O1661" s="10">
        <f t="shared" si="219"/>
        <v>1.0210466767457489</v>
      </c>
      <c r="P1661" s="10">
        <f t="shared" si="220"/>
        <v>1.7903679371645363E-2</v>
      </c>
      <c r="Q1661" s="66">
        <f t="shared" si="223"/>
        <v>4</v>
      </c>
      <c r="R1661" s="10">
        <f t="shared" si="221"/>
        <v>5.1495865638079031E-12</v>
      </c>
      <c r="V1661" s="10">
        <f t="shared" si="222"/>
        <v>5.562951040857769E-8</v>
      </c>
    </row>
    <row r="1662" spans="11:22">
      <c r="K1662" s="66">
        <v>82.5</v>
      </c>
      <c r="L1662" s="10">
        <f t="shared" si="216"/>
        <v>5.2649519826924809E-5</v>
      </c>
      <c r="M1662" s="10">
        <f t="shared" si="217"/>
        <v>7.2288493778045953E-7</v>
      </c>
      <c r="N1662" s="10">
        <f t="shared" si="218"/>
        <v>0.71382541495753982</v>
      </c>
      <c r="O1662" s="10">
        <f t="shared" si="219"/>
        <v>1.0247451365472349</v>
      </c>
      <c r="P1662" s="10">
        <f t="shared" si="220"/>
        <v>1.7860056429752871E-2</v>
      </c>
      <c r="Q1662" s="66">
        <f t="shared" si="223"/>
        <v>2</v>
      </c>
      <c r="R1662" s="10">
        <f t="shared" si="221"/>
        <v>2.3635714312985698E-12</v>
      </c>
      <c r="V1662" s="10">
        <f t="shared" si="222"/>
        <v>2.6459095754279854E-8</v>
      </c>
    </row>
    <row r="1663" spans="11:22">
      <c r="K1663" s="66">
        <v>82.55</v>
      </c>
      <c r="L1663" s="10">
        <f t="shared" si="216"/>
        <v>5.0800248610785246E-5</v>
      </c>
      <c r="M1663" s="10">
        <f t="shared" si="217"/>
        <v>6.8671548593919869E-7</v>
      </c>
      <c r="N1663" s="10">
        <f t="shared" si="218"/>
        <v>0.7164109415248372</v>
      </c>
      <c r="O1663" s="10">
        <f t="shared" si="219"/>
        <v>1.0284569943108426</v>
      </c>
      <c r="P1663" s="10">
        <f t="shared" si="220"/>
        <v>1.7816539776686263E-2</v>
      </c>
      <c r="Q1663" s="66">
        <f t="shared" si="223"/>
        <v>4</v>
      </c>
      <c r="R1663" s="10">
        <f t="shared" si="221"/>
        <v>4.3379904736286941E-12</v>
      </c>
      <c r="V1663" s="10">
        <f t="shared" si="222"/>
        <v>5.0329691400966093E-8</v>
      </c>
    </row>
    <row r="1664" spans="11:22">
      <c r="K1664" s="66">
        <v>82.6</v>
      </c>
      <c r="L1664" s="10">
        <f t="shared" si="216"/>
        <v>4.9009583870774413E-5</v>
      </c>
      <c r="M1664" s="10">
        <f t="shared" si="217"/>
        <v>6.522344873351571E-7</v>
      </c>
      <c r="N1664" s="10">
        <f t="shared" si="218"/>
        <v>0.71900583436590049</v>
      </c>
      <c r="O1664" s="10">
        <f t="shared" si="219"/>
        <v>1.0321822985717473</v>
      </c>
      <c r="P1664" s="10">
        <f t="shared" si="220"/>
        <v>1.7773129153469101E-2</v>
      </c>
      <c r="Q1664" s="66">
        <f t="shared" si="223"/>
        <v>2</v>
      </c>
      <c r="R1664" s="10">
        <f t="shared" si="221"/>
        <v>1.9898093705655167E-12</v>
      </c>
      <c r="V1664" s="10">
        <f t="shared" si="222"/>
        <v>2.3929453091950897E-8</v>
      </c>
    </row>
    <row r="1665" spans="11:22">
      <c r="K1665" s="66">
        <v>82.65</v>
      </c>
      <c r="L1665" s="10">
        <f t="shared" si="216"/>
        <v>4.7275893214461539E-5</v>
      </c>
      <c r="M1665" s="10">
        <f t="shared" si="217"/>
        <v>6.1936924402300042E-7</v>
      </c>
      <c r="N1665" s="10">
        <f t="shared" si="218"/>
        <v>0.72161012741079456</v>
      </c>
      <c r="O1665" s="10">
        <f t="shared" si="219"/>
        <v>1.0359210980409437</v>
      </c>
      <c r="P1665" s="10">
        <f t="shared" si="220"/>
        <v>1.7729824301755903E-2</v>
      </c>
      <c r="Q1665" s="66">
        <f t="shared" si="223"/>
        <v>4</v>
      </c>
      <c r="R1665" s="10">
        <f t="shared" si="221"/>
        <v>3.6496973460578686E-12</v>
      </c>
      <c r="V1665" s="10">
        <f t="shared" si="222"/>
        <v>4.5500922846389295E-8</v>
      </c>
    </row>
    <row r="1666" spans="11:22">
      <c r="K1666" s="66">
        <v>82.7</v>
      </c>
      <c r="L1666" s="10">
        <f t="shared" si="216"/>
        <v>4.5597582428972351E-5</v>
      </c>
      <c r="M1666" s="10">
        <f t="shared" si="217"/>
        <v>5.8804989802428865E-7</v>
      </c>
      <c r="N1666" s="10">
        <f t="shared" si="218"/>
        <v>0.72422385471249873</v>
      </c>
      <c r="O1666" s="10">
        <f t="shared" si="219"/>
        <v>1.0396734416058853</v>
      </c>
      <c r="P1666" s="10">
        <f t="shared" si="220"/>
        <v>1.7686624963830732E-2</v>
      </c>
      <c r="Q1666" s="66">
        <f t="shared" si="223"/>
        <v>2</v>
      </c>
      <c r="R1666" s="10">
        <f t="shared" si="221"/>
        <v>1.6730320210229933E-12</v>
      </c>
      <c r="V1666" s="10">
        <f t="shared" si="222"/>
        <v>2.1625506519250459E-8</v>
      </c>
    </row>
    <row r="1667" spans="11:22">
      <c r="K1667" s="66">
        <v>82.75</v>
      </c>
      <c r="L1667" s="10">
        <f t="shared" si="216"/>
        <v>4.397309480139607E-5</v>
      </c>
      <c r="M1667" s="10">
        <f t="shared" si="217"/>
        <v>5.5820933319524372E-7</v>
      </c>
      <c r="N1667" s="10">
        <f t="shared" si="218"/>
        <v>0.72684705044735187</v>
      </c>
      <c r="O1667" s="10">
        <f t="shared" si="219"/>
        <v>1.0434393783311287</v>
      </c>
      <c r="P1667" s="10">
        <f t="shared" si="220"/>
        <v>1.7643530882605542E-2</v>
      </c>
      <c r="Q1667" s="66">
        <f t="shared" si="223"/>
        <v>4</v>
      </c>
      <c r="R1667" s="10">
        <f t="shared" si="221"/>
        <v>3.0667131749178819E-12</v>
      </c>
      <c r="V1667" s="10">
        <f t="shared" si="222"/>
        <v>4.1104627008814629E-8</v>
      </c>
    </row>
    <row r="1668" spans="11:22">
      <c r="K1668" s="66">
        <v>82.8</v>
      </c>
      <c r="L1668" s="10">
        <f t="shared" si="216"/>
        <v>4.2400910445679968E-5</v>
      </c>
      <c r="M1668" s="10">
        <f t="shared" si="217"/>
        <v>5.2978307996247625E-7</v>
      </c>
      <c r="N1668" s="10">
        <f t="shared" si="218"/>
        <v>0.72947974891549872</v>
      </c>
      <c r="O1668" s="10">
        <f t="shared" si="219"/>
        <v>1.0472189574589696</v>
      </c>
      <c r="P1668" s="10">
        <f t="shared" si="220"/>
        <v>1.7600541801618706E-2</v>
      </c>
      <c r="Q1668" s="66">
        <f t="shared" si="223"/>
        <v>2</v>
      </c>
      <c r="R1668" s="10">
        <f t="shared" si="221"/>
        <v>1.4048924695977247E-12</v>
      </c>
      <c r="V1668" s="10">
        <f t="shared" si="222"/>
        <v>1.9528693853012729E-8</v>
      </c>
    </row>
    <row r="1669" spans="11:22">
      <c r="K1669" s="66">
        <v>82.85</v>
      </c>
      <c r="L1669" s="10">
        <f t="shared" si="216"/>
        <v>4.0879545636083231E-5</v>
      </c>
      <c r="M1669" s="10">
        <f t="shared" si="217"/>
        <v>5.0270922286236918E-7</v>
      </c>
      <c r="N1669" s="10">
        <f t="shared" si="218"/>
        <v>0.73212198454134059</v>
      </c>
      <c r="O1669" s="10">
        <f t="shared" si="219"/>
        <v>1.0510122284100836</v>
      </c>
      <c r="P1669" s="10">
        <f t="shared" si="220"/>
        <v>1.755765746503344E-2</v>
      </c>
      <c r="Q1669" s="66">
        <f t="shared" si="223"/>
        <v>4</v>
      </c>
      <c r="R1669" s="10">
        <f t="shared" si="221"/>
        <v>2.5735553276175657E-12</v>
      </c>
      <c r="V1669" s="10">
        <f t="shared" si="222"/>
        <v>3.7105085041535277E-8</v>
      </c>
    </row>
    <row r="1670" spans="11:22">
      <c r="K1670" s="66">
        <v>82.9</v>
      </c>
      <c r="L1670" s="10">
        <f t="shared" si="216"/>
        <v>3.9407552147260893E-5</v>
      </c>
      <c r="M1670" s="10">
        <f t="shared" si="217"/>
        <v>4.7692831082059994E-7</v>
      </c>
      <c r="N1670" s="10">
        <f t="shared" si="218"/>
        <v>0.73477379187398328</v>
      </c>
      <c r="O1670" s="10">
        <f t="shared" si="219"/>
        <v>1.054819240784183</v>
      </c>
      <c r="P1670" s="10">
        <f t="shared" si="220"/>
        <v>1.7514877617636336E-2</v>
      </c>
      <c r="Q1670" s="66">
        <f t="shared" si="223"/>
        <v>2</v>
      </c>
      <c r="R1670" s="10">
        <f t="shared" si="221"/>
        <v>1.1782133660313132E-12</v>
      </c>
      <c r="V1670" s="10">
        <f t="shared" si="222"/>
        <v>1.7621835154931909E-8</v>
      </c>
    </row>
    <row r="1671" spans="11:22">
      <c r="K1671" s="66">
        <v>82.95</v>
      </c>
      <c r="L1671" s="10">
        <f t="shared" si="216"/>
        <v>3.7983516601049291E-5</v>
      </c>
      <c r="M1671" s="10">
        <f t="shared" si="217"/>
        <v>4.5238327010919163E-7</v>
      </c>
      <c r="N1671" s="10">
        <f t="shared" si="218"/>
        <v>0.73743520558768749</v>
      </c>
      <c r="O1671" s="10">
        <f t="shared" si="219"/>
        <v>1.0586400443606518</v>
      </c>
      <c r="P1671" s="10">
        <f t="shared" si="220"/>
        <v>1.7472202004835857E-2</v>
      </c>
      <c r="Q1671" s="66">
        <f t="shared" si="223"/>
        <v>4</v>
      </c>
      <c r="R1671" s="10">
        <f t="shared" si="221"/>
        <v>2.1569191565676618E-12</v>
      </c>
      <c r="V1671" s="10">
        <f t="shared" si="222"/>
        <v>3.3469250763750246E-8</v>
      </c>
    </row>
    <row r="1672" spans="11:22">
      <c r="K1672" s="66">
        <v>83</v>
      </c>
      <c r="L1672" s="10">
        <f t="shared" si="216"/>
        <v>3.6606059820018251E-5</v>
      </c>
      <c r="M1672" s="10">
        <f t="shared" si="217"/>
        <v>4.290193199191969E-7</v>
      </c>
      <c r="N1672" s="10">
        <f t="shared" si="218"/>
        <v>0.74010626048232742</v>
      </c>
      <c r="O1672" s="10">
        <f t="shared" si="219"/>
        <v>1.0624746890992127</v>
      </c>
      <c r="P1672" s="10">
        <f t="shared" si="220"/>
        <v>1.7429630372660796E-2</v>
      </c>
      <c r="Q1672" s="66">
        <f t="shared" si="223"/>
        <v>2</v>
      </c>
      <c r="R1672" s="10">
        <f t="shared" si="221"/>
        <v>9.8683100265595347E-13</v>
      </c>
      <c r="V1672" s="10">
        <f t="shared" si="222"/>
        <v>1.5889042170416886E-8</v>
      </c>
    </row>
    <row r="1673" spans="11:22">
      <c r="K1673" s="66">
        <v>83.05</v>
      </c>
      <c r="L1673" s="10">
        <f t="shared" si="216"/>
        <v>3.5273836187853991E-5</v>
      </c>
      <c r="M1673" s="10">
        <f t="shared" si="217"/>
        <v>4.0678389048793865E-7</v>
      </c>
      <c r="N1673" s="10">
        <f t="shared" si="218"/>
        <v>0.74278699148383753</v>
      </c>
      <c r="O1673" s="10">
        <f t="shared" si="219"/>
        <v>1.0663232251405588</v>
      </c>
      <c r="P1673" s="10">
        <f t="shared" si="220"/>
        <v>1.738716246775858E-2</v>
      </c>
      <c r="Q1673" s="66">
        <f t="shared" si="223"/>
        <v>4</v>
      </c>
      <c r="R1673" s="10">
        <f t="shared" si="221"/>
        <v>1.8053864105012826E-12</v>
      </c>
      <c r="V1673" s="10">
        <f t="shared" si="222"/>
        <v>3.016657453882081E-8</v>
      </c>
    </row>
    <row r="1674" spans="11:22">
      <c r="K1674" s="66">
        <v>83.1</v>
      </c>
      <c r="L1674" s="10">
        <f t="shared" si="216"/>
        <v>3.3985533016617864E-5</v>
      </c>
      <c r="M1674" s="10">
        <f t="shared" si="217"/>
        <v>3.8562654372037897E-7</v>
      </c>
      <c r="N1674" s="10">
        <f t="shared" si="218"/>
        <v>0.74547743364468133</v>
      </c>
      <c r="O1674" s="10">
        <f t="shared" si="219"/>
        <v>1.0701857028070345</v>
      </c>
      <c r="P1674" s="10">
        <f t="shared" si="220"/>
        <v>1.7344798037394197E-2</v>
      </c>
      <c r="Q1674" s="66">
        <f t="shared" si="223"/>
        <v>2</v>
      </c>
      <c r="R1674" s="10">
        <f t="shared" si="221"/>
        <v>8.2545903352708166E-13</v>
      </c>
      <c r="V1674" s="10">
        <f t="shared" si="222"/>
        <v>1.431563271803188E-8</v>
      </c>
    </row>
    <row r="1675" spans="11:22">
      <c r="K1675" s="66">
        <v>83.15</v>
      </c>
      <c r="L1675" s="10">
        <f t="shared" si="216"/>
        <v>3.2739869920957846E-5</v>
      </c>
      <c r="M1675" s="10">
        <f t="shared" si="217"/>
        <v>3.6549889624547301E-7</v>
      </c>
      <c r="N1675" s="10">
        <f t="shared" si="218"/>
        <v>0.74817762214429773</v>
      </c>
      <c r="O1675" s="10">
        <f t="shared" si="219"/>
        <v>1.0740621726032766</v>
      </c>
      <c r="P1675" s="10">
        <f t="shared" si="220"/>
        <v>1.7302536829448257E-2</v>
      </c>
      <c r="Q1675" s="66">
        <f t="shared" si="223"/>
        <v>4</v>
      </c>
      <c r="R1675" s="10">
        <f t="shared" si="221"/>
        <v>1.5091705428582644E-12</v>
      </c>
      <c r="V1675" s="10">
        <f t="shared" si="222"/>
        <v>2.7168836854526301E-8</v>
      </c>
    </row>
    <row r="1676" spans="11:22">
      <c r="K1676" s="66">
        <v>83.2</v>
      </c>
      <c r="L1676" s="10">
        <f t="shared" ref="L1676:L1739" si="224">(B$7^K1676)*B$8^((B$5^25)*((B$5^K1676)-1))</f>
        <v>3.1535598199298089E-5</v>
      </c>
      <c r="M1676" s="10">
        <f t="shared" ref="M1676:M1739" si="225">(B$7^K1676)*B$8^((B$5^30)*((B$5^K1676)-1))</f>
        <v>3.4635454484854812E-7</v>
      </c>
      <c r="N1676" s="10">
        <f t="shared" si="218"/>
        <v>0.75088759228956659</v>
      </c>
      <c r="O1676" s="10">
        <f t="shared" si="219"/>
        <v>1.0779526852168742</v>
      </c>
      <c r="P1676" s="10">
        <f t="shared" si="220"/>
        <v>1.7260378592415759E-2</v>
      </c>
      <c r="Q1676" s="66">
        <f t="shared" si="223"/>
        <v>2</v>
      </c>
      <c r="R1676" s="10">
        <f t="shared" si="221"/>
        <v>6.8956951756745038E-13</v>
      </c>
      <c r="V1676" s="10">
        <f t="shared" si="222"/>
        <v>1.2888049831048916E-8</v>
      </c>
    </row>
    <row r="1677" spans="11:22">
      <c r="K1677" s="66">
        <v>83.25</v>
      </c>
      <c r="L1677" s="10">
        <f t="shared" si="224"/>
        <v>3.0371500222067375E-5</v>
      </c>
      <c r="M1677" s="10">
        <f t="shared" si="225"/>
        <v>3.2814899422209621E-7</v>
      </c>
      <c r="N1677" s="10">
        <f t="shared" ref="N1677:N1740" si="226">B$3+B$4*(B$5^(25+K1677))</f>
        <v>0.75360737951527079</v>
      </c>
      <c r="O1677" s="10">
        <f t="shared" ref="O1677:O1740" si="227">$B$3+$B$4*($B$5^(30+K1677))</f>
        <v>1.0818572915190434</v>
      </c>
      <c r="P1677" s="10">
        <f t="shared" ref="P1677:P1740" si="228">(1+B$6)^-K1677</f>
        <v>1.7218323075404444E-2</v>
      </c>
      <c r="Q1677" s="66">
        <f t="shared" si="223"/>
        <v>4</v>
      </c>
      <c r="R1677" s="10">
        <f t="shared" ref="R1677:R1740" si="229">L1677*M1677*(N1677+O1677)*P1677*Q1677</f>
        <v>1.2598945451316428E-12</v>
      </c>
      <c r="V1677" s="10">
        <f t="shared" si="222"/>
        <v>2.4449991211277537E-8</v>
      </c>
    </row>
    <row r="1678" spans="11:22">
      <c r="K1678" s="66">
        <v>83.3</v>
      </c>
      <c r="L1678" s="10">
        <f t="shared" si="224"/>
        <v>2.924638882700413E-5</v>
      </c>
      <c r="M1678" s="10">
        <f t="shared" si="225"/>
        <v>3.1083958697801286E-7</v>
      </c>
      <c r="N1678" s="10">
        <f t="shared" si="226"/>
        <v>0.75633701938455689</v>
      </c>
      <c r="O1678" s="10">
        <f t="shared" si="227"/>
        <v>1.0857760425652785</v>
      </c>
      <c r="P1678" s="10">
        <f t="shared" si="228"/>
        <v>1.7176370028133405E-2</v>
      </c>
      <c r="Q1678" s="66">
        <f t="shared" si="223"/>
        <v>2</v>
      </c>
      <c r="R1678" s="10">
        <f t="shared" si="229"/>
        <v>5.7528922247842808E-13</v>
      </c>
      <c r="V1678" s="10">
        <f t="shared" ref="V1678:V1741" si="230">(1-L1678)*M1678*O1678*P1678*Q1678</f>
        <v>1.1593785455632043E-8</v>
      </c>
    </row>
    <row r="1679" spans="11:22">
      <c r="K1679" s="66">
        <v>83.35</v>
      </c>
      <c r="L1679" s="10">
        <f t="shared" si="224"/>
        <v>2.815910672158057E-5</v>
      </c>
      <c r="M1679" s="10">
        <f t="shared" si="225"/>
        <v>2.9438543586521572E-7</v>
      </c>
      <c r="N1679" s="10">
        <f t="shared" si="226"/>
        <v>0.75907654758940413</v>
      </c>
      <c r="O1679" s="10">
        <f t="shared" si="227"/>
        <v>1.0897089895960312</v>
      </c>
      <c r="P1679" s="10">
        <f t="shared" si="228"/>
        <v>1.7134519200931491E-2</v>
      </c>
      <c r="Q1679" s="66">
        <f t="shared" ref="Q1679:Q1742" si="231">IF(Q1678=4,2,4)</f>
        <v>4</v>
      </c>
      <c r="R1679" s="10">
        <f t="shared" si="229"/>
        <v>1.0503974118818016E-12</v>
      </c>
      <c r="V1679" s="10">
        <f t="shared" si="230"/>
        <v>2.1986015930519827E-8</v>
      </c>
    </row>
    <row r="1680" spans="11:22">
      <c r="K1680" s="66">
        <v>83.4</v>
      </c>
      <c r="L1680" s="10">
        <f t="shared" si="224"/>
        <v>2.7108525892575135E-5</v>
      </c>
      <c r="M1680" s="10">
        <f t="shared" si="225"/>
        <v>2.7874735813735007E-7</v>
      </c>
      <c r="N1680" s="10">
        <f t="shared" si="226"/>
        <v>0.76182599995108746</v>
      </c>
      <c r="O1680" s="10">
        <f t="shared" si="227"/>
        <v>1.0936561840373766</v>
      </c>
      <c r="P1680" s="10">
        <f t="shared" si="228"/>
        <v>1.7092770344735927E-2</v>
      </c>
      <c r="Q1680" s="66">
        <f t="shared" si="231"/>
        <v>2</v>
      </c>
      <c r="R1680" s="10">
        <f t="shared" si="229"/>
        <v>4.7930935343397875E-13</v>
      </c>
      <c r="V1680" s="10">
        <f t="shared" si="230"/>
        <v>1.042130851345061E-8</v>
      </c>
    </row>
    <row r="1681" spans="11:22">
      <c r="K1681" s="66">
        <v>83.45</v>
      </c>
      <c r="L1681" s="10">
        <f t="shared" si="224"/>
        <v>2.6093547022830234E-5</v>
      </c>
      <c r="M1681" s="10">
        <f t="shared" si="225"/>
        <v>2.6388781201628481E-7</v>
      </c>
      <c r="N1681" s="10">
        <f t="shared" si="226"/>
        <v>0.76458541242064604</v>
      </c>
      <c r="O1681" s="10">
        <f t="shared" si="227"/>
        <v>1.0976176775016802</v>
      </c>
      <c r="P1681" s="10">
        <f t="shared" si="228"/>
        <v>1.705112321109082E-2</v>
      </c>
      <c r="Q1681" s="66">
        <f t="shared" si="231"/>
        <v>4</v>
      </c>
      <c r="R1681" s="10">
        <f t="shared" si="229"/>
        <v>8.7456577543564515E-13</v>
      </c>
      <c r="V1681" s="10">
        <f t="shared" si="230"/>
        <v>1.9754774502488106E-8</v>
      </c>
    </row>
    <row r="1682" spans="11:22">
      <c r="K1682" s="66">
        <v>83.5</v>
      </c>
      <c r="L1682" s="10">
        <f t="shared" si="224"/>
        <v>2.5113098915221061E-5</v>
      </c>
      <c r="M1682" s="10">
        <f t="shared" si="225"/>
        <v>2.4977083519788379E-7</v>
      </c>
      <c r="N1682" s="10">
        <f t="shared" si="226"/>
        <v>0.76735482107935538</v>
      </c>
      <c r="O1682" s="10">
        <f t="shared" si="227"/>
        <v>1.1015935217882775</v>
      </c>
      <c r="P1682" s="10">
        <f t="shared" si="228"/>
        <v>1.7009577552145591E-2</v>
      </c>
      <c r="Q1682" s="66">
        <f t="shared" si="231"/>
        <v>2</v>
      </c>
      <c r="R1682" s="10">
        <f t="shared" si="229"/>
        <v>3.9880707513748669E-13</v>
      </c>
      <c r="V1682" s="10">
        <f t="shared" si="230"/>
        <v>9.3599971401352002E-9</v>
      </c>
    </row>
    <row r="1683" spans="11:22">
      <c r="K1683" s="66">
        <v>83.55</v>
      </c>
      <c r="L1683" s="10">
        <f t="shared" si="224"/>
        <v>2.4166137923861522E-5</v>
      </c>
      <c r="M1683" s="10">
        <f t="shared" si="225"/>
        <v>2.3636198534743603E-7</v>
      </c>
      <c r="N1683" s="10">
        <f t="shared" si="226"/>
        <v>0.7701342621392</v>
      </c>
      <c r="O1683" s="10">
        <f t="shared" si="227"/>
        <v>1.1055837688841557</v>
      </c>
      <c r="P1683" s="10">
        <f t="shared" si="228"/>
        <v>1.6968133120653595E-2</v>
      </c>
      <c r="Q1683" s="66">
        <f t="shared" si="231"/>
        <v>4</v>
      </c>
      <c r="R1683" s="10">
        <f t="shared" si="229"/>
        <v>7.2718763621746626E-13</v>
      </c>
      <c r="V1683" s="10">
        <f t="shared" si="230"/>
        <v>1.7735884099884941E-8</v>
      </c>
    </row>
    <row r="1684" spans="11:22">
      <c r="K1684" s="66">
        <v>83.6</v>
      </c>
      <c r="L1684" s="10">
        <f t="shared" si="224"/>
        <v>2.3251647392566149E-5</v>
      </c>
      <c r="M1684" s="10">
        <f t="shared" si="225"/>
        <v>2.2362828253299674E-7</v>
      </c>
      <c r="N1684" s="10">
        <f t="shared" si="226"/>
        <v>0.77292377194334294</v>
      </c>
      <c r="O1684" s="10">
        <f t="shared" si="227"/>
        <v>1.1095884709646284</v>
      </c>
      <c r="P1684" s="10">
        <f t="shared" si="228"/>
        <v>1.692678966997057E-2</v>
      </c>
      <c r="Q1684" s="66">
        <f t="shared" si="231"/>
        <v>2</v>
      </c>
      <c r="R1684" s="10">
        <f t="shared" si="229"/>
        <v>3.3137737966919651E-13</v>
      </c>
      <c r="V1684" s="10">
        <f t="shared" si="230"/>
        <v>8.4000749148138699E-9</v>
      </c>
    </row>
    <row r="1685" spans="11:22">
      <c r="K1685" s="66">
        <v>83.65</v>
      </c>
      <c r="L1685" s="10">
        <f t="shared" si="224"/>
        <v>2.2368637100590169E-5</v>
      </c>
      <c r="M1685" s="10">
        <f t="shared" si="225"/>
        <v>2.1153815354580706E-7</v>
      </c>
      <c r="N1685" s="10">
        <f t="shared" si="226"/>
        <v>0.77572338696660414</v>
      </c>
      <c r="O1685" s="10">
        <f t="shared" si="227"/>
        <v>1.1136076803940145</v>
      </c>
      <c r="P1685" s="10">
        <f t="shared" si="228"/>
        <v>1.6885546954053237E-2</v>
      </c>
      <c r="Q1685" s="66">
        <f t="shared" si="231"/>
        <v>4</v>
      </c>
      <c r="R1685" s="10">
        <f t="shared" si="229"/>
        <v>6.0382546304979932E-13</v>
      </c>
      <c r="V1685" s="10">
        <f t="shared" si="230"/>
        <v>1.591059189200477E-8</v>
      </c>
    </row>
    <row r="1686" spans="11:22">
      <c r="K1686" s="66">
        <v>83.7</v>
      </c>
      <c r="L1686" s="10">
        <f t="shared" si="224"/>
        <v>2.1516142715658927E-5</v>
      </c>
      <c r="M1686" s="10">
        <f t="shared" si="225"/>
        <v>2.0006137805777773E-7</v>
      </c>
      <c r="N1686" s="10">
        <f t="shared" si="226"/>
        <v>0.77853314381593619</v>
      </c>
      <c r="O1686" s="10">
        <f t="shared" si="227"/>
        <v>1.1176414497263267</v>
      </c>
      <c r="P1686" s="10">
        <f t="shared" si="228"/>
        <v>1.6844404727457837E-2</v>
      </c>
      <c r="Q1686" s="66">
        <f t="shared" si="231"/>
        <v>2</v>
      </c>
      <c r="R1686" s="10">
        <f t="shared" si="229"/>
        <v>2.7497401753707003E-13</v>
      </c>
      <c r="V1686" s="10">
        <f t="shared" si="230"/>
        <v>7.5325509000571113E-9</v>
      </c>
    </row>
    <row r="1687" spans="11:22">
      <c r="K1687" s="66">
        <v>83.75</v>
      </c>
      <c r="L1687" s="10">
        <f t="shared" si="224"/>
        <v>2.0693225254297823E-5</v>
      </c>
      <c r="M1687" s="10">
        <f t="shared" si="225"/>
        <v>1.891690365669328E-7</v>
      </c>
      <c r="N1687" s="10">
        <f t="shared" si="226"/>
        <v>0.78135307923090325</v>
      </c>
      <c r="O1687" s="10">
        <f t="shared" si="227"/>
        <v>1.1216898317059634</v>
      </c>
      <c r="P1687" s="10">
        <f t="shared" si="228"/>
        <v>1.6803362745338609E-2</v>
      </c>
      <c r="Q1687" s="66">
        <f t="shared" si="231"/>
        <v>4</v>
      </c>
      <c r="R1687" s="10">
        <f t="shared" si="229"/>
        <v>5.0070625016264908E-13</v>
      </c>
      <c r="V1687" s="10">
        <f t="shared" si="230"/>
        <v>1.4261658802190704E-8</v>
      </c>
    </row>
    <row r="1688" spans="11:22">
      <c r="K1688" s="66">
        <v>83.8</v>
      </c>
      <c r="L1688" s="10">
        <f t="shared" si="224"/>
        <v>1.9898970549473808E-5</v>
      </c>
      <c r="M1688" s="10">
        <f t="shared" si="225"/>
        <v>1.7883346008261718E-7</v>
      </c>
      <c r="N1688" s="10">
        <f t="shared" si="226"/>
        <v>0.78418323008416113</v>
      </c>
      <c r="O1688" s="10">
        <f t="shared" si="227"/>
        <v>1.1257528792683924</v>
      </c>
      <c r="P1688" s="10">
        <f t="shared" si="228"/>
        <v>1.6762420763446386E-2</v>
      </c>
      <c r="Q1688" s="66">
        <f t="shared" si="231"/>
        <v>2</v>
      </c>
      <c r="R1688" s="10">
        <f t="shared" si="229"/>
        <v>2.2785835717152066E-13</v>
      </c>
      <c r="V1688" s="10">
        <f t="shared" si="230"/>
        <v>6.7491633158401296E-9</v>
      </c>
    </row>
    <row r="1689" spans="11:22">
      <c r="K1689" s="66">
        <v>83.85</v>
      </c>
      <c r="L1689" s="10">
        <f t="shared" si="224"/>
        <v>1.9132488725552425E-5</v>
      </c>
      <c r="M1689" s="10">
        <f t="shared" si="225"/>
        <v>1.6902818150313859E-7</v>
      </c>
      <c r="N1689" s="10">
        <f t="shared" si="226"/>
        <v>0.78702363338194115</v>
      </c>
      <c r="O1689" s="10">
        <f t="shared" si="227"/>
        <v>1.1298306455408398</v>
      </c>
      <c r="P1689" s="10">
        <f t="shared" si="228"/>
        <v>1.6721578538127082E-2</v>
      </c>
      <c r="Q1689" s="66">
        <f t="shared" si="231"/>
        <v>4</v>
      </c>
      <c r="R1689" s="10">
        <f t="shared" si="229"/>
        <v>4.1462639735026526E-13</v>
      </c>
      <c r="V1689" s="10">
        <f t="shared" si="230"/>
        <v>1.277325036025061E-8</v>
      </c>
    </row>
    <row r="1690" spans="11:22">
      <c r="K1690" s="66">
        <v>83.9</v>
      </c>
      <c r="L1690" s="10">
        <f t="shared" si="224"/>
        <v>1.8392913680570821E-5</v>
      </c>
      <c r="M1690" s="10">
        <f t="shared" si="225"/>
        <v>1.5972788863932721E-7</v>
      </c>
      <c r="N1690" s="10">
        <f t="shared" si="226"/>
        <v>0.78987432626453202</v>
      </c>
      <c r="O1690" s="10">
        <f t="shared" si="227"/>
        <v>1.1339231838429968</v>
      </c>
      <c r="P1690" s="10">
        <f t="shared" si="228"/>
        <v>1.6680835826320316E-2</v>
      </c>
      <c r="Q1690" s="66">
        <f t="shared" si="231"/>
        <v>2</v>
      </c>
      <c r="R1690" s="10">
        <f t="shared" si="229"/>
        <v>1.8855517035731401E-13</v>
      </c>
      <c r="V1690" s="10">
        <f t="shared" si="230"/>
        <v>6.0423266755867646E-9</v>
      </c>
    </row>
    <row r="1691" spans="11:22">
      <c r="K1691" s="66">
        <v>83.95</v>
      </c>
      <c r="L1691" s="10">
        <f t="shared" si="224"/>
        <v>1.7679402575826856E-5</v>
      </c>
      <c r="M1691" s="10">
        <f t="shared" si="225"/>
        <v>1.5090837883849068E-7</v>
      </c>
      <c r="N1691" s="10">
        <f t="shared" si="226"/>
        <v>0.7927353460067641</v>
      </c>
      <c r="O1691" s="10">
        <f t="shared" si="227"/>
        <v>1.1380305476877008</v>
      </c>
      <c r="P1691" s="10">
        <f t="shared" si="228"/>
        <v>1.6640192385557955E-2</v>
      </c>
      <c r="Q1691" s="66">
        <f t="shared" si="231"/>
        <v>4</v>
      </c>
      <c r="R1691" s="10">
        <f t="shared" si="229"/>
        <v>3.4286952975660645E-13</v>
      </c>
      <c r="V1691" s="10">
        <f t="shared" si="230"/>
        <v>1.1430834310561412E-8</v>
      </c>
    </row>
    <row r="1692" spans="11:22">
      <c r="K1692" s="66">
        <v>84</v>
      </c>
      <c r="L1692" s="10">
        <f t="shared" si="224"/>
        <v>1.699113533278104E-5</v>
      </c>
      <c r="M1692" s="10">
        <f t="shared" si="225"/>
        <v>1.4254651516402118E-7</v>
      </c>
      <c r="N1692" s="10">
        <f t="shared" si="226"/>
        <v>0.79560673001850202</v>
      </c>
      <c r="O1692" s="10">
        <f t="shared" si="227"/>
        <v>1.1421527907816533</v>
      </c>
      <c r="P1692" s="10">
        <f t="shared" si="228"/>
        <v>1.6599647973962663E-2</v>
      </c>
      <c r="Q1692" s="66">
        <f t="shared" si="231"/>
        <v>2</v>
      </c>
      <c r="R1692" s="10">
        <f t="shared" si="229"/>
        <v>1.5581445923412256E-13</v>
      </c>
      <c r="V1692" s="10">
        <f t="shared" si="230"/>
        <v>5.4050822169862465E-9</v>
      </c>
    </row>
    <row r="1693" spans="11:22">
      <c r="K1693" s="66">
        <v>84.05</v>
      </c>
      <c r="L1693" s="10">
        <f t="shared" si="224"/>
        <v>1.6327314137264132E-5</v>
      </c>
      <c r="M1693" s="10">
        <f t="shared" si="225"/>
        <v>1.346201840868519E-7</v>
      </c>
      <c r="N1693" s="10">
        <f t="shared" si="226"/>
        <v>0.79848851584512526</v>
      </c>
      <c r="O1693" s="10">
        <f t="shared" si="227"/>
        <v>1.1462899670261006</v>
      </c>
      <c r="P1693" s="10">
        <f t="shared" si="228"/>
        <v>1.6559202350246265E-2</v>
      </c>
      <c r="Q1693" s="66">
        <f t="shared" si="231"/>
        <v>4</v>
      </c>
      <c r="R1693" s="10">
        <f t="shared" si="229"/>
        <v>2.8313559695037196E-13</v>
      </c>
      <c r="V1693" s="10">
        <f t="shared" si="230"/>
        <v>1.0221084645940777E-8</v>
      </c>
    </row>
    <row r="1694" spans="11:22">
      <c r="K1694" s="66">
        <v>84.1</v>
      </c>
      <c r="L1694" s="10">
        <f t="shared" si="224"/>
        <v>1.5687162950976172E-5</v>
      </c>
      <c r="M1694" s="10">
        <f t="shared" si="225"/>
        <v>1.2710825464572572E-7</v>
      </c>
      <c r="N1694" s="10">
        <f t="shared" si="226"/>
        <v>0.80138074116803248</v>
      </c>
      <c r="O1694" s="10">
        <f t="shared" si="227"/>
        <v>1.1504421305175621</v>
      </c>
      <c r="P1694" s="10">
        <f t="shared" si="228"/>
        <v>1.6518855273708756E-2</v>
      </c>
      <c r="Q1694" s="66">
        <f t="shared" si="231"/>
        <v>2</v>
      </c>
      <c r="R1694" s="10">
        <f t="shared" si="229"/>
        <v>1.2857854586218059E-13</v>
      </c>
      <c r="V1694" s="10">
        <f t="shared" si="230"/>
        <v>4.8310514650099311E-9</v>
      </c>
    </row>
    <row r="1695" spans="11:22">
      <c r="K1695" s="66">
        <v>84.15</v>
      </c>
      <c r="L1695" s="10">
        <f t="shared" si="224"/>
        <v>1.5069927030274525E-5</v>
      </c>
      <c r="M1695" s="10">
        <f t="shared" si="225"/>
        <v>1.1999053903430198E-7</v>
      </c>
      <c r="N1695" s="10">
        <f t="shared" si="226"/>
        <v>0.80428344380511996</v>
      </c>
      <c r="O1695" s="10">
        <f t="shared" si="227"/>
        <v>1.1546093355485223</v>
      </c>
      <c r="P1695" s="10">
        <f t="shared" si="228"/>
        <v>1.6478606504236434E-2</v>
      </c>
      <c r="Q1695" s="66">
        <f t="shared" si="231"/>
        <v>4</v>
      </c>
      <c r="R1695" s="10">
        <f t="shared" si="229"/>
        <v>2.3347978985004729E-13</v>
      </c>
      <c r="V1695" s="10">
        <f t="shared" si="230"/>
        <v>9.1317917469805535E-9</v>
      </c>
    </row>
    <row r="1696" spans="11:22">
      <c r="K1696" s="66">
        <v>84.2</v>
      </c>
      <c r="L1696" s="10">
        <f t="shared" si="224"/>
        <v>1.447487245222441E-5</v>
      </c>
      <c r="M1696" s="10">
        <f t="shared" si="225"/>
        <v>1.1324775457373155E-7</v>
      </c>
      <c r="N1696" s="10">
        <f t="shared" si="226"/>
        <v>0.80719666171128412</v>
      </c>
      <c r="O1696" s="10">
        <f t="shared" si="227"/>
        <v>1.1587916366081397</v>
      </c>
      <c r="P1696" s="10">
        <f t="shared" si="228"/>
        <v>1.643845580230072E-2</v>
      </c>
      <c r="Q1696" s="66">
        <f t="shared" si="231"/>
        <v>2</v>
      </c>
      <c r="R1696" s="10">
        <f t="shared" si="229"/>
        <v>1.0595373917864251E-13</v>
      </c>
      <c r="V1696" s="10">
        <f t="shared" si="230"/>
        <v>4.3143927694125907E-9</v>
      </c>
    </row>
    <row r="1697" spans="11:22">
      <c r="K1697" s="66">
        <v>84.25</v>
      </c>
      <c r="L1697" s="10">
        <f t="shared" si="224"/>
        <v>1.3901285647900208E-5</v>
      </c>
      <c r="M1697" s="10">
        <f t="shared" si="225"/>
        <v>1.0686148703038405E-7</v>
      </c>
      <c r="N1697" s="10">
        <f t="shared" si="226"/>
        <v>0.81012043297891601</v>
      </c>
      <c r="O1697" s="10">
        <f t="shared" si="227"/>
        <v>1.1629890883829719</v>
      </c>
      <c r="P1697" s="10">
        <f t="shared" si="228"/>
        <v>1.6398402928956626E-2</v>
      </c>
      <c r="Q1697" s="66">
        <f t="shared" si="231"/>
        <v>4</v>
      </c>
      <c r="R1697" s="10">
        <f t="shared" si="229"/>
        <v>1.9225999104239413E-13</v>
      </c>
      <c r="V1697" s="10">
        <f t="shared" si="230"/>
        <v>8.1517783163336139E-9</v>
      </c>
    </row>
    <row r="1698" spans="11:22">
      <c r="K1698" s="66">
        <v>84.3</v>
      </c>
      <c r="L1698" s="10">
        <f t="shared" si="224"/>
        <v>1.3348472942915519E-5</v>
      </c>
      <c r="M1698" s="10">
        <f t="shared" si="225"/>
        <v>1.0081415523918573E-7</v>
      </c>
      <c r="N1698" s="10">
        <f t="shared" si="226"/>
        <v>0.81305479583839857</v>
      </c>
      <c r="O1698" s="10">
        <f t="shared" si="227"/>
        <v>1.1672017457576744</v>
      </c>
      <c r="P1698" s="10">
        <f t="shared" si="228"/>
        <v>1.6358447645841333E-2</v>
      </c>
      <c r="Q1698" s="66">
        <f t="shared" si="231"/>
        <v>2</v>
      </c>
      <c r="R1698" s="10">
        <f t="shared" si="229"/>
        <v>8.7185977595791418E-14</v>
      </c>
      <c r="V1698" s="10">
        <f t="shared" si="230"/>
        <v>3.8497606639451802E-9</v>
      </c>
    </row>
    <row r="1699" spans="11:22">
      <c r="K1699" s="66">
        <v>84.35</v>
      </c>
      <c r="L1699" s="10">
        <f t="shared" si="224"/>
        <v>1.2815760105159461E-5</v>
      </c>
      <c r="M1699" s="10">
        <f t="shared" si="225"/>
        <v>9.5088976993881187E-8</v>
      </c>
      <c r="N1699" s="10">
        <f t="shared" si="226"/>
        <v>0.81599978865860945</v>
      </c>
      <c r="O1699" s="10">
        <f t="shared" si="227"/>
        <v>1.1714296638157338</v>
      </c>
      <c r="P1699" s="10">
        <f t="shared" si="228"/>
        <v>1.6318589715172846E-2</v>
      </c>
      <c r="Q1699" s="66">
        <f t="shared" si="231"/>
        <v>4</v>
      </c>
      <c r="R1699" s="10">
        <f t="shared" si="229"/>
        <v>1.5809163127441056E-13</v>
      </c>
      <c r="V1699" s="10">
        <f t="shared" si="230"/>
        <v>7.2708208073829983E-9</v>
      </c>
    </row>
    <row r="1700" spans="11:22">
      <c r="K1700" s="66">
        <v>84.4</v>
      </c>
      <c r="L1700" s="10">
        <f t="shared" si="224"/>
        <v>1.2302491899711791E-5</v>
      </c>
      <c r="M1700" s="10">
        <f t="shared" si="225"/>
        <v>8.9669936166343706E-8</v>
      </c>
      <c r="N1700" s="10">
        <f t="shared" si="226"/>
        <v>0.81895544994741909</v>
      </c>
      <c r="O1700" s="10">
        <f t="shared" si="227"/>
        <v>1.1756728978401798</v>
      </c>
      <c r="P1700" s="10">
        <f t="shared" si="228"/>
        <v>1.6278828899748504E-2</v>
      </c>
      <c r="Q1700" s="66">
        <f t="shared" si="231"/>
        <v>2</v>
      </c>
      <c r="R1700" s="10">
        <f t="shared" si="229"/>
        <v>7.1639919551274523E-14</v>
      </c>
      <c r="V1700" s="10">
        <f t="shared" si="230"/>
        <v>3.432267899499425E-9</v>
      </c>
    </row>
    <row r="1701" spans="11:22">
      <c r="K1701" s="66">
        <v>84.45</v>
      </c>
      <c r="L1701" s="10">
        <f t="shared" si="224"/>
        <v>1.1808031650910121E-5</v>
      </c>
      <c r="M1701" s="10">
        <f t="shared" si="225"/>
        <v>8.4541751017943784E-8</v>
      </c>
      <c r="N1701" s="10">
        <f t="shared" si="226"/>
        <v>0.8219218183521938</v>
      </c>
      <c r="O1701" s="10">
        <f t="shared" si="227"/>
        <v>1.1799315033143061</v>
      </c>
      <c r="P1701" s="10">
        <f t="shared" si="228"/>
        <v>1.6239164962943635E-2</v>
      </c>
      <c r="Q1701" s="66">
        <f t="shared" si="231"/>
        <v>4</v>
      </c>
      <c r="R1701" s="10">
        <f t="shared" si="229"/>
        <v>1.2980896437445807E-13</v>
      </c>
      <c r="V1701" s="10">
        <f t="shared" si="230"/>
        <v>6.47957605679148E-9</v>
      </c>
    </row>
    <row r="1702" spans="11:22">
      <c r="K1702" s="66">
        <v>84.5</v>
      </c>
      <c r="L1702" s="10">
        <f t="shared" si="224"/>
        <v>1.1331760811538661E-5</v>
      </c>
      <c r="M1702" s="10">
        <f t="shared" si="225"/>
        <v>7.9689843666763538E-8</v>
      </c>
      <c r="N1702" s="10">
        <f t="shared" si="226"/>
        <v>0.824898932660307</v>
      </c>
      <c r="O1702" s="10">
        <f t="shared" si="227"/>
        <v>1.1842055359223984</v>
      </c>
      <c r="P1702" s="10">
        <f t="shared" si="228"/>
        <v>1.6199597668710097E-2</v>
      </c>
      <c r="Q1702" s="66">
        <f t="shared" si="231"/>
        <v>2</v>
      </c>
      <c r="R1702" s="10">
        <f t="shared" si="229"/>
        <v>5.8781019963025644E-14</v>
      </c>
      <c r="V1702" s="10">
        <f t="shared" si="230"/>
        <v>3.0574500084621578E-9</v>
      </c>
    </row>
    <row r="1703" spans="11:22">
      <c r="K1703" s="66">
        <v>84.55</v>
      </c>
      <c r="L1703" s="10">
        <f t="shared" si="224"/>
        <v>1.0873078539105338E-5</v>
      </c>
      <c r="M1703" s="10">
        <f t="shared" si="225"/>
        <v>7.5100310675284659E-8</v>
      </c>
      <c r="N1703" s="10">
        <f t="shared" si="226"/>
        <v>0.82788683179963996</v>
      </c>
      <c r="O1703" s="10">
        <f t="shared" si="227"/>
        <v>1.1884950515504673</v>
      </c>
      <c r="P1703" s="10">
        <f t="shared" si="228"/>
        <v>1.616012678157485E-2</v>
      </c>
      <c r="Q1703" s="66">
        <f t="shared" si="231"/>
        <v>4</v>
      </c>
      <c r="R1703" s="10">
        <f t="shared" si="229"/>
        <v>1.0643189638282167E-13</v>
      </c>
      <c r="V1703" s="10">
        <f t="shared" si="230"/>
        <v>5.7695128405403252E-9</v>
      </c>
    </row>
    <row r="1704" spans="11:22">
      <c r="K1704" s="66">
        <v>84.6</v>
      </c>
      <c r="L1704" s="10">
        <f t="shared" si="224"/>
        <v>1.0431401279171742E-5</v>
      </c>
      <c r="M1704" s="10">
        <f t="shared" si="225"/>
        <v>7.0759894723971427E-8</v>
      </c>
      <c r="N1704" s="10">
        <f t="shared" si="226"/>
        <v>0.8308855548390931</v>
      </c>
      <c r="O1704" s="10">
        <f t="shared" si="227"/>
        <v>1.1928001062869755</v>
      </c>
      <c r="P1704" s="10">
        <f t="shared" si="228"/>
        <v>1.6120752066638634E-2</v>
      </c>
      <c r="Q1704" s="66">
        <f t="shared" si="231"/>
        <v>2</v>
      </c>
      <c r="R1704" s="10">
        <f t="shared" si="229"/>
        <v>4.8160188630659657E-14</v>
      </c>
      <c r="V1704" s="10">
        <f t="shared" si="230"/>
        <v>2.721232262622559E-9</v>
      </c>
    </row>
    <row r="1705" spans="11:22">
      <c r="K1705" s="66">
        <v>84.65</v>
      </c>
      <c r="L1705" s="10">
        <f t="shared" si="224"/>
        <v>1.0006162355700849E-5</v>
      </c>
      <c r="M1705" s="10">
        <f t="shared" si="225"/>
        <v>6.6655957337000662E-8</v>
      </c>
      <c r="N1705" s="10">
        <f t="shared" si="226"/>
        <v>0.83389514098909945</v>
      </c>
      <c r="O1705" s="10">
        <f t="shared" si="227"/>
        <v>1.1971207564235635</v>
      </c>
      <c r="P1705" s="10">
        <f t="shared" si="228"/>
        <v>1.6081473289574509E-2</v>
      </c>
      <c r="Q1705" s="66">
        <f t="shared" si="231"/>
        <v>4</v>
      </c>
      <c r="R1705" s="10">
        <f t="shared" si="229"/>
        <v>8.7137613898755025E-14</v>
      </c>
      <c r="V1705" s="10">
        <f t="shared" si="230"/>
        <v>5.1328480832326436E-9</v>
      </c>
    </row>
    <row r="1706" spans="11:22">
      <c r="K1706" s="66">
        <v>84.7</v>
      </c>
      <c r="L1706" s="10">
        <f t="shared" si="224"/>
        <v>9.5968115683805387E-6</v>
      </c>
      <c r="M1706" s="10">
        <f t="shared" si="225"/>
        <v>6.2776452627138235E-8</v>
      </c>
      <c r="N1706" s="10">
        <f t="shared" si="226"/>
        <v>0.83691562960213139</v>
      </c>
      <c r="O1706" s="10">
        <f t="shared" si="227"/>
        <v>1.2014570584558013</v>
      </c>
      <c r="P1706" s="10">
        <f t="shared" si="228"/>
        <v>1.6042290216626513E-2</v>
      </c>
      <c r="Q1706" s="66">
        <f t="shared" si="231"/>
        <v>2</v>
      </c>
      <c r="R1706" s="10">
        <f t="shared" si="229"/>
        <v>3.9400677949886178E-14</v>
      </c>
      <c r="V1706" s="10">
        <f t="shared" si="230"/>
        <v>2.4198988920594842E-9</v>
      </c>
    </row>
    <row r="1707" spans="11:22">
      <c r="K1707" s="66">
        <v>84.75</v>
      </c>
      <c r="L1707" s="10">
        <f t="shared" si="224"/>
        <v>9.2028147968828736E-6</v>
      </c>
      <c r="M1707" s="10">
        <f t="shared" si="225"/>
        <v>5.9109902027579108E-8</v>
      </c>
      <c r="N1707" s="10">
        <f t="shared" si="226"/>
        <v>0.83994706017322107</v>
      </c>
      <c r="O1707" s="10">
        <f t="shared" si="227"/>
        <v>1.2058090690839105</v>
      </c>
      <c r="P1707" s="10">
        <f t="shared" si="228"/>
        <v>1.6003202614608213E-2</v>
      </c>
      <c r="Q1707" s="66">
        <f t="shared" si="231"/>
        <v>4</v>
      </c>
      <c r="R1707" s="10">
        <f t="shared" si="229"/>
        <v>7.1236353080614126E-14</v>
      </c>
      <c r="V1707" s="10">
        <f t="shared" si="230"/>
        <v>4.562487460591001E-9</v>
      </c>
    </row>
    <row r="1708" spans="11:22">
      <c r="K1708" s="66">
        <v>84.8</v>
      </c>
      <c r="L1708" s="10">
        <f t="shared" si="224"/>
        <v>8.8236536120158901E-6</v>
      </c>
      <c r="M1708" s="10">
        <f t="shared" si="225"/>
        <v>5.5645369979335207E-8</v>
      </c>
      <c r="N1708" s="10">
        <f t="shared" si="226"/>
        <v>0.84298947234047317</v>
      </c>
      <c r="O1708" s="10">
        <f t="shared" si="227"/>
        <v>1.2101768452135198</v>
      </c>
      <c r="P1708" s="10">
        <f t="shared" si="228"/>
        <v>1.5964210250901317E-2</v>
      </c>
      <c r="Q1708" s="66">
        <f t="shared" si="231"/>
        <v>2</v>
      </c>
      <c r="R1708" s="10">
        <f t="shared" si="229"/>
        <v>3.2186892581890705E-14</v>
      </c>
      <c r="V1708" s="10">
        <f t="shared" si="230"/>
        <v>2.1500644375081472E-9</v>
      </c>
    </row>
    <row r="1709" spans="11:22">
      <c r="K1709" s="66">
        <v>84.85</v>
      </c>
      <c r="L1709" s="10">
        <f t="shared" si="224"/>
        <v>8.4588248937231245E-6</v>
      </c>
      <c r="M1709" s="10">
        <f t="shared" si="225"/>
        <v>5.2372440543521926E-8</v>
      </c>
      <c r="N1709" s="10">
        <f t="shared" si="226"/>
        <v>0.84604290588558673</v>
      </c>
      <c r="O1709" s="10">
        <f t="shared" si="227"/>
        <v>1.2145604439564031</v>
      </c>
      <c r="P1709" s="10">
        <f t="shared" si="228"/>
        <v>1.5925312893454363E-2</v>
      </c>
      <c r="Q1709" s="66">
        <f t="shared" si="231"/>
        <v>4</v>
      </c>
      <c r="R1709" s="10">
        <f t="shared" si="229"/>
        <v>5.8150735732014134E-14</v>
      </c>
      <c r="V1709" s="10">
        <f t="shared" si="230"/>
        <v>4.0519701451985831E-9</v>
      </c>
    </row>
    <row r="1710" spans="11:22">
      <c r="K1710" s="66">
        <v>84.9</v>
      </c>
      <c r="L1710" s="10">
        <f t="shared" si="224"/>
        <v>8.1078404558819955E-6</v>
      </c>
      <c r="M1710" s="10">
        <f t="shared" si="225"/>
        <v>4.9281194908628666E-8</v>
      </c>
      <c r="N1710" s="10">
        <f t="shared" si="226"/>
        <v>0.84910740073437196</v>
      </c>
      <c r="O1710" s="10">
        <f t="shared" si="227"/>
        <v>1.2189599226312215</v>
      </c>
      <c r="P1710" s="10">
        <f t="shared" si="228"/>
        <v>1.5886510310781251E-2</v>
      </c>
      <c r="Q1710" s="66">
        <f t="shared" si="231"/>
        <v>2</v>
      </c>
      <c r="R1710" s="10">
        <f t="shared" si="229"/>
        <v>2.6254853594965896E-14</v>
      </c>
      <c r="V1710" s="10">
        <f t="shared" si="230"/>
        <v>1.9086471137505417E-9</v>
      </c>
    </row>
    <row r="1711" spans="11:22">
      <c r="K1711" s="66">
        <v>84.95</v>
      </c>
      <c r="L1711" s="10">
        <f t="shared" si="224"/>
        <v>7.7702266778540047E-6</v>
      </c>
      <c r="M1711" s="10">
        <f t="shared" si="225"/>
        <v>4.6362189763637868E-8</v>
      </c>
      <c r="N1711" s="10">
        <f t="shared" si="226"/>
        <v>0.85218299695727073</v>
      </c>
      <c r="O1711" s="10">
        <f t="shared" si="227"/>
        <v>1.2233753387642783</v>
      </c>
      <c r="P1711" s="10">
        <f t="shared" si="228"/>
        <v>1.5847802271959956E-2</v>
      </c>
      <c r="Q1711" s="66">
        <f t="shared" si="231"/>
        <v>4</v>
      </c>
      <c r="R1711" s="10">
        <f t="shared" si="229"/>
        <v>4.7398173706044955E-14</v>
      </c>
      <c r="V1711" s="10">
        <f t="shared" si="230"/>
        <v>3.59541745560077E-9</v>
      </c>
    </row>
    <row r="1712" spans="11:22">
      <c r="K1712" s="66">
        <v>85</v>
      </c>
      <c r="L1712" s="10">
        <f t="shared" si="224"/>
        <v>7.4455241427351617E-6</v>
      </c>
      <c r="M1712" s="10">
        <f t="shared" si="225"/>
        <v>4.3606436508568389E-8</v>
      </c>
      <c r="N1712" s="10">
        <f t="shared" si="226"/>
        <v>0.85526973476988954</v>
      </c>
      <c r="O1712" s="10">
        <f t="shared" si="227"/>
        <v>1.2278067500902776</v>
      </c>
      <c r="P1712" s="10">
        <f t="shared" si="228"/>
        <v>1.580918854663111E-2</v>
      </c>
      <c r="Q1712" s="66">
        <f t="shared" si="231"/>
        <v>2</v>
      </c>
      <c r="R1712" s="10">
        <f t="shared" si="229"/>
        <v>2.1384084658864658E-14</v>
      </c>
      <c r="V1712" s="10">
        <f t="shared" si="230"/>
        <v>1.6928440665864701E-9</v>
      </c>
    </row>
    <row r="1713" spans="11:22">
      <c r="K1713" s="66">
        <v>85.05</v>
      </c>
      <c r="L1713" s="10">
        <f t="shared" si="224"/>
        <v>7.1332872822552849E-6</v>
      </c>
      <c r="M1713" s="10">
        <f t="shared" si="225"/>
        <v>4.1005381274760575E-8</v>
      </c>
      <c r="N1713" s="10">
        <f t="shared" si="226"/>
        <v>0.85836765453350961</v>
      </c>
      <c r="O1713" s="10">
        <f t="shared" si="227"/>
        <v>1.2322542145530582</v>
      </c>
      <c r="P1713" s="10">
        <f t="shared" si="228"/>
        <v>1.577066890499644E-2</v>
      </c>
      <c r="Q1713" s="66">
        <f t="shared" si="231"/>
        <v>4</v>
      </c>
      <c r="R1713" s="10">
        <f t="shared" si="229"/>
        <v>3.8575908578198866E-14</v>
      </c>
      <c r="V1713" s="10">
        <f t="shared" si="230"/>
        <v>3.1874851788446588E-9</v>
      </c>
    </row>
    <row r="1714" spans="11:22">
      <c r="K1714" s="66">
        <v>85.1</v>
      </c>
      <c r="L1714" s="10">
        <f t="shared" si="224"/>
        <v>6.8330840282696444E-6</v>
      </c>
      <c r="M1714" s="10">
        <f t="shared" si="225"/>
        <v>3.8550885727904968E-8</v>
      </c>
      <c r="N1714" s="10">
        <f t="shared" si="226"/>
        <v>0.86147679675563416</v>
      </c>
      <c r="O1714" s="10">
        <f t="shared" si="227"/>
        <v>1.2367177903063791</v>
      </c>
      <c r="P1714" s="10">
        <f t="shared" si="228"/>
        <v>1.5732243117817863E-2</v>
      </c>
      <c r="Q1714" s="66">
        <f t="shared" si="231"/>
        <v>2</v>
      </c>
      <c r="R1714" s="10">
        <f t="shared" si="229"/>
        <v>1.7390718654077815E-14</v>
      </c>
      <c r="V1714" s="10">
        <f t="shared" si="230"/>
        <v>1.5001084108956956E-9</v>
      </c>
    </row>
    <row r="1715" spans="11:22">
      <c r="K1715" s="66">
        <v>85.15</v>
      </c>
      <c r="L1715" s="10">
        <f t="shared" si="224"/>
        <v>6.5444954707924862E-6</v>
      </c>
      <c r="M1715" s="10">
        <f t="shared" si="225"/>
        <v>3.6235208627583863E-8</v>
      </c>
      <c r="N1715" s="10">
        <f t="shared" si="226"/>
        <v>0.86459720209050395</v>
      </c>
      <c r="O1715" s="10">
        <f t="shared" si="227"/>
        <v>1.2411975357146614</v>
      </c>
      <c r="P1715" s="10">
        <f t="shared" si="228"/>
        <v>1.569391095641565E-2</v>
      </c>
      <c r="Q1715" s="66">
        <f t="shared" si="231"/>
        <v>4</v>
      </c>
      <c r="R1715" s="10">
        <f t="shared" si="229"/>
        <v>3.1348311186596579E-14</v>
      </c>
      <c r="V1715" s="10">
        <f t="shared" si="230"/>
        <v>2.8233193463923476E-9</v>
      </c>
    </row>
    <row r="1716" spans="11:22">
      <c r="K1716" s="66">
        <v>85.2</v>
      </c>
      <c r="L1716" s="10">
        <f t="shared" si="224"/>
        <v>6.2671155225104567E-6</v>
      </c>
      <c r="M1716" s="10">
        <f t="shared" si="225"/>
        <v>3.4050988117706757E-8</v>
      </c>
      <c r="N1716" s="10">
        <f t="shared" si="226"/>
        <v>0.86772891133963048</v>
      </c>
      <c r="O1716" s="10">
        <f t="shared" si="227"/>
        <v>1.24569350935375</v>
      </c>
      <c r="P1716" s="10">
        <f t="shared" si="228"/>
        <v>1.565567219266735E-2</v>
      </c>
      <c r="Q1716" s="66">
        <f t="shared" si="231"/>
        <v>2</v>
      </c>
      <c r="R1716" s="10">
        <f t="shared" si="229"/>
        <v>1.4121650037794508E-14</v>
      </c>
      <c r="V1716" s="10">
        <f t="shared" si="230"/>
        <v>1.3281279421959211E-9</v>
      </c>
    </row>
    <row r="1717" spans="11:22">
      <c r="K1717" s="66">
        <v>85.25</v>
      </c>
      <c r="L1717" s="10">
        <f t="shared" si="224"/>
        <v>6.0005505897202228E-6</v>
      </c>
      <c r="M1717" s="10">
        <f t="shared" si="225"/>
        <v>3.1991224722968042E-8</v>
      </c>
      <c r="N1717" s="10">
        <f t="shared" si="226"/>
        <v>0.87087196545233481</v>
      </c>
      <c r="O1717" s="10">
        <f t="shared" si="227"/>
        <v>1.2502057700116946</v>
      </c>
      <c r="P1717" s="10">
        <f t="shared" si="228"/>
        <v>1.5617526599006309E-2</v>
      </c>
      <c r="Q1717" s="66">
        <f t="shared" si="231"/>
        <v>4</v>
      </c>
      <c r="R1717" s="10">
        <f t="shared" si="229"/>
        <v>2.5436116123793571E-14</v>
      </c>
      <c r="V1717" s="10">
        <f t="shared" si="230"/>
        <v>2.4985152530547523E-9</v>
      </c>
    </row>
    <row r="1718" spans="11:22">
      <c r="K1718" s="66">
        <v>85.3</v>
      </c>
      <c r="L1718" s="10">
        <f t="shared" si="224"/>
        <v>5.7444192496304325E-6</v>
      </c>
      <c r="M1718" s="10">
        <f t="shared" si="225"/>
        <v>3.0049265027100708E-8</v>
      </c>
      <c r="N1718" s="10">
        <f t="shared" si="226"/>
        <v>0.87402640552627853</v>
      </c>
      <c r="O1718" s="10">
        <f t="shared" si="227"/>
        <v>1.2547343766895001</v>
      </c>
      <c r="P1718" s="10">
        <f t="shared" si="228"/>
        <v>1.5579473948420314E-2</v>
      </c>
      <c r="Q1718" s="66">
        <f t="shared" si="231"/>
        <v>2</v>
      </c>
      <c r="R1718" s="10">
        <f t="shared" si="229"/>
        <v>1.1449581916701324E-14</v>
      </c>
      <c r="V1718" s="10">
        <f t="shared" si="230"/>
        <v>1.1748054189193204E-9</v>
      </c>
    </row>
    <row r="1719" spans="11:22">
      <c r="K1719" s="66">
        <v>85.35</v>
      </c>
      <c r="L1719" s="10">
        <f t="shared" si="224"/>
        <v>5.4983519339671115E-6</v>
      </c>
      <c r="M1719" s="10">
        <f t="shared" si="225"/>
        <v>2.8218786009365829E-8</v>
      </c>
      <c r="N1719" s="10">
        <f t="shared" si="226"/>
        <v>0.87719227280800516</v>
      </c>
      <c r="O1719" s="10">
        <f t="shared" si="227"/>
        <v>1.2592793886019136</v>
      </c>
      <c r="P1719" s="10">
        <f t="shared" si="228"/>
        <v>1.5541514014450327E-2</v>
      </c>
      <c r="Q1719" s="66">
        <f t="shared" si="231"/>
        <v>4</v>
      </c>
      <c r="R1719" s="10">
        <f t="shared" si="229"/>
        <v>2.0607310405760015E-14</v>
      </c>
      <c r="V1719" s="10">
        <f t="shared" si="230"/>
        <v>2.2090795181414591E-9</v>
      </c>
    </row>
    <row r="1720" spans="11:22">
      <c r="K1720" s="66">
        <v>85.4</v>
      </c>
      <c r="L1720" s="10">
        <f t="shared" si="224"/>
        <v>5.2619906188196029E-6</v>
      </c>
      <c r="M1720" s="10">
        <f t="shared" si="225"/>
        <v>2.6493780016360099E-8</v>
      </c>
      <c r="N1720" s="10">
        <f t="shared" si="226"/>
        <v>0.88036960869347547</v>
      </c>
      <c r="O1720" s="10">
        <f t="shared" si="227"/>
        <v>1.2638408651781934</v>
      </c>
      <c r="P1720" s="10">
        <f t="shared" si="228"/>
        <v>1.5503646571189047E-2</v>
      </c>
      <c r="Q1720" s="66">
        <f t="shared" si="231"/>
        <v>2</v>
      </c>
      <c r="R1720" s="10">
        <f t="shared" si="229"/>
        <v>9.2688374013721926E-15</v>
      </c>
      <c r="V1720" s="10">
        <f t="shared" si="230"/>
        <v>1.0382403173591633E-9</v>
      </c>
    </row>
    <row r="1721" spans="11:22">
      <c r="K1721" s="66">
        <v>85.45</v>
      </c>
      <c r="L1721" s="10">
        <f t="shared" si="224"/>
        <v>5.0349885206644498E-6</v>
      </c>
      <c r="M1721" s="10">
        <f t="shared" si="225"/>
        <v>2.4868540346874122E-8</v>
      </c>
      <c r="N1721" s="10">
        <f t="shared" si="226"/>
        <v>0.88355845472860828</v>
      </c>
      <c r="O1721" s="10">
        <f t="shared" si="227"/>
        <v>1.268418866062879</v>
      </c>
      <c r="P1721" s="10">
        <f t="shared" si="228"/>
        <v>1.5465871393279661E-2</v>
      </c>
      <c r="Q1721" s="66">
        <f t="shared" si="231"/>
        <v>4</v>
      </c>
      <c r="R1721" s="10">
        <f t="shared" si="229"/>
        <v>1.6669434074621115E-14</v>
      </c>
      <c r="V1721" s="10">
        <f t="shared" si="230"/>
        <v>1.9513949973971105E-9</v>
      </c>
    </row>
    <row r="1722" spans="11:22">
      <c r="K1722" s="66">
        <v>85.5</v>
      </c>
      <c r="L1722" s="10">
        <f t="shared" si="224"/>
        <v>4.8170097985027437E-6</v>
      </c>
      <c r="M1722" s="10">
        <f t="shared" si="225"/>
        <v>2.3337647428152897E-8</v>
      </c>
      <c r="N1722" s="10">
        <f t="shared" si="226"/>
        <v>0.88675885260983001</v>
      </c>
      <c r="O1722" s="10">
        <f t="shared" si="227"/>
        <v>1.2730134511165783</v>
      </c>
      <c r="P1722" s="10">
        <f t="shared" si="228"/>
        <v>1.5428188255914375E-2</v>
      </c>
      <c r="Q1722" s="66">
        <f t="shared" si="231"/>
        <v>2</v>
      </c>
      <c r="R1722" s="10">
        <f t="shared" si="229"/>
        <v>7.4918228054725646E-15</v>
      </c>
      <c r="V1722" s="10">
        <f t="shared" si="230"/>
        <v>9.1671196587814052E-10</v>
      </c>
    </row>
    <row r="1723" spans="11:22">
      <c r="K1723" s="66">
        <v>85.55</v>
      </c>
      <c r="L1723" s="10">
        <f t="shared" si="224"/>
        <v>4.6077292620451261E-6</v>
      </c>
      <c r="M1723" s="10">
        <f t="shared" si="225"/>
        <v>2.1895955562529088E-8</v>
      </c>
      <c r="N1723" s="10">
        <f t="shared" si="226"/>
        <v>0.88997084418461292</v>
      </c>
      <c r="O1723" s="10">
        <f t="shared" si="227"/>
        <v>1.2776246804167524</v>
      </c>
      <c r="P1723" s="10">
        <f t="shared" si="228"/>
        <v>1.5390596934833188E-2</v>
      </c>
      <c r="Q1723" s="66">
        <f t="shared" si="231"/>
        <v>4</v>
      </c>
      <c r="R1723" s="10">
        <f t="shared" si="229"/>
        <v>1.3463084069761397E-14</v>
      </c>
      <c r="V1723" s="10">
        <f t="shared" si="230"/>
        <v>1.7221883634630009E-9</v>
      </c>
    </row>
    <row r="1724" spans="11:22">
      <c r="K1724" s="66">
        <v>85.6</v>
      </c>
      <c r="L1724" s="10">
        <f t="shared" si="224"/>
        <v>4.4068320858782903E-6</v>
      </c>
      <c r="M1724" s="10">
        <f t="shared" si="225"/>
        <v>2.0538580224000174E-8</v>
      </c>
      <c r="N1724" s="10">
        <f t="shared" si="226"/>
        <v>0.89319447145202502</v>
      </c>
      <c r="O1724" s="10">
        <f t="shared" si="227"/>
        <v>1.2822526142584987</v>
      </c>
      <c r="P1724" s="10">
        <f t="shared" si="228"/>
        <v>1.5353097206322507E-2</v>
      </c>
      <c r="Q1724" s="66">
        <f t="shared" si="231"/>
        <v>2</v>
      </c>
      <c r="R1724" s="10">
        <f t="shared" si="229"/>
        <v>6.0460459161170575E-15</v>
      </c>
      <c r="V1724" s="10">
        <f t="shared" si="230"/>
        <v>8.0866396950133342E-10</v>
      </c>
    </row>
    <row r="1725" spans="11:22">
      <c r="K1725" s="66">
        <v>85.65</v>
      </c>
      <c r="L1725" s="10">
        <f t="shared" si="224"/>
        <v>4.2140135295457239E-6</v>
      </c>
      <c r="M1725" s="10">
        <f t="shared" si="225"/>
        <v>1.9260885884921634E-8</v>
      </c>
      <c r="N1725" s="10">
        <f t="shared" si="226"/>
        <v>0.89642977656328271</v>
      </c>
      <c r="O1725" s="10">
        <f t="shared" si="227"/>
        <v>1.2868973131553307</v>
      </c>
      <c r="P1725" s="10">
        <f t="shared" si="228"/>
        <v>1.5315688847213814E-2</v>
      </c>
      <c r="Q1725" s="66">
        <f t="shared" si="231"/>
        <v>4</v>
      </c>
      <c r="R1725" s="10">
        <f t="shared" si="229"/>
        <v>1.0856441915379884E-14</v>
      </c>
      <c r="V1725" s="10">
        <f t="shared" si="230"/>
        <v>1.5185001815650556E-9</v>
      </c>
    </row>
    <row r="1726" spans="11:22">
      <c r="K1726" s="66">
        <v>85.7</v>
      </c>
      <c r="L1726" s="10">
        <f t="shared" si="224"/>
        <v>4.0289786634742589E-6</v>
      </c>
      <c r="M1726" s="10">
        <f t="shared" si="225"/>
        <v>1.8058474353560192E-8</v>
      </c>
      <c r="N1726" s="10">
        <f t="shared" si="226"/>
        <v>0.89967680182229126</v>
      </c>
      <c r="O1726" s="10">
        <f t="shared" si="227"/>
        <v>1.2915588378399865</v>
      </c>
      <c r="P1726" s="10">
        <f t="shared" si="228"/>
        <v>1.5278371634882401E-2</v>
      </c>
      <c r="Q1726" s="66">
        <f t="shared" si="231"/>
        <v>2</v>
      </c>
      <c r="R1726" s="10">
        <f t="shared" si="229"/>
        <v>4.8716061775856725E-15</v>
      </c>
      <c r="V1726" s="10">
        <f t="shared" si="230"/>
        <v>7.1268984044209232E-10</v>
      </c>
    </row>
    <row r="1727" spans="11:22">
      <c r="K1727" s="66">
        <v>85.75</v>
      </c>
      <c r="L1727" s="10">
        <f t="shared" si="224"/>
        <v>3.8514421006768673E-6</v>
      </c>
      <c r="M1727" s="10">
        <f t="shared" si="225"/>
        <v>1.6927173603822156E-8</v>
      </c>
      <c r="N1727" s="10">
        <f t="shared" si="226"/>
        <v>0.90293558968621179</v>
      </c>
      <c r="O1727" s="10">
        <f t="shared" si="227"/>
        <v>1.2962372492652037</v>
      </c>
      <c r="P1727" s="10">
        <f t="shared" si="228"/>
        <v>1.5241145347245912E-2</v>
      </c>
      <c r="Q1727" s="66">
        <f t="shared" si="231"/>
        <v>4</v>
      </c>
      <c r="R1727" s="10">
        <f t="shared" si="229"/>
        <v>8.7406711463166111E-15</v>
      </c>
      <c r="V1727" s="10">
        <f t="shared" si="230"/>
        <v>1.3376573158611662E-9</v>
      </c>
    </row>
    <row r="1728" spans="11:22">
      <c r="K1728" s="66">
        <v>85.8</v>
      </c>
      <c r="L1728" s="10">
        <f t="shared" si="224"/>
        <v>3.68112773416342E-6</v>
      </c>
      <c r="M1728" s="10">
        <f t="shared" si="225"/>
        <v>1.5863027079044261E-8</v>
      </c>
      <c r="N1728" s="10">
        <f t="shared" si="226"/>
        <v>0.90620618276600939</v>
      </c>
      <c r="O1728" s="10">
        <f t="shared" si="227"/>
        <v>1.3009326086045339</v>
      </c>
      <c r="P1728" s="10">
        <f t="shared" si="228"/>
        <v>1.5204009762763156E-2</v>
      </c>
      <c r="Q1728" s="66">
        <f t="shared" si="231"/>
        <v>2</v>
      </c>
      <c r="R1728" s="10">
        <f t="shared" si="229"/>
        <v>3.9190854469353341E-15</v>
      </c>
      <c r="V1728" s="10">
        <f t="shared" si="230"/>
        <v>6.275197544161946E-10</v>
      </c>
    </row>
    <row r="1729" spans="11:22">
      <c r="K1729" s="66">
        <v>85.85</v>
      </c>
      <c r="L1729" s="10">
        <f t="shared" si="224"/>
        <v>3.5177684799872746E-6</v>
      </c>
      <c r="M1729" s="10">
        <f t="shared" si="225"/>
        <v>1.4862283452259422E-8</v>
      </c>
      <c r="N1729" s="10">
        <f t="shared" si="226"/>
        <v>0.90948862382700579</v>
      </c>
      <c r="O1729" s="10">
        <f t="shared" si="227"/>
        <v>1.3056449772531331</v>
      </c>
      <c r="P1729" s="10">
        <f t="shared" si="228"/>
        <v>1.5166964660432722E-2</v>
      </c>
      <c r="Q1729" s="66">
        <f t="shared" si="231"/>
        <v>4</v>
      </c>
      <c r="R1729" s="10">
        <f t="shared" si="229"/>
        <v>7.0260523957884091E-15</v>
      </c>
      <c r="V1729" s="10">
        <f t="shared" si="230"/>
        <v>1.1772475103745955E-9</v>
      </c>
    </row>
    <row r="1730" spans="11:22">
      <c r="K1730" s="66">
        <v>85.9</v>
      </c>
      <c r="L1730" s="10">
        <f t="shared" si="224"/>
        <v>3.3611060258572706E-6</v>
      </c>
      <c r="M1730" s="10">
        <f t="shared" si="225"/>
        <v>1.3921386825900613E-8</v>
      </c>
      <c r="N1730" s="10">
        <f t="shared" si="226"/>
        <v>0.9127829557894499</v>
      </c>
      <c r="O1730" s="10">
        <f t="shared" si="227"/>
        <v>1.3103744168285634</v>
      </c>
      <c r="P1730" s="10">
        <f t="shared" si="228"/>
        <v>1.5130009819791665E-2</v>
      </c>
      <c r="Q1730" s="66">
        <f t="shared" si="231"/>
        <v>2</v>
      </c>
      <c r="R1730" s="10">
        <f t="shared" si="229"/>
        <v>3.1477782174878681E-15</v>
      </c>
      <c r="V1730" s="10">
        <f t="shared" si="230"/>
        <v>5.5200835678525268E-10</v>
      </c>
    </row>
    <row r="1731" spans="11:22">
      <c r="K1731" s="66">
        <v>85.95</v>
      </c>
      <c r="L1731" s="10">
        <f t="shared" si="224"/>
        <v>3.2108905852439634E-6</v>
      </c>
      <c r="M1731" s="10">
        <f t="shared" si="225"/>
        <v>1.3036967354430411E-8</v>
      </c>
      <c r="N1731" s="10">
        <f t="shared" si="226"/>
        <v>0.91608922172906593</v>
      </c>
      <c r="O1731" s="10">
        <f t="shared" si="227"/>
        <v>1.3151209891715994</v>
      </c>
      <c r="P1731" s="10">
        <f t="shared" si="228"/>
        <v>1.5093145020914255E-2</v>
      </c>
      <c r="Q1731" s="66">
        <f t="shared" si="231"/>
        <v>4</v>
      </c>
      <c r="R1731" s="10">
        <f t="shared" si="229"/>
        <v>5.6387431145778324E-15</v>
      </c>
      <c r="V1731" s="10">
        <f t="shared" si="230"/>
        <v>1.0350959966887888E-9</v>
      </c>
    </row>
    <row r="1732" spans="11:22">
      <c r="K1732" s="66">
        <v>86</v>
      </c>
      <c r="L1732" s="10">
        <f t="shared" si="224"/>
        <v>3.0668806569064019E-6</v>
      </c>
      <c r="M1732" s="10">
        <f t="shared" si="225"/>
        <v>1.2205832273883464E-8</v>
      </c>
      <c r="N1732" s="10">
        <f t="shared" si="226"/>
        <v>0.91940746487763136</v>
      </c>
      <c r="O1732" s="10">
        <f t="shared" si="227"/>
        <v>1.3198847563470482</v>
      </c>
      <c r="P1732" s="10">
        <f t="shared" si="228"/>
        <v>1.5056370044410581E-2</v>
      </c>
      <c r="Q1732" s="66">
        <f t="shared" si="231"/>
        <v>2</v>
      </c>
      <c r="R1732" s="10">
        <f t="shared" si="229"/>
        <v>2.524209060727797E-15</v>
      </c>
      <c r="V1732" s="10">
        <f t="shared" si="230"/>
        <v>4.8512354663039165E-10</v>
      </c>
    </row>
    <row r="1733" spans="11:22">
      <c r="K1733" s="66">
        <v>86.05</v>
      </c>
      <c r="L1733" s="10">
        <f t="shared" si="224"/>
        <v>2.9288427897684977E-6</v>
      </c>
      <c r="M1733" s="10">
        <f t="shared" si="225"/>
        <v>1.1424957322829423E-8</v>
      </c>
      <c r="N1733" s="10">
        <f t="shared" si="226"/>
        <v>0.92273772862352288</v>
      </c>
      <c r="O1733" s="10">
        <f t="shared" si="227"/>
        <v>1.3246657806445374</v>
      </c>
      <c r="P1733" s="10">
        <f t="shared" si="228"/>
        <v>1.501968467142518E-2</v>
      </c>
      <c r="Q1733" s="66">
        <f t="shared" si="231"/>
        <v>4</v>
      </c>
      <c r="R1733" s="10">
        <f t="shared" si="229"/>
        <v>4.5180653503374697E-15</v>
      </c>
      <c r="V1733" s="10">
        <f t="shared" si="230"/>
        <v>9.0924398856700466E-10</v>
      </c>
    </row>
    <row r="1734" spans="11:22">
      <c r="K1734" s="66">
        <v>86.1</v>
      </c>
      <c r="L1734" s="10">
        <f t="shared" si="224"/>
        <v>2.7965513530697528E-6</v>
      </c>
      <c r="M1734" s="10">
        <f t="shared" si="225"/>
        <v>1.0691478539733679E-8</v>
      </c>
      <c r="N1734" s="10">
        <f t="shared" si="226"/>
        <v>0.92608005651230674</v>
      </c>
      <c r="O1734" s="10">
        <f t="shared" si="227"/>
        <v>1.3294641245793577</v>
      </c>
      <c r="P1734" s="10">
        <f t="shared" si="228"/>
        <v>1.4983088683636054E-2</v>
      </c>
      <c r="Q1734" s="66">
        <f t="shared" si="231"/>
        <v>2</v>
      </c>
      <c r="R1734" s="10">
        <f t="shared" si="229"/>
        <v>2.0208926825942254E-15</v>
      </c>
      <c r="V1734" s="10">
        <f t="shared" si="230"/>
        <v>4.2593617078678667E-10</v>
      </c>
    </row>
    <row r="1735" spans="11:22">
      <c r="K1735" s="66">
        <v>86.15</v>
      </c>
      <c r="L1735" s="10">
        <f t="shared" si="224"/>
        <v>2.6697883117192596E-6</v>
      </c>
      <c r="M1735" s="10">
        <f t="shared" si="225"/>
        <v>1.0002684422195195E-8</v>
      </c>
      <c r="N1735" s="10">
        <f t="shared" si="226"/>
        <v>0.9294344922472918</v>
      </c>
      <c r="O1735" s="10">
        <f t="shared" si="227"/>
        <v>1.3342798508932612</v>
      </c>
      <c r="P1735" s="10">
        <f t="shared" si="228"/>
        <v>1.4946581863252996E-2</v>
      </c>
      <c r="Q1735" s="66">
        <f t="shared" si="231"/>
        <v>4</v>
      </c>
      <c r="R1735" s="10">
        <f t="shared" si="229"/>
        <v>3.6142392152059111E-15</v>
      </c>
      <c r="V1735" s="10">
        <f t="shared" si="230"/>
        <v>7.979289313883495E-10</v>
      </c>
    </row>
    <row r="1736" spans="11:22">
      <c r="K1736" s="66">
        <v>86.2</v>
      </c>
      <c r="L1736" s="10">
        <f t="shared" si="224"/>
        <v>2.5483430067768675E-6</v>
      </c>
      <c r="M1736" s="10">
        <f t="shared" si="225"/>
        <v>9.3560084339859369E-9</v>
      </c>
      <c r="N1736" s="10">
        <f t="shared" si="226"/>
        <v>0.93280107969010195</v>
      </c>
      <c r="O1736" s="10">
        <f t="shared" si="227"/>
        <v>1.3391130225552814</v>
      </c>
      <c r="P1736" s="10">
        <f t="shared" si="228"/>
        <v>1.4910163993016534E-2</v>
      </c>
      <c r="Q1736" s="66">
        <f t="shared" si="231"/>
        <v>2</v>
      </c>
      <c r="R1736" s="10">
        <f t="shared" si="229"/>
        <v>1.6152985803439385E-15</v>
      </c>
      <c r="V1736" s="10">
        <f t="shared" si="230"/>
        <v>3.7361056366628743E-10</v>
      </c>
    </row>
    <row r="1737" spans="11:22">
      <c r="K1737" s="66">
        <v>86.25</v>
      </c>
      <c r="L1737" s="10">
        <f t="shared" si="224"/>
        <v>2.4320119409882332E-6</v>
      </c>
      <c r="M1737" s="10">
        <f t="shared" si="225"/>
        <v>8.7490218462872104E-9</v>
      </c>
      <c r="N1737" s="10">
        <f t="shared" si="226"/>
        <v>0.93617986286125998</v>
      </c>
      <c r="O1737" s="10">
        <f t="shared" si="227"/>
        <v>1.3439637027625717</v>
      </c>
      <c r="P1737" s="10">
        <f t="shared" si="228"/>
        <v>1.4873834856196482E-2</v>
      </c>
      <c r="Q1737" s="66">
        <f t="shared" si="231"/>
        <v>4</v>
      </c>
      <c r="R1737" s="10">
        <f t="shared" si="229"/>
        <v>2.8864918990866207E-15</v>
      </c>
      <c r="V1737" s="10">
        <f t="shared" si="230"/>
        <v>6.995663817517241E-10</v>
      </c>
    </row>
    <row r="1738" spans="11:22">
      <c r="K1738" s="66">
        <v>86.3</v>
      </c>
      <c r="L1738" s="10">
        <f t="shared" si="224"/>
        <v>2.3205985692999437E-6</v>
      </c>
      <c r="M1738" s="10">
        <f t="shared" si="225"/>
        <v>8.1794268999652158E-9</v>
      </c>
      <c r="N1738" s="10">
        <f t="shared" si="226"/>
        <v>0.93957088594074945</v>
      </c>
      <c r="O1738" s="10">
        <f t="shared" si="227"/>
        <v>1.3488319549412127</v>
      </c>
      <c r="P1738" s="10">
        <f t="shared" si="228"/>
        <v>1.4837594236590776E-2</v>
      </c>
      <c r="Q1738" s="66">
        <f t="shared" si="231"/>
        <v>2</v>
      </c>
      <c r="R1738" s="10">
        <f t="shared" si="229"/>
        <v>1.2889879570070817E-15</v>
      </c>
      <c r="V1738" s="10">
        <f t="shared" si="230"/>
        <v>3.2739587235794418E-10</v>
      </c>
    </row>
    <row r="1739" spans="11:22">
      <c r="K1739" s="66">
        <v>86.35</v>
      </c>
      <c r="L1739" s="10">
        <f t="shared" si="224"/>
        <v>2.2139130942791096E-6</v>
      </c>
      <c r="M1739" s="10">
        <f t="shared" si="225"/>
        <v>7.6450502761530805E-9</v>
      </c>
      <c r="N1739" s="10">
        <f t="shared" si="226"/>
        <v>0.94297419326860477</v>
      </c>
      <c r="O1739" s="10">
        <f t="shared" si="227"/>
        <v>1.3537178427470573</v>
      </c>
      <c r="P1739" s="10">
        <f t="shared" si="228"/>
        <v>1.4801441918524118E-2</v>
      </c>
      <c r="Q1739" s="66">
        <f t="shared" si="231"/>
        <v>4</v>
      </c>
      <c r="R1739" s="10">
        <f t="shared" si="229"/>
        <v>2.3014825999926226E-15</v>
      </c>
      <c r="V1739" s="10">
        <f t="shared" si="230"/>
        <v>6.1273339978512935E-10</v>
      </c>
    </row>
    <row r="1740" spans="11:22">
      <c r="K1740" s="66">
        <v>86.4</v>
      </c>
      <c r="L1740" s="10">
        <f t="shared" ref="L1740:L1803" si="232">(B$7^K1740)*B$8^((B$5^25)*((B$5^K1740)-1))</f>
        <v>2.111772266363169E-6</v>
      </c>
      <c r="M1740" s="10">
        <f t="shared" ref="M1740:M1803" si="233">(B$7^K1740)*B$8^((B$5^30)*((B$5^K1740)-1))</f>
        <v>7.1438368628406028E-9</v>
      </c>
      <c r="N1740" s="10">
        <f t="shared" si="226"/>
        <v>0.94638982934548532</v>
      </c>
      <c r="O1740" s="10">
        <f t="shared" si="227"/>
        <v>1.358621430066558</v>
      </c>
      <c r="P1740" s="10">
        <f t="shared" si="228"/>
        <v>1.4765377686846708E-2</v>
      </c>
      <c r="Q1740" s="66">
        <f t="shared" si="231"/>
        <v>2</v>
      </c>
      <c r="R1740" s="10">
        <f t="shared" si="229"/>
        <v>1.0268954217628984E-15</v>
      </c>
      <c r="V1740" s="10">
        <f t="shared" si="230"/>
        <v>2.866181100206747E-10</v>
      </c>
    </row>
    <row r="1741" spans="11:22">
      <c r="K1741" s="66">
        <v>86.45</v>
      </c>
      <c r="L1741" s="10">
        <f t="shared" si="232"/>
        <v>2.0139991888654416E-6</v>
      </c>
      <c r="M1741" s="10">
        <f t="shared" si="233"/>
        <v>6.673843805584464E-9</v>
      </c>
      <c r="N1741" s="10">
        <f t="shared" ref="N1741:N1804" si="234">B$3+B$4*(B$5^(25+K1741))</f>
        <v>0.94981783883325477</v>
      </c>
      <c r="O1741" s="10">
        <f t="shared" ref="O1741:O1804" si="235">$B$3+$B$4*($B$5^(30+K1741))</f>
        <v>1.3635427810175951</v>
      </c>
      <c r="P1741" s="10">
        <f t="shared" ref="P1741:P1804" si="236">(1+B$6)^-K1741</f>
        <v>1.4729401326933012E-2</v>
      </c>
      <c r="Q1741" s="66">
        <f t="shared" si="231"/>
        <v>4</v>
      </c>
      <c r="R1741" s="10">
        <f t="shared" ref="R1741:R1804" si="237">L1741*M1741*(N1741+O1741)*P1741*Q1741</f>
        <v>1.8319927667491254E-15</v>
      </c>
      <c r="V1741" s="10">
        <f t="shared" si="230"/>
        <v>5.3615334361292313E-10</v>
      </c>
    </row>
    <row r="1742" spans="11:22">
      <c r="K1742" s="66">
        <v>86.5</v>
      </c>
      <c r="L1742" s="10">
        <f t="shared" si="232"/>
        <v>1.9204231276607175E-6</v>
      </c>
      <c r="M1742" s="10">
        <f t="shared" si="233"/>
        <v>6.2332348308502434E-9</v>
      </c>
      <c r="N1742" s="10">
        <f t="shared" si="234"/>
        <v>0.95325826655556734</v>
      </c>
      <c r="O1742" s="10">
        <f t="shared" si="235"/>
        <v>1.3684819599503217</v>
      </c>
      <c r="P1742" s="10">
        <f t="shared" si="236"/>
        <v>1.4693512624680358E-2</v>
      </c>
      <c r="Q1742" s="66">
        <f t="shared" si="231"/>
        <v>2</v>
      </c>
      <c r="R1742" s="10">
        <f t="shared" si="237"/>
        <v>8.1673218182314952E-16</v>
      </c>
      <c r="V1742" s="10">
        <f t="shared" ref="V1742:V1805" si="238">(1-L1742)*M1742*O1742*P1742*Q1742</f>
        <v>2.5067288397112045E-10</v>
      </c>
    </row>
    <row r="1743" spans="11:22">
      <c r="K1743" s="66">
        <v>86.55</v>
      </c>
      <c r="L1743" s="10">
        <f t="shared" si="232"/>
        <v>1.8308793254767961E-6</v>
      </c>
      <c r="M1743" s="10">
        <f t="shared" si="233"/>
        <v>5.8202748308993219E-9</v>
      </c>
      <c r="N1743" s="10">
        <f t="shared" si="234"/>
        <v>0.95671115749845814</v>
      </c>
      <c r="O1743" s="10">
        <f t="shared" si="235"/>
        <v>1.3734390314480089</v>
      </c>
      <c r="P1743" s="10">
        <f t="shared" si="236"/>
        <v>1.4657711366507797E-2</v>
      </c>
      <c r="Q1743" s="66">
        <f t="shared" ref="Q1743:Q1806" si="239">IF(Q1742=4,2,4)</f>
        <v>4</v>
      </c>
      <c r="R1743" s="10">
        <f t="shared" si="237"/>
        <v>1.4558387807486734E-15</v>
      </c>
      <c r="V1743" s="10">
        <f t="shared" si="238"/>
        <v>4.6868196207081484E-10</v>
      </c>
    </row>
    <row r="1744" spans="11:22">
      <c r="K1744" s="66">
        <v>86.6</v>
      </c>
      <c r="L1744" s="10">
        <f t="shared" si="232"/>
        <v>1.7452088207166251E-6</v>
      </c>
      <c r="M1744" s="10">
        <f t="shared" si="233"/>
        <v>5.4333246995084081E-9</v>
      </c>
      <c r="N1744" s="10">
        <f t="shared" si="234"/>
        <v>0.96017655681092762</v>
      </c>
      <c r="O1744" s="10">
        <f t="shared" si="235"/>
        <v>1.378414060327886</v>
      </c>
      <c r="P1744" s="10">
        <f t="shared" si="236"/>
        <v>1.4621997339354768E-2</v>
      </c>
      <c r="Q1744" s="66">
        <f t="shared" si="239"/>
        <v>2</v>
      </c>
      <c r="R1744" s="10">
        <f t="shared" si="237"/>
        <v>6.4849100723608533E-16</v>
      </c>
      <c r="V1744" s="10">
        <f t="shared" si="238"/>
        <v>2.1901874811958008E-10</v>
      </c>
    </row>
    <row r="1745" spans="11:22">
      <c r="K1745" s="66">
        <v>86.65</v>
      </c>
      <c r="L1745" s="10">
        <f t="shared" si="232"/>
        <v>1.6632582707366553E-6</v>
      </c>
      <c r="M1745" s="10">
        <f t="shared" si="233"/>
        <v>5.0708364081878063E-9</v>
      </c>
      <c r="N1745" s="10">
        <f t="shared" si="234"/>
        <v>0.96365450980552891</v>
      </c>
      <c r="O1745" s="10">
        <f t="shared" si="235"/>
        <v>1.3834071116419806</v>
      </c>
      <c r="P1745" s="10">
        <f t="shared" si="236"/>
        <v>1.4586370330679834E-2</v>
      </c>
      <c r="Q1745" s="66">
        <f t="shared" si="239"/>
        <v>4</v>
      </c>
      <c r="R1745" s="10">
        <f t="shared" si="237"/>
        <v>1.1549708159308337E-15</v>
      </c>
      <c r="V1745" s="10">
        <f t="shared" si="238"/>
        <v>4.0929468812187225E-10</v>
      </c>
    </row>
    <row r="1746" spans="11:22">
      <c r="K1746" s="66">
        <v>86.7</v>
      </c>
      <c r="L1746" s="10">
        <f t="shared" si="232"/>
        <v>1.5848797795064593E-6</v>
      </c>
      <c r="M1746" s="10">
        <f t="shared" si="233"/>
        <v>4.7313483129241037E-9</v>
      </c>
      <c r="N1746" s="10">
        <f t="shared" si="234"/>
        <v>0.9671450619589631</v>
      </c>
      <c r="O1746" s="10">
        <f t="shared" si="235"/>
        <v>1.3884182506779854</v>
      </c>
      <c r="P1746" s="10">
        <f t="shared" si="236"/>
        <v>1.455083012845943E-2</v>
      </c>
      <c r="Q1746" s="66">
        <f t="shared" si="239"/>
        <v>2</v>
      </c>
      <c r="R1746" s="10">
        <f t="shared" si="237"/>
        <v>5.1403630564930731E-16</v>
      </c>
      <c r="V1746" s="10">
        <f t="shared" si="238"/>
        <v>1.9117113252012745E-10</v>
      </c>
    </row>
    <row r="1747" spans="11:22">
      <c r="K1747" s="66">
        <v>86.75</v>
      </c>
      <c r="L1747" s="10">
        <f t="shared" si="232"/>
        <v>1.5099307295750061E-6</v>
      </c>
      <c r="M1747" s="10">
        <f t="shared" si="233"/>
        <v>4.4134806818259665E-9</v>
      </c>
      <c r="N1747" s="10">
        <f t="shared" si="234"/>
        <v>0.9706482589126777</v>
      </c>
      <c r="O1747" s="10">
        <f t="shared" si="235"/>
        <v>1.3934475429600941</v>
      </c>
      <c r="P1747" s="10">
        <f t="shared" si="236"/>
        <v>1.451537652118658E-2</v>
      </c>
      <c r="Q1747" s="66">
        <f t="shared" si="239"/>
        <v>4</v>
      </c>
      <c r="R1747" s="10">
        <f t="shared" si="237"/>
        <v>9.1472726168244455E-16</v>
      </c>
      <c r="V1747" s="10">
        <f t="shared" si="238"/>
        <v>3.5707504151650388E-10</v>
      </c>
    </row>
    <row r="1748" spans="11:22">
      <c r="K1748" s="66">
        <v>86.8</v>
      </c>
      <c r="L1748" s="10">
        <f t="shared" si="232"/>
        <v>1.4382736182698605E-6</v>
      </c>
      <c r="M1748" s="10">
        <f t="shared" si="233"/>
        <v>4.1159314343987019E-9</v>
      </c>
      <c r="N1748" s="10">
        <f t="shared" si="234"/>
        <v>0.97416414647346017</v>
      </c>
      <c r="O1748" s="10">
        <f t="shared" si="235"/>
        <v>1.398495054249874</v>
      </c>
      <c r="P1748" s="10">
        <f t="shared" si="236"/>
        <v>1.4480009297869672E-2</v>
      </c>
      <c r="Q1748" s="66">
        <f t="shared" si="239"/>
        <v>2</v>
      </c>
      <c r="R1748" s="10">
        <f t="shared" si="237"/>
        <v>4.0676525055867762E-16</v>
      </c>
      <c r="V1748" s="10">
        <f t="shared" si="238"/>
        <v>1.6669680577747529E-10</v>
      </c>
    </row>
    <row r="1749" spans="11:22">
      <c r="K1749" s="66">
        <v>86.85</v>
      </c>
      <c r="L1749" s="10">
        <f t="shared" si="232"/>
        <v>1.3697758980546044E-6</v>
      </c>
      <c r="M1749" s="10">
        <f t="shared" si="233"/>
        <v>3.8374720835010049E-9</v>
      </c>
      <c r="N1749" s="10">
        <f t="shared" si="234"/>
        <v>0.97769277061403126</v>
      </c>
      <c r="O1749" s="10">
        <f t="shared" si="235"/>
        <v>1.403560850547118</v>
      </c>
      <c r="P1749" s="10">
        <f t="shared" si="236"/>
        <v>1.4444728248031164E-2</v>
      </c>
      <c r="Q1749" s="66">
        <f t="shared" si="239"/>
        <v>4</v>
      </c>
      <c r="R1749" s="10">
        <f t="shared" si="237"/>
        <v>7.2321890478526008E-16</v>
      </c>
      <c r="V1749" s="10">
        <f t="shared" si="238"/>
        <v>3.1120405505598466E-10</v>
      </c>
    </row>
    <row r="1750" spans="11:22">
      <c r="K1750" s="66">
        <v>86.9</v>
      </c>
      <c r="L1750" s="10">
        <f t="shared" si="232"/>
        <v>1.3043098209708414E-6</v>
      </c>
      <c r="M1750" s="10">
        <f t="shared" si="233"/>
        <v>3.5769438713658625E-9</v>
      </c>
      <c r="N1750" s="10">
        <f t="shared" si="234"/>
        <v>0.9812341774736586</v>
      </c>
      <c r="O1750" s="10">
        <f t="shared" si="235"/>
        <v>1.4086449980907054</v>
      </c>
      <c r="P1750" s="10">
        <f t="shared" si="236"/>
        <v>1.4409533161706359E-2</v>
      </c>
      <c r="Q1750" s="66">
        <f t="shared" si="239"/>
        <v>2</v>
      </c>
      <c r="R1750" s="10">
        <f t="shared" si="237"/>
        <v>3.2132812599282625E-16</v>
      </c>
      <c r="V1750" s="10">
        <f t="shared" si="238"/>
        <v>1.4520882889438814E-10</v>
      </c>
    </row>
    <row r="1751" spans="11:22">
      <c r="K1751" s="66">
        <v>86.95</v>
      </c>
      <c r="L1751" s="10">
        <f t="shared" si="232"/>
        <v>1.2417522870915911E-6</v>
      </c>
      <c r="M1751" s="10">
        <f t="shared" si="233"/>
        <v>3.3332540913824124E-9</v>
      </c>
      <c r="N1751" s="10">
        <f t="shared" si="234"/>
        <v>0.9847884133587459</v>
      </c>
      <c r="O1751" s="10">
        <f t="shared" si="235"/>
        <v>1.4137475633594692</v>
      </c>
      <c r="P1751" s="10">
        <f t="shared" si="236"/>
        <v>1.4374423829442146E-2</v>
      </c>
      <c r="Q1751" s="66">
        <f t="shared" si="239"/>
        <v>4</v>
      </c>
      <c r="R1751" s="10">
        <f t="shared" si="237"/>
        <v>5.7082115982251977E-16</v>
      </c>
      <c r="V1751" s="10">
        <f t="shared" si="238"/>
        <v>2.7095064436850981E-10</v>
      </c>
    </row>
    <row r="1752" spans="11:22">
      <c r="K1752" s="66">
        <v>87</v>
      </c>
      <c r="L1752" s="10">
        <f t="shared" si="232"/>
        <v>1.181984696912259E-6</v>
      </c>
      <c r="M1752" s="10">
        <f t="shared" si="233"/>
        <v>3.1053725876377274E-9</v>
      </c>
      <c r="N1752" s="10">
        <f t="shared" si="234"/>
        <v>0.98835552474345367</v>
      </c>
      <c r="O1752" s="10">
        <f t="shared" si="235"/>
        <v>1.418868613073077</v>
      </c>
      <c r="P1752" s="10">
        <f t="shared" si="236"/>
        <v>1.4339400042295789E-2</v>
      </c>
      <c r="Q1752" s="66">
        <f t="shared" si="239"/>
        <v>2</v>
      </c>
      <c r="R1752" s="10">
        <f t="shared" si="237"/>
        <v>2.5339793704601944E-16</v>
      </c>
      <c r="V1752" s="10">
        <f t="shared" si="238"/>
        <v>1.2636196185132798E-10</v>
      </c>
    </row>
    <row r="1753" spans="11:22">
      <c r="K1753" s="66">
        <v>87.05</v>
      </c>
      <c r="L1753" s="10">
        <f t="shared" si="232"/>
        <v>1.1248928076070593E-6</v>
      </c>
      <c r="M1753" s="10">
        <f t="shared" si="233"/>
        <v>2.8923284245202154E-9</v>
      </c>
      <c r="N1753" s="10">
        <f t="shared" si="234"/>
        <v>0.99193555827028712</v>
      </c>
      <c r="O1753" s="10">
        <f t="shared" si="235"/>
        <v>1.4240082141928778</v>
      </c>
      <c r="P1753" s="10">
        <f t="shared" si="236"/>
        <v>1.43044615918335E-2</v>
      </c>
      <c r="Q1753" s="66">
        <f t="shared" si="239"/>
        <v>4</v>
      </c>
      <c r="R1753" s="10">
        <f t="shared" si="237"/>
        <v>4.4975611353265023E-16</v>
      </c>
      <c r="V1753" s="10">
        <f t="shared" si="238"/>
        <v>2.3566284638988113E-10</v>
      </c>
    </row>
    <row r="1754" spans="11:22">
      <c r="K1754" s="66">
        <v>87.1</v>
      </c>
      <c r="L1754" s="10">
        <f t="shared" si="232"/>
        <v>1.0703665930776369E-6</v>
      </c>
      <c r="M1754" s="10">
        <f t="shared" si="233"/>
        <v>2.6932067189682331E-9</v>
      </c>
      <c r="N1754" s="10">
        <f t="shared" si="234"/>
        <v>0.99552856075072971</v>
      </c>
      <c r="O1754" s="10">
        <f t="shared" si="235"/>
        <v>1.4291664339228096</v>
      </c>
      <c r="P1754" s="10">
        <f t="shared" si="236"/>
        <v>1.4269608270129575E-2</v>
      </c>
      <c r="Q1754" s="66">
        <f t="shared" si="239"/>
        <v>2</v>
      </c>
      <c r="R1754" s="10">
        <f t="shared" si="237"/>
        <v>1.9948093624529128E-16</v>
      </c>
      <c r="V1754" s="10">
        <f t="shared" si="238"/>
        <v>1.0984848678643022E-10</v>
      </c>
    </row>
    <row r="1755" spans="11:22">
      <c r="K1755" s="66">
        <v>87.15</v>
      </c>
      <c r="L1755" s="10">
        <f t="shared" si="232"/>
        <v>1.0183001077228792E-6</v>
      </c>
      <c r="M1755" s="10">
        <f t="shared" si="233"/>
        <v>2.5071456282337417E-9</v>
      </c>
      <c r="N1755" s="10">
        <f t="shared" si="234"/>
        <v>0.9991345791658387</v>
      </c>
      <c r="O1755" s="10">
        <f t="shared" si="235"/>
        <v>1.4343433397102558</v>
      </c>
      <c r="P1755" s="10">
        <f t="shared" si="236"/>
        <v>1.4234839869764768E-2</v>
      </c>
      <c r="Q1755" s="66">
        <f t="shared" si="239"/>
        <v>4</v>
      </c>
      <c r="R1755" s="10">
        <f t="shared" si="237"/>
        <v>3.537490952263197E-16</v>
      </c>
      <c r="V1755" s="10">
        <f t="shared" si="238"/>
        <v>2.047598567643688E-10</v>
      </c>
    </row>
    <row r="1756" spans="11:22">
      <c r="K1756" s="66">
        <v>87.2</v>
      </c>
      <c r="L1756" s="10">
        <f t="shared" si="232"/>
        <v>9.6859135385746056E-7</v>
      </c>
      <c r="M1756" s="10">
        <f t="shared" si="233"/>
        <v>2.3333334862955137E-9</v>
      </c>
      <c r="N1756" s="10">
        <f t="shared" si="234"/>
        <v>1.0027536606668597</v>
      </c>
      <c r="O1756" s="10">
        <f t="shared" si="235"/>
        <v>1.4395389992469276</v>
      </c>
      <c r="P1756" s="10">
        <f t="shared" si="236"/>
        <v>1.4200156183825268E-2</v>
      </c>
      <c r="Q1756" s="66">
        <f t="shared" si="239"/>
        <v>2</v>
      </c>
      <c r="R1756" s="10">
        <f t="shared" si="237"/>
        <v>1.5676107129452808E-16</v>
      </c>
      <c r="V1756" s="10">
        <f t="shared" si="238"/>
        <v>9.539441409137812E-11</v>
      </c>
    </row>
    <row r="1757" spans="11:22">
      <c r="K1757" s="66">
        <v>87.25</v>
      </c>
      <c r="L1757" s="10">
        <f t="shared" si="232"/>
        <v>9.2114215270839216E-7</v>
      </c>
      <c r="M1757" s="10">
        <f t="shared" si="233"/>
        <v>2.1710060823231469E-9</v>
      </c>
      <c r="N1757" s="10">
        <f t="shared" si="234"/>
        <v>1.0063858525758544</v>
      </c>
      <c r="O1757" s="10">
        <f t="shared" si="235"/>
        <v>1.4447534804697648</v>
      </c>
      <c r="P1757" s="10">
        <f t="shared" si="236"/>
        <v>1.416555700590141E-2</v>
      </c>
      <c r="Q1757" s="66">
        <f t="shared" si="239"/>
        <v>4</v>
      </c>
      <c r="R1757" s="10">
        <f t="shared" si="237"/>
        <v>2.7774697867457571E-16</v>
      </c>
      <c r="V1757" s="10">
        <f t="shared" si="238"/>
        <v>1.7772480114987244E-10</v>
      </c>
    </row>
    <row r="1758" spans="11:22">
      <c r="K1758" s="66">
        <v>87.3</v>
      </c>
      <c r="L1758" s="10">
        <f t="shared" si="232"/>
        <v>8.758580189192709E-7</v>
      </c>
      <c r="M1758" s="10">
        <f t="shared" si="233"/>
        <v>2.0194440748478892E-9</v>
      </c>
      <c r="N1758" s="10">
        <f t="shared" si="234"/>
        <v>1.0100312023863056</v>
      </c>
      <c r="O1758" s="10">
        <f t="shared" si="235"/>
        <v>1.4499868515618035</v>
      </c>
      <c r="P1758" s="10">
        <f t="shared" si="236"/>
        <v>1.413104213008645E-2</v>
      </c>
      <c r="Q1758" s="66">
        <f t="shared" si="239"/>
        <v>2</v>
      </c>
      <c r="R1758" s="10">
        <f t="shared" si="237"/>
        <v>1.2297250570038665E-16</v>
      </c>
      <c r="V1758" s="10">
        <f t="shared" si="238"/>
        <v>8.2756040060380523E-11</v>
      </c>
    </row>
    <row r="1759" spans="11:22">
      <c r="K1759" s="66">
        <v>87.35</v>
      </c>
      <c r="L1759" s="10">
        <f t="shared" si="232"/>
        <v>8.3264803849175478E-7</v>
      </c>
      <c r="M1759" s="10">
        <f t="shared" si="233"/>
        <v>1.8779705355403775E-9</v>
      </c>
      <c r="N1759" s="10">
        <f t="shared" si="234"/>
        <v>1.01368975776375</v>
      </c>
      <c r="O1759" s="10">
        <f t="shared" si="235"/>
        <v>1.4552391809530867</v>
      </c>
      <c r="P1759" s="10">
        <f t="shared" si="236"/>
        <v>1.409661135097535E-2</v>
      </c>
      <c r="Q1759" s="66">
        <f t="shared" si="239"/>
        <v>4</v>
      </c>
      <c r="R1759" s="10">
        <f t="shared" si="237"/>
        <v>2.1768752672924998E-16</v>
      </c>
      <c r="V1759" s="10">
        <f t="shared" si="238"/>
        <v>1.5409817993001672E-10</v>
      </c>
    </row>
    <row r="1760" spans="11:22">
      <c r="K1760" s="66">
        <v>87.4</v>
      </c>
      <c r="L1760" s="10">
        <f t="shared" si="232"/>
        <v>7.9142475009500676E-7</v>
      </c>
      <c r="M1760" s="10">
        <f t="shared" si="233"/>
        <v>1.7459486167365707E-9</v>
      </c>
      <c r="N1760" s="10">
        <f t="shared" si="234"/>
        <v>1.0173615665463966</v>
      </c>
      <c r="O1760" s="10">
        <f t="shared" si="235"/>
        <v>1.4605105373215497</v>
      </c>
      <c r="P1760" s="10">
        <f t="shared" si="236"/>
        <v>1.4062264463663541E-2</v>
      </c>
      <c r="Q1760" s="66">
        <f t="shared" si="239"/>
        <v>2</v>
      </c>
      <c r="R1760" s="10">
        <f t="shared" si="237"/>
        <v>9.6295330786777644E-17</v>
      </c>
      <c r="V1760" s="10">
        <f t="shared" si="238"/>
        <v>7.1716826927593646E-11</v>
      </c>
    </row>
    <row r="1761" spans="11:22">
      <c r="K1761" s="66">
        <v>87.45</v>
      </c>
      <c r="L1761" s="10">
        <f t="shared" si="232"/>
        <v>7.5210402967437986E-7</v>
      </c>
      <c r="M1761" s="10">
        <f t="shared" si="233"/>
        <v>1.6227793370842411E-9</v>
      </c>
      <c r="N1761" s="10">
        <f t="shared" si="234"/>
        <v>1.0210466767457489</v>
      </c>
      <c r="O1761" s="10">
        <f t="shared" si="235"/>
        <v>1.4658009895939121</v>
      </c>
      <c r="P1761" s="10">
        <f t="shared" si="236"/>
        <v>1.4028001263745723E-2</v>
      </c>
      <c r="Q1761" s="66">
        <f t="shared" si="239"/>
        <v>4</v>
      </c>
      <c r="R1761" s="10">
        <f t="shared" si="237"/>
        <v>1.7031086530107421E-16</v>
      </c>
      <c r="V1761" s="10">
        <f t="shared" si="238"/>
        <v>1.3347193011248485E-10</v>
      </c>
    </row>
    <row r="1762" spans="11:22">
      <c r="K1762" s="66">
        <v>87.5</v>
      </c>
      <c r="L1762" s="10">
        <f t="shared" si="232"/>
        <v>7.146049782906645E-7</v>
      </c>
      <c r="M1762" s="10">
        <f t="shared" si="233"/>
        <v>1.507899479904395E-9</v>
      </c>
      <c r="N1762" s="10">
        <f t="shared" si="234"/>
        <v>1.0247451365472349</v>
      </c>
      <c r="O1762" s="10">
        <f t="shared" si="235"/>
        <v>1.4711106069465958</v>
      </c>
      <c r="P1762" s="10">
        <f t="shared" si="236"/>
        <v>1.3993821547314624E-2</v>
      </c>
      <c r="Q1762" s="66">
        <f t="shared" si="239"/>
        <v>2</v>
      </c>
      <c r="R1762" s="10">
        <f t="shared" si="237"/>
        <v>7.5270402095896907E-17</v>
      </c>
      <c r="V1762" s="10">
        <f t="shared" si="238"/>
        <v>6.208457820718027E-11</v>
      </c>
    </row>
    <row r="1763" spans="11:22">
      <c r="K1763" s="66">
        <v>87.55</v>
      </c>
      <c r="L1763" s="10">
        <f t="shared" si="232"/>
        <v>6.7884981312266078E-7</v>
      </c>
      <c r="M1763" s="10">
        <f t="shared" si="233"/>
        <v>1.4007795990810479E-9</v>
      </c>
      <c r="N1763" s="10">
        <f t="shared" si="234"/>
        <v>1.0284569943108426</v>
      </c>
      <c r="O1763" s="10">
        <f t="shared" si="235"/>
        <v>1.4764394588066097</v>
      </c>
      <c r="P1763" s="10">
        <f t="shared" si="236"/>
        <v>1.3959725110959805E-2</v>
      </c>
      <c r="Q1763" s="66">
        <f t="shared" si="239"/>
        <v>4</v>
      </c>
      <c r="R1763" s="10">
        <f t="shared" si="237"/>
        <v>1.3300566729698458E-16</v>
      </c>
      <c r="V1763" s="10">
        <f t="shared" si="238"/>
        <v>1.1548405223271986E-10</v>
      </c>
    </row>
    <row r="1764" spans="11:22">
      <c r="K1764" s="66">
        <v>87.6</v>
      </c>
      <c r="L1764" s="10">
        <f t="shared" si="232"/>
        <v>6.4476376156576443E-7</v>
      </c>
      <c r="M1764" s="10">
        <f t="shared" si="233"/>
        <v>1.3009221274998891E-9</v>
      </c>
      <c r="N1764" s="10">
        <f t="shared" si="234"/>
        <v>1.0321822985717473</v>
      </c>
      <c r="O1764" s="10">
        <f t="shared" si="235"/>
        <v>1.4817876148524749</v>
      </c>
      <c r="P1764" s="10">
        <f t="shared" si="236"/>
        <v>1.3925711751766443E-2</v>
      </c>
      <c r="Q1764" s="66">
        <f t="shared" si="239"/>
        <v>2</v>
      </c>
      <c r="R1764" s="10">
        <f t="shared" si="237"/>
        <v>5.8729917936288482E-17</v>
      </c>
      <c r="V1764" s="10">
        <f t="shared" si="238"/>
        <v>5.3688884212487771E-11</v>
      </c>
    </row>
    <row r="1765" spans="11:22">
      <c r="K1765" s="66">
        <v>87.65</v>
      </c>
      <c r="L1765" s="10">
        <f t="shared" si="232"/>
        <v>6.1227495836049834E-7</v>
      </c>
      <c r="M1765" s="10">
        <f t="shared" si="233"/>
        <v>1.2078595832604751E-9</v>
      </c>
      <c r="N1765" s="10">
        <f t="shared" si="234"/>
        <v>1.0359210980409437</v>
      </c>
      <c r="O1765" s="10">
        <f t="shared" si="235"/>
        <v>1.487155145015129</v>
      </c>
      <c r="P1765" s="10">
        <f t="shared" si="236"/>
        <v>1.3891781267314126E-2</v>
      </c>
      <c r="Q1765" s="66">
        <f t="shared" si="239"/>
        <v>4</v>
      </c>
      <c r="R1765" s="10">
        <f t="shared" si="237"/>
        <v>1.0368388197532202E-16</v>
      </c>
      <c r="V1765" s="10">
        <f t="shared" si="238"/>
        <v>9.98137538934478E-11</v>
      </c>
    </row>
    <row r="1766" spans="11:22">
      <c r="K1766" s="66">
        <v>87.7</v>
      </c>
      <c r="L1766" s="10">
        <f t="shared" si="232"/>
        <v>5.8131434568512503E-7</v>
      </c>
      <c r="M1766" s="10">
        <f t="shared" si="233"/>
        <v>1.1211528690806679E-9</v>
      </c>
      <c r="N1766" s="10">
        <f t="shared" si="234"/>
        <v>1.0396734416058853</v>
      </c>
      <c r="O1766" s="10">
        <f t="shared" si="235"/>
        <v>1.4925421194788344</v>
      </c>
      <c r="P1766" s="10">
        <f t="shared" si="236"/>
        <v>1.3857933455675642E-2</v>
      </c>
      <c r="Q1766" s="66">
        <f t="shared" si="239"/>
        <v>2</v>
      </c>
      <c r="R1766" s="10">
        <f t="shared" si="237"/>
        <v>4.5740932464600326E-17</v>
      </c>
      <c r="V1766" s="10">
        <f t="shared" si="238"/>
        <v>4.6378814480640875E-11</v>
      </c>
    </row>
    <row r="1767" spans="11:22">
      <c r="K1767" s="66">
        <v>87.75</v>
      </c>
      <c r="L1767" s="10">
        <f t="shared" si="232"/>
        <v>5.5181557614744495E-7</v>
      </c>
      <c r="M1767" s="10">
        <f t="shared" si="233"/>
        <v>1.0403896605018822E-9</v>
      </c>
      <c r="N1767" s="10">
        <f t="shared" si="234"/>
        <v>1.0434393783311287</v>
      </c>
      <c r="O1767" s="10">
        <f t="shared" si="235"/>
        <v>1.4979486086821012</v>
      </c>
      <c r="P1767" s="10">
        <f t="shared" si="236"/>
        <v>1.3824168115415789E-2</v>
      </c>
      <c r="Q1767" s="66">
        <f t="shared" si="239"/>
        <v>4</v>
      </c>
      <c r="R1767" s="10">
        <f t="shared" si="237"/>
        <v>8.067889721982593E-17</v>
      </c>
      <c r="V1767" s="10">
        <f t="shared" si="238"/>
        <v>8.6177065160505388E-11</v>
      </c>
    </row>
    <row r="1768" spans="11:22">
      <c r="K1768" s="66">
        <v>87.8</v>
      </c>
      <c r="L1768" s="10">
        <f t="shared" si="232"/>
        <v>5.2371491861174177E-7</v>
      </c>
      <c r="M1768" s="10">
        <f t="shared" si="233"/>
        <v>9.6518287868622375E-10</v>
      </c>
      <c r="N1768" s="10">
        <f t="shared" si="234"/>
        <v>1.0472189574589696</v>
      </c>
      <c r="O1768" s="10">
        <f t="shared" si="235"/>
        <v>1.5033746833186146</v>
      </c>
      <c r="P1768" s="10">
        <f t="shared" si="236"/>
        <v>1.379048504559016E-2</v>
      </c>
      <c r="Q1768" s="66">
        <f t="shared" si="239"/>
        <v>2</v>
      </c>
      <c r="R1768" s="10">
        <f t="shared" si="237"/>
        <v>3.555947698862641E-17</v>
      </c>
      <c r="V1768" s="10">
        <f t="shared" si="238"/>
        <v>4.0020835569922387E-11</v>
      </c>
    </row>
    <row r="1769" spans="11:22">
      <c r="K1769" s="66">
        <v>87.85</v>
      </c>
      <c r="L1769" s="10">
        <f t="shared" si="232"/>
        <v>4.9695116679715187E-7</v>
      </c>
      <c r="M1769" s="10">
        <f t="shared" si="233"/>
        <v>8.9516924377179113E-10</v>
      </c>
      <c r="N1769" s="10">
        <f t="shared" si="234"/>
        <v>1.0510122284100836</v>
      </c>
      <c r="O1769" s="10">
        <f t="shared" si="235"/>
        <v>1.5088204143381521</v>
      </c>
      <c r="P1769" s="10">
        <f t="shared" si="236"/>
        <v>1.3756884045743961E-2</v>
      </c>
      <c r="Q1769" s="66">
        <f t="shared" si="239"/>
        <v>4</v>
      </c>
      <c r="R1769" s="10">
        <f t="shared" si="237"/>
        <v>6.2662902583018081E-17</v>
      </c>
      <c r="V1769" s="10">
        <f t="shared" si="238"/>
        <v>7.4322884411444748E-11</v>
      </c>
    </row>
    <row r="1770" spans="11:22">
      <c r="K1770" s="66">
        <v>87.9</v>
      </c>
      <c r="L1770" s="10">
        <f t="shared" si="232"/>
        <v>4.7146555058484827E-7</v>
      </c>
      <c r="M1770" s="10">
        <f t="shared" si="233"/>
        <v>8.3000790492310517E-10</v>
      </c>
      <c r="N1770" s="10">
        <f t="shared" si="234"/>
        <v>1.054819240784183</v>
      </c>
      <c r="O1770" s="10">
        <f t="shared" si="235"/>
        <v>1.5142858729475084</v>
      </c>
      <c r="P1770" s="10">
        <f t="shared" si="236"/>
        <v>1.3723364915910816E-2</v>
      </c>
      <c r="Q1770" s="66">
        <f t="shared" si="239"/>
        <v>2</v>
      </c>
      <c r="R1770" s="10">
        <f t="shared" si="237"/>
        <v>2.7593365552290438E-17</v>
      </c>
      <c r="V1770" s="10">
        <f t="shared" si="238"/>
        <v>3.4496934333469254E-11</v>
      </c>
    </row>
    <row r="1771" spans="11:22">
      <c r="K1771" s="66">
        <v>87.95</v>
      </c>
      <c r="L1771" s="10">
        <f t="shared" si="232"/>
        <v>4.4720164997215298E-7</v>
      </c>
      <c r="M1771" s="10">
        <f t="shared" si="233"/>
        <v>7.693791433776031E-10</v>
      </c>
      <c r="N1771" s="10">
        <f t="shared" si="234"/>
        <v>1.0586400443606518</v>
      </c>
      <c r="O1771" s="10">
        <f t="shared" si="235"/>
        <v>1.5197711306114294</v>
      </c>
      <c r="P1771" s="10">
        <f t="shared" si="236"/>
        <v>1.3689927456611564E-2</v>
      </c>
      <c r="Q1771" s="66">
        <f t="shared" si="239"/>
        <v>4</v>
      </c>
      <c r="R1771" s="10">
        <f t="shared" si="237"/>
        <v>4.8579956236517141E-17</v>
      </c>
      <c r="V1771" s="10">
        <f t="shared" si="238"/>
        <v>6.4029416404179353E-11</v>
      </c>
    </row>
    <row r="1772" spans="11:22">
      <c r="K1772" s="66">
        <v>88</v>
      </c>
      <c r="L1772" s="10">
        <f t="shared" si="232"/>
        <v>4.2410531161218093E-7</v>
      </c>
      <c r="M1772" s="10">
        <f t="shared" si="233"/>
        <v>7.1298314494629913E-10</v>
      </c>
      <c r="N1772" s="10">
        <f t="shared" si="234"/>
        <v>1.0624746890992127</v>
      </c>
      <c r="O1772" s="10">
        <f t="shared" si="235"/>
        <v>1.5252762590535576</v>
      </c>
      <c r="P1772" s="10">
        <f t="shared" si="236"/>
        <v>1.3656571468853134E-2</v>
      </c>
      <c r="Q1772" s="66">
        <f t="shared" si="239"/>
        <v>2</v>
      </c>
      <c r="R1772" s="10">
        <f t="shared" si="237"/>
        <v>2.1372096614443077E-17</v>
      </c>
      <c r="V1772" s="10">
        <f t="shared" si="238"/>
        <v>2.9702928308189481E-11</v>
      </c>
    </row>
    <row r="1773" spans="11:22">
      <c r="K1773" s="66">
        <v>88.05</v>
      </c>
      <c r="L1773" s="10">
        <f t="shared" si="232"/>
        <v>4.0212456787889049E-7</v>
      </c>
      <c r="M1773" s="10">
        <f t="shared" si="233"/>
        <v>6.6053883858042187E-10</v>
      </c>
      <c r="N1773" s="10">
        <f t="shared" si="234"/>
        <v>1.0663232251405588</v>
      </c>
      <c r="O1773" s="10">
        <f t="shared" si="235"/>
        <v>1.5308013302573436</v>
      </c>
      <c r="P1773" s="10">
        <f t="shared" si="236"/>
        <v>1.3623296754127143E-2</v>
      </c>
      <c r="Q1773" s="66">
        <f t="shared" si="239"/>
        <v>4</v>
      </c>
      <c r="R1773" s="10">
        <f t="shared" si="237"/>
        <v>3.759187192415571E-17</v>
      </c>
      <c r="V1773" s="10">
        <f t="shared" si="238"/>
        <v>5.5100967305662169E-11</v>
      </c>
    </row>
    <row r="1774" spans="11:22">
      <c r="K1774" s="66">
        <v>88.1</v>
      </c>
      <c r="L1774" s="10">
        <f t="shared" si="232"/>
        <v>3.8120955839765581E-7</v>
      </c>
      <c r="M1774" s="10">
        <f t="shared" si="233"/>
        <v>6.1178279776114819E-10</v>
      </c>
      <c r="N1774" s="10">
        <f t="shared" si="234"/>
        <v>1.0701857028070345</v>
      </c>
      <c r="O1774" s="10">
        <f t="shared" si="235"/>
        <v>1.5363464164670202</v>
      </c>
      <c r="P1774" s="10">
        <f t="shared" si="236"/>
        <v>1.3590103114409117E-2</v>
      </c>
      <c r="Q1774" s="66">
        <f t="shared" si="239"/>
        <v>2</v>
      </c>
      <c r="R1774" s="10">
        <f t="shared" si="237"/>
        <v>1.652254225897506E-17</v>
      </c>
      <c r="V1774" s="10">
        <f t="shared" si="238"/>
        <v>2.554694629637352E-11</v>
      </c>
    </row>
    <row r="1775" spans="11:22">
      <c r="K1775" s="66">
        <v>88.15</v>
      </c>
      <c r="L1775" s="10">
        <f t="shared" si="232"/>
        <v>3.6131245398293425E-7</v>
      </c>
      <c r="M1775" s="10">
        <f t="shared" si="233"/>
        <v>5.664682016127147E-10</v>
      </c>
      <c r="N1775" s="10">
        <f t="shared" si="234"/>
        <v>1.0740621726032766</v>
      </c>
      <c r="O1775" s="10">
        <f t="shared" si="235"/>
        <v>1.541911590188525</v>
      </c>
      <c r="P1775" s="10">
        <f t="shared" si="236"/>
        <v>1.3556990352156921E-2</v>
      </c>
      <c r="Q1775" s="66">
        <f t="shared" si="239"/>
        <v>4</v>
      </c>
      <c r="R1775" s="10">
        <f t="shared" si="237"/>
        <v>2.9034552018762376E-17</v>
      </c>
      <c r="V1775" s="10">
        <f t="shared" si="238"/>
        <v>4.7365064204065471E-11</v>
      </c>
    </row>
    <row r="1776" spans="11:22">
      <c r="K1776" s="66">
        <v>88.2</v>
      </c>
      <c r="L1776" s="10">
        <f t="shared" si="232"/>
        <v>3.4238738292475125E-7</v>
      </c>
      <c r="M1776" s="10">
        <f t="shared" si="233"/>
        <v>5.2436385277357984E-10</v>
      </c>
      <c r="N1776" s="10">
        <f t="shared" si="234"/>
        <v>1.0779526852168742</v>
      </c>
      <c r="O1776" s="10">
        <f t="shared" si="235"/>
        <v>1.5474969241904473</v>
      </c>
      <c r="P1776" s="10">
        <f t="shared" si="236"/>
        <v>1.3523958270309779E-2</v>
      </c>
      <c r="Q1776" s="66">
        <f t="shared" si="239"/>
        <v>2</v>
      </c>
      <c r="R1776" s="10">
        <f t="shared" si="237"/>
        <v>1.2749348809238725E-17</v>
      </c>
      <c r="V1776" s="10">
        <f t="shared" si="238"/>
        <v>2.1948063563331422E-11</v>
      </c>
    </row>
    <row r="1777" spans="11:22">
      <c r="K1777" s="66">
        <v>88.25</v>
      </c>
      <c r="L1777" s="10">
        <f t="shared" si="232"/>
        <v>3.2439035956701824E-7</v>
      </c>
      <c r="M1777" s="10">
        <f t="shared" si="233"/>
        <v>4.8525324919269453E-10</v>
      </c>
      <c r="N1777" s="10">
        <f t="shared" si="234"/>
        <v>1.0818572915190434</v>
      </c>
      <c r="O1777" s="10">
        <f t="shared" si="235"/>
        <v>1.5531024915049969</v>
      </c>
      <c r="P1777" s="10">
        <f t="shared" si="236"/>
        <v>1.3491006672287056E-2</v>
      </c>
      <c r="Q1777" s="66">
        <f t="shared" si="239"/>
        <v>4</v>
      </c>
      <c r="R1777" s="10">
        <f t="shared" si="237"/>
        <v>2.2382816310239164E-17</v>
      </c>
      <c r="V1777" s="10">
        <f t="shared" si="238"/>
        <v>4.0669869230145979E-11</v>
      </c>
    </row>
    <row r="1778" spans="11:22">
      <c r="K1778" s="66">
        <v>88.3</v>
      </c>
      <c r="L1778" s="10">
        <f t="shared" si="232"/>
        <v>3.0727921512145578E-7</v>
      </c>
      <c r="M1778" s="10">
        <f t="shared" si="233"/>
        <v>4.4893370714381783E-10</v>
      </c>
      <c r="N1778" s="10">
        <f t="shared" si="234"/>
        <v>1.0857760425652785</v>
      </c>
      <c r="O1778" s="10">
        <f t="shared" si="235"/>
        <v>1.558728365428939</v>
      </c>
      <c r="P1778" s="10">
        <f t="shared" si="236"/>
        <v>1.3458135361987093E-2</v>
      </c>
      <c r="Q1778" s="66">
        <f t="shared" si="239"/>
        <v>2</v>
      </c>
      <c r="R1778" s="10">
        <f t="shared" si="237"/>
        <v>9.8191655560630611E-18</v>
      </c>
      <c r="V1778" s="10">
        <f t="shared" si="238"/>
        <v>1.8835077331727234E-11</v>
      </c>
    </row>
    <row r="1779" spans="11:22">
      <c r="K1779" s="66">
        <v>88.35</v>
      </c>
      <c r="L1779" s="10">
        <f t="shared" si="232"/>
        <v>2.9101353066155995E-7</v>
      </c>
      <c r="M1779" s="10">
        <f t="shared" si="233"/>
        <v>4.1521553287173579E-10</v>
      </c>
      <c r="N1779" s="10">
        <f t="shared" si="234"/>
        <v>1.0897089895960312</v>
      </c>
      <c r="O1779" s="10">
        <f t="shared" si="235"/>
        <v>1.5643746195245682</v>
      </c>
      <c r="P1779" s="10">
        <f t="shared" si="236"/>
        <v>1.3425344143786044E-2</v>
      </c>
      <c r="Q1779" s="66">
        <f t="shared" si="239"/>
        <v>4</v>
      </c>
      <c r="R1779" s="10">
        <f t="shared" si="237"/>
        <v>1.7222127183331747E-17</v>
      </c>
      <c r="V1779" s="10">
        <f t="shared" si="238"/>
        <v>3.4881860842420563E-11</v>
      </c>
    </row>
    <row r="1780" spans="11:22">
      <c r="K1780" s="66">
        <v>88.4</v>
      </c>
      <c r="L1780" s="10">
        <f t="shared" si="232"/>
        <v>2.7555457224205837E-7</v>
      </c>
      <c r="M1780" s="10">
        <f t="shared" si="233"/>
        <v>3.8392124040139311E-10</v>
      </c>
      <c r="N1780" s="10">
        <f t="shared" si="234"/>
        <v>1.0936561840373766</v>
      </c>
      <c r="O1780" s="10">
        <f t="shared" si="235"/>
        <v>1.5700413276206659</v>
      </c>
      <c r="P1780" s="10">
        <f t="shared" si="236"/>
        <v>1.3392632822536703E-2</v>
      </c>
      <c r="Q1780" s="66">
        <f t="shared" si="239"/>
        <v>2</v>
      </c>
      <c r="R1780" s="10">
        <f t="shared" si="237"/>
        <v>7.5479779811567725E-18</v>
      </c>
      <c r="V1780" s="10">
        <f t="shared" si="238"/>
        <v>1.6145409426022934E-11</v>
      </c>
    </row>
    <row r="1781" spans="11:22">
      <c r="K1781" s="66">
        <v>88.45</v>
      </c>
      <c r="L1781" s="10">
        <f t="shared" si="232"/>
        <v>2.6086522809019845E-7</v>
      </c>
      <c r="M1781" s="10">
        <f t="shared" si="233"/>
        <v>3.548848131531216E-10</v>
      </c>
      <c r="N1781" s="10">
        <f t="shared" si="234"/>
        <v>1.0976176775016802</v>
      </c>
      <c r="O1781" s="10">
        <f t="shared" si="235"/>
        <v>1.5757285638134555</v>
      </c>
      <c r="P1781" s="10">
        <f t="shared" si="236"/>
        <v>1.3360001203567352E-2</v>
      </c>
      <c r="Q1781" s="66">
        <f t="shared" si="239"/>
        <v>4</v>
      </c>
      <c r="R1781" s="10">
        <f t="shared" si="237"/>
        <v>1.3225902221083355E-17</v>
      </c>
      <c r="V1781" s="10">
        <f t="shared" si="238"/>
        <v>2.9883757095067811E-11</v>
      </c>
    </row>
    <row r="1782" spans="11:22">
      <c r="K1782" s="66">
        <v>88.5</v>
      </c>
      <c r="L1782" s="10">
        <f t="shared" si="232"/>
        <v>2.4690994781583603E-7</v>
      </c>
      <c r="M1782" s="10">
        <f t="shared" si="233"/>
        <v>3.2795100711453051E-10</v>
      </c>
      <c r="N1782" s="10">
        <f t="shared" si="234"/>
        <v>1.1015935217882775</v>
      </c>
      <c r="O1782" s="10">
        <f t="shared" si="235"/>
        <v>1.5814364024675904</v>
      </c>
      <c r="P1782" s="10">
        <f t="shared" si="236"/>
        <v>1.3327449092680592E-2</v>
      </c>
      <c r="Q1782" s="66">
        <f t="shared" si="239"/>
        <v>2</v>
      </c>
      <c r="R1782" s="10">
        <f t="shared" si="237"/>
        <v>5.7909538116703269E-18</v>
      </c>
      <c r="V1782" s="10">
        <f t="shared" si="238"/>
        <v>1.3824124012858364E-11</v>
      </c>
    </row>
    <row r="1783" spans="11:22">
      <c r="K1783" s="66">
        <v>88.55</v>
      </c>
      <c r="L1783" s="10">
        <f t="shared" si="232"/>
        <v>2.3365468358844104E-7</v>
      </c>
      <c r="M1783" s="10">
        <f t="shared" si="233"/>
        <v>3.0297469342370045E-10</v>
      </c>
      <c r="N1783" s="10">
        <f t="shared" si="234"/>
        <v>1.1055837688841557</v>
      </c>
      <c r="O1783" s="10">
        <f t="shared" si="235"/>
        <v>1.5871649182171053</v>
      </c>
      <c r="P1783" s="10">
        <f t="shared" si="236"/>
        <v>1.3294976296152193E-2</v>
      </c>
      <c r="Q1783" s="66">
        <f t="shared" si="239"/>
        <v>4</v>
      </c>
      <c r="R1783" s="10">
        <f t="shared" si="237"/>
        <v>1.0137345002908292E-17</v>
      </c>
      <c r="V1783" s="10">
        <f t="shared" si="238"/>
        <v>2.5572657814698662E-11</v>
      </c>
    </row>
    <row r="1784" spans="11:22">
      <c r="K1784" s="66">
        <v>88.6</v>
      </c>
      <c r="L1784" s="10">
        <f t="shared" si="232"/>
        <v>2.2106683322983255E-7</v>
      </c>
      <c r="M1784" s="10">
        <f t="shared" si="233"/>
        <v>2.7982023831745787E-10</v>
      </c>
      <c r="N1784" s="10">
        <f t="shared" si="234"/>
        <v>1.1095884709646284</v>
      </c>
      <c r="O1784" s="10">
        <f t="shared" si="235"/>
        <v>1.5929141859664107</v>
      </c>
      <c r="P1784" s="10">
        <f t="shared" si="236"/>
        <v>1.3262582620729945E-2</v>
      </c>
      <c r="Q1784" s="66">
        <f t="shared" si="239"/>
        <v>2</v>
      </c>
      <c r="R1784" s="10">
        <f t="shared" si="237"/>
        <v>4.434319074280234E-18</v>
      </c>
      <c r="V1784" s="10">
        <f t="shared" si="238"/>
        <v>1.1823049399122127E-11</v>
      </c>
    </row>
    <row r="1785" spans="11:22">
      <c r="K1785" s="66">
        <v>88.65</v>
      </c>
      <c r="L1785" s="10">
        <f t="shared" si="232"/>
        <v>2.091151851723299E-7</v>
      </c>
      <c r="M1785" s="10">
        <f t="shared" si="233"/>
        <v>2.5836091849396264E-10</v>
      </c>
      <c r="N1785" s="10">
        <f t="shared" si="234"/>
        <v>1.1136076803940145</v>
      </c>
      <c r="O1785" s="10">
        <f t="shared" si="235"/>
        <v>1.5986842808912638</v>
      </c>
      <c r="P1785" s="10">
        <f t="shared" si="236"/>
        <v>1.3230267873632498E-2</v>
      </c>
      <c r="Q1785" s="66">
        <f t="shared" si="239"/>
        <v>4</v>
      </c>
      <c r="R1785" s="10">
        <f t="shared" si="237"/>
        <v>7.7549223972124217E-18</v>
      </c>
      <c r="V1785" s="10">
        <f t="shared" si="238"/>
        <v>2.1858384570632536E-11</v>
      </c>
    </row>
    <row r="1786" spans="11:22">
      <c r="K1786" s="66">
        <v>88.7</v>
      </c>
      <c r="L1786" s="10">
        <f t="shared" si="232"/>
        <v>1.9776986523296388E-7</v>
      </c>
      <c r="M1786" s="10">
        <f t="shared" si="233"/>
        <v>2.3847837003059169E-10</v>
      </c>
      <c r="N1786" s="10">
        <f t="shared" si="234"/>
        <v>1.1176414497263267</v>
      </c>
      <c r="O1786" s="10">
        <f t="shared" si="235"/>
        <v>1.6044752784397469</v>
      </c>
      <c r="P1786" s="10">
        <f t="shared" si="236"/>
        <v>1.319803186254823E-2</v>
      </c>
      <c r="Q1786" s="66">
        <f t="shared" si="239"/>
        <v>2</v>
      </c>
      <c r="R1786" s="10">
        <f t="shared" si="237"/>
        <v>3.3888709021972619E-18</v>
      </c>
      <c r="V1786" s="10">
        <f t="shared" si="238"/>
        <v>1.0099993792967675E-11</v>
      </c>
    </row>
    <row r="1787" spans="11:22">
      <c r="K1787" s="66">
        <v>88.75</v>
      </c>
      <c r="L1787" s="10">
        <f t="shared" si="232"/>
        <v>1.8700228515514284E-7</v>
      </c>
      <c r="M1787" s="10">
        <f t="shared" si="233"/>
        <v>2.2006206908576657E-10</v>
      </c>
      <c r="N1787" s="10">
        <f t="shared" si="234"/>
        <v>1.1216898317059634</v>
      </c>
      <c r="O1787" s="10">
        <f t="shared" si="235"/>
        <v>1.6102872543332589</v>
      </c>
      <c r="P1787" s="10">
        <f t="shared" si="236"/>
        <v>1.3165874395634084E-2</v>
      </c>
      <c r="Q1787" s="66">
        <f t="shared" si="239"/>
        <v>4</v>
      </c>
      <c r="R1787" s="10">
        <f t="shared" si="237"/>
        <v>5.9207790833584068E-18</v>
      </c>
      <c r="V1787" s="10">
        <f t="shared" si="238"/>
        <v>1.8661999140790422E-11</v>
      </c>
    </row>
    <row r="1788" spans="11:22">
      <c r="K1788" s="66">
        <v>88.8</v>
      </c>
      <c r="L1788" s="10">
        <f t="shared" si="232"/>
        <v>1.7678509287019447E-7</v>
      </c>
      <c r="M1788" s="10">
        <f t="shared" si="233"/>
        <v>2.0300884269788202E-10</v>
      </c>
      <c r="N1788" s="10">
        <f t="shared" si="234"/>
        <v>1.1257528792683924</v>
      </c>
      <c r="O1788" s="10">
        <f t="shared" si="235"/>
        <v>1.6161202845675104</v>
      </c>
      <c r="P1788" s="10">
        <f t="shared" si="236"/>
        <v>1.3133795281514437E-2</v>
      </c>
      <c r="Q1788" s="66">
        <f t="shared" si="239"/>
        <v>2</v>
      </c>
      <c r="R1788" s="10">
        <f t="shared" si="237"/>
        <v>2.5848074430778063E-18</v>
      </c>
      <c r="V1788" s="10">
        <f t="shared" si="238"/>
        <v>8.6180458079386329E-12</v>
      </c>
    </row>
    <row r="1789" spans="11:22">
      <c r="K1789" s="66">
        <v>88.85</v>
      </c>
      <c r="L1789" s="10">
        <f t="shared" si="232"/>
        <v>1.6709212443190519E-7</v>
      </c>
      <c r="M1789" s="10">
        <f t="shared" si="233"/>
        <v>1.8722240807498575E-10</v>
      </c>
      <c r="N1789" s="10">
        <f t="shared" si="234"/>
        <v>1.1298306455408398</v>
      </c>
      <c r="O1789" s="10">
        <f t="shared" si="235"/>
        <v>1.6219744454135134</v>
      </c>
      <c r="P1789" s="10">
        <f t="shared" si="236"/>
        <v>1.3101794329279963E-2</v>
      </c>
      <c r="Q1789" s="66">
        <f t="shared" si="239"/>
        <v>4</v>
      </c>
      <c r="R1789" s="10">
        <f t="shared" si="237"/>
        <v>4.5115133452344835E-18</v>
      </c>
      <c r="V1789" s="10">
        <f t="shared" si="238"/>
        <v>1.5914482859364064E-11</v>
      </c>
    </row>
    <row r="1790" spans="11:22">
      <c r="K1790" s="66">
        <v>88.9</v>
      </c>
      <c r="L1790" s="10">
        <f t="shared" si="232"/>
        <v>1.5789835757815301E-7</v>
      </c>
      <c r="M1790" s="10">
        <f t="shared" si="233"/>
        <v>1.7261293884640723E-10</v>
      </c>
      <c r="N1790" s="10">
        <f t="shared" si="234"/>
        <v>1.1339231838429968</v>
      </c>
      <c r="O1790" s="10">
        <f t="shared" si="235"/>
        <v>1.6278498134185715</v>
      </c>
      <c r="P1790" s="10">
        <f t="shared" si="236"/>
        <v>1.3069871348486488E-2</v>
      </c>
      <c r="Q1790" s="66">
        <f t="shared" si="239"/>
        <v>2</v>
      </c>
      <c r="R1790" s="10">
        <f t="shared" si="237"/>
        <v>1.9676155529746263E-18</v>
      </c>
      <c r="V1790" s="10">
        <f t="shared" si="238"/>
        <v>7.344951300501379E-12</v>
      </c>
    </row>
    <row r="1791" spans="11:22">
      <c r="K1791" s="66">
        <v>88.95</v>
      </c>
      <c r="L1791" s="10">
        <f t="shared" si="232"/>
        <v>1.4917986687462264E-7</v>
      </c>
      <c r="M1791" s="10">
        <f t="shared" si="233"/>
        <v>1.5909665682173702E-10</v>
      </c>
      <c r="N1791" s="10">
        <f t="shared" si="234"/>
        <v>1.1380305476877008</v>
      </c>
      <c r="O1791" s="10">
        <f t="shared" si="235"/>
        <v>1.6337464654072866</v>
      </c>
      <c r="P1791" s="10">
        <f t="shared" si="236"/>
        <v>1.3038026149153869E-2</v>
      </c>
      <c r="Q1791" s="66">
        <f t="shared" si="239"/>
        <v>4</v>
      </c>
      <c r="R1791" s="10">
        <f t="shared" si="237"/>
        <v>3.4308473619180909E-18</v>
      </c>
      <c r="V1791" s="10">
        <f t="shared" si="238"/>
        <v>1.3555560790737142E-11</v>
      </c>
    </row>
    <row r="1792" spans="11:22">
      <c r="K1792" s="66">
        <v>89</v>
      </c>
      <c r="L1792" s="10">
        <f t="shared" si="232"/>
        <v>1.4091378039630957E-7</v>
      </c>
      <c r="M1792" s="10">
        <f t="shared" si="233"/>
        <v>1.4659544787328423E-10</v>
      </c>
      <c r="N1792" s="10">
        <f t="shared" si="234"/>
        <v>1.1421527907816533</v>
      </c>
      <c r="O1792" s="10">
        <f t="shared" si="235"/>
        <v>1.6396644784825745</v>
      </c>
      <c r="P1792" s="10">
        <f t="shared" si="236"/>
        <v>1.3006258541764888E-2</v>
      </c>
      <c r="Q1792" s="66">
        <f t="shared" si="239"/>
        <v>2</v>
      </c>
      <c r="R1792" s="10">
        <f t="shared" si="237"/>
        <v>1.4948063296071111E-18</v>
      </c>
      <c r="V1792" s="10">
        <f t="shared" si="238"/>
        <v>6.2525588803200056E-12</v>
      </c>
    </row>
    <row r="1793" spans="11:22">
      <c r="K1793" s="66">
        <v>89.05</v>
      </c>
      <c r="L1793" s="10">
        <f t="shared" si="232"/>
        <v>1.3307823790359006E-7</v>
      </c>
      <c r="M1793" s="10">
        <f t="shared" si="233"/>
        <v>1.3503650062645144E-10</v>
      </c>
      <c r="N1793" s="10">
        <f t="shared" si="234"/>
        <v>1.1462899670261006</v>
      </c>
      <c r="O1793" s="10">
        <f t="shared" si="235"/>
        <v>1.6456039300266445</v>
      </c>
      <c r="P1793" s="10">
        <f t="shared" si="236"/>
        <v>1.2974568337263941E-2</v>
      </c>
      <c r="Q1793" s="66">
        <f t="shared" si="239"/>
        <v>4</v>
      </c>
      <c r="R1793" s="10">
        <f t="shared" si="237"/>
        <v>2.6038144645260046E-18</v>
      </c>
      <c r="V1793" s="10">
        <f t="shared" si="238"/>
        <v>1.1532656113798484E-11</v>
      </c>
    </row>
    <row r="1794" spans="11:22">
      <c r="K1794" s="66">
        <v>89.1</v>
      </c>
      <c r="L1794" s="10">
        <f t="shared" si="232"/>
        <v>1.2565235047027499E-7</v>
      </c>
      <c r="M1794" s="10">
        <f t="shared" si="233"/>
        <v>1.2435196670711486E-10</v>
      </c>
      <c r="N1794" s="10">
        <f t="shared" si="234"/>
        <v>1.1504421305175621</v>
      </c>
      <c r="O1794" s="10">
        <f t="shared" si="235"/>
        <v>1.6515648977020467</v>
      </c>
      <c r="P1794" s="10">
        <f t="shared" si="236"/>
        <v>1.2942955347056298E-2</v>
      </c>
      <c r="Q1794" s="66">
        <f t="shared" si="239"/>
        <v>2</v>
      </c>
      <c r="R1794" s="10">
        <f t="shared" si="237"/>
        <v>1.1333288494821697E-18</v>
      </c>
      <c r="V1794" s="10">
        <f t="shared" si="238"/>
        <v>5.3163271241576387E-12</v>
      </c>
    </row>
    <row r="1795" spans="11:22">
      <c r="K1795" s="66">
        <v>89.15</v>
      </c>
      <c r="L1795" s="10">
        <f t="shared" si="232"/>
        <v>1.1861616152214468E-7</v>
      </c>
      <c r="M1795" s="10">
        <f t="shared" si="233"/>
        <v>1.1447864135769568E-10</v>
      </c>
      <c r="N1795" s="10">
        <f t="shared" si="234"/>
        <v>1.1546093355485223</v>
      </c>
      <c r="O1795" s="10">
        <f t="shared" si="235"/>
        <v>1.6575474594526642</v>
      </c>
      <c r="P1795" s="10">
        <f t="shared" si="236"/>
        <v>1.291141938300659E-2</v>
      </c>
      <c r="Q1795" s="66">
        <f t="shared" si="239"/>
        <v>4</v>
      </c>
      <c r="R1795" s="10">
        <f t="shared" si="237"/>
        <v>1.9721586253114296E-18</v>
      </c>
      <c r="V1795" s="10">
        <f t="shared" si="238"/>
        <v>9.7999614290139074E-12</v>
      </c>
    </row>
    <row r="1796" spans="11:22">
      <c r="K1796" s="66">
        <v>89.2</v>
      </c>
      <c r="L1796" s="10">
        <f t="shared" si="232"/>
        <v>1.119506092451006E-7</v>
      </c>
      <c r="M1796" s="10">
        <f t="shared" si="233"/>
        <v>1.0535766329270138E-10</v>
      </c>
      <c r="N1796" s="10">
        <f t="shared" si="234"/>
        <v>1.1587916366081397</v>
      </c>
      <c r="O1796" s="10">
        <f t="shared" si="235"/>
        <v>1.6635516935047308</v>
      </c>
      <c r="P1796" s="10">
        <f t="shared" si="236"/>
        <v>1.2879960257437883E-2</v>
      </c>
      <c r="Q1796" s="66">
        <f t="shared" si="239"/>
        <v>2</v>
      </c>
      <c r="R1796" s="10">
        <f t="shared" si="237"/>
        <v>8.5752532204057125E-19</v>
      </c>
      <c r="V1796" s="10">
        <f t="shared" si="238"/>
        <v>4.5148871618077572E-12</v>
      </c>
    </row>
    <row r="1797" spans="11:22">
      <c r="K1797" s="66">
        <v>89.25</v>
      </c>
      <c r="L1797" s="10">
        <f t="shared" si="232"/>
        <v>1.0563749032304164E-7</v>
      </c>
      <c r="M1797" s="10">
        <f t="shared" si="233"/>
        <v>9.6934232721617537E-11</v>
      </c>
      <c r="N1797" s="10">
        <f t="shared" si="234"/>
        <v>1.1629890883829719</v>
      </c>
      <c r="O1797" s="10">
        <f t="shared" si="235"/>
        <v>1.6695776783678717</v>
      </c>
      <c r="P1797" s="10">
        <f t="shared" si="236"/>
        <v>1.2848577783130526E-2</v>
      </c>
      <c r="Q1797" s="66">
        <f t="shared" si="239"/>
        <v>4</v>
      </c>
      <c r="R1797" s="10">
        <f t="shared" si="237"/>
        <v>1.4907007046047301E-18</v>
      </c>
      <c r="V1797" s="10">
        <f t="shared" si="238"/>
        <v>8.3176149242056761E-12</v>
      </c>
    </row>
    <row r="1798" spans="11:22">
      <c r="K1798" s="66">
        <v>89.3</v>
      </c>
      <c r="L1798" s="10">
        <f t="shared" si="232"/>
        <v>9.9659424966424831E-8</v>
      </c>
      <c r="M1798" s="10">
        <f t="shared" si="233"/>
        <v>8.9157346521330941E-11</v>
      </c>
      <c r="N1798" s="10">
        <f t="shared" si="234"/>
        <v>1.1672017457576744</v>
      </c>
      <c r="O1798" s="10">
        <f t="shared" si="235"/>
        <v>1.6756254928361092</v>
      </c>
      <c r="P1798" s="10">
        <f t="shared" si="236"/>
        <v>1.2817271773321039E-2</v>
      </c>
      <c r="Q1798" s="66">
        <f t="shared" si="239"/>
        <v>2</v>
      </c>
      <c r="R1798" s="10">
        <f t="shared" si="237"/>
        <v>6.4751758652116019E-19</v>
      </c>
      <c r="V1798" s="10">
        <f t="shared" si="238"/>
        <v>3.8296548893351538E-12</v>
      </c>
    </row>
    <row r="1799" spans="11:22">
      <c r="K1799" s="66">
        <v>89.35</v>
      </c>
      <c r="L1799" s="10">
        <f t="shared" si="232"/>
        <v>9.3999823193205847E-8</v>
      </c>
      <c r="M1799" s="10">
        <f t="shared" si="233"/>
        <v>8.197954959204363E-11</v>
      </c>
      <c r="N1799" s="10">
        <f t="shared" si="234"/>
        <v>1.1714296638157338</v>
      </c>
      <c r="O1799" s="10">
        <f t="shared" si="235"/>
        <v>1.6816952159889107</v>
      </c>
      <c r="P1799" s="10">
        <f t="shared" si="236"/>
        <v>1.2786042041700993E-2</v>
      </c>
      <c r="Q1799" s="66">
        <f t="shared" si="239"/>
        <v>4</v>
      </c>
      <c r="R1799" s="10">
        <f t="shared" si="237"/>
        <v>1.1244741212137371E-18</v>
      </c>
      <c r="V1799" s="10">
        <f t="shared" si="238"/>
        <v>7.0509704604685446E-12</v>
      </c>
    </row>
    <row r="1800" spans="11:22">
      <c r="K1800" s="66">
        <v>89.4</v>
      </c>
      <c r="L1800" s="10">
        <f t="shared" si="232"/>
        <v>8.8642852324771901E-8</v>
      </c>
      <c r="M1800" s="10">
        <f t="shared" si="233"/>
        <v>7.5356701480290442E-11</v>
      </c>
      <c r="N1800" s="10">
        <f t="shared" si="234"/>
        <v>1.1756728978401798</v>
      </c>
      <c r="O1800" s="10">
        <f t="shared" si="235"/>
        <v>1.6877869271922159</v>
      </c>
      <c r="P1800" s="10">
        <f t="shared" si="236"/>
        <v>1.2754888402415907E-2</v>
      </c>
      <c r="Q1800" s="66">
        <f t="shared" si="239"/>
        <v>2</v>
      </c>
      <c r="R1800" s="10">
        <f t="shared" si="237"/>
        <v>4.8793655488711217E-19</v>
      </c>
      <c r="V1800" s="10">
        <f t="shared" si="238"/>
        <v>3.2444876043290015E-12</v>
      </c>
    </row>
    <row r="1801" spans="11:22">
      <c r="K1801" s="66">
        <v>89.45</v>
      </c>
      <c r="L1801" s="10">
        <f t="shared" si="232"/>
        <v>8.3573405660279378E-8</v>
      </c>
      <c r="M1801" s="10">
        <f t="shared" si="233"/>
        <v>6.9247757399959492E-11</v>
      </c>
      <c r="N1801" s="10">
        <f t="shared" si="234"/>
        <v>1.1799315033143061</v>
      </c>
      <c r="O1801" s="10">
        <f t="shared" si="235"/>
        <v>1.6939007060994646</v>
      </c>
      <c r="P1801" s="10">
        <f t="shared" si="236"/>
        <v>1.2723810670064143E-2</v>
      </c>
      <c r="Q1801" s="66">
        <f t="shared" si="239"/>
        <v>4</v>
      </c>
      <c r="R1801" s="10">
        <f t="shared" si="237"/>
        <v>8.4647163772295068E-19</v>
      </c>
      <c r="V1801" s="10">
        <f t="shared" si="238"/>
        <v>5.9699516734737986E-12</v>
      </c>
    </row>
    <row r="1802" spans="11:22">
      <c r="K1802" s="66">
        <v>89.5</v>
      </c>
      <c r="L1802" s="10">
        <f t="shared" si="232"/>
        <v>7.8777072293584956E-8</v>
      </c>
      <c r="M1802" s="10">
        <f t="shared" si="233"/>
        <v>6.3614562827281733E-11</v>
      </c>
      <c r="N1802" s="10">
        <f t="shared" si="234"/>
        <v>1.1842055359223984</v>
      </c>
      <c r="O1802" s="10">
        <f t="shared" si="235"/>
        <v>1.7000366326526597</v>
      </c>
      <c r="P1802" s="10">
        <f t="shared" si="236"/>
        <v>1.26928086596958E-2</v>
      </c>
      <c r="Q1802" s="66">
        <f t="shared" si="239"/>
        <v>2</v>
      </c>
      <c r="R1802" s="10">
        <f t="shared" si="237"/>
        <v>3.6692375930919531E-19</v>
      </c>
      <c r="V1802" s="10">
        <f t="shared" si="238"/>
        <v>2.7453803529980696E-12</v>
      </c>
    </row>
    <row r="1803" spans="11:22">
      <c r="K1803" s="66">
        <v>89.55</v>
      </c>
      <c r="L1803" s="10">
        <f t="shared" si="232"/>
        <v>7.4240108037819918E-8</v>
      </c>
      <c r="M1803" s="10">
        <f t="shared" si="233"/>
        <v>5.8421660888882876E-11</v>
      </c>
      <c r="N1803" s="10">
        <f t="shared" si="234"/>
        <v>1.1884950515504673</v>
      </c>
      <c r="O1803" s="10">
        <f t="shared" si="235"/>
        <v>1.7061947870833882</v>
      </c>
      <c r="P1803" s="10">
        <f t="shared" si="236"/>
        <v>1.2661882186811609E-2</v>
      </c>
      <c r="Q1803" s="66">
        <f t="shared" si="239"/>
        <v>4</v>
      </c>
      <c r="R1803" s="10">
        <f t="shared" si="237"/>
        <v>6.3587652317718843E-19</v>
      </c>
      <c r="V1803" s="10">
        <f t="shared" si="238"/>
        <v>5.0484811335443017E-12</v>
      </c>
    </row>
    <row r="1804" spans="11:22">
      <c r="K1804" s="66">
        <v>89.6</v>
      </c>
      <c r="L1804" s="10">
        <f t="shared" ref="L1804:L1867" si="240">(B$7^K1804)*B$8^((B$5^25)*((B$5^K1804)-1))</f>
        <v>6.9949407423439943E-8</v>
      </c>
      <c r="M1804" s="10">
        <f t="shared" ref="M1804:M1867" si="241">(B$7^K1804)*B$8^((B$5^30)*((B$5^K1804)-1))</f>
        <v>5.3636111803002762E-11</v>
      </c>
      <c r="N1804" s="10">
        <f t="shared" si="234"/>
        <v>1.1928001062869755</v>
      </c>
      <c r="O1804" s="10">
        <f t="shared" si="235"/>
        <v>1.7123752499138913</v>
      </c>
      <c r="P1804" s="10">
        <f t="shared" si="236"/>
        <v>1.263103106736186E-2</v>
      </c>
      <c r="Q1804" s="66">
        <f t="shared" si="239"/>
        <v>2</v>
      </c>
      <c r="R1804" s="10">
        <f t="shared" si="237"/>
        <v>2.7534834952125615E-19</v>
      </c>
      <c r="V1804" s="10">
        <f t="shared" si="238"/>
        <v>2.3201977326959871E-12</v>
      </c>
    </row>
    <row r="1805" spans="11:22">
      <c r="K1805" s="66">
        <v>89.65</v>
      </c>
      <c r="L1805" s="10">
        <f t="shared" si="240"/>
        <v>6.5892476736341926E-8</v>
      </c>
      <c r="M1805" s="10">
        <f t="shared" si="241"/>
        <v>4.9227323673083883E-11</v>
      </c>
      <c r="N1805" s="10">
        <f t="shared" ref="N1805:N1868" si="242">B$3+B$4*(B$5^(25+K1805))</f>
        <v>1.1971207564235635</v>
      </c>
      <c r="O1805" s="10">
        <f t="shared" ref="O1805:O1868" si="243">$B$3+$B$4*($B$5^(30+K1805))</f>
        <v>1.7185781019581086</v>
      </c>
      <c r="P1805" s="10">
        <f t="shared" ref="P1805:P1868" si="244">(1+B$6)^-K1805</f>
        <v>1.2600255117745235E-2</v>
      </c>
      <c r="Q1805" s="66">
        <f t="shared" si="239"/>
        <v>4</v>
      </c>
      <c r="R1805" s="10">
        <f t="shared" ref="R1805:R1868" si="245">L1805*M1805*(N1805+O1805)*P1805*Q1805</f>
        <v>4.7667684223876565E-19</v>
      </c>
      <c r="V1805" s="10">
        <f t="shared" si="238"/>
        <v>4.263976476223286E-12</v>
      </c>
    </row>
    <row r="1806" spans="11:22">
      <c r="K1806" s="66">
        <v>89.7</v>
      </c>
      <c r="L1806" s="10">
        <f t="shared" si="240"/>
        <v>6.205740806347507E-8</v>
      </c>
      <c r="M1806" s="10">
        <f t="shared" si="241"/>
        <v>4.516689397027186E-11</v>
      </c>
      <c r="N1806" s="10">
        <f t="shared" si="242"/>
        <v>1.2014570584558013</v>
      </c>
      <c r="O1806" s="10">
        <f t="shared" si="243"/>
        <v>1.7248034243227279</v>
      </c>
      <c r="P1806" s="10">
        <f t="shared" si="244"/>
        <v>1.2569554154807837E-2</v>
      </c>
      <c r="Q1806" s="66">
        <f t="shared" si="239"/>
        <v>2</v>
      </c>
      <c r="R1806" s="10">
        <f t="shared" si="245"/>
        <v>2.0619432595919766E-19</v>
      </c>
      <c r="V1806" s="10">
        <f t="shared" ref="V1806:V1869" si="246">(1-L1806)*M1806*O1806*P1806*Q1806</f>
        <v>1.9584373087275066E-12</v>
      </c>
    </row>
    <row r="1807" spans="11:22">
      <c r="K1807" s="66">
        <v>89.75</v>
      </c>
      <c r="L1807" s="10">
        <f t="shared" si="240"/>
        <v>5.8432854314098019E-8</v>
      </c>
      <c r="M1807" s="10">
        <f t="shared" si="241"/>
        <v>4.1428461076804802E-11</v>
      </c>
      <c r="N1807" s="10">
        <f t="shared" si="242"/>
        <v>1.2058090690839105</v>
      </c>
      <c r="O1807" s="10">
        <f t="shared" si="243"/>
        <v>1.7310512984082531</v>
      </c>
      <c r="P1807" s="10">
        <f t="shared" si="244"/>
        <v>1.2538927995841982E-2</v>
      </c>
      <c r="Q1807" s="66">
        <f t="shared" ref="Q1807:Q1870" si="247">IF(Q1806=4,2,4)</f>
        <v>4</v>
      </c>
      <c r="R1807" s="10">
        <f t="shared" si="245"/>
        <v>3.5658215111407316E-19</v>
      </c>
      <c r="V1807" s="10">
        <f t="shared" si="246"/>
        <v>3.5969062091214936E-12</v>
      </c>
    </row>
    <row r="1808" spans="11:22">
      <c r="K1808" s="66">
        <v>89.8</v>
      </c>
      <c r="L1808" s="10">
        <f t="shared" si="240"/>
        <v>5.5008005185654101E-8</v>
      </c>
      <c r="M1808" s="10">
        <f t="shared" si="241"/>
        <v>3.7987565296159823E-11</v>
      </c>
      <c r="N1808" s="10">
        <f t="shared" si="242"/>
        <v>1.2101768452135198</v>
      </c>
      <c r="O1808" s="10">
        <f t="shared" si="243"/>
        <v>1.7373218059100737</v>
      </c>
      <c r="P1808" s="10">
        <f t="shared" si="244"/>
        <v>1.2508376458585177E-2</v>
      </c>
      <c r="Q1808" s="66">
        <f t="shared" si="247"/>
        <v>2</v>
      </c>
      <c r="R1808" s="10">
        <f t="shared" si="245"/>
        <v>1.5408200097114785E-19</v>
      </c>
      <c r="V1808" s="10">
        <f t="shared" si="246"/>
        <v>1.6510211837431295E-12</v>
      </c>
    </row>
    <row r="1809" spans="11:22">
      <c r="K1809" s="66">
        <v>89.85</v>
      </c>
      <c r="L1809" s="10">
        <f t="shared" si="240"/>
        <v>5.1772564043932776E-8</v>
      </c>
      <c r="M1809" s="10">
        <f t="shared" si="241"/>
        <v>3.4821518767915377E-11</v>
      </c>
      <c r="N1809" s="10">
        <f t="shared" si="242"/>
        <v>1.2145604439564031</v>
      </c>
      <c r="O1809" s="10">
        <f t="shared" si="243"/>
        <v>1.7436150288195271</v>
      </c>
      <c r="P1809" s="10">
        <f t="shared" si="244"/>
        <v>1.2477899361219021E-2</v>
      </c>
      <c r="Q1809" s="66">
        <f t="shared" si="247"/>
        <v>4</v>
      </c>
      <c r="R1809" s="10">
        <f t="shared" si="245"/>
        <v>2.6617838460073187E-19</v>
      </c>
      <c r="V1809" s="10">
        <f t="shared" si="246"/>
        <v>3.0303986258832485E-12</v>
      </c>
    </row>
    <row r="1810" spans="11:22">
      <c r="K1810" s="66">
        <v>89.9</v>
      </c>
      <c r="L1810" s="10">
        <f t="shared" si="240"/>
        <v>4.8716725687973805E-8</v>
      </c>
      <c r="M1810" s="10">
        <f t="shared" si="241"/>
        <v>3.1909283755964875E-11</v>
      </c>
      <c r="N1810" s="10">
        <f t="shared" si="242"/>
        <v>1.2189599226312215</v>
      </c>
      <c r="O1810" s="10">
        <f t="shared" si="243"/>
        <v>1.7499310494249642</v>
      </c>
      <c r="P1810" s="10">
        <f t="shared" si="244"/>
        <v>1.2447496522368082E-2</v>
      </c>
      <c r="Q1810" s="66">
        <f t="shared" si="247"/>
        <v>2</v>
      </c>
      <c r="R1810" s="10">
        <f t="shared" si="245"/>
        <v>1.1489507302871642E-19</v>
      </c>
      <c r="V1810" s="10">
        <f t="shared" si="246"/>
        <v>1.390112604266832E-12</v>
      </c>
    </row>
    <row r="1811" spans="11:22">
      <c r="K1811" s="66">
        <v>89.95</v>
      </c>
      <c r="L1811" s="10">
        <f t="shared" si="240"/>
        <v>4.5831154970909019E-8</v>
      </c>
      <c r="M1811" s="10">
        <f t="shared" si="241"/>
        <v>2.923135880782796E-11</v>
      </c>
      <c r="N1811" s="10">
        <f t="shared" si="242"/>
        <v>1.2233753387642783</v>
      </c>
      <c r="O1811" s="10">
        <f t="shared" si="243"/>
        <v>1.7562699503128332</v>
      </c>
      <c r="P1811" s="10">
        <f t="shared" si="244"/>
        <v>1.241716776109892E-2</v>
      </c>
      <c r="Q1811" s="66">
        <f t="shared" si="247"/>
        <v>4</v>
      </c>
      <c r="R1811" s="10">
        <f t="shared" si="245"/>
        <v>1.9826995698515973E-19</v>
      </c>
      <c r="V1811" s="10">
        <f t="shared" si="246"/>
        <v>2.5498979192169601E-12</v>
      </c>
    </row>
    <row r="1812" spans="11:22">
      <c r="K1812" s="66">
        <v>90</v>
      </c>
      <c r="L1812" s="10">
        <f t="shared" si="240"/>
        <v>4.3106966248621222E-8</v>
      </c>
      <c r="M1812" s="10">
        <f t="shared" si="241"/>
        <v>2.6769672310451414E-11</v>
      </c>
      <c r="N1812" s="10">
        <f t="shared" si="242"/>
        <v>1.2278067500902776</v>
      </c>
      <c r="O1812" s="10">
        <f t="shared" si="243"/>
        <v>1.7626318143687674</v>
      </c>
      <c r="P1812" s="10">
        <f t="shared" si="244"/>
        <v>1.2386912896918942E-2</v>
      </c>
      <c r="Q1812" s="66">
        <f t="shared" si="247"/>
        <v>2</v>
      </c>
      <c r="R1812" s="10">
        <f t="shared" si="245"/>
        <v>8.5490622324697576E-20</v>
      </c>
      <c r="V1812" s="10">
        <f t="shared" si="246"/>
        <v>1.1689548043517327E-12</v>
      </c>
    </row>
    <row r="1813" spans="11:22">
      <c r="K1813" s="66">
        <v>90.05</v>
      </c>
      <c r="L1813" s="10">
        <f t="shared" si="240"/>
        <v>4.0535703628880811E-8</v>
      </c>
      <c r="M1813" s="10">
        <f t="shared" si="241"/>
        <v>2.4507482994267137E-11</v>
      </c>
      <c r="N1813" s="10">
        <f t="shared" si="242"/>
        <v>1.2322542145530582</v>
      </c>
      <c r="O1813" s="10">
        <f t="shared" si="243"/>
        <v>1.7690167247786428</v>
      </c>
      <c r="P1813" s="10">
        <f t="shared" si="244"/>
        <v>1.2356731749775182E-2</v>
      </c>
      <c r="Q1813" s="66">
        <f t="shared" si="247"/>
        <v>4</v>
      </c>
      <c r="R1813" s="10">
        <f t="shared" si="245"/>
        <v>1.4736869547641531E-19</v>
      </c>
      <c r="V1813" s="10">
        <f t="shared" si="246"/>
        <v>2.14286218679779E-12</v>
      </c>
    </row>
    <row r="1814" spans="11:22">
      <c r="K1814" s="66">
        <v>90.1</v>
      </c>
      <c r="L1814" s="10">
        <f t="shared" si="240"/>
        <v>3.8109321994258934E-8</v>
      </c>
      <c r="M1814" s="10">
        <f t="shared" si="241"/>
        <v>2.2429286962210692E-11</v>
      </c>
      <c r="N1814" s="10">
        <f t="shared" si="242"/>
        <v>1.2367177903063791</v>
      </c>
      <c r="O1814" s="10">
        <f t="shared" si="243"/>
        <v>1.7754247650297004</v>
      </c>
      <c r="P1814" s="10">
        <f t="shared" si="244"/>
        <v>1.2326624140053628E-2</v>
      </c>
      <c r="Q1814" s="66">
        <f t="shared" si="247"/>
        <v>2</v>
      </c>
      <c r="R1814" s="10">
        <f t="shared" si="245"/>
        <v>6.3474072115168752E-20</v>
      </c>
      <c r="V1814" s="10">
        <f t="shared" si="246"/>
        <v>9.8172957334024156E-13</v>
      </c>
    </row>
    <row r="1815" spans="11:22">
      <c r="K1815" s="66">
        <v>90.15</v>
      </c>
      <c r="L1815" s="10">
        <f t="shared" si="240"/>
        <v>3.5820168772884695E-8</v>
      </c>
      <c r="M1815" s="10">
        <f t="shared" si="241"/>
        <v>2.0520730844205963E-11</v>
      </c>
      <c r="N1815" s="10">
        <f t="shared" si="242"/>
        <v>1.2411975357146614</v>
      </c>
      <c r="O1815" s="10">
        <f t="shared" si="243"/>
        <v>1.7818560189116142</v>
      </c>
      <c r="P1815" s="10">
        <f t="shared" si="244"/>
        <v>1.2296589888577701E-2</v>
      </c>
      <c r="Q1815" s="66">
        <f t="shared" si="247"/>
        <v>4</v>
      </c>
      <c r="R1815" s="10">
        <f t="shared" si="245"/>
        <v>1.0929768741116857E-19</v>
      </c>
      <c r="V1815" s="10">
        <f t="shared" si="246"/>
        <v>1.7984985709946199E-12</v>
      </c>
    </row>
    <row r="1816" spans="11:22">
      <c r="K1816" s="66">
        <v>90.2</v>
      </c>
      <c r="L1816" s="10">
        <f t="shared" si="240"/>
        <v>3.366096643172797E-8</v>
      </c>
      <c r="M1816" s="10">
        <f t="shared" si="241"/>
        <v>1.8768530700110369E-11</v>
      </c>
      <c r="N1816" s="10">
        <f t="shared" si="242"/>
        <v>1.24569350935375</v>
      </c>
      <c r="O1816" s="10">
        <f t="shared" si="243"/>
        <v>1.7883105705175857</v>
      </c>
      <c r="P1816" s="10">
        <f t="shared" si="244"/>
        <v>1.2266628816607504E-2</v>
      </c>
      <c r="Q1816" s="66">
        <f t="shared" si="247"/>
        <v>2</v>
      </c>
      <c r="R1816" s="10">
        <f t="shared" si="245"/>
        <v>4.7024938455262766E-20</v>
      </c>
      <c r="V1816" s="10">
        <f t="shared" si="246"/>
        <v>8.2343329539492613E-13</v>
      </c>
    </row>
    <row r="1817" spans="11:22">
      <c r="K1817" s="66">
        <v>90.25</v>
      </c>
      <c r="L1817" s="10">
        <f t="shared" si="240"/>
        <v>3.1624795667815266E-8</v>
      </c>
      <c r="M1817" s="10">
        <f t="shared" si="241"/>
        <v>1.7160396315536285E-11</v>
      </c>
      <c r="N1817" s="10">
        <f t="shared" si="242"/>
        <v>1.2502057700116946</v>
      </c>
      <c r="O1817" s="10">
        <f t="shared" si="243"/>
        <v>1.7947885042454592</v>
      </c>
      <c r="P1817" s="10">
        <f t="shared" si="244"/>
        <v>1.2236740745838595E-2</v>
      </c>
      <c r="Q1817" s="66">
        <f t="shared" si="247"/>
        <v>4</v>
      </c>
      <c r="R1817" s="10">
        <f t="shared" si="245"/>
        <v>8.0884866367245412E-20</v>
      </c>
      <c r="V1817" s="10">
        <f t="shared" si="246"/>
        <v>1.5075312700262565E-12</v>
      </c>
    </row>
    <row r="1818" spans="11:22">
      <c r="K1818" s="66">
        <v>90.3</v>
      </c>
      <c r="L1818" s="10">
        <f t="shared" si="240"/>
        <v>2.9705079273436505E-8</v>
      </c>
      <c r="M1818" s="10">
        <f t="shared" si="241"/>
        <v>1.5684960555265037E-11</v>
      </c>
      <c r="N1818" s="10">
        <f t="shared" si="242"/>
        <v>1.2547343766895001</v>
      </c>
      <c r="O1818" s="10">
        <f t="shared" si="243"/>
        <v>1.8012899047988173</v>
      </c>
      <c r="P1818" s="10">
        <f t="shared" si="244"/>
        <v>1.2206925498400988E-2</v>
      </c>
      <c r="Q1818" s="66">
        <f t="shared" si="247"/>
        <v>2</v>
      </c>
      <c r="R1818" s="10">
        <f t="shared" si="245"/>
        <v>3.4762198631757874E-20</v>
      </c>
      <c r="V1818" s="10">
        <f t="shared" si="246"/>
        <v>6.8976844492543335E-13</v>
      </c>
    </row>
    <row r="1819" spans="11:22">
      <c r="K1819" s="66">
        <v>90.35</v>
      </c>
      <c r="L1819" s="10">
        <f t="shared" si="240"/>
        <v>2.7895566652042079E-8</v>
      </c>
      <c r="M1819" s="10">
        <f t="shared" si="241"/>
        <v>1.4331713458187973E-11</v>
      </c>
      <c r="N1819" s="10">
        <f t="shared" si="242"/>
        <v>1.2592793886019136</v>
      </c>
      <c r="O1819" s="10">
        <f t="shared" si="243"/>
        <v>1.8078148571880792</v>
      </c>
      <c r="P1819" s="10">
        <f t="shared" si="244"/>
        <v>1.2177182896858096E-2</v>
      </c>
      <c r="Q1819" s="66">
        <f t="shared" si="247"/>
        <v>4</v>
      </c>
      <c r="R1819" s="10">
        <f t="shared" si="245"/>
        <v>5.9726524785395149E-20</v>
      </c>
      <c r="V1819" s="10">
        <f t="shared" si="246"/>
        <v>1.2619986082920519E-12</v>
      </c>
    </row>
    <row r="1820" spans="11:22">
      <c r="K1820" s="66">
        <v>90.4</v>
      </c>
      <c r="L1820" s="10">
        <f t="shared" si="240"/>
        <v>2.6190318962183881E-8</v>
      </c>
      <c r="M1820" s="10">
        <f t="shared" si="241"/>
        <v>1.3090940775980255E-11</v>
      </c>
      <c r="N1820" s="10">
        <f t="shared" si="242"/>
        <v>1.2638408651781934</v>
      </c>
      <c r="O1820" s="10">
        <f t="shared" si="243"/>
        <v>1.8143634467316323</v>
      </c>
      <c r="P1820" s="10">
        <f t="shared" si="244"/>
        <v>1.2147512764205623E-2</v>
      </c>
      <c r="Q1820" s="66">
        <f t="shared" si="247"/>
        <v>2</v>
      </c>
      <c r="R1820" s="10">
        <f t="shared" si="245"/>
        <v>2.5640497506156676E-20</v>
      </c>
      <c r="V1820" s="10">
        <f t="shared" si="246"/>
        <v>5.7704873619115493E-13</v>
      </c>
    </row>
    <row r="1821" spans="11:22">
      <c r="K1821" s="66">
        <v>90.45</v>
      </c>
      <c r="L1821" s="10">
        <f t="shared" si="240"/>
        <v>2.4583694867488917E-8</v>
      </c>
      <c r="M1821" s="10">
        <f t="shared" si="241"/>
        <v>1.1953666674996214E-11</v>
      </c>
      <c r="N1821" s="10">
        <f t="shared" si="242"/>
        <v>1.268418866062879</v>
      </c>
      <c r="O1821" s="10">
        <f t="shared" si="243"/>
        <v>1.8209357590569246</v>
      </c>
      <c r="P1821" s="10">
        <f t="shared" si="244"/>
        <v>1.2117914923870611E-2</v>
      </c>
      <c r="Q1821" s="66">
        <f t="shared" si="247"/>
        <v>4</v>
      </c>
      <c r="R1821" s="10">
        <f t="shared" si="245"/>
        <v>4.4005195252329448E-20</v>
      </c>
      <c r="V1821" s="10">
        <f t="shared" si="246"/>
        <v>1.0550757610139074E-12</v>
      </c>
    </row>
    <row r="1822" spans="11:22">
      <c r="K1822" s="66">
        <v>90.5</v>
      </c>
      <c r="L1822" s="10">
        <f t="shared" si="240"/>
        <v>2.3070336871253946E-8</v>
      </c>
      <c r="M1822" s="10">
        <f t="shared" si="241"/>
        <v>1.0911600337243283E-11</v>
      </c>
      <c r="N1822" s="10">
        <f t="shared" si="242"/>
        <v>1.2730134511165783</v>
      </c>
      <c r="O1822" s="10">
        <f t="shared" si="243"/>
        <v>1.8275318801016094</v>
      </c>
      <c r="P1822" s="10">
        <f t="shared" si="244"/>
        <v>1.2088389199710283E-2</v>
      </c>
      <c r="Q1822" s="66">
        <f t="shared" si="247"/>
        <v>2</v>
      </c>
      <c r="R1822" s="10">
        <f t="shared" si="245"/>
        <v>1.8870304221212027E-20</v>
      </c>
      <c r="V1822" s="10">
        <f t="shared" si="246"/>
        <v>4.8211631902991286E-13</v>
      </c>
    </row>
    <row r="1823" spans="11:22">
      <c r="K1823" s="66">
        <v>90.55</v>
      </c>
      <c r="L1823" s="10">
        <f t="shared" si="240"/>
        <v>2.1645158214883729E-8</v>
      </c>
      <c r="M1823" s="10">
        <f t="shared" si="241"/>
        <v>9.9570862118199991E-12</v>
      </c>
      <c r="N1823" s="10">
        <f t="shared" si="242"/>
        <v>1.2776246804167524</v>
      </c>
      <c r="O1823" s="10">
        <f t="shared" si="243"/>
        <v>1.8341518961146424</v>
      </c>
      <c r="P1823" s="10">
        <f t="shared" si="244"/>
        <v>1.2058935416011055E-2</v>
      </c>
      <c r="Q1823" s="66">
        <f t="shared" si="247"/>
        <v>4</v>
      </c>
      <c r="R1823" s="10">
        <f t="shared" si="245"/>
        <v>3.2349710610481554E-20</v>
      </c>
      <c r="V1823" s="10">
        <f t="shared" si="246"/>
        <v>8.8092009646022285E-13</v>
      </c>
    </row>
    <row r="1824" spans="11:22">
      <c r="K1824" s="66">
        <v>90.6</v>
      </c>
      <c r="L1824" s="10">
        <f t="shared" si="240"/>
        <v>2.0303330319977071E-8</v>
      </c>
      <c r="M1824" s="10">
        <f t="shared" si="241"/>
        <v>9.0830576828741642E-12</v>
      </c>
      <c r="N1824" s="10">
        <f t="shared" si="242"/>
        <v>1.2822526142584987</v>
      </c>
      <c r="O1824" s="10">
        <f t="shared" si="243"/>
        <v>1.8407958936574333</v>
      </c>
      <c r="P1824" s="10">
        <f t="shared" si="244"/>
        <v>1.2029553397487484E-2</v>
      </c>
      <c r="Q1824" s="66">
        <f t="shared" si="247"/>
        <v>2</v>
      </c>
      <c r="R1824" s="10">
        <f t="shared" si="245"/>
        <v>1.3856628779428823E-20</v>
      </c>
      <c r="V1824" s="10">
        <f t="shared" si="246"/>
        <v>4.0226958753997864E-13</v>
      </c>
    </row>
    <row r="1825" spans="11:22">
      <c r="K1825" s="66">
        <v>90.65</v>
      </c>
      <c r="L1825" s="10">
        <f t="shared" si="240"/>
        <v>1.9040270754449954E-8</v>
      </c>
      <c r="M1825" s="10">
        <f t="shared" si="241"/>
        <v>8.2829939340288507E-12</v>
      </c>
      <c r="N1825" s="10">
        <f t="shared" si="242"/>
        <v>1.2868973131553307</v>
      </c>
      <c r="O1825" s="10">
        <f t="shared" si="243"/>
        <v>1.8474639596049667</v>
      </c>
      <c r="P1825" s="10">
        <f t="shared" si="244"/>
        <v>1.2000242969281174E-2</v>
      </c>
      <c r="Q1825" s="66">
        <f t="shared" si="247"/>
        <v>4</v>
      </c>
      <c r="R1825" s="10">
        <f t="shared" si="245"/>
        <v>2.3727913278607118E-20</v>
      </c>
      <c r="V1825" s="10">
        <f t="shared" si="246"/>
        <v>7.3453643119153036E-13</v>
      </c>
    </row>
    <row r="1826" spans="11:22">
      <c r="K1826" s="66">
        <v>90.7</v>
      </c>
      <c r="L1826" s="10">
        <f t="shared" si="240"/>
        <v>1.7851631703671739E-8</v>
      </c>
      <c r="M1826" s="10">
        <f t="shared" si="241"/>
        <v>7.5508798023737997E-12</v>
      </c>
      <c r="N1826" s="10">
        <f t="shared" si="242"/>
        <v>1.2915588378399865</v>
      </c>
      <c r="O1826" s="10">
        <f t="shared" si="243"/>
        <v>1.8541561811469327</v>
      </c>
      <c r="P1826" s="10">
        <f t="shared" si="244"/>
        <v>1.1971003956959842E-2</v>
      </c>
      <c r="Q1826" s="66">
        <f t="shared" si="247"/>
        <v>2</v>
      </c>
      <c r="R1826" s="10">
        <f t="shared" si="245"/>
        <v>1.015208911391079E-20</v>
      </c>
      <c r="V1826" s="10">
        <f t="shared" si="246"/>
        <v>3.3520032621649345E-13</v>
      </c>
    </row>
    <row r="1827" spans="11:22">
      <c r="K1827" s="66">
        <v>90.75</v>
      </c>
      <c r="L1827" s="10">
        <f t="shared" si="240"/>
        <v>1.6733288928140945E-8</v>
      </c>
      <c r="M1827" s="10">
        <f t="shared" si="241"/>
        <v>6.8811684275376186E-12</v>
      </c>
      <c r="N1827" s="10">
        <f t="shared" si="242"/>
        <v>1.2962372492652037</v>
      </c>
      <c r="O1827" s="10">
        <f t="shared" si="243"/>
        <v>1.8608726457888722</v>
      </c>
      <c r="P1827" s="10">
        <f t="shared" si="244"/>
        <v>1.1941836186516171E-2</v>
      </c>
      <c r="Q1827" s="66">
        <f t="shared" si="247"/>
        <v>4</v>
      </c>
      <c r="R1827" s="10">
        <f t="shared" si="245"/>
        <v>1.7364580586835577E-20</v>
      </c>
      <c r="V1827" s="10">
        <f t="shared" si="246"/>
        <v>6.1165979303172099E-13</v>
      </c>
    </row>
    <row r="1828" spans="11:22">
      <c r="K1828" s="66">
        <v>90.8</v>
      </c>
      <c r="L1828" s="10">
        <f t="shared" si="240"/>
        <v>1.5681331189788207E-8</v>
      </c>
      <c r="M1828" s="10">
        <f t="shared" si="241"/>
        <v>6.2687465131052033E-12</v>
      </c>
      <c r="N1828" s="10">
        <f t="shared" si="242"/>
        <v>1.3009326086045339</v>
      </c>
      <c r="O1828" s="10">
        <f t="shared" si="243"/>
        <v>1.8676134413533292</v>
      </c>
      <c r="P1828" s="10">
        <f t="shared" si="244"/>
        <v>1.1912739484366844E-2</v>
      </c>
      <c r="Q1828" s="66">
        <f t="shared" si="247"/>
        <v>2</v>
      </c>
      <c r="R1828" s="10">
        <f t="shared" si="245"/>
        <v>7.4210490044470955E-21</v>
      </c>
      <c r="V1828" s="10">
        <f t="shared" si="246"/>
        <v>2.7893905998897035E-13</v>
      </c>
    </row>
    <row r="1829" spans="11:22">
      <c r="K1829" s="66">
        <v>90.85</v>
      </c>
      <c r="L1829" s="10">
        <f t="shared" si="240"/>
        <v>1.4692050129528447E-8</v>
      </c>
      <c r="M1829" s="10">
        <f t="shared" si="241"/>
        <v>5.7089020287381633E-12</v>
      </c>
      <c r="N1829" s="10">
        <f t="shared" si="242"/>
        <v>1.3056449772531331</v>
      </c>
      <c r="O1829" s="10">
        <f t="shared" si="243"/>
        <v>1.8743786559809916</v>
      </c>
      <c r="P1829" s="10">
        <f t="shared" si="244"/>
        <v>1.1883713677351445E-2</v>
      </c>
      <c r="Q1829" s="66">
        <f t="shared" si="247"/>
        <v>4</v>
      </c>
      <c r="R1829" s="10">
        <f t="shared" si="245"/>
        <v>1.2678781280908347E-20</v>
      </c>
      <c r="V1829" s="10">
        <f t="shared" si="246"/>
        <v>5.0865355567609245E-13</v>
      </c>
    </row>
    <row r="1830" spans="11:22">
      <c r="K1830" s="66">
        <v>90.9</v>
      </c>
      <c r="L1830" s="10">
        <f t="shared" si="240"/>
        <v>1.3761930579220249E-8</v>
      </c>
      <c r="M1830" s="10">
        <f t="shared" si="241"/>
        <v>5.1972941918419344E-12</v>
      </c>
      <c r="N1830" s="10">
        <f t="shared" si="242"/>
        <v>1.3103744168285634</v>
      </c>
      <c r="O1830" s="10">
        <f t="shared" si="243"/>
        <v>1.8811683781318369</v>
      </c>
      <c r="P1830" s="10">
        <f t="shared" si="244"/>
        <v>1.1854758592731506E-2</v>
      </c>
      <c r="Q1830" s="66">
        <f t="shared" si="247"/>
        <v>2</v>
      </c>
      <c r="R1830" s="10">
        <f t="shared" si="245"/>
        <v>5.4122773761114477E-21</v>
      </c>
      <c r="V1830" s="10">
        <f t="shared" si="246"/>
        <v>2.3180760220134387E-13</v>
      </c>
    </row>
    <row r="1831" spans="11:22">
      <c r="K1831" s="66">
        <v>90.95</v>
      </c>
      <c r="L1831" s="10">
        <f t="shared" si="240"/>
        <v>1.2887641291701973E-8</v>
      </c>
      <c r="M1831" s="10">
        <f t="shared" si="241"/>
        <v>4.7299255775120442E-12</v>
      </c>
      <c r="N1831" s="10">
        <f t="shared" si="242"/>
        <v>1.3151209891715994</v>
      </c>
      <c r="O1831" s="10">
        <f t="shared" si="243"/>
        <v>1.8879826965862958</v>
      </c>
      <c r="P1831" s="10">
        <f t="shared" si="244"/>
        <v>1.1825874058189448E-2</v>
      </c>
      <c r="Q1831" s="66">
        <f t="shared" si="247"/>
        <v>4</v>
      </c>
      <c r="R1831" s="10">
        <f t="shared" si="245"/>
        <v>9.2361714306399817E-21</v>
      </c>
      <c r="V1831" s="10">
        <f t="shared" si="246"/>
        <v>4.2242105065489044E-13</v>
      </c>
    </row>
    <row r="1832" spans="11:22">
      <c r="K1832" s="66">
        <v>91</v>
      </c>
      <c r="L1832" s="10">
        <f t="shared" si="240"/>
        <v>1.2066026073082992E-8</v>
      </c>
      <c r="M1832" s="10">
        <f t="shared" si="241"/>
        <v>4.3031162148351424E-12</v>
      </c>
      <c r="N1832" s="10">
        <f t="shared" si="242"/>
        <v>1.3198847563470482</v>
      </c>
      <c r="O1832" s="10">
        <f t="shared" si="243"/>
        <v>1.8948217004464252</v>
      </c>
      <c r="P1832" s="10">
        <f t="shared" si="244"/>
        <v>1.1797059901827561E-2</v>
      </c>
      <c r="Q1832" s="66">
        <f t="shared" si="247"/>
        <v>2</v>
      </c>
      <c r="R1832" s="10">
        <f t="shared" si="245"/>
        <v>3.9381516648530776E-21</v>
      </c>
      <c r="V1832" s="10">
        <f t="shared" si="246"/>
        <v>1.9237790909503083E-13</v>
      </c>
    </row>
    <row r="1833" spans="11:22">
      <c r="K1833" s="66">
        <v>91.05</v>
      </c>
      <c r="L1833" s="10">
        <f t="shared" si="240"/>
        <v>1.1294095301971576E-8</v>
      </c>
      <c r="M1833" s="10">
        <f t="shared" si="241"/>
        <v>3.9134795364316673E-12</v>
      </c>
      <c r="N1833" s="10">
        <f t="shared" si="242"/>
        <v>1.3246657806445374</v>
      </c>
      <c r="O1833" s="10">
        <f t="shared" si="243"/>
        <v>1.901685479137041</v>
      </c>
      <c r="P1833" s="10">
        <f t="shared" si="244"/>
        <v>1.1768315952166849E-2</v>
      </c>
      <c r="Q1833" s="66">
        <f t="shared" si="247"/>
        <v>4</v>
      </c>
      <c r="R1833" s="10">
        <f t="shared" si="245"/>
        <v>6.7127500198531795E-21</v>
      </c>
      <c r="V1833" s="10">
        <f t="shared" si="246"/>
        <v>3.5032897923285899E-13</v>
      </c>
    </row>
    <row r="1834" spans="11:22">
      <c r="K1834" s="66">
        <v>91.1</v>
      </c>
      <c r="L1834" s="10">
        <f t="shared" si="240"/>
        <v>1.0569017820788795E-8</v>
      </c>
      <c r="M1834" s="10">
        <f t="shared" si="241"/>
        <v>3.5579000564298797E-12</v>
      </c>
      <c r="N1834" s="10">
        <f t="shared" si="242"/>
        <v>1.3294641245793577</v>
      </c>
      <c r="O1834" s="10">
        <f t="shared" si="243"/>
        <v>1.9085741224069279</v>
      </c>
      <c r="P1834" s="10">
        <f t="shared" si="244"/>
        <v>1.1739642038146309E-2</v>
      </c>
      <c r="Q1834" s="66">
        <f t="shared" si="247"/>
        <v>2</v>
      </c>
      <c r="R1834" s="10">
        <f t="shared" si="245"/>
        <v>2.8588752121825451E-21</v>
      </c>
      <c r="V1834" s="10">
        <f t="shared" si="246"/>
        <v>1.5943645198257025E-13</v>
      </c>
    </row>
    <row r="1835" spans="11:22">
      <c r="K1835" s="66">
        <v>91.15</v>
      </c>
      <c r="L1835" s="10">
        <f t="shared" si="240"/>
        <v>9.8881131848152026E-9</v>
      </c>
      <c r="M1835" s="10">
        <f t="shared" si="241"/>
        <v>3.2335126599036504E-12</v>
      </c>
      <c r="N1835" s="10">
        <f t="shared" si="242"/>
        <v>1.3342798508932612</v>
      </c>
      <c r="O1835" s="10">
        <f t="shared" si="243"/>
        <v>1.9154877203299854</v>
      </c>
      <c r="P1835" s="10">
        <f t="shared" si="244"/>
        <v>1.171103798912162E-2</v>
      </c>
      <c r="Q1835" s="66">
        <f t="shared" si="247"/>
        <v>4</v>
      </c>
      <c r="R1835" s="10">
        <f t="shared" si="245"/>
        <v>4.8673847414607879E-21</v>
      </c>
      <c r="V1835" s="10">
        <f t="shared" si="246"/>
        <v>2.9014114101843668E-13</v>
      </c>
    </row>
    <row r="1836" spans="11:22">
      <c r="K1836" s="66">
        <v>91.2</v>
      </c>
      <c r="L1836" s="10">
        <f t="shared" si="240"/>
        <v>9.2488442550539112E-9</v>
      </c>
      <c r="M1836" s="10">
        <f t="shared" si="241"/>
        <v>2.9376833941760111E-12</v>
      </c>
      <c r="N1836" s="10">
        <f t="shared" si="242"/>
        <v>1.3391130225552814</v>
      </c>
      <c r="O1836" s="10">
        <f t="shared" si="243"/>
        <v>1.9224263633064045</v>
      </c>
      <c r="P1836" s="10">
        <f t="shared" si="244"/>
        <v>1.168250363486429E-2</v>
      </c>
      <c r="Q1836" s="66">
        <f t="shared" si="247"/>
        <v>2</v>
      </c>
      <c r="R1836" s="10">
        <f t="shared" si="245"/>
        <v>2.0705274972122898E-21</v>
      </c>
      <c r="V1836" s="10">
        <f t="shared" si="246"/>
        <v>1.3195341012895668E-13</v>
      </c>
    </row>
    <row r="1837" spans="11:22">
      <c r="K1837" s="66">
        <v>91.25</v>
      </c>
      <c r="L1837" s="10">
        <f t="shared" si="240"/>
        <v>8.6488101214655198E-9</v>
      </c>
      <c r="M1837" s="10">
        <f t="shared" si="241"/>
        <v>2.6679916593531238E-12</v>
      </c>
      <c r="N1837" s="10">
        <f t="shared" si="242"/>
        <v>1.3439637027625717</v>
      </c>
      <c r="O1837" s="10">
        <f t="shared" si="243"/>
        <v>1.9293901420638686</v>
      </c>
      <c r="P1837" s="10">
        <f t="shared" si="244"/>
        <v>1.1654038805560565E-2</v>
      </c>
      <c r="Q1837" s="66">
        <f t="shared" si="247"/>
        <v>4</v>
      </c>
      <c r="R1837" s="10">
        <f t="shared" si="245"/>
        <v>3.5210341381755719E-21</v>
      </c>
      <c r="V1837" s="10">
        <f t="shared" si="246"/>
        <v>2.3996116968561416E-13</v>
      </c>
    </row>
    <row r="1838" spans="11:22">
      <c r="K1838" s="66">
        <v>91.3</v>
      </c>
      <c r="L1838" s="10">
        <f t="shared" si="240"/>
        <v>8.0857393435619483E-9</v>
      </c>
      <c r="M1838" s="10">
        <f t="shared" si="241"/>
        <v>2.4222137019956687E-12</v>
      </c>
      <c r="N1838" s="10">
        <f t="shared" si="242"/>
        <v>1.3488319549412127</v>
      </c>
      <c r="O1838" s="10">
        <f t="shared" si="243"/>
        <v>1.9363791476587289</v>
      </c>
      <c r="P1838" s="10">
        <f t="shared" si="244"/>
        <v>1.1625643331810473E-2</v>
      </c>
      <c r="Q1838" s="66">
        <f t="shared" si="247"/>
        <v>2</v>
      </c>
      <c r="R1838" s="10">
        <f t="shared" si="245"/>
        <v>1.4960374526820066E-21</v>
      </c>
      <c r="V1838" s="10">
        <f t="shared" si="246"/>
        <v>1.0905606939903152E-13</v>
      </c>
    </row>
    <row r="1839" spans="11:22">
      <c r="K1839" s="66">
        <v>91.35</v>
      </c>
      <c r="L1839" s="10">
        <f t="shared" si="240"/>
        <v>7.5574834957767166E-9</v>
      </c>
      <c r="M1839" s="10">
        <f t="shared" si="241"/>
        <v>2.1983073219977264E-12</v>
      </c>
      <c r="N1839" s="10">
        <f t="shared" si="242"/>
        <v>1.3537178427470573</v>
      </c>
      <c r="O1839" s="10">
        <f t="shared" si="243"/>
        <v>1.943393471477185</v>
      </c>
      <c r="P1839" s="10">
        <f t="shared" si="244"/>
        <v>1.1597317044626756E-2</v>
      </c>
      <c r="Q1839" s="66">
        <f t="shared" si="247"/>
        <v>4</v>
      </c>
      <c r="R1839" s="10">
        <f t="shared" si="245"/>
        <v>2.5410706780887257E-21</v>
      </c>
      <c r="V1839" s="10">
        <f t="shared" si="246"/>
        <v>1.9818312121217403E-13</v>
      </c>
    </row>
    <row r="1840" spans="11:22">
      <c r="K1840" s="66">
        <v>91.4</v>
      </c>
      <c r="L1840" s="10">
        <f t="shared" si="240"/>
        <v>7.0620110054536283E-9</v>
      </c>
      <c r="M1840" s="10">
        <f t="shared" si="241"/>
        <v>1.9943977085436738E-12</v>
      </c>
      <c r="N1840" s="10">
        <f t="shared" si="242"/>
        <v>1.358621430066558</v>
      </c>
      <c r="O1840" s="10">
        <f t="shared" si="243"/>
        <v>1.9504332052365045</v>
      </c>
      <c r="P1840" s="10">
        <f t="shared" si="244"/>
        <v>1.1569059775433925E-2</v>
      </c>
      <c r="Q1840" s="66">
        <f t="shared" si="247"/>
        <v>2</v>
      </c>
      <c r="R1840" s="10">
        <f t="shared" si="245"/>
        <v>1.0783808201948344E-21</v>
      </c>
      <c r="V1840" s="10">
        <f t="shared" si="246"/>
        <v>9.0005884912515845E-14</v>
      </c>
    </row>
    <row r="1841" spans="11:22">
      <c r="K1841" s="66">
        <v>91.45</v>
      </c>
      <c r="L1841" s="10">
        <f t="shared" si="240"/>
        <v>6.5974012716991709E-9</v>
      </c>
      <c r="M1841" s="10">
        <f t="shared" si="241"/>
        <v>1.8087643264649814E-12</v>
      </c>
      <c r="N1841" s="10">
        <f t="shared" si="242"/>
        <v>1.3635427810175951</v>
      </c>
      <c r="O1841" s="10">
        <f t="shared" si="243"/>
        <v>1.957498440986194</v>
      </c>
      <c r="P1841" s="10">
        <f t="shared" si="244"/>
        <v>1.1540871356067248E-2</v>
      </c>
      <c r="Q1841" s="66">
        <f t="shared" si="247"/>
        <v>4</v>
      </c>
      <c r="R1841" s="10">
        <f t="shared" si="245"/>
        <v>1.8294803175235764E-21</v>
      </c>
      <c r="V1841" s="10">
        <f t="shared" si="246"/>
        <v>1.6344889819830558E-13</v>
      </c>
    </row>
    <row r="1842" spans="11:22">
      <c r="K1842" s="66">
        <v>91.5</v>
      </c>
      <c r="L1842" s="10">
        <f t="shared" si="240"/>
        <v>6.1618390537460553E-9</v>
      </c>
      <c r="M1842" s="10">
        <f t="shared" si="241"/>
        <v>1.6398287794478113E-12</v>
      </c>
      <c r="N1842" s="10">
        <f t="shared" si="242"/>
        <v>1.3684819599503217</v>
      </c>
      <c r="O1842" s="10">
        <f t="shared" si="243"/>
        <v>1.9645892711092299</v>
      </c>
      <c r="P1842" s="10">
        <f t="shared" si="244"/>
        <v>1.1512751618771695E-2</v>
      </c>
      <c r="Q1842" s="66">
        <f t="shared" si="247"/>
        <v>2</v>
      </c>
      <c r="R1842" s="10">
        <f t="shared" si="245"/>
        <v>7.7546567733097478E-22</v>
      </c>
      <c r="V1842" s="10">
        <f t="shared" si="246"/>
        <v>7.4178731129501578E-14</v>
      </c>
    </row>
    <row r="1843" spans="11:22">
      <c r="K1843" s="66">
        <v>91.55</v>
      </c>
      <c r="L1843" s="10">
        <f t="shared" si="240"/>
        <v>5.753609117864437E-9</v>
      </c>
      <c r="M1843" s="10">
        <f t="shared" si="241"/>
        <v>1.4861435813611417E-12</v>
      </c>
      <c r="N1843" s="10">
        <f t="shared" si="242"/>
        <v>1.3734390314480089</v>
      </c>
      <c r="O1843" s="10">
        <f t="shared" si="243"/>
        <v>1.9717057883232407</v>
      </c>
      <c r="P1843" s="10">
        <f t="shared" si="244"/>
        <v>1.1484700396201013E-2</v>
      </c>
      <c r="Q1843" s="66">
        <f t="shared" si="247"/>
        <v>4</v>
      </c>
      <c r="R1843" s="10">
        <f t="shared" si="245"/>
        <v>1.3140010424157437E-21</v>
      </c>
      <c r="V1843" s="10">
        <f t="shared" si="246"/>
        <v>1.3461161678563226E-13</v>
      </c>
    </row>
    <row r="1844" spans="11:22">
      <c r="K1844" s="66">
        <v>91.6</v>
      </c>
      <c r="L1844" s="10">
        <f t="shared" si="240"/>
        <v>5.3710911322342638E-9</v>
      </c>
      <c r="M1844" s="10">
        <f t="shared" si="241"/>
        <v>1.3463817715023992E-12</v>
      </c>
      <c r="N1844" s="10">
        <f t="shared" si="242"/>
        <v>1.378414060327886</v>
      </c>
      <c r="O1844" s="10">
        <f t="shared" si="243"/>
        <v>1.978848085681741</v>
      </c>
      <c r="P1844" s="10">
        <f t="shared" si="244"/>
        <v>1.1456717521416649E-2</v>
      </c>
      <c r="Q1844" s="66">
        <f t="shared" si="247"/>
        <v>2</v>
      </c>
      <c r="R1844" s="10">
        <f t="shared" si="245"/>
        <v>5.5629633522323228E-22</v>
      </c>
      <c r="V1844" s="10">
        <f t="shared" si="246"/>
        <v>6.1047920752057841E-14</v>
      </c>
    </row>
    <row r="1845" spans="11:22">
      <c r="K1845" s="66">
        <v>91.65</v>
      </c>
      <c r="L1845" s="10">
        <f t="shared" si="240"/>
        <v>5.01275479955998E-9</v>
      </c>
      <c r="M1845" s="10">
        <f t="shared" si="241"/>
        <v>1.219327313808284E-12</v>
      </c>
      <c r="N1845" s="10">
        <f t="shared" si="242"/>
        <v>1.3834071116419806</v>
      </c>
      <c r="O1845" s="10">
        <f t="shared" si="243"/>
        <v>1.9860162565753392</v>
      </c>
      <c r="P1845" s="10">
        <f t="shared" si="244"/>
        <v>1.1428802827886832E-2</v>
      </c>
      <c r="Q1845" s="66">
        <f t="shared" si="247"/>
        <v>4</v>
      </c>
      <c r="R1845" s="10">
        <f t="shared" si="245"/>
        <v>9.4148429305888399E-22</v>
      </c>
      <c r="V1845" s="10">
        <f t="shared" si="246"/>
        <v>1.1070413195198554E-13</v>
      </c>
    </row>
    <row r="1846" spans="11:22">
      <c r="K1846" s="66">
        <v>91.7</v>
      </c>
      <c r="L1846" s="10">
        <f t="shared" si="240"/>
        <v>4.6771552175700749E-9</v>
      </c>
      <c r="M1846" s="10">
        <f t="shared" si="241"/>
        <v>1.1038662240706689E-12</v>
      </c>
      <c r="N1846" s="10">
        <f t="shared" si="242"/>
        <v>1.3884182506779854</v>
      </c>
      <c r="O1846" s="10">
        <f t="shared" si="243"/>
        <v>1.9932103947329527</v>
      </c>
      <c r="P1846" s="10">
        <f t="shared" si="244"/>
        <v>1.1400956149485563E-2</v>
      </c>
      <c r="Q1846" s="66">
        <f t="shared" si="247"/>
        <v>2</v>
      </c>
      <c r="R1846" s="10">
        <f t="shared" si="245"/>
        <v>3.9810296532872449E-22</v>
      </c>
      <c r="V1846" s="10">
        <f t="shared" si="246"/>
        <v>5.0169625291948996E-14</v>
      </c>
    </row>
    <row r="1847" spans="11:22">
      <c r="K1847" s="66">
        <v>91.75</v>
      </c>
      <c r="L1847" s="10">
        <f t="shared" si="240"/>
        <v>4.3629284578901345E-9</v>
      </c>
      <c r="M1847" s="10">
        <f t="shared" si="241"/>
        <v>9.9897837294176352E-13</v>
      </c>
      <c r="N1847" s="10">
        <f t="shared" si="242"/>
        <v>1.3934475429600941</v>
      </c>
      <c r="O1847" s="10">
        <f t="shared" si="243"/>
        <v>2.000430594223038</v>
      </c>
      <c r="P1847" s="10">
        <f t="shared" si="244"/>
        <v>1.1373177320491592E-2</v>
      </c>
      <c r="Q1847" s="66">
        <f t="shared" si="247"/>
        <v>4</v>
      </c>
      <c r="R1847" s="10">
        <f t="shared" si="245"/>
        <v>6.7293361585282147E-22</v>
      </c>
      <c r="V1847" s="10">
        <f t="shared" si="246"/>
        <v>9.0912033887039272E-14</v>
      </c>
    </row>
    <row r="1848" spans="11:22">
      <c r="K1848" s="66">
        <v>91.8</v>
      </c>
      <c r="L1848" s="10">
        <f t="shared" si="240"/>
        <v>4.0687873541192229E-9</v>
      </c>
      <c r="M1848" s="10">
        <f t="shared" si="241"/>
        <v>9.0372991602583623E-13</v>
      </c>
      <c r="N1848" s="10">
        <f t="shared" si="242"/>
        <v>1.398495054249874</v>
      </c>
      <c r="O1848" s="10">
        <f t="shared" si="243"/>
        <v>2.007676949454829</v>
      </c>
      <c r="P1848" s="10">
        <f t="shared" si="244"/>
        <v>1.1345466175587468E-2</v>
      </c>
      <c r="Q1848" s="66">
        <f t="shared" si="247"/>
        <v>2</v>
      </c>
      <c r="R1848" s="10">
        <f t="shared" si="245"/>
        <v>2.8419901475949579E-22</v>
      </c>
      <c r="V1848" s="10">
        <f t="shared" si="246"/>
        <v>4.117037577641254E-14</v>
      </c>
    </row>
    <row r="1849" spans="11:22">
      <c r="K1849" s="66">
        <v>91.85</v>
      </c>
      <c r="L1849" s="10">
        <f t="shared" si="240"/>
        <v>3.7935174902677014E-9</v>
      </c>
      <c r="M1849" s="10">
        <f t="shared" si="241"/>
        <v>8.1726630564818258E-13</v>
      </c>
      <c r="N1849" s="10">
        <f t="shared" si="242"/>
        <v>1.403560850547118</v>
      </c>
      <c r="O1849" s="10">
        <f t="shared" si="243"/>
        <v>2.0149495551795664</v>
      </c>
      <c r="P1849" s="10">
        <f t="shared" si="244"/>
        <v>1.1317822549858518E-2</v>
      </c>
      <c r="Q1849" s="66">
        <f t="shared" si="247"/>
        <v>4</v>
      </c>
      <c r="R1849" s="10">
        <f t="shared" si="245"/>
        <v>4.7980576612324554E-22</v>
      </c>
      <c r="V1849" s="10">
        <f t="shared" si="246"/>
        <v>7.4550514012243643E-14</v>
      </c>
    </row>
    <row r="1850" spans="11:22">
      <c r="K1850" s="66">
        <v>91.9</v>
      </c>
      <c r="L1850" s="10">
        <f t="shared" si="240"/>
        <v>3.535973381037042E-9</v>
      </c>
      <c r="M1850" s="10">
        <f t="shared" si="241"/>
        <v>7.3880584197972826E-13</v>
      </c>
      <c r="N1850" s="10">
        <f t="shared" si="242"/>
        <v>1.4086449980907054</v>
      </c>
      <c r="O1850" s="10">
        <f t="shared" si="243"/>
        <v>2.0222485064917248</v>
      </c>
      <c r="P1850" s="10">
        <f t="shared" si="244"/>
        <v>1.1290246278791908E-2</v>
      </c>
      <c r="Q1850" s="66">
        <f t="shared" si="247"/>
        <v>2</v>
      </c>
      <c r="R1850" s="10">
        <f t="shared" si="245"/>
        <v>2.0238576219446169E-22</v>
      </c>
      <c r="V1850" s="10">
        <f t="shared" si="246"/>
        <v>3.3736362443666823E-14</v>
      </c>
    </row>
    <row r="1851" spans="11:22">
      <c r="K1851" s="66">
        <v>91.95</v>
      </c>
      <c r="L1851" s="10">
        <f t="shared" si="240"/>
        <v>3.2950748357313207E-9</v>
      </c>
      <c r="M1851" s="10">
        <f t="shared" si="241"/>
        <v>6.6763372408716316E-13</v>
      </c>
      <c r="N1851" s="10">
        <f t="shared" si="242"/>
        <v>1.4137475633594692</v>
      </c>
      <c r="O1851" s="10">
        <f t="shared" si="243"/>
        <v>2.0295738988302681</v>
      </c>
      <c r="P1851" s="10">
        <f t="shared" si="244"/>
        <v>1.1262737198275663E-2</v>
      </c>
      <c r="Q1851" s="66">
        <f t="shared" si="247"/>
        <v>4</v>
      </c>
      <c r="R1851" s="10">
        <f t="shared" si="245"/>
        <v>3.412597433895352E-22</v>
      </c>
      <c r="V1851" s="10">
        <f t="shared" si="246"/>
        <v>6.104457514127084E-14</v>
      </c>
    </row>
    <row r="1852" spans="11:22">
      <c r="K1852" s="66">
        <v>92</v>
      </c>
      <c r="L1852" s="10">
        <f t="shared" si="240"/>
        <v>3.0698034978939359E-9</v>
      </c>
      <c r="M1852" s="10">
        <f t="shared" si="241"/>
        <v>6.0309656418758109E-13</v>
      </c>
      <c r="N1852" s="10">
        <f t="shared" si="242"/>
        <v>1.418868613073077</v>
      </c>
      <c r="O1852" s="10">
        <f t="shared" si="243"/>
        <v>2.0369258279799065</v>
      </c>
      <c r="P1852" s="10">
        <f t="shared" si="244"/>
        <v>1.123529514459768E-2</v>
      </c>
      <c r="Q1852" s="66">
        <f t="shared" si="247"/>
        <v>2</v>
      </c>
      <c r="R1852" s="10">
        <f t="shared" si="245"/>
        <v>1.4376719977861557E-22</v>
      </c>
      <c r="V1852" s="10">
        <f t="shared" si="246"/>
        <v>2.7604287962718167E-14</v>
      </c>
    </row>
    <row r="1853" spans="11:22">
      <c r="K1853" s="66">
        <v>92.05</v>
      </c>
      <c r="L1853" s="10">
        <f t="shared" si="240"/>
        <v>2.8591995530573002E-9</v>
      </c>
      <c r="M1853" s="10">
        <f t="shared" si="241"/>
        <v>5.4459733092258087E-13</v>
      </c>
      <c r="N1853" s="10">
        <f t="shared" si="242"/>
        <v>1.4240082141928778</v>
      </c>
      <c r="O1853" s="10">
        <f t="shared" si="243"/>
        <v>2.0443043900723197</v>
      </c>
      <c r="P1853" s="10">
        <f t="shared" si="244"/>
        <v>1.1207919954444616E-2</v>
      </c>
      <c r="Q1853" s="66">
        <f t="shared" si="247"/>
        <v>4</v>
      </c>
      <c r="R1853" s="10">
        <f t="shared" si="245"/>
        <v>2.4211585037496482E-22</v>
      </c>
      <c r="V1853" s="10">
        <f t="shared" si="246"/>
        <v>4.9912127324329086E-14</v>
      </c>
    </row>
    <row r="1854" spans="11:22">
      <c r="K1854" s="66">
        <v>92.1</v>
      </c>
      <c r="L1854" s="10">
        <f t="shared" si="240"/>
        <v>2.6623585972752111E-9</v>
      </c>
      <c r="M1854" s="10">
        <f t="shared" si="241"/>
        <v>4.9159068983873416E-13</v>
      </c>
      <c r="N1854" s="10">
        <f t="shared" si="242"/>
        <v>1.4291664339228096</v>
      </c>
      <c r="O1854" s="10">
        <f t="shared" si="243"/>
        <v>2.051709681587448</v>
      </c>
      <c r="P1854" s="10">
        <f t="shared" si="244"/>
        <v>1.1180611464901246E-2</v>
      </c>
      <c r="Q1854" s="66">
        <f t="shared" si="247"/>
        <v>2</v>
      </c>
      <c r="R1854" s="10">
        <f t="shared" si="245"/>
        <v>1.0187187941988287E-22</v>
      </c>
      <c r="V1854" s="10">
        <f t="shared" si="246"/>
        <v>2.2553560194465751E-14</v>
      </c>
    </row>
    <row r="1855" spans="11:22">
      <c r="K1855" s="66">
        <v>92.15</v>
      </c>
      <c r="L1855" s="10">
        <f t="shared" si="240"/>
        <v>2.4784286593887383E-9</v>
      </c>
      <c r="M1855" s="10">
        <f t="shared" si="241"/>
        <v>4.4357871148226379E-13</v>
      </c>
      <c r="N1855" s="10">
        <f t="shared" si="242"/>
        <v>1.4343433397102558</v>
      </c>
      <c r="O1855" s="10">
        <f t="shared" si="243"/>
        <v>2.0591417993547347</v>
      </c>
      <c r="P1855" s="10">
        <f t="shared" si="244"/>
        <v>1.115336951344916E-2</v>
      </c>
      <c r="Q1855" s="66">
        <f t="shared" si="247"/>
        <v>4</v>
      </c>
      <c r="R1855" s="10">
        <f t="shared" si="245"/>
        <v>1.7134526188900049E-22</v>
      </c>
      <c r="V1855" s="10">
        <f t="shared" si="246"/>
        <v>4.0749570027142948E-14</v>
      </c>
    </row>
    <row r="1856" spans="11:22">
      <c r="K1856" s="66">
        <v>92.2</v>
      </c>
      <c r="L1856" s="10">
        <f t="shared" si="240"/>
        <v>2.3066073702388813E-9</v>
      </c>
      <c r="M1856" s="10">
        <f t="shared" si="241"/>
        <v>4.0010691958970403E-13</v>
      </c>
      <c r="N1856" s="10">
        <f t="shared" si="242"/>
        <v>1.4395389992469276</v>
      </c>
      <c r="O1856" s="10">
        <f t="shared" si="243"/>
        <v>2.066600840554385</v>
      </c>
      <c r="P1856" s="10">
        <f t="shared" si="244"/>
        <v>1.1126193937965987E-2</v>
      </c>
      <c r="Q1856" s="66">
        <f t="shared" si="247"/>
        <v>2</v>
      </c>
      <c r="R1856" s="10">
        <f t="shared" si="245"/>
        <v>7.2003829143215914E-23</v>
      </c>
      <c r="V1856" s="10">
        <f t="shared" si="246"/>
        <v>1.8399638243217364E-14</v>
      </c>
    </row>
    <row r="1857" spans="11:22">
      <c r="K1857" s="66">
        <v>92.25</v>
      </c>
      <c r="L1857" s="10">
        <f t="shared" si="240"/>
        <v>2.1461392723036575E-9</v>
      </c>
      <c r="M1857" s="10">
        <f t="shared" si="241"/>
        <v>3.6076065379724994E-13</v>
      </c>
      <c r="N1857" s="10">
        <f t="shared" si="242"/>
        <v>1.4447534804697648</v>
      </c>
      <c r="O1857" s="10">
        <f t="shared" si="243"/>
        <v>2.0740869027186593</v>
      </c>
      <c r="P1857" s="10">
        <f t="shared" si="244"/>
        <v>1.1099084576724356E-2</v>
      </c>
      <c r="Q1857" s="66">
        <f t="shared" si="247"/>
        <v>4</v>
      </c>
      <c r="R1857" s="10">
        <f t="shared" si="245"/>
        <v>1.209549890976812E-22</v>
      </c>
      <c r="V1857" s="10">
        <f t="shared" si="246"/>
        <v>3.3219513320032938E-14</v>
      </c>
    </row>
    <row r="1858" spans="11:22">
      <c r="K1858" s="66">
        <v>92.3</v>
      </c>
      <c r="L1858" s="10">
        <f t="shared" si="240"/>
        <v>1.9963132634867356E-9</v>
      </c>
      <c r="M1858" s="10">
        <f t="shared" si="241"/>
        <v>3.2516172310329039E-13</v>
      </c>
      <c r="N1858" s="10">
        <f t="shared" si="242"/>
        <v>1.4499868515618035</v>
      </c>
      <c r="O1858" s="10">
        <f t="shared" si="243"/>
        <v>2.0816000837331337</v>
      </c>
      <c r="P1858" s="10">
        <f t="shared" si="244"/>
        <v>1.1072041268390924E-2</v>
      </c>
      <c r="Q1858" s="66">
        <f t="shared" si="247"/>
        <v>2</v>
      </c>
      <c r="R1858" s="10">
        <f t="shared" si="245"/>
        <v>5.0763984352509804E-23</v>
      </c>
      <c r="V1858" s="10">
        <f t="shared" si="246"/>
        <v>1.4988369936985022E-14</v>
      </c>
    </row>
    <row r="1859" spans="11:22">
      <c r="K1859" s="66">
        <v>92.35</v>
      </c>
      <c r="L1859" s="10">
        <f t="shared" si="240"/>
        <v>1.8564601690288711E-9</v>
      </c>
      <c r="M1859" s="10">
        <f t="shared" si="241"/>
        <v>2.9296532801117461E-13</v>
      </c>
      <c r="N1859" s="10">
        <f t="shared" si="242"/>
        <v>1.4552391809530867</v>
      </c>
      <c r="O1859" s="10">
        <f t="shared" si="243"/>
        <v>2.089140481837974</v>
      </c>
      <c r="P1859" s="10">
        <f t="shared" si="244"/>
        <v>1.1045063852025482E-2</v>
      </c>
      <c r="Q1859" s="66">
        <f t="shared" si="247"/>
        <v>4</v>
      </c>
      <c r="R1859" s="10">
        <f t="shared" si="245"/>
        <v>8.5166797954893531E-23</v>
      </c>
      <c r="V1859" s="10">
        <f t="shared" si="246"/>
        <v>2.7040336469027907E-14</v>
      </c>
    </row>
    <row r="1860" spans="11:22">
      <c r="K1860" s="66">
        <v>92.4</v>
      </c>
      <c r="L1860" s="10">
        <f t="shared" si="240"/>
        <v>1.7259504357504906E-9</v>
      </c>
      <c r="M1860" s="10">
        <f t="shared" si="241"/>
        <v>2.6385723085951619E-13</v>
      </c>
      <c r="N1860" s="10">
        <f t="shared" si="242"/>
        <v>1.4605105373215497</v>
      </c>
      <c r="O1860" s="10">
        <f t="shared" si="243"/>
        <v>2.0967081956292426</v>
      </c>
      <c r="P1860" s="10">
        <f t="shared" si="244"/>
        <v>1.1018152167079928E-2</v>
      </c>
      <c r="Q1860" s="66">
        <f t="shared" si="247"/>
        <v>2</v>
      </c>
      <c r="R1860" s="10">
        <f t="shared" si="245"/>
        <v>3.5698227464732466E-23</v>
      </c>
      <c r="V1860" s="10">
        <f t="shared" si="246"/>
        <v>1.219118028972358E-14</v>
      </c>
    </row>
    <row r="1861" spans="11:22">
      <c r="K1861" s="66">
        <v>92.45</v>
      </c>
      <c r="L1861" s="10">
        <f t="shared" si="240"/>
        <v>1.6041919430610712E-9</v>
      </c>
      <c r="M1861" s="10">
        <f t="shared" si="241"/>
        <v>2.3755115532148466E-13</v>
      </c>
      <c r="N1861" s="10">
        <f t="shared" si="242"/>
        <v>1.4658009895939121</v>
      </c>
      <c r="O1861" s="10">
        <f t="shared" si="243"/>
        <v>2.104303324060159</v>
      </c>
      <c r="P1861" s="10">
        <f t="shared" si="244"/>
        <v>1.0991306053397376E-2</v>
      </c>
      <c r="Q1861" s="66">
        <f t="shared" si="247"/>
        <v>4</v>
      </c>
      <c r="R1861" s="10">
        <f t="shared" si="245"/>
        <v>5.9814114239266285E-23</v>
      </c>
      <c r="V1861" s="10">
        <f t="shared" si="246"/>
        <v>2.1977322429763199E-14</v>
      </c>
    </row>
    <row r="1862" spans="11:22">
      <c r="K1862" s="66">
        <v>92.5</v>
      </c>
      <c r="L1862" s="10">
        <f t="shared" si="240"/>
        <v>1.4906279253930986E-9</v>
      </c>
      <c r="M1862" s="10">
        <f t="shared" si="241"/>
        <v>2.1378639742998736E-13</v>
      </c>
      <c r="N1862" s="10">
        <f t="shared" si="242"/>
        <v>1.4711106069465958</v>
      </c>
      <c r="O1862" s="10">
        <f t="shared" si="243"/>
        <v>2.1119259664424228</v>
      </c>
      <c r="P1862" s="10">
        <f t="shared" si="244"/>
        <v>1.0964525351211146E-2</v>
      </c>
      <c r="Q1862" s="66">
        <f t="shared" si="247"/>
        <v>2</v>
      </c>
      <c r="R1862" s="10">
        <f t="shared" si="245"/>
        <v>2.503919687287205E-23</v>
      </c>
      <c r="V1862" s="10">
        <f t="shared" si="246"/>
        <v>9.9009892714141224E-15</v>
      </c>
    </row>
    <row r="1863" spans="11:22">
      <c r="K1863" s="66">
        <v>92.55</v>
      </c>
      <c r="L1863" s="10">
        <f t="shared" si="240"/>
        <v>1.3847350009322201E-9</v>
      </c>
      <c r="M1863" s="10">
        <f t="shared" si="241"/>
        <v>1.9232563176801767E-13</v>
      </c>
      <c r="N1863" s="10">
        <f t="shared" si="242"/>
        <v>1.4764394588066097</v>
      </c>
      <c r="O1863" s="10">
        <f t="shared" si="243"/>
        <v>2.1195762224474839</v>
      </c>
      <c r="P1863" s="10">
        <f t="shared" si="244"/>
        <v>1.0937809901143821E-2</v>
      </c>
      <c r="Q1863" s="66">
        <f t="shared" si="247"/>
        <v>4</v>
      </c>
      <c r="R1863" s="10">
        <f t="shared" si="245"/>
        <v>4.190016919937125E-23</v>
      </c>
      <c r="V1863" s="10">
        <f t="shared" si="246"/>
        <v>1.7835141876407629E-14</v>
      </c>
    </row>
    <row r="1864" spans="11:22">
      <c r="K1864" s="66">
        <v>92.6</v>
      </c>
      <c r="L1864" s="10">
        <f t="shared" si="240"/>
        <v>1.2860213017223479E-9</v>
      </c>
      <c r="M1864" s="10">
        <f t="shared" si="241"/>
        <v>1.7295289765849997E-13</v>
      </c>
      <c r="N1864" s="10">
        <f t="shared" si="242"/>
        <v>1.4817876148524749</v>
      </c>
      <c r="O1864" s="10">
        <f t="shared" si="243"/>
        <v>2.1272541921078716</v>
      </c>
      <c r="P1864" s="10">
        <f t="shared" si="244"/>
        <v>1.0911159544206331E-2</v>
      </c>
      <c r="Q1864" s="66">
        <f t="shared" si="247"/>
        <v>2</v>
      </c>
      <c r="R1864" s="10">
        <f t="shared" si="245"/>
        <v>1.7517366630069098E-23</v>
      </c>
      <c r="V1864" s="10">
        <f t="shared" si="246"/>
        <v>8.0287536415728943E-15</v>
      </c>
    </row>
    <row r="1865" spans="11:22">
      <c r="K1865" s="66">
        <v>92.65</v>
      </c>
      <c r="L1865" s="10">
        <f t="shared" si="240"/>
        <v>1.1940247004235872E-9</v>
      </c>
      <c r="M1865" s="10">
        <f t="shared" si="241"/>
        <v>1.5547175130135429E-13</v>
      </c>
      <c r="N1865" s="10">
        <f t="shared" si="242"/>
        <v>1.487155145015129</v>
      </c>
      <c r="O1865" s="10">
        <f t="shared" si="243"/>
        <v>2.1349599758184903</v>
      </c>
      <c r="P1865" s="10">
        <f t="shared" si="244"/>
        <v>1.0884574121796982E-2</v>
      </c>
      <c r="Q1865" s="66">
        <f t="shared" si="247"/>
        <v>4</v>
      </c>
      <c r="R1865" s="10">
        <f t="shared" si="245"/>
        <v>2.9275106485296609E-23</v>
      </c>
      <c r="V1865" s="10">
        <f t="shared" si="246"/>
        <v>1.4451491119611796E-14</v>
      </c>
    </row>
    <row r="1866" spans="11:22">
      <c r="K1866" s="66">
        <v>92.7</v>
      </c>
      <c r="L1866" s="10">
        <f t="shared" si="240"/>
        <v>1.1083111291955352E-9</v>
      </c>
      <c r="M1866" s="10">
        <f t="shared" si="241"/>
        <v>1.3970357084257249E-13</v>
      </c>
      <c r="N1866" s="10">
        <f t="shared" si="242"/>
        <v>1.4925421194788344</v>
      </c>
      <c r="O1866" s="10">
        <f t="shared" si="243"/>
        <v>2.1426936743379241</v>
      </c>
      <c r="P1866" s="10">
        <f t="shared" si="244"/>
        <v>1.0858053475700534E-2</v>
      </c>
      <c r="Q1866" s="66">
        <f t="shared" si="247"/>
        <v>2</v>
      </c>
      <c r="R1866" s="10">
        <f t="shared" si="245"/>
        <v>1.222316738197102E-23</v>
      </c>
      <c r="V1866" s="10">
        <f t="shared" si="246"/>
        <v>6.5005419574891245E-15</v>
      </c>
    </row>
    <row r="1867" spans="11:22">
      <c r="K1867" s="66">
        <v>92.75</v>
      </c>
      <c r="L1867" s="10">
        <f t="shared" si="240"/>
        <v>1.0284729863642136E-9</v>
      </c>
      <c r="M1867" s="10">
        <f t="shared" si="241"/>
        <v>1.2548600232517599E-13</v>
      </c>
      <c r="N1867" s="10">
        <f t="shared" si="242"/>
        <v>1.4979486086821012</v>
      </c>
      <c r="O1867" s="10">
        <f t="shared" si="243"/>
        <v>2.1504553887897657</v>
      </c>
      <c r="P1867" s="10">
        <f t="shared" si="244"/>
        <v>1.0831597448087236E-2</v>
      </c>
      <c r="Q1867" s="66">
        <f t="shared" si="247"/>
        <v>4</v>
      </c>
      <c r="R1867" s="10">
        <f t="shared" si="245"/>
        <v>2.0400630906988816E-23</v>
      </c>
      <c r="V1867" s="10">
        <f t="shared" si="246"/>
        <v>1.1691715088980985E-14</v>
      </c>
    </row>
    <row r="1868" spans="11:22">
      <c r="K1868" s="66">
        <v>92.8</v>
      </c>
      <c r="L1868" s="10">
        <f t="shared" ref="L1868:L1931" si="248">(B$7^K1868)*B$8^((B$5^25)*((B$5^K1868)-1))</f>
        <v>9.5412762671169824E-10</v>
      </c>
      <c r="M1868" s="10">
        <f t="shared" ref="M1868:M1931" si="249">(B$7^K1868)*B$8^((B$5^30)*((B$5^K1868)-1))</f>
        <v>1.1267153537009588E-13</v>
      </c>
      <c r="N1868" s="10">
        <f t="shared" si="242"/>
        <v>1.5033746833186146</v>
      </c>
      <c r="O1868" s="10">
        <f t="shared" si="243"/>
        <v>2.1582452206639413</v>
      </c>
      <c r="P1868" s="10">
        <f t="shared" si="244"/>
        <v>1.0805205881511872E-2</v>
      </c>
      <c r="Q1868" s="66">
        <f t="shared" si="247"/>
        <v>2</v>
      </c>
      <c r="R1868" s="10">
        <f t="shared" si="245"/>
        <v>8.5066190754432168E-24</v>
      </c>
      <c r="V1868" s="10">
        <f t="shared" si="246"/>
        <v>5.2550643912770686E-15</v>
      </c>
    </row>
    <row r="1869" spans="11:22">
      <c r="K1869" s="66">
        <v>92.85</v>
      </c>
      <c r="L1869" s="10">
        <f t="shared" si="248"/>
        <v>8.8491593140136405E-10</v>
      </c>
      <c r="M1869" s="10">
        <f t="shared" si="249"/>
        <v>1.0112619827035304E-13</v>
      </c>
      <c r="N1869" s="10">
        <f t="shared" ref="N1869:N1932" si="250">B$3+B$4*(B$5^(25+K1869))</f>
        <v>1.5088204143381521</v>
      </c>
      <c r="O1869" s="10">
        <f t="shared" ref="O1869:O1932" si="251">$B$3+$B$4*($B$5^(30+K1869))</f>
        <v>2.1660632718180337</v>
      </c>
      <c r="P1869" s="10">
        <f t="shared" ref="P1869:P1932" si="252">(1+B$6)^-K1869</f>
        <v>1.0778878618912873E-2</v>
      </c>
      <c r="Q1869" s="66">
        <f t="shared" si="247"/>
        <v>4</v>
      </c>
      <c r="R1869" s="10">
        <f t="shared" ref="R1869:R1932" si="253">L1869*M1869*(N1869+O1869)*P1869*Q1869</f>
        <v>1.4178910627552489E-23</v>
      </c>
      <c r="V1869" s="10">
        <f t="shared" si="246"/>
        <v>9.4442699332479943E-15</v>
      </c>
    </row>
    <row r="1870" spans="11:22">
      <c r="K1870" s="66">
        <v>92.9</v>
      </c>
      <c r="L1870" s="10">
        <f t="shared" si="248"/>
        <v>8.2050095371995374E-10</v>
      </c>
      <c r="M1870" s="10">
        <f t="shared" si="249"/>
        <v>9.0728362958590413E-14</v>
      </c>
      <c r="N1870" s="10">
        <f t="shared" si="250"/>
        <v>1.5142858729475084</v>
      </c>
      <c r="O1870" s="10">
        <f t="shared" si="251"/>
        <v>2.1739096444786004</v>
      </c>
      <c r="P1870" s="10">
        <f t="shared" si="252"/>
        <v>1.075261550361134E-2</v>
      </c>
      <c r="Q1870" s="66">
        <f t="shared" si="247"/>
        <v>2</v>
      </c>
      <c r="R1870" s="10">
        <f t="shared" si="253"/>
        <v>5.9044603801487478E-24</v>
      </c>
      <c r="V1870" s="10">
        <f t="shared" ref="V1870:V1933" si="254">(1-L1870)*M1870*O1870*P1870*Q1870</f>
        <v>4.2415898957703152E-15</v>
      </c>
    </row>
    <row r="1871" spans="11:22">
      <c r="K1871" s="66">
        <v>92.95</v>
      </c>
      <c r="L1871" s="10">
        <f t="shared" si="248"/>
        <v>7.6056663697925636E-10</v>
      </c>
      <c r="M1871" s="10">
        <f t="shared" si="249"/>
        <v>8.1367651029687321E-14</v>
      </c>
      <c r="N1871" s="10">
        <f t="shared" si="250"/>
        <v>1.5197711306114294</v>
      </c>
      <c r="O1871" s="10">
        <f t="shared" si="251"/>
        <v>2.181784441242538</v>
      </c>
      <c r="P1871" s="10">
        <f t="shared" si="252"/>
        <v>1.0726416379310152E-2</v>
      </c>
      <c r="Q1871" s="66">
        <f t="shared" ref="Q1871:Q1934" si="255">IF(Q1870=4,2,4)</f>
        <v>4</v>
      </c>
      <c r="R1871" s="10">
        <f t="shared" si="253"/>
        <v>9.8285163867650042E-24</v>
      </c>
      <c r="V1871" s="10">
        <f t="shared" si="254"/>
        <v>7.6169001337332664E-15</v>
      </c>
    </row>
    <row r="1872" spans="11:22">
      <c r="K1872" s="66">
        <v>93</v>
      </c>
      <c r="L1872" s="10">
        <f t="shared" si="248"/>
        <v>7.0481660107669375E-10</v>
      </c>
      <c r="M1872" s="10">
        <f t="shared" si="249"/>
        <v>7.2943932670689417E-14</v>
      </c>
      <c r="N1872" s="10">
        <f t="shared" si="250"/>
        <v>1.5252762590535576</v>
      </c>
      <c r="O1872" s="10">
        <f t="shared" si="251"/>
        <v>2.1896877650783995</v>
      </c>
      <c r="P1872" s="10">
        <f t="shared" si="252"/>
        <v>1.0700281090093026E-2</v>
      </c>
      <c r="Q1872" s="66">
        <f t="shared" si="255"/>
        <v>2</v>
      </c>
      <c r="R1872" s="10">
        <f t="shared" si="253"/>
        <v>4.087380732038778E-24</v>
      </c>
      <c r="V1872" s="10">
        <f t="shared" si="254"/>
        <v>3.4181927412866762E-15</v>
      </c>
    </row>
    <row r="1873" spans="11:22">
      <c r="K1873" s="66">
        <v>93.05</v>
      </c>
      <c r="L1873" s="10">
        <f t="shared" si="248"/>
        <v>6.5297299436505613E-10</v>
      </c>
      <c r="M1873" s="10">
        <f t="shared" si="249"/>
        <v>6.5366410972909367E-14</v>
      </c>
      <c r="N1873" s="10">
        <f t="shared" si="250"/>
        <v>1.5308013302573436</v>
      </c>
      <c r="O1873" s="10">
        <f t="shared" si="251"/>
        <v>2.1976197193277396</v>
      </c>
      <c r="P1873" s="10">
        <f t="shared" si="252"/>
        <v>1.0674209480423441E-2</v>
      </c>
      <c r="Q1873" s="66">
        <f t="shared" si="255"/>
        <v>4</v>
      </c>
      <c r="R1873" s="10">
        <f t="shared" si="253"/>
        <v>6.7947037207313514E-24</v>
      </c>
      <c r="V1873" s="10">
        <f t="shared" si="254"/>
        <v>6.1334226983382642E-15</v>
      </c>
    </row>
    <row r="1874" spans="11:22">
      <c r="K1874" s="66">
        <v>93.1</v>
      </c>
      <c r="L1874" s="10">
        <f t="shared" si="248"/>
        <v>6.047754076257718E-10</v>
      </c>
      <c r="M1874" s="10">
        <f t="shared" si="249"/>
        <v>5.8552784678741203E-14</v>
      </c>
      <c r="N1874" s="10">
        <f t="shared" si="250"/>
        <v>1.5363464164670202</v>
      </c>
      <c r="O1874" s="10">
        <f t="shared" si="251"/>
        <v>2.2055804077065067</v>
      </c>
      <c r="P1874" s="10">
        <f t="shared" si="252"/>
        <v>1.0648201395144042E-2</v>
      </c>
      <c r="Q1874" s="66">
        <f t="shared" si="255"/>
        <v>2</v>
      </c>
      <c r="R1874" s="10">
        <f t="shared" si="253"/>
        <v>2.8219103973205305E-24</v>
      </c>
      <c r="V1874" s="10">
        <f t="shared" si="254"/>
        <v>2.7502786755306916E-15</v>
      </c>
    </row>
    <row r="1875" spans="11:22">
      <c r="K1875" s="66">
        <v>93.15</v>
      </c>
      <c r="L1875" s="10">
        <f t="shared" si="248"/>
        <v>5.5997984708148937E-10</v>
      </c>
      <c r="M1875" s="10">
        <f t="shared" si="249"/>
        <v>5.2428482952056245E-14</v>
      </c>
      <c r="N1875" s="10">
        <f t="shared" si="250"/>
        <v>1.541911590188525</v>
      </c>
      <c r="O1875" s="10">
        <f t="shared" si="251"/>
        <v>2.2135699343063395</v>
      </c>
      <c r="P1875" s="10">
        <f t="shared" si="252"/>
        <v>1.0622256679475389E-2</v>
      </c>
      <c r="Q1875" s="66">
        <f t="shared" si="255"/>
        <v>4</v>
      </c>
      <c r="R1875" s="10">
        <f t="shared" si="253"/>
        <v>4.6847034197126451E-24</v>
      </c>
      <c r="V1875" s="10">
        <f t="shared" si="254"/>
        <v>4.9310263291803813E-15</v>
      </c>
    </row>
    <row r="1876" spans="11:22">
      <c r="K1876" s="66">
        <v>93.2</v>
      </c>
      <c r="L1876" s="10">
        <f t="shared" si="248"/>
        <v>5.1835776351654052E-10</v>
      </c>
      <c r="M1876" s="10">
        <f t="shared" si="249"/>
        <v>4.6925966257987426E-14</v>
      </c>
      <c r="N1876" s="10">
        <f t="shared" si="250"/>
        <v>1.5474969241904473</v>
      </c>
      <c r="O1876" s="10">
        <f t="shared" si="251"/>
        <v>2.2215884035959639</v>
      </c>
      <c r="P1876" s="10">
        <f t="shared" si="252"/>
        <v>1.0596375179015224E-2</v>
      </c>
      <c r="Q1876" s="66">
        <f t="shared" si="255"/>
        <v>2</v>
      </c>
      <c r="R1876" s="10">
        <f t="shared" si="253"/>
        <v>1.9429701262377921E-24</v>
      </c>
      <c r="V1876" s="10">
        <f t="shared" si="254"/>
        <v>2.2093480906417697E-15</v>
      </c>
    </row>
    <row r="1877" spans="11:22">
      <c r="K1877" s="66">
        <v>93.25</v>
      </c>
      <c r="L1877" s="10">
        <f t="shared" si="248"/>
        <v>4.7969513470501018E-10</v>
      </c>
      <c r="M1877" s="10">
        <f t="shared" si="249"/>
        <v>4.1984087898980035E-14</v>
      </c>
      <c r="N1877" s="10">
        <f t="shared" si="250"/>
        <v>1.5531024915049969</v>
      </c>
      <c r="O1877" s="10">
        <f t="shared" si="251"/>
        <v>2.2296359204225586</v>
      </c>
      <c r="P1877" s="10">
        <f t="shared" si="252"/>
        <v>1.057055673973748E-2</v>
      </c>
      <c r="Q1877" s="66">
        <f t="shared" si="255"/>
        <v>4</v>
      </c>
      <c r="R1877" s="10">
        <f t="shared" si="253"/>
        <v>3.2211741028836475E-24</v>
      </c>
      <c r="V1877" s="10">
        <f t="shared" si="254"/>
        <v>3.9580067261065987E-15</v>
      </c>
    </row>
    <row r="1878" spans="11:22">
      <c r="K1878" s="66">
        <v>93.3</v>
      </c>
      <c r="L1878" s="10">
        <f t="shared" si="248"/>
        <v>4.4379159846997945E-10</v>
      </c>
      <c r="M1878" s="10">
        <f t="shared" si="249"/>
        <v>3.7547511180932583E-14</v>
      </c>
      <c r="N1878" s="10">
        <f t="shared" si="250"/>
        <v>1.558728365428939</v>
      </c>
      <c r="O1878" s="10">
        <f t="shared" si="251"/>
        <v>2.2377125900131185</v>
      </c>
      <c r="P1878" s="10">
        <f t="shared" si="252"/>
        <v>1.0544801207991355E-2</v>
      </c>
      <c r="Q1878" s="66">
        <f t="shared" si="255"/>
        <v>2</v>
      </c>
      <c r="R1878" s="10">
        <f t="shared" si="253"/>
        <v>1.3341518839668367E-24</v>
      </c>
      <c r="V1878" s="10">
        <f t="shared" si="254"/>
        <v>1.7719597508126357E-15</v>
      </c>
    </row>
    <row r="1879" spans="11:22">
      <c r="K1879" s="66">
        <v>93.35</v>
      </c>
      <c r="L1879" s="10">
        <f t="shared" si="248"/>
        <v>4.1045963381777561E-10</v>
      </c>
      <c r="M1879" s="10">
        <f t="shared" si="249"/>
        <v>3.3566177578816891E-14</v>
      </c>
      <c r="N1879" s="10">
        <f t="shared" si="250"/>
        <v>1.5643746195245682</v>
      </c>
      <c r="O1879" s="10">
        <f t="shared" si="251"/>
        <v>2.2458185179758221</v>
      </c>
      <c r="P1879" s="10">
        <f t="shared" si="252"/>
        <v>1.0519108430500457E-2</v>
      </c>
      <c r="Q1879" s="66">
        <f t="shared" si="255"/>
        <v>4</v>
      </c>
      <c r="R1879" s="10">
        <f t="shared" si="253"/>
        <v>2.208809466013679E-24</v>
      </c>
      <c r="V1879" s="10">
        <f t="shared" si="254"/>
        <v>3.1718706572165432E-15</v>
      </c>
    </row>
    <row r="1880" spans="11:22">
      <c r="K1880" s="66">
        <v>93.4</v>
      </c>
      <c r="L1880" s="10">
        <f t="shared" si="248"/>
        <v>3.7952378770642175E-10</v>
      </c>
      <c r="M1880" s="10">
        <f t="shared" si="249"/>
        <v>2.9994821637364141E-14</v>
      </c>
      <c r="N1880" s="10">
        <f t="shared" si="250"/>
        <v>1.5700413276206659</v>
      </c>
      <c r="O1880" s="10">
        <f t="shared" si="251"/>
        <v>2.2539538103014358</v>
      </c>
      <c r="P1880" s="10">
        <f t="shared" si="252"/>
        <v>1.0493478254361834E-2</v>
      </c>
      <c r="Q1880" s="66">
        <f t="shared" si="255"/>
        <v>2</v>
      </c>
      <c r="R1880" s="10">
        <f t="shared" si="253"/>
        <v>9.1359156130528948E-25</v>
      </c>
      <c r="V1880" s="10">
        <f t="shared" si="254"/>
        <v>1.4188639617923695E-15</v>
      </c>
    </row>
    <row r="1881" spans="11:22">
      <c r="K1881" s="66">
        <v>93.45</v>
      </c>
      <c r="L1881" s="10">
        <f t="shared" si="248"/>
        <v>3.5081994511828817E-10</v>
      </c>
      <c r="M1881" s="10">
        <f t="shared" si="249"/>
        <v>2.6792528681261658E-14</v>
      </c>
      <c r="N1881" s="10">
        <f t="shared" si="250"/>
        <v>1.5757285638134555</v>
      </c>
      <c r="O1881" s="10">
        <f t="shared" si="251"/>
        <v>2.2621185733646705</v>
      </c>
      <c r="P1881" s="10">
        <f t="shared" si="252"/>
        <v>1.0467910527045127E-2</v>
      </c>
      <c r="Q1881" s="66">
        <f t="shared" si="255"/>
        <v>4</v>
      </c>
      <c r="R1881" s="10">
        <f t="shared" si="253"/>
        <v>1.5104475408818961E-24</v>
      </c>
      <c r="V1881" s="10">
        <f t="shared" si="254"/>
        <v>2.5377513236275659E-15</v>
      </c>
    </row>
    <row r="1882" spans="11:22">
      <c r="K1882" s="66">
        <v>93.5</v>
      </c>
      <c r="L1882" s="10">
        <f t="shared" si="248"/>
        <v>3.2419464021348036E-10</v>
      </c>
      <c r="M1882" s="10">
        <f t="shared" si="249"/>
        <v>2.3922331722772746E-14</v>
      </c>
      <c r="N1882" s="10">
        <f t="shared" si="250"/>
        <v>1.5814364024675904</v>
      </c>
      <c r="O1882" s="10">
        <f t="shared" si="251"/>
        <v>2.2703129139256042</v>
      </c>
      <c r="P1882" s="10">
        <f t="shared" si="252"/>
        <v>1.0442405096391568E-2</v>
      </c>
      <c r="Q1882" s="66">
        <f t="shared" si="255"/>
        <v>2</v>
      </c>
      <c r="R1882" s="10">
        <f t="shared" si="253"/>
        <v>6.2387543492096903E-25</v>
      </c>
      <c r="V1882" s="10">
        <f t="shared" si="254"/>
        <v>1.1342786569047319E-15</v>
      </c>
    </row>
    <row r="1883" spans="11:22">
      <c r="K1883" s="66">
        <v>93.55</v>
      </c>
      <c r="L1883" s="10">
        <f t="shared" si="248"/>
        <v>2.9950440644319688E-10</v>
      </c>
      <c r="M1883" s="10">
        <f t="shared" si="249"/>
        <v>2.1350844244567885E-14</v>
      </c>
      <c r="N1883" s="10">
        <f t="shared" si="250"/>
        <v>1.5871649182171053</v>
      </c>
      <c r="O1883" s="10">
        <f t="shared" si="251"/>
        <v>2.2785369391310453</v>
      </c>
      <c r="P1883" s="10">
        <f t="shared" si="252"/>
        <v>1.0416961810613161E-2</v>
      </c>
      <c r="Q1883" s="66">
        <f t="shared" si="255"/>
        <v>4</v>
      </c>
      <c r="R1883" s="10">
        <f t="shared" si="253"/>
        <v>1.030024815656126E-24</v>
      </c>
      <c r="V1883" s="10">
        <f t="shared" si="254"/>
        <v>2.0270860700585077E-15</v>
      </c>
    </row>
    <row r="1884" spans="11:22">
      <c r="K1884" s="66">
        <v>93.6</v>
      </c>
      <c r="L1884" s="10">
        <f t="shared" si="248"/>
        <v>2.7661516360002922E-10</v>
      </c>
      <c r="M1884" s="10">
        <f t="shared" si="249"/>
        <v>1.9047925803362172E-14</v>
      </c>
      <c r="N1884" s="10">
        <f t="shared" si="250"/>
        <v>1.5929141859664107</v>
      </c>
      <c r="O1884" s="10">
        <f t="shared" si="251"/>
        <v>2.2867907565159622</v>
      </c>
      <c r="P1884" s="10">
        <f t="shared" si="252"/>
        <v>1.0391580518291742E-2</v>
      </c>
      <c r="Q1884" s="66">
        <f t="shared" si="255"/>
        <v>2</v>
      </c>
      <c r="R1884" s="10">
        <f t="shared" si="253"/>
        <v>4.2484838850682143E-25</v>
      </c>
      <c r="V1884" s="10">
        <f t="shared" si="254"/>
        <v>9.0528582741480591E-16</v>
      </c>
    </row>
    <row r="1885" spans="11:22">
      <c r="K1885" s="66">
        <v>93.65</v>
      </c>
      <c r="L1885" s="10">
        <f t="shared" si="248"/>
        <v>2.5540163987703426E-10</v>
      </c>
      <c r="M1885" s="10">
        <f t="shared" si="249"/>
        <v>1.6986377647475401E-14</v>
      </c>
      <c r="N1885" s="10">
        <f t="shared" si="250"/>
        <v>1.5986842808912638</v>
      </c>
      <c r="O1885" s="10">
        <f t="shared" si="251"/>
        <v>2.2950744740048767</v>
      </c>
      <c r="P1885" s="10">
        <f t="shared" si="252"/>
        <v>1.0366261068378076E-2</v>
      </c>
      <c r="Q1885" s="66">
        <f t="shared" si="255"/>
        <v>4</v>
      </c>
      <c r="R1885" s="10">
        <f t="shared" si="253"/>
        <v>7.0044756620927763E-25</v>
      </c>
      <c r="V1885" s="10">
        <f t="shared" si="254"/>
        <v>1.6165148229269392E-15</v>
      </c>
    </row>
    <row r="1886" spans="11:22">
      <c r="K1886" s="66">
        <v>93.7</v>
      </c>
      <c r="L1886" s="10">
        <f t="shared" si="248"/>
        <v>2.3574682709775827E-10</v>
      </c>
      <c r="M1886" s="10">
        <f t="shared" si="249"/>
        <v>1.5141665769926311E-14</v>
      </c>
      <c r="N1886" s="10">
        <f t="shared" si="250"/>
        <v>1.6044752784397469</v>
      </c>
      <c r="O1886" s="10">
        <f t="shared" si="251"/>
        <v>2.3033881999132686</v>
      </c>
      <c r="P1886" s="10">
        <f t="shared" si="252"/>
        <v>1.0341003310190992E-2</v>
      </c>
      <c r="Q1886" s="66">
        <f t="shared" si="255"/>
        <v>2</v>
      </c>
      <c r="R1886" s="10">
        <f t="shared" si="253"/>
        <v>2.8850381995877933E-25</v>
      </c>
      <c r="V1886" s="10">
        <f t="shared" si="254"/>
        <v>7.2132912152580746E-16</v>
      </c>
    </row>
    <row r="1887" spans="11:22">
      <c r="K1887" s="66">
        <v>93.75</v>
      </c>
      <c r="L1887" s="10">
        <f t="shared" si="248"/>
        <v>2.1754146736612555E-10</v>
      </c>
      <c r="M1887" s="10">
        <f t="shared" si="249"/>
        <v>1.3491669029578985E-14</v>
      </c>
      <c r="N1887" s="10">
        <f t="shared" si="250"/>
        <v>1.6102872543332589</v>
      </c>
      <c r="O1887" s="10">
        <f t="shared" si="251"/>
        <v>2.3117320429489983</v>
      </c>
      <c r="P1887" s="10">
        <f t="shared" si="252"/>
        <v>1.0315807093416415E-2</v>
      </c>
      <c r="Q1887" s="66">
        <f t="shared" si="255"/>
        <v>4</v>
      </c>
      <c r="R1887" s="10">
        <f t="shared" si="253"/>
        <v>4.7498583911987198E-25</v>
      </c>
      <c r="V1887" s="10">
        <f t="shared" si="254"/>
        <v>1.2869639299537201E-15</v>
      </c>
    </row>
    <row r="1888" spans="11:22">
      <c r="K1888" s="66">
        <v>93.8</v>
      </c>
      <c r="L1888" s="10">
        <f t="shared" si="248"/>
        <v>2.0068356946869244E-10</v>
      </c>
      <c r="M1888" s="10">
        <f t="shared" si="249"/>
        <v>1.2016450167491303E-14</v>
      </c>
      <c r="N1888" s="10">
        <f t="shared" si="250"/>
        <v>1.6161202845675104</v>
      </c>
      <c r="O1888" s="10">
        <f t="shared" si="251"/>
        <v>2.3201061122137374</v>
      </c>
      <c r="P1888" s="10">
        <f t="shared" si="252"/>
        <v>1.0290672268106545E-2</v>
      </c>
      <c r="Q1888" s="66">
        <f t="shared" si="255"/>
        <v>2</v>
      </c>
      <c r="R1888" s="10">
        <f t="shared" si="253"/>
        <v>1.9536277663227717E-25</v>
      </c>
      <c r="V1888" s="10">
        <f t="shared" si="254"/>
        <v>5.7379634931380909E-16</v>
      </c>
    </row>
    <row r="1889" spans="11:22">
      <c r="K1889" s="66">
        <v>93.85</v>
      </c>
      <c r="L1889" s="10">
        <f t="shared" si="248"/>
        <v>1.8507795344130336E-10</v>
      </c>
      <c r="M1889" s="10">
        <f t="shared" si="249"/>
        <v>1.0698047725046355E-14</v>
      </c>
      <c r="N1889" s="10">
        <f t="shared" si="250"/>
        <v>1.6219744454135134</v>
      </c>
      <c r="O1889" s="10">
        <f t="shared" si="251"/>
        <v>2.3285105172043861</v>
      </c>
      <c r="P1889" s="10">
        <f t="shared" si="252"/>
        <v>1.0265598684678925E-2</v>
      </c>
      <c r="Q1889" s="66">
        <f t="shared" si="255"/>
        <v>4</v>
      </c>
      <c r="R1889" s="10">
        <f t="shared" si="253"/>
        <v>3.2118400270050125E-25</v>
      </c>
      <c r="V1889" s="10">
        <f t="shared" si="254"/>
        <v>1.0228854672821156E-15</v>
      </c>
    </row>
    <row r="1890" spans="11:22">
      <c r="K1890" s="66">
        <v>93.9</v>
      </c>
      <c r="L1890" s="10">
        <f t="shared" si="248"/>
        <v>1.7063582178895298E-10</v>
      </c>
      <c r="M1890" s="10">
        <f t="shared" si="249"/>
        <v>9.5202870358980626E-15</v>
      </c>
      <c r="N1890" s="10">
        <f t="shared" si="250"/>
        <v>1.6278498134185715</v>
      </c>
      <c r="O1890" s="10">
        <f t="shared" si="251"/>
        <v>2.3369453678144954</v>
      </c>
      <c r="P1890" s="10">
        <f t="shared" si="252"/>
        <v>1.024058619391556E-2</v>
      </c>
      <c r="Q1890" s="66">
        <f t="shared" si="255"/>
        <v>2</v>
      </c>
      <c r="R1890" s="10">
        <f t="shared" si="253"/>
        <v>1.3191549782851352E-25</v>
      </c>
      <c r="V1890" s="10">
        <f t="shared" si="254"/>
        <v>4.5567312497150585E-16</v>
      </c>
    </row>
    <row r="1891" spans="11:22">
      <c r="K1891" s="66">
        <v>93.95</v>
      </c>
      <c r="L1891" s="10">
        <f t="shared" si="248"/>
        <v>1.5727435592072802E-10</v>
      </c>
      <c r="M1891" s="10">
        <f t="shared" si="249"/>
        <v>8.4686086161718793E-15</v>
      </c>
      <c r="N1891" s="10">
        <f t="shared" si="250"/>
        <v>1.6337464654072866</v>
      </c>
      <c r="O1891" s="10">
        <f t="shared" si="251"/>
        <v>2.3454107743357286</v>
      </c>
      <c r="P1891" s="10">
        <f t="shared" si="252"/>
        <v>1.0215634646962058E-2</v>
      </c>
      <c r="Q1891" s="66">
        <f t="shared" si="255"/>
        <v>4</v>
      </c>
      <c r="R1891" s="10">
        <f t="shared" si="253"/>
        <v>2.1656407862944434E-25</v>
      </c>
      <c r="V1891" s="10">
        <f t="shared" si="254"/>
        <v>8.116266925802408E-16</v>
      </c>
    </row>
    <row r="1892" spans="11:22">
      <c r="K1892" s="66">
        <v>94</v>
      </c>
      <c r="L1892" s="10">
        <f t="shared" si="248"/>
        <v>1.4491633643197319E-10</v>
      </c>
      <c r="M1892" s="10">
        <f t="shared" si="249"/>
        <v>7.5299124177476385E-15</v>
      </c>
      <c r="N1892" s="10">
        <f t="shared" si="250"/>
        <v>1.6396644784825745</v>
      </c>
      <c r="O1892" s="10">
        <f t="shared" si="251"/>
        <v>2.3539068474592795</v>
      </c>
      <c r="P1892" s="10">
        <f t="shared" si="252"/>
        <v>1.0190743895326695E-2</v>
      </c>
      <c r="Q1892" s="66">
        <f t="shared" si="255"/>
        <v>2</v>
      </c>
      <c r="R1892" s="10">
        <f t="shared" si="253"/>
        <v>8.8818738312185342E-26</v>
      </c>
      <c r="V1892" s="10">
        <f t="shared" si="254"/>
        <v>3.6125600933953247E-16</v>
      </c>
    </row>
    <row r="1893" spans="11:22">
      <c r="K1893" s="66">
        <v>94.05</v>
      </c>
      <c r="L1893" s="10">
        <f t="shared" si="248"/>
        <v>1.3348978593315064E-10</v>
      </c>
      <c r="M1893" s="10">
        <f t="shared" si="249"/>
        <v>6.6924165386981308E-15</v>
      </c>
      <c r="N1893" s="10">
        <f t="shared" si="250"/>
        <v>1.6456039300266445</v>
      </c>
      <c r="O1893" s="10">
        <f t="shared" si="251"/>
        <v>2.3624336982773197</v>
      </c>
      <c r="P1893" s="10">
        <f t="shared" si="252"/>
        <v>1.0165913790879468E-2</v>
      </c>
      <c r="Q1893" s="66">
        <f t="shared" si="255"/>
        <v>4</v>
      </c>
      <c r="R1893" s="10">
        <f t="shared" si="253"/>
        <v>1.4560262486745187E-25</v>
      </c>
      <c r="V1893" s="10">
        <f t="shared" si="254"/>
        <v>6.4290826126695336E-16</v>
      </c>
    </row>
    <row r="1894" spans="11:22">
      <c r="K1894" s="66">
        <v>94.1</v>
      </c>
      <c r="L1894" s="10">
        <f t="shared" si="248"/>
        <v>1.2292763318873892E-10</v>
      </c>
      <c r="M1894" s="10">
        <f t="shared" si="249"/>
        <v>5.945529103841936E-15</v>
      </c>
      <c r="N1894" s="10">
        <f t="shared" si="250"/>
        <v>1.6515648977020467</v>
      </c>
      <c r="O1894" s="10">
        <f t="shared" si="251"/>
        <v>2.3709914382844945</v>
      </c>
      <c r="P1894" s="10">
        <f t="shared" si="252"/>
        <v>1.0141144185851466E-2</v>
      </c>
      <c r="Q1894" s="66">
        <f t="shared" si="255"/>
        <v>2</v>
      </c>
      <c r="R1894" s="10">
        <f t="shared" si="253"/>
        <v>5.962921850873823E-26</v>
      </c>
      <c r="V1894" s="10">
        <f t="shared" si="254"/>
        <v>2.8591533431384299E-16</v>
      </c>
    </row>
    <row r="1895" spans="11:22">
      <c r="K1895" s="66">
        <v>94.15</v>
      </c>
      <c r="L1895" s="10">
        <f t="shared" si="248"/>
        <v>1.1316739739154354E-10</v>
      </c>
      <c r="M1895" s="10">
        <f t="shared" si="249"/>
        <v>5.2797321377837291E-15</v>
      </c>
      <c r="N1895" s="10">
        <f t="shared" si="250"/>
        <v>1.6575474594526642</v>
      </c>
      <c r="O1895" s="10">
        <f t="shared" si="251"/>
        <v>2.3795801793793152</v>
      </c>
      <c r="P1895" s="10">
        <f t="shared" si="252"/>
        <v>1.0116434932833701E-2</v>
      </c>
      <c r="Q1895" s="66">
        <f t="shared" si="255"/>
        <v>4</v>
      </c>
      <c r="R1895" s="10">
        <f t="shared" si="253"/>
        <v>9.7609745856031984E-26</v>
      </c>
      <c r="V1895" s="10">
        <f t="shared" si="254"/>
        <v>5.0839318035675424E-16</v>
      </c>
    </row>
    <row r="1896" spans="11:22">
      <c r="K1896" s="66">
        <v>94.2</v>
      </c>
      <c r="L1896" s="10">
        <f t="shared" si="248"/>
        <v>1.0415089145611923E-10</v>
      </c>
      <c r="M1896" s="10">
        <f t="shared" si="249"/>
        <v>4.686476353335174E-15</v>
      </c>
      <c r="N1896" s="10">
        <f t="shared" si="250"/>
        <v>1.6635516935047308</v>
      </c>
      <c r="O1896" s="10">
        <f t="shared" si="251"/>
        <v>2.3882000338656613</v>
      </c>
      <c r="P1896" s="10">
        <f t="shared" si="252"/>
        <v>1.0091785884776411E-2</v>
      </c>
      <c r="Q1896" s="66">
        <f t="shared" si="255"/>
        <v>2</v>
      </c>
      <c r="R1896" s="10">
        <f t="shared" si="253"/>
        <v>3.9916299338087625E-26</v>
      </c>
      <c r="V1896" s="10">
        <f t="shared" si="254"/>
        <v>2.2589943954154455E-16</v>
      </c>
    </row>
    <row r="1897" spans="11:22">
      <c r="K1897" s="66">
        <v>94.25</v>
      </c>
      <c r="L1897" s="10">
        <f t="shared" si="248"/>
        <v>9.5823943271440216E-11</v>
      </c>
      <c r="M1897" s="10">
        <f t="shared" si="249"/>
        <v>4.1580858706291888E-15</v>
      </c>
      <c r="N1897" s="10">
        <f t="shared" si="250"/>
        <v>1.6695776783678717</v>
      </c>
      <c r="O1897" s="10">
        <f t="shared" si="251"/>
        <v>2.3968511144542504</v>
      </c>
      <c r="P1897" s="10">
        <f t="shared" si="252"/>
        <v>1.0067196894988074E-2</v>
      </c>
      <c r="Q1897" s="66">
        <f t="shared" si="255"/>
        <v>4</v>
      </c>
      <c r="R1897" s="10">
        <f t="shared" si="253"/>
        <v>6.5245297887968995E-26</v>
      </c>
      <c r="V1897" s="10">
        <f t="shared" si="254"/>
        <v>4.013313311680349E-16</v>
      </c>
    </row>
    <row r="1898" spans="11:22">
      <c r="K1898" s="66">
        <v>94.3</v>
      </c>
      <c r="L1898" s="10">
        <f t="shared" si="248"/>
        <v>8.8136133906665576E-11</v>
      </c>
      <c r="M1898" s="10">
        <f t="shared" si="249"/>
        <v>3.6876719671132147E-15</v>
      </c>
      <c r="N1898" s="10">
        <f t="shared" si="250"/>
        <v>1.6756254928361092</v>
      </c>
      <c r="O1898" s="10">
        <f t="shared" si="251"/>
        <v>2.4055335342641024</v>
      </c>
      <c r="P1898" s="10">
        <f t="shared" si="252"/>
        <v>1.0042667817134624E-2</v>
      </c>
      <c r="Q1898" s="66">
        <f t="shared" si="255"/>
        <v>2</v>
      </c>
      <c r="R1898" s="10">
        <f t="shared" si="253"/>
        <v>2.6642126706465551E-26</v>
      </c>
      <c r="V1898" s="10">
        <f t="shared" si="254"/>
        <v>1.7817336851946021E-16</v>
      </c>
    </row>
    <row r="1899" spans="11:22">
      <c r="K1899" s="66">
        <v>94.35</v>
      </c>
      <c r="L1899" s="10">
        <f t="shared" si="248"/>
        <v>8.1040551815028386E-11</v>
      </c>
      <c r="M1899" s="10">
        <f t="shared" si="249"/>
        <v>3.2690550365261402E-15</v>
      </c>
      <c r="N1899" s="10">
        <f t="shared" si="250"/>
        <v>1.6816952159889107</v>
      </c>
      <c r="O1899" s="10">
        <f t="shared" si="251"/>
        <v>2.4142474068240092</v>
      </c>
      <c r="P1899" s="10">
        <f t="shared" si="252"/>
        <v>1.0018198505238529E-2</v>
      </c>
      <c r="Q1899" s="66">
        <f t="shared" si="255"/>
        <v>4</v>
      </c>
      <c r="R1899" s="10">
        <f t="shared" si="253"/>
        <v>4.3483862134448309E-26</v>
      </c>
      <c r="V1899" s="10">
        <f t="shared" si="254"/>
        <v>3.1626681857036206E-16</v>
      </c>
    </row>
    <row r="1900" spans="11:22">
      <c r="K1900" s="66">
        <v>94.4</v>
      </c>
      <c r="L1900" s="10">
        <f t="shared" si="248"/>
        <v>7.4493562129984913E-11</v>
      </c>
      <c r="M1900" s="10">
        <f t="shared" si="249"/>
        <v>2.896694006477104E-15</v>
      </c>
      <c r="N1900" s="10">
        <f t="shared" si="250"/>
        <v>1.6877869271922159</v>
      </c>
      <c r="O1900" s="10">
        <f t="shared" si="251"/>
        <v>2.4229928460740435</v>
      </c>
      <c r="P1900" s="10">
        <f t="shared" si="252"/>
        <v>9.9937888136779358E-3</v>
      </c>
      <c r="Q1900" s="66">
        <f t="shared" si="255"/>
        <v>2</v>
      </c>
      <c r="R1900" s="10">
        <f t="shared" si="253"/>
        <v>1.7729877583116347E-26</v>
      </c>
      <c r="V1900" s="10">
        <f t="shared" si="254"/>
        <v>1.4028618856875919E-16</v>
      </c>
    </row>
    <row r="1901" spans="11:22">
      <c r="K1901" s="66">
        <v>94.45</v>
      </c>
      <c r="L1901" s="10">
        <f t="shared" si="248"/>
        <v>6.8454590194414799E-11</v>
      </c>
      <c r="M1901" s="10">
        <f t="shared" si="249"/>
        <v>2.5656225298370971E-15</v>
      </c>
      <c r="N1901" s="10">
        <f t="shared" si="250"/>
        <v>1.6939007060994646</v>
      </c>
      <c r="O1901" s="10">
        <f t="shared" si="251"/>
        <v>2.4317699663670207</v>
      </c>
      <c r="P1901" s="10">
        <f t="shared" si="252"/>
        <v>9.9694385971858344E-3</v>
      </c>
      <c r="Q1901" s="66">
        <f t="shared" si="255"/>
        <v>4</v>
      </c>
      <c r="R1901" s="10">
        <f t="shared" si="253"/>
        <v>2.8894859536567231E-26</v>
      </c>
      <c r="V1901" s="10">
        <f t="shared" si="254"/>
        <v>2.4879746167190168E-16</v>
      </c>
    </row>
    <row r="1902" spans="11:22">
      <c r="K1902" s="66">
        <v>94.5</v>
      </c>
      <c r="L1902" s="10">
        <f t="shared" si="248"/>
        <v>6.2885918508327946E-11</v>
      </c>
      <c r="M1902" s="10">
        <f t="shared" si="249"/>
        <v>2.271391325295031E-15</v>
      </c>
      <c r="N1902" s="10">
        <f t="shared" si="250"/>
        <v>1.7000366326526597</v>
      </c>
      <c r="O1902" s="10">
        <f t="shared" si="251"/>
        <v>2.4405788824700245</v>
      </c>
      <c r="P1902" s="10">
        <f t="shared" si="252"/>
        <v>9.9451477108491101E-3</v>
      </c>
      <c r="Q1902" s="66">
        <f t="shared" si="255"/>
        <v>2</v>
      </c>
      <c r="R1902" s="10">
        <f t="shared" si="253"/>
        <v>1.1763905037996357E-26</v>
      </c>
      <c r="V1902" s="10">
        <f t="shared" si="254"/>
        <v>1.1026204564567206E-16</v>
      </c>
    </row>
    <row r="1903" spans="11:22">
      <c r="K1903" s="66">
        <v>94.55</v>
      </c>
      <c r="L1903" s="10">
        <f t="shared" si="248"/>
        <v>5.7752496323119747E-11</v>
      </c>
      <c r="M1903" s="10">
        <f t="shared" si="249"/>
        <v>2.0100160975487924E-15</v>
      </c>
      <c r="N1903" s="10">
        <f t="shared" si="250"/>
        <v>1.7061947870833882</v>
      </c>
      <c r="O1903" s="10">
        <f t="shared" si="251"/>
        <v>2.4494197095658734</v>
      </c>
      <c r="P1903" s="10">
        <f t="shared" si="252"/>
        <v>9.9209160101077706E-3</v>
      </c>
      <c r="Q1903" s="66">
        <f t="shared" si="255"/>
        <v>4</v>
      </c>
      <c r="R1903" s="10">
        <f t="shared" si="253"/>
        <v>1.9143322401976655E-26</v>
      </c>
      <c r="V1903" s="10">
        <f t="shared" si="254"/>
        <v>1.9537748188715981E-16</v>
      </c>
    </row>
    <row r="1904" spans="11:22">
      <c r="K1904" s="66">
        <v>94.6</v>
      </c>
      <c r="L1904" s="10">
        <f t="shared" si="248"/>
        <v>5.3021761150903403E-11</v>
      </c>
      <c r="M1904" s="10">
        <f t="shared" si="249"/>
        <v>1.7779305180830767E-15</v>
      </c>
      <c r="N1904" s="10">
        <f t="shared" si="250"/>
        <v>1.7123752499138913</v>
      </c>
      <c r="O1904" s="10">
        <f t="shared" si="251"/>
        <v>2.4582925632546595</v>
      </c>
      <c r="P1904" s="10">
        <f t="shared" si="252"/>
        <v>9.8967433507540399E-3</v>
      </c>
      <c r="Q1904" s="66">
        <f t="shared" si="255"/>
        <v>2</v>
      </c>
      <c r="R1904" s="10">
        <f t="shared" si="253"/>
        <v>7.7821005462084992E-27</v>
      </c>
      <c r="V1904" s="10">
        <f t="shared" si="254"/>
        <v>8.6510865232764902E-17</v>
      </c>
    </row>
    <row r="1905" spans="11:22">
      <c r="K1905" s="66">
        <v>94.65</v>
      </c>
      <c r="L1905" s="10">
        <f t="shared" si="248"/>
        <v>4.8663471496201006E-11</v>
      </c>
      <c r="M1905" s="10">
        <f t="shared" si="249"/>
        <v>1.5719437937160022E-15</v>
      </c>
      <c r="N1905" s="10">
        <f t="shared" si="250"/>
        <v>1.7185781019581086</v>
      </c>
      <c r="O1905" s="10">
        <f t="shared" si="251"/>
        <v>2.4671975595552422</v>
      </c>
      <c r="P1905" s="10">
        <f t="shared" si="252"/>
        <v>9.8726295889315068E-3</v>
      </c>
      <c r="Q1905" s="66">
        <f t="shared" si="255"/>
        <v>4</v>
      </c>
      <c r="R1905" s="10">
        <f t="shared" si="253"/>
        <v>1.2644710278715384E-26</v>
      </c>
      <c r="V1905" s="10">
        <f t="shared" si="254"/>
        <v>1.5315591508927152E-16</v>
      </c>
    </row>
    <row r="1906" spans="11:22">
      <c r="K1906" s="66">
        <v>94.7</v>
      </c>
      <c r="L1906" s="10">
        <f t="shared" si="248"/>
        <v>4.4649550154114845E-11</v>
      </c>
      <c r="M1906" s="10">
        <f t="shared" si="249"/>
        <v>1.3892023923999599E-15</v>
      </c>
      <c r="N1906" s="10">
        <f t="shared" si="250"/>
        <v>1.7248034243227279</v>
      </c>
      <c r="O1906" s="10">
        <f t="shared" si="251"/>
        <v>2.4761348149067635</v>
      </c>
      <c r="P1906" s="10">
        <f t="shared" si="252"/>
        <v>9.8485745811342767E-3</v>
      </c>
      <c r="Q1906" s="66">
        <f t="shared" si="255"/>
        <v>2</v>
      </c>
      <c r="R1906" s="10">
        <f t="shared" si="253"/>
        <v>5.1325392678933762E-27</v>
      </c>
      <c r="V1906" s="10">
        <f t="shared" si="254"/>
        <v>6.7755285988771387E-17</v>
      </c>
    </row>
    <row r="1907" spans="11:22">
      <c r="K1907" s="66">
        <v>94.75</v>
      </c>
      <c r="L1907" s="10">
        <f t="shared" si="248"/>
        <v>4.0953937454146574E-11</v>
      </c>
      <c r="M1907" s="10">
        <f t="shared" si="249"/>
        <v>1.2271555344584336E-15</v>
      </c>
      <c r="N1907" s="10">
        <f t="shared" si="250"/>
        <v>1.7310512984082531</v>
      </c>
      <c r="O1907" s="10">
        <f t="shared" si="251"/>
        <v>2.485104446170173</v>
      </c>
      <c r="P1907" s="10">
        <f t="shared" si="252"/>
        <v>9.8245781842061074E-3</v>
      </c>
      <c r="Q1907" s="66">
        <f t="shared" si="255"/>
        <v>4</v>
      </c>
      <c r="R1907" s="10">
        <f t="shared" si="253"/>
        <v>8.3269474295773628E-27</v>
      </c>
      <c r="V1907" s="10">
        <f t="shared" si="254"/>
        <v>1.1984451472160975E-16</v>
      </c>
    </row>
    <row r="1908" spans="11:22">
      <c r="K1908" s="66">
        <v>94.8</v>
      </c>
      <c r="L1908" s="10">
        <f t="shared" si="248"/>
        <v>3.7552453862335695E-11</v>
      </c>
      <c r="M1908" s="10">
        <f t="shared" si="249"/>
        <v>1.083524092826727E-15</v>
      </c>
      <c r="N1908" s="10">
        <f t="shared" si="250"/>
        <v>1.7373218059100737</v>
      </c>
      <c r="O1908" s="10">
        <f t="shared" si="251"/>
        <v>2.4941065706297674</v>
      </c>
      <c r="P1908" s="10">
        <f t="shared" si="252"/>
        <v>9.8006402553395648E-3</v>
      </c>
      <c r="Q1908" s="66">
        <f t="shared" si="255"/>
        <v>2</v>
      </c>
      <c r="R1908" s="10">
        <f t="shared" si="253"/>
        <v>3.374802263970182E-27</v>
      </c>
      <c r="V1908" s="10">
        <f t="shared" si="254"/>
        <v>5.2970981844872647E-17</v>
      </c>
    </row>
    <row r="1909" spans="11:22">
      <c r="K1909" s="66">
        <v>94.85</v>
      </c>
      <c r="L1909" s="10">
        <f t="shared" si="248"/>
        <v>3.4422671386122113E-11</v>
      </c>
      <c r="M1909" s="10">
        <f t="shared" si="249"/>
        <v>9.5627257819810915E-16</v>
      </c>
      <c r="N1909" s="10">
        <f t="shared" si="250"/>
        <v>1.7436150288195271</v>
      </c>
      <c r="O1909" s="10">
        <f t="shared" si="251"/>
        <v>2.5031413059947152</v>
      </c>
      <c r="P1909" s="10">
        <f t="shared" si="252"/>
        <v>9.7767606520751654E-3</v>
      </c>
      <c r="Q1909" s="66">
        <f t="shared" si="255"/>
        <v>4</v>
      </c>
      <c r="R1909" s="10">
        <f t="shared" si="253"/>
        <v>5.4668680403897711E-27</v>
      </c>
      <c r="V1909" s="10">
        <f t="shared" si="254"/>
        <v>9.360995654523641E-17</v>
      </c>
    </row>
    <row r="1910" spans="11:22">
      <c r="K1910" s="66">
        <v>94.9</v>
      </c>
      <c r="L1910" s="10">
        <f t="shared" si="248"/>
        <v>3.1543793256662144E-11</v>
      </c>
      <c r="M1910" s="10">
        <f t="shared" si="249"/>
        <v>8.4358391451737843E-16</v>
      </c>
      <c r="N1910" s="10">
        <f t="shared" si="250"/>
        <v>1.7499310494249642</v>
      </c>
      <c r="O1910" s="10">
        <f t="shared" si="251"/>
        <v>2.5122087704005827</v>
      </c>
      <c r="P1910" s="10">
        <f t="shared" si="252"/>
        <v>9.7529392323005403E-3</v>
      </c>
      <c r="Q1910" s="66">
        <f t="shared" si="255"/>
        <v>2</v>
      </c>
      <c r="R1910" s="10">
        <f t="shared" si="253"/>
        <v>2.2122561660152758E-27</v>
      </c>
      <c r="V1910" s="10">
        <f t="shared" si="254"/>
        <v>4.1338006705249445E-17</v>
      </c>
    </row>
    <row r="1911" spans="11:22">
      <c r="K1911" s="66">
        <v>94.95</v>
      </c>
      <c r="L1911" s="10">
        <f t="shared" si="248"/>
        <v>2.889654139206714E-11</v>
      </c>
      <c r="M1911" s="10">
        <f t="shared" si="249"/>
        <v>7.4383673723287658E-16</v>
      </c>
      <c r="N1911" s="10">
        <f t="shared" si="250"/>
        <v>1.7562699503128332</v>
      </c>
      <c r="O1911" s="10">
        <f t="shared" si="251"/>
        <v>2.5213090824109083</v>
      </c>
      <c r="P1911" s="10">
        <f t="shared" si="252"/>
        <v>9.729175854249577E-3</v>
      </c>
      <c r="Q1911" s="66">
        <f t="shared" si="255"/>
        <v>4</v>
      </c>
      <c r="R1911" s="10">
        <f t="shared" si="253"/>
        <v>3.5781420374349036E-27</v>
      </c>
      <c r="V1911" s="10">
        <f t="shared" si="254"/>
        <v>7.2986032596130001E-17</v>
      </c>
    </row>
    <row r="1912" spans="11:22">
      <c r="K1912" s="66">
        <v>95</v>
      </c>
      <c r="L1912" s="10">
        <f t="shared" si="248"/>
        <v>2.6463051172423067E-11</v>
      </c>
      <c r="M1912" s="10">
        <f t="shared" si="249"/>
        <v>6.5558497133125384E-16</v>
      </c>
      <c r="N1912" s="10">
        <f t="shared" si="250"/>
        <v>1.7626318143687674</v>
      </c>
      <c r="O1912" s="10">
        <f t="shared" si="251"/>
        <v>2.5304423610187259</v>
      </c>
      <c r="P1912" s="10">
        <f t="shared" si="252"/>
        <v>9.7054703765016102E-3</v>
      </c>
      <c r="Q1912" s="66">
        <f t="shared" si="255"/>
        <v>2</v>
      </c>
      <c r="R1912" s="10">
        <f t="shared" si="253"/>
        <v>1.4457189781333482E-27</v>
      </c>
      <c r="V1912" s="10">
        <f t="shared" si="254"/>
        <v>3.2201197497385448E-17</v>
      </c>
    </row>
    <row r="1913" spans="11:22">
      <c r="K1913" s="66">
        <v>95.05</v>
      </c>
      <c r="L1913" s="10">
        <f t="shared" si="248"/>
        <v>2.4226773083485967E-11</v>
      </c>
      <c r="M1913" s="10">
        <f t="shared" si="249"/>
        <v>5.7753946863327088E-16</v>
      </c>
      <c r="N1913" s="10">
        <f t="shared" si="250"/>
        <v>1.7690167247786428</v>
      </c>
      <c r="O1913" s="10">
        <f t="shared" si="251"/>
        <v>2.5396087256481192</v>
      </c>
      <c r="P1913" s="10">
        <f t="shared" si="252"/>
        <v>9.6818226579804441E-3</v>
      </c>
      <c r="Q1913" s="66">
        <f t="shared" si="255"/>
        <v>4</v>
      </c>
      <c r="R1913" s="10">
        <f t="shared" si="253"/>
        <v>2.3347108289995322E-27</v>
      </c>
      <c r="V1913" s="10">
        <f t="shared" si="254"/>
        <v>5.6802257232672807E-17</v>
      </c>
    </row>
    <row r="1914" spans="11:22">
      <c r="K1914" s="66">
        <v>95.1</v>
      </c>
      <c r="L1914" s="10">
        <f t="shared" si="248"/>
        <v>2.2172380810587105E-11</v>
      </c>
      <c r="M1914" s="10">
        <f t="shared" si="249"/>
        <v>5.0855150429604772E-16</v>
      </c>
      <c r="N1914" s="10">
        <f t="shared" si="250"/>
        <v>1.7754247650297004</v>
      </c>
      <c r="O1914" s="10">
        <f t="shared" si="251"/>
        <v>2.5488082961558316</v>
      </c>
      <c r="P1914" s="10">
        <f t="shared" si="252"/>
        <v>9.6582325579537762E-3</v>
      </c>
      <c r="Q1914" s="66">
        <f t="shared" si="255"/>
        <v>2</v>
      </c>
      <c r="R1914" s="10">
        <f t="shared" si="253"/>
        <v>9.4185493847606437E-28</v>
      </c>
      <c r="V1914" s="10">
        <f t="shared" si="254"/>
        <v>2.5038007745736616E-17</v>
      </c>
    </row>
    <row r="1915" spans="11:22">
      <c r="K1915" s="66">
        <v>95.15</v>
      </c>
      <c r="L1915" s="10">
        <f t="shared" si="248"/>
        <v>2.0285685387853779E-11</v>
      </c>
      <c r="M1915" s="10">
        <f t="shared" si="249"/>
        <v>4.4759795112690544E-16</v>
      </c>
      <c r="N1915" s="10">
        <f t="shared" si="250"/>
        <v>1.7818560189116142</v>
      </c>
      <c r="O1915" s="10">
        <f t="shared" si="251"/>
        <v>2.5580411928327638</v>
      </c>
      <c r="P1915" s="10">
        <f t="shared" si="252"/>
        <v>9.6346999360321043E-3</v>
      </c>
      <c r="Q1915" s="66">
        <f t="shared" si="255"/>
        <v>4</v>
      </c>
      <c r="R1915" s="10">
        <f t="shared" si="253"/>
        <v>1.5186419906095056E-27</v>
      </c>
      <c r="V1915" s="10">
        <f t="shared" si="254"/>
        <v>4.4125923574406362E-17</v>
      </c>
    </row>
    <row r="1916" spans="11:22">
      <c r="K1916" s="66">
        <v>95.2</v>
      </c>
      <c r="L1916" s="10">
        <f t="shared" si="248"/>
        <v>1.8553555030044451E-11</v>
      </c>
      <c r="M1916" s="10">
        <f t="shared" si="249"/>
        <v>3.937679673036017E-16</v>
      </c>
      <c r="N1916" s="10">
        <f t="shared" si="250"/>
        <v>1.7883105705175857</v>
      </c>
      <c r="O1916" s="10">
        <f t="shared" si="251"/>
        <v>2.5673075364055862</v>
      </c>
      <c r="P1916" s="10">
        <f t="shared" si="252"/>
        <v>9.6112246521680104E-3</v>
      </c>
      <c r="Q1916" s="66">
        <f t="shared" si="255"/>
        <v>2</v>
      </c>
      <c r="R1916" s="10">
        <f t="shared" si="253"/>
        <v>6.1168247681025538E-28</v>
      </c>
      <c r="V1916" s="10">
        <f t="shared" si="254"/>
        <v>1.9432425153309105E-17</v>
      </c>
    </row>
    <row r="1917" spans="11:22">
      <c r="K1917" s="66">
        <v>95.25</v>
      </c>
      <c r="L1917" s="10">
        <f t="shared" si="248"/>
        <v>1.6963840295490059E-11</v>
      </c>
      <c r="M1917" s="10">
        <f t="shared" si="249"/>
        <v>3.4625104856891265E-16</v>
      </c>
      <c r="N1917" s="10">
        <f t="shared" si="250"/>
        <v>1.7947885042454592</v>
      </c>
      <c r="O1917" s="10">
        <f t="shared" si="251"/>
        <v>2.5766074480383194</v>
      </c>
      <c r="P1917" s="10">
        <f t="shared" si="252"/>
        <v>9.5878065666553085E-3</v>
      </c>
      <c r="Q1917" s="66">
        <f t="shared" si="255"/>
        <v>4</v>
      </c>
      <c r="R1917" s="10">
        <f t="shared" si="253"/>
        <v>9.8472434091379866E-28</v>
      </c>
      <c r="V1917" s="10">
        <f t="shared" si="254"/>
        <v>3.4215162741705934E-17</v>
      </c>
    </row>
    <row r="1918" spans="11:22">
      <c r="K1918" s="66">
        <v>95.3</v>
      </c>
      <c r="L1918" s="10">
        <f t="shared" si="248"/>
        <v>1.5505304248695415E-11</v>
      </c>
      <c r="M1918" s="10">
        <f t="shared" si="249"/>
        <v>3.0432631004659602E-16</v>
      </c>
      <c r="N1918" s="10">
        <f t="shared" si="250"/>
        <v>1.8012899047988173</v>
      </c>
      <c r="O1918" s="10">
        <f t="shared" si="251"/>
        <v>2.5859410493339103</v>
      </c>
      <c r="P1918" s="10">
        <f t="shared" si="252"/>
        <v>9.5644455401282108E-3</v>
      </c>
      <c r="Q1918" s="66">
        <f t="shared" si="255"/>
        <v>2</v>
      </c>
      <c r="R1918" s="10">
        <f t="shared" si="253"/>
        <v>3.9600446647004333E-28</v>
      </c>
      <c r="V1918" s="10">
        <f t="shared" si="254"/>
        <v>1.5053861453284451E-17</v>
      </c>
    </row>
    <row r="1919" spans="11:22">
      <c r="K1919" s="66">
        <v>95.35</v>
      </c>
      <c r="L1919" s="10">
        <f t="shared" si="248"/>
        <v>1.4167557310160439E-11</v>
      </c>
      <c r="M1919" s="10">
        <f t="shared" si="249"/>
        <v>2.6735287563167314E-16</v>
      </c>
      <c r="N1919" s="10">
        <f t="shared" si="250"/>
        <v>1.8078148571880792</v>
      </c>
      <c r="O1919" s="10">
        <f t="shared" si="251"/>
        <v>2.5953084623358094</v>
      </c>
      <c r="P1919" s="10">
        <f t="shared" si="252"/>
        <v>9.541141433560503E-3</v>
      </c>
      <c r="Q1919" s="66">
        <f t="shared" si="255"/>
        <v>4</v>
      </c>
      <c r="R1919" s="10">
        <f t="shared" si="253"/>
        <v>6.3650381624168496E-28</v>
      </c>
      <c r="V1919" s="10">
        <f t="shared" si="254"/>
        <v>2.6480986964551033E-17</v>
      </c>
    </row>
    <row r="1920" spans="11:22">
      <c r="K1920" s="66">
        <v>95.4</v>
      </c>
      <c r="L1920" s="10">
        <f t="shared" si="248"/>
        <v>1.2940996499037308E-11</v>
      </c>
      <c r="M1920" s="10">
        <f t="shared" si="249"/>
        <v>2.3476126455098689E-16</v>
      </c>
      <c r="N1920" s="10">
        <f t="shared" si="250"/>
        <v>1.8143634467316323</v>
      </c>
      <c r="O1920" s="10">
        <f t="shared" si="251"/>
        <v>2.6047098095295969</v>
      </c>
      <c r="P1920" s="10">
        <f t="shared" si="252"/>
        <v>9.5178941082647087E-3</v>
      </c>
      <c r="Q1920" s="66">
        <f t="shared" si="255"/>
        <v>2</v>
      </c>
      <c r="R1920" s="10">
        <f t="shared" si="253"/>
        <v>2.5556196889043828E-28</v>
      </c>
      <c r="V1920" s="10">
        <f t="shared" si="254"/>
        <v>1.1640098361109775E-17</v>
      </c>
    </row>
    <row r="1921" spans="11:22">
      <c r="K1921" s="66">
        <v>95.45</v>
      </c>
      <c r="L1921" s="10">
        <f t="shared" si="248"/>
        <v>1.1816748791318615E-11</v>
      </c>
      <c r="M1921" s="10">
        <f t="shared" si="249"/>
        <v>2.0604567526956837E-16</v>
      </c>
      <c r="N1921" s="10">
        <f t="shared" si="250"/>
        <v>1.8209357590569246</v>
      </c>
      <c r="O1921" s="10">
        <f t="shared" si="251"/>
        <v>2.6141452138445471</v>
      </c>
      <c r="P1921" s="10">
        <f t="shared" si="252"/>
        <v>9.4947034258912686E-3</v>
      </c>
      <c r="Q1921" s="66">
        <f t="shared" si="255"/>
        <v>4</v>
      </c>
      <c r="R1921" s="10">
        <f t="shared" si="253"/>
        <v>4.1011386778757016E-28</v>
      </c>
      <c r="V1921" s="10">
        <f t="shared" si="254"/>
        <v>2.0456654356552949E-17</v>
      </c>
    </row>
    <row r="1922" spans="11:22">
      <c r="K1922" s="66">
        <v>95.5</v>
      </c>
      <c r="L1922" s="10">
        <f t="shared" si="248"/>
        <v>1.0786618332446468E-11</v>
      </c>
      <c r="M1922" s="10">
        <f t="shared" si="249"/>
        <v>1.8075707652756417E-16</v>
      </c>
      <c r="N1922" s="10">
        <f t="shared" si="250"/>
        <v>1.8275318801016094</v>
      </c>
      <c r="O1922" s="10">
        <f t="shared" si="251"/>
        <v>2.6236147986552769</v>
      </c>
      <c r="P1922" s="10">
        <f t="shared" si="252"/>
        <v>9.471569248427722E-3</v>
      </c>
      <c r="Q1922" s="66">
        <f t="shared" si="255"/>
        <v>2</v>
      </c>
      <c r="R1922" s="10">
        <f t="shared" si="253"/>
        <v>1.6440100237220185E-28</v>
      </c>
      <c r="V1922" s="10">
        <f t="shared" si="254"/>
        <v>8.9835360524428622E-18</v>
      </c>
    </row>
    <row r="1923" spans="11:22">
      <c r="K1923" s="66">
        <v>95.55</v>
      </c>
      <c r="L1923" s="10">
        <f t="shared" si="248"/>
        <v>9.8430372585752542E-12</v>
      </c>
      <c r="M1923" s="10">
        <f t="shared" si="249"/>
        <v>1.5849702401618714E-16</v>
      </c>
      <c r="N1923" s="10">
        <f t="shared" si="250"/>
        <v>1.8341518961146424</v>
      </c>
      <c r="O1923" s="10">
        <f t="shared" si="251"/>
        <v>2.6331186877833144</v>
      </c>
      <c r="P1923" s="10">
        <f t="shared" si="252"/>
        <v>9.4484914381978754E-3</v>
      </c>
      <c r="Q1923" s="66">
        <f t="shared" si="255"/>
        <v>4</v>
      </c>
      <c r="R1923" s="10">
        <f t="shared" si="253"/>
        <v>2.6339951141070399E-28</v>
      </c>
      <c r="V1923" s="10">
        <f t="shared" si="254"/>
        <v>1.5772989447042223E-17</v>
      </c>
    </row>
    <row r="1924" spans="11:22">
      <c r="K1924" s="66">
        <v>95.6</v>
      </c>
      <c r="L1924" s="10">
        <f t="shared" si="248"/>
        <v>8.979019895216756E-12</v>
      </c>
      <c r="M1924" s="10">
        <f t="shared" si="249"/>
        <v>1.389121291160805E-16</v>
      </c>
      <c r="N1924" s="10">
        <f t="shared" si="250"/>
        <v>1.8407958936574333</v>
      </c>
      <c r="O1924" s="10">
        <f t="shared" si="251"/>
        <v>2.6426570054987586</v>
      </c>
      <c r="P1924" s="10">
        <f t="shared" si="252"/>
        <v>9.4254698578609877E-3</v>
      </c>
      <c r="Q1924" s="66">
        <f t="shared" si="255"/>
        <v>2</v>
      </c>
      <c r="R1924" s="10">
        <f t="shared" si="253"/>
        <v>1.0541798675021998E-28</v>
      </c>
      <c r="V1924" s="10">
        <f t="shared" si="254"/>
        <v>6.9201255121809127E-18</v>
      </c>
    </row>
    <row r="1925" spans="11:22">
      <c r="K1925" s="66">
        <v>95.65</v>
      </c>
      <c r="L1925" s="10">
        <f t="shared" si="248"/>
        <v>8.1881201157437949E-12</v>
      </c>
      <c r="M1925" s="10">
        <f t="shared" si="249"/>
        <v>1.2168911330066719E-16</v>
      </c>
      <c r="N1925" s="10">
        <f t="shared" si="250"/>
        <v>1.8474639596049667</v>
      </c>
      <c r="O1925" s="10">
        <f t="shared" si="251"/>
        <v>2.6522298765218855</v>
      </c>
      <c r="P1925" s="10">
        <f t="shared" si="252"/>
        <v>9.4025043704109579E-3</v>
      </c>
      <c r="Q1925" s="66">
        <f t="shared" si="255"/>
        <v>4</v>
      </c>
      <c r="R1925" s="10">
        <f t="shared" si="253"/>
        <v>1.6862518212047241E-28</v>
      </c>
      <c r="V1925" s="10">
        <f t="shared" si="254"/>
        <v>1.2138539190152003E-17</v>
      </c>
    </row>
    <row r="1926" spans="11:22">
      <c r="K1926" s="66">
        <v>95.7</v>
      </c>
      <c r="L1926" s="10">
        <f t="shared" si="248"/>
        <v>7.4643916552172959E-12</v>
      </c>
      <c r="M1926" s="10">
        <f t="shared" si="249"/>
        <v>1.0655038831436265E-16</v>
      </c>
      <c r="N1926" s="10">
        <f t="shared" si="250"/>
        <v>1.8541561811469327</v>
      </c>
      <c r="O1926" s="10">
        <f t="shared" si="251"/>
        <v>2.6618374260247659</v>
      </c>
      <c r="P1926" s="10">
        <f t="shared" si="252"/>
        <v>9.3795948391754997E-3</v>
      </c>
      <c r="Q1926" s="66">
        <f t="shared" si="255"/>
        <v>2</v>
      </c>
      <c r="R1926" s="10">
        <f t="shared" si="253"/>
        <v>6.7377803445217198E-29</v>
      </c>
      <c r="V1926" s="10">
        <f t="shared" si="254"/>
        <v>5.3204778380378161E-18</v>
      </c>
    </row>
    <row r="1927" spans="11:22">
      <c r="K1927" s="66">
        <v>95.75</v>
      </c>
      <c r="L1927" s="10">
        <f t="shared" si="248"/>
        <v>6.8023511872760973E-12</v>
      </c>
      <c r="M1927" s="10">
        <f t="shared" si="249"/>
        <v>9.3250108131390357E-17</v>
      </c>
      <c r="N1927" s="10">
        <f t="shared" si="250"/>
        <v>1.8608726457888722</v>
      </c>
      <c r="O1927" s="10">
        <f t="shared" si="251"/>
        <v>2.6714797796329361</v>
      </c>
      <c r="P1927" s="10">
        <f t="shared" si="252"/>
        <v>9.3567411278153399E-3</v>
      </c>
      <c r="Q1927" s="66">
        <f t="shared" si="255"/>
        <v>4</v>
      </c>
      <c r="R1927" s="10">
        <f t="shared" si="253"/>
        <v>1.0760109014940958E-28</v>
      </c>
      <c r="V1927" s="10">
        <f t="shared" si="254"/>
        <v>9.3236473943741342E-18</v>
      </c>
    </row>
    <row r="1928" spans="11:22">
      <c r="K1928" s="66">
        <v>95.8</v>
      </c>
      <c r="L1928" s="10">
        <f t="shared" si="248"/>
        <v>6.1969439834527231E-12</v>
      </c>
      <c r="M1928" s="10">
        <f t="shared" si="249"/>
        <v>8.1570644040595016E-17</v>
      </c>
      <c r="N1928" s="10">
        <f t="shared" si="250"/>
        <v>1.8676134413533292</v>
      </c>
      <c r="O1928" s="10">
        <f t="shared" si="251"/>
        <v>2.6811570634270003</v>
      </c>
      <c r="P1928" s="10">
        <f t="shared" si="252"/>
        <v>9.3339431003233927E-3</v>
      </c>
      <c r="Q1928" s="66">
        <f t="shared" si="255"/>
        <v>2</v>
      </c>
      <c r="R1928" s="10">
        <f t="shared" si="253"/>
        <v>4.2924044136960706E-29</v>
      </c>
      <c r="V1928" s="10">
        <f t="shared" si="254"/>
        <v>4.0827359407496936E-18</v>
      </c>
    </row>
    <row r="1929" spans="11:22">
      <c r="K1929" s="66">
        <v>95.85</v>
      </c>
      <c r="L1929" s="10">
        <f t="shared" si="248"/>
        <v>5.6435119852351072E-12</v>
      </c>
      <c r="M1929" s="10">
        <f t="shared" si="249"/>
        <v>7.1319439034255004E-17</v>
      </c>
      <c r="N1929" s="10">
        <f t="shared" si="250"/>
        <v>1.8743786559809916</v>
      </c>
      <c r="O1929" s="10">
        <f t="shared" si="251"/>
        <v>2.6908694039443142</v>
      </c>
      <c r="P1929" s="10">
        <f t="shared" si="252"/>
        <v>9.3112006210239653E-3</v>
      </c>
      <c r="Q1929" s="66">
        <f t="shared" si="255"/>
        <v>4</v>
      </c>
      <c r="R1929" s="10">
        <f t="shared" si="253"/>
        <v>6.8436442593108522E-29</v>
      </c>
      <c r="V1929" s="10">
        <f t="shared" si="254"/>
        <v>7.1476983289840562E-18</v>
      </c>
    </row>
    <row r="1930" spans="11:22">
      <c r="K1930" s="66">
        <v>95.9</v>
      </c>
      <c r="L1930" s="10">
        <f t="shared" si="248"/>
        <v>5.1377641295651893E-12</v>
      </c>
      <c r="M1930" s="10">
        <f t="shared" si="249"/>
        <v>6.2326202051385872E-17</v>
      </c>
      <c r="N1930" s="10">
        <f t="shared" si="250"/>
        <v>1.8811683781318369</v>
      </c>
      <c r="O1930" s="10">
        <f t="shared" si="251"/>
        <v>2.7006169281806263</v>
      </c>
      <c r="P1930" s="10">
        <f t="shared" si="252"/>
        <v>9.2885135545719422E-3</v>
      </c>
      <c r="Q1930" s="66">
        <f t="shared" si="255"/>
        <v>2</v>
      </c>
      <c r="R1930" s="10">
        <f t="shared" si="253"/>
        <v>2.7255601793482253E-29</v>
      </c>
      <c r="V1930" s="10">
        <f t="shared" si="254"/>
        <v>3.1268702731804005E-18</v>
      </c>
    </row>
    <row r="1931" spans="11:22">
      <c r="K1931" s="66">
        <v>95.95</v>
      </c>
      <c r="L1931" s="10">
        <f t="shared" si="248"/>
        <v>4.6757487782392371E-12</v>
      </c>
      <c r="M1931" s="10">
        <f t="shared" si="249"/>
        <v>5.4440406579439645E-17</v>
      </c>
      <c r="N1931" s="10">
        <f t="shared" si="250"/>
        <v>1.8879826965862958</v>
      </c>
      <c r="O1931" s="10">
        <f t="shared" si="251"/>
        <v>2.7103997635917265</v>
      </c>
      <c r="P1931" s="10">
        <f t="shared" si="252"/>
        <v>9.2658817659519773E-3</v>
      </c>
      <c r="Q1931" s="66">
        <f t="shared" si="255"/>
        <v>4</v>
      </c>
      <c r="R1931" s="10">
        <f t="shared" si="253"/>
        <v>4.3383477860313494E-29</v>
      </c>
      <c r="V1931" s="10">
        <f t="shared" si="254"/>
        <v>5.4689185622588498E-18</v>
      </c>
    </row>
    <row r="1932" spans="11:22">
      <c r="K1932" s="66">
        <v>96</v>
      </c>
      <c r="L1932" s="10">
        <f t="shared" ref="L1932:L1995" si="256">(B$7^K1932)*B$8^((B$5^25)*((B$5^K1932)-1))</f>
        <v>4.2538281109107534E-12</v>
      </c>
      <c r="M1932" s="10">
        <f t="shared" ref="M1932:M1995" si="257">(B$7^K1932)*B$8^((B$5^30)*((B$5^K1932)-1))</f>
        <v>4.752906169160804E-17</v>
      </c>
      <c r="N1932" s="10">
        <f t="shared" si="250"/>
        <v>1.8948217004464252</v>
      </c>
      <c r="O1932" s="10">
        <f t="shared" si="251"/>
        <v>2.7202180380951297</v>
      </c>
      <c r="P1932" s="10">
        <f t="shared" si="252"/>
        <v>9.2433051204777253E-3</v>
      </c>
      <c r="Q1932" s="66">
        <f t="shared" si="255"/>
        <v>2</v>
      </c>
      <c r="R1932" s="10">
        <f t="shared" si="253"/>
        <v>1.7249317155151384E-29</v>
      </c>
      <c r="V1932" s="10">
        <f t="shared" si="254"/>
        <v>2.3901229484543328E-18</v>
      </c>
    </row>
    <row r="1933" spans="11:22">
      <c r="K1933" s="66">
        <v>96.05</v>
      </c>
      <c r="L1933" s="10">
        <f t="shared" si="256"/>
        <v>3.8686543501090664E-12</v>
      </c>
      <c r="M1933" s="10">
        <f t="shared" si="257"/>
        <v>4.1474726824720192E-17</v>
      </c>
      <c r="N1933" s="10">
        <f t="shared" ref="N1933:N1996" si="258">B$3+B$4*(B$5^(25+K1933))</f>
        <v>1.901685479137041</v>
      </c>
      <c r="O1933" s="10">
        <f t="shared" ref="O1933:O1996" si="259">$B$3+$B$4*($B$5^(30+K1933))</f>
        <v>2.7300718800717281</v>
      </c>
      <c r="P1933" s="10">
        <f t="shared" ref="P1933:P1996" si="260">(1+B$6)^-K1933</f>
        <v>9.220783483790896E-3</v>
      </c>
      <c r="Q1933" s="66">
        <f t="shared" si="255"/>
        <v>4</v>
      </c>
      <c r="R1933" s="10">
        <f t="shared" ref="R1933:R1996" si="261">L1933*M1933*(N1933+O1933)*P1933*Q1933</f>
        <v>2.7410507654755176E-29</v>
      </c>
      <c r="V1933" s="10">
        <f t="shared" si="254"/>
        <v>4.1762398352298368E-18</v>
      </c>
    </row>
    <row r="1934" spans="11:22">
      <c r="K1934" s="66">
        <v>96.1</v>
      </c>
      <c r="L1934" s="10">
        <f t="shared" si="256"/>
        <v>3.5171476948903479E-12</v>
      </c>
      <c r="M1934" s="10">
        <f t="shared" si="257"/>
        <v>3.6173744516876549E-17</v>
      </c>
      <c r="N1934" s="10">
        <f t="shared" si="258"/>
        <v>1.9085741224069279</v>
      </c>
      <c r="O1934" s="10">
        <f t="shared" si="259"/>
        <v>2.7399614183675189</v>
      </c>
      <c r="P1934" s="10">
        <f t="shared" si="260"/>
        <v>9.1983167218607394E-3</v>
      </c>
      <c r="Q1934" s="66">
        <f t="shared" si="255"/>
        <v>2</v>
      </c>
      <c r="R1934" s="10">
        <f t="shared" si="261"/>
        <v>1.0880242716439439E-29</v>
      </c>
      <c r="V1934" s="10">
        <f t="shared" ref="V1934:V1997" si="262">(1-L1934)*M1934*O1934*P1934*Q1934</f>
        <v>1.8233761486459852E-18</v>
      </c>
    </row>
    <row r="1935" spans="11:22">
      <c r="K1935" s="66">
        <v>96.15</v>
      </c>
      <c r="L1935" s="10">
        <f t="shared" si="256"/>
        <v>3.1964758474948287E-12</v>
      </c>
      <c r="M1935" s="10">
        <f t="shared" si="257"/>
        <v>3.1534667954098007E-17</v>
      </c>
      <c r="N1935" s="10">
        <f t="shared" si="258"/>
        <v>1.9154877203299854</v>
      </c>
      <c r="O1935" s="10">
        <f t="shared" si="259"/>
        <v>2.7498867822952207</v>
      </c>
      <c r="P1935" s="10">
        <f t="shared" si="260"/>
        <v>9.1759047009829543E-3</v>
      </c>
      <c r="Q1935" s="66">
        <f t="shared" ref="Q1935:Q1998" si="263">IF(Q1934=4,2,4)</f>
        <v>4</v>
      </c>
      <c r="R1935" s="10">
        <f t="shared" si="261"/>
        <v>1.7260568152943818E-29</v>
      </c>
      <c r="V1935" s="10">
        <f t="shared" si="262"/>
        <v>3.1828191448569901E-18</v>
      </c>
    </row>
    <row r="1936" spans="11:22">
      <c r="K1936" s="66">
        <v>96.2</v>
      </c>
      <c r="L1936" s="10">
        <f t="shared" si="256"/>
        <v>2.9040350246688024E-12</v>
      </c>
      <c r="M1936" s="10">
        <f t="shared" si="257"/>
        <v>2.7476862547140096E-17</v>
      </c>
      <c r="N1936" s="10">
        <f t="shared" si="258"/>
        <v>1.9224263633064045</v>
      </c>
      <c r="O1936" s="10">
        <f t="shared" si="259"/>
        <v>2.7598481016360048</v>
      </c>
      <c r="P1936" s="10">
        <f t="shared" si="260"/>
        <v>9.1535472877790555E-3</v>
      </c>
      <c r="Q1936" s="66">
        <f t="shared" si="263"/>
        <v>2</v>
      </c>
      <c r="R1936" s="10">
        <f t="shared" si="261"/>
        <v>6.8398296232828301E-30</v>
      </c>
      <c r="V1936" s="10">
        <f t="shared" si="262"/>
        <v>1.3882629906105181E-18</v>
      </c>
    </row>
    <row r="1937" spans="11:22">
      <c r="K1937" s="66">
        <v>96.25</v>
      </c>
      <c r="L1937" s="10">
        <f t="shared" si="256"/>
        <v>2.6374323521882265E-12</v>
      </c>
      <c r="M1937" s="10">
        <f t="shared" si="257"/>
        <v>2.3929262898158463E-17</v>
      </c>
      <c r="N1937" s="10">
        <f t="shared" si="258"/>
        <v>1.9293901420638686</v>
      </c>
      <c r="O1937" s="10">
        <f t="shared" si="259"/>
        <v>2.7698455066411931</v>
      </c>
      <c r="P1937" s="10">
        <f t="shared" si="260"/>
        <v>9.1312443491955286E-3</v>
      </c>
      <c r="Q1937" s="66">
        <f t="shared" si="263"/>
        <v>4</v>
      </c>
      <c r="R1937" s="10">
        <f t="shared" si="261"/>
        <v>1.0832478354284765E-29</v>
      </c>
      <c r="V1937" s="10">
        <f t="shared" si="262"/>
        <v>2.4208886989001105E-18</v>
      </c>
    </row>
    <row r="1938" spans="11:22">
      <c r="K1938" s="66">
        <v>96.3</v>
      </c>
      <c r="L1938" s="10">
        <f t="shared" si="256"/>
        <v>2.3944695475943792E-12</v>
      </c>
      <c r="M1938" s="10">
        <f t="shared" si="257"/>
        <v>2.0829268443740759E-17</v>
      </c>
      <c r="N1938" s="10">
        <f t="shared" si="258"/>
        <v>1.9363791476587289</v>
      </c>
      <c r="O1938" s="10">
        <f t="shared" si="259"/>
        <v>2.7798791280339534</v>
      </c>
      <c r="P1938" s="10">
        <f t="shared" si="260"/>
        <v>9.1089957525030546E-3</v>
      </c>
      <c r="Q1938" s="66">
        <f t="shared" si="263"/>
        <v>2</v>
      </c>
      <c r="R1938" s="10">
        <f t="shared" si="261"/>
        <v>4.2853017749665752E-30</v>
      </c>
      <c r="V1938" s="10">
        <f t="shared" si="262"/>
        <v>1.0548736038891865E-18</v>
      </c>
    </row>
    <row r="1939" spans="11:22">
      <c r="K1939" s="66">
        <v>96.35</v>
      </c>
      <c r="L1939" s="10">
        <f t="shared" si="256"/>
        <v>2.1731278022415799E-12</v>
      </c>
      <c r="M1939" s="10">
        <f t="shared" si="257"/>
        <v>1.8121762796037871E-17</v>
      </c>
      <c r="N1939" s="10">
        <f t="shared" si="258"/>
        <v>1.943393471477185</v>
      </c>
      <c r="O1939" s="10">
        <f t="shared" si="259"/>
        <v>2.7899490970109952</v>
      </c>
      <c r="P1939" s="10">
        <f t="shared" si="260"/>
        <v>9.0868013652957141E-3</v>
      </c>
      <c r="Q1939" s="66">
        <f t="shared" si="263"/>
        <v>4</v>
      </c>
      <c r="R1939" s="10">
        <f t="shared" si="261"/>
        <v>6.7752398213983299E-30</v>
      </c>
      <c r="V1939" s="10">
        <f t="shared" si="262"/>
        <v>1.8376709369568254E-18</v>
      </c>
    </row>
    <row r="1940" spans="11:22">
      <c r="K1940" s="66">
        <v>96.4</v>
      </c>
      <c r="L1940" s="10">
        <f t="shared" si="256"/>
        <v>1.9715537794890758E-12</v>
      </c>
      <c r="M1940" s="10">
        <f t="shared" si="257"/>
        <v>1.5758243365665418E-17</v>
      </c>
      <c r="N1940" s="10">
        <f t="shared" si="258"/>
        <v>1.9504332052365045</v>
      </c>
      <c r="O1940" s="10">
        <f t="shared" si="259"/>
        <v>2.8000555452443163</v>
      </c>
      <c r="P1940" s="10">
        <f t="shared" si="260"/>
        <v>9.0646610554901957E-3</v>
      </c>
      <c r="Q1940" s="66">
        <f t="shared" si="263"/>
        <v>2</v>
      </c>
      <c r="R1940" s="10">
        <f t="shared" si="261"/>
        <v>2.6756930510394481E-30</v>
      </c>
      <c r="V1940" s="10">
        <f t="shared" si="262"/>
        <v>7.9993742417431189E-19</v>
      </c>
    </row>
    <row r="1941" spans="11:22">
      <c r="K1941" s="66">
        <v>96.45</v>
      </c>
      <c r="L1941" s="10">
        <f t="shared" si="256"/>
        <v>1.7880466512625142E-12</v>
      </c>
      <c r="M1941" s="10">
        <f t="shared" si="257"/>
        <v>1.3696049255272142E-17</v>
      </c>
      <c r="N1941" s="10">
        <f t="shared" si="258"/>
        <v>1.957498440986194</v>
      </c>
      <c r="O1941" s="10">
        <f t="shared" si="259"/>
        <v>2.8101986048828889</v>
      </c>
      <c r="P1941" s="10">
        <f t="shared" si="260"/>
        <v>9.0425746913250175E-3</v>
      </c>
      <c r="Q1941" s="66">
        <f t="shared" si="263"/>
        <v>4</v>
      </c>
      <c r="R1941" s="10">
        <f t="shared" si="261"/>
        <v>4.2231343913960826E-30</v>
      </c>
      <c r="V1941" s="10">
        <f t="shared" si="262"/>
        <v>1.3921448305524282E-18</v>
      </c>
    </row>
    <row r="1942" spans="11:22">
      <c r="K1942" s="66">
        <v>96.5</v>
      </c>
      <c r="L1942" s="10">
        <f t="shared" si="256"/>
        <v>1.6210461002765962E-12</v>
      </c>
      <c r="M1942" s="10">
        <f t="shared" si="257"/>
        <v>1.1897676676168347E-17</v>
      </c>
      <c r="N1942" s="10">
        <f t="shared" si="258"/>
        <v>1.9645892711092299</v>
      </c>
      <c r="O1942" s="10">
        <f t="shared" si="259"/>
        <v>2.8203784085544226</v>
      </c>
      <c r="P1942" s="10">
        <f t="shared" si="260"/>
        <v>9.0205421413597341E-3</v>
      </c>
      <c r="Q1942" s="66">
        <f t="shared" si="263"/>
        <v>2</v>
      </c>
      <c r="R1942" s="10">
        <f t="shared" si="261"/>
        <v>1.6649422432547434E-30</v>
      </c>
      <c r="V1942" s="10">
        <f t="shared" si="262"/>
        <v>6.0538572952224152E-19</v>
      </c>
    </row>
    <row r="1943" spans="11:22">
      <c r="K1943" s="66">
        <v>96.55</v>
      </c>
      <c r="L1943" s="10">
        <f t="shared" si="256"/>
        <v>1.4691212199774989E-12</v>
      </c>
      <c r="M1943" s="10">
        <f t="shared" si="257"/>
        <v>1.0330172276009024E-17</v>
      </c>
      <c r="N1943" s="10">
        <f t="shared" si="258"/>
        <v>1.9717057883232407</v>
      </c>
      <c r="O1943" s="10">
        <f t="shared" si="259"/>
        <v>2.8305950893670624</v>
      </c>
      <c r="P1943" s="10">
        <f t="shared" si="260"/>
        <v>8.998563274474165E-3</v>
      </c>
      <c r="Q1943" s="66">
        <f t="shared" si="263"/>
        <v>4</v>
      </c>
      <c r="R1943" s="10">
        <f t="shared" si="261"/>
        <v>2.623298606185148E-30</v>
      </c>
      <c r="V1943" s="10">
        <f t="shared" si="262"/>
        <v>1.0524912145111667E-18</v>
      </c>
    </row>
    <row r="1944" spans="11:22">
      <c r="K1944" s="66">
        <v>96.6</v>
      </c>
      <c r="L1944" s="10">
        <f t="shared" si="256"/>
        <v>1.3309602487355237E-12</v>
      </c>
      <c r="M1944" s="10">
        <f t="shared" si="257"/>
        <v>8.9645957855142323E-18</v>
      </c>
      <c r="N1944" s="10">
        <f t="shared" si="258"/>
        <v>1.978848085681741</v>
      </c>
      <c r="O1944" s="10">
        <f t="shared" si="259"/>
        <v>2.8408487809111658</v>
      </c>
      <c r="P1944" s="10">
        <f t="shared" si="260"/>
        <v>8.9766379598676064E-3</v>
      </c>
      <c r="Q1944" s="66">
        <f t="shared" si="263"/>
        <v>2</v>
      </c>
      <c r="R1944" s="10">
        <f t="shared" si="261"/>
        <v>1.0324266976909807E-30</v>
      </c>
      <c r="V1944" s="10">
        <f t="shared" si="262"/>
        <v>4.5721717315222621E-19</v>
      </c>
    </row>
    <row r="1945" spans="11:22">
      <c r="K1945" s="66">
        <v>96.65</v>
      </c>
      <c r="L1945" s="10">
        <f t="shared" si="256"/>
        <v>1.205361079023907E-12</v>
      </c>
      <c r="M1945" s="10">
        <f t="shared" si="257"/>
        <v>7.7755443079877603E-18</v>
      </c>
      <c r="N1945" s="10">
        <f t="shared" si="258"/>
        <v>1.9860162565753392</v>
      </c>
      <c r="O1945" s="10">
        <f t="shared" si="259"/>
        <v>2.8511396172610275</v>
      </c>
      <c r="P1945" s="10">
        <f t="shared" si="260"/>
        <v>8.954766067058053E-3</v>
      </c>
      <c r="Q1945" s="66">
        <f t="shared" si="263"/>
        <v>4</v>
      </c>
      <c r="R1945" s="10">
        <f t="shared" si="261"/>
        <v>1.6238738311616732E-30</v>
      </c>
      <c r="V1945" s="10">
        <f t="shared" si="262"/>
        <v>7.9407865357529579E-19</v>
      </c>
    </row>
    <row r="1946" spans="11:22">
      <c r="K1946" s="66">
        <v>96.7</v>
      </c>
      <c r="L1946" s="10">
        <f t="shared" si="256"/>
        <v>1.0912224862643136E-12</v>
      </c>
      <c r="M1946" s="10">
        <f t="shared" si="257"/>
        <v>6.7407313971124543E-18</v>
      </c>
      <c r="N1946" s="10">
        <f t="shared" si="258"/>
        <v>1.9932103947329527</v>
      </c>
      <c r="O1946" s="10">
        <f t="shared" si="259"/>
        <v>2.8614677329766236</v>
      </c>
      <c r="P1946" s="10">
        <f t="shared" si="260"/>
        <v>8.9329474658814273E-3</v>
      </c>
      <c r="Q1946" s="66">
        <f t="shared" si="263"/>
        <v>2</v>
      </c>
      <c r="R1946" s="10">
        <f t="shared" si="261"/>
        <v>6.3797776814357403E-31</v>
      </c>
      <c r="V1946" s="10">
        <f t="shared" si="262"/>
        <v>3.4460426677177577E-19</v>
      </c>
    </row>
    <row r="1947" spans="11:22">
      <c r="K1947" s="66">
        <v>96.75</v>
      </c>
      <c r="L1947" s="10">
        <f t="shared" si="256"/>
        <v>9.8753602572047288E-13</v>
      </c>
      <c r="M1947" s="10">
        <f t="shared" si="257"/>
        <v>5.8406148054340328E-18</v>
      </c>
      <c r="N1947" s="10">
        <f t="shared" si="258"/>
        <v>2.000430594223038</v>
      </c>
      <c r="O1947" s="10">
        <f t="shared" si="259"/>
        <v>2.871833263105406</v>
      </c>
      <c r="P1947" s="10">
        <f t="shared" si="260"/>
        <v>8.9111820264907975E-3</v>
      </c>
      <c r="Q1947" s="66">
        <f t="shared" si="263"/>
        <v>4</v>
      </c>
      <c r="R1947" s="10">
        <f t="shared" si="261"/>
        <v>1.0016998727972932E-30</v>
      </c>
      <c r="V1947" s="10">
        <f t="shared" si="262"/>
        <v>5.9787871543943086E-19</v>
      </c>
    </row>
    <row r="1948" spans="11:22">
      <c r="K1948" s="66">
        <v>96.8</v>
      </c>
      <c r="L1948" s="10">
        <f t="shared" si="256"/>
        <v>8.9337854929604067E-13</v>
      </c>
      <c r="M1948" s="10">
        <f t="shared" si="257"/>
        <v>5.0580674465445923E-18</v>
      </c>
      <c r="N1948" s="10">
        <f t="shared" si="258"/>
        <v>2.007676949454829</v>
      </c>
      <c r="O1948" s="10">
        <f t="shared" si="259"/>
        <v>2.882236343184025</v>
      </c>
      <c r="P1948" s="10">
        <f t="shared" si="260"/>
        <v>8.8894696193556107E-3</v>
      </c>
      <c r="Q1948" s="66">
        <f t="shared" si="263"/>
        <v>2</v>
      </c>
      <c r="R1948" s="10">
        <f t="shared" si="261"/>
        <v>3.9285034662176921E-31</v>
      </c>
      <c r="V1948" s="10">
        <f t="shared" si="262"/>
        <v>2.5919108033488283E-19</v>
      </c>
    </row>
    <row r="1949" spans="11:22">
      <c r="K1949" s="66">
        <v>96.85</v>
      </c>
      <c r="L1949" s="10">
        <f t="shared" si="256"/>
        <v>8.0790529734730473E-13</v>
      </c>
      <c r="M1949" s="10">
        <f t="shared" si="257"/>
        <v>4.3780867057641684E-18</v>
      </c>
      <c r="N1949" s="10">
        <f t="shared" si="258"/>
        <v>2.0149495551795664</v>
      </c>
      <c r="O1949" s="10">
        <f t="shared" si="259"/>
        <v>2.8926771092401378</v>
      </c>
      <c r="P1949" s="10">
        <f t="shared" si="260"/>
        <v>8.8678101152609174E-3</v>
      </c>
      <c r="Q1949" s="66">
        <f t="shared" si="263"/>
        <v>4</v>
      </c>
      <c r="R1949" s="10">
        <f t="shared" si="261"/>
        <v>6.1573339387995385E-31</v>
      </c>
      <c r="V1949" s="10">
        <f t="shared" si="262"/>
        <v>4.4922166540683292E-19</v>
      </c>
    </row>
    <row r="1950" spans="11:22">
      <c r="K1950" s="66">
        <v>96.9</v>
      </c>
      <c r="L1950" s="10">
        <f t="shared" si="256"/>
        <v>7.3034352367330258E-13</v>
      </c>
      <c r="M1950" s="10">
        <f t="shared" si="257"/>
        <v>3.7875377640322159E-18</v>
      </c>
      <c r="N1950" s="10">
        <f t="shared" si="258"/>
        <v>2.0222485064917248</v>
      </c>
      <c r="O1950" s="10">
        <f t="shared" si="259"/>
        <v>2.903155697794173</v>
      </c>
      <c r="P1950" s="10">
        <f t="shared" si="260"/>
        <v>8.8462033853066099E-3</v>
      </c>
      <c r="Q1950" s="66">
        <f t="shared" si="263"/>
        <v>2</v>
      </c>
      <c r="R1950" s="10">
        <f t="shared" si="261"/>
        <v>2.4105322531851415E-31</v>
      </c>
      <c r="V1950" s="10">
        <f t="shared" si="262"/>
        <v>1.9454237585087585E-19</v>
      </c>
    </row>
    <row r="1951" spans="11:22">
      <c r="K1951" s="66">
        <v>96.95</v>
      </c>
      <c r="L1951" s="10">
        <f t="shared" si="256"/>
        <v>6.5998661470565758E-13</v>
      </c>
      <c r="M1951" s="10">
        <f t="shared" si="257"/>
        <v>3.2749270739619099E-18</v>
      </c>
      <c r="N1951" s="10">
        <f t="shared" si="258"/>
        <v>2.0295738988302681</v>
      </c>
      <c r="O1951" s="10">
        <f t="shared" si="259"/>
        <v>2.9136722458611062</v>
      </c>
      <c r="P1951" s="10">
        <f t="shared" si="260"/>
        <v>8.8246493009066437E-3</v>
      </c>
      <c r="Q1951" s="66">
        <f t="shared" si="263"/>
        <v>4</v>
      </c>
      <c r="R1951" s="10">
        <f t="shared" si="261"/>
        <v>3.7714334098943576E-31</v>
      </c>
      <c r="V1951" s="10">
        <f t="shared" si="262"/>
        <v>3.3682147795538592E-19</v>
      </c>
    </row>
    <row r="1952" spans="11:22">
      <c r="K1952" s="66">
        <v>97</v>
      </c>
      <c r="L1952" s="10">
        <f t="shared" si="256"/>
        <v>5.9618866659707459E-13</v>
      </c>
      <c r="M1952" s="10">
        <f t="shared" si="257"/>
        <v>2.8302025511857468E-18</v>
      </c>
      <c r="N1952" s="10">
        <f t="shared" si="258"/>
        <v>2.0369258279799065</v>
      </c>
      <c r="O1952" s="10">
        <f t="shared" si="259"/>
        <v>2.9242268909522648</v>
      </c>
      <c r="P1952" s="10">
        <f t="shared" si="260"/>
        <v>8.8031477337883104E-3</v>
      </c>
      <c r="Q1952" s="66">
        <f t="shared" si="263"/>
        <v>2</v>
      </c>
      <c r="R1952" s="10">
        <f t="shared" si="261"/>
        <v>1.4738450122324498E-31</v>
      </c>
      <c r="V1952" s="10">
        <f t="shared" si="262"/>
        <v>1.4571241982517717E-19</v>
      </c>
    </row>
    <row r="1953" spans="11:22">
      <c r="K1953" s="66">
        <v>97.05</v>
      </c>
      <c r="L1953" s="10">
        <f t="shared" si="256"/>
        <v>5.383594864156317E-13</v>
      </c>
      <c r="M1953" s="10">
        <f t="shared" si="257"/>
        <v>2.4445774233436887E-18</v>
      </c>
      <c r="N1953" s="10">
        <f t="shared" si="258"/>
        <v>2.0443043900723197</v>
      </c>
      <c r="O1953" s="10">
        <f t="shared" si="259"/>
        <v>2.934819771077108</v>
      </c>
      <c r="P1953" s="10">
        <f t="shared" si="260"/>
        <v>8.7816985559913286E-3</v>
      </c>
      <c r="Q1953" s="66">
        <f t="shared" si="263"/>
        <v>4</v>
      </c>
      <c r="R1953" s="10">
        <f t="shared" si="261"/>
        <v>2.3018002845883119E-31</v>
      </c>
      <c r="V1953" s="10">
        <f t="shared" si="262"/>
        <v>2.5201346712755936E-19</v>
      </c>
    </row>
    <row r="1954" spans="11:22">
      <c r="K1954" s="66">
        <v>97.1</v>
      </c>
      <c r="L1954" s="10">
        <f t="shared" si="256"/>
        <v>4.8595998599544396E-13</v>
      </c>
      <c r="M1954" s="10">
        <f t="shared" si="257"/>
        <v>2.1103750178737352E-18</v>
      </c>
      <c r="N1954" s="10">
        <f t="shared" si="258"/>
        <v>2.051709681587448</v>
      </c>
      <c r="O1954" s="10">
        <f t="shared" si="259"/>
        <v>2.9454510247450827</v>
      </c>
      <c r="P1954" s="10">
        <f t="shared" si="260"/>
        <v>8.760301639867369E-3</v>
      </c>
      <c r="Q1954" s="66">
        <f t="shared" si="263"/>
        <v>2</v>
      </c>
      <c r="R1954" s="10">
        <f t="shared" si="261"/>
        <v>8.9790940468621127E-32</v>
      </c>
      <c r="V1954" s="10">
        <f t="shared" si="262"/>
        <v>1.0890817964810476E-19</v>
      </c>
    </row>
    <row r="1955" spans="11:22">
      <c r="K1955" s="66">
        <v>97.15</v>
      </c>
      <c r="L1955" s="10">
        <f t="shared" si="256"/>
        <v>4.384979391910538E-13</v>
      </c>
      <c r="M1955" s="10">
        <f t="shared" si="257"/>
        <v>1.8208920723565953E-18</v>
      </c>
      <c r="N1955" s="10">
        <f t="shared" si="258"/>
        <v>2.0591417993547347</v>
      </c>
      <c r="O1955" s="10">
        <f t="shared" si="259"/>
        <v>2.9561207909673626</v>
      </c>
      <c r="P1955" s="10">
        <f t="shared" si="260"/>
        <v>8.7389568580790028E-3</v>
      </c>
      <c r="Q1955" s="66">
        <f t="shared" si="263"/>
        <v>4</v>
      </c>
      <c r="R1955" s="10">
        <f t="shared" si="261"/>
        <v>1.3997968932827239E-31</v>
      </c>
      <c r="V1955" s="10">
        <f t="shared" si="262"/>
        <v>1.8815942088442556E-19</v>
      </c>
    </row>
    <row r="1956" spans="11:22">
      <c r="K1956" s="66">
        <v>97.2</v>
      </c>
      <c r="L1956" s="10">
        <f t="shared" si="256"/>
        <v>3.9552407533241225E-13</v>
      </c>
      <c r="M1956" s="10">
        <f t="shared" si="257"/>
        <v>1.5702784212085714E-18</v>
      </c>
      <c r="N1956" s="10">
        <f t="shared" si="258"/>
        <v>2.066600840554385</v>
      </c>
      <c r="O1956" s="10">
        <f t="shared" si="259"/>
        <v>2.9668292092587052</v>
      </c>
      <c r="P1956" s="10">
        <f t="shared" si="260"/>
        <v>8.7176640835990981E-3</v>
      </c>
      <c r="Q1956" s="66">
        <f t="shared" si="263"/>
        <v>2</v>
      </c>
      <c r="R1956" s="10">
        <f t="shared" si="261"/>
        <v>5.4505929501841408E-32</v>
      </c>
      <c r="V1956" s="10">
        <f t="shared" si="262"/>
        <v>8.122679825300189E-20</v>
      </c>
    </row>
    <row r="1957" spans="11:22">
      <c r="K1957" s="66">
        <v>97.25</v>
      </c>
      <c r="L1957" s="10">
        <f t="shared" si="256"/>
        <v>3.5662848359583499E-13</v>
      </c>
      <c r="M1957" s="10">
        <f t="shared" si="257"/>
        <v>1.3534311534268797E-18</v>
      </c>
      <c r="N1957" s="10">
        <f t="shared" si="258"/>
        <v>2.0740869027186593</v>
      </c>
      <c r="O1957" s="10">
        <f t="shared" si="259"/>
        <v>2.9775764196392829</v>
      </c>
      <c r="P1957" s="10">
        <f t="shared" si="260"/>
        <v>8.6964231897100255E-3</v>
      </c>
      <c r="Q1957" s="66">
        <f t="shared" si="263"/>
        <v>4</v>
      </c>
      <c r="R1957" s="10">
        <f t="shared" si="261"/>
        <v>8.4817848341155646E-32</v>
      </c>
      <c r="V1957" s="10">
        <f t="shared" si="262"/>
        <v>1.4018441775354481E-19</v>
      </c>
    </row>
    <row r="1958" spans="11:22">
      <c r="K1958" s="66">
        <v>97.3</v>
      </c>
      <c r="L1958" s="10">
        <f t="shared" si="256"/>
        <v>3.2143730479794441E-13</v>
      </c>
      <c r="M1958" s="10">
        <f t="shared" si="257"/>
        <v>1.165901550868811E-18</v>
      </c>
      <c r="N1958" s="10">
        <f t="shared" si="258"/>
        <v>2.0816000837331337</v>
      </c>
      <c r="O1958" s="10">
        <f t="shared" si="259"/>
        <v>2.9883625626365005</v>
      </c>
      <c r="P1958" s="10">
        <f t="shared" si="260"/>
        <v>8.6752340500029085E-3</v>
      </c>
      <c r="Q1958" s="66">
        <f t="shared" si="263"/>
        <v>2</v>
      </c>
      <c r="R1958" s="10">
        <f t="shared" si="261"/>
        <v>3.2966596589915013E-32</v>
      </c>
      <c r="V1958" s="10">
        <f t="shared" si="262"/>
        <v>6.0451400003251073E-20</v>
      </c>
    </row>
    <row r="1959" spans="11:22">
      <c r="K1959" s="66">
        <v>97.35</v>
      </c>
      <c r="L1959" s="10">
        <f t="shared" si="256"/>
        <v>2.8960968879244167E-13</v>
      </c>
      <c r="M1959" s="10">
        <f t="shared" si="257"/>
        <v>1.0038133079276399E-18</v>
      </c>
      <c r="N1959" s="10">
        <f t="shared" si="258"/>
        <v>2.089140481837974</v>
      </c>
      <c r="O1959" s="10">
        <f t="shared" si="259"/>
        <v>2.99918777928682</v>
      </c>
      <c r="P1959" s="10">
        <f t="shared" si="260"/>
        <v>8.6540965383768691E-3</v>
      </c>
      <c r="Q1959" s="66">
        <f t="shared" si="263"/>
        <v>4</v>
      </c>
      <c r="R1959" s="10">
        <f t="shared" si="261"/>
        <v>5.1206239576026964E-32</v>
      </c>
      <c r="V1959" s="10">
        <f t="shared" si="262"/>
        <v>1.042169439183573E-19</v>
      </c>
    </row>
    <row r="1960" spans="11:22">
      <c r="K1960" s="66">
        <v>97.4</v>
      </c>
      <c r="L1960" s="10">
        <f t="shared" si="256"/>
        <v>2.6083499721149759E-13</v>
      </c>
      <c r="M1960" s="10">
        <f t="shared" si="257"/>
        <v>8.6379070390947192E-19</v>
      </c>
      <c r="N1960" s="10">
        <f t="shared" si="258"/>
        <v>2.0967081956292426</v>
      </c>
      <c r="O1960" s="10">
        <f t="shared" si="259"/>
        <v>3.0100522111376402</v>
      </c>
      <c r="P1960" s="10">
        <f t="shared" si="260"/>
        <v>8.6330105290382819E-3</v>
      </c>
      <c r="Q1960" s="66">
        <f t="shared" si="263"/>
        <v>2</v>
      </c>
      <c r="R1960" s="10">
        <f t="shared" si="261"/>
        <v>1.9866078013920536E-32</v>
      </c>
      <c r="V1960" s="10">
        <f t="shared" si="262"/>
        <v>4.4892606424074323E-20</v>
      </c>
    </row>
    <row r="1961" spans="11:22">
      <c r="K1961" s="66">
        <v>97.45</v>
      </c>
      <c r="L1961" s="10">
        <f t="shared" si="256"/>
        <v>2.3483023275135725E-13</v>
      </c>
      <c r="M1961" s="10">
        <f t="shared" si="257"/>
        <v>7.4289555112421029E-19</v>
      </c>
      <c r="N1961" s="10">
        <f t="shared" si="258"/>
        <v>2.104303324060159</v>
      </c>
      <c r="O1961" s="10">
        <f t="shared" si="259"/>
        <v>3.0209560002491052</v>
      </c>
      <c r="P1961" s="10">
        <f t="shared" si="260"/>
        <v>8.6119758965000157E-3</v>
      </c>
      <c r="Q1961" s="66">
        <f t="shared" si="263"/>
        <v>4</v>
      </c>
      <c r="R1961" s="10">
        <f t="shared" si="261"/>
        <v>3.0800687288854831E-32</v>
      </c>
      <c r="V1961" s="10">
        <f t="shared" si="262"/>
        <v>7.7309872033303721E-20</v>
      </c>
    </row>
    <row r="1962" spans="11:22">
      <c r="K1962" s="66">
        <v>97.5</v>
      </c>
      <c r="L1962" s="10">
        <f t="shared" si="256"/>
        <v>2.1133767756092379E-13</v>
      </c>
      <c r="M1962" s="10">
        <f t="shared" si="257"/>
        <v>6.3857187666098956E-19</v>
      </c>
      <c r="N1962" s="10">
        <f t="shared" si="258"/>
        <v>2.1119259664424228</v>
      </c>
      <c r="O1962" s="10">
        <f t="shared" si="259"/>
        <v>3.0318992891960037</v>
      </c>
      <c r="P1962" s="10">
        <f t="shared" si="260"/>
        <v>8.5909925155806983E-3</v>
      </c>
      <c r="Q1962" s="66">
        <f t="shared" si="263"/>
        <v>2</v>
      </c>
      <c r="R1962" s="10">
        <f t="shared" si="261"/>
        <v>1.1927413103531266E-32</v>
      </c>
      <c r="V1962" s="10">
        <f t="shared" si="262"/>
        <v>3.326579412382175E-20</v>
      </c>
    </row>
    <row r="1963" spans="11:22">
      <c r="K1963" s="66">
        <v>97.55</v>
      </c>
      <c r="L1963" s="10">
        <f t="shared" si="256"/>
        <v>1.901227245601602E-13</v>
      </c>
      <c r="M1963" s="10">
        <f t="shared" si="257"/>
        <v>5.4859741581251005E-19</v>
      </c>
      <c r="N1963" s="10">
        <f t="shared" si="258"/>
        <v>2.1195762224474839</v>
      </c>
      <c r="O1963" s="10">
        <f t="shared" si="259"/>
        <v>3.0428822210695925</v>
      </c>
      <c r="P1963" s="10">
        <f t="shared" si="260"/>
        <v>8.5700602614039671E-3</v>
      </c>
      <c r="Q1963" s="66">
        <f t="shared" si="263"/>
        <v>4</v>
      </c>
      <c r="R1963" s="10">
        <f t="shared" si="261"/>
        <v>1.8458152196082205E-32</v>
      </c>
      <c r="V1963" s="10">
        <f t="shared" si="262"/>
        <v>5.7224600217500233E-20</v>
      </c>
    </row>
    <row r="1964" spans="11:22">
      <c r="K1964" s="66">
        <v>97.6</v>
      </c>
      <c r="L1964" s="10">
        <f t="shared" si="256"/>
        <v>1.7097188669616188E-13</v>
      </c>
      <c r="M1964" s="10">
        <f t="shared" si="257"/>
        <v>4.7104110173664963E-19</v>
      </c>
      <c r="N1964" s="10">
        <f t="shared" si="258"/>
        <v>2.1272541921078716</v>
      </c>
      <c r="O1964" s="10">
        <f t="shared" si="259"/>
        <v>3.0539049394795028</v>
      </c>
      <c r="P1964" s="10">
        <f t="shared" si="260"/>
        <v>8.5491790093977262E-3</v>
      </c>
      <c r="Q1964" s="66">
        <f t="shared" si="263"/>
        <v>2</v>
      </c>
      <c r="R1964" s="10">
        <f t="shared" si="261"/>
        <v>7.1345214164576677E-33</v>
      </c>
      <c r="V1964" s="10">
        <f t="shared" si="262"/>
        <v>2.4596240164501586E-20</v>
      </c>
    </row>
    <row r="1965" spans="11:22">
      <c r="K1965" s="66">
        <v>97.65</v>
      </c>
      <c r="L1965" s="10">
        <f t="shared" si="256"/>
        <v>1.5369097024574702E-13</v>
      </c>
      <c r="M1965" s="10">
        <f t="shared" si="257"/>
        <v>4.0422583064064273E-19</v>
      </c>
      <c r="N1965" s="10">
        <f t="shared" si="258"/>
        <v>2.1349599758184903</v>
      </c>
      <c r="O1965" s="10">
        <f t="shared" si="259"/>
        <v>3.0649675885556045</v>
      </c>
      <c r="P1965" s="10">
        <f t="shared" si="260"/>
        <v>8.5283486352933837E-3</v>
      </c>
      <c r="Q1965" s="66">
        <f t="shared" si="263"/>
        <v>4</v>
      </c>
      <c r="R1965" s="10">
        <f t="shared" si="261"/>
        <v>1.1020331166501358E-32</v>
      </c>
      <c r="V1965" s="10">
        <f t="shared" si="262"/>
        <v>4.2264417285904999E-20</v>
      </c>
    </row>
    <row r="1966" spans="11:22">
      <c r="K1966" s="66">
        <v>97.7</v>
      </c>
      <c r="L1966" s="10">
        <f t="shared" si="256"/>
        <v>1.3810339929838729E-13</v>
      </c>
      <c r="M1966" s="10">
        <f t="shared" si="257"/>
        <v>3.4669586582631279E-19</v>
      </c>
      <c r="N1966" s="10">
        <f t="shared" si="258"/>
        <v>2.1426936743379241</v>
      </c>
      <c r="O1966" s="10">
        <f t="shared" si="259"/>
        <v>3.0760703129498705</v>
      </c>
      <c r="P1966" s="10">
        <f t="shared" si="260"/>
        <v>8.507569015125168E-3</v>
      </c>
      <c r="Q1966" s="66">
        <f t="shared" si="263"/>
        <v>2</v>
      </c>
      <c r="R1966" s="10">
        <f t="shared" si="261"/>
        <v>4.2516368721492872E-33</v>
      </c>
      <c r="V1966" s="10">
        <f t="shared" si="262"/>
        <v>1.8145978745107535E-20</v>
      </c>
    </row>
    <row r="1967" spans="11:22">
      <c r="K1967" s="66">
        <v>97.75</v>
      </c>
      <c r="L1967" s="10">
        <f t="shared" si="256"/>
        <v>1.2404867950727788E-13</v>
      </c>
      <c r="M1967" s="10">
        <f t="shared" si="257"/>
        <v>2.9718831849847075E-19</v>
      </c>
      <c r="N1967" s="10">
        <f t="shared" si="258"/>
        <v>2.1504553887897657</v>
      </c>
      <c r="O1967" s="10">
        <f t="shared" si="259"/>
        <v>3.0872132578383118</v>
      </c>
      <c r="P1967" s="10">
        <f t="shared" si="260"/>
        <v>8.4868400252293297E-3</v>
      </c>
      <c r="Q1967" s="66">
        <f t="shared" si="263"/>
        <v>4</v>
      </c>
      <c r="R1967" s="10">
        <f t="shared" si="261"/>
        <v>6.5549277252722716E-33</v>
      </c>
      <c r="V1967" s="10">
        <f t="shared" si="262"/>
        <v>3.1146150125793476E-20</v>
      </c>
    </row>
    <row r="1968" spans="11:22">
      <c r="K1968" s="66">
        <v>97.8</v>
      </c>
      <c r="L1968" s="10">
        <f t="shared" si="256"/>
        <v>1.1138099008444883E-13</v>
      </c>
      <c r="M1968" s="10">
        <f t="shared" si="257"/>
        <v>2.5460820935002644E-19</v>
      </c>
      <c r="N1968" s="10">
        <f t="shared" si="258"/>
        <v>2.1582452206639413</v>
      </c>
      <c r="O1968" s="10">
        <f t="shared" si="259"/>
        <v>3.0983965689228272</v>
      </c>
      <c r="P1968" s="10">
        <f t="shared" si="260"/>
        <v>8.4661615422434375E-3</v>
      </c>
      <c r="Q1968" s="66">
        <f t="shared" si="263"/>
        <v>2</v>
      </c>
      <c r="R1968" s="10">
        <f t="shared" si="261"/>
        <v>2.524110750562759E-33</v>
      </c>
      <c r="V1968" s="10">
        <f t="shared" si="262"/>
        <v>1.335752366281529E-20</v>
      </c>
    </row>
    <row r="1969" spans="11:22">
      <c r="K1969" s="66">
        <v>97.85</v>
      </c>
      <c r="L1969" s="10">
        <f t="shared" si="256"/>
        <v>9.9967893841425455E-14</v>
      </c>
      <c r="M1969" s="10">
        <f t="shared" si="257"/>
        <v>2.1800667351729589E-19</v>
      </c>
      <c r="N1969" s="10">
        <f t="shared" si="258"/>
        <v>2.1660632718180337</v>
      </c>
      <c r="O1969" s="10">
        <f t="shared" si="259"/>
        <v>3.1096203924331483</v>
      </c>
      <c r="P1969" s="10">
        <f t="shared" si="260"/>
        <v>8.4455334431056423E-3</v>
      </c>
      <c r="Q1969" s="66">
        <f t="shared" si="263"/>
        <v>4</v>
      </c>
      <c r="R1969" s="10">
        <f t="shared" si="261"/>
        <v>3.8841514437150425E-33</v>
      </c>
      <c r="V1969" s="10">
        <f t="shared" si="262"/>
        <v>2.2901516483542139E-20</v>
      </c>
    </row>
    <row r="1970" spans="11:22">
      <c r="K1970" s="66">
        <v>97.9</v>
      </c>
      <c r="L1970" s="10">
        <f t="shared" si="256"/>
        <v>8.9689155844690347E-14</v>
      </c>
      <c r="M1970" s="10">
        <f t="shared" si="257"/>
        <v>1.8656192337890974E-19</v>
      </c>
      <c r="N1970" s="10">
        <f t="shared" si="258"/>
        <v>2.1739096444786004</v>
      </c>
      <c r="O1970" s="10">
        <f t="shared" si="259"/>
        <v>3.1208848751287359</v>
      </c>
      <c r="P1970" s="10">
        <f t="shared" si="260"/>
        <v>8.4249556050539128E-3</v>
      </c>
      <c r="Q1970" s="66">
        <f t="shared" si="263"/>
        <v>2</v>
      </c>
      <c r="R1970" s="10">
        <f t="shared" si="261"/>
        <v>1.4928276634282131E-33</v>
      </c>
      <c r="V1970" s="10">
        <f t="shared" si="262"/>
        <v>9.8106634045011688E-21</v>
      </c>
    </row>
    <row r="1971" spans="11:22">
      <c r="K1971" s="66">
        <v>97.95</v>
      </c>
      <c r="L1971" s="10">
        <f t="shared" si="256"/>
        <v>8.0435661968782799E-14</v>
      </c>
      <c r="M1971" s="10">
        <f t="shared" si="257"/>
        <v>1.5956262959080656E-19</v>
      </c>
      <c r="N1971" s="10">
        <f t="shared" si="258"/>
        <v>2.181784441242538</v>
      </c>
      <c r="O1971" s="10">
        <f t="shared" si="259"/>
        <v>3.1321901643006891</v>
      </c>
      <c r="P1971" s="10">
        <f t="shared" si="260"/>
        <v>8.4044279056253723E-3</v>
      </c>
      <c r="Q1971" s="66">
        <f t="shared" si="263"/>
        <v>4</v>
      </c>
      <c r="R1971" s="10">
        <f t="shared" si="261"/>
        <v>2.2928067271437227E-33</v>
      </c>
      <c r="V1971" s="10">
        <f t="shared" si="262"/>
        <v>1.6801476689738195E-20</v>
      </c>
    </row>
    <row r="1972" spans="11:22">
      <c r="K1972" s="66">
        <v>98</v>
      </c>
      <c r="L1972" s="10">
        <f t="shared" si="256"/>
        <v>7.2108429292526026E-14</v>
      </c>
      <c r="M1972" s="10">
        <f t="shared" si="257"/>
        <v>1.3639342136908845E-19</v>
      </c>
      <c r="N1972" s="10">
        <f t="shared" si="258"/>
        <v>2.1896877650783995</v>
      </c>
      <c r="O1972" s="10">
        <f t="shared" si="259"/>
        <v>3.1435364077736847</v>
      </c>
      <c r="P1972" s="10">
        <f t="shared" si="260"/>
        <v>8.3839502226555323E-3</v>
      </c>
      <c r="Q1972" s="66">
        <f t="shared" si="263"/>
        <v>2</v>
      </c>
      <c r="R1972" s="10">
        <f t="shared" si="261"/>
        <v>8.7952458760379069E-34</v>
      </c>
      <c r="V1972" s="10">
        <f t="shared" si="262"/>
        <v>7.1893661915704795E-21</v>
      </c>
    </row>
    <row r="1973" spans="11:22">
      <c r="K1973" s="66">
        <v>98.05</v>
      </c>
      <c r="L1973" s="10">
        <f t="shared" si="256"/>
        <v>6.4617700899476336E-14</v>
      </c>
      <c r="M1973" s="10">
        <f t="shared" si="257"/>
        <v>1.1652224294443063E-19</v>
      </c>
      <c r="N1973" s="10">
        <f t="shared" si="258"/>
        <v>2.1976197193277396</v>
      </c>
      <c r="O1973" s="10">
        <f t="shared" si="259"/>
        <v>3.1549237539078963</v>
      </c>
      <c r="P1973" s="10">
        <f t="shared" si="260"/>
        <v>8.3635224342774542E-3</v>
      </c>
      <c r="Q1973" s="66">
        <f t="shared" si="263"/>
        <v>4</v>
      </c>
      <c r="R1973" s="10">
        <f t="shared" si="261"/>
        <v>1.3482479181848385E-33</v>
      </c>
      <c r="V1973" s="10">
        <f t="shared" si="262"/>
        <v>1.2298352060763787E-20</v>
      </c>
    </row>
    <row r="1974" spans="11:22">
      <c r="K1974" s="66">
        <v>98.1</v>
      </c>
      <c r="L1974" s="10">
        <f t="shared" si="256"/>
        <v>5.7882118214667037E-14</v>
      </c>
      <c r="M1974" s="10">
        <f t="shared" si="257"/>
        <v>9.9489334841601023E-20</v>
      </c>
      <c r="N1974" s="10">
        <f t="shared" si="258"/>
        <v>2.2055804077065067</v>
      </c>
      <c r="O1974" s="10">
        <f t="shared" si="259"/>
        <v>3.1663523516009637</v>
      </c>
      <c r="P1974" s="10">
        <f t="shared" si="260"/>
        <v>8.3431444189213094E-3</v>
      </c>
      <c r="Q1974" s="66">
        <f t="shared" si="263"/>
        <v>2</v>
      </c>
      <c r="R1974" s="10">
        <f t="shared" si="261"/>
        <v>5.1619199824228768E-34</v>
      </c>
      <c r="V1974" s="10">
        <f t="shared" si="262"/>
        <v>5.2564861650452333E-21</v>
      </c>
    </row>
    <row r="1975" spans="11:22">
      <c r="K1975" s="66">
        <v>98.15</v>
      </c>
      <c r="L1975" s="10">
        <f t="shared" si="256"/>
        <v>5.182796453997344E-14</v>
      </c>
      <c r="M1975" s="10">
        <f t="shared" si="257"/>
        <v>8.4897636658819628E-20</v>
      </c>
      <c r="N1975" s="10">
        <f t="shared" si="258"/>
        <v>2.2135699343063395</v>
      </c>
      <c r="O1975" s="10">
        <f t="shared" si="259"/>
        <v>3.1778223502899148</v>
      </c>
      <c r="P1975" s="10">
        <f t="shared" si="260"/>
        <v>8.3228160553133358E-3</v>
      </c>
      <c r="Q1975" s="66">
        <f t="shared" si="263"/>
        <v>4</v>
      </c>
      <c r="R1975" s="10">
        <f t="shared" si="261"/>
        <v>7.897524358690377E-34</v>
      </c>
      <c r="V1975" s="10">
        <f t="shared" si="262"/>
        <v>8.9816370994799598E-21</v>
      </c>
    </row>
    <row r="1976" spans="11:22">
      <c r="K1976" s="66">
        <v>98.2</v>
      </c>
      <c r="L1976" s="10">
        <f t="shared" si="256"/>
        <v>4.6388473941674195E-14</v>
      </c>
      <c r="M1976" s="10">
        <f t="shared" si="257"/>
        <v>7.2404432750492472E-20</v>
      </c>
      <c r="N1976" s="10">
        <f t="shared" si="258"/>
        <v>2.2215884035959639</v>
      </c>
      <c r="O1976" s="10">
        <f t="shared" si="259"/>
        <v>3.1893338999531022</v>
      </c>
      <c r="P1976" s="10">
        <f t="shared" si="260"/>
        <v>8.302537222475332E-3</v>
      </c>
      <c r="Q1976" s="66">
        <f t="shared" si="263"/>
        <v>2</v>
      </c>
      <c r="R1976" s="10">
        <f t="shared" si="261"/>
        <v>3.0177785402277137E-34</v>
      </c>
      <c r="V1976" s="10">
        <f t="shared" si="262"/>
        <v>3.8344755377046857E-21</v>
      </c>
    </row>
    <row r="1977" spans="11:22">
      <c r="K1977" s="66">
        <v>98.25</v>
      </c>
      <c r="L1977" s="10">
        <f t="shared" si="256"/>
        <v>4.1503200099482912E-14</v>
      </c>
      <c r="M1977" s="10">
        <f t="shared" si="257"/>
        <v>6.1714084029744935E-20</v>
      </c>
      <c r="N1977" s="10">
        <f t="shared" si="258"/>
        <v>2.2296359204225586</v>
      </c>
      <c r="O1977" s="10">
        <f t="shared" si="259"/>
        <v>3.2008871511122288</v>
      </c>
      <c r="P1977" s="10">
        <f t="shared" si="260"/>
        <v>8.2823077997238332E-3</v>
      </c>
      <c r="Q1977" s="66">
        <f t="shared" si="263"/>
        <v>4</v>
      </c>
      <c r="R1977" s="10">
        <f t="shared" si="261"/>
        <v>4.6080681416368039E-34</v>
      </c>
      <c r="V1977" s="10">
        <f t="shared" si="262"/>
        <v>6.5443423218332554E-21</v>
      </c>
    </row>
    <row r="1978" spans="11:22">
      <c r="K1978" s="66">
        <v>98.3</v>
      </c>
      <c r="L1978" s="10">
        <f t="shared" si="256"/>
        <v>3.7117440148500696E-14</v>
      </c>
      <c r="M1978" s="10">
        <f t="shared" si="257"/>
        <v>5.2571708335538329E-20</v>
      </c>
      <c r="N1978" s="10">
        <f t="shared" si="258"/>
        <v>2.2377125900131185</v>
      </c>
      <c r="O1978" s="10">
        <f t="shared" si="259"/>
        <v>3.2124822548342378</v>
      </c>
      <c r="P1978" s="10">
        <f t="shared" si="260"/>
        <v>8.262127666669436E-3</v>
      </c>
      <c r="Q1978" s="66">
        <f t="shared" si="263"/>
        <v>2</v>
      </c>
      <c r="R1978" s="10">
        <f t="shared" si="261"/>
        <v>1.7573733347222724E-34</v>
      </c>
      <c r="V1978" s="10">
        <f t="shared" si="262"/>
        <v>2.7907101006826424E-21</v>
      </c>
    </row>
    <row r="1979" spans="11:22">
      <c r="K1979" s="66">
        <v>98.35</v>
      </c>
      <c r="L1979" s="10">
        <f t="shared" si="256"/>
        <v>3.3181708936499826E-14</v>
      </c>
      <c r="M1979" s="10">
        <f t="shared" si="257"/>
        <v>4.4757688749528375E-20</v>
      </c>
      <c r="N1979" s="10">
        <f t="shared" si="258"/>
        <v>2.2458185179758221</v>
      </c>
      <c r="O1979" s="10">
        <f t="shared" si="259"/>
        <v>3.2241193627333313</v>
      </c>
      <c r="P1979" s="10">
        <f t="shared" si="260"/>
        <v>8.2419967032160719E-3</v>
      </c>
      <c r="Q1979" s="66">
        <f t="shared" si="263"/>
        <v>4</v>
      </c>
      <c r="R1979" s="10">
        <f t="shared" si="261"/>
        <v>2.6781890088133272E-34</v>
      </c>
      <c r="V1979" s="10">
        <f t="shared" si="262"/>
        <v>4.7574166854939954E-21</v>
      </c>
    </row>
    <row r="1980" spans="11:22">
      <c r="K1980" s="66">
        <v>98.4</v>
      </c>
      <c r="L1980" s="10">
        <f t="shared" si="256"/>
        <v>2.9651259480952924E-14</v>
      </c>
      <c r="M1980" s="10">
        <f t="shared" si="257"/>
        <v>3.8082904163792045E-20</v>
      </c>
      <c r="N1980" s="10">
        <f t="shared" si="258"/>
        <v>2.2539538103014358</v>
      </c>
      <c r="O1980" s="10">
        <f t="shared" si="259"/>
        <v>3.2357986269729633</v>
      </c>
      <c r="P1980" s="10">
        <f t="shared" si="260"/>
        <v>8.2219147895602664E-3</v>
      </c>
      <c r="Q1980" s="66">
        <f t="shared" si="263"/>
        <v>2</v>
      </c>
      <c r="R1980" s="10">
        <f t="shared" si="261"/>
        <v>1.0193631566226244E-34</v>
      </c>
      <c r="V1980" s="10">
        <f t="shared" si="262"/>
        <v>2.0263502457394053E-21</v>
      </c>
    </row>
    <row r="1981" spans="11:22">
      <c r="K1981" s="66">
        <v>98.45</v>
      </c>
      <c r="L1981" s="10">
        <f t="shared" si="256"/>
        <v>2.6485645745242461E-14</v>
      </c>
      <c r="M1981" s="10">
        <f t="shared" si="257"/>
        <v>3.2384589526333127E-20</v>
      </c>
      <c r="N1981" s="10">
        <f t="shared" si="258"/>
        <v>2.2621185733646705</v>
      </c>
      <c r="O1981" s="10">
        <f t="shared" si="259"/>
        <v>3.2475202002677883</v>
      </c>
      <c r="P1981" s="10">
        <f t="shared" si="260"/>
        <v>8.2018818061904888E-3</v>
      </c>
      <c r="Q1981" s="66">
        <f t="shared" si="263"/>
        <v>4</v>
      </c>
      <c r="R1981" s="10">
        <f t="shared" si="261"/>
        <v>1.550406522824979E-34</v>
      </c>
      <c r="V1981" s="10">
        <f t="shared" si="262"/>
        <v>3.4503547994664871E-21</v>
      </c>
    </row>
    <row r="1982" spans="11:22">
      <c r="K1982" s="66">
        <v>98.5</v>
      </c>
      <c r="L1982" s="10">
        <f t="shared" si="256"/>
        <v>2.3648324163320477E-14</v>
      </c>
      <c r="M1982" s="10">
        <f t="shared" si="257"/>
        <v>2.7522744734636325E-20</v>
      </c>
      <c r="N1982" s="10">
        <f t="shared" si="258"/>
        <v>2.2703129139256042</v>
      </c>
      <c r="O1982" s="10">
        <f t="shared" si="259"/>
        <v>3.2592842358856986</v>
      </c>
      <c r="P1982" s="10">
        <f t="shared" si="260"/>
        <v>8.1818976338863779E-3</v>
      </c>
      <c r="Q1982" s="66">
        <f t="shared" si="263"/>
        <v>2</v>
      </c>
      <c r="R1982" s="10">
        <f t="shared" si="261"/>
        <v>5.8893808791153236E-35</v>
      </c>
      <c r="V1982" s="10">
        <f t="shared" si="262"/>
        <v>1.4679052223662786E-21</v>
      </c>
    </row>
    <row r="1983" spans="11:22">
      <c r="K1983" s="66">
        <v>98.55</v>
      </c>
      <c r="L1983" s="10">
        <f t="shared" si="256"/>
        <v>2.1106290628662188E-14</v>
      </c>
      <c r="M1983" s="10">
        <f t="shared" si="257"/>
        <v>2.3377021293580583E-20</v>
      </c>
      <c r="N1983" s="10">
        <f t="shared" si="258"/>
        <v>2.2785369391310453</v>
      </c>
      <c r="O1983" s="10">
        <f t="shared" si="259"/>
        <v>3.2710908876498119</v>
      </c>
      <c r="P1983" s="10">
        <f t="shared" si="260"/>
        <v>8.1619621537180609E-3</v>
      </c>
      <c r="Q1983" s="66">
        <f t="shared" si="263"/>
        <v>4</v>
      </c>
      <c r="R1983" s="10">
        <f t="shared" si="261"/>
        <v>8.9396293670179472E-35</v>
      </c>
      <c r="V1983" s="10">
        <f t="shared" si="262"/>
        <v>2.4965274846540833E-21</v>
      </c>
    </row>
    <row r="1984" spans="11:22">
      <c r="K1984" s="66">
        <v>98.6</v>
      </c>
      <c r="L1984" s="10">
        <f t="shared" si="256"/>
        <v>1.882974992809669E-14</v>
      </c>
      <c r="M1984" s="10">
        <f t="shared" si="257"/>
        <v>1.9844024766185502E-20</v>
      </c>
      <c r="N1984" s="10">
        <f t="shared" si="258"/>
        <v>2.2867907565159622</v>
      </c>
      <c r="O1984" s="10">
        <f t="shared" si="259"/>
        <v>3.2829403099404662</v>
      </c>
      <c r="P1984" s="10">
        <f t="shared" si="260"/>
        <v>8.1420752470454522E-3</v>
      </c>
      <c r="Q1984" s="66">
        <f t="shared" si="263"/>
        <v>2</v>
      </c>
      <c r="R1984" s="10">
        <f t="shared" si="261"/>
        <v>3.3890162084851357E-35</v>
      </c>
      <c r="V1984" s="10">
        <f t="shared" si="262"/>
        <v>1.0608594619264441E-21</v>
      </c>
    </row>
    <row r="1985" spans="11:22">
      <c r="K1985" s="66">
        <v>98.65</v>
      </c>
      <c r="L1985" s="10">
        <f t="shared" si="256"/>
        <v>1.6791814845777916E-14</v>
      </c>
      <c r="M1985" s="10">
        <f t="shared" si="257"/>
        <v>1.6834978869691987E-20</v>
      </c>
      <c r="N1985" s="10">
        <f t="shared" si="258"/>
        <v>2.2950744740048767</v>
      </c>
      <c r="O1985" s="10">
        <f t="shared" si="259"/>
        <v>3.2948326576972744</v>
      </c>
      <c r="P1985" s="10">
        <f t="shared" si="260"/>
        <v>8.1222367955175057E-3</v>
      </c>
      <c r="Q1985" s="66">
        <f t="shared" si="263"/>
        <v>4</v>
      </c>
      <c r="R1985" s="10">
        <f t="shared" si="261"/>
        <v>5.1339359162367402E-35</v>
      </c>
      <c r="V1985" s="10">
        <f t="shared" si="262"/>
        <v>1.8021111580259027E-21</v>
      </c>
    </row>
    <row r="1986" spans="11:22">
      <c r="K1986" s="66">
        <v>98.7</v>
      </c>
      <c r="L1986" s="10">
        <f t="shared" si="256"/>
        <v>1.4968232388442435E-14</v>
      </c>
      <c r="M1986" s="10">
        <f t="shared" si="257"/>
        <v>1.4273703933869099E-20</v>
      </c>
      <c r="N1986" s="10">
        <f t="shared" si="258"/>
        <v>2.3033881999132686</v>
      </c>
      <c r="O1986" s="10">
        <f t="shared" si="259"/>
        <v>3.3067680864211106</v>
      </c>
      <c r="P1986" s="10">
        <f t="shared" si="260"/>
        <v>8.1024466810715873E-3</v>
      </c>
      <c r="Q1986" s="66">
        <f t="shared" si="263"/>
        <v>2</v>
      </c>
      <c r="R1986" s="10">
        <f t="shared" si="261"/>
        <v>1.9423537968072056E-35</v>
      </c>
      <c r="V1986" s="10">
        <f t="shared" si="262"/>
        <v>7.6486818988001439E-22</v>
      </c>
    </row>
    <row r="1987" spans="11:22">
      <c r="K1987" s="66">
        <v>98.75</v>
      </c>
      <c r="L1987" s="10">
        <f t="shared" si="256"/>
        <v>1.3337134791588994E-14</v>
      </c>
      <c r="M1987" s="10">
        <f t="shared" si="257"/>
        <v>1.2094868457306525E-20</v>
      </c>
      <c r="N1987" s="10">
        <f t="shared" si="258"/>
        <v>2.3117320429489983</v>
      </c>
      <c r="O1987" s="10">
        <f t="shared" si="259"/>
        <v>3.3187467521761849</v>
      </c>
      <c r="P1987" s="10">
        <f t="shared" si="260"/>
        <v>8.0827047859326935E-3</v>
      </c>
      <c r="Q1987" s="66">
        <f t="shared" si="263"/>
        <v>4</v>
      </c>
      <c r="R1987" s="10">
        <f t="shared" si="261"/>
        <v>2.9364710605812272E-35</v>
      </c>
      <c r="V1987" s="10">
        <f t="shared" si="262"/>
        <v>1.29775278919736E-21</v>
      </c>
    </row>
    <row r="1988" spans="11:22">
      <c r="K1988" s="66">
        <v>98.8</v>
      </c>
      <c r="L1988" s="10">
        <f t="shared" si="256"/>
        <v>1.1878813158614752E-14</v>
      </c>
      <c r="M1988" s="10">
        <f t="shared" si="257"/>
        <v>1.0242477771879767E-20</v>
      </c>
      <c r="N1988" s="10">
        <f t="shared" si="258"/>
        <v>2.3201061122137374</v>
      </c>
      <c r="O1988" s="10">
        <f t="shared" si="259"/>
        <v>3.3307688115920446</v>
      </c>
      <c r="P1988" s="10">
        <f t="shared" si="260"/>
        <v>8.0630109926128034E-3</v>
      </c>
      <c r="Q1988" s="66">
        <f t="shared" si="263"/>
        <v>2</v>
      </c>
      <c r="R1988" s="10">
        <f t="shared" si="261"/>
        <v>1.1087178097370984E-35</v>
      </c>
      <c r="V1988" s="10">
        <f t="shared" si="262"/>
        <v>5.5014448930416823E-22</v>
      </c>
    </row>
    <row r="1989" spans="11:22">
      <c r="K1989" s="66">
        <v>98.85</v>
      </c>
      <c r="L1989" s="10">
        <f t="shared" si="256"/>
        <v>1.0575511762330981E-14</v>
      </c>
      <c r="M1989" s="10">
        <f t="shared" si="257"/>
        <v>8.668568444677844E-21</v>
      </c>
      <c r="N1989" s="10">
        <f t="shared" si="258"/>
        <v>2.3285105172043861</v>
      </c>
      <c r="O1989" s="10">
        <f t="shared" si="259"/>
        <v>3.3428344218656338</v>
      </c>
      <c r="P1989" s="10">
        <f t="shared" si="260"/>
        <v>8.0433651839101339E-3</v>
      </c>
      <c r="Q1989" s="66">
        <f t="shared" si="263"/>
        <v>4</v>
      </c>
      <c r="R1989" s="10">
        <f t="shared" si="261"/>
        <v>1.6727560756627704E-35</v>
      </c>
      <c r="V1989" s="10">
        <f t="shared" si="262"/>
        <v>9.3230932142780112E-22</v>
      </c>
    </row>
    <row r="1990" spans="11:22">
      <c r="K1990" s="66">
        <v>98.9</v>
      </c>
      <c r="L1990" s="10">
        <f t="shared" si="256"/>
        <v>9.4112412018123086E-15</v>
      </c>
      <c r="M1990" s="10">
        <f t="shared" si="257"/>
        <v>7.3320810895141997E-21</v>
      </c>
      <c r="N1990" s="10">
        <f t="shared" si="258"/>
        <v>2.3369453678144954</v>
      </c>
      <c r="O1990" s="10">
        <f t="shared" si="259"/>
        <v>3.3549437407633915</v>
      </c>
      <c r="P1990" s="10">
        <f t="shared" si="260"/>
        <v>8.0237672429084878E-3</v>
      </c>
      <c r="Q1990" s="66">
        <f t="shared" si="263"/>
        <v>2</v>
      </c>
      <c r="R1990" s="10">
        <f t="shared" si="261"/>
        <v>6.3028781556329916E-36</v>
      </c>
      <c r="V1990" s="10">
        <f t="shared" si="262"/>
        <v>3.9474880041450815E-22</v>
      </c>
    </row>
    <row r="1991" spans="11:22">
      <c r="K1991" s="66">
        <v>98.95</v>
      </c>
      <c r="L1991" s="10">
        <f t="shared" si="256"/>
        <v>8.3716087582246928E-15</v>
      </c>
      <c r="M1991" s="10">
        <f t="shared" si="257"/>
        <v>6.197887796437367E-21</v>
      </c>
      <c r="N1991" s="10">
        <f t="shared" si="258"/>
        <v>2.3454107743357286</v>
      </c>
      <c r="O1991" s="10">
        <f t="shared" si="259"/>
        <v>3.3670969266232342</v>
      </c>
      <c r="P1991" s="10">
        <f t="shared" si="260"/>
        <v>8.0042170529765443E-3</v>
      </c>
      <c r="Q1991" s="66">
        <f t="shared" si="263"/>
        <v>4</v>
      </c>
      <c r="R1991" s="10">
        <f t="shared" si="261"/>
        <v>9.4898266721462973E-36</v>
      </c>
      <c r="V1991" s="10">
        <f t="shared" si="262"/>
        <v>6.6815646727114232E-22</v>
      </c>
    </row>
    <row r="1992" spans="11:22">
      <c r="K1992" s="66">
        <v>99</v>
      </c>
      <c r="L1992" s="10">
        <f t="shared" si="256"/>
        <v>7.4436644320418126E-15</v>
      </c>
      <c r="M1992" s="10">
        <f t="shared" si="257"/>
        <v>5.2359534789428965E-21</v>
      </c>
      <c r="N1992" s="10">
        <f t="shared" si="258"/>
        <v>2.3539068474592795</v>
      </c>
      <c r="O1992" s="10">
        <f t="shared" si="259"/>
        <v>3.3792941383567108</v>
      </c>
      <c r="P1992" s="10">
        <f t="shared" si="260"/>
        <v>7.9847144977671734E-3</v>
      </c>
      <c r="Q1992" s="66">
        <f t="shared" si="263"/>
        <v>2</v>
      </c>
      <c r="R1992" s="10">
        <f t="shared" si="261"/>
        <v>3.5683637619597738E-36</v>
      </c>
      <c r="V1992" s="10">
        <f t="shared" si="262"/>
        <v>2.8256031234042297E-22</v>
      </c>
    </row>
    <row r="1993" spans="11:22">
      <c r="K1993" s="66">
        <v>99.05</v>
      </c>
      <c r="L1993" s="10">
        <f t="shared" si="256"/>
        <v>6.6157612718180599E-15</v>
      </c>
      <c r="M1993" s="10">
        <f t="shared" si="257"/>
        <v>4.420613139244819E-21</v>
      </c>
      <c r="N1993" s="10">
        <f t="shared" si="258"/>
        <v>2.3624336982773197</v>
      </c>
      <c r="O1993" s="10">
        <f t="shared" si="259"/>
        <v>3.3915355354509886</v>
      </c>
      <c r="P1993" s="10">
        <f t="shared" si="260"/>
        <v>7.9652594612166297E-3</v>
      </c>
      <c r="Q1993" s="66">
        <f t="shared" si="263"/>
        <v>4</v>
      </c>
      <c r="R1993" s="10">
        <f t="shared" si="261"/>
        <v>5.3615429511603785E-36</v>
      </c>
      <c r="V1993" s="10">
        <f t="shared" si="262"/>
        <v>4.7768191635235045E-22</v>
      </c>
    </row>
    <row r="1994" spans="11:22">
      <c r="K1994" s="66">
        <v>99.1</v>
      </c>
      <c r="L1994" s="10">
        <f t="shared" si="256"/>
        <v>5.8774287222288499E-15</v>
      </c>
      <c r="M1994" s="10">
        <f t="shared" si="257"/>
        <v>3.7299494098707773E-21</v>
      </c>
      <c r="N1994" s="10">
        <f t="shared" si="258"/>
        <v>2.3709914382844945</v>
      </c>
      <c r="O1994" s="10">
        <f t="shared" si="259"/>
        <v>3.4038212779710366</v>
      </c>
      <c r="P1994" s="10">
        <f t="shared" si="260"/>
        <v>7.945851827544103E-3</v>
      </c>
      <c r="Q1994" s="66">
        <f t="shared" si="263"/>
        <v>2</v>
      </c>
      <c r="R1994" s="10">
        <f t="shared" si="261"/>
        <v>2.0118642541085531E-36</v>
      </c>
      <c r="V1994" s="10">
        <f t="shared" si="262"/>
        <v>2.0176235948807988E-22</v>
      </c>
    </row>
    <row r="1995" spans="11:22">
      <c r="K1995" s="66">
        <v>99.15</v>
      </c>
      <c r="L1995" s="10">
        <f t="shared" si="256"/>
        <v>5.2192578272356862E-15</v>
      </c>
      <c r="M1995" s="10">
        <f t="shared" si="257"/>
        <v>3.1452567872723746E-21</v>
      </c>
      <c r="N1995" s="10">
        <f t="shared" si="258"/>
        <v>2.3795801793793152</v>
      </c>
      <c r="O1995" s="10">
        <f t="shared" si="259"/>
        <v>3.4161515265616584</v>
      </c>
      <c r="P1995" s="10">
        <f t="shared" si="260"/>
        <v>7.9264914812507935E-3</v>
      </c>
      <c r="Q1995" s="66">
        <f t="shared" si="263"/>
        <v>4</v>
      </c>
      <c r="R1995" s="10">
        <f t="shared" si="261"/>
        <v>3.0165749548479803E-36</v>
      </c>
      <c r="V1995" s="10">
        <f t="shared" si="262"/>
        <v>3.4067026059395044E-22</v>
      </c>
    </row>
    <row r="1996" spans="11:22">
      <c r="K1996" s="66">
        <v>99.2</v>
      </c>
      <c r="L1996" s="10">
        <f t="shared" ref="L1996:L2059" si="264">(B$7^K1996)*B$8^((B$5^25)*((B$5^K1996)-1))</f>
        <v>4.6327972236044668E-15</v>
      </c>
      <c r="M1996" s="10">
        <f t="shared" ref="M1996:M2059" si="265">(B$7^K1996)*B$8^((B$5^30)*((B$5^K1996)-1))</f>
        <v>2.6505807671866327E-21</v>
      </c>
      <c r="N1996" s="10">
        <f t="shared" si="258"/>
        <v>2.3882000338656613</v>
      </c>
      <c r="O1996" s="10">
        <f t="shared" si="259"/>
        <v>3.4285264424495852</v>
      </c>
      <c r="P1996" s="10">
        <f t="shared" si="260"/>
        <v>7.907178307119362E-3</v>
      </c>
      <c r="Q1996" s="66">
        <f t="shared" si="263"/>
        <v>2</v>
      </c>
      <c r="R1996" s="10">
        <f t="shared" si="261"/>
        <v>1.1295735232067276E-36</v>
      </c>
      <c r="V1996" s="10">
        <f t="shared" si="262"/>
        <v>1.4371432969085843E-22</v>
      </c>
    </row>
    <row r="1997" spans="11:22">
      <c r="K1997" s="66">
        <v>99.25</v>
      </c>
      <c r="L1997" s="10">
        <f t="shared" si="264"/>
        <v>4.1104589513721079E-15</v>
      </c>
      <c r="M1997" s="10">
        <f t="shared" si="265"/>
        <v>2.2323216549885186E-21</v>
      </c>
      <c r="N1997" s="10">
        <f t="shared" ref="N1997:N2060" si="266">B$3+B$4*(B$5^(25+K1997))</f>
        <v>2.3968511144542504</v>
      </c>
      <c r="O1997" s="10">
        <f t="shared" ref="O1997:O2060" si="267">$B$3+$B$4*($B$5^(30+K1997))</f>
        <v>3.4409461874456464</v>
      </c>
      <c r="P1997" s="10">
        <f t="shared" ref="P1997:P2060" si="268">(1+B$6)^-K1997</f>
        <v>7.8879121902131737E-3</v>
      </c>
      <c r="Q1997" s="66">
        <f t="shared" si="263"/>
        <v>4</v>
      </c>
      <c r="R1997" s="10">
        <f t="shared" ref="R1997:R2060" si="269">L1997*M1997*(N1997+O1997)*P1997*Q1997</f>
        <v>1.6901224006492276E-36</v>
      </c>
      <c r="V1997" s="10">
        <f t="shared" si="262"/>
        <v>2.4235763822734833E-22</v>
      </c>
    </row>
    <row r="1998" spans="11:22">
      <c r="K1998" s="66">
        <v>99.3</v>
      </c>
      <c r="L1998" s="10">
        <f t="shared" si="264"/>
        <v>3.6454331917513777E-15</v>
      </c>
      <c r="M1998" s="10">
        <f t="shared" si="265"/>
        <v>1.8788941859325831E-21</v>
      </c>
      <c r="N1998" s="10">
        <f t="shared" si="266"/>
        <v>2.4055335342641024</v>
      </c>
      <c r="O1998" s="10">
        <f t="shared" si="267"/>
        <v>3.453410923946806</v>
      </c>
      <c r="P1998" s="10">
        <f t="shared" si="268"/>
        <v>7.8686930158756597E-3</v>
      </c>
      <c r="Q1998" s="66">
        <f t="shared" si="263"/>
        <v>2</v>
      </c>
      <c r="R1998" s="10">
        <f t="shared" si="269"/>
        <v>6.3154375511425565E-37</v>
      </c>
      <c r="V1998" s="10">
        <f t="shared" ref="V1998:V2061" si="270">(1-L1998)*M1998*O1998*P1998*Q1998</f>
        <v>1.0211350396458114E-22</v>
      </c>
    </row>
    <row r="1999" spans="11:22">
      <c r="K1999" s="66">
        <v>99.35</v>
      </c>
      <c r="L1999" s="10">
        <f t="shared" si="264"/>
        <v>3.2316111199943228E-15</v>
      </c>
      <c r="M1999" s="10">
        <f t="shared" si="265"/>
        <v>1.5804352753479809E-21</v>
      </c>
      <c r="N1999" s="10">
        <f t="shared" si="266"/>
        <v>2.4142474068240092</v>
      </c>
      <c r="O1999" s="10">
        <f t="shared" si="267"/>
        <v>3.4659208149383316</v>
      </c>
      <c r="P1999" s="10">
        <f t="shared" si="268"/>
        <v>7.8495206697295917E-3</v>
      </c>
      <c r="Q1999" s="66">
        <f t="shared" ref="Q1999:Q2062" si="271">IF(Q1998=4,2,4)</f>
        <v>4</v>
      </c>
      <c r="R1999" s="10">
        <f t="shared" si="269"/>
        <v>9.4295004999110675E-37</v>
      </c>
      <c r="V1999" s="10">
        <f t="shared" si="270"/>
        <v>1.7198813200948798E-22</v>
      </c>
    </row>
    <row r="2000" spans="11:22">
      <c r="K2000" s="66">
        <v>99.4</v>
      </c>
      <c r="L2000" s="10">
        <f t="shared" si="264"/>
        <v>2.8635151314246557E-15</v>
      </c>
      <c r="M2000" s="10">
        <f t="shared" si="265"/>
        <v>1.328553249739252E-21</v>
      </c>
      <c r="N2000" s="10">
        <f t="shared" si="266"/>
        <v>2.4229928460740435</v>
      </c>
      <c r="O2000" s="10">
        <f t="shared" si="267"/>
        <v>3.478476023995936</v>
      </c>
      <c r="P2000" s="10">
        <f t="shared" si="268"/>
        <v>7.8303950376764422E-3</v>
      </c>
      <c r="Q2000" s="66">
        <f t="shared" si="271"/>
        <v>2</v>
      </c>
      <c r="R2000" s="10">
        <f t="shared" si="269"/>
        <v>3.516027288983223E-37</v>
      </c>
      <c r="V2000" s="10">
        <f t="shared" si="270"/>
        <v>7.2373845407664745E-23</v>
      </c>
    </row>
    <row r="2001" spans="11:22">
      <c r="K2001" s="66">
        <v>99.45</v>
      </c>
      <c r="L2001" s="10">
        <f t="shared" si="264"/>
        <v>2.5362357636964282E-15</v>
      </c>
      <c r="M2001" s="10">
        <f t="shared" si="265"/>
        <v>1.1161128058798638E-21</v>
      </c>
      <c r="N2001" s="10">
        <f t="shared" si="266"/>
        <v>2.4317699663670207</v>
      </c>
      <c r="O2001" s="10">
        <f t="shared" si="267"/>
        <v>3.4910767152878721</v>
      </c>
      <c r="P2001" s="10">
        <f t="shared" si="268"/>
        <v>7.8113160058957028E-3</v>
      </c>
      <c r="Q2001" s="66">
        <f t="shared" si="271"/>
        <v>4</v>
      </c>
      <c r="R2001" s="10">
        <f t="shared" si="269"/>
        <v>5.2385657947196026E-37</v>
      </c>
      <c r="V2001" s="10">
        <f t="shared" si="270"/>
        <v>1.2174515370625685E-22</v>
      </c>
    </row>
    <row r="2002" spans="11:22">
      <c r="K2002" s="66">
        <v>99.5</v>
      </c>
      <c r="L2002" s="10">
        <f t="shared" si="264"/>
        <v>2.2453746977848932E-15</v>
      </c>
      <c r="M2002" s="10">
        <f t="shared" si="265"/>
        <v>9.3705072347879493E-22</v>
      </c>
      <c r="N2002" s="10">
        <f t="shared" si="266"/>
        <v>2.4405788824700245</v>
      </c>
      <c r="O2002" s="10">
        <f t="shared" si="267"/>
        <v>3.5037230535771258</v>
      </c>
      <c r="P2002" s="10">
        <f t="shared" si="268"/>
        <v>7.7922834608441681E-3</v>
      </c>
      <c r="Q2002" s="66">
        <f t="shared" si="271"/>
        <v>2</v>
      </c>
      <c r="R2002" s="10">
        <f t="shared" si="269"/>
        <v>1.9491601506318562E-37</v>
      </c>
      <c r="V2002" s="10">
        <f t="shared" si="270"/>
        <v>5.1166723705273038E-23</v>
      </c>
    </row>
    <row r="2003" spans="11:22">
      <c r="K2003" s="66">
        <v>99.55</v>
      </c>
      <c r="L2003" s="10">
        <f t="shared" si="264"/>
        <v>1.9869932747014846E-15</v>
      </c>
      <c r="M2003" s="10">
        <f t="shared" si="265"/>
        <v>7.8621803287215626E-22</v>
      </c>
      <c r="N2003" s="10">
        <f t="shared" si="266"/>
        <v>2.4494197095658734</v>
      </c>
      <c r="O2003" s="10">
        <f t="shared" si="267"/>
        <v>3.5164152042235481</v>
      </c>
      <c r="P2003" s="10">
        <f t="shared" si="268"/>
        <v>7.7732972892553022E-3</v>
      </c>
      <c r="Q2003" s="66">
        <f t="shared" si="271"/>
        <v>4</v>
      </c>
      <c r="R2003" s="10">
        <f t="shared" si="269"/>
        <v>2.8978499775897004E-37</v>
      </c>
      <c r="V2003" s="10">
        <f t="shared" si="270"/>
        <v>8.596237756112896E-23</v>
      </c>
    </row>
    <row r="2004" spans="11:22">
      <c r="K2004" s="66">
        <v>99.6</v>
      </c>
      <c r="L2004" s="10">
        <f t="shared" si="264"/>
        <v>1.7575660148322608E-15</v>
      </c>
      <c r="M2004" s="10">
        <f t="shared" si="265"/>
        <v>6.5924492559300046E-22</v>
      </c>
      <c r="N2004" s="10">
        <f t="shared" si="266"/>
        <v>2.4582925632546595</v>
      </c>
      <c r="O2004" s="10">
        <f t="shared" si="267"/>
        <v>3.5291533331860006</v>
      </c>
      <c r="P2004" s="10">
        <f t="shared" si="268"/>
        <v>7.7543573781385256E-3</v>
      </c>
      <c r="Q2004" s="66">
        <f t="shared" si="271"/>
        <v>2</v>
      </c>
      <c r="R2004" s="10">
        <f t="shared" si="269"/>
        <v>1.0759097724771881E-37</v>
      </c>
      <c r="V2004" s="10">
        <f t="shared" si="270"/>
        <v>3.6082210157925853E-23</v>
      </c>
    </row>
    <row r="2005" spans="11:22">
      <c r="K2005" s="66">
        <v>99.65</v>
      </c>
      <c r="L2005" s="10">
        <f t="shared" si="264"/>
        <v>1.5539386724968879E-15</v>
      </c>
      <c r="M2005" s="10">
        <f t="shared" si="265"/>
        <v>5.5242520412277631E-22</v>
      </c>
      <c r="N2005" s="10">
        <f t="shared" si="266"/>
        <v>2.4671975595552422</v>
      </c>
      <c r="O2005" s="10">
        <f t="shared" si="267"/>
        <v>3.5419376070245701</v>
      </c>
      <c r="P2005" s="10">
        <f t="shared" si="268"/>
        <v>7.7354636147785759E-3</v>
      </c>
      <c r="Q2005" s="66">
        <f t="shared" si="271"/>
        <v>4</v>
      </c>
      <c r="R2005" s="10">
        <f t="shared" si="269"/>
        <v>1.5961204861002573E-37</v>
      </c>
      <c r="V2005" s="10">
        <f t="shared" si="270"/>
        <v>6.0542552973559395E-23</v>
      </c>
    </row>
    <row r="2006" spans="11:22">
      <c r="K2006" s="66">
        <v>99.7</v>
      </c>
      <c r="L2006" s="10">
        <f t="shared" si="264"/>
        <v>1.3732904001435981E-15</v>
      </c>
      <c r="M2006" s="10">
        <f t="shared" si="265"/>
        <v>4.6261750770335523E-22</v>
      </c>
      <c r="N2006" s="10">
        <f t="shared" si="266"/>
        <v>2.4761348149067635</v>
      </c>
      <c r="O2006" s="10">
        <f t="shared" si="267"/>
        <v>3.5547681929026944</v>
      </c>
      <c r="P2006" s="10">
        <f t="shared" si="268"/>
        <v>7.7166158867348431E-3</v>
      </c>
      <c r="Q2006" s="66">
        <f t="shared" si="271"/>
        <v>2</v>
      </c>
      <c r="R2006" s="10">
        <f t="shared" si="269"/>
        <v>5.9132150163548108E-38</v>
      </c>
      <c r="V2006" s="10">
        <f t="shared" si="270"/>
        <v>2.5379918813771841E-23</v>
      </c>
    </row>
    <row r="2007" spans="11:22">
      <c r="K2007" s="66">
        <v>99.75</v>
      </c>
      <c r="L2007" s="10">
        <f t="shared" si="264"/>
        <v>1.2130996348512693E-15</v>
      </c>
      <c r="M2007" s="10">
        <f t="shared" si="265"/>
        <v>3.871609326076107E-22</v>
      </c>
      <c r="N2007" s="10">
        <f t="shared" si="266"/>
        <v>2.485104446170173</v>
      </c>
      <c r="O2007" s="10">
        <f t="shared" si="267"/>
        <v>3.567645258589399</v>
      </c>
      <c r="P2007" s="10">
        <f t="shared" si="268"/>
        <v>7.6978140818406591E-3</v>
      </c>
      <c r="Q2007" s="66">
        <f t="shared" si="271"/>
        <v>4</v>
      </c>
      <c r="R2007" s="10">
        <f t="shared" si="269"/>
        <v>8.7532256362587424E-38</v>
      </c>
      <c r="V2007" s="10">
        <f t="shared" si="270"/>
        <v>4.2530511035394983E-23</v>
      </c>
    </row>
    <row r="2008" spans="11:22">
      <c r="K2008" s="66">
        <v>99.8</v>
      </c>
      <c r="L2008" s="10">
        <f t="shared" si="264"/>
        <v>1.0711133547881575E-15</v>
      </c>
      <c r="M2008" s="10">
        <f t="shared" si="265"/>
        <v>3.2380299542939853E-22</v>
      </c>
      <c r="N2008" s="10">
        <f t="shared" si="266"/>
        <v>2.4941065706297674</v>
      </c>
      <c r="O2008" s="10">
        <f t="shared" si="267"/>
        <v>3.5805689724614482</v>
      </c>
      <c r="P2008" s="10">
        <f t="shared" si="268"/>
        <v>7.679058088202669E-3</v>
      </c>
      <c r="Q2008" s="66">
        <f t="shared" si="271"/>
        <v>2</v>
      </c>
      <c r="R2008" s="10">
        <f t="shared" si="269"/>
        <v>3.235767668662876E-38</v>
      </c>
      <c r="V2008" s="10">
        <f t="shared" si="270"/>
        <v>1.7806183901359653E-23</v>
      </c>
    </row>
    <row r="2009" spans="11:22">
      <c r="K2009" s="66">
        <v>99.85</v>
      </c>
      <c r="L2009" s="10">
        <f t="shared" si="264"/>
        <v>9.4531938524183898E-16</v>
      </c>
      <c r="M2009" s="10">
        <f t="shared" si="265"/>
        <v>2.706381734883049E-22</v>
      </c>
      <c r="N2009" s="10">
        <f t="shared" si="266"/>
        <v>2.5031413059947152</v>
      </c>
      <c r="O2009" s="10">
        <f t="shared" si="267"/>
        <v>3.5935395035055566</v>
      </c>
      <c r="P2009" s="10">
        <f t="shared" si="268"/>
        <v>7.6603477942001272E-3</v>
      </c>
      <c r="Q2009" s="66">
        <f t="shared" si="271"/>
        <v>4</v>
      </c>
      <c r="R2009" s="10">
        <f t="shared" si="269"/>
        <v>4.779357915149416E-38</v>
      </c>
      <c r="V2009" s="10">
        <f t="shared" si="270"/>
        <v>2.9800253354421012E-23</v>
      </c>
    </row>
    <row r="2010" spans="11:22">
      <c r="K2010" s="66">
        <v>99.9</v>
      </c>
      <c r="L2010" s="10">
        <f t="shared" si="264"/>
        <v>8.339214630353067E-16</v>
      </c>
      <c r="M2010" s="10">
        <f t="shared" si="265"/>
        <v>2.2605550322257456E-22</v>
      </c>
      <c r="N2010" s="10">
        <f t="shared" si="266"/>
        <v>2.5122087704005827</v>
      </c>
      <c r="O2010" s="10">
        <f t="shared" si="267"/>
        <v>3.6065570213206457</v>
      </c>
      <c r="P2010" s="10">
        <f t="shared" si="268"/>
        <v>7.6416830884842727E-3</v>
      </c>
      <c r="Q2010" s="66">
        <f t="shared" si="271"/>
        <v>2</v>
      </c>
      <c r="R2010" s="10">
        <f t="shared" si="269"/>
        <v>1.7628813546417266E-38</v>
      </c>
      <c r="V2010" s="10">
        <f t="shared" si="270"/>
        <v>1.2460254296493935E-23</v>
      </c>
    </row>
    <row r="2011" spans="11:22">
      <c r="K2011" s="66">
        <v>99.95</v>
      </c>
      <c r="L2011" s="10">
        <f t="shared" si="264"/>
        <v>7.353167948057696E-16</v>
      </c>
      <c r="M2011" s="10">
        <f t="shared" si="265"/>
        <v>1.8869393058718468E-22</v>
      </c>
      <c r="N2011" s="10">
        <f t="shared" si="266"/>
        <v>2.5213090824109083</v>
      </c>
      <c r="O2011" s="10">
        <f t="shared" si="267"/>
        <v>3.6196216961199772</v>
      </c>
      <c r="P2011" s="10">
        <f t="shared" si="268"/>
        <v>7.6230638599776605E-3</v>
      </c>
      <c r="Q2011" s="66">
        <f t="shared" si="271"/>
        <v>4</v>
      </c>
      <c r="R2011" s="10">
        <f t="shared" si="269"/>
        <v>2.5981018244404651E-38</v>
      </c>
      <c r="V2011" s="10">
        <f t="shared" si="270"/>
        <v>2.0826230135388781E-23</v>
      </c>
    </row>
    <row r="2012" spans="11:22">
      <c r="K2012" s="66">
        <v>100</v>
      </c>
      <c r="L2012" s="10">
        <f t="shared" si="264"/>
        <v>6.480758689540385E-16</v>
      </c>
      <c r="M2012" s="10">
        <f t="shared" si="265"/>
        <v>1.5740429144493328E-22</v>
      </c>
      <c r="N2012" s="10">
        <f t="shared" si="266"/>
        <v>2.5304423610187259</v>
      </c>
      <c r="O2012" s="10">
        <f t="shared" si="267"/>
        <v>3.632733698733464</v>
      </c>
      <c r="P2012" s="10">
        <f t="shared" si="268"/>
        <v>7.6044899978735007E-3</v>
      </c>
      <c r="Q2012" s="66">
        <f t="shared" si="271"/>
        <v>2</v>
      </c>
      <c r="R2012" s="10">
        <f t="shared" si="269"/>
        <v>9.561963517488239E-39</v>
      </c>
      <c r="V2012" s="10">
        <f t="shared" si="270"/>
        <v>8.6966145149058788E-24</v>
      </c>
    </row>
    <row r="2013" spans="11:22">
      <c r="K2013" s="66">
        <v>100.05</v>
      </c>
      <c r="L2013" s="10">
        <f t="shared" si="264"/>
        <v>5.709243032672426E-16</v>
      </c>
      <c r="M2013" s="10">
        <f t="shared" si="265"/>
        <v>1.3121695862639265E-22</v>
      </c>
      <c r="N2013" s="10">
        <f t="shared" si="266"/>
        <v>2.5396087256481192</v>
      </c>
      <c r="O2013" s="10">
        <f t="shared" si="267"/>
        <v>3.6458932006098128</v>
      </c>
      <c r="P2013" s="10">
        <f t="shared" si="268"/>
        <v>7.5859613916348847E-3</v>
      </c>
      <c r="Q2013" s="66">
        <f t="shared" si="271"/>
        <v>4</v>
      </c>
      <c r="R2013" s="10">
        <f t="shared" si="269"/>
        <v>1.406093057050168E-38</v>
      </c>
      <c r="V2013" s="10">
        <f t="shared" si="270"/>
        <v>1.4516587274324131E-23</v>
      </c>
    </row>
    <row r="2014" spans="11:22">
      <c r="K2014" s="66">
        <v>100.1</v>
      </c>
      <c r="L2014" s="10">
        <f t="shared" si="264"/>
        <v>5.0272653045308218E-16</v>
      </c>
      <c r="M2014" s="10">
        <f t="shared" si="265"/>
        <v>1.0931432912282009E-22</v>
      </c>
      <c r="N2014" s="10">
        <f t="shared" si="266"/>
        <v>2.5488082961558316</v>
      </c>
      <c r="O2014" s="10">
        <f t="shared" si="267"/>
        <v>3.6591003738188639</v>
      </c>
      <c r="P2014" s="10">
        <f t="shared" si="268"/>
        <v>7.5674779309943827E-3</v>
      </c>
      <c r="Q2014" s="66">
        <f t="shared" si="271"/>
        <v>2</v>
      </c>
      <c r="R2014" s="10">
        <f t="shared" si="269"/>
        <v>5.1633953163959293E-39</v>
      </c>
      <c r="V2014" s="10">
        <f t="shared" si="270"/>
        <v>6.0538628173453238E-24</v>
      </c>
    </row>
    <row r="2015" spans="11:22">
      <c r="K2015" s="66">
        <v>100.15</v>
      </c>
      <c r="L2015" s="10">
        <f t="shared" si="264"/>
        <v>4.4247114226790619E-16</v>
      </c>
      <c r="M2015" s="10">
        <f t="shared" si="265"/>
        <v>9.100744271033026E-23</v>
      </c>
      <c r="N2015" s="10">
        <f t="shared" si="266"/>
        <v>2.5580411928327638</v>
      </c>
      <c r="O2015" s="10">
        <f t="shared" si="267"/>
        <v>3.6723553910537832</v>
      </c>
      <c r="P2015" s="10">
        <f t="shared" si="268"/>
        <v>7.5490395059531357E-3</v>
      </c>
      <c r="Q2015" s="66">
        <f t="shared" si="271"/>
        <v>4</v>
      </c>
      <c r="R2015" s="10">
        <f t="shared" si="269"/>
        <v>7.5758129576035973E-39</v>
      </c>
      <c r="V2015" s="10">
        <f t="shared" si="270"/>
        <v>1.0091908487182934E-23</v>
      </c>
    </row>
    <row r="2016" spans="11:22">
      <c r="K2016" s="66">
        <v>100.2</v>
      </c>
      <c r="L2016" s="10">
        <f t="shared" si="264"/>
        <v>3.892577297163269E-16</v>
      </c>
      <c r="M2016" s="10">
        <f t="shared" si="265"/>
        <v>7.5716124740017919E-23</v>
      </c>
      <c r="N2016" s="10">
        <f t="shared" si="266"/>
        <v>2.5673075364055862</v>
      </c>
      <c r="O2016" s="10">
        <f t="shared" si="267"/>
        <v>3.6856584256333043</v>
      </c>
      <c r="P2016" s="10">
        <f t="shared" si="268"/>
        <v>7.530646006780343E-3</v>
      </c>
      <c r="Q2016" s="66">
        <f t="shared" si="271"/>
        <v>2</v>
      </c>
      <c r="R2016" s="10">
        <f t="shared" si="269"/>
        <v>2.7757088932891433E-39</v>
      </c>
      <c r="V2016" s="10">
        <f t="shared" si="270"/>
        <v>4.2030609771306456E-24</v>
      </c>
    </row>
    <row r="2017" spans="11:22">
      <c r="K2017" s="66">
        <v>100.25</v>
      </c>
      <c r="L2017" s="10">
        <f t="shared" si="264"/>
        <v>3.4228507209657829E-16</v>
      </c>
      <c r="M2017" s="10">
        <f t="shared" si="265"/>
        <v>6.2952133094151918E-23</v>
      </c>
      <c r="N2017" s="10">
        <f t="shared" si="266"/>
        <v>2.5766074480383194</v>
      </c>
      <c r="O2017" s="10">
        <f t="shared" si="267"/>
        <v>3.6990096515040691</v>
      </c>
      <c r="P2017" s="10">
        <f t="shared" si="268"/>
        <v>7.5122973240125514E-3</v>
      </c>
      <c r="Q2017" s="66">
        <f t="shared" si="271"/>
        <v>4</v>
      </c>
      <c r="R2017" s="10">
        <f t="shared" si="269"/>
        <v>4.0633815715330657E-39</v>
      </c>
      <c r="V2017" s="10">
        <f t="shared" si="270"/>
        <v>6.9972706833700671E-24</v>
      </c>
    </row>
    <row r="2018" spans="11:22">
      <c r="K2018" s="66">
        <v>100.3</v>
      </c>
      <c r="L2018" s="10">
        <f t="shared" si="264"/>
        <v>3.0084054158308224E-16</v>
      </c>
      <c r="M2018" s="10">
        <f t="shared" si="265"/>
        <v>5.2304864329973451E-23</v>
      </c>
      <c r="N2018" s="10">
        <f t="shared" si="266"/>
        <v>2.5859410493339103</v>
      </c>
      <c r="O2018" s="10">
        <f t="shared" si="267"/>
        <v>3.7124092432428162</v>
      </c>
      <c r="P2018" s="10">
        <f t="shared" si="268"/>
        <v>7.4939933484530078E-3</v>
      </c>
      <c r="Q2018" s="66">
        <f t="shared" si="271"/>
        <v>2</v>
      </c>
      <c r="R2018" s="10">
        <f t="shared" si="269"/>
        <v>1.4854175531887052E-39</v>
      </c>
      <c r="V2018" s="10">
        <f t="shared" si="270"/>
        <v>2.9103232191799579E-24</v>
      </c>
    </row>
    <row r="2019" spans="11:22">
      <c r="K2019" s="66">
        <v>100.35</v>
      </c>
      <c r="L2019" s="10">
        <f t="shared" si="264"/>
        <v>2.6429060269718879E-16</v>
      </c>
      <c r="M2019" s="10">
        <f t="shared" si="265"/>
        <v>4.3429238485870766E-23</v>
      </c>
      <c r="N2019" s="10">
        <f t="shared" si="266"/>
        <v>2.5953084623358094</v>
      </c>
      <c r="O2019" s="10">
        <f t="shared" si="267"/>
        <v>3.7258573760587064</v>
      </c>
      <c r="P2019" s="10">
        <f t="shared" si="268"/>
        <v>7.4757339711710386E-3</v>
      </c>
      <c r="Q2019" s="66">
        <f t="shared" si="271"/>
        <v>4</v>
      </c>
      <c r="R2019" s="10">
        <f t="shared" si="269"/>
        <v>2.1695764075970736E-39</v>
      </c>
      <c r="V2019" s="10">
        <f t="shared" si="270"/>
        <v>4.8386284004936572E-24</v>
      </c>
    </row>
    <row r="2020" spans="11:22">
      <c r="K2020" s="66">
        <v>100.4</v>
      </c>
      <c r="L2020" s="10">
        <f t="shared" si="264"/>
        <v>2.3207229752641503E-16</v>
      </c>
      <c r="M2020" s="10">
        <f t="shared" si="265"/>
        <v>3.6035437360766146E-23</v>
      </c>
      <c r="N2020" s="10">
        <f t="shared" si="266"/>
        <v>2.6047098095295969</v>
      </c>
      <c r="O2020" s="10">
        <f t="shared" si="267"/>
        <v>3.7393542257956311</v>
      </c>
      <c r="P2020" s="10">
        <f t="shared" si="268"/>
        <v>7.4575190835013735E-3</v>
      </c>
      <c r="Q2020" s="66">
        <f t="shared" si="271"/>
        <v>2</v>
      </c>
      <c r="R2020" s="10">
        <f t="shared" si="269"/>
        <v>7.9130703410167122E-40</v>
      </c>
      <c r="V2020" s="10">
        <f t="shared" si="270"/>
        <v>2.0097904300534488E-24</v>
      </c>
    </row>
    <row r="2021" spans="11:22">
      <c r="K2021" s="66">
        <v>100.45</v>
      </c>
      <c r="L2021" s="10">
        <f t="shared" si="264"/>
        <v>2.0368561801132814E-16</v>
      </c>
      <c r="M2021" s="10">
        <f t="shared" si="265"/>
        <v>2.9880218554207724E-23</v>
      </c>
      <c r="N2021" s="10">
        <f t="shared" si="266"/>
        <v>2.6141452138445471</v>
      </c>
      <c r="O2021" s="10">
        <f t="shared" si="267"/>
        <v>3.7528999689344626</v>
      </c>
      <c r="P2021" s="10">
        <f t="shared" si="268"/>
        <v>7.4393485770435251E-3</v>
      </c>
      <c r="Q2021" s="66">
        <f t="shared" si="271"/>
        <v>4</v>
      </c>
      <c r="R2021" s="10">
        <f t="shared" si="269"/>
        <v>1.1531265360599864E-39</v>
      </c>
      <c r="V2021" s="10">
        <f t="shared" si="270"/>
        <v>3.3369189497148098E-24</v>
      </c>
    </row>
    <row r="2022" spans="11:22">
      <c r="K2022" s="66">
        <v>100.5</v>
      </c>
      <c r="L2022" s="10">
        <f t="shared" si="264"/>
        <v>1.7868667611814755E-16</v>
      </c>
      <c r="M2022" s="10">
        <f t="shared" si="265"/>
        <v>2.4759568260212997E-23</v>
      </c>
      <c r="N2022" s="10">
        <f t="shared" si="266"/>
        <v>2.6236147986552769</v>
      </c>
      <c r="O2022" s="10">
        <f t="shared" si="267"/>
        <v>3.7664947825954105</v>
      </c>
      <c r="P2022" s="10">
        <f t="shared" si="268"/>
        <v>7.4212223436611177E-3</v>
      </c>
      <c r="Q2022" s="66">
        <f t="shared" si="271"/>
        <v>2</v>
      </c>
      <c r="R2022" s="10">
        <f t="shared" si="269"/>
        <v>4.1961304645894662E-40</v>
      </c>
      <c r="V2022" s="10">
        <f t="shared" si="270"/>
        <v>1.3841586682028808E-24</v>
      </c>
    </row>
    <row r="2023" spans="11:22">
      <c r="K2023" s="66">
        <v>100.55</v>
      </c>
      <c r="L2023" s="10">
        <f t="shared" si="264"/>
        <v>1.5668159133870859E-16</v>
      </c>
      <c r="M2023" s="10">
        <f t="shared" si="265"/>
        <v>2.0502490684556057E-23</v>
      </c>
      <c r="N2023" s="10">
        <f t="shared" si="266"/>
        <v>2.6331186877833144</v>
      </c>
      <c r="O2023" s="10">
        <f t="shared" si="267"/>
        <v>3.7801388445403137</v>
      </c>
      <c r="P2023" s="10">
        <f t="shared" si="268"/>
        <v>7.4031402754812393E-3</v>
      </c>
      <c r="Q2023" s="66">
        <f t="shared" si="271"/>
        <v>4</v>
      </c>
      <c r="R2023" s="10">
        <f t="shared" si="269"/>
        <v>6.1006940661661066E-40</v>
      </c>
      <c r="V2023" s="10">
        <f t="shared" si="270"/>
        <v>2.2950404526223259E-24</v>
      </c>
    </row>
    <row r="2024" spans="11:22">
      <c r="K2024" s="66">
        <v>100.6</v>
      </c>
      <c r="L2024" s="10">
        <f t="shared" si="264"/>
        <v>1.3732102278420188E-16</v>
      </c>
      <c r="M2024" s="10">
        <f t="shared" si="265"/>
        <v>1.6965761817024081E-23</v>
      </c>
      <c r="N2024" s="10">
        <f t="shared" si="266"/>
        <v>2.6426570054987586</v>
      </c>
      <c r="O2024" s="10">
        <f t="shared" si="267"/>
        <v>3.7938323331749508</v>
      </c>
      <c r="P2024" s="10">
        <f t="shared" si="268"/>
        <v>7.3851022648938319E-3</v>
      </c>
      <c r="Q2024" s="66">
        <f t="shared" si="271"/>
        <v>2</v>
      </c>
      <c r="R2024" s="10">
        <f t="shared" si="269"/>
        <v>2.2148583609250292E-40</v>
      </c>
      <c r="V2024" s="10">
        <f t="shared" si="270"/>
        <v>9.5068799186782808E-25</v>
      </c>
    </row>
    <row r="2025" spans="11:22">
      <c r="K2025" s="66">
        <v>100.65</v>
      </c>
      <c r="L2025" s="10">
        <f t="shared" si="264"/>
        <v>1.2029528023565308E-16</v>
      </c>
      <c r="M2025" s="10">
        <f t="shared" si="265"/>
        <v>1.4029500840811634E-23</v>
      </c>
      <c r="N2025" s="10">
        <f t="shared" si="266"/>
        <v>2.6522298765218855</v>
      </c>
      <c r="O2025" s="10">
        <f t="shared" si="267"/>
        <v>3.8075754275514129</v>
      </c>
      <c r="P2025" s="10">
        <f t="shared" si="268"/>
        <v>7.3671082045510235E-3</v>
      </c>
      <c r="Q2025" s="66">
        <f t="shared" si="271"/>
        <v>4</v>
      </c>
      <c r="R2025" s="10">
        <f t="shared" si="269"/>
        <v>3.2126785696101405E-40</v>
      </c>
      <c r="V2025" s="10">
        <f t="shared" si="270"/>
        <v>1.5741560207407008E-24</v>
      </c>
    </row>
    <row r="2026" spans="11:22">
      <c r="K2026" s="66">
        <v>100.7</v>
      </c>
      <c r="L2026" s="10">
        <f t="shared" si="264"/>
        <v>1.0532995494695205E-16</v>
      </c>
      <c r="M2026" s="10">
        <f t="shared" si="265"/>
        <v>1.1593434307947562E-23</v>
      </c>
      <c r="N2026" s="10">
        <f t="shared" si="266"/>
        <v>2.6618374260247659</v>
      </c>
      <c r="O2026" s="10">
        <f t="shared" si="267"/>
        <v>3.8213683073703968</v>
      </c>
      <c r="P2026" s="10">
        <f t="shared" si="268"/>
        <v>7.3491579873665161E-3</v>
      </c>
      <c r="Q2026" s="66">
        <f t="shared" si="271"/>
        <v>2</v>
      </c>
      <c r="R2026" s="10">
        <f t="shared" si="269"/>
        <v>1.1636473549446326E-40</v>
      </c>
      <c r="V2026" s="10">
        <f t="shared" si="270"/>
        <v>6.5117629483315791E-25</v>
      </c>
    </row>
    <row r="2027" spans="11:22">
      <c r="K2027" s="66">
        <v>100.75</v>
      </c>
      <c r="L2027" s="10">
        <f t="shared" si="264"/>
        <v>9.2182016824749543E-17</v>
      </c>
      <c r="M2027" s="10">
        <f t="shared" si="265"/>
        <v>9.5737468765715993E-24</v>
      </c>
      <c r="N2027" s="10">
        <f t="shared" si="266"/>
        <v>2.6714797796329361</v>
      </c>
      <c r="O2027" s="10">
        <f t="shared" si="267"/>
        <v>3.8352111529836042</v>
      </c>
      <c r="P2027" s="10">
        <f t="shared" si="268"/>
        <v>7.3312515065149199E-3</v>
      </c>
      <c r="Q2027" s="66">
        <f t="shared" si="271"/>
        <v>4</v>
      </c>
      <c r="R2027" s="10">
        <f t="shared" si="269"/>
        <v>1.6839393083793088E-40</v>
      </c>
      <c r="V2027" s="10">
        <f t="shared" si="270"/>
        <v>1.0767362401290802E-24</v>
      </c>
    </row>
    <row r="2028" spans="11:22">
      <c r="K2028" s="66">
        <v>100.8</v>
      </c>
      <c r="L2028" s="10">
        <f t="shared" si="264"/>
        <v>8.063632988779681E-17</v>
      </c>
      <c r="M2028" s="10">
        <f t="shared" si="265"/>
        <v>7.9004283447369299E-24</v>
      </c>
      <c r="N2028" s="10">
        <f t="shared" si="266"/>
        <v>2.6811570634270003</v>
      </c>
      <c r="O2028" s="10">
        <f t="shared" si="267"/>
        <v>3.8491041453960571</v>
      </c>
      <c r="P2028" s="10">
        <f t="shared" si="268"/>
        <v>7.3133886554311127E-3</v>
      </c>
      <c r="Q2028" s="66">
        <f t="shared" si="271"/>
        <v>2</v>
      </c>
      <c r="R2028" s="10">
        <f t="shared" si="269"/>
        <v>6.0850001614120086E-41</v>
      </c>
      <c r="V2028" s="10">
        <f t="shared" si="270"/>
        <v>4.447940303341506E-25</v>
      </c>
    </row>
    <row r="2029" spans="11:22">
      <c r="K2029" s="66">
        <v>100.85</v>
      </c>
      <c r="L2029" s="10">
        <f t="shared" si="264"/>
        <v>7.0502542685782756E-17</v>
      </c>
      <c r="M2029" s="10">
        <f t="shared" si="265"/>
        <v>6.5150403153920553E-24</v>
      </c>
      <c r="N2029" s="10">
        <f t="shared" si="266"/>
        <v>2.6908694039443142</v>
      </c>
      <c r="O2029" s="10">
        <f t="shared" si="267"/>
        <v>3.8630474662684735</v>
      </c>
      <c r="P2029" s="10">
        <f t="shared" si="268"/>
        <v>7.2955693278096432E-3</v>
      </c>
      <c r="Q2029" s="66">
        <f t="shared" si="271"/>
        <v>4</v>
      </c>
      <c r="R2029" s="10">
        <f t="shared" si="269"/>
        <v>8.7850046617556988E-41</v>
      </c>
      <c r="V2029" s="10">
        <f t="shared" si="270"/>
        <v>7.3445692846855269E-25</v>
      </c>
    </row>
    <row r="2030" spans="11:22">
      <c r="K2030" s="66">
        <v>100.9</v>
      </c>
      <c r="L2030" s="10">
        <f t="shared" si="264"/>
        <v>6.16123146798741E-17</v>
      </c>
      <c r="M2030" s="10">
        <f t="shared" si="265"/>
        <v>5.3688374234643784E-24</v>
      </c>
      <c r="N2030" s="10">
        <f t="shared" si="266"/>
        <v>2.7006169281806263</v>
      </c>
      <c r="O2030" s="10">
        <f t="shared" si="267"/>
        <v>3.877041297919694</v>
      </c>
      <c r="P2030" s="10">
        <f t="shared" si="268"/>
        <v>7.2777934176040671E-3</v>
      </c>
      <c r="Q2030" s="66">
        <f t="shared" si="271"/>
        <v>2</v>
      </c>
      <c r="R2030" s="10">
        <f t="shared" si="269"/>
        <v>3.1670053813486213E-41</v>
      </c>
      <c r="V2030" s="10">
        <f t="shared" si="270"/>
        <v>3.0297751532003445E-25</v>
      </c>
    </row>
    <row r="2031" spans="11:22">
      <c r="K2031" s="66">
        <v>100.95</v>
      </c>
      <c r="L2031" s="10">
        <f t="shared" si="264"/>
        <v>5.3816843495568735E-17</v>
      </c>
      <c r="M2031" s="10">
        <f t="shared" si="265"/>
        <v>4.4211879367865303E-24</v>
      </c>
      <c r="N2031" s="10">
        <f t="shared" si="266"/>
        <v>2.7103997635917265</v>
      </c>
      <c r="O2031" s="10">
        <f t="shared" si="267"/>
        <v>3.8910858233289756</v>
      </c>
      <c r="P2031" s="10">
        <f t="shared" si="268"/>
        <v>7.260060819026342E-3</v>
      </c>
      <c r="Q2031" s="66">
        <f t="shared" si="271"/>
        <v>4</v>
      </c>
      <c r="R2031" s="10">
        <f t="shared" si="269"/>
        <v>4.5614101817684409E-41</v>
      </c>
      <c r="V2031" s="10">
        <f t="shared" si="270"/>
        <v>4.9958574339089115E-25</v>
      </c>
    </row>
    <row r="2032" spans="11:22">
      <c r="K2032" s="66">
        <v>101</v>
      </c>
      <c r="L2032" s="10">
        <f t="shared" si="264"/>
        <v>4.6984661490653544E-17</v>
      </c>
      <c r="M2032" s="10">
        <f t="shared" si="265"/>
        <v>3.6382469558136262E-24</v>
      </c>
      <c r="N2032" s="10">
        <f t="shared" si="266"/>
        <v>2.7202180380951297</v>
      </c>
      <c r="O2032" s="10">
        <f t="shared" si="267"/>
        <v>3.9051812261384731</v>
      </c>
      <c r="P2032" s="10">
        <f t="shared" si="268"/>
        <v>7.2423714265461899E-3</v>
      </c>
      <c r="Q2032" s="66">
        <f t="shared" si="271"/>
        <v>2</v>
      </c>
      <c r="R2032" s="10">
        <f t="shared" si="269"/>
        <v>1.6404806859608309E-41</v>
      </c>
      <c r="V2032" s="10">
        <f t="shared" si="270"/>
        <v>2.0579942501212605E-25</v>
      </c>
    </row>
    <row r="2033" spans="11:22">
      <c r="K2033" s="66">
        <v>101.05</v>
      </c>
      <c r="L2033" s="10">
        <f t="shared" si="264"/>
        <v>4.0999673271920343E-17</v>
      </c>
      <c r="M2033" s="10">
        <f t="shared" si="265"/>
        <v>2.9918425956301941E-24</v>
      </c>
      <c r="N2033" s="10">
        <f t="shared" si="266"/>
        <v>2.7300718800717281</v>
      </c>
      <c r="O2033" s="10">
        <f t="shared" si="267"/>
        <v>3.9193276906555488</v>
      </c>
      <c r="P2033" s="10">
        <f t="shared" si="268"/>
        <v>7.2247251348903641E-3</v>
      </c>
      <c r="Q2033" s="66">
        <f t="shared" si="271"/>
        <v>4</v>
      </c>
      <c r="R2033" s="10">
        <f t="shared" si="269"/>
        <v>2.3571264878789303E-41</v>
      </c>
      <c r="V2033" s="10">
        <f t="shared" si="270"/>
        <v>3.3886884096405554E-25</v>
      </c>
    </row>
    <row r="2034" spans="11:22">
      <c r="K2034" s="66">
        <v>101.1</v>
      </c>
      <c r="L2034" s="10">
        <f t="shared" si="264"/>
        <v>3.5759408675112149E-17</v>
      </c>
      <c r="M2034" s="10">
        <f t="shared" si="265"/>
        <v>2.4585416204154448E-24</v>
      </c>
      <c r="N2034" s="10">
        <f t="shared" si="266"/>
        <v>2.7399614183675189</v>
      </c>
      <c r="O2034" s="10">
        <f t="shared" si="267"/>
        <v>3.9335254018552788</v>
      </c>
      <c r="P2034" s="10">
        <f t="shared" si="268"/>
        <v>7.2071218390422683E-3</v>
      </c>
      <c r="Q2034" s="66">
        <f t="shared" si="271"/>
        <v>2</v>
      </c>
      <c r="R2034" s="10">
        <f t="shared" si="269"/>
        <v>8.4569265798005508E-42</v>
      </c>
      <c r="V2034" s="10">
        <f t="shared" si="270"/>
        <v>1.3939634403130514E-25</v>
      </c>
    </row>
    <row r="2035" spans="11:22">
      <c r="K2035" s="66">
        <v>101.15</v>
      </c>
      <c r="L2035" s="10">
        <f t="shared" si="264"/>
        <v>3.1173468322541532E-17</v>
      </c>
      <c r="M2035" s="10">
        <f t="shared" si="265"/>
        <v>2.0188661721830654E-24</v>
      </c>
      <c r="N2035" s="10">
        <f t="shared" si="266"/>
        <v>2.7498867822952207</v>
      </c>
      <c r="O2035" s="10">
        <f t="shared" si="267"/>
        <v>3.9477745453828095</v>
      </c>
      <c r="P2035" s="10">
        <f t="shared" si="268"/>
        <v>7.1895614342410812E-3</v>
      </c>
      <c r="Q2035" s="66">
        <f t="shared" si="271"/>
        <v>4</v>
      </c>
      <c r="R2035" s="10">
        <f t="shared" si="269"/>
        <v>1.2122110231121121E-41</v>
      </c>
      <c r="V2035" s="10">
        <f t="shared" si="270"/>
        <v>2.2920403770449972E-25</v>
      </c>
    </row>
    <row r="2036" spans="11:22">
      <c r="K2036" s="66">
        <v>101.2</v>
      </c>
      <c r="L2036" s="10">
        <f t="shared" si="264"/>
        <v>2.7162141217497199E-17</v>
      </c>
      <c r="M2036" s="10">
        <f t="shared" si="265"/>
        <v>1.6566376265951644E-24</v>
      </c>
      <c r="N2036" s="10">
        <f t="shared" si="266"/>
        <v>2.7598481016360048</v>
      </c>
      <c r="O2036" s="10">
        <f t="shared" si="267"/>
        <v>3.9620753075558022</v>
      </c>
      <c r="P2036" s="10">
        <f t="shared" si="268"/>
        <v>7.1720438159812777E-3</v>
      </c>
      <c r="Q2036" s="66">
        <f t="shared" si="271"/>
        <v>2</v>
      </c>
      <c r="R2036" s="10">
        <f t="shared" si="269"/>
        <v>4.3386839318709781E-42</v>
      </c>
      <c r="V2036" s="10">
        <f t="shared" si="270"/>
        <v>9.415061839020062E-26</v>
      </c>
    </row>
    <row r="2037" spans="11:22">
      <c r="K2037" s="66">
        <v>101.25</v>
      </c>
      <c r="L2037" s="10">
        <f t="shared" si="264"/>
        <v>2.3655175948683704E-17</v>
      </c>
      <c r="M2037" s="10">
        <f t="shared" si="265"/>
        <v>1.3584273342278805E-24</v>
      </c>
      <c r="N2037" s="10">
        <f t="shared" si="266"/>
        <v>2.7698455066411931</v>
      </c>
      <c r="O2037" s="10">
        <f t="shared" si="267"/>
        <v>3.9764278753668747</v>
      </c>
      <c r="P2037" s="10">
        <f t="shared" si="268"/>
        <v>7.1545688800119522E-3</v>
      </c>
      <c r="Q2037" s="66">
        <f t="shared" si="271"/>
        <v>4</v>
      </c>
      <c r="R2037" s="10">
        <f t="shared" si="269"/>
        <v>6.2039743182130832E-42</v>
      </c>
      <c r="V2037" s="10">
        <f t="shared" si="270"/>
        <v>1.5458700457180055E-25</v>
      </c>
    </row>
    <row r="2038" spans="11:22">
      <c r="K2038" s="66">
        <v>101.3</v>
      </c>
      <c r="L2038" s="10">
        <f t="shared" si="264"/>
        <v>2.0590688982608603E-17</v>
      </c>
      <c r="M2038" s="10">
        <f t="shared" si="265"/>
        <v>1.1130971643369723E-24</v>
      </c>
      <c r="N2038" s="10">
        <f t="shared" si="266"/>
        <v>2.7798791280339534</v>
      </c>
      <c r="O2038" s="10">
        <f t="shared" si="267"/>
        <v>3.9908324364860275</v>
      </c>
      <c r="P2038" s="10">
        <f t="shared" si="268"/>
        <v>7.1371365223361965E-3</v>
      </c>
      <c r="Q2038" s="66">
        <f t="shared" si="271"/>
        <v>2</v>
      </c>
      <c r="R2038" s="10">
        <f t="shared" si="269"/>
        <v>2.2150945473012432E-42</v>
      </c>
      <c r="V2038" s="10">
        <f t="shared" si="270"/>
        <v>6.3408951161841456E-26</v>
      </c>
    </row>
    <row r="2039" spans="11:22">
      <c r="K2039" s="66">
        <v>101.35</v>
      </c>
      <c r="L2039" s="10">
        <f t="shared" si="264"/>
        <v>1.7914195237228674E-17</v>
      </c>
      <c r="M2039" s="10">
        <f t="shared" si="265"/>
        <v>9.1141544430754391E-25</v>
      </c>
      <c r="N2039" s="10">
        <f t="shared" si="266"/>
        <v>2.7899490970109952</v>
      </c>
      <c r="O2039" s="10">
        <f t="shared" si="267"/>
        <v>4.0052891792631087</v>
      </c>
      <c r="P2039" s="10">
        <f t="shared" si="268"/>
        <v>7.1197466392105115E-3</v>
      </c>
      <c r="Q2039" s="66">
        <f t="shared" si="271"/>
        <v>4</v>
      </c>
      <c r="R2039" s="10">
        <f t="shared" si="269"/>
        <v>3.1596785885025069E-42</v>
      </c>
      <c r="V2039" s="10">
        <f t="shared" si="270"/>
        <v>1.0396203967683449E-25</v>
      </c>
    </row>
    <row r="2040" spans="11:22">
      <c r="K2040" s="66">
        <v>101.4</v>
      </c>
      <c r="L2040" s="10">
        <f t="shared" si="264"/>
        <v>1.5577747674195625E-17</v>
      </c>
      <c r="M2040" s="10">
        <f t="shared" si="265"/>
        <v>7.4573615363442428E-25</v>
      </c>
      <c r="N2040" s="10">
        <f t="shared" si="266"/>
        <v>2.8000555452443163</v>
      </c>
      <c r="O2040" s="10">
        <f t="shared" si="267"/>
        <v>4.0197982927303029</v>
      </c>
      <c r="P2040" s="10">
        <f t="shared" si="268"/>
        <v>7.1023991271441638E-3</v>
      </c>
      <c r="Q2040" s="66">
        <f t="shared" si="271"/>
        <v>2</v>
      </c>
      <c r="R2040" s="10">
        <f t="shared" si="269"/>
        <v>1.125382092783716E-42</v>
      </c>
      <c r="V2040" s="10">
        <f t="shared" si="270"/>
        <v>4.2581850394005433E-26</v>
      </c>
    </row>
    <row r="2041" spans="11:22">
      <c r="K2041" s="66">
        <v>101.45</v>
      </c>
      <c r="L2041" s="10">
        <f t="shared" si="264"/>
        <v>1.3539174036164475E-17</v>
      </c>
      <c r="M2041" s="10">
        <f t="shared" si="265"/>
        <v>6.0973114804517764E-25</v>
      </c>
      <c r="N2041" s="10">
        <f t="shared" si="266"/>
        <v>2.8101986048828889</v>
      </c>
      <c r="O2041" s="10">
        <f t="shared" si="267"/>
        <v>4.0343599666045398</v>
      </c>
      <c r="P2041" s="10">
        <f t="shared" si="268"/>
        <v>7.0850938828985995E-3</v>
      </c>
      <c r="Q2041" s="66">
        <f t="shared" si="271"/>
        <v>4</v>
      </c>
      <c r="R2041" s="10">
        <f t="shared" si="269"/>
        <v>1.6013327921390787E-42</v>
      </c>
      <c r="V2041" s="10">
        <f t="shared" si="270"/>
        <v>6.9713779392166337E-26</v>
      </c>
    </row>
    <row r="2042" spans="11:22">
      <c r="K2042" s="66">
        <v>101.5</v>
      </c>
      <c r="L2042" s="10">
        <f t="shared" si="264"/>
        <v>1.1761400104679847E-17</v>
      </c>
      <c r="M2042" s="10">
        <f t="shared" si="265"/>
        <v>4.9816680978616647E-25</v>
      </c>
      <c r="N2042" s="10">
        <f t="shared" si="266"/>
        <v>2.8203784085544226</v>
      </c>
      <c r="O2042" s="10">
        <f t="shared" si="267"/>
        <v>4.0489743912900655</v>
      </c>
      <c r="P2042" s="10">
        <f t="shared" si="268"/>
        <v>7.0678308034867786E-3</v>
      </c>
      <c r="Q2042" s="66">
        <f t="shared" si="271"/>
        <v>2</v>
      </c>
      <c r="R2042" s="10">
        <f t="shared" si="269"/>
        <v>5.6893909213266116E-43</v>
      </c>
      <c r="V2042" s="10">
        <f t="shared" si="270"/>
        <v>2.8512543408331144E-26</v>
      </c>
    </row>
    <row r="2043" spans="11:22">
      <c r="K2043" s="66">
        <v>101.55</v>
      </c>
      <c r="L2043" s="10">
        <f t="shared" si="264"/>
        <v>1.0211849976708728E-17</v>
      </c>
      <c r="M2043" s="10">
        <f t="shared" si="265"/>
        <v>4.0671788896933707E-25</v>
      </c>
      <c r="N2043" s="10">
        <f t="shared" si="266"/>
        <v>2.8305950893670624</v>
      </c>
      <c r="O2043" s="10">
        <f t="shared" si="267"/>
        <v>4.0636417578808368</v>
      </c>
      <c r="P2043" s="10">
        <f t="shared" si="268"/>
        <v>7.0506097861726064E-3</v>
      </c>
      <c r="Q2043" s="66">
        <f t="shared" si="271"/>
        <v>4</v>
      </c>
      <c r="R2043" s="10">
        <f t="shared" si="269"/>
        <v>8.0755213685668711E-43</v>
      </c>
      <c r="V2043" s="10">
        <f t="shared" si="270"/>
        <v>4.6611744794188445E-26</v>
      </c>
    </row>
    <row r="2044" spans="11:22">
      <c r="K2044" s="66">
        <v>101.6</v>
      </c>
      <c r="L2044" s="10">
        <f t="shared" si="264"/>
        <v>8.8619148662321347E-18</v>
      </c>
      <c r="M2044" s="10">
        <f t="shared" si="265"/>
        <v>3.3181245641814575E-25</v>
      </c>
      <c r="N2044" s="10">
        <f t="shared" si="266"/>
        <v>2.8408487809111658</v>
      </c>
      <c r="O2044" s="10">
        <f t="shared" si="267"/>
        <v>4.0783622581630716</v>
      </c>
      <c r="P2044" s="10">
        <f t="shared" si="268"/>
        <v>7.0334307284703156E-3</v>
      </c>
      <c r="Q2044" s="66">
        <f t="shared" si="271"/>
        <v>2</v>
      </c>
      <c r="R2044" s="10">
        <f t="shared" si="269"/>
        <v>2.8620291077753228E-43</v>
      </c>
      <c r="V2044" s="10">
        <f t="shared" si="270"/>
        <v>1.9035999946765063E-26</v>
      </c>
    </row>
    <row r="2045" spans="11:22">
      <c r="K2045" s="66">
        <v>101.65</v>
      </c>
      <c r="L2045" s="10">
        <f t="shared" si="264"/>
        <v>7.6864828425781877E-18</v>
      </c>
      <c r="M2045" s="10">
        <f t="shared" si="265"/>
        <v>2.705028631865795E-25</v>
      </c>
      <c r="N2045" s="10">
        <f t="shared" si="266"/>
        <v>2.8511396172610275</v>
      </c>
      <c r="O2045" s="10">
        <f t="shared" si="267"/>
        <v>4.0931360846177682</v>
      </c>
      <c r="P2045" s="10">
        <f t="shared" si="268"/>
        <v>7.0162935281438306E-3</v>
      </c>
      <c r="Q2045" s="66">
        <f t="shared" si="271"/>
        <v>4</v>
      </c>
      <c r="R2045" s="10">
        <f t="shared" si="269"/>
        <v>4.052231275901023E-43</v>
      </c>
      <c r="V2045" s="10">
        <f t="shared" si="270"/>
        <v>3.1073901953728357E-26</v>
      </c>
    </row>
    <row r="2046" spans="11:22">
      <c r="K2046" s="66">
        <v>101.7</v>
      </c>
      <c r="L2046" s="10">
        <f t="shared" si="264"/>
        <v>6.6635227294773214E-18</v>
      </c>
      <c r="M2046" s="10">
        <f t="shared" si="265"/>
        <v>2.2035842353785192E-25</v>
      </c>
      <c r="N2046" s="10">
        <f t="shared" si="266"/>
        <v>2.8614677329766236</v>
      </c>
      <c r="O2046" s="10">
        <f t="shared" si="267"/>
        <v>4.107963430423176</v>
      </c>
      <c r="P2046" s="10">
        <f t="shared" si="268"/>
        <v>6.9991980832062109E-3</v>
      </c>
      <c r="Q2046" s="66">
        <f t="shared" si="271"/>
        <v>2</v>
      </c>
      <c r="R2046" s="10">
        <f t="shared" si="269"/>
        <v>1.4325479034007171E-43</v>
      </c>
      <c r="V2046" s="10">
        <f t="shared" si="270"/>
        <v>1.2671689007499188E-26</v>
      </c>
    </row>
    <row r="2047" spans="11:22">
      <c r="K2047" s="66">
        <v>101.75</v>
      </c>
      <c r="L2047" s="10">
        <f t="shared" si="264"/>
        <v>5.7737161173343786E-18</v>
      </c>
      <c r="M2047" s="10">
        <f t="shared" si="265"/>
        <v>1.7937623020237042E-25</v>
      </c>
      <c r="N2047" s="10">
        <f t="shared" si="266"/>
        <v>2.871833263105406</v>
      </c>
      <c r="O2047" s="10">
        <f t="shared" si="267"/>
        <v>4.1228444894573739</v>
      </c>
      <c r="P2047" s="10">
        <f t="shared" si="268"/>
        <v>6.9821442919189691E-3</v>
      </c>
      <c r="Q2047" s="66">
        <f t="shared" si="271"/>
        <v>4</v>
      </c>
      <c r="R2047" s="10">
        <f t="shared" si="269"/>
        <v>2.0231907993754531E-43</v>
      </c>
      <c r="V2047" s="10">
        <f t="shared" si="270"/>
        <v>2.0654308399422378E-26</v>
      </c>
    </row>
    <row r="2048" spans="11:22">
      <c r="K2048" s="66">
        <v>101.8</v>
      </c>
      <c r="L2048" s="10">
        <f t="shared" si="264"/>
        <v>5.0001320942288426E-18</v>
      </c>
      <c r="M2048" s="10">
        <f t="shared" si="265"/>
        <v>1.4590709319004883E-25</v>
      </c>
      <c r="N2048" s="10">
        <f t="shared" si="266"/>
        <v>2.882236343184025</v>
      </c>
      <c r="O2048" s="10">
        <f t="shared" si="267"/>
        <v>4.1377794563007608</v>
      </c>
      <c r="P2048" s="10">
        <f t="shared" si="268"/>
        <v>6.9651320527915339E-3</v>
      </c>
      <c r="Q2048" s="66">
        <f t="shared" si="271"/>
        <v>2</v>
      </c>
      <c r="R2048" s="10">
        <f t="shared" si="269"/>
        <v>7.1343649771110733E-44</v>
      </c>
      <c r="V2048" s="10">
        <f t="shared" si="270"/>
        <v>8.4101374709599124E-27</v>
      </c>
    </row>
    <row r="2049" spans="11:22">
      <c r="K2049" s="66">
        <v>101.85</v>
      </c>
      <c r="L2049" s="10">
        <f t="shared" si="264"/>
        <v>4.3279398861641555E-18</v>
      </c>
      <c r="M2049" s="10">
        <f t="shared" si="265"/>
        <v>1.1859408329439091E-25</v>
      </c>
      <c r="N2049" s="10">
        <f t="shared" si="266"/>
        <v>2.8926771092401378</v>
      </c>
      <c r="O2049" s="10">
        <f t="shared" si="267"/>
        <v>4.1527685262386083</v>
      </c>
      <c r="P2049" s="10">
        <f t="shared" si="268"/>
        <v>6.9481612645806122E-3</v>
      </c>
      <c r="Q2049" s="66">
        <f t="shared" si="271"/>
        <v>4</v>
      </c>
      <c r="R2049" s="10">
        <f t="shared" si="269"/>
        <v>1.0050382522594093E-43</v>
      </c>
      <c r="V2049" s="10">
        <f t="shared" si="270"/>
        <v>1.3687704723782511E-26</v>
      </c>
    </row>
    <row r="2050" spans="11:22">
      <c r="K2050" s="66">
        <v>101.9</v>
      </c>
      <c r="L2050" s="10">
        <f t="shared" si="264"/>
        <v>3.7441551209404349E-18</v>
      </c>
      <c r="M2050" s="10">
        <f t="shared" si="265"/>
        <v>9.6321573108278474E-26</v>
      </c>
      <c r="N2050" s="10">
        <f t="shared" si="266"/>
        <v>2.903155697794173</v>
      </c>
      <c r="O2050" s="10">
        <f t="shared" si="267"/>
        <v>4.1678118952636707</v>
      </c>
      <c r="P2050" s="10">
        <f t="shared" si="268"/>
        <v>6.9312318262895866E-3</v>
      </c>
      <c r="Q2050" s="66">
        <f t="shared" si="271"/>
        <v>2</v>
      </c>
      <c r="R2050" s="10">
        <f t="shared" si="269"/>
        <v>3.5350590068882475E-44</v>
      </c>
      <c r="V2050" s="10">
        <f t="shared" si="270"/>
        <v>5.5650887804688599E-27</v>
      </c>
    </row>
    <row r="2051" spans="11:22">
      <c r="K2051" s="66">
        <v>101.95</v>
      </c>
      <c r="L2051" s="10">
        <f t="shared" si="264"/>
        <v>3.2374158988256462E-18</v>
      </c>
      <c r="M2051" s="10">
        <f t="shared" si="265"/>
        <v>7.8173014089446892E-26</v>
      </c>
      <c r="N2051" s="10">
        <f t="shared" si="266"/>
        <v>2.9136722458611062</v>
      </c>
      <c r="O2051" s="10">
        <f t="shared" si="267"/>
        <v>4.1829097600786485</v>
      </c>
      <c r="P2051" s="10">
        <f t="shared" si="268"/>
        <v>6.9143436371679502E-3</v>
      </c>
      <c r="Q2051" s="66">
        <f t="shared" si="271"/>
        <v>4</v>
      </c>
      <c r="R2051" s="10">
        <f t="shared" si="269"/>
        <v>4.9672444050732993E-44</v>
      </c>
      <c r="V2051" s="10">
        <f t="shared" si="270"/>
        <v>9.0437032573670502E-27</v>
      </c>
    </row>
    <row r="2052" spans="11:22">
      <c r="K2052" s="66">
        <v>102</v>
      </c>
      <c r="L2052" s="10">
        <f t="shared" si="264"/>
        <v>2.7977852725193871E-18</v>
      </c>
      <c r="M2052" s="10">
        <f t="shared" si="265"/>
        <v>6.3395978318584659E-26</v>
      </c>
      <c r="N2052" s="10">
        <f t="shared" si="266"/>
        <v>2.9242268909522648</v>
      </c>
      <c r="O2052" s="10">
        <f t="shared" si="267"/>
        <v>4.1980623180988585</v>
      </c>
      <c r="P2052" s="10">
        <f t="shared" si="268"/>
        <v>6.8974965967106578E-3</v>
      </c>
      <c r="Q2052" s="66">
        <f t="shared" si="271"/>
        <v>2</v>
      </c>
      <c r="R2052" s="10">
        <f t="shared" si="269"/>
        <v>1.7426781389045793E-44</v>
      </c>
      <c r="V2052" s="10">
        <f t="shared" si="270"/>
        <v>3.671403181392858E-27</v>
      </c>
    </row>
    <row r="2053" spans="11:22">
      <c r="K2053" s="66">
        <v>102.05</v>
      </c>
      <c r="L2053" s="10">
        <f t="shared" si="264"/>
        <v>2.416577113782601E-18</v>
      </c>
      <c r="M2053" s="10">
        <f t="shared" si="265"/>
        <v>5.1373236847596653E-26</v>
      </c>
      <c r="N2053" s="10">
        <f t="shared" si="266"/>
        <v>2.934819771077108</v>
      </c>
      <c r="O2053" s="10">
        <f t="shared" si="267"/>
        <v>4.2132697674547144</v>
      </c>
      <c r="P2053" s="10">
        <f t="shared" si="268"/>
        <v>6.8806906046574891E-3</v>
      </c>
      <c r="Q2053" s="66">
        <f t="shared" si="271"/>
        <v>4</v>
      </c>
      <c r="R2053" s="10">
        <f t="shared" si="269"/>
        <v>2.4424157581623639E-44</v>
      </c>
      <c r="V2053" s="10">
        <f t="shared" si="270"/>
        <v>5.9572828155301511E-27</v>
      </c>
    </row>
    <row r="2054" spans="11:22">
      <c r="K2054" s="66">
        <v>102.1</v>
      </c>
      <c r="L2054" s="10">
        <f t="shared" si="264"/>
        <v>2.0862026790366325E-18</v>
      </c>
      <c r="M2054" s="10">
        <f t="shared" si="265"/>
        <v>4.1598850349487118E-26</v>
      </c>
      <c r="N2054" s="10">
        <f t="shared" si="266"/>
        <v>2.9454510247450827</v>
      </c>
      <c r="O2054" s="10">
        <f t="shared" si="267"/>
        <v>4.2285323069944249</v>
      </c>
      <c r="P2054" s="10">
        <f t="shared" si="268"/>
        <v>6.8639255609926342E-3</v>
      </c>
      <c r="Q2054" s="66">
        <f t="shared" si="271"/>
        <v>2</v>
      </c>
      <c r="R2054" s="10">
        <f t="shared" si="269"/>
        <v>8.5467450881870292E-45</v>
      </c>
      <c r="V2054" s="10">
        <f t="shared" si="270"/>
        <v>2.4147576024828421E-27</v>
      </c>
    </row>
    <row r="2055" spans="11:22">
      <c r="K2055" s="66">
        <v>102.15</v>
      </c>
      <c r="L2055" s="10">
        <f t="shared" si="264"/>
        <v>1.8000354853585182E-18</v>
      </c>
      <c r="M2055" s="10">
        <f t="shared" si="265"/>
        <v>3.3658418421133004E-26</v>
      </c>
      <c r="N2055" s="10">
        <f t="shared" si="266"/>
        <v>2.9561207909673626</v>
      </c>
      <c r="O2055" s="10">
        <f t="shared" si="267"/>
        <v>4.24385013628652</v>
      </c>
      <c r="P2055" s="10">
        <f t="shared" si="268"/>
        <v>6.8472013659438852E-3</v>
      </c>
      <c r="Q2055" s="66">
        <f t="shared" si="271"/>
        <v>4</v>
      </c>
      <c r="R2055" s="10">
        <f t="shared" si="269"/>
        <v>1.1947543099905536E-44</v>
      </c>
      <c r="V2055" s="10">
        <f t="shared" si="270"/>
        <v>3.9122521288181138E-27</v>
      </c>
    </row>
    <row r="2056" spans="11:22">
      <c r="K2056" s="66">
        <v>102.2</v>
      </c>
      <c r="L2056" s="10">
        <f t="shared" si="264"/>
        <v>1.5522923752477839E-18</v>
      </c>
      <c r="M2056" s="10">
        <f t="shared" si="265"/>
        <v>2.7212776644571182E-26</v>
      </c>
      <c r="N2056" s="10">
        <f t="shared" si="266"/>
        <v>2.9668292092587052</v>
      </c>
      <c r="O2056" s="10">
        <f t="shared" si="267"/>
        <v>4.2592234556224868</v>
      </c>
      <c r="P2056" s="10">
        <f t="shared" si="268"/>
        <v>6.8305179199821741E-3</v>
      </c>
      <c r="Q2056" s="66">
        <f t="shared" si="271"/>
        <v>2</v>
      </c>
      <c r="R2056" s="10">
        <f t="shared" si="269"/>
        <v>4.1699527554417903E-45</v>
      </c>
      <c r="V2056" s="10">
        <f t="shared" si="270"/>
        <v>1.5833864105824627E-27</v>
      </c>
    </row>
    <row r="2057" spans="11:22">
      <c r="K2057" s="66">
        <v>102.25</v>
      </c>
      <c r="L2057" s="10">
        <f t="shared" si="264"/>
        <v>1.3379288866940658E-18</v>
      </c>
      <c r="M2057" s="10">
        <f t="shared" si="265"/>
        <v>2.1984549848221082E-26</v>
      </c>
      <c r="N2057" s="10">
        <f t="shared" si="266"/>
        <v>2.9775764196392829</v>
      </c>
      <c r="O2057" s="10">
        <f t="shared" si="267"/>
        <v>4.2746524660193899</v>
      </c>
      <c r="P2057" s="10">
        <f t="shared" si="268"/>
        <v>6.8138751238209071E-3</v>
      </c>
      <c r="Q2057" s="66">
        <f t="shared" si="271"/>
        <v>4</v>
      </c>
      <c r="R2057" s="10">
        <f t="shared" si="269"/>
        <v>5.8140166579242866E-45</v>
      </c>
      <c r="V2057" s="10">
        <f t="shared" si="270"/>
        <v>2.5613713698285711E-27</v>
      </c>
    </row>
    <row r="2058" spans="11:22">
      <c r="K2058" s="66">
        <v>102.3</v>
      </c>
      <c r="L2058" s="10">
        <f t="shared" si="264"/>
        <v>1.1525472573903389E-18</v>
      </c>
      <c r="M2058" s="10">
        <f t="shared" si="265"/>
        <v>1.7747069690700246E-26</v>
      </c>
      <c r="N2058" s="10">
        <f t="shared" si="266"/>
        <v>2.9883625626365005</v>
      </c>
      <c r="O2058" s="10">
        <f t="shared" si="267"/>
        <v>4.2901373692224789</v>
      </c>
      <c r="P2058" s="10">
        <f t="shared" si="268"/>
        <v>6.7972728784154246E-3</v>
      </c>
      <c r="Q2058" s="66">
        <f t="shared" si="271"/>
        <v>2</v>
      </c>
      <c r="R2058" s="10">
        <f t="shared" si="269"/>
        <v>2.0239136499035224E-45</v>
      </c>
      <c r="V2058" s="10">
        <f t="shared" si="270"/>
        <v>1.0350529177768638E-27</v>
      </c>
    </row>
    <row r="2059" spans="11:22">
      <c r="K2059" s="66">
        <v>102.35</v>
      </c>
      <c r="L2059" s="10">
        <f t="shared" si="264"/>
        <v>9.9231558112417948E-19</v>
      </c>
      <c r="M2059" s="10">
        <f t="shared" si="265"/>
        <v>1.431524788963161E-26</v>
      </c>
      <c r="N2059" s="10">
        <f t="shared" si="266"/>
        <v>2.99918777928682</v>
      </c>
      <c r="O2059" s="10">
        <f t="shared" si="267"/>
        <v>4.3056783677078423</v>
      </c>
      <c r="P2059" s="10">
        <f t="shared" si="268"/>
        <v>6.7807110849623913E-3</v>
      </c>
      <c r="Q2059" s="66">
        <f t="shared" si="271"/>
        <v>4</v>
      </c>
      <c r="R2059" s="10">
        <f t="shared" si="269"/>
        <v>2.8144671072239313E-45</v>
      </c>
      <c r="V2059" s="10">
        <f t="shared" si="270"/>
        <v>1.671766774040254E-27</v>
      </c>
    </row>
    <row r="2060" spans="11:22">
      <c r="K2060" s="66">
        <v>102.4</v>
      </c>
      <c r="L2060" s="10">
        <f t="shared" ref="L2060:L2123" si="272">(B$7^K2060)*B$8^((B$5^25)*((B$5^K2060)-1))</f>
        <v>8.5389680287181413E-19</v>
      </c>
      <c r="M2060" s="10">
        <f t="shared" ref="M2060:M2123" si="273">(B$7^K2060)*B$8^((B$5^30)*((B$5^K2060)-1))</f>
        <v>1.1538065807537118E-26</v>
      </c>
      <c r="N2060" s="10">
        <f t="shared" si="266"/>
        <v>3.0100522111376402</v>
      </c>
      <c r="O2060" s="10">
        <f t="shared" si="267"/>
        <v>4.3212756646850758</v>
      </c>
      <c r="P2060" s="10">
        <f t="shared" si="268"/>
        <v>6.7641896448992021E-3</v>
      </c>
      <c r="Q2060" s="66">
        <f t="shared" si="271"/>
        <v>2</v>
      </c>
      <c r="R2060" s="10">
        <f t="shared" si="269"/>
        <v>9.7716254675507182E-46</v>
      </c>
      <c r="V2060" s="10">
        <f t="shared" si="270"/>
        <v>6.7451366802285471E-28</v>
      </c>
    </row>
    <row r="2061" spans="11:22">
      <c r="K2061" s="66">
        <v>102.45</v>
      </c>
      <c r="L2061" s="10">
        <f t="shared" si="272"/>
        <v>7.3438638908890374E-19</v>
      </c>
      <c r="M2061" s="10">
        <f t="shared" si="273"/>
        <v>9.2923989335562209E-27</v>
      </c>
      <c r="N2061" s="10">
        <f t="shared" ref="N2061:N2124" si="274">B$3+B$4*(B$5^(25+K2061))</f>
        <v>3.0209560002491052</v>
      </c>
      <c r="O2061" s="10">
        <f t="shared" ref="O2061:O2124" si="275">$B$3+$B$4*($B$5^(30+K2061))</f>
        <v>4.3369294640998799</v>
      </c>
      <c r="P2061" s="10">
        <f t="shared" ref="P2061:P2124" si="276">(1+B$6)^-K2061</f>
        <v>6.7477084599034277E-3</v>
      </c>
      <c r="Q2061" s="66">
        <f t="shared" si="271"/>
        <v>4</v>
      </c>
      <c r="R2061" s="10">
        <f t="shared" ref="R2061:R2124" si="277">L2061*M2061*(N2061+O2061)*P2061*Q2061</f>
        <v>1.3552574091745638E-45</v>
      </c>
      <c r="V2061" s="10">
        <f t="shared" si="270"/>
        <v>1.0877435249803204E-27</v>
      </c>
    </row>
    <row r="2062" spans="11:22">
      <c r="K2062" s="66">
        <v>102.5</v>
      </c>
      <c r="L2062" s="10">
        <f t="shared" si="272"/>
        <v>6.3125764310355047E-19</v>
      </c>
      <c r="M2062" s="10">
        <f t="shared" si="273"/>
        <v>7.4779429526737693E-27</v>
      </c>
      <c r="N2062" s="10">
        <f t="shared" si="274"/>
        <v>3.0318992891960037</v>
      </c>
      <c r="O2062" s="10">
        <f t="shared" si="275"/>
        <v>4.3526399706368206</v>
      </c>
      <c r="P2062" s="10">
        <f t="shared" si="276"/>
        <v>6.7312674318921687E-3</v>
      </c>
      <c r="Q2062" s="66">
        <f t="shared" si="271"/>
        <v>2</v>
      </c>
      <c r="R2062" s="10">
        <f t="shared" si="277"/>
        <v>4.6928755997123104E-46</v>
      </c>
      <c r="V2062" s="10">
        <f t="shared" ref="V2062:V2125" si="278">(1-L2062)*M2062*O2062*P2062*Q2062</f>
        <v>4.381892658401622E-28</v>
      </c>
    </row>
    <row r="2063" spans="11:22">
      <c r="K2063" s="66">
        <v>102.55</v>
      </c>
      <c r="L2063" s="10">
        <f t="shared" si="272"/>
        <v>5.42313754137294E-19</v>
      </c>
      <c r="M2063" s="10">
        <f t="shared" si="273"/>
        <v>6.0130481603325296E-27</v>
      </c>
      <c r="N2063" s="10">
        <f t="shared" si="274"/>
        <v>3.0428822210695925</v>
      </c>
      <c r="O2063" s="10">
        <f t="shared" si="275"/>
        <v>4.3684073897219005</v>
      </c>
      <c r="P2063" s="10">
        <f t="shared" si="276"/>
        <v>6.714866463021529E-3</v>
      </c>
      <c r="Q2063" s="66">
        <f t="shared" ref="Q2063:Q2126" si="279">IF(Q2062=4,2,4)</f>
        <v>4</v>
      </c>
      <c r="R2063" s="10">
        <f t="shared" si="277"/>
        <v>6.4913713979451301E-46</v>
      </c>
      <c r="V2063" s="10">
        <f t="shared" si="278"/>
        <v>7.0552951563246365E-28</v>
      </c>
    </row>
    <row r="2064" spans="11:22">
      <c r="K2064" s="66">
        <v>102.6</v>
      </c>
      <c r="L2064" s="10">
        <f t="shared" si="272"/>
        <v>4.6564577388214372E-19</v>
      </c>
      <c r="M2064" s="10">
        <f t="shared" si="273"/>
        <v>4.8313022914825722E-27</v>
      </c>
      <c r="N2064" s="10">
        <f t="shared" si="274"/>
        <v>3.0539049394795028</v>
      </c>
      <c r="O2064" s="10">
        <f t="shared" si="275"/>
        <v>4.3842319275253017</v>
      </c>
      <c r="P2064" s="10">
        <f t="shared" si="276"/>
        <v>6.6985054556860137E-3</v>
      </c>
      <c r="Q2064" s="66">
        <f t="shared" si="279"/>
        <v>2</v>
      </c>
      <c r="R2064" s="10">
        <f t="shared" si="277"/>
        <v>2.2417746513069305E-46</v>
      </c>
      <c r="V2064" s="10">
        <f t="shared" si="278"/>
        <v>2.8376945322560621E-28</v>
      </c>
    </row>
    <row r="2065" spans="11:22">
      <c r="K2065" s="66">
        <v>102.65</v>
      </c>
      <c r="L2065" s="10">
        <f t="shared" si="272"/>
        <v>3.995958081743989E-19</v>
      </c>
      <c r="M2065" s="10">
        <f t="shared" si="273"/>
        <v>3.8787295064222354E-27</v>
      </c>
      <c r="N2065" s="10">
        <f t="shared" si="274"/>
        <v>3.0649675885556045</v>
      </c>
      <c r="O2065" s="10">
        <f t="shared" si="275"/>
        <v>4.4001137909641015</v>
      </c>
      <c r="P2065" s="10">
        <f t="shared" si="276"/>
        <v>6.6821843125179393E-3</v>
      </c>
      <c r="Q2065" s="66">
        <f t="shared" si="279"/>
        <v>4</v>
      </c>
      <c r="R2065" s="10">
        <f t="shared" si="277"/>
        <v>3.0925975394295284E-46</v>
      </c>
      <c r="V2065" s="10">
        <f t="shared" si="278"/>
        <v>4.561753812138239E-28</v>
      </c>
    </row>
    <row r="2066" spans="11:22">
      <c r="K2066" s="66">
        <v>102.7</v>
      </c>
      <c r="L2066" s="10">
        <f t="shared" si="272"/>
        <v>3.4272479439531918E-19</v>
      </c>
      <c r="M2066" s="10">
        <f t="shared" si="273"/>
        <v>3.1114962471483107E-27</v>
      </c>
      <c r="N2066" s="10">
        <f t="shared" si="274"/>
        <v>3.0760703129498705</v>
      </c>
      <c r="O2066" s="10">
        <f t="shared" si="275"/>
        <v>4.4160531877049136</v>
      </c>
      <c r="P2066" s="10">
        <f t="shared" si="276"/>
        <v>6.6659029363868661E-3</v>
      </c>
      <c r="Q2066" s="66">
        <f t="shared" si="279"/>
        <v>2</v>
      </c>
      <c r="R2066" s="10">
        <f t="shared" si="277"/>
        <v>1.0651449556255928E-46</v>
      </c>
      <c r="V2066" s="10">
        <f t="shared" si="278"/>
        <v>1.831861174879113E-28</v>
      </c>
    </row>
    <row r="2067" spans="11:22">
      <c r="K2067" s="66">
        <v>102.75</v>
      </c>
      <c r="L2067" s="10">
        <f t="shared" si="272"/>
        <v>2.9378430893982079E-19</v>
      </c>
      <c r="M2067" s="10">
        <f t="shared" si="273"/>
        <v>2.4940337311403533E-27</v>
      </c>
      <c r="N2067" s="10">
        <f t="shared" si="274"/>
        <v>3.0872132578383118</v>
      </c>
      <c r="O2067" s="10">
        <f t="shared" si="275"/>
        <v>4.432050326166677</v>
      </c>
      <c r="P2067" s="10">
        <f t="shared" si="276"/>
        <v>6.649661230399017E-3</v>
      </c>
      <c r="Q2067" s="66">
        <f t="shared" si="279"/>
        <v>4</v>
      </c>
      <c r="R2067" s="10">
        <f t="shared" si="277"/>
        <v>1.4654322341691482E-46</v>
      </c>
      <c r="V2067" s="10">
        <f t="shared" si="278"/>
        <v>2.9401298950066359E-28</v>
      </c>
    </row>
    <row r="2068" spans="11:22">
      <c r="K2068" s="66">
        <v>102.8</v>
      </c>
      <c r="L2068" s="10">
        <f t="shared" si="272"/>
        <v>2.5169191444746382E-19</v>
      </c>
      <c r="M2068" s="10">
        <f t="shared" si="273"/>
        <v>1.9975026402585343E-27</v>
      </c>
      <c r="N2068" s="10">
        <f t="shared" si="274"/>
        <v>3.0983965689228272</v>
      </c>
      <c r="O2068" s="10">
        <f t="shared" si="275"/>
        <v>4.448105415523318</v>
      </c>
      <c r="P2068" s="10">
        <f t="shared" si="276"/>
        <v>6.6334590978966972E-3</v>
      </c>
      <c r="Q2068" s="66">
        <f t="shared" si="279"/>
        <v>2</v>
      </c>
      <c r="R2068" s="10">
        <f t="shared" si="277"/>
        <v>5.0335266002875703E-47</v>
      </c>
      <c r="V2068" s="10">
        <f t="shared" si="278"/>
        <v>1.1787792552999644E-28</v>
      </c>
    </row>
    <row r="2069" spans="11:22">
      <c r="K2069" s="66">
        <v>102.85</v>
      </c>
      <c r="L2069" s="10">
        <f t="shared" si="272"/>
        <v>2.1550961439919365E-19</v>
      </c>
      <c r="M2069" s="10">
        <f t="shared" si="273"/>
        <v>1.5985386388744234E-27</v>
      </c>
      <c r="N2069" s="10">
        <f t="shared" si="274"/>
        <v>3.1096203924331483</v>
      </c>
      <c r="O2069" s="10">
        <f t="shared" si="275"/>
        <v>4.4642186657065039</v>
      </c>
      <c r="P2069" s="10">
        <f t="shared" si="276"/>
        <v>6.6172964424577249E-3</v>
      </c>
      <c r="Q2069" s="66">
        <f t="shared" si="279"/>
        <v>4</v>
      </c>
      <c r="R2069" s="10">
        <f t="shared" si="277"/>
        <v>6.9063159459796141E-47</v>
      </c>
      <c r="V2069" s="10">
        <f t="shared" si="278"/>
        <v>1.888900924707689E-28</v>
      </c>
    </row>
    <row r="2070" spans="11:22">
      <c r="K2070" s="66">
        <v>102.9</v>
      </c>
      <c r="L2070" s="10">
        <f t="shared" si="272"/>
        <v>1.8442503396929574E-19</v>
      </c>
      <c r="M2070" s="10">
        <f t="shared" si="273"/>
        <v>1.2782281753867805E-27</v>
      </c>
      <c r="N2070" s="10">
        <f t="shared" si="274"/>
        <v>3.1208848751287359</v>
      </c>
      <c r="O2070" s="10">
        <f t="shared" si="275"/>
        <v>4.4803902874084462</v>
      </c>
      <c r="P2070" s="10">
        <f t="shared" si="276"/>
        <v>6.6011731678948492E-3</v>
      </c>
      <c r="Q2070" s="66">
        <f t="shared" si="279"/>
        <v>2</v>
      </c>
      <c r="R2070" s="10">
        <f t="shared" si="277"/>
        <v>2.3657335766850464E-47</v>
      </c>
      <c r="V2070" s="10">
        <f t="shared" si="278"/>
        <v>7.5609323921450766E-29</v>
      </c>
    </row>
    <row r="2071" spans="11:22">
      <c r="K2071" s="66">
        <v>102.95</v>
      </c>
      <c r="L2071" s="10">
        <f t="shared" si="272"/>
        <v>1.577349914148681E-19</v>
      </c>
      <c r="M2071" s="10">
        <f t="shared" si="273"/>
        <v>1.0212729670145715E-27</v>
      </c>
      <c r="N2071" s="10">
        <f t="shared" si="274"/>
        <v>3.1321901643006891</v>
      </c>
      <c r="O2071" s="10">
        <f t="shared" si="275"/>
        <v>4.4966204920845465</v>
      </c>
      <c r="P2071" s="10">
        <f t="shared" si="276"/>
        <v>6.585089178255189E-3</v>
      </c>
      <c r="Q2071" s="66">
        <f t="shared" si="279"/>
        <v>4</v>
      </c>
      <c r="R2071" s="10">
        <f t="shared" si="277"/>
        <v>3.2370422728368347E-47</v>
      </c>
      <c r="V2071" s="10">
        <f t="shared" si="278"/>
        <v>1.2096221302722239E-28</v>
      </c>
    </row>
    <row r="2072" spans="11:22">
      <c r="K2072" s="66">
        <v>103</v>
      </c>
      <c r="L2072" s="10">
        <f t="shared" si="272"/>
        <v>1.3483116443912861E-19</v>
      </c>
      <c r="M2072" s="10">
        <f t="shared" si="273"/>
        <v>8.1530895790948942E-28</v>
      </c>
      <c r="N2072" s="10">
        <f t="shared" si="274"/>
        <v>3.1435364077736847</v>
      </c>
      <c r="O2072" s="10">
        <f t="shared" si="275"/>
        <v>4.5129094919562727</v>
      </c>
      <c r="P2072" s="10">
        <f t="shared" si="276"/>
        <v>6.5690443778196727E-3</v>
      </c>
      <c r="Q2072" s="66">
        <f t="shared" si="279"/>
        <v>2</v>
      </c>
      <c r="R2072" s="10">
        <f t="shared" si="277"/>
        <v>1.1057880920964313E-47</v>
      </c>
      <c r="V2072" s="10">
        <f t="shared" si="278"/>
        <v>4.8340487868059176E-29</v>
      </c>
    </row>
    <row r="2073" spans="11:22">
      <c r="K2073" s="66">
        <v>103.05</v>
      </c>
      <c r="L2073" s="10">
        <f t="shared" si="272"/>
        <v>1.1518759146559401E-19</v>
      </c>
      <c r="M2073" s="10">
        <f t="shared" si="273"/>
        <v>6.5035164074889334E-28</v>
      </c>
      <c r="N2073" s="10">
        <f t="shared" si="274"/>
        <v>3.1549237539078963</v>
      </c>
      <c r="O2073" s="10">
        <f t="shared" si="275"/>
        <v>4.5292575000138182</v>
      </c>
      <c r="P2073" s="10">
        <f t="shared" si="276"/>
        <v>6.5530386711023696E-3</v>
      </c>
      <c r="Q2073" s="66">
        <f t="shared" si="279"/>
        <v>4</v>
      </c>
      <c r="R2073" s="10">
        <f t="shared" si="277"/>
        <v>1.5088784650196818E-47</v>
      </c>
      <c r="V2073" s="10">
        <f t="shared" si="278"/>
        <v>7.7210786179023997E-29</v>
      </c>
    </row>
    <row r="2074" spans="11:22">
      <c r="K2074" s="66">
        <v>103.1</v>
      </c>
      <c r="L2074" s="10">
        <f t="shared" si="272"/>
        <v>9.8349779126572875E-20</v>
      </c>
      <c r="M2074" s="10">
        <f t="shared" si="273"/>
        <v>5.1834466312785223E-28</v>
      </c>
      <c r="N2074" s="10">
        <f t="shared" si="274"/>
        <v>3.1663523516009637</v>
      </c>
      <c r="O2074" s="10">
        <f t="shared" si="275"/>
        <v>4.5456647300190065</v>
      </c>
      <c r="P2074" s="10">
        <f t="shared" si="276"/>
        <v>6.537071962850128E-3</v>
      </c>
      <c r="Q2074" s="66">
        <f t="shared" si="279"/>
        <v>2</v>
      </c>
      <c r="R2074" s="10">
        <f t="shared" si="277"/>
        <v>5.1401200788032113E-48</v>
      </c>
      <c r="V2074" s="10">
        <f t="shared" si="278"/>
        <v>3.0805573169960095E-29</v>
      </c>
    </row>
    <row r="2075" spans="11:22">
      <c r="K2075" s="66">
        <v>103.15</v>
      </c>
      <c r="L2075" s="10">
        <f t="shared" si="272"/>
        <v>8.3925214969590013E-20</v>
      </c>
      <c r="M2075" s="10">
        <f t="shared" si="273"/>
        <v>4.1279278621799823E-28</v>
      </c>
      <c r="N2075" s="10">
        <f t="shared" si="274"/>
        <v>3.1778223502899148</v>
      </c>
      <c r="O2075" s="10">
        <f t="shared" si="275"/>
        <v>4.5621313965080095</v>
      </c>
      <c r="P2075" s="10">
        <f t="shared" si="276"/>
        <v>6.5211441580418006E-3</v>
      </c>
      <c r="Q2075" s="66">
        <f t="shared" si="279"/>
        <v>4</v>
      </c>
      <c r="R2075" s="10">
        <f t="shared" si="277"/>
        <v>6.9943396663793936E-48</v>
      </c>
      <c r="V2075" s="10">
        <f t="shared" si="278"/>
        <v>4.9122864163134003E-29</v>
      </c>
    </row>
    <row r="2076" spans="11:22">
      <c r="K2076" s="66">
        <v>103.2</v>
      </c>
      <c r="L2076" s="10">
        <f t="shared" si="272"/>
        <v>7.1575108830845659E-20</v>
      </c>
      <c r="M2076" s="10">
        <f t="shared" si="273"/>
        <v>3.2846367715471902E-28</v>
      </c>
      <c r="N2076" s="10">
        <f t="shared" si="274"/>
        <v>3.1893338999531022</v>
      </c>
      <c r="O2076" s="10">
        <f t="shared" si="275"/>
        <v>4.5786577147941738</v>
      </c>
      <c r="P2076" s="10">
        <f t="shared" si="276"/>
        <v>6.5052551618877841E-3</v>
      </c>
      <c r="Q2076" s="66">
        <f t="shared" si="279"/>
        <v>2</v>
      </c>
      <c r="R2076" s="10">
        <f t="shared" si="277"/>
        <v>2.3760328859710511E-48</v>
      </c>
      <c r="V2076" s="10">
        <f t="shared" si="278"/>
        <v>1.9566802457673517E-29</v>
      </c>
    </row>
    <row r="2077" spans="11:22">
      <c r="K2077" s="66">
        <v>103.25</v>
      </c>
      <c r="L2077" s="10">
        <f t="shared" si="272"/>
        <v>6.1007207888037966E-20</v>
      </c>
      <c r="M2077" s="10">
        <f t="shared" si="273"/>
        <v>2.6114582544828164E-28</v>
      </c>
      <c r="N2077" s="10">
        <f t="shared" si="274"/>
        <v>3.2008871511122288</v>
      </c>
      <c r="O2077" s="10">
        <f t="shared" si="275"/>
        <v>4.5952439009708446</v>
      </c>
      <c r="P2077" s="10">
        <f t="shared" si="276"/>
        <v>6.489404879829434E-3</v>
      </c>
      <c r="Q2077" s="66">
        <f t="shared" si="279"/>
        <v>4</v>
      </c>
      <c r="R2077" s="10">
        <f t="shared" si="277"/>
        <v>3.2240979706447426E-48</v>
      </c>
      <c r="V2077" s="10">
        <f t="shared" si="278"/>
        <v>3.1149890007284047E-29</v>
      </c>
    </row>
    <row r="2078" spans="11:22">
      <c r="K2078" s="66">
        <v>103.3</v>
      </c>
      <c r="L2078" s="10">
        <f t="shared" si="272"/>
        <v>5.1969549412896652E-20</v>
      </c>
      <c r="M2078" s="10">
        <f t="shared" si="273"/>
        <v>2.0745218273721146E-28</v>
      </c>
      <c r="N2078" s="10">
        <f t="shared" si="274"/>
        <v>3.2124822548342378</v>
      </c>
      <c r="O2078" s="10">
        <f t="shared" si="275"/>
        <v>4.6118901719141645</v>
      </c>
      <c r="P2078" s="10">
        <f t="shared" si="276"/>
        <v>6.4735932175384982E-3</v>
      </c>
      <c r="Q2078" s="66">
        <f t="shared" si="279"/>
        <v>2</v>
      </c>
      <c r="R2078" s="10">
        <f t="shared" si="277"/>
        <v>1.0921741060072242E-48</v>
      </c>
      <c r="V2078" s="10">
        <f t="shared" si="278"/>
        <v>1.2387177672160467E-29</v>
      </c>
    </row>
    <row r="2079" spans="11:22">
      <c r="K2079" s="66">
        <v>103.35</v>
      </c>
      <c r="L2079" s="10">
        <f t="shared" si="272"/>
        <v>4.424503199001718E-20</v>
      </c>
      <c r="M2079" s="10">
        <f t="shared" si="273"/>
        <v>1.6466102178248185E-28</v>
      </c>
      <c r="N2079" s="10">
        <f t="shared" si="274"/>
        <v>3.2241193627333313</v>
      </c>
      <c r="O2079" s="10">
        <f t="shared" si="275"/>
        <v>4.6285967452859307</v>
      </c>
      <c r="P2079" s="10">
        <f t="shared" si="276"/>
        <v>6.4578200809165612E-3</v>
      </c>
      <c r="Q2079" s="66">
        <f t="shared" si="279"/>
        <v>4</v>
      </c>
      <c r="R2079" s="10">
        <f t="shared" si="277"/>
        <v>1.4778186703828853E-48</v>
      </c>
      <c r="V2079" s="10">
        <f t="shared" si="278"/>
        <v>1.9687296595132511E-29</v>
      </c>
    </row>
    <row r="2080" spans="11:22">
      <c r="K2080" s="66">
        <v>103.4</v>
      </c>
      <c r="L2080" s="10">
        <f t="shared" si="272"/>
        <v>3.7646700713908165E-20</v>
      </c>
      <c r="M2080" s="10">
        <f t="shared" si="273"/>
        <v>1.3058706711637753E-28</v>
      </c>
      <c r="N2080" s="10">
        <f t="shared" si="274"/>
        <v>3.2357986269729633</v>
      </c>
      <c r="O2080" s="10">
        <f t="shared" si="275"/>
        <v>4.645363839536456</v>
      </c>
      <c r="P2080" s="10">
        <f t="shared" si="276"/>
        <v>6.442085376094483E-3</v>
      </c>
      <c r="Q2080" s="66">
        <f t="shared" si="279"/>
        <v>2</v>
      </c>
      <c r="R2080" s="10">
        <f t="shared" si="277"/>
        <v>4.99199155222542E-49</v>
      </c>
      <c r="V2080" s="10">
        <f t="shared" si="278"/>
        <v>7.8158528608856979E-30</v>
      </c>
    </row>
    <row r="2081" spans="11:22">
      <c r="K2081" s="66">
        <v>103.45</v>
      </c>
      <c r="L2081" s="10">
        <f t="shared" si="272"/>
        <v>3.2013654851452121E-20</v>
      </c>
      <c r="M2081" s="10">
        <f t="shared" si="273"/>
        <v>1.0347722611634922E-28</v>
      </c>
      <c r="N2081" s="10">
        <f t="shared" si="274"/>
        <v>3.2475202002677883</v>
      </c>
      <c r="O2081" s="10">
        <f t="shared" si="275"/>
        <v>4.6621916739073717</v>
      </c>
      <c r="P2081" s="10">
        <f t="shared" si="276"/>
        <v>6.4263890094318349E-3</v>
      </c>
      <c r="Q2081" s="66">
        <f t="shared" si="279"/>
        <v>4</v>
      </c>
      <c r="R2081" s="10">
        <f t="shared" si="277"/>
        <v>6.7354668486915355E-49</v>
      </c>
      <c r="V2081" s="10">
        <f t="shared" si="278"/>
        <v>1.2401148417353029E-29</v>
      </c>
    </row>
    <row r="2082" spans="11:22">
      <c r="K2082" s="66">
        <v>103.5</v>
      </c>
      <c r="L2082" s="10">
        <f t="shared" si="272"/>
        <v>2.7207497868169997E-20</v>
      </c>
      <c r="M2082" s="10">
        <f t="shared" si="273"/>
        <v>8.1926295022229833E-29</v>
      </c>
      <c r="N2082" s="10">
        <f t="shared" si="274"/>
        <v>3.2592842358856986</v>
      </c>
      <c r="O2082" s="10">
        <f t="shared" si="275"/>
        <v>4.6790804684345826</v>
      </c>
      <c r="P2082" s="10">
        <f t="shared" si="276"/>
        <v>6.4107308875163502E-3</v>
      </c>
      <c r="Q2082" s="66">
        <f t="shared" si="279"/>
        <v>2</v>
      </c>
      <c r="R2082" s="10">
        <f t="shared" si="277"/>
        <v>2.2687179553179667E-49</v>
      </c>
      <c r="V2082" s="10">
        <f t="shared" si="278"/>
        <v>4.9149756551680837E-30</v>
      </c>
    </row>
    <row r="2083" spans="11:22">
      <c r="K2083" s="66">
        <v>103.55</v>
      </c>
      <c r="L2083" s="10">
        <f t="shared" si="272"/>
        <v>2.3109259746498685E-20</v>
      </c>
      <c r="M2083" s="10">
        <f t="shared" si="273"/>
        <v>6.4808870501464897E-29</v>
      </c>
      <c r="N2083" s="10">
        <f t="shared" si="274"/>
        <v>3.2710908876498119</v>
      </c>
      <c r="O2083" s="10">
        <f t="shared" si="275"/>
        <v>4.6960304439510425</v>
      </c>
      <c r="P2083" s="10">
        <f t="shared" si="276"/>
        <v>6.3951109171633607E-3</v>
      </c>
      <c r="Q2083" s="66">
        <f t="shared" si="279"/>
        <v>4</v>
      </c>
      <c r="R2083" s="10">
        <f t="shared" si="277"/>
        <v>3.0523194939655044E-49</v>
      </c>
      <c r="V2083" s="10">
        <f t="shared" si="278"/>
        <v>7.7852655196764703E-30</v>
      </c>
    </row>
    <row r="2084" spans="11:22">
      <c r="K2084" s="66">
        <v>103.6</v>
      </c>
      <c r="L2084" s="10">
        <f t="shared" si="272"/>
        <v>1.9616730334400729E-20</v>
      </c>
      <c r="M2084" s="10">
        <f t="shared" si="273"/>
        <v>5.1224397596279359E-29</v>
      </c>
      <c r="N2084" s="10">
        <f t="shared" si="274"/>
        <v>3.2829403099404662</v>
      </c>
      <c r="O2084" s="10">
        <f t="shared" si="275"/>
        <v>4.7130418220896999</v>
      </c>
      <c r="P2084" s="10">
        <f t="shared" si="276"/>
        <v>6.3795290054152499E-3</v>
      </c>
      <c r="Q2084" s="66">
        <f t="shared" si="279"/>
        <v>2</v>
      </c>
      <c r="R2084" s="10">
        <f t="shared" si="277"/>
        <v>1.0251653261286284E-49</v>
      </c>
      <c r="V2084" s="10">
        <f t="shared" si="278"/>
        <v>3.0803265940149571E-30</v>
      </c>
    </row>
    <row r="2085" spans="11:22">
      <c r="K2085" s="66">
        <v>103.65</v>
      </c>
      <c r="L2085" s="10">
        <f t="shared" si="272"/>
        <v>1.6642150197011735E-20</v>
      </c>
      <c r="M2085" s="10">
        <f t="shared" si="273"/>
        <v>4.0452857151017984E-29</v>
      </c>
      <c r="N2085" s="10">
        <f t="shared" si="274"/>
        <v>3.2948326576972744</v>
      </c>
      <c r="O2085" s="10">
        <f t="shared" si="275"/>
        <v>4.7301148252864085</v>
      </c>
      <c r="P2085" s="10">
        <f t="shared" si="276"/>
        <v>6.3639850595408939E-3</v>
      </c>
      <c r="Q2085" s="66">
        <f t="shared" si="279"/>
        <v>4</v>
      </c>
      <c r="R2085" s="10">
        <f t="shared" si="277"/>
        <v>1.3752763662456372E-49</v>
      </c>
      <c r="V2085" s="10">
        <f t="shared" si="278"/>
        <v>4.8709091248096932E-30</v>
      </c>
    </row>
    <row r="2086" spans="11:22">
      <c r="K2086" s="66">
        <v>103.7</v>
      </c>
      <c r="L2086" s="10">
        <f t="shared" si="272"/>
        <v>1.4110212229775418E-20</v>
      </c>
      <c r="M2086" s="10">
        <f t="shared" si="273"/>
        <v>3.1919063103831167E-29</v>
      </c>
      <c r="N2086" s="10">
        <f t="shared" si="274"/>
        <v>3.3067680864211106</v>
      </c>
      <c r="O2086" s="10">
        <f t="shared" si="275"/>
        <v>4.7472496767827828</v>
      </c>
      <c r="P2086" s="10">
        <f t="shared" si="276"/>
        <v>6.3484789870351102E-3</v>
      </c>
      <c r="Q2086" s="66">
        <f t="shared" si="279"/>
        <v>2</v>
      </c>
      <c r="R2086" s="10">
        <f t="shared" si="277"/>
        <v>4.6057031866986051E-50</v>
      </c>
      <c r="V2086" s="10">
        <f t="shared" si="278"/>
        <v>1.9239416260553774E-30</v>
      </c>
    </row>
    <row r="2087" spans="11:22">
      <c r="K2087" s="66">
        <v>103.75</v>
      </c>
      <c r="L2087" s="10">
        <f t="shared" si="272"/>
        <v>1.1956333241496815E-20</v>
      </c>
      <c r="M2087" s="10">
        <f t="shared" si="273"/>
        <v>2.516392126767065E-29</v>
      </c>
      <c r="N2087" s="10">
        <f t="shared" si="274"/>
        <v>3.3187467521761849</v>
      </c>
      <c r="O2087" s="10">
        <f t="shared" si="275"/>
        <v>4.7644466006291779</v>
      </c>
      <c r="P2087" s="10">
        <f t="shared" si="276"/>
        <v>6.3330106956181109E-3</v>
      </c>
      <c r="Q2087" s="66">
        <f t="shared" si="279"/>
        <v>4</v>
      </c>
      <c r="R2087" s="10">
        <f t="shared" si="277"/>
        <v>6.1606921683506532E-50</v>
      </c>
      <c r="V2087" s="10">
        <f t="shared" si="278"/>
        <v>3.0371133046745655E-30</v>
      </c>
    </row>
    <row r="2088" spans="11:22">
      <c r="K2088" s="66">
        <v>103.8</v>
      </c>
      <c r="L2088" s="10">
        <f t="shared" si="272"/>
        <v>1.0125159929725357E-20</v>
      </c>
      <c r="M2088" s="10">
        <f t="shared" si="273"/>
        <v>1.9821311998908E-29</v>
      </c>
      <c r="N2088" s="10">
        <f t="shared" si="274"/>
        <v>3.3307688115920446</v>
      </c>
      <c r="O2088" s="10">
        <f t="shared" si="275"/>
        <v>4.7817058216875585</v>
      </c>
      <c r="P2088" s="10">
        <f t="shared" si="276"/>
        <v>6.317580093234949E-3</v>
      </c>
      <c r="Q2088" s="66">
        <f t="shared" si="279"/>
        <v>2</v>
      </c>
      <c r="R2088" s="10">
        <f t="shared" si="277"/>
        <v>2.0571615262579847E-50</v>
      </c>
      <c r="V2088" s="10">
        <f t="shared" si="278"/>
        <v>1.1975564768582521E-30</v>
      </c>
    </row>
    <row r="2089" spans="11:22">
      <c r="K2089" s="66">
        <v>103.85</v>
      </c>
      <c r="L2089" s="10">
        <f t="shared" si="272"/>
        <v>8.5692782370597465E-21</v>
      </c>
      <c r="M2089" s="10">
        <f t="shared" si="273"/>
        <v>1.5599512265240409E-29</v>
      </c>
      <c r="N2089" s="10">
        <f t="shared" si="274"/>
        <v>3.3428344218656338</v>
      </c>
      <c r="O2089" s="10">
        <f t="shared" si="275"/>
        <v>4.7990275656344927</v>
      </c>
      <c r="P2089" s="10">
        <f t="shared" si="276"/>
        <v>6.3021870880549747E-3</v>
      </c>
      <c r="Q2089" s="66">
        <f t="shared" si="279"/>
        <v>4</v>
      </c>
      <c r="R2089" s="10">
        <f t="shared" si="277"/>
        <v>2.7436599477791213E-50</v>
      </c>
      <c r="V2089" s="10">
        <f t="shared" si="278"/>
        <v>1.8871896555828996E-30</v>
      </c>
    </row>
    <row r="2090" spans="11:22">
      <c r="K2090" s="66">
        <v>103.9</v>
      </c>
      <c r="L2090" s="10">
        <f t="shared" si="272"/>
        <v>7.2480990735331571E-21</v>
      </c>
      <c r="M2090" s="10">
        <f t="shared" si="273"/>
        <v>1.2266278598711054E-29</v>
      </c>
      <c r="N2090" s="10">
        <f t="shared" si="274"/>
        <v>3.3549437407633915</v>
      </c>
      <c r="O2090" s="10">
        <f t="shared" si="275"/>
        <v>4.8164120589640795</v>
      </c>
      <c r="P2090" s="10">
        <f t="shared" si="276"/>
        <v>6.2868315884712835E-3</v>
      </c>
      <c r="Q2090" s="66">
        <f t="shared" si="279"/>
        <v>2</v>
      </c>
      <c r="R2090" s="10">
        <f t="shared" si="277"/>
        <v>9.1346705517426378E-51</v>
      </c>
      <c r="V2090" s="10">
        <f t="shared" si="278"/>
        <v>7.4284513215630007E-31</v>
      </c>
    </row>
    <row r="2091" spans="11:22">
      <c r="K2091" s="66">
        <v>103.95</v>
      </c>
      <c r="L2091" s="10">
        <f t="shared" si="272"/>
        <v>6.1268968859967386E-21</v>
      </c>
      <c r="M2091" s="10">
        <f t="shared" si="273"/>
        <v>9.6368798884690377E-30</v>
      </c>
      <c r="N2091" s="10">
        <f t="shared" si="274"/>
        <v>3.3670969266232342</v>
      </c>
      <c r="O2091" s="10">
        <f t="shared" si="275"/>
        <v>4.8338595289908879</v>
      </c>
      <c r="P2091" s="10">
        <f t="shared" si="276"/>
        <v>6.271513503100179E-3</v>
      </c>
      <c r="Q2091" s="66">
        <f t="shared" si="279"/>
        <v>4</v>
      </c>
      <c r="R2091" s="10">
        <f t="shared" si="277"/>
        <v>1.2147135509703837E-50</v>
      </c>
      <c r="V2091" s="10">
        <f t="shared" si="278"/>
        <v>1.1685917738789239E-30</v>
      </c>
    </row>
    <row r="2092" spans="11:22">
      <c r="K2092" s="66">
        <v>104</v>
      </c>
      <c r="L2092" s="10">
        <f t="shared" si="272"/>
        <v>5.1759806112978682E-21</v>
      </c>
      <c r="M2092" s="10">
        <f t="shared" si="273"/>
        <v>7.5645050116061137E-30</v>
      </c>
      <c r="N2092" s="10">
        <f t="shared" si="274"/>
        <v>3.3792941383567108</v>
      </c>
      <c r="O2092" s="10">
        <f t="shared" si="275"/>
        <v>4.8513702038529933</v>
      </c>
      <c r="P2092" s="10">
        <f t="shared" si="276"/>
        <v>6.2562327407806413E-3</v>
      </c>
      <c r="Q2092" s="66">
        <f t="shared" si="279"/>
        <v>2</v>
      </c>
      <c r="R2092" s="10">
        <f t="shared" si="277"/>
        <v>4.0322823895755512E-51</v>
      </c>
      <c r="V2092" s="10">
        <f t="shared" si="278"/>
        <v>4.591851386652257E-31</v>
      </c>
    </row>
    <row r="2093" spans="11:22">
      <c r="K2093" s="66">
        <v>104.05</v>
      </c>
      <c r="L2093" s="10">
        <f t="shared" si="272"/>
        <v>4.369979219792293E-21</v>
      </c>
      <c r="M2093" s="10">
        <f t="shared" si="273"/>
        <v>5.9325807197329831E-30</v>
      </c>
      <c r="N2093" s="10">
        <f t="shared" si="274"/>
        <v>3.3915355354509886</v>
      </c>
      <c r="O2093" s="10">
        <f t="shared" si="275"/>
        <v>4.8689443125148548</v>
      </c>
      <c r="P2093" s="10">
        <f t="shared" si="276"/>
        <v>6.2409892105736841E-3</v>
      </c>
      <c r="Q2093" s="66">
        <f t="shared" si="279"/>
        <v>4</v>
      </c>
      <c r="R2093" s="10">
        <f t="shared" si="277"/>
        <v>5.3461572275781185E-51</v>
      </c>
      <c r="V2093" s="10">
        <f t="shared" si="278"/>
        <v>7.2109400763363815E-31</v>
      </c>
    </row>
    <row r="2094" spans="11:22">
      <c r="K2094" s="66">
        <v>104.1</v>
      </c>
      <c r="L2094" s="10">
        <f t="shared" si="272"/>
        <v>3.6872263866085212E-21</v>
      </c>
      <c r="M2094" s="10">
        <f t="shared" si="273"/>
        <v>4.6486247418213141E-30</v>
      </c>
      <c r="N2094" s="10">
        <f t="shared" si="274"/>
        <v>3.4038212779710366</v>
      </c>
      <c r="O2094" s="10">
        <f t="shared" si="275"/>
        <v>4.8865820847704233</v>
      </c>
      <c r="P2094" s="10">
        <f t="shared" si="276"/>
        <v>6.2257828217620256E-3</v>
      </c>
      <c r="Q2094" s="66">
        <f t="shared" si="279"/>
        <v>2</v>
      </c>
      <c r="R2094" s="10">
        <f t="shared" si="277"/>
        <v>1.7693914167337923E-51</v>
      </c>
      <c r="V2094" s="10">
        <f t="shared" si="278"/>
        <v>2.8284835043885425E-31</v>
      </c>
    </row>
    <row r="2095" spans="11:22">
      <c r="K2095" s="66">
        <v>104.15</v>
      </c>
      <c r="L2095" s="10">
        <f t="shared" si="272"/>
        <v>3.1092308619520998E-21</v>
      </c>
      <c r="M2095" s="10">
        <f t="shared" si="273"/>
        <v>3.6393316138354007E-30</v>
      </c>
      <c r="N2095" s="10">
        <f t="shared" si="274"/>
        <v>3.4161515265616584</v>
      </c>
      <c r="O2095" s="10">
        <f t="shared" si="275"/>
        <v>4.9042837512461093</v>
      </c>
      <c r="P2095" s="10">
        <f t="shared" si="276"/>
        <v>6.2106134838493324E-3</v>
      </c>
      <c r="Q2095" s="66">
        <f t="shared" si="279"/>
        <v>4</v>
      </c>
      <c r="R2095" s="10">
        <f t="shared" si="277"/>
        <v>2.3389187733922647E-51</v>
      </c>
      <c r="V2095" s="10">
        <f t="shared" si="278"/>
        <v>4.4339594070608384E-31</v>
      </c>
    </row>
    <row r="2096" spans="11:22">
      <c r="K2096" s="66">
        <v>104.2</v>
      </c>
      <c r="L2096" s="10">
        <f t="shared" si="272"/>
        <v>2.6202208852335664E-21</v>
      </c>
      <c r="M2096" s="10">
        <f t="shared" si="273"/>
        <v>2.8466474756158927E-30</v>
      </c>
      <c r="N2096" s="10">
        <f t="shared" si="274"/>
        <v>3.4285264424495852</v>
      </c>
      <c r="O2096" s="10">
        <f t="shared" si="275"/>
        <v>4.9220495434037366</v>
      </c>
      <c r="P2096" s="10">
        <f t="shared" si="276"/>
        <v>6.1954811065597932E-3</v>
      </c>
      <c r="Q2096" s="66">
        <f t="shared" si="279"/>
        <v>2</v>
      </c>
      <c r="R2096" s="10">
        <f t="shared" si="277"/>
        <v>7.7177917703378739E-52</v>
      </c>
      <c r="V2096" s="10">
        <f t="shared" si="278"/>
        <v>1.7361398335008007E-31</v>
      </c>
    </row>
    <row r="2097" spans="11:22">
      <c r="K2097" s="66">
        <v>104.25</v>
      </c>
      <c r="L2097" s="10">
        <f t="shared" si="272"/>
        <v>2.2067525333959889E-21</v>
      </c>
      <c r="M2097" s="10">
        <f t="shared" si="273"/>
        <v>2.2246375761840441E-30</v>
      </c>
      <c r="N2097" s="10">
        <f t="shared" si="274"/>
        <v>3.4409461874456464</v>
      </c>
      <c r="O2097" s="10">
        <f t="shared" si="275"/>
        <v>4.9398796935436575</v>
      </c>
      <c r="P2097" s="10">
        <f t="shared" si="276"/>
        <v>6.1803855998375547E-3</v>
      </c>
      <c r="Q2097" s="66">
        <f t="shared" si="279"/>
        <v>4</v>
      </c>
      <c r="R2097" s="10">
        <f t="shared" si="277"/>
        <v>1.0171272357025465E-51</v>
      </c>
      <c r="V2097" s="10">
        <f t="shared" si="278"/>
        <v>2.7167595605366119E-31</v>
      </c>
    </row>
    <row r="2098" spans="11:22">
      <c r="K2098" s="66">
        <v>104.3</v>
      </c>
      <c r="L2098" s="10">
        <f t="shared" si="272"/>
        <v>1.8573732398842298E-21</v>
      </c>
      <c r="M2098" s="10">
        <f t="shared" si="273"/>
        <v>1.7369886129446974E-30</v>
      </c>
      <c r="N2098" s="10">
        <f t="shared" si="274"/>
        <v>3.453410923946806</v>
      </c>
      <c r="O2098" s="10">
        <f t="shared" si="275"/>
        <v>4.9577744348077282</v>
      </c>
      <c r="P2098" s="10">
        <f t="shared" si="276"/>
        <v>6.1653268738461877E-3</v>
      </c>
      <c r="Q2098" s="66">
        <f t="shared" si="279"/>
        <v>2</v>
      </c>
      <c r="R2098" s="10">
        <f t="shared" si="277"/>
        <v>3.3461042065103624E-52</v>
      </c>
      <c r="V2098" s="10">
        <f t="shared" si="278"/>
        <v>1.0618662993166877E-31</v>
      </c>
    </row>
    <row r="2099" spans="11:22">
      <c r="K2099" s="66">
        <v>104.35</v>
      </c>
      <c r="L2099" s="10">
        <f t="shared" si="272"/>
        <v>1.5623328922823534E-21</v>
      </c>
      <c r="M2099" s="10">
        <f t="shared" si="273"/>
        <v>1.3550190202846696E-30</v>
      </c>
      <c r="N2099" s="10">
        <f t="shared" si="274"/>
        <v>3.4659208149383316</v>
      </c>
      <c r="O2099" s="10">
        <f t="shared" si="275"/>
        <v>4.9757340011823752</v>
      </c>
      <c r="P2099" s="10">
        <f t="shared" si="276"/>
        <v>6.1503048389681533E-3</v>
      </c>
      <c r="Q2099" s="66">
        <f t="shared" si="279"/>
        <v>4</v>
      </c>
      <c r="R2099" s="10">
        <f t="shared" si="277"/>
        <v>4.3964606522036752E-52</v>
      </c>
      <c r="V2099" s="10">
        <f t="shared" si="278"/>
        <v>1.65866690760883E-31</v>
      </c>
    </row>
    <row r="2100" spans="11:22">
      <c r="K2100" s="66">
        <v>104.4</v>
      </c>
      <c r="L2100" s="10">
        <f t="shared" si="272"/>
        <v>1.3133359357339963E-21</v>
      </c>
      <c r="M2100" s="10">
        <f t="shared" si="273"/>
        <v>1.0560953208849665E-30</v>
      </c>
      <c r="N2100" s="10">
        <f t="shared" si="274"/>
        <v>3.478476023995936</v>
      </c>
      <c r="O2100" s="10">
        <f t="shared" si="275"/>
        <v>4.9937586275016912</v>
      </c>
      <c r="P2100" s="10">
        <f t="shared" si="276"/>
        <v>6.135319405804268E-3</v>
      </c>
      <c r="Q2100" s="66">
        <f t="shared" si="279"/>
        <v>2</v>
      </c>
      <c r="R2100" s="10">
        <f t="shared" si="277"/>
        <v>1.4419297243684461E-52</v>
      </c>
      <c r="V2100" s="10">
        <f t="shared" si="278"/>
        <v>6.4713939443074483E-32</v>
      </c>
    </row>
    <row r="2101" spans="11:22">
      <c r="K2101" s="66">
        <v>104.45</v>
      </c>
      <c r="L2101" s="10">
        <f t="shared" si="272"/>
        <v>1.1033287951255228E-21</v>
      </c>
      <c r="M2101" s="10">
        <f t="shared" si="273"/>
        <v>8.2237279925285845E-31</v>
      </c>
      <c r="N2101" s="10">
        <f t="shared" si="274"/>
        <v>3.4910767152878721</v>
      </c>
      <c r="O2101" s="10">
        <f t="shared" si="275"/>
        <v>5.0118485494504244</v>
      </c>
      <c r="P2101" s="10">
        <f t="shared" si="276"/>
        <v>6.120370485173175E-3</v>
      </c>
      <c r="Q2101" s="66">
        <f t="shared" si="279"/>
        <v>4</v>
      </c>
      <c r="R2101" s="10">
        <f t="shared" si="277"/>
        <v>1.8887729540460654E-52</v>
      </c>
      <c r="V2101" s="10">
        <f t="shared" si="278"/>
        <v>1.0090306988562832E-31</v>
      </c>
    </row>
    <row r="2102" spans="11:22">
      <c r="K2102" s="66">
        <v>104.5</v>
      </c>
      <c r="L2102" s="10">
        <f t="shared" si="272"/>
        <v>9.2631769858816022E-22</v>
      </c>
      <c r="M2102" s="10">
        <f t="shared" si="273"/>
        <v>6.3979497856174089E-31</v>
      </c>
      <c r="N2102" s="10">
        <f t="shared" si="274"/>
        <v>3.5037230535771258</v>
      </c>
      <c r="O2102" s="10">
        <f t="shared" si="275"/>
        <v>5.0300040035671758</v>
      </c>
      <c r="P2102" s="10">
        <f t="shared" si="276"/>
        <v>6.1054579881108084E-3</v>
      </c>
      <c r="Q2102" s="66">
        <f t="shared" si="279"/>
        <v>2</v>
      </c>
      <c r="R2102" s="10">
        <f t="shared" si="277"/>
        <v>6.175722600604196E-53</v>
      </c>
      <c r="V2102" s="10">
        <f t="shared" si="278"/>
        <v>3.9296819385685825E-32</v>
      </c>
    </row>
    <row r="2103" spans="11:22">
      <c r="K2103" s="66">
        <v>104.55</v>
      </c>
      <c r="L2103" s="10">
        <f t="shared" si="272"/>
        <v>7.7721265300864089E-22</v>
      </c>
      <c r="M2103" s="10">
        <f t="shared" si="273"/>
        <v>4.9729943162580907E-31</v>
      </c>
      <c r="N2103" s="10">
        <f t="shared" si="274"/>
        <v>3.5164152042235481</v>
      </c>
      <c r="O2103" s="10">
        <f t="shared" si="275"/>
        <v>5.0482252272473715</v>
      </c>
      <c r="P2103" s="10">
        <f t="shared" si="276"/>
        <v>6.0905818258698658E-3</v>
      </c>
      <c r="Q2103" s="66">
        <f t="shared" si="279"/>
        <v>4</v>
      </c>
      <c r="R2103" s="10">
        <f t="shared" si="277"/>
        <v>8.0646538884206963E-53</v>
      </c>
      <c r="V2103" s="10">
        <f t="shared" si="278"/>
        <v>6.1161124150302826E-32</v>
      </c>
    </row>
    <row r="2104" spans="11:22">
      <c r="K2104" s="66">
        <v>104.6</v>
      </c>
      <c r="L2104" s="10">
        <f t="shared" si="272"/>
        <v>6.5169390192036919E-22</v>
      </c>
      <c r="M2104" s="10">
        <f t="shared" si="273"/>
        <v>3.8618794541305299E-31</v>
      </c>
      <c r="N2104" s="10">
        <f t="shared" si="274"/>
        <v>3.5291533331860006</v>
      </c>
      <c r="O2104" s="10">
        <f t="shared" si="275"/>
        <v>5.0665124587464279</v>
      </c>
      <c r="P2104" s="10">
        <f t="shared" si="276"/>
        <v>6.0757419099192848E-3</v>
      </c>
      <c r="Q2104" s="66">
        <f t="shared" si="279"/>
        <v>2</v>
      </c>
      <c r="R2104" s="10">
        <f t="shared" si="277"/>
        <v>2.6287616171304013E-53</v>
      </c>
      <c r="V2104" s="10">
        <f t="shared" si="278"/>
        <v>2.3775909628293102E-32</v>
      </c>
    </row>
    <row r="2105" spans="11:22">
      <c r="K2105" s="66">
        <v>104.65</v>
      </c>
      <c r="L2105" s="10">
        <f t="shared" si="272"/>
        <v>5.4609769877271685E-22</v>
      </c>
      <c r="M2105" s="10">
        <f t="shared" si="273"/>
        <v>2.9962748092188999E-31</v>
      </c>
      <c r="N2105" s="10">
        <f t="shared" si="274"/>
        <v>3.5419376070245701</v>
      </c>
      <c r="O2105" s="10">
        <f t="shared" si="275"/>
        <v>5.0848659371828893</v>
      </c>
      <c r="P2105" s="10">
        <f t="shared" si="276"/>
        <v>6.0609381519437068E-3</v>
      </c>
      <c r="Q2105" s="66">
        <f t="shared" si="279"/>
        <v>4</v>
      </c>
      <c r="R2105" s="10">
        <f t="shared" si="277"/>
        <v>3.4221712719781712E-53</v>
      </c>
      <c r="V2105" s="10">
        <f t="shared" si="278"/>
        <v>3.6936946799196684E-32</v>
      </c>
    </row>
    <row r="2106" spans="11:22">
      <c r="K2106" s="66">
        <v>104.7</v>
      </c>
      <c r="L2106" s="10">
        <f t="shared" si="272"/>
        <v>4.5731866410757843E-22</v>
      </c>
      <c r="M2106" s="10">
        <f t="shared" si="273"/>
        <v>2.3225512735924844E-31</v>
      </c>
      <c r="N2106" s="10">
        <f t="shared" si="274"/>
        <v>3.5547681929026944</v>
      </c>
      <c r="O2106" s="10">
        <f t="shared" si="275"/>
        <v>5.1032859025414909</v>
      </c>
      <c r="P2106" s="10">
        <f t="shared" si="276"/>
        <v>6.0461704638429606E-3</v>
      </c>
      <c r="Q2106" s="66">
        <f t="shared" si="279"/>
        <v>2</v>
      </c>
      <c r="R2106" s="10">
        <f t="shared" si="277"/>
        <v>1.1120259311747275E-53</v>
      </c>
      <c r="V2106" s="10">
        <f t="shared" si="278"/>
        <v>1.4332620213552635E-32</v>
      </c>
    </row>
    <row r="2107" spans="11:22">
      <c r="K2107" s="66">
        <v>104.75</v>
      </c>
      <c r="L2107" s="10">
        <f t="shared" si="272"/>
        <v>3.8272637231940432E-22</v>
      </c>
      <c r="M2107" s="10">
        <f t="shared" si="273"/>
        <v>1.7986566566851702E-31</v>
      </c>
      <c r="N2107" s="10">
        <f t="shared" si="274"/>
        <v>3.567645258589399</v>
      </c>
      <c r="O2107" s="10">
        <f t="shared" si="275"/>
        <v>5.1217725956763669</v>
      </c>
      <c r="P2107" s="10">
        <f t="shared" si="276"/>
        <v>6.031438757731533E-3</v>
      </c>
      <c r="Q2107" s="66">
        <f t="shared" si="279"/>
        <v>4</v>
      </c>
      <c r="R2107" s="10">
        <f t="shared" si="277"/>
        <v>1.4431393009947472E-53</v>
      </c>
      <c r="V2107" s="10">
        <f t="shared" si="278"/>
        <v>2.2225394333367157E-32</v>
      </c>
    </row>
    <row r="2108" spans="11:22">
      <c r="K2108" s="66">
        <v>104.8</v>
      </c>
      <c r="L2108" s="10">
        <f t="shared" si="272"/>
        <v>3.2009414005739025E-22</v>
      </c>
      <c r="M2108" s="10">
        <f t="shared" si="273"/>
        <v>1.3916469371461845E-31</v>
      </c>
      <c r="N2108" s="10">
        <f t="shared" si="274"/>
        <v>3.5805689724614482</v>
      </c>
      <c r="O2108" s="10">
        <f t="shared" si="275"/>
        <v>5.1403262583141256</v>
      </c>
      <c r="P2108" s="10">
        <f t="shared" si="276"/>
        <v>6.016742945938046E-3</v>
      </c>
      <c r="Q2108" s="66">
        <f t="shared" si="279"/>
        <v>2</v>
      </c>
      <c r="R2108" s="10">
        <f t="shared" si="277"/>
        <v>4.6747599423026486E-54</v>
      </c>
      <c r="V2108" s="10">
        <f t="shared" si="278"/>
        <v>8.6081773493369005E-33</v>
      </c>
    </row>
    <row r="2109" spans="11:22">
      <c r="K2109" s="66">
        <v>104.85</v>
      </c>
      <c r="L2109" s="10">
        <f t="shared" si="272"/>
        <v>2.6753827059124296E-22</v>
      </c>
      <c r="M2109" s="10">
        <f t="shared" si="273"/>
        <v>1.0757373553532668E-31</v>
      </c>
      <c r="N2109" s="10">
        <f t="shared" si="274"/>
        <v>3.5935395035055566</v>
      </c>
      <c r="O2109" s="10">
        <f t="shared" si="275"/>
        <v>5.1589471330570795</v>
      </c>
      <c r="P2109" s="10">
        <f t="shared" si="276"/>
        <v>6.0020829410047374E-3</v>
      </c>
      <c r="Q2109" s="66">
        <f t="shared" si="279"/>
        <v>4</v>
      </c>
      <c r="R2109" s="10">
        <f t="shared" si="277"/>
        <v>6.0476354693293607E-54</v>
      </c>
      <c r="V2109" s="10">
        <f t="shared" si="278"/>
        <v>1.3323837004642873E-32</v>
      </c>
    </row>
    <row r="2110" spans="11:22">
      <c r="K2110" s="66">
        <v>104.9</v>
      </c>
      <c r="L2110" s="10">
        <f t="shared" si="272"/>
        <v>2.2346625241472521E-22</v>
      </c>
      <c r="M2110" s="10">
        <f t="shared" si="273"/>
        <v>8.3076530821819146E-32</v>
      </c>
      <c r="N2110" s="10">
        <f t="shared" si="274"/>
        <v>3.6065570213206457</v>
      </c>
      <c r="O2110" s="10">
        <f t="shared" si="275"/>
        <v>5.1776354633863866</v>
      </c>
      <c r="P2110" s="10">
        <f t="shared" si="276"/>
        <v>5.9874586556869364E-3</v>
      </c>
      <c r="Q2110" s="66">
        <f t="shared" si="279"/>
        <v>2</v>
      </c>
      <c r="R2110" s="10">
        <f t="shared" si="277"/>
        <v>1.9528310215303173E-54</v>
      </c>
      <c r="V2110" s="10">
        <f t="shared" si="278"/>
        <v>5.1508908384090084E-33</v>
      </c>
    </row>
    <row r="2111" spans="11:22">
      <c r="K2111" s="66">
        <v>104.95</v>
      </c>
      <c r="L2111" s="10">
        <f t="shared" si="272"/>
        <v>1.8653262106256106E-22</v>
      </c>
      <c r="M2111" s="10">
        <f t="shared" si="273"/>
        <v>6.4097915873457883E-32</v>
      </c>
      <c r="N2111" s="10">
        <f t="shared" si="274"/>
        <v>3.6196216961199772</v>
      </c>
      <c r="O2111" s="10">
        <f t="shared" si="275"/>
        <v>5.1963914936652049</v>
      </c>
      <c r="P2111" s="10">
        <f t="shared" si="276"/>
        <v>5.9728700029525504E-3</v>
      </c>
      <c r="Q2111" s="66">
        <f t="shared" si="279"/>
        <v>4</v>
      </c>
      <c r="R2111" s="10">
        <f t="shared" si="277"/>
        <v>2.5183378144680305E-54</v>
      </c>
      <c r="V2111" s="10">
        <f t="shared" si="278"/>
        <v>7.9577231494010213E-33</v>
      </c>
    </row>
    <row r="2112" spans="11:22">
      <c r="K2112" s="66">
        <v>105</v>
      </c>
      <c r="L2112" s="10">
        <f t="shared" si="272"/>
        <v>1.5560137497985189E-22</v>
      </c>
      <c r="M2112" s="10">
        <f t="shared" si="273"/>
        <v>4.9408474559593301E-32</v>
      </c>
      <c r="N2112" s="10">
        <f t="shared" si="274"/>
        <v>3.632733698733464</v>
      </c>
      <c r="O2112" s="10">
        <f t="shared" si="275"/>
        <v>5.2152154691419677</v>
      </c>
      <c r="P2112" s="10">
        <f t="shared" si="276"/>
        <v>5.9583168959815632E-3</v>
      </c>
      <c r="Q2112" s="66">
        <f t="shared" si="279"/>
        <v>2</v>
      </c>
      <c r="R2112" s="10">
        <f t="shared" si="277"/>
        <v>8.1060837832754139E-55</v>
      </c>
      <c r="V2112" s="10">
        <f t="shared" si="278"/>
        <v>3.0706286322060784E-33</v>
      </c>
    </row>
    <row r="2113" spans="11:22">
      <c r="K2113" s="66">
        <v>105.05</v>
      </c>
      <c r="L2113" s="10">
        <f t="shared" si="272"/>
        <v>1.2971399315427058E-22</v>
      </c>
      <c r="M2113" s="10">
        <f t="shared" si="273"/>
        <v>3.8049546522035326E-32</v>
      </c>
      <c r="N2113" s="10">
        <f t="shared" si="274"/>
        <v>3.6458932006098128</v>
      </c>
      <c r="O2113" s="10">
        <f t="shared" si="275"/>
        <v>5.2341076359534684</v>
      </c>
      <c r="P2113" s="10">
        <f t="shared" si="276"/>
        <v>5.9437992481654132E-3</v>
      </c>
      <c r="Q2113" s="66">
        <f t="shared" si="279"/>
        <v>4</v>
      </c>
      <c r="R2113" s="10">
        <f t="shared" si="277"/>
        <v>1.0420137382684475E-54</v>
      </c>
      <c r="V2113" s="10">
        <f t="shared" si="278"/>
        <v>4.7349593901009063E-33</v>
      </c>
    </row>
    <row r="2114" spans="11:22">
      <c r="K2114" s="66">
        <v>105.1</v>
      </c>
      <c r="L2114" s="10">
        <f t="shared" si="272"/>
        <v>1.0806223744199033E-22</v>
      </c>
      <c r="M2114" s="10">
        <f t="shared" si="273"/>
        <v>2.9274301669374927E-32</v>
      </c>
      <c r="N2114" s="10">
        <f t="shared" si="274"/>
        <v>3.6591003738188639</v>
      </c>
      <c r="O2114" s="10">
        <f t="shared" si="275"/>
        <v>5.2530682411282053</v>
      </c>
      <c r="P2114" s="10">
        <f t="shared" si="276"/>
        <v>5.9293169731066894E-3</v>
      </c>
      <c r="Q2114" s="66">
        <f t="shared" si="279"/>
        <v>2</v>
      </c>
      <c r="R2114" s="10">
        <f t="shared" si="277"/>
        <v>3.3433247036810144E-55</v>
      </c>
      <c r="V2114" s="10">
        <f t="shared" si="278"/>
        <v>1.8236195943332286E-33</v>
      </c>
    </row>
    <row r="2115" spans="11:22">
      <c r="K2115" s="66">
        <v>105.15</v>
      </c>
      <c r="L2115" s="10">
        <f t="shared" si="272"/>
        <v>8.9965039003281326E-23</v>
      </c>
      <c r="M2115" s="10">
        <f t="shared" si="273"/>
        <v>2.2501482533189788E-32</v>
      </c>
      <c r="N2115" s="10">
        <f t="shared" si="274"/>
        <v>3.6723553910537832</v>
      </c>
      <c r="O2115" s="10">
        <f t="shared" si="275"/>
        <v>5.2720975325895685</v>
      </c>
      <c r="P2115" s="10">
        <f t="shared" si="276"/>
        <v>5.9148699846184117E-3</v>
      </c>
      <c r="Q2115" s="66">
        <f t="shared" si="279"/>
        <v>4</v>
      </c>
      <c r="R2115" s="10">
        <f t="shared" si="277"/>
        <v>4.2839449593065526E-55</v>
      </c>
      <c r="V2115" s="10">
        <f t="shared" si="278"/>
        <v>2.806724354539173E-33</v>
      </c>
    </row>
    <row r="2116" spans="11:22">
      <c r="K2116" s="66">
        <v>105.2</v>
      </c>
      <c r="L2116" s="10">
        <f t="shared" si="272"/>
        <v>7.484886853809161E-23</v>
      </c>
      <c r="M2116" s="10">
        <f t="shared" si="273"/>
        <v>1.7279125472401793E-32</v>
      </c>
      <c r="N2116" s="10">
        <f t="shared" si="274"/>
        <v>3.6856584256333043</v>
      </c>
      <c r="O2116" s="10">
        <f t="shared" si="275"/>
        <v>5.2911957591590166</v>
      </c>
      <c r="P2116" s="10">
        <f t="shared" si="276"/>
        <v>5.9004581967236121E-3</v>
      </c>
      <c r="Q2116" s="66">
        <f t="shared" si="279"/>
        <v>2</v>
      </c>
      <c r="R2116" s="10">
        <f t="shared" si="277"/>
        <v>1.3700830776324892E-55</v>
      </c>
      <c r="V2116" s="10">
        <f t="shared" si="278"/>
        <v>1.0789251612937152E-33</v>
      </c>
    </row>
    <row r="2117" spans="11:22">
      <c r="K2117" s="66">
        <v>105.25</v>
      </c>
      <c r="L2117" s="10">
        <f t="shared" si="272"/>
        <v>6.2231076277812069E-23</v>
      </c>
      <c r="M2117" s="10">
        <f t="shared" si="273"/>
        <v>1.3256135056574787E-32</v>
      </c>
      <c r="N2117" s="10">
        <f t="shared" si="274"/>
        <v>3.6990096515040691</v>
      </c>
      <c r="O2117" s="10">
        <f t="shared" si="275"/>
        <v>5.3103631705594321</v>
      </c>
      <c r="P2117" s="10">
        <f t="shared" si="276"/>
        <v>5.8860815236548136E-3</v>
      </c>
      <c r="Q2117" s="66">
        <f t="shared" si="279"/>
        <v>4</v>
      </c>
      <c r="R2117" s="10">
        <f t="shared" si="277"/>
        <v>1.7498670583663545E-55</v>
      </c>
      <c r="V2117" s="10">
        <f t="shared" si="278"/>
        <v>1.6574002782437126E-33</v>
      </c>
    </row>
    <row r="2118" spans="11:22">
      <c r="K2118" s="66">
        <v>105.3</v>
      </c>
      <c r="L2118" s="10">
        <f t="shared" si="272"/>
        <v>5.1705761851643218E-23</v>
      </c>
      <c r="M2118" s="10">
        <f t="shared" si="273"/>
        <v>1.0160032881834231E-32</v>
      </c>
      <c r="N2118" s="10">
        <f t="shared" si="274"/>
        <v>3.7124092432428162</v>
      </c>
      <c r="O2118" s="10">
        <f t="shared" si="275"/>
        <v>5.3296000174183069</v>
      </c>
      <c r="P2118" s="10">
        <f t="shared" si="276"/>
        <v>5.8717398798535112E-3</v>
      </c>
      <c r="Q2118" s="66">
        <f t="shared" si="279"/>
        <v>2</v>
      </c>
      <c r="R2118" s="10">
        <f t="shared" si="277"/>
        <v>5.5782221540312246E-56</v>
      </c>
      <c r="V2118" s="10">
        <f t="shared" si="278"/>
        <v>6.3589664531784523E-34</v>
      </c>
    </row>
    <row r="2119" spans="11:22">
      <c r="K2119" s="66">
        <v>105.35</v>
      </c>
      <c r="L2119" s="10">
        <f t="shared" si="272"/>
        <v>4.2931797860757469E-23</v>
      </c>
      <c r="M2119" s="10">
        <f t="shared" si="273"/>
        <v>7.7795562961179537E-33</v>
      </c>
      <c r="N2119" s="10">
        <f t="shared" si="274"/>
        <v>3.7258573760587064</v>
      </c>
      <c r="O2119" s="10">
        <f t="shared" si="275"/>
        <v>5.3489065512710532</v>
      </c>
      <c r="P2119" s="10">
        <f t="shared" si="276"/>
        <v>5.8574331799696689E-3</v>
      </c>
      <c r="Q2119" s="66">
        <f t="shared" si="279"/>
        <v>4</v>
      </c>
      <c r="R2119" s="10">
        <f t="shared" si="277"/>
        <v>7.101278971373836E-56</v>
      </c>
      <c r="V2119" s="10">
        <f t="shared" si="278"/>
        <v>9.7496084103268583E-34</v>
      </c>
    </row>
    <row r="2120" spans="11:22">
      <c r="K2120" s="66">
        <v>105.4</v>
      </c>
      <c r="L2120" s="10">
        <f t="shared" si="272"/>
        <v>3.5622685695943441E-23</v>
      </c>
      <c r="M2120" s="10">
        <f t="shared" si="273"/>
        <v>5.9510629922600674E-33</v>
      </c>
      <c r="N2120" s="10">
        <f t="shared" si="274"/>
        <v>3.7393542257956311</v>
      </c>
      <c r="O2120" s="10">
        <f t="shared" si="275"/>
        <v>5.3682830245643176</v>
      </c>
      <c r="P2120" s="10">
        <f t="shared" si="276"/>
        <v>5.8431613388612068E-3</v>
      </c>
      <c r="Q2120" s="66">
        <f t="shared" si="279"/>
        <v>2</v>
      </c>
      <c r="R2120" s="10">
        <f t="shared" si="277"/>
        <v>2.2563413622685709E-56</v>
      </c>
      <c r="V2120" s="10">
        <f t="shared" si="278"/>
        <v>3.7334283885767353E-34</v>
      </c>
    </row>
    <row r="2121" spans="11:22">
      <c r="K2121" s="66">
        <v>105.45</v>
      </c>
      <c r="L2121" s="10">
        <f t="shared" si="272"/>
        <v>2.953796906712523E-23</v>
      </c>
      <c r="M2121" s="10">
        <f t="shared" si="273"/>
        <v>4.5479193055169553E-33</v>
      </c>
      <c r="N2121" s="10">
        <f t="shared" si="274"/>
        <v>3.7528999689344626</v>
      </c>
      <c r="O2121" s="10">
        <f t="shared" si="275"/>
        <v>5.3877296906592065</v>
      </c>
      <c r="P2121" s="10">
        <f t="shared" si="276"/>
        <v>5.8289242715934986E-3</v>
      </c>
      <c r="Q2121" s="66">
        <f t="shared" si="279"/>
        <v>4</v>
      </c>
      <c r="R2121" s="10">
        <f t="shared" si="277"/>
        <v>2.8629772668508646E-56</v>
      </c>
      <c r="V2121" s="10">
        <f t="shared" si="278"/>
        <v>5.7130359011974834E-34</v>
      </c>
    </row>
    <row r="2122" spans="11:22">
      <c r="K2122" s="66">
        <v>105.5</v>
      </c>
      <c r="L2122" s="10">
        <f t="shared" si="272"/>
        <v>2.4475970952447738E-23</v>
      </c>
      <c r="M2122" s="10">
        <f t="shared" si="273"/>
        <v>3.4722254018507818E-33</v>
      </c>
      <c r="N2122" s="10">
        <f t="shared" si="274"/>
        <v>3.7664947825954105</v>
      </c>
      <c r="O2122" s="10">
        <f t="shared" si="275"/>
        <v>5.407246803834715</v>
      </c>
      <c r="P2122" s="10">
        <f t="shared" si="276"/>
        <v>5.8147218934388638E-3</v>
      </c>
      <c r="Q2122" s="66">
        <f t="shared" si="279"/>
        <v>2</v>
      </c>
      <c r="R2122" s="10">
        <f t="shared" si="277"/>
        <v>9.0667843273214592E-57</v>
      </c>
      <c r="V2122" s="10">
        <f t="shared" si="278"/>
        <v>2.1834489698354049E-34</v>
      </c>
    </row>
    <row r="2123" spans="11:22">
      <c r="K2123" s="66">
        <v>105.55</v>
      </c>
      <c r="L2123" s="10">
        <f t="shared" si="272"/>
        <v>2.0267654151885257E-23</v>
      </c>
      <c r="M2123" s="10">
        <f t="shared" si="273"/>
        <v>2.6483689875706218E-33</v>
      </c>
      <c r="N2123" s="10">
        <f t="shared" si="274"/>
        <v>3.7801388445403137</v>
      </c>
      <c r="O2123" s="10">
        <f t="shared" si="275"/>
        <v>5.4268346192909238</v>
      </c>
      <c r="P2123" s="10">
        <f t="shared" si="276"/>
        <v>5.8005541198760625E-3</v>
      </c>
      <c r="Q2123" s="66">
        <f t="shared" si="279"/>
        <v>4</v>
      </c>
      <c r="R2123" s="10">
        <f t="shared" si="277"/>
        <v>1.1466433176709171E-56</v>
      </c>
      <c r="V2123" s="10">
        <f t="shared" si="278"/>
        <v>3.3346829956943134E-34</v>
      </c>
    </row>
    <row r="2124" spans="11:22">
      <c r="K2124" s="66">
        <v>105.6</v>
      </c>
      <c r="L2124" s="10">
        <f t="shared" ref="L2124:L2187" si="280">(B$7^K2124)*B$8^((B$5^25)*((B$5^K2124)-1))</f>
        <v>1.6771435150058329E-23</v>
      </c>
      <c r="M2124" s="10">
        <f t="shared" ref="M2124:M2187" si="281">(B$7^K2124)*B$8^((B$5^30)*((B$5^K2124)-1))</f>
        <v>2.018008370840154E-33</v>
      </c>
      <c r="N2124" s="10">
        <f t="shared" si="274"/>
        <v>3.7938323331749508</v>
      </c>
      <c r="O2124" s="10">
        <f t="shared" si="275"/>
        <v>5.4464933931524087</v>
      </c>
      <c r="P2124" s="10">
        <f t="shared" si="276"/>
        <v>5.7864208665897986E-3</v>
      </c>
      <c r="Q2124" s="66">
        <f t="shared" si="279"/>
        <v>2</v>
      </c>
      <c r="R2124" s="10">
        <f t="shared" si="277"/>
        <v>3.6192658509603207E-57</v>
      </c>
      <c r="V2124" s="10">
        <f t="shared" si="278"/>
        <v>1.2719790501406262E-34</v>
      </c>
    </row>
    <row r="2125" spans="11:22">
      <c r="K2125" s="66">
        <v>105.65</v>
      </c>
      <c r="L2125" s="10">
        <f t="shared" si="280"/>
        <v>1.386880625090827E-23</v>
      </c>
      <c r="M2125" s="10">
        <f t="shared" si="281"/>
        <v>1.5361717546185109E-33</v>
      </c>
      <c r="N2125" s="10">
        <f t="shared" ref="N2125:N2188" si="282">B$3+B$4*(B$5^(25+K2125))</f>
        <v>3.8075754275514129</v>
      </c>
      <c r="O2125" s="10">
        <f t="shared" ref="O2125:O2188" si="283">$B$3+$B$4*($B$5^(30+K2125))</f>
        <v>5.4662233824716067</v>
      </c>
      <c r="P2125" s="10">
        <f t="shared" ref="P2125:P2188" si="284">(1+B$6)^-K2125</f>
        <v>5.7723220494701969E-3</v>
      </c>
      <c r="Q2125" s="66">
        <f t="shared" si="279"/>
        <v>4</v>
      </c>
      <c r="R2125" s="10">
        <f t="shared" ref="R2125:R2188" si="285">L2125*M2125*(N2125+O2125)*P2125*Q2125</f>
        <v>4.5619137609257146E-57</v>
      </c>
      <c r="V2125" s="10">
        <f t="shared" si="278"/>
        <v>1.938820913586858E-34</v>
      </c>
    </row>
    <row r="2126" spans="11:22">
      <c r="K2126" s="66">
        <v>105.7</v>
      </c>
      <c r="L2126" s="10">
        <f t="shared" si="280"/>
        <v>1.146064254344928E-23</v>
      </c>
      <c r="M2126" s="10">
        <f t="shared" si="281"/>
        <v>1.1682273804935736E-33</v>
      </c>
      <c r="N2126" s="10">
        <f t="shared" si="282"/>
        <v>3.8213683073703968</v>
      </c>
      <c r="O2126" s="10">
        <f t="shared" si="283"/>
        <v>5.4860248452321025</v>
      </c>
      <c r="P2126" s="10">
        <f t="shared" si="284"/>
        <v>5.758257584612343E-3</v>
      </c>
      <c r="Q2126" s="66">
        <f t="shared" si="279"/>
        <v>2</v>
      </c>
      <c r="R2126" s="10">
        <f t="shared" si="285"/>
        <v>1.4351109932862206E-57</v>
      </c>
      <c r="V2126" s="10">
        <f t="shared" ref="V2126:V2189" si="286">(1-L2126)*M2126*O2126*P2126*Q2126</f>
        <v>7.3808475465664014E-35</v>
      </c>
    </row>
    <row r="2127" spans="11:22">
      <c r="K2127" s="66">
        <v>105.75</v>
      </c>
      <c r="L2127" s="10">
        <f t="shared" si="280"/>
        <v>9.4640887108515614E-24</v>
      </c>
      <c r="M2127" s="10">
        <f t="shared" si="281"/>
        <v>8.8753241693586839E-34</v>
      </c>
      <c r="N2127" s="10">
        <f t="shared" si="282"/>
        <v>3.8352111529836042</v>
      </c>
      <c r="O2127" s="10">
        <f t="shared" si="283"/>
        <v>5.5058980403520943</v>
      </c>
      <c r="P2127" s="10">
        <f t="shared" si="284"/>
        <v>5.7442273883157452E-3</v>
      </c>
      <c r="Q2127" s="66">
        <f t="shared" ref="Q2127:Q2190" si="287">IF(Q2126=4,2,4)</f>
        <v>4</v>
      </c>
      <c r="R2127" s="10">
        <f t="shared" si="285"/>
        <v>1.8028230017775114E-57</v>
      </c>
      <c r="V2127" s="10">
        <f t="shared" si="286"/>
        <v>1.1228041365698017E-34</v>
      </c>
    </row>
    <row r="2128" spans="11:22">
      <c r="K2128" s="66">
        <v>105.8</v>
      </c>
      <c r="L2128" s="10">
        <f t="shared" si="280"/>
        <v>7.8099364514524876E-24</v>
      </c>
      <c r="M2128" s="10">
        <f t="shared" si="281"/>
        <v>6.736103416503385E-34</v>
      </c>
      <c r="N2128" s="10">
        <f t="shared" si="282"/>
        <v>3.8491041453960571</v>
      </c>
      <c r="O2128" s="10">
        <f t="shared" si="283"/>
        <v>5.5258432276876848</v>
      </c>
      <c r="P2128" s="10">
        <f t="shared" si="284"/>
        <v>5.7302313770838526E-3</v>
      </c>
      <c r="Q2128" s="66">
        <f t="shared" si="287"/>
        <v>2</v>
      </c>
      <c r="R2128" s="10">
        <f t="shared" si="285"/>
        <v>5.6523264776747311E-58</v>
      </c>
      <c r="V2128" s="10">
        <f t="shared" si="286"/>
        <v>4.2658881049781041E-35</v>
      </c>
    </row>
    <row r="2129" spans="11:22">
      <c r="K2129" s="66">
        <v>105.85</v>
      </c>
      <c r="L2129" s="10">
        <f t="shared" si="280"/>
        <v>6.4404167244630707E-24</v>
      </c>
      <c r="M2129" s="10">
        <f t="shared" si="281"/>
        <v>5.1073942049770603E-34</v>
      </c>
      <c r="N2129" s="10">
        <f t="shared" si="282"/>
        <v>3.8630474662684735</v>
      </c>
      <c r="O2129" s="10">
        <f t="shared" si="283"/>
        <v>5.5458606680363598</v>
      </c>
      <c r="P2129" s="10">
        <f t="shared" si="284"/>
        <v>5.7162694676235635E-3</v>
      </c>
      <c r="Q2129" s="66">
        <f t="shared" si="287"/>
        <v>4</v>
      </c>
      <c r="R2129" s="10">
        <f t="shared" si="285"/>
        <v>7.0766099951195692E-58</v>
      </c>
      <c r="V2129" s="10">
        <f t="shared" si="286"/>
        <v>6.476509672910327E-35</v>
      </c>
    </row>
    <row r="2130" spans="11:22">
      <c r="K2130" s="66">
        <v>105.9</v>
      </c>
      <c r="L2130" s="10">
        <f t="shared" si="280"/>
        <v>5.3073424966090872E-24</v>
      </c>
      <c r="M2130" s="10">
        <f t="shared" si="281"/>
        <v>3.8686064596398913E-34</v>
      </c>
      <c r="N2130" s="10">
        <f t="shared" si="282"/>
        <v>3.877041297919694</v>
      </c>
      <c r="O2130" s="10">
        <f t="shared" si="283"/>
        <v>5.5659506231403642</v>
      </c>
      <c r="P2130" s="10">
        <f t="shared" si="284"/>
        <v>5.7023415768447001E-3</v>
      </c>
      <c r="Q2130" s="66">
        <f t="shared" si="287"/>
        <v>2</v>
      </c>
      <c r="R2130" s="10">
        <f t="shared" si="285"/>
        <v>2.211182098047708E-58</v>
      </c>
      <c r="V2130" s="10">
        <f t="shared" si="286"/>
        <v>2.4557102677397228E-35</v>
      </c>
    </row>
    <row r="2131" spans="11:22">
      <c r="K2131" s="66">
        <v>105.95</v>
      </c>
      <c r="L2131" s="10">
        <f t="shared" si="280"/>
        <v>4.3705474335747728E-24</v>
      </c>
      <c r="M2131" s="10">
        <f t="shared" si="281"/>
        <v>2.9273367732207448E-34</v>
      </c>
      <c r="N2131" s="10">
        <f t="shared" si="282"/>
        <v>3.8910858233289756</v>
      </c>
      <c r="O2131" s="10">
        <f t="shared" si="283"/>
        <v>5.5861133556900961</v>
      </c>
      <c r="P2131" s="10">
        <f t="shared" si="284"/>
        <v>5.6884476218595709E-3</v>
      </c>
      <c r="Q2131" s="66">
        <f t="shared" si="287"/>
        <v>4</v>
      </c>
      <c r="R2131" s="10">
        <f t="shared" si="285"/>
        <v>2.7589402135662103E-58</v>
      </c>
      <c r="V2131" s="10">
        <f t="shared" si="286"/>
        <v>3.7207988098454906E-35</v>
      </c>
    </row>
    <row r="2132" spans="11:22">
      <c r="K2132" s="66">
        <v>106</v>
      </c>
      <c r="L2132" s="10">
        <f t="shared" si="280"/>
        <v>3.5965742969524827E-24</v>
      </c>
      <c r="M2132" s="10">
        <f t="shared" si="281"/>
        <v>2.2128511591945867E-34</v>
      </c>
      <c r="N2132" s="10">
        <f t="shared" si="282"/>
        <v>3.9051812261384731</v>
      </c>
      <c r="O2132" s="10">
        <f t="shared" si="283"/>
        <v>5.6063491293276151</v>
      </c>
      <c r="P2132" s="10">
        <f t="shared" si="284"/>
        <v>5.6745875199824408E-3</v>
      </c>
      <c r="Q2132" s="66">
        <f t="shared" si="287"/>
        <v>2</v>
      </c>
      <c r="R2132" s="10">
        <f t="shared" si="285"/>
        <v>8.5912415975464945E-59</v>
      </c>
      <c r="V2132" s="10">
        <f t="shared" si="286"/>
        <v>1.4079804905835767E-35</v>
      </c>
    </row>
    <row r="2133" spans="11:22">
      <c r="K2133" s="66">
        <v>106.05</v>
      </c>
      <c r="L2133" s="10">
        <f t="shared" si="280"/>
        <v>2.9575738839763749E-24</v>
      </c>
      <c r="M2133" s="10">
        <f t="shared" si="281"/>
        <v>1.6710579416869229E-34</v>
      </c>
      <c r="N2133" s="10">
        <f t="shared" si="282"/>
        <v>3.9193276906555488</v>
      </c>
      <c r="O2133" s="10">
        <f t="shared" si="283"/>
        <v>5.626658208649979</v>
      </c>
      <c r="P2133" s="10">
        <f t="shared" si="284"/>
        <v>5.6607611887289633E-3</v>
      </c>
      <c r="Q2133" s="66">
        <f t="shared" si="287"/>
        <v>4</v>
      </c>
      <c r="R2133" s="10">
        <f t="shared" si="285"/>
        <v>1.0682741632245177E-58</v>
      </c>
      <c r="V2133" s="10">
        <f t="shared" si="286"/>
        <v>2.1290059169260874E-35</v>
      </c>
    </row>
    <row r="2134" spans="11:22">
      <c r="K2134" s="66">
        <v>106.1</v>
      </c>
      <c r="L2134" s="10">
        <f t="shared" si="280"/>
        <v>2.4303813642569376E-24</v>
      </c>
      <c r="M2134" s="10">
        <f t="shared" si="281"/>
        <v>1.2606339814153947E-34</v>
      </c>
      <c r="N2134" s="10">
        <f t="shared" si="282"/>
        <v>3.9335254018552788</v>
      </c>
      <c r="O2134" s="10">
        <f t="shared" si="283"/>
        <v>5.6470408592128205</v>
      </c>
      <c r="P2134" s="10">
        <f t="shared" si="284"/>
        <v>5.646968545815899E-3</v>
      </c>
      <c r="Q2134" s="66">
        <f t="shared" si="287"/>
        <v>2</v>
      </c>
      <c r="R2134" s="10">
        <f t="shared" si="285"/>
        <v>3.3151255407071645E-59</v>
      </c>
      <c r="V2134" s="10">
        <f t="shared" si="286"/>
        <v>8.0399862152735908E-36</v>
      </c>
    </row>
    <row r="2135" spans="11:22">
      <c r="K2135" s="66">
        <v>106.15</v>
      </c>
      <c r="L2135" s="10">
        <f t="shared" si="280"/>
        <v>1.995741980147281E-24</v>
      </c>
      <c r="M2135" s="10">
        <f t="shared" si="281"/>
        <v>9.5004265757938334E-35</v>
      </c>
      <c r="N2135" s="10">
        <f t="shared" si="282"/>
        <v>3.9477745453828095</v>
      </c>
      <c r="O2135" s="10">
        <f t="shared" si="283"/>
        <v>5.6674973475337858</v>
      </c>
      <c r="P2135" s="10">
        <f t="shared" si="284"/>
        <v>5.6332095091603902E-3</v>
      </c>
      <c r="Q2135" s="66">
        <f t="shared" si="287"/>
        <v>4</v>
      </c>
      <c r="R2135" s="10">
        <f t="shared" si="285"/>
        <v>4.1079482415282121E-59</v>
      </c>
      <c r="V2135" s="10">
        <f t="shared" si="286"/>
        <v>1.2132500739245604E-35</v>
      </c>
    </row>
    <row r="2136" spans="11:22">
      <c r="K2136" s="66">
        <v>106.2</v>
      </c>
      <c r="L2136" s="10">
        <f t="shared" si="280"/>
        <v>1.6376624180653783E-24</v>
      </c>
      <c r="M2136" s="10">
        <f t="shared" si="281"/>
        <v>7.1524065280650523E-35</v>
      </c>
      <c r="N2136" s="10">
        <f t="shared" si="282"/>
        <v>3.9620753075558022</v>
      </c>
      <c r="O2136" s="10">
        <f t="shared" si="283"/>
        <v>5.6880279410959425</v>
      </c>
      <c r="P2136" s="10">
        <f t="shared" si="284"/>
        <v>5.6194839968796298E-3</v>
      </c>
      <c r="Q2136" s="66">
        <f t="shared" si="287"/>
        <v>2</v>
      </c>
      <c r="R2136" s="10">
        <f t="shared" si="285"/>
        <v>1.2703838616179925E-59</v>
      </c>
      <c r="V2136" s="10">
        <f t="shared" si="286"/>
        <v>4.5723592591658005E-36</v>
      </c>
    </row>
    <row r="2137" spans="11:22">
      <c r="K2137" s="66">
        <v>106.25</v>
      </c>
      <c r="L2137" s="10">
        <f t="shared" si="280"/>
        <v>1.3428678409954111E-24</v>
      </c>
      <c r="M2137" s="10">
        <f t="shared" si="281"/>
        <v>5.3791623586999973E-35</v>
      </c>
      <c r="N2137" s="10">
        <f t="shared" si="282"/>
        <v>3.9764278753668747</v>
      </c>
      <c r="O2137" s="10">
        <f t="shared" si="283"/>
        <v>5.7086329083513894</v>
      </c>
      <c r="P2137" s="10">
        <f t="shared" si="284"/>
        <v>5.6057919272902972E-3</v>
      </c>
      <c r="Q2137" s="66">
        <f t="shared" si="287"/>
        <v>4</v>
      </c>
      <c r="R2137" s="10">
        <f t="shared" si="285"/>
        <v>1.5687265327071599E-59</v>
      </c>
      <c r="V2137" s="10">
        <f t="shared" si="286"/>
        <v>6.8856308324080638E-36</v>
      </c>
    </row>
    <row r="2138" spans="11:22">
      <c r="K2138" s="66">
        <v>106.3</v>
      </c>
      <c r="L2138" s="10">
        <f t="shared" si="280"/>
        <v>1.1003476948886004E-24</v>
      </c>
      <c r="M2138" s="10">
        <f t="shared" si="281"/>
        <v>4.041372421355734E-35</v>
      </c>
      <c r="N2138" s="10">
        <f t="shared" si="282"/>
        <v>3.9908324364860275</v>
      </c>
      <c r="O2138" s="10">
        <f t="shared" si="283"/>
        <v>5.7293125187246794</v>
      </c>
      <c r="P2138" s="10">
        <f t="shared" si="284"/>
        <v>5.5921332189081052E-3</v>
      </c>
      <c r="Q2138" s="66">
        <f t="shared" si="287"/>
        <v>2</v>
      </c>
      <c r="R2138" s="10">
        <f t="shared" si="285"/>
        <v>4.8343607757249521E-60</v>
      </c>
      <c r="V2138" s="10">
        <f t="shared" si="286"/>
        <v>2.5896369940041215E-36</v>
      </c>
    </row>
    <row r="2139" spans="11:22">
      <c r="K2139" s="66">
        <v>106.35</v>
      </c>
      <c r="L2139" s="10">
        <f t="shared" si="280"/>
        <v>9.0097604716035521E-25</v>
      </c>
      <c r="M2139" s="10">
        <f t="shared" si="281"/>
        <v>3.0331453979407692E-35</v>
      </c>
      <c r="N2139" s="10">
        <f t="shared" si="282"/>
        <v>4.0052891792631087</v>
      </c>
      <c r="O2139" s="10">
        <f t="shared" si="283"/>
        <v>5.7500670426163829</v>
      </c>
      <c r="P2139" s="10">
        <f t="shared" si="284"/>
        <v>5.5785077904473073E-3</v>
      </c>
      <c r="Q2139" s="66">
        <f t="shared" si="287"/>
        <v>4</v>
      </c>
      <c r="R2139" s="10">
        <f t="shared" si="285"/>
        <v>5.9487763605068647E-60</v>
      </c>
      <c r="V2139" s="10">
        <f t="shared" si="286"/>
        <v>3.8917431789366694E-36</v>
      </c>
    </row>
    <row r="2140" spans="11:22">
      <c r="K2140" s="66">
        <v>106.4</v>
      </c>
      <c r="L2140" s="10">
        <f t="shared" si="280"/>
        <v>7.3719445519880592E-25</v>
      </c>
      <c r="M2140" s="10">
        <f t="shared" si="281"/>
        <v>2.2740818424383469E-35</v>
      </c>
      <c r="N2140" s="10">
        <f t="shared" si="282"/>
        <v>4.0197982927303029</v>
      </c>
      <c r="O2140" s="10">
        <f t="shared" si="283"/>
        <v>5.7708967514066423</v>
      </c>
      <c r="P2140" s="10">
        <f t="shared" si="284"/>
        <v>5.5649155608201968E-3</v>
      </c>
      <c r="Q2140" s="66">
        <f t="shared" si="287"/>
        <v>2</v>
      </c>
      <c r="R2140" s="10">
        <f t="shared" si="285"/>
        <v>1.8267968277379978E-60</v>
      </c>
      <c r="V2140" s="10">
        <f t="shared" si="286"/>
        <v>1.4606224431004831E-36</v>
      </c>
    </row>
    <row r="2141" spans="11:22">
      <c r="K2141" s="66">
        <v>106.45</v>
      </c>
      <c r="L2141" s="10">
        <f t="shared" si="280"/>
        <v>6.0274725760615347E-25</v>
      </c>
      <c r="M2141" s="10">
        <f t="shared" si="281"/>
        <v>1.7032006793284274E-35</v>
      </c>
      <c r="N2141" s="10">
        <f t="shared" si="282"/>
        <v>4.0343599666045398</v>
      </c>
      <c r="O2141" s="10">
        <f t="shared" si="283"/>
        <v>5.7918019174586464</v>
      </c>
      <c r="P2141" s="10">
        <f t="shared" si="284"/>
        <v>5.5513564491366648E-3</v>
      </c>
      <c r="Q2141" s="66">
        <f t="shared" si="287"/>
        <v>4</v>
      </c>
      <c r="R2141" s="10">
        <f t="shared" si="285"/>
        <v>2.239979711988839E-60</v>
      </c>
      <c r="V2141" s="10">
        <f t="shared" si="286"/>
        <v>2.190476646376227E-36</v>
      </c>
    </row>
    <row r="2142" spans="11:22">
      <c r="K2142" s="66">
        <v>106.5</v>
      </c>
      <c r="L2142" s="10">
        <f t="shared" si="280"/>
        <v>4.9246078274286016E-25</v>
      </c>
      <c r="M2142" s="10">
        <f t="shared" si="281"/>
        <v>1.2742973533334774E-35</v>
      </c>
      <c r="N2142" s="10">
        <f t="shared" si="282"/>
        <v>4.0489743912900655</v>
      </c>
      <c r="O2142" s="10">
        <f t="shared" si="283"/>
        <v>5.8127828141223175</v>
      </c>
      <c r="P2142" s="10">
        <f t="shared" si="284"/>
        <v>5.5378303747036792E-3</v>
      </c>
      <c r="Q2142" s="66">
        <f t="shared" si="287"/>
        <v>2</v>
      </c>
      <c r="R2142" s="10">
        <f t="shared" si="285"/>
        <v>6.8543516749717323E-61</v>
      </c>
      <c r="V2142" s="10">
        <f t="shared" si="286"/>
        <v>8.2039786654686829E-37</v>
      </c>
    </row>
    <row r="2143" spans="11:22">
      <c r="K2143" s="66">
        <v>106.55</v>
      </c>
      <c r="L2143" s="10">
        <f t="shared" si="280"/>
        <v>4.0205932234491058E-25</v>
      </c>
      <c r="M2143" s="10">
        <f t="shared" si="281"/>
        <v>9.523998568160257E-36</v>
      </c>
      <c r="N2143" s="10">
        <f t="shared" si="282"/>
        <v>4.0636417578808368</v>
      </c>
      <c r="O2143" s="10">
        <f t="shared" si="283"/>
        <v>5.833839715737744</v>
      </c>
      <c r="P2143" s="10">
        <f t="shared" si="284"/>
        <v>5.5243372570248197E-3</v>
      </c>
      <c r="Q2143" s="66">
        <f t="shared" si="287"/>
        <v>4</v>
      </c>
      <c r="R2143" s="10">
        <f t="shared" si="285"/>
        <v>8.3747978079837855E-61</v>
      </c>
      <c r="V2143" s="10">
        <f t="shared" si="286"/>
        <v>1.2277614403751786E-36</v>
      </c>
    </row>
    <row r="2144" spans="11:22">
      <c r="K2144" s="66">
        <v>106.6</v>
      </c>
      <c r="L2144" s="10">
        <f t="shared" si="280"/>
        <v>3.2801186028760972E-25</v>
      </c>
      <c r="M2144" s="10">
        <f t="shared" si="281"/>
        <v>7.1106579723832233E-36</v>
      </c>
      <c r="N2144" s="10">
        <f t="shared" si="282"/>
        <v>4.0783622581630716</v>
      </c>
      <c r="O2144" s="10">
        <f t="shared" si="283"/>
        <v>5.8549728976388407</v>
      </c>
      <c r="P2144" s="10">
        <f t="shared" si="284"/>
        <v>5.5108770157998076E-3</v>
      </c>
      <c r="Q2144" s="66">
        <f t="shared" si="287"/>
        <v>2</v>
      </c>
      <c r="R2144" s="10">
        <f t="shared" si="285"/>
        <v>2.5535545531006291E-61</v>
      </c>
      <c r="V2144" s="10">
        <f t="shared" si="286"/>
        <v>4.5886548612218393E-37</v>
      </c>
    </row>
    <row r="2145" spans="11:22">
      <c r="K2145" s="66">
        <v>106.65</v>
      </c>
      <c r="L2145" s="10">
        <f t="shared" si="280"/>
        <v>2.6740451014034399E-25</v>
      </c>
      <c r="M2145" s="10">
        <f t="shared" si="281"/>
        <v>5.3032307620031047E-36</v>
      </c>
      <c r="N2145" s="10">
        <f t="shared" si="282"/>
        <v>4.0931360846177682</v>
      </c>
      <c r="O2145" s="10">
        <f t="shared" si="283"/>
        <v>5.8761826361569769</v>
      </c>
      <c r="P2145" s="10">
        <f t="shared" si="284"/>
        <v>5.4974495709239962E-3</v>
      </c>
      <c r="Q2145" s="66">
        <f t="shared" si="287"/>
        <v>4</v>
      </c>
      <c r="R2145" s="10">
        <f t="shared" si="285"/>
        <v>3.1088228786281034E-61</v>
      </c>
      <c r="V2145" s="10">
        <f t="shared" si="286"/>
        <v>6.8526264186230264E-37</v>
      </c>
    </row>
    <row r="2146" spans="11:22">
      <c r="K2146" s="66">
        <v>106.7</v>
      </c>
      <c r="L2146" s="10">
        <f t="shared" si="280"/>
        <v>2.1783442735979978E-25</v>
      </c>
      <c r="M2146" s="10">
        <f t="shared" si="281"/>
        <v>3.9510257833193677E-36</v>
      </c>
      <c r="N2146" s="10">
        <f t="shared" si="282"/>
        <v>4.107963430423176</v>
      </c>
      <c r="O2146" s="10">
        <f t="shared" si="283"/>
        <v>5.8974692086245106</v>
      </c>
      <c r="P2146" s="10">
        <f t="shared" si="284"/>
        <v>5.4840548424879444E-3</v>
      </c>
      <c r="Q2146" s="66">
        <f t="shared" si="287"/>
        <v>2</v>
      </c>
      <c r="R2146" s="10">
        <f t="shared" si="285"/>
        <v>9.4450451754504059E-62</v>
      </c>
      <c r="V2146" s="10">
        <f t="shared" si="286"/>
        <v>2.5556850397832062E-37</v>
      </c>
    </row>
    <row r="2147" spans="11:22">
      <c r="K2147" s="66">
        <v>106.75</v>
      </c>
      <c r="L2147" s="10">
        <f t="shared" si="280"/>
        <v>1.7732164607440575E-25</v>
      </c>
      <c r="M2147" s="10">
        <f t="shared" si="281"/>
        <v>2.9404658068677686E-36</v>
      </c>
      <c r="N2147" s="10">
        <f t="shared" si="282"/>
        <v>4.1228444894573739</v>
      </c>
      <c r="O2147" s="10">
        <f t="shared" si="283"/>
        <v>5.9188328933784904</v>
      </c>
      <c r="P2147" s="10">
        <f t="shared" si="284"/>
        <v>5.4706927507768991E-3</v>
      </c>
      <c r="Q2147" s="66">
        <f t="shared" si="287"/>
        <v>4</v>
      </c>
      <c r="R2147" s="10">
        <f t="shared" si="285"/>
        <v>1.1457410349622087E-61</v>
      </c>
      <c r="V2147" s="10">
        <f t="shared" si="286"/>
        <v>3.8085049806772479E-37</v>
      </c>
    </row>
    <row r="2148" spans="11:22">
      <c r="K2148" s="66">
        <v>106.8</v>
      </c>
      <c r="L2148" s="10">
        <f t="shared" si="280"/>
        <v>1.4423586619700507E-25</v>
      </c>
      <c r="M2148" s="10">
        <f t="shared" si="281"/>
        <v>2.1860377486687938E-36</v>
      </c>
      <c r="N2148" s="10">
        <f t="shared" si="282"/>
        <v>4.1377794563007608</v>
      </c>
      <c r="O2148" s="10">
        <f t="shared" si="283"/>
        <v>5.9402739697642613</v>
      </c>
      <c r="P2148" s="10">
        <f t="shared" si="284"/>
        <v>5.45736321627034E-3</v>
      </c>
      <c r="Q2148" s="66">
        <f t="shared" si="287"/>
        <v>2</v>
      </c>
      <c r="R2148" s="10">
        <f t="shared" si="285"/>
        <v>3.4683301836001765E-62</v>
      </c>
      <c r="V2148" s="10">
        <f t="shared" si="286"/>
        <v>1.41734960667357E-37</v>
      </c>
    </row>
    <row r="2149" spans="11:22">
      <c r="K2149" s="66">
        <v>106.85</v>
      </c>
      <c r="L2149" s="10">
        <f t="shared" si="280"/>
        <v>1.172357008546854E-25</v>
      </c>
      <c r="M2149" s="10">
        <f t="shared" si="281"/>
        <v>1.6234269481066742E-36</v>
      </c>
      <c r="N2149" s="10">
        <f t="shared" si="282"/>
        <v>4.1527685262386083</v>
      </c>
      <c r="O2149" s="10">
        <f t="shared" si="283"/>
        <v>5.9617927181390877</v>
      </c>
      <c r="P2149" s="10">
        <f t="shared" si="284"/>
        <v>5.4440661596414884E-3</v>
      </c>
      <c r="Q2149" s="66">
        <f t="shared" si="287"/>
        <v>4</v>
      </c>
      <c r="R2149" s="10">
        <f t="shared" si="285"/>
        <v>4.1920173260434683E-62</v>
      </c>
      <c r="V2149" s="10">
        <f t="shared" si="286"/>
        <v>2.1076233855146634E-37</v>
      </c>
    </row>
    <row r="2150" spans="11:22">
      <c r="K2150" s="66">
        <v>106.9</v>
      </c>
      <c r="L2150" s="10">
        <f t="shared" si="280"/>
        <v>9.5218301091325802E-26</v>
      </c>
      <c r="M2150" s="10">
        <f t="shared" si="281"/>
        <v>1.2043139719605368E-36</v>
      </c>
      <c r="N2150" s="10">
        <f t="shared" si="282"/>
        <v>4.1678118952636707</v>
      </c>
      <c r="O2150" s="10">
        <f t="shared" si="283"/>
        <v>5.9833894198758921</v>
      </c>
      <c r="P2150" s="10">
        <f t="shared" si="284"/>
        <v>5.4308015017568564E-3</v>
      </c>
      <c r="Q2150" s="66">
        <f t="shared" si="287"/>
        <v>2</v>
      </c>
      <c r="R2150" s="10">
        <f t="shared" si="285"/>
        <v>1.2643622452897275E-62</v>
      </c>
      <c r="V2150" s="10">
        <f t="shared" si="286"/>
        <v>7.8267402181608725E-38</v>
      </c>
    </row>
    <row r="2151" spans="11:22">
      <c r="K2151" s="66">
        <v>106.95</v>
      </c>
      <c r="L2151" s="10">
        <f t="shared" si="280"/>
        <v>7.7277616556550628E-26</v>
      </c>
      <c r="M2151" s="10">
        <f t="shared" si="281"/>
        <v>8.9243559453829316E-37</v>
      </c>
      <c r="N2151" s="10">
        <f t="shared" si="282"/>
        <v>4.1829097600786485</v>
      </c>
      <c r="O2151" s="10">
        <f t="shared" si="283"/>
        <v>6.0050643573668516</v>
      </c>
      <c r="P2151" s="10">
        <f t="shared" si="284"/>
        <v>5.4175691636757818E-3</v>
      </c>
      <c r="Q2151" s="66">
        <f t="shared" si="287"/>
        <v>4</v>
      </c>
      <c r="R2151" s="10">
        <f t="shared" si="285"/>
        <v>1.5225897130286768E-62</v>
      </c>
      <c r="V2151" s="10">
        <f t="shared" si="286"/>
        <v>1.1613389864015927E-37</v>
      </c>
    </row>
    <row r="2152" spans="11:22">
      <c r="K2152" s="66">
        <v>107</v>
      </c>
      <c r="L2152" s="10">
        <f t="shared" si="280"/>
        <v>6.2669837677300769E-26</v>
      </c>
      <c r="M2152" s="10">
        <f t="shared" si="281"/>
        <v>6.6060601715598678E-37</v>
      </c>
      <c r="N2152" s="10">
        <f t="shared" si="282"/>
        <v>4.1980623180988585</v>
      </c>
      <c r="O2152" s="10">
        <f t="shared" si="283"/>
        <v>6.0268178140271864</v>
      </c>
      <c r="P2152" s="10">
        <f t="shared" si="284"/>
        <v>5.4043690666499425E-3</v>
      </c>
      <c r="Q2152" s="66">
        <f t="shared" si="287"/>
        <v>2</v>
      </c>
      <c r="R2152" s="10">
        <f t="shared" si="285"/>
        <v>4.5754552864594919E-63</v>
      </c>
      <c r="V2152" s="10">
        <f t="shared" si="286"/>
        <v>4.3033392397762516E-38</v>
      </c>
    </row>
    <row r="2153" spans="11:22">
      <c r="K2153" s="66">
        <v>107.05</v>
      </c>
      <c r="L2153" s="10">
        <f t="shared" si="280"/>
        <v>5.0784805276087837E-26</v>
      </c>
      <c r="M2153" s="10">
        <f t="shared" si="281"/>
        <v>4.8846667654065058E-37</v>
      </c>
      <c r="N2153" s="10">
        <f t="shared" si="282"/>
        <v>4.2132697674547144</v>
      </c>
      <c r="O2153" s="10">
        <f t="shared" si="283"/>
        <v>6.0486500742987275</v>
      </c>
      <c r="P2153" s="10">
        <f t="shared" si="284"/>
        <v>5.3912011321228265E-3</v>
      </c>
      <c r="Q2153" s="66">
        <f t="shared" si="287"/>
        <v>4</v>
      </c>
      <c r="R2153" s="10">
        <f t="shared" si="285"/>
        <v>5.4896275050036545E-63</v>
      </c>
      <c r="V2153" s="10">
        <f t="shared" si="286"/>
        <v>6.3714595112901521E-38</v>
      </c>
    </row>
    <row r="2154" spans="11:22">
      <c r="K2154" s="66">
        <v>107.1</v>
      </c>
      <c r="L2154" s="10">
        <f t="shared" si="280"/>
        <v>4.1122375079752312E-26</v>
      </c>
      <c r="M2154" s="10">
        <f t="shared" si="281"/>
        <v>3.6078827699338495E-37</v>
      </c>
      <c r="N2154" s="10">
        <f t="shared" si="282"/>
        <v>4.2285323069944249</v>
      </c>
      <c r="O2154" s="10">
        <f t="shared" si="283"/>
        <v>6.0705614236537819</v>
      </c>
      <c r="P2154" s="10">
        <f t="shared" si="284"/>
        <v>5.3780652817294276E-3</v>
      </c>
      <c r="Q2154" s="66">
        <f t="shared" si="287"/>
        <v>2</v>
      </c>
      <c r="R2154" s="10">
        <f t="shared" si="285"/>
        <v>1.6435604558063449E-63</v>
      </c>
      <c r="V2154" s="10">
        <f t="shared" si="286"/>
        <v>2.3557941594363051E-38</v>
      </c>
    </row>
    <row r="2155" spans="11:22">
      <c r="K2155" s="66">
        <v>107.15</v>
      </c>
      <c r="L2155" s="10">
        <f t="shared" si="280"/>
        <v>3.3272893247690917E-26</v>
      </c>
      <c r="M2155" s="10">
        <f t="shared" si="281"/>
        <v>2.6619091794856743E-37</v>
      </c>
      <c r="N2155" s="10">
        <f t="shared" si="282"/>
        <v>4.24385013628652</v>
      </c>
      <c r="O2155" s="10">
        <f t="shared" si="283"/>
        <v>6.0925521485988199</v>
      </c>
      <c r="P2155" s="10">
        <f t="shared" si="284"/>
        <v>5.3649614372956091E-3</v>
      </c>
      <c r="Q2155" s="66">
        <f t="shared" si="287"/>
        <v>4</v>
      </c>
      <c r="R2155" s="10">
        <f t="shared" si="285"/>
        <v>1.9646256048938093E-63</v>
      </c>
      <c r="V2155" s="10">
        <f t="shared" si="286"/>
        <v>3.4803192612157908E-38</v>
      </c>
    </row>
    <row r="2156" spans="11:22">
      <c r="K2156" s="66">
        <v>107.2</v>
      </c>
      <c r="L2156" s="10">
        <f t="shared" si="280"/>
        <v>2.6901080167792883E-26</v>
      </c>
      <c r="M2156" s="10">
        <f t="shared" si="281"/>
        <v>1.9618042144270949E-37</v>
      </c>
      <c r="N2156" s="10">
        <f t="shared" si="282"/>
        <v>4.2592234556224868</v>
      </c>
      <c r="O2156" s="10">
        <f t="shared" si="283"/>
        <v>6.1146225366781399</v>
      </c>
      <c r="P2156" s="10">
        <f t="shared" si="284"/>
        <v>5.3518895208377422E-3</v>
      </c>
      <c r="Q2156" s="66">
        <f t="shared" si="287"/>
        <v>2</v>
      </c>
      <c r="R2156" s="10">
        <f t="shared" si="285"/>
        <v>5.8600633845016709E-64</v>
      </c>
      <c r="V2156" s="10">
        <f t="shared" si="286"/>
        <v>1.2839923942530566E-38</v>
      </c>
    </row>
    <row r="2157" spans="11:22">
      <c r="K2157" s="66">
        <v>107.25</v>
      </c>
      <c r="L2157" s="10">
        <f t="shared" si="280"/>
        <v>2.173273773728699E-26</v>
      </c>
      <c r="M2157" s="10">
        <f t="shared" si="281"/>
        <v>1.4442353555488244E-37</v>
      </c>
      <c r="N2157" s="10">
        <f t="shared" si="282"/>
        <v>4.2746524660193899</v>
      </c>
      <c r="O2157" s="10">
        <f t="shared" si="283"/>
        <v>6.1367728764777434</v>
      </c>
      <c r="P2157" s="10">
        <f t="shared" si="284"/>
        <v>5.338849454562187E-3</v>
      </c>
      <c r="Q2157" s="66">
        <f t="shared" si="287"/>
        <v>4</v>
      </c>
      <c r="R2157" s="10">
        <f t="shared" si="285"/>
        <v>6.9786315090079921E-64</v>
      </c>
      <c r="V2157" s="10">
        <f t="shared" si="286"/>
        <v>1.8927170258862915E-38</v>
      </c>
    </row>
    <row r="2158" spans="11:22">
      <c r="K2158" s="66">
        <v>107.3</v>
      </c>
      <c r="L2158" s="10">
        <f t="shared" si="280"/>
        <v>1.7543793885075808E-26</v>
      </c>
      <c r="M2158" s="10">
        <f t="shared" si="281"/>
        <v>1.0620340053256842E-37</v>
      </c>
      <c r="N2158" s="10">
        <f t="shared" si="282"/>
        <v>4.2901373692224789</v>
      </c>
      <c r="O2158" s="10">
        <f t="shared" si="283"/>
        <v>6.1590034576290309</v>
      </c>
      <c r="P2158" s="10">
        <f t="shared" si="284"/>
        <v>5.3258411608648653E-3</v>
      </c>
      <c r="Q2158" s="66">
        <f t="shared" si="287"/>
        <v>2</v>
      </c>
      <c r="R2158" s="10">
        <f t="shared" si="285"/>
        <v>2.0737706653113187E-64</v>
      </c>
      <c r="V2158" s="10">
        <f t="shared" si="286"/>
        <v>6.9673411517368911E-39</v>
      </c>
    </row>
    <row r="2159" spans="11:22">
      <c r="K2159" s="66">
        <v>107.35</v>
      </c>
      <c r="L2159" s="10">
        <f t="shared" si="280"/>
        <v>1.4151280339032873E-26</v>
      </c>
      <c r="M2159" s="10">
        <f t="shared" si="281"/>
        <v>7.8010896357346221E-38</v>
      </c>
      <c r="N2159" s="10">
        <f t="shared" si="282"/>
        <v>4.3056783677078423</v>
      </c>
      <c r="O2159" s="10">
        <f t="shared" si="283"/>
        <v>6.1813145708126109</v>
      </c>
      <c r="P2159" s="10">
        <f t="shared" si="284"/>
        <v>5.3128645623307684E-3</v>
      </c>
      <c r="Q2159" s="66">
        <f t="shared" si="287"/>
        <v>4</v>
      </c>
      <c r="R2159" s="10">
        <f t="shared" si="285"/>
        <v>2.4603149991493622E-64</v>
      </c>
      <c r="V2159" s="10">
        <f t="shared" si="286"/>
        <v>1.0247663351882265E-38</v>
      </c>
    </row>
    <row r="2160" spans="11:22">
      <c r="K2160" s="66">
        <v>107.4</v>
      </c>
      <c r="L2160" s="10">
        <f t="shared" si="280"/>
        <v>1.1405908236554507E-26</v>
      </c>
      <c r="M2160" s="10">
        <f t="shared" si="281"/>
        <v>5.7238303977832156E-38</v>
      </c>
      <c r="N2160" s="10">
        <f t="shared" si="282"/>
        <v>4.3212756646850758</v>
      </c>
      <c r="O2160" s="10">
        <f t="shared" si="283"/>
        <v>6.2037065077621403</v>
      </c>
      <c r="P2160" s="10">
        <f t="shared" si="284"/>
        <v>5.29991958173352E-3</v>
      </c>
      <c r="Q2160" s="66">
        <f t="shared" si="287"/>
        <v>2</v>
      </c>
      <c r="R2160" s="10">
        <f t="shared" si="285"/>
        <v>7.283452201047611E-65</v>
      </c>
      <c r="V2160" s="10">
        <f t="shared" si="286"/>
        <v>3.7638930607473689E-39</v>
      </c>
    </row>
    <row r="2161" spans="11:22">
      <c r="K2161" s="66">
        <v>107.45</v>
      </c>
      <c r="L2161" s="10">
        <f t="shared" si="280"/>
        <v>9.1859633409581327E-27</v>
      </c>
      <c r="M2161" s="10">
        <f t="shared" si="281"/>
        <v>4.1949919380164382E-38</v>
      </c>
      <c r="N2161" s="10">
        <f t="shared" si="282"/>
        <v>4.3369294640998799</v>
      </c>
      <c r="O2161" s="10">
        <f t="shared" si="283"/>
        <v>6.2261795612680464</v>
      </c>
      <c r="P2161" s="10">
        <f t="shared" si="284"/>
        <v>5.287006142034918E-3</v>
      </c>
      <c r="Q2161" s="66">
        <f t="shared" si="287"/>
        <v>4</v>
      </c>
      <c r="R2161" s="10">
        <f t="shared" si="285"/>
        <v>8.6083002624026227E-65</v>
      </c>
      <c r="V2161" s="10">
        <f t="shared" si="286"/>
        <v>5.5236045445056645E-39</v>
      </c>
    </row>
    <row r="2162" spans="11:22">
      <c r="K2162" s="66">
        <v>107.5</v>
      </c>
      <c r="L2162" s="10">
        <f t="shared" si="280"/>
        <v>7.3922902277670246E-27</v>
      </c>
      <c r="M2162" s="10">
        <f t="shared" si="281"/>
        <v>3.0710481438711466E-38</v>
      </c>
      <c r="N2162" s="10">
        <f t="shared" si="282"/>
        <v>4.3526399706368206</v>
      </c>
      <c r="O2162" s="10">
        <f t="shared" si="283"/>
        <v>6.2487340251814922</v>
      </c>
      <c r="P2162" s="10">
        <f t="shared" si="284"/>
        <v>5.2741241663844555E-3</v>
      </c>
      <c r="Q2162" s="66">
        <f t="shared" si="287"/>
        <v>2</v>
      </c>
      <c r="R2162" s="10">
        <f t="shared" si="285"/>
        <v>2.5386810171422104E-65</v>
      </c>
      <c r="V2162" s="10">
        <f t="shared" si="286"/>
        <v>2.0242260518231079E-39</v>
      </c>
    </row>
    <row r="2163" spans="11:22">
      <c r="K2163" s="66">
        <v>107.55</v>
      </c>
      <c r="L2163" s="10">
        <f t="shared" si="280"/>
        <v>5.9441744121387137E-27</v>
      </c>
      <c r="M2163" s="10">
        <f t="shared" si="281"/>
        <v>2.2456986014555724E-38</v>
      </c>
      <c r="N2163" s="10">
        <f t="shared" si="282"/>
        <v>4.3684073897219005</v>
      </c>
      <c r="O2163" s="10">
        <f t="shared" si="283"/>
        <v>6.2713701944180738</v>
      </c>
      <c r="P2163" s="10">
        <f t="shared" si="284"/>
        <v>5.2612735781188804E-3</v>
      </c>
      <c r="Q2163" s="66">
        <f t="shared" si="287"/>
        <v>4</v>
      </c>
      <c r="R2163" s="10">
        <f t="shared" si="285"/>
        <v>2.9890036009094275E-65</v>
      </c>
      <c r="V2163" s="10">
        <f t="shared" si="286"/>
        <v>2.9639084335834444E-39</v>
      </c>
    </row>
    <row r="2164" spans="11:22">
      <c r="K2164" s="66">
        <v>107.6</v>
      </c>
      <c r="L2164" s="10">
        <f t="shared" si="280"/>
        <v>4.7759643183616036E-27</v>
      </c>
      <c r="M2164" s="10">
        <f t="shared" si="281"/>
        <v>1.640302263953509E-38</v>
      </c>
      <c r="N2164" s="10">
        <f t="shared" si="282"/>
        <v>4.3842319275253017</v>
      </c>
      <c r="O2164" s="10">
        <f t="shared" si="283"/>
        <v>6.2940883649617536</v>
      </c>
      <c r="P2164" s="10">
        <f t="shared" si="284"/>
        <v>5.2484543007617216E-3</v>
      </c>
      <c r="Q2164" s="66">
        <f t="shared" si="287"/>
        <v>2</v>
      </c>
      <c r="R2164" s="10">
        <f t="shared" si="285"/>
        <v>8.7811079621689882E-66</v>
      </c>
      <c r="V2164" s="10">
        <f t="shared" si="286"/>
        <v>1.0837226140397592E-39</v>
      </c>
    </row>
    <row r="2165" spans="11:22">
      <c r="K2165" s="66">
        <v>107.65</v>
      </c>
      <c r="L2165" s="10">
        <f t="shared" si="280"/>
        <v>3.834302348645877E-27</v>
      </c>
      <c r="M2165" s="10">
        <f t="shared" si="281"/>
        <v>1.1967462857858822E-38</v>
      </c>
      <c r="N2165" s="10">
        <f t="shared" si="282"/>
        <v>4.4001137909641015</v>
      </c>
      <c r="O2165" s="10">
        <f t="shared" si="283"/>
        <v>6.3168888338687506</v>
      </c>
      <c r="P2165" s="10">
        <f t="shared" si="284"/>
        <v>5.2356662580228521E-3</v>
      </c>
      <c r="Q2165" s="66">
        <f t="shared" si="287"/>
        <v>4</v>
      </c>
      <c r="R2165" s="10">
        <f t="shared" si="285"/>
        <v>1.029896844231605E-65</v>
      </c>
      <c r="V2165" s="10">
        <f t="shared" si="286"/>
        <v>1.5832054232618243E-39</v>
      </c>
    </row>
    <row r="2166" spans="11:22">
      <c r="K2166" s="66">
        <v>107.7</v>
      </c>
      <c r="L2166" s="10">
        <f t="shared" si="280"/>
        <v>3.0758570167084684E-27</v>
      </c>
      <c r="M2166" s="10">
        <f t="shared" si="281"/>
        <v>8.7213615356502964E-39</v>
      </c>
      <c r="N2166" s="10">
        <f t="shared" si="282"/>
        <v>4.4160531877049136</v>
      </c>
      <c r="O2166" s="10">
        <f t="shared" si="283"/>
        <v>6.3397718992713497</v>
      </c>
      <c r="P2166" s="10">
        <f t="shared" si="284"/>
        <v>5.2229093737980415E-3</v>
      </c>
      <c r="Q2166" s="66">
        <f t="shared" si="287"/>
        <v>2</v>
      </c>
      <c r="R2166" s="10">
        <f t="shared" si="285"/>
        <v>3.0139542112670919E-66</v>
      </c>
      <c r="V2166" s="10">
        <f t="shared" si="286"/>
        <v>5.7756438964714389E-40</v>
      </c>
    </row>
    <row r="2167" spans="11:22">
      <c r="K2167" s="66">
        <v>107.75</v>
      </c>
      <c r="L2167" s="10">
        <f t="shared" si="280"/>
        <v>2.4654669466069267E-27</v>
      </c>
      <c r="M2167" s="10">
        <f t="shared" si="281"/>
        <v>6.3484644652997315E-39</v>
      </c>
      <c r="N2167" s="10">
        <f t="shared" si="282"/>
        <v>4.432050326166677</v>
      </c>
      <c r="O2167" s="10">
        <f t="shared" si="283"/>
        <v>6.3627378603818778</v>
      </c>
      <c r="P2167" s="10">
        <f t="shared" si="284"/>
        <v>5.2101835721684751E-3</v>
      </c>
      <c r="Q2167" s="66">
        <f t="shared" si="287"/>
        <v>4</v>
      </c>
      <c r="R2167" s="10">
        <f t="shared" si="285"/>
        <v>3.5212350748259993E-66</v>
      </c>
      <c r="V2167" s="10">
        <f t="shared" si="286"/>
        <v>8.4183260152244491E-40</v>
      </c>
    </row>
    <row r="2168" spans="11:22">
      <c r="K2168" s="66">
        <v>107.8</v>
      </c>
      <c r="L2168" s="10">
        <f t="shared" si="280"/>
        <v>1.9746231471640617E-27</v>
      </c>
      <c r="M2168" s="10">
        <f t="shared" si="281"/>
        <v>4.615869199638728E-39</v>
      </c>
      <c r="N2168" s="10">
        <f t="shared" si="282"/>
        <v>4.448105415523318</v>
      </c>
      <c r="O2168" s="10">
        <f t="shared" si="283"/>
        <v>6.3857870174965816</v>
      </c>
      <c r="P2168" s="10">
        <f t="shared" si="284"/>
        <v>5.197488777400323E-3</v>
      </c>
      <c r="Q2168" s="66">
        <f t="shared" si="287"/>
        <v>2</v>
      </c>
      <c r="R2168" s="10">
        <f t="shared" si="285"/>
        <v>1.0264688926393065E-66</v>
      </c>
      <c r="V2168" s="10">
        <f t="shared" si="286"/>
        <v>3.0640191775716709E-40</v>
      </c>
    </row>
    <row r="2169" spans="11:22">
      <c r="K2169" s="66">
        <v>107.85</v>
      </c>
      <c r="L2169" s="10">
        <f t="shared" si="280"/>
        <v>1.5802288989960445E-27</v>
      </c>
      <c r="M2169" s="10">
        <f t="shared" si="281"/>
        <v>3.3522537264446622E-39</v>
      </c>
      <c r="N2169" s="10">
        <f t="shared" si="282"/>
        <v>4.4642186657065039</v>
      </c>
      <c r="O2169" s="10">
        <f t="shared" si="283"/>
        <v>6.4089196719995192</v>
      </c>
      <c r="P2169" s="10">
        <f t="shared" si="284"/>
        <v>5.1848249139442738E-3</v>
      </c>
      <c r="Q2169" s="66">
        <f t="shared" si="287"/>
        <v>4</v>
      </c>
      <c r="R2169" s="10">
        <f t="shared" si="285"/>
        <v>1.1945542623220216E-66</v>
      </c>
      <c r="V2169" s="10">
        <f t="shared" si="286"/>
        <v>4.4556985102728319E-40</v>
      </c>
    </row>
    <row r="2170" spans="11:22">
      <c r="K2170" s="66">
        <v>107.9</v>
      </c>
      <c r="L2170" s="10">
        <f t="shared" si="280"/>
        <v>1.2635872872484578E-27</v>
      </c>
      <c r="M2170" s="10">
        <f t="shared" si="281"/>
        <v>2.4317394605094282E-39</v>
      </c>
      <c r="N2170" s="10">
        <f t="shared" si="282"/>
        <v>4.4803902874084462</v>
      </c>
      <c r="O2170" s="10">
        <f t="shared" si="283"/>
        <v>6.4321361263665837</v>
      </c>
      <c r="P2170" s="10">
        <f t="shared" si="284"/>
        <v>5.1721919064351002E-3</v>
      </c>
      <c r="Q2170" s="66">
        <f t="shared" si="287"/>
        <v>2</v>
      </c>
      <c r="R2170" s="10">
        <f t="shared" si="285"/>
        <v>3.4685840611335432E-67</v>
      </c>
      <c r="V2170" s="10">
        <f t="shared" si="286"/>
        <v>1.6179939571926088E-40</v>
      </c>
    </row>
    <row r="2171" spans="11:22">
      <c r="K2171" s="66">
        <v>107.95</v>
      </c>
      <c r="L2171" s="10">
        <f t="shared" si="280"/>
        <v>1.0095752564205784E-27</v>
      </c>
      <c r="M2171" s="10">
        <f t="shared" si="281"/>
        <v>1.7619442017404029E-39</v>
      </c>
      <c r="N2171" s="10">
        <f t="shared" si="282"/>
        <v>4.4966204920845465</v>
      </c>
      <c r="O2171" s="10">
        <f t="shared" si="283"/>
        <v>6.4554366841693662</v>
      </c>
      <c r="P2171" s="10">
        <f t="shared" si="284"/>
        <v>5.15958967969122E-3</v>
      </c>
      <c r="Q2171" s="66">
        <f t="shared" si="287"/>
        <v>4</v>
      </c>
      <c r="R2171" s="10">
        <f t="shared" si="285"/>
        <v>4.0207003515684204E-67</v>
      </c>
      <c r="V2171" s="10">
        <f t="shared" si="286"/>
        <v>2.3474315288966279E-40</v>
      </c>
    </row>
    <row r="2172" spans="11:22">
      <c r="K2172" s="66">
        <v>108</v>
      </c>
      <c r="L2172" s="10">
        <f t="shared" si="280"/>
        <v>8.0597036916549373E-28</v>
      </c>
      <c r="M2172" s="10">
        <f t="shared" si="281"/>
        <v>1.275147366400747E-39</v>
      </c>
      <c r="N2172" s="10">
        <f t="shared" si="282"/>
        <v>4.5129094919562727</v>
      </c>
      <c r="O2172" s="10">
        <f t="shared" si="283"/>
        <v>6.4788216500792242</v>
      </c>
      <c r="P2172" s="10">
        <f t="shared" si="284"/>
        <v>5.1470181587142325E-3</v>
      </c>
      <c r="Q2172" s="66">
        <f t="shared" si="287"/>
        <v>2</v>
      </c>
      <c r="R2172" s="10">
        <f t="shared" si="285"/>
        <v>1.1628702151940131E-67</v>
      </c>
      <c r="V2172" s="10">
        <f t="shared" si="286"/>
        <v>8.504369067464864E-41</v>
      </c>
    </row>
    <row r="2173" spans="11:22">
      <c r="K2173" s="66">
        <v>108.05</v>
      </c>
      <c r="L2173" s="10">
        <f t="shared" si="280"/>
        <v>6.4290248119652791E-28</v>
      </c>
      <c r="M2173" s="10">
        <f t="shared" si="281"/>
        <v>9.2176430973085984E-40</v>
      </c>
      <c r="N2173" s="10">
        <f t="shared" si="282"/>
        <v>4.5292575000138182</v>
      </c>
      <c r="O2173" s="10">
        <f t="shared" si="283"/>
        <v>6.5022913298711327</v>
      </c>
      <c r="P2173" s="10">
        <f t="shared" si="284"/>
        <v>5.134477268688405E-3</v>
      </c>
      <c r="Q2173" s="66">
        <f t="shared" si="287"/>
        <v>4</v>
      </c>
      <c r="R2173" s="10">
        <f t="shared" si="285"/>
        <v>1.3426342103161271E-67</v>
      </c>
      <c r="V2173" s="10">
        <f t="shared" si="286"/>
        <v>1.2309560270189598E-40</v>
      </c>
    </row>
    <row r="2174" spans="11:22">
      <c r="K2174" s="66">
        <v>108.1</v>
      </c>
      <c r="L2174" s="10">
        <f t="shared" si="280"/>
        <v>5.1240751796387565E-28</v>
      </c>
      <c r="M2174" s="10">
        <f t="shared" si="281"/>
        <v>6.6553184132306342E-40</v>
      </c>
      <c r="N2174" s="10">
        <f t="shared" si="282"/>
        <v>4.5456647300190065</v>
      </c>
      <c r="O2174" s="10">
        <f t="shared" si="283"/>
        <v>6.5258460304278163</v>
      </c>
      <c r="P2174" s="10">
        <f t="shared" si="284"/>
        <v>5.121966934980406E-3</v>
      </c>
      <c r="Q2174" s="66">
        <f t="shared" si="287"/>
        <v>2</v>
      </c>
      <c r="R2174" s="10">
        <f t="shared" si="285"/>
        <v>3.8677463427832854E-68</v>
      </c>
      <c r="V2174" s="10">
        <f t="shared" si="286"/>
        <v>4.4491026666240492E-41</v>
      </c>
    </row>
    <row r="2175" spans="11:22">
      <c r="K2175" s="66">
        <v>108.15</v>
      </c>
      <c r="L2175" s="10">
        <f t="shared" si="280"/>
        <v>4.0806463742291351E-28</v>
      </c>
      <c r="M2175" s="10">
        <f t="shared" si="281"/>
        <v>4.7996036920185093E-40</v>
      </c>
      <c r="N2175" s="10">
        <f t="shared" si="282"/>
        <v>4.5621313965080095</v>
      </c>
      <c r="O2175" s="10">
        <f t="shared" si="283"/>
        <v>6.5494860597437317</v>
      </c>
      <c r="P2175" s="10">
        <f t="shared" si="284"/>
        <v>5.109487083138675E-3</v>
      </c>
      <c r="Q2175" s="66">
        <f t="shared" si="287"/>
        <v>4</v>
      </c>
      <c r="R2175" s="10">
        <f t="shared" si="285"/>
        <v>4.4478375584054591E-68</v>
      </c>
      <c r="V2175" s="10">
        <f t="shared" si="286"/>
        <v>6.4246562791373141E-41</v>
      </c>
    </row>
    <row r="2176" spans="11:22">
      <c r="K2176" s="66">
        <v>108.2</v>
      </c>
      <c r="L2176" s="10">
        <f t="shared" si="280"/>
        <v>3.2470143810591288E-28</v>
      </c>
      <c r="M2176" s="10">
        <f t="shared" si="281"/>
        <v>3.457225065652341E-40</v>
      </c>
      <c r="N2176" s="10">
        <f t="shared" si="282"/>
        <v>4.5786577147941738</v>
      </c>
      <c r="O2176" s="10">
        <f t="shared" si="283"/>
        <v>6.5732117269290002</v>
      </c>
      <c r="P2176" s="10">
        <f t="shared" si="284"/>
        <v>5.0970376388930864E-3</v>
      </c>
      <c r="Q2176" s="66">
        <f t="shared" si="287"/>
        <v>2</v>
      </c>
      <c r="R2176" s="10">
        <f t="shared" si="285"/>
        <v>1.2761666112779505E-68</v>
      </c>
      <c r="V2176" s="10">
        <f t="shared" si="286"/>
        <v>2.3166109816969591E-41</v>
      </c>
    </row>
    <row r="2177" spans="11:22">
      <c r="K2177" s="66">
        <v>108.25</v>
      </c>
      <c r="L2177" s="10">
        <f t="shared" si="280"/>
        <v>2.5815464837066505E-28</v>
      </c>
      <c r="M2177" s="10">
        <f t="shared" si="281"/>
        <v>2.4873322365462886E-40</v>
      </c>
      <c r="N2177" s="10">
        <f t="shared" si="282"/>
        <v>4.5952439009708446</v>
      </c>
      <c r="O2177" s="10">
        <f t="shared" si="283"/>
        <v>6.5970233422135749</v>
      </c>
      <c r="P2177" s="10">
        <f t="shared" si="284"/>
        <v>5.084618528154468E-3</v>
      </c>
      <c r="Q2177" s="66">
        <f t="shared" si="287"/>
        <v>4</v>
      </c>
      <c r="R2177" s="10">
        <f t="shared" si="285"/>
        <v>1.4616728708471261E-68</v>
      </c>
      <c r="V2177" s="10">
        <f t="shared" si="286"/>
        <v>3.3373379441799705E-41</v>
      </c>
    </row>
    <row r="2178" spans="11:22">
      <c r="K2178" s="66">
        <v>108.3</v>
      </c>
      <c r="L2178" s="10">
        <f t="shared" si="280"/>
        <v>2.0507601527354691E-28</v>
      </c>
      <c r="M2178" s="10">
        <f t="shared" si="281"/>
        <v>1.7874007887835861E-40</v>
      </c>
      <c r="N2178" s="10">
        <f t="shared" si="282"/>
        <v>4.6118901719141645</v>
      </c>
      <c r="O2178" s="10">
        <f t="shared" si="283"/>
        <v>6.6209212169512082</v>
      </c>
      <c r="P2178" s="10">
        <f t="shared" si="284"/>
        <v>5.0722296770141567E-3</v>
      </c>
      <c r="Q2178" s="66">
        <f t="shared" si="287"/>
        <v>2</v>
      </c>
      <c r="R2178" s="10">
        <f t="shared" si="285"/>
        <v>4.1769010651646549E-69</v>
      </c>
      <c r="V2178" s="10">
        <f t="shared" si="286"/>
        <v>1.2005196469426643E-41</v>
      </c>
    </row>
    <row r="2179" spans="11:22">
      <c r="K2179" s="66">
        <v>108.35</v>
      </c>
      <c r="L2179" s="10">
        <f t="shared" si="280"/>
        <v>1.6277498637262143E-28</v>
      </c>
      <c r="M2179" s="10">
        <f t="shared" si="281"/>
        <v>1.2828923543860293E-40</v>
      </c>
      <c r="N2179" s="10">
        <f t="shared" si="282"/>
        <v>4.6285967452859307</v>
      </c>
      <c r="O2179" s="10">
        <f t="shared" si="283"/>
        <v>6.6449056636235575</v>
      </c>
      <c r="P2179" s="10">
        <f t="shared" si="284"/>
        <v>5.0598710117435884E-3</v>
      </c>
      <c r="Q2179" s="66">
        <f t="shared" si="287"/>
        <v>4</v>
      </c>
      <c r="R2179" s="10">
        <f t="shared" si="285"/>
        <v>4.7647068271970318E-69</v>
      </c>
      <c r="V2179" s="10">
        <f t="shared" si="286"/>
        <v>1.7253550276666445E-41</v>
      </c>
    </row>
    <row r="2180" spans="11:22">
      <c r="K2180" s="66">
        <v>108.4</v>
      </c>
      <c r="L2180" s="10">
        <f t="shared" si="280"/>
        <v>1.2909131645246901E-28</v>
      </c>
      <c r="M2180" s="10">
        <f t="shared" si="281"/>
        <v>9.1967997456580341E-41</v>
      </c>
      <c r="N2180" s="10">
        <f t="shared" si="282"/>
        <v>4.645363839536456</v>
      </c>
      <c r="O2180" s="10">
        <f t="shared" si="283"/>
        <v>6.668976995844301</v>
      </c>
      <c r="P2180" s="10">
        <f t="shared" si="284"/>
        <v>5.0475424587938279E-3</v>
      </c>
      <c r="Q2180" s="66">
        <f t="shared" si="287"/>
        <v>2</v>
      </c>
      <c r="R2180" s="10">
        <f t="shared" si="285"/>
        <v>1.3560415401654414E-69</v>
      </c>
      <c r="V2180" s="10">
        <f t="shared" si="286"/>
        <v>6.1916432602731188E-42</v>
      </c>
    </row>
    <row r="2181" spans="11:22">
      <c r="K2181" s="66">
        <v>108.45</v>
      </c>
      <c r="L2181" s="10">
        <f t="shared" si="280"/>
        <v>1.0229199289930181E-28</v>
      </c>
      <c r="M2181" s="10">
        <f t="shared" si="281"/>
        <v>6.5850578527610928E-41</v>
      </c>
      <c r="N2181" s="10">
        <f t="shared" si="282"/>
        <v>4.6621916739073717</v>
      </c>
      <c r="O2181" s="10">
        <f t="shared" si="283"/>
        <v>6.6931355283631486</v>
      </c>
      <c r="P2181" s="10">
        <f t="shared" si="284"/>
        <v>5.0352439447951597E-3</v>
      </c>
      <c r="Q2181" s="66">
        <f t="shared" si="287"/>
        <v>4</v>
      </c>
      <c r="R2181" s="10">
        <f t="shared" si="285"/>
        <v>1.5405698517868935E-69</v>
      </c>
      <c r="V2181" s="10">
        <f t="shared" si="286"/>
        <v>8.8770715642642499E-42</v>
      </c>
    </row>
    <row r="2182" spans="11:22">
      <c r="K2182" s="66">
        <v>108.5</v>
      </c>
      <c r="L2182" s="10">
        <f t="shared" si="280"/>
        <v>8.0987907225670647E-29</v>
      </c>
      <c r="M2182" s="10">
        <f t="shared" si="281"/>
        <v>4.7093060342302318E-41</v>
      </c>
      <c r="N2182" s="10">
        <f t="shared" si="282"/>
        <v>4.6790804684345826</v>
      </c>
      <c r="O2182" s="10">
        <f t="shared" si="283"/>
        <v>6.7173815770701042</v>
      </c>
      <c r="P2182" s="10">
        <f t="shared" si="284"/>
        <v>5.0229753965566276E-3</v>
      </c>
      <c r="Q2182" s="66">
        <f t="shared" si="287"/>
        <v>2</v>
      </c>
      <c r="R2182" s="10">
        <f t="shared" si="285"/>
        <v>4.3665474686685798E-70</v>
      </c>
      <c r="V2182" s="10">
        <f t="shared" si="286"/>
        <v>3.1779567278783601E-42</v>
      </c>
    </row>
    <row r="2183" spans="11:22">
      <c r="K2183" s="66">
        <v>108.55</v>
      </c>
      <c r="L2183" s="10">
        <f t="shared" si="280"/>
        <v>6.4066546523903051E-29</v>
      </c>
      <c r="M2183" s="10">
        <f t="shared" si="281"/>
        <v>3.3637738021181143E-41</v>
      </c>
      <c r="N2183" s="10">
        <f t="shared" si="282"/>
        <v>4.6960304439510425</v>
      </c>
      <c r="O2183" s="10">
        <f t="shared" si="283"/>
        <v>6.7417154589994297</v>
      </c>
      <c r="P2183" s="10">
        <f t="shared" si="284"/>
        <v>5.0107367410655995E-3</v>
      </c>
      <c r="Q2183" s="66">
        <f t="shared" si="287"/>
        <v>4</v>
      </c>
      <c r="R2183" s="10">
        <f t="shared" si="285"/>
        <v>4.940377322250738E-70</v>
      </c>
      <c r="V2183" s="10">
        <f t="shared" si="286"/>
        <v>4.5452605117400633E-42</v>
      </c>
    </row>
    <row r="2184" spans="11:22">
      <c r="K2184" s="66">
        <v>108.6</v>
      </c>
      <c r="L2184" s="10">
        <f t="shared" si="280"/>
        <v>5.0637670836846422E-29</v>
      </c>
      <c r="M2184" s="10">
        <f t="shared" si="281"/>
        <v>2.3997571465077715E-41</v>
      </c>
      <c r="N2184" s="10">
        <f t="shared" si="282"/>
        <v>4.7130418220896999</v>
      </c>
      <c r="O2184" s="10">
        <f t="shared" si="283"/>
        <v>6.7661374923338853</v>
      </c>
      <c r="P2184" s="10">
        <f t="shared" si="284"/>
        <v>4.9985279054873526E-3</v>
      </c>
      <c r="Q2184" s="66">
        <f t="shared" si="287"/>
        <v>2</v>
      </c>
      <c r="R2184" s="10">
        <f t="shared" si="285"/>
        <v>1.3945175097998611E-70</v>
      </c>
      <c r="V2184" s="10">
        <f t="shared" si="286"/>
        <v>1.6232306296206043E-42</v>
      </c>
    </row>
    <row r="2185" spans="11:22">
      <c r="K2185" s="66">
        <v>108.65</v>
      </c>
      <c r="L2185" s="10">
        <f t="shared" si="280"/>
        <v>3.9989508143520851E-29</v>
      </c>
      <c r="M2185" s="10">
        <f t="shared" si="281"/>
        <v>1.709922889016113E-41</v>
      </c>
      <c r="N2185" s="10">
        <f t="shared" si="282"/>
        <v>4.7301148252864085</v>
      </c>
      <c r="O2185" s="10">
        <f t="shared" si="283"/>
        <v>6.7906479964089073</v>
      </c>
      <c r="P2185" s="10">
        <f t="shared" si="284"/>
        <v>4.9863488171646205E-3</v>
      </c>
      <c r="Q2185" s="66">
        <f t="shared" si="287"/>
        <v>4</v>
      </c>
      <c r="R2185" s="10">
        <f t="shared" si="285"/>
        <v>1.5712542723644696E-70</v>
      </c>
      <c r="V2185" s="10">
        <f t="shared" si="286"/>
        <v>2.3159564681788058E-42</v>
      </c>
    </row>
    <row r="2186" spans="11:22">
      <c r="K2186" s="66">
        <v>108.7</v>
      </c>
      <c r="L2186" s="10">
        <f t="shared" si="280"/>
        <v>3.1553460591398569E-29</v>
      </c>
      <c r="M2186" s="10">
        <f t="shared" si="281"/>
        <v>1.2168934560454728E-41</v>
      </c>
      <c r="N2186" s="10">
        <f t="shared" si="282"/>
        <v>4.7472496767827828</v>
      </c>
      <c r="O2186" s="10">
        <f t="shared" si="283"/>
        <v>6.8152472917167009</v>
      </c>
      <c r="P2186" s="10">
        <f t="shared" si="284"/>
        <v>4.9741994036171825E-3</v>
      </c>
      <c r="Q2186" s="66">
        <f t="shared" si="287"/>
        <v>2</v>
      </c>
      <c r="R2186" s="10">
        <f t="shared" si="285"/>
        <v>4.4167657995526466E-71</v>
      </c>
      <c r="V2186" s="10">
        <f t="shared" si="286"/>
        <v>8.2506347434838665E-43</v>
      </c>
    </row>
    <row r="2187" spans="11:22">
      <c r="K2187" s="66">
        <v>108.75</v>
      </c>
      <c r="L2187" s="10">
        <f t="shared" si="280"/>
        <v>2.4875692480748259E-29</v>
      </c>
      <c r="M2187" s="10">
        <f t="shared" si="281"/>
        <v>8.6495487673895529E-42</v>
      </c>
      <c r="N2187" s="10">
        <f t="shared" si="282"/>
        <v>4.7644466006291779</v>
      </c>
      <c r="O2187" s="10">
        <f t="shared" si="283"/>
        <v>6.8399356999105185</v>
      </c>
      <c r="P2187" s="10">
        <f t="shared" si="284"/>
        <v>4.9620795925414086E-3</v>
      </c>
      <c r="Q2187" s="66">
        <f t="shared" si="287"/>
        <v>4</v>
      </c>
      <c r="R2187" s="10">
        <f t="shared" si="285"/>
        <v>4.9558069044958682E-71</v>
      </c>
      <c r="V2187" s="10">
        <f t="shared" si="286"/>
        <v>1.1742733052480898E-42</v>
      </c>
    </row>
    <row r="2188" spans="11:22">
      <c r="K2188" s="66">
        <v>108.8</v>
      </c>
      <c r="L2188" s="10">
        <f t="shared" ref="L2188:L2212" si="288">(B$7^K2188)*B$8^((B$5^25)*((B$5^K2188)-1))</f>
        <v>1.9594277720273245E-29</v>
      </c>
      <c r="M2188" s="10">
        <f t="shared" ref="M2188:M2212" si="289">(B$7^K2188)*B$8^((B$5^30)*((B$5^K2188)-1))</f>
        <v>6.1404086553691337E-42</v>
      </c>
      <c r="N2188" s="10">
        <f t="shared" si="282"/>
        <v>4.7817058216875585</v>
      </c>
      <c r="O2188" s="10">
        <f t="shared" si="283"/>
        <v>6.8647135438088247</v>
      </c>
      <c r="P2188" s="10">
        <f t="shared" si="284"/>
        <v>4.9499893118098307E-3</v>
      </c>
      <c r="Q2188" s="66">
        <f t="shared" si="287"/>
        <v>2</v>
      </c>
      <c r="R2188" s="10">
        <f t="shared" si="285"/>
        <v>1.3872451510597871E-71</v>
      </c>
      <c r="V2188" s="10">
        <f t="shared" si="286"/>
        <v>4.1730534890391609E-43</v>
      </c>
    </row>
    <row r="2189" spans="11:22">
      <c r="K2189" s="66">
        <v>108.85</v>
      </c>
      <c r="L2189" s="10">
        <f t="shared" si="288"/>
        <v>1.5420834687570203E-29</v>
      </c>
      <c r="M2189" s="10">
        <f t="shared" si="289"/>
        <v>4.3537358977489184E-42</v>
      </c>
      <c r="N2189" s="10">
        <f t="shared" ref="N2189:N2212" si="290">B$3+B$4*(B$5^(25+K2189))</f>
        <v>4.7990275656344927</v>
      </c>
      <c r="O2189" s="10">
        <f t="shared" ref="O2189:O2212" si="291">$B$3+$B$4*($B$5^(30+K2189))</f>
        <v>6.8895811473994835</v>
      </c>
      <c r="P2189" s="10">
        <f t="shared" ref="P2189:P2212" si="292">(1+B$6)^-K2189</f>
        <v>4.9379284894707359E-3</v>
      </c>
      <c r="Q2189" s="66">
        <f t="shared" si="287"/>
        <v>4</v>
      </c>
      <c r="R2189" s="10">
        <f t="shared" ref="R2189:R2212" si="293">L2189*M2189*(N2189+O2189)*P2189*Q2189</f>
        <v>1.5500209577940815E-71</v>
      </c>
      <c r="V2189" s="10">
        <f t="shared" si="286"/>
        <v>5.9246089192828572E-43</v>
      </c>
    </row>
    <row r="2190" spans="11:22">
      <c r="K2190" s="66">
        <v>108.9</v>
      </c>
      <c r="L2190" s="10">
        <f t="shared" si="288"/>
        <v>1.2125780042744708E-29</v>
      </c>
      <c r="M2190" s="10">
        <f t="shared" si="289"/>
        <v>3.0830879627461716E-42</v>
      </c>
      <c r="N2190" s="10">
        <f t="shared" si="290"/>
        <v>4.8164120589640795</v>
      </c>
      <c r="O2190" s="10">
        <f t="shared" si="291"/>
        <v>6.9145388358440787</v>
      </c>
      <c r="P2190" s="10">
        <f t="shared" si="292"/>
        <v>4.9258970537477149E-3</v>
      </c>
      <c r="Q2190" s="66">
        <f t="shared" si="287"/>
        <v>2</v>
      </c>
      <c r="R2190" s="10">
        <f t="shared" si="293"/>
        <v>4.3206008373542273E-72</v>
      </c>
      <c r="V2190" s="10">
        <f t="shared" ref="V2190:V2212" si="294">(1-L2190)*M2190*O2190*P2190*Q2190</f>
        <v>2.1002184182883617E-43</v>
      </c>
    </row>
    <row r="2191" spans="11:22">
      <c r="K2191" s="66">
        <v>108.95</v>
      </c>
      <c r="L2191" s="10">
        <f t="shared" si="288"/>
        <v>9.5264985941379853E-30</v>
      </c>
      <c r="M2191" s="10">
        <f t="shared" si="289"/>
        <v>2.1805538695921359E-42</v>
      </c>
      <c r="N2191" s="10">
        <f t="shared" si="290"/>
        <v>4.8338595289908879</v>
      </c>
      <c r="O2191" s="10">
        <f t="shared" si="291"/>
        <v>6.9395869354820698</v>
      </c>
      <c r="P2191" s="10">
        <f t="shared" si="292"/>
        <v>4.9138949330392555E-3</v>
      </c>
      <c r="Q2191" s="66">
        <f t="shared" ref="Q2191:Q2211" si="295">IF(Q2190=4,2,4)</f>
        <v>4</v>
      </c>
      <c r="R2191" s="10">
        <f t="shared" si="293"/>
        <v>4.8071713080759621E-72</v>
      </c>
      <c r="V2191" s="10">
        <f t="shared" si="294"/>
        <v>2.9743104611550523E-43</v>
      </c>
    </row>
    <row r="2192" spans="11:22">
      <c r="K2192" s="66">
        <v>109</v>
      </c>
      <c r="L2192" s="10">
        <f t="shared" si="288"/>
        <v>7.4778608006356225E-30</v>
      </c>
      <c r="M2192" s="10">
        <f t="shared" si="289"/>
        <v>1.5402911764657166E-42</v>
      </c>
      <c r="N2192" s="10">
        <f t="shared" si="290"/>
        <v>4.8513702038529933</v>
      </c>
      <c r="O2192" s="10">
        <f t="shared" si="291"/>
        <v>6.9647257738351662</v>
      </c>
      <c r="P2192" s="10">
        <f t="shared" si="292"/>
        <v>4.9019220559183155E-3</v>
      </c>
      <c r="Q2192" s="66">
        <f t="shared" si="295"/>
        <v>2</v>
      </c>
      <c r="R2192" s="10">
        <f t="shared" si="293"/>
        <v>1.334291167302408E-72</v>
      </c>
      <c r="V2192" s="10">
        <f t="shared" si="294"/>
        <v>1.0517275392852022E-43</v>
      </c>
    </row>
    <row r="2193" spans="11:22">
      <c r="K2193" s="66">
        <v>109.05</v>
      </c>
      <c r="L2193" s="10">
        <f t="shared" si="288"/>
        <v>5.8646286495456259E-30</v>
      </c>
      <c r="M2193" s="10">
        <f t="shared" si="289"/>
        <v>1.0866557036327461E-42</v>
      </c>
      <c r="N2193" s="10">
        <f t="shared" si="290"/>
        <v>4.8689443125148548</v>
      </c>
      <c r="O2193" s="10">
        <f t="shared" si="291"/>
        <v>6.9899556796114668</v>
      </c>
      <c r="P2193" s="10">
        <f t="shared" si="292"/>
        <v>4.8899783511318143E-3</v>
      </c>
      <c r="Q2193" s="66">
        <f t="shared" si="295"/>
        <v>4</v>
      </c>
      <c r="R2193" s="10">
        <f t="shared" si="293"/>
        <v>1.4782361404540996E-72</v>
      </c>
      <c r="V2193" s="10">
        <f t="shared" si="294"/>
        <v>1.485707493054612E-43</v>
      </c>
    </row>
    <row r="2194" spans="11:22">
      <c r="K2194" s="66">
        <v>109.1</v>
      </c>
      <c r="L2194" s="10">
        <f t="shared" si="288"/>
        <v>4.5953791663030832E-30</v>
      </c>
      <c r="M2194" s="10">
        <f t="shared" si="289"/>
        <v>7.6565345741675613E-43</v>
      </c>
      <c r="N2194" s="10">
        <f t="shared" si="290"/>
        <v>4.8865820847704233</v>
      </c>
      <c r="O2194" s="10">
        <f t="shared" si="291"/>
        <v>7.015276982709902</v>
      </c>
      <c r="P2194" s="10">
        <f t="shared" si="292"/>
        <v>4.8780637476003863E-3</v>
      </c>
      <c r="Q2194" s="66">
        <f t="shared" si="295"/>
        <v>2</v>
      </c>
      <c r="R2194" s="10">
        <f t="shared" si="293"/>
        <v>4.0855061584228694E-73</v>
      </c>
      <c r="V2194" s="10">
        <f t="shared" si="294"/>
        <v>5.2402805434086846E-44</v>
      </c>
    </row>
    <row r="2195" spans="11:22">
      <c r="K2195" s="66">
        <v>109.15</v>
      </c>
      <c r="L2195" s="10">
        <f t="shared" si="288"/>
        <v>3.5976465312482684E-30</v>
      </c>
      <c r="M2195" s="10">
        <f t="shared" si="289"/>
        <v>5.3879268602646445E-43</v>
      </c>
      <c r="N2195" s="10">
        <f t="shared" si="290"/>
        <v>4.9042837512461093</v>
      </c>
      <c r="O2195" s="10">
        <f t="shared" si="291"/>
        <v>7.0406900142245119</v>
      </c>
      <c r="P2195" s="10">
        <f t="shared" si="292"/>
        <v>4.8661781744177854E-3</v>
      </c>
      <c r="Q2195" s="66">
        <f t="shared" si="295"/>
        <v>4</v>
      </c>
      <c r="R2195" s="10">
        <f t="shared" si="293"/>
        <v>4.5068528807208441E-73</v>
      </c>
      <c r="V2195" s="10">
        <f t="shared" si="294"/>
        <v>7.3838848139382504E-44</v>
      </c>
    </row>
    <row r="2196" spans="11:22">
      <c r="K2196" s="66">
        <v>109.2</v>
      </c>
      <c r="L2196" s="10">
        <f t="shared" si="288"/>
        <v>2.8140418359795315E-30</v>
      </c>
      <c r="M2196" s="10">
        <f t="shared" si="289"/>
        <v>3.7866773281676515E-43</v>
      </c>
      <c r="N2196" s="10">
        <f t="shared" si="290"/>
        <v>4.9220495434037366</v>
      </c>
      <c r="O2196" s="10">
        <f t="shared" si="291"/>
        <v>7.0661951064486743</v>
      </c>
      <c r="P2196" s="10">
        <f t="shared" si="292"/>
        <v>4.8543215608505578E-3</v>
      </c>
      <c r="Q2196" s="66">
        <f t="shared" si="295"/>
        <v>2</v>
      </c>
      <c r="R2196" s="10">
        <f t="shared" si="293"/>
        <v>1.2402321455222569E-73</v>
      </c>
      <c r="V2196" s="10">
        <f t="shared" si="294"/>
        <v>2.5977805528975623E-44</v>
      </c>
    </row>
    <row r="2197" spans="11:22">
      <c r="K2197" s="66">
        <v>109.25</v>
      </c>
      <c r="L2197" s="10">
        <f t="shared" si="288"/>
        <v>2.1991564684065972E-30</v>
      </c>
      <c r="M2197" s="10">
        <f t="shared" si="289"/>
        <v>2.6579087605492068E-43</v>
      </c>
      <c r="N2197" s="10">
        <f t="shared" si="290"/>
        <v>4.9398796935436575</v>
      </c>
      <c r="O2197" s="10">
        <f t="shared" si="291"/>
        <v>7.0917925928795924</v>
      </c>
      <c r="P2197" s="10">
        <f t="shared" si="292"/>
        <v>4.8424938363375875E-3</v>
      </c>
      <c r="Q2197" s="66">
        <f t="shared" si="295"/>
        <v>4</v>
      </c>
      <c r="R2197" s="10">
        <f t="shared" si="293"/>
        <v>1.3622325740270488E-73</v>
      </c>
      <c r="V2197" s="10">
        <f t="shared" si="294"/>
        <v>3.6511120576225072E-44</v>
      </c>
    </row>
    <row r="2198" spans="11:22">
      <c r="K2198" s="66">
        <v>109.3</v>
      </c>
      <c r="L2198" s="10">
        <f t="shared" si="288"/>
        <v>1.7170930602810586E-30</v>
      </c>
      <c r="M2198" s="10">
        <f t="shared" si="289"/>
        <v>1.863223654966736E-43</v>
      </c>
      <c r="N2198" s="10">
        <f t="shared" si="290"/>
        <v>4.9577744348077282</v>
      </c>
      <c r="O2198" s="10">
        <f t="shared" si="291"/>
        <v>7.1174828082225492</v>
      </c>
      <c r="P2198" s="10">
        <f t="shared" si="292"/>
        <v>4.8306949304896723E-3</v>
      </c>
      <c r="Q2198" s="66">
        <f t="shared" si="295"/>
        <v>2</v>
      </c>
      <c r="R2198" s="10">
        <f t="shared" si="293"/>
        <v>3.7324570678009215E-74</v>
      </c>
      <c r="V2198" s="10">
        <f t="shared" si="294"/>
        <v>1.2812415771710393E-44</v>
      </c>
    </row>
    <row r="2199" spans="11:22">
      <c r="K2199" s="66">
        <v>109.35</v>
      </c>
      <c r="L2199" s="10">
        <f t="shared" si="288"/>
        <v>1.3394985660470522E-30</v>
      </c>
      <c r="M2199" s="10">
        <f t="shared" si="289"/>
        <v>1.3044608340849892E-43</v>
      </c>
      <c r="N2199" s="10">
        <f t="shared" si="290"/>
        <v>4.9757340011823752</v>
      </c>
      <c r="O2199" s="10">
        <f t="shared" si="291"/>
        <v>7.1432660883953236</v>
      </c>
      <c r="P2199" s="10">
        <f t="shared" si="292"/>
        <v>4.8189247730891314E-3</v>
      </c>
      <c r="Q2199" s="66">
        <f t="shared" si="295"/>
        <v>4</v>
      </c>
      <c r="R2199" s="10">
        <f t="shared" si="293"/>
        <v>4.0817859255738436E-74</v>
      </c>
      <c r="V2199" s="10">
        <f t="shared" si="294"/>
        <v>1.7961310065642356E-44</v>
      </c>
    </row>
    <row r="2200" spans="11:22">
      <c r="K2200" s="66">
        <v>109.4</v>
      </c>
      <c r="L2200" s="10">
        <f t="shared" si="288"/>
        <v>1.0439987533438749E-30</v>
      </c>
      <c r="M2200" s="10">
        <f t="shared" si="289"/>
        <v>9.1208688012574143E-44</v>
      </c>
      <c r="N2200" s="10">
        <f t="shared" si="290"/>
        <v>4.9937586275016912</v>
      </c>
      <c r="O2200" s="10">
        <f t="shared" si="291"/>
        <v>7.1691427705326101</v>
      </c>
      <c r="P2200" s="10">
        <f t="shared" si="292"/>
        <v>4.8071832940893584E-3</v>
      </c>
      <c r="Q2200" s="66">
        <f t="shared" si="295"/>
        <v>2</v>
      </c>
      <c r="R2200" s="10">
        <f t="shared" si="293"/>
        <v>1.113509821990068E-74</v>
      </c>
      <c r="V2200" s="10">
        <f t="shared" si="294"/>
        <v>6.2867199613788736E-45</v>
      </c>
    </row>
    <row r="2201" spans="11:22">
      <c r="K2201" s="66">
        <v>109.45</v>
      </c>
      <c r="L2201" s="10">
        <f t="shared" si="288"/>
        <v>8.1295330092411499E-31</v>
      </c>
      <c r="M2201" s="10">
        <f t="shared" si="289"/>
        <v>6.3691056221980419E-44</v>
      </c>
      <c r="N2201" s="10">
        <f t="shared" si="290"/>
        <v>5.0118485494504244</v>
      </c>
      <c r="O2201" s="10">
        <f t="shared" si="291"/>
        <v>7.1951131929903847</v>
      </c>
      <c r="P2201" s="10">
        <f t="shared" si="292"/>
        <v>4.7954704236144417E-3</v>
      </c>
      <c r="Q2201" s="66">
        <f t="shared" si="295"/>
        <v>4</v>
      </c>
      <c r="R2201" s="10">
        <f t="shared" si="293"/>
        <v>1.2123913843714218E-74</v>
      </c>
      <c r="V2201" s="10">
        <f t="shared" si="294"/>
        <v>8.7903727171730281E-45</v>
      </c>
    </row>
    <row r="2202" spans="11:22">
      <c r="K2202" s="66">
        <v>109.5</v>
      </c>
      <c r="L2202" s="10">
        <f t="shared" si="288"/>
        <v>6.324667355352227E-31</v>
      </c>
      <c r="M2202" s="10">
        <f t="shared" si="289"/>
        <v>4.4417665793701324E-44</v>
      </c>
      <c r="N2202" s="10">
        <f t="shared" si="290"/>
        <v>5.0300040035671758</v>
      </c>
      <c r="O2202" s="10">
        <f t="shared" si="291"/>
        <v>7.2211776953503612</v>
      </c>
      <c r="P2202" s="10">
        <f t="shared" si="292"/>
        <v>4.7837860919586923E-3</v>
      </c>
      <c r="Q2202" s="66">
        <f t="shared" si="295"/>
        <v>2</v>
      </c>
      <c r="R2202" s="10">
        <f t="shared" si="293"/>
        <v>3.2928591117074323E-75</v>
      </c>
      <c r="V2202" s="10">
        <f t="shared" si="294"/>
        <v>3.0687782795542311E-45</v>
      </c>
    </row>
    <row r="2203" spans="11:22">
      <c r="K2203" s="66">
        <v>109.55</v>
      </c>
      <c r="L2203" s="10">
        <f t="shared" si="288"/>
        <v>4.9160333957441435E-31</v>
      </c>
      <c r="M2203" s="10">
        <f t="shared" si="289"/>
        <v>3.0936131494491621E-44</v>
      </c>
      <c r="N2203" s="10">
        <f t="shared" si="290"/>
        <v>5.0482252272473715</v>
      </c>
      <c r="O2203" s="10">
        <f t="shared" si="291"/>
        <v>7.2473366184243861</v>
      </c>
      <c r="P2203" s="10">
        <f t="shared" si="292"/>
        <v>4.7721302295862852E-3</v>
      </c>
      <c r="Q2203" s="66">
        <f t="shared" si="295"/>
        <v>4</v>
      </c>
      <c r="R2203" s="10">
        <f t="shared" si="293"/>
        <v>3.5694515083143633E-75</v>
      </c>
      <c r="V2203" s="10">
        <f t="shared" si="294"/>
        <v>4.2797334070615386E-45</v>
      </c>
    </row>
    <row r="2204" spans="11:22">
      <c r="K2204" s="66">
        <v>109.6</v>
      </c>
      <c r="L2204" s="10">
        <f t="shared" si="288"/>
        <v>3.8176452976785646E-31</v>
      </c>
      <c r="M2204" s="10">
        <f t="shared" si="289"/>
        <v>2.1518263234518243E-44</v>
      </c>
      <c r="N2204" s="10">
        <f t="shared" si="290"/>
        <v>5.0665124587464279</v>
      </c>
      <c r="O2204" s="10">
        <f t="shared" si="291"/>
        <v>7.2735903042589261</v>
      </c>
      <c r="P2204" s="10">
        <f t="shared" si="292"/>
        <v>4.7605027671308109E-3</v>
      </c>
      <c r="Q2204" s="66">
        <f t="shared" si="295"/>
        <v>2</v>
      </c>
      <c r="R2204" s="10">
        <f t="shared" si="293"/>
        <v>9.6517126793136379E-76</v>
      </c>
      <c r="V2204" s="10">
        <f t="shared" si="294"/>
        <v>1.4901804746997876E-45</v>
      </c>
    </row>
    <row r="2205" spans="11:22">
      <c r="K2205" s="66">
        <v>109.65</v>
      </c>
      <c r="L2205" s="10">
        <f t="shared" si="288"/>
        <v>2.9619553307737226E-31</v>
      </c>
      <c r="M2205" s="10">
        <f t="shared" si="289"/>
        <v>1.4947800859284263E-44</v>
      </c>
      <c r="N2205" s="10">
        <f t="shared" si="290"/>
        <v>5.0848659371828893</v>
      </c>
      <c r="O2205" s="10">
        <f t="shared" si="291"/>
        <v>7.2999390961395747</v>
      </c>
      <c r="P2205" s="10">
        <f t="shared" si="292"/>
        <v>4.7489036353948761E-3</v>
      </c>
      <c r="Q2205" s="66">
        <f t="shared" si="295"/>
        <v>4</v>
      </c>
      <c r="R2205" s="10">
        <f t="shared" si="293"/>
        <v>1.0415936664669107E-75</v>
      </c>
      <c r="V2205" s="10">
        <f t="shared" si="294"/>
        <v>2.0727641493766214E-45</v>
      </c>
    </row>
    <row r="2206" spans="11:22">
      <c r="K2206" s="66">
        <v>109.7</v>
      </c>
      <c r="L2206" s="10">
        <f t="shared" si="288"/>
        <v>2.2959486575283234E-31</v>
      </c>
      <c r="M2206" s="10">
        <f t="shared" si="289"/>
        <v>1.0369891163515359E-44</v>
      </c>
      <c r="N2206" s="10">
        <f t="shared" si="290"/>
        <v>5.1032859025414909</v>
      </c>
      <c r="O2206" s="10">
        <f t="shared" si="291"/>
        <v>7.3263833385954404</v>
      </c>
      <c r="P2206" s="10">
        <f t="shared" si="292"/>
        <v>4.7373327653497006E-3</v>
      </c>
      <c r="Q2206" s="66">
        <f t="shared" si="295"/>
        <v>2</v>
      </c>
      <c r="R2206" s="10">
        <f t="shared" si="293"/>
        <v>2.8038826293000558E-76</v>
      </c>
      <c r="V2206" s="10">
        <f t="shared" si="294"/>
        <v>7.1982632366344236E-46</v>
      </c>
    </row>
    <row r="2207" spans="11:22">
      <c r="K2207" s="66">
        <v>109.75</v>
      </c>
      <c r="L2207" s="10">
        <f t="shared" si="288"/>
        <v>1.7780547552274808E-31</v>
      </c>
      <c r="M2207" s="10">
        <f t="shared" si="289"/>
        <v>7.1844880101655615E-45</v>
      </c>
      <c r="N2207" s="10">
        <f t="shared" si="290"/>
        <v>5.1217725956763669</v>
      </c>
      <c r="O2207" s="10">
        <f t="shared" si="291"/>
        <v>7.3529233774038074</v>
      </c>
      <c r="P2207" s="10">
        <f t="shared" si="292"/>
        <v>4.7257900881346737E-3</v>
      </c>
      <c r="Q2207" s="66">
        <f t="shared" si="295"/>
        <v>4</v>
      </c>
      <c r="R2207" s="10">
        <f t="shared" si="293"/>
        <v>3.0123493985716399E-76</v>
      </c>
      <c r="V2207" s="10">
        <f t="shared" si="294"/>
        <v>9.985970599748554E-46</v>
      </c>
    </row>
    <row r="2208" spans="11:22">
      <c r="K2208" s="66">
        <v>109.8</v>
      </c>
      <c r="L2208" s="10">
        <f t="shared" si="288"/>
        <v>1.3757069449546151E-31</v>
      </c>
      <c r="M2208" s="10">
        <f t="shared" si="289"/>
        <v>4.9709580430626859E-45</v>
      </c>
      <c r="N2208" s="10">
        <f t="shared" si="290"/>
        <v>5.1403262583141256</v>
      </c>
      <c r="O2208" s="10">
        <f t="shared" si="291"/>
        <v>7.3795595595944858</v>
      </c>
      <c r="P2208" s="10">
        <f t="shared" si="292"/>
        <v>4.7142755350569809E-3</v>
      </c>
      <c r="Q2208" s="66">
        <f t="shared" si="295"/>
        <v>2</v>
      </c>
      <c r="R2208" s="10">
        <f t="shared" si="293"/>
        <v>8.0725613291841737E-77</v>
      </c>
      <c r="V2208" s="10">
        <f t="shared" si="294"/>
        <v>3.4587207353859033E-46</v>
      </c>
    </row>
    <row r="2209" spans="11:22">
      <c r="K2209" s="66">
        <v>109.85</v>
      </c>
      <c r="L2209" s="10">
        <f t="shared" si="288"/>
        <v>1.0634158069871726E-31</v>
      </c>
      <c r="M2209" s="10">
        <f t="shared" si="289"/>
        <v>3.4348274608856028E-45</v>
      </c>
      <c r="N2209" s="10">
        <f t="shared" si="290"/>
        <v>5.1589471330570795</v>
      </c>
      <c r="O2209" s="10">
        <f t="shared" si="291"/>
        <v>7.4062922334544439</v>
      </c>
      <c r="P2209" s="10">
        <f t="shared" si="292"/>
        <v>4.7027890375911765E-3</v>
      </c>
      <c r="Q2209" s="66">
        <f t="shared" si="295"/>
        <v>4</v>
      </c>
      <c r="R2209" s="10">
        <f t="shared" si="293"/>
        <v>8.6336470948644709E-77</v>
      </c>
      <c r="V2209" s="10">
        <f t="shared" si="294"/>
        <v>4.7854332085708694E-46</v>
      </c>
    </row>
    <row r="2210" spans="11:22">
      <c r="K2210" s="66">
        <v>109.9</v>
      </c>
      <c r="L2210" s="10">
        <f t="shared" si="288"/>
        <v>8.2124968168058311E-32</v>
      </c>
      <c r="M2210" s="10">
        <f t="shared" si="289"/>
        <v>2.3702175622944924E-45</v>
      </c>
      <c r="N2210" s="10">
        <f t="shared" si="290"/>
        <v>5.1776354633863866</v>
      </c>
      <c r="O2210" s="10">
        <f t="shared" si="291"/>
        <v>7.4331217485323844</v>
      </c>
      <c r="P2210" s="10">
        <f t="shared" si="292"/>
        <v>4.6913305273787748E-3</v>
      </c>
      <c r="Q2210" s="66">
        <f t="shared" si="295"/>
        <v>2</v>
      </c>
      <c r="R2210" s="10">
        <f t="shared" si="293"/>
        <v>2.3031945190847234E-77</v>
      </c>
      <c r="V2210" s="10">
        <f t="shared" si="294"/>
        <v>1.6530480814023031E-46</v>
      </c>
    </row>
    <row r="2211" spans="11:22">
      <c r="K2211" s="66">
        <v>109.95</v>
      </c>
      <c r="L2211" s="10">
        <f t="shared" si="288"/>
        <v>6.3363735205037783E-32</v>
      </c>
      <c r="M2211" s="10">
        <f t="shared" si="289"/>
        <v>1.633382307145082E-45</v>
      </c>
      <c r="N2211" s="10">
        <f t="shared" si="290"/>
        <v>5.1963914936652049</v>
      </c>
      <c r="O2211" s="10">
        <f t="shared" si="291"/>
        <v>7.4600484556432249</v>
      </c>
      <c r="P2211" s="10">
        <f t="shared" si="292"/>
        <v>4.6798999362278656E-3</v>
      </c>
      <c r="Q2211" s="66">
        <f t="shared" si="295"/>
        <v>4</v>
      </c>
      <c r="R2211" s="10">
        <f t="shared" si="293"/>
        <v>2.4520918781393758E-77</v>
      </c>
      <c r="V2211" s="10">
        <f t="shared" si="294"/>
        <v>2.2810040372300484E-46</v>
      </c>
    </row>
    <row r="2212" spans="11:22">
      <c r="K2212" s="66">
        <v>110</v>
      </c>
      <c r="L2212" s="10">
        <f t="shared" si="288"/>
        <v>4.8842547471581843E-32</v>
      </c>
      <c r="M2212" s="10">
        <f t="shared" si="289"/>
        <v>1.1240916396336029E-45</v>
      </c>
      <c r="N2212" s="10">
        <f t="shared" si="290"/>
        <v>5.2152154691419677</v>
      </c>
      <c r="O2212" s="10">
        <f t="shared" si="291"/>
        <v>7.4870727068728042</v>
      </c>
      <c r="P2212" s="10">
        <f t="shared" si="292"/>
        <v>4.6684971961126823E-3</v>
      </c>
      <c r="Q2212" s="66">
        <v>1</v>
      </c>
      <c r="R2212" s="10">
        <f t="shared" si="293"/>
        <v>3.2558102695643554E-78</v>
      </c>
      <c r="V2212" s="10">
        <f t="shared" si="294"/>
        <v>3.9290799918326808E-47</v>
      </c>
    </row>
    <row r="2213" spans="11:22">
      <c r="Q2213" s="4"/>
      <c r="R2213" s="46">
        <f>SUM(R12:R2212)/60</f>
        <v>0.24932993233654382</v>
      </c>
      <c r="V2213" s="46">
        <f>SUM(V12:V2212)/60</f>
        <v>4.4022236446202609E-2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8"/>
  <sheetViews>
    <sheetView zoomScale="125" zoomScaleNormal="125" zoomScalePageLayoutView="125" workbookViewId="0"/>
  </sheetViews>
  <sheetFormatPr baseColWidth="10" defaultRowHeight="12" x14ac:dyDescent="0"/>
  <cols>
    <col min="15" max="16" width="10.83203125" style="8"/>
  </cols>
  <sheetData>
    <row r="1" spans="1:24" ht="15">
      <c r="A1" s="70" t="s">
        <v>335</v>
      </c>
    </row>
    <row r="2" spans="1:24">
      <c r="C2" s="6" t="s">
        <v>521</v>
      </c>
      <c r="D2" s="6" t="s">
        <v>521</v>
      </c>
    </row>
    <row r="3" spans="1:24">
      <c r="B3" s="6"/>
      <c r="C3" s="6" t="s">
        <v>523</v>
      </c>
      <c r="D3" s="6" t="s">
        <v>524</v>
      </c>
    </row>
    <row r="4" spans="1:24">
      <c r="B4" s="6" t="s">
        <v>522</v>
      </c>
      <c r="C4" t="s">
        <v>545</v>
      </c>
      <c r="D4" t="s">
        <v>545</v>
      </c>
    </row>
    <row r="5" spans="1:24">
      <c r="A5" s="52" t="s">
        <v>9</v>
      </c>
      <c r="B5" s="51">
        <v>1E-4</v>
      </c>
      <c r="C5" s="51">
        <v>1E-4</v>
      </c>
      <c r="D5" s="51">
        <v>1E-4</v>
      </c>
    </row>
    <row r="6" spans="1:24">
      <c r="A6" s="52" t="s">
        <v>10</v>
      </c>
      <c r="B6" s="51">
        <v>4.0000000000000002E-4</v>
      </c>
      <c r="C6" s="51">
        <v>2.5000000000000001E-4</v>
      </c>
      <c r="D6" s="51">
        <v>2.9999999999999997E-4</v>
      </c>
    </row>
    <row r="7" spans="1:24">
      <c r="A7" s="52" t="s">
        <v>24</v>
      </c>
      <c r="B7" s="51">
        <v>1.075</v>
      </c>
      <c r="C7" s="51">
        <v>1.07</v>
      </c>
      <c r="D7" s="51">
        <v>1.0720000000000001</v>
      </c>
    </row>
    <row r="8" spans="1:24">
      <c r="A8" s="52" t="s">
        <v>74</v>
      </c>
      <c r="B8" s="61">
        <v>0.05</v>
      </c>
      <c r="C8" s="51"/>
      <c r="D8" s="51"/>
    </row>
    <row r="9" spans="1:24">
      <c r="A9" s="9" t="s">
        <v>27</v>
      </c>
      <c r="B9" s="18">
        <f>EXP(-B5)</f>
        <v>0.99990000499983334</v>
      </c>
      <c r="C9" s="18">
        <f>EXP(-C5)</f>
        <v>0.99990000499983334</v>
      </c>
      <c r="D9" s="18">
        <f>EXP(-D5)</f>
        <v>0.99990000499983334</v>
      </c>
    </row>
    <row r="10" spans="1:24">
      <c r="A10" s="9" t="s">
        <v>25</v>
      </c>
      <c r="B10" s="18">
        <f>EXP(-B6/LN(B7))</f>
        <v>0.99448434453852164</v>
      </c>
      <c r="C10" s="18">
        <f>EXP(-C6/LN(C7))</f>
        <v>0.99631179905902323</v>
      </c>
      <c r="D10" s="18">
        <f>EXP(-D6/LN(D7))</f>
        <v>0.99569436727430127</v>
      </c>
    </row>
    <row r="11" spans="1:24">
      <c r="J11" t="s">
        <v>527</v>
      </c>
      <c r="S11" t="s">
        <v>535</v>
      </c>
    </row>
    <row r="12" spans="1:24">
      <c r="A12" s="11" t="s">
        <v>1</v>
      </c>
      <c r="H12" s="1" t="s">
        <v>541</v>
      </c>
      <c r="L12" s="306" t="s">
        <v>537</v>
      </c>
      <c r="M12" s="306"/>
    </row>
    <row r="13" spans="1:24" ht="14" customHeight="1">
      <c r="A13" s="87" t="s">
        <v>0</v>
      </c>
      <c r="B13" s="7" t="s">
        <v>79</v>
      </c>
      <c r="C13" s="87" t="s">
        <v>85</v>
      </c>
      <c r="D13" s="87" t="s">
        <v>23</v>
      </c>
      <c r="H13" s="87" t="s">
        <v>0</v>
      </c>
      <c r="I13" s="7" t="s">
        <v>526</v>
      </c>
      <c r="J13" s="87" t="s">
        <v>528</v>
      </c>
      <c r="K13" s="87" t="s">
        <v>529</v>
      </c>
      <c r="L13" s="307" t="s">
        <v>536</v>
      </c>
      <c r="M13" s="308" t="s">
        <v>530</v>
      </c>
      <c r="N13" s="10" t="s">
        <v>532</v>
      </c>
      <c r="O13" s="10" t="s">
        <v>533</v>
      </c>
      <c r="P13" s="10" t="s">
        <v>534</v>
      </c>
      <c r="Q13" s="87" t="s">
        <v>531</v>
      </c>
      <c r="S13" s="87" t="s">
        <v>538</v>
      </c>
      <c r="T13" s="87" t="s">
        <v>539</v>
      </c>
      <c r="U13" s="87" t="s">
        <v>540</v>
      </c>
      <c r="W13" s="11" t="s">
        <v>2</v>
      </c>
    </row>
    <row r="14" spans="1:24" ht="14" customHeight="1">
      <c r="A14" s="19">
        <v>0</v>
      </c>
      <c r="B14" s="10">
        <f t="shared" ref="B14:B77" si="0">(B$9^A14)*B$10^((B$7^65)*((B$7^A14)-1))</f>
        <v>1</v>
      </c>
      <c r="C14" s="10">
        <f>(1+B$8)^-A14</f>
        <v>1</v>
      </c>
      <c r="D14" s="10">
        <f>B14*C14</f>
        <v>1</v>
      </c>
      <c r="F14" s="48" t="s">
        <v>525</v>
      </c>
      <c r="H14" s="19">
        <f t="shared" ref="H14:H77" si="1">A14</f>
        <v>0</v>
      </c>
      <c r="I14" s="10">
        <f>(C$9^H14)*C$10^((C$7^63)*((C$7^H14)-1))</f>
        <v>1</v>
      </c>
      <c r="J14" s="10">
        <f>B14*I14</f>
        <v>1</v>
      </c>
      <c r="K14" s="10">
        <f>B14*(1-I14)</f>
        <v>0</v>
      </c>
      <c r="L14" s="10">
        <f>(D$9^H14)*D$10^((D$7^63)*((D$7^H14)-1))</f>
        <v>1</v>
      </c>
      <c r="M14" s="10">
        <f>L15/L14</f>
        <v>0.99799165780200316</v>
      </c>
      <c r="N14" s="10">
        <f>B15/B14</f>
        <v>0.99631938498470329</v>
      </c>
      <c r="O14" s="10">
        <f>(1/24)*(Q14*M14+(J15/J14)*Q15)</f>
        <v>3.6741724538667899E-3</v>
      </c>
      <c r="P14" s="10">
        <v>0</v>
      </c>
      <c r="Q14" s="10">
        <f>0.0001+0.0004*(1.075^(65+H14))</f>
        <v>4.4115958916335275E-2</v>
      </c>
      <c r="S14" s="5">
        <f>C14*J14</f>
        <v>1</v>
      </c>
      <c r="T14" s="5">
        <f>C14*K14</f>
        <v>0</v>
      </c>
      <c r="U14" s="5">
        <f>C14*P14</f>
        <v>0</v>
      </c>
      <c r="W14" s="87" t="s">
        <v>542</v>
      </c>
      <c r="X14" s="20">
        <f>SUM(S14:S734)/12</f>
        <v>6.8626199277455697</v>
      </c>
    </row>
    <row r="15" spans="1:24" ht="14" customHeight="1">
      <c r="A15" s="19">
        <f>A14+1/12</f>
        <v>8.3333333333333329E-2</v>
      </c>
      <c r="B15" s="10">
        <f t="shared" si="0"/>
        <v>0.99631938498470329</v>
      </c>
      <c r="C15" s="10">
        <f t="shared" ref="C15:C78" si="2">(1+B$8)^-A15</f>
        <v>0.99594240735106698</v>
      </c>
      <c r="D15" s="10">
        <f t="shared" ref="D15:D78" si="3">B15*C15</f>
        <v>0.99227672677219991</v>
      </c>
      <c r="F15" s="74">
        <f>SUM(D14:D734)*100000/12</f>
        <v>802639.33134546608</v>
      </c>
      <c r="H15" s="19">
        <f t="shared" si="1"/>
        <v>8.3333333333333329E-2</v>
      </c>
      <c r="I15" s="10">
        <f t="shared" ref="I15:I78" si="4">(C$9^H15)*C$10^((C$7^63)*((C$7^H15)-1))</f>
        <v>0.99850970823491358</v>
      </c>
      <c r="J15" s="10">
        <f t="shared" ref="J15:J78" si="5">B15*I15</f>
        <v>0.99483457840986467</v>
      </c>
      <c r="K15" s="10">
        <f t="shared" ref="K15:K78" si="6">B15*(1-I15)</f>
        <v>1.4848065748386656E-3</v>
      </c>
      <c r="L15" s="10">
        <f t="shared" ref="L15:L78" si="7">(D$9^H15)*D$10^((D$7^63)*((D$7^H15)-1))</f>
        <v>0.99799165780200316</v>
      </c>
      <c r="M15" s="10">
        <f t="shared" ref="M15:M78" si="8">L16/L15</f>
        <v>0.997980048136489</v>
      </c>
      <c r="N15" s="10">
        <f t="shared" ref="N15:N78" si="9">B16/B15</f>
        <v>0.99629722739564774</v>
      </c>
      <c r="O15" s="10">
        <f>(1/24)*(Q15*M15+(J16/J15)*Q16)</f>
        <v>3.6962541859349761E-3</v>
      </c>
      <c r="P15" s="10">
        <f>P14*M14+J14*O14</f>
        <v>3.6741724538667899E-3</v>
      </c>
      <c r="Q15" s="10">
        <f t="shared" ref="Q15:Q78" si="10">0.0001+0.0004*(1.075^(65+H15))</f>
        <v>4.4382031823760992E-2</v>
      </c>
      <c r="S15" s="5">
        <f t="shared" ref="S15:S78" si="11">C15*J15</f>
        <v>0.99079794493760442</v>
      </c>
      <c r="T15" s="5">
        <f t="shared" ref="T15:T78" si="12">C15*K15</f>
        <v>1.4787818345955127E-3</v>
      </c>
      <c r="U15" s="5">
        <f t="shared" ref="U15:U78" si="13">C15*P15</f>
        <v>3.6592641587270677E-3</v>
      </c>
      <c r="W15" s="87" t="s">
        <v>543</v>
      </c>
      <c r="X15" s="20">
        <f>SUM(T14:T734)/12</f>
        <v>1.1637733857091053</v>
      </c>
    </row>
    <row r="16" spans="1:24" ht="14" customHeight="1">
      <c r="A16" s="19">
        <f t="shared" ref="A16:A79" si="14">A15+1/12</f>
        <v>0.16666666666666666</v>
      </c>
      <c r="B16" s="10">
        <f t="shared" si="0"/>
        <v>0.99263024086079688</v>
      </c>
      <c r="C16" s="10">
        <f t="shared" si="2"/>
        <v>0.99190127876023881</v>
      </c>
      <c r="D16" s="10">
        <f t="shared" si="3"/>
        <v>0.98459120524590826</v>
      </c>
      <c r="H16" s="19">
        <f t="shared" si="1"/>
        <v>0.16666666666666666</v>
      </c>
      <c r="I16" s="10">
        <f t="shared" si="4"/>
        <v>0.99701327695594666</v>
      </c>
      <c r="J16" s="10">
        <f t="shared" si="5"/>
        <v>0.98966552924619366</v>
      </c>
      <c r="K16" s="10">
        <f t="shared" si="6"/>
        <v>2.9647116146031601E-3</v>
      </c>
      <c r="L16" s="10">
        <f t="shared" si="7"/>
        <v>0.99597576269305754</v>
      </c>
      <c r="M16" s="10">
        <f t="shared" si="8"/>
        <v>0.99796837114744563</v>
      </c>
      <c r="N16" s="10">
        <f t="shared" si="9"/>
        <v>0.99627493636301034</v>
      </c>
      <c r="O16" s="10">
        <f t="shared" ref="O16:O79" si="15">(1/24)*(Q16*M16+(J17/J16)*Q17)</f>
        <v>3.7184684679201982E-3</v>
      </c>
      <c r="P16" s="10">
        <f t="shared" ref="P16:P79" si="16">P15*M15+J15*O15</f>
        <v>7.3439122771320605E-3</v>
      </c>
      <c r="Q16" s="10">
        <f t="shared" si="10"/>
        <v>4.464971312036678E-2</v>
      </c>
      <c r="S16" s="5">
        <f t="shared" si="11"/>
        <v>0.98165050400422804</v>
      </c>
      <c r="T16" s="5">
        <f t="shared" si="12"/>
        <v>2.9407012416802067E-3</v>
      </c>
      <c r="U16" s="5">
        <f t="shared" si="13"/>
        <v>7.284435978790308E-3</v>
      </c>
      <c r="W16" s="87" t="s">
        <v>544</v>
      </c>
      <c r="X16" s="20">
        <f>SUM(U14:U734)/12</f>
        <v>4.0307042027636628</v>
      </c>
    </row>
    <row r="17" spans="1:24">
      <c r="A17" s="19">
        <f t="shared" si="14"/>
        <v>0.25</v>
      </c>
      <c r="B17" s="10">
        <f t="shared" si="0"/>
        <v>0.98893263004559007</v>
      </c>
      <c r="C17" s="10">
        <f t="shared" si="2"/>
        <v>0.98787654742307407</v>
      </c>
      <c r="D17" s="10">
        <f t="shared" si="3"/>
        <v>0.97694335220345774</v>
      </c>
      <c r="H17" s="19">
        <f t="shared" si="1"/>
        <v>0.25</v>
      </c>
      <c r="I17" s="10">
        <f t="shared" si="4"/>
        <v>0.99551069324194119</v>
      </c>
      <c r="J17" s="10">
        <f t="shared" si="5"/>
        <v>0.9844930081062615</v>
      </c>
      <c r="K17" s="10">
        <f t="shared" si="6"/>
        <v>4.4396219393285389E-3</v>
      </c>
      <c r="L17" s="10">
        <f t="shared" si="7"/>
        <v>0.99395230959712544</v>
      </c>
      <c r="M17" s="10">
        <f t="shared" si="8"/>
        <v>0.99795662644526473</v>
      </c>
      <c r="N17" s="10">
        <f t="shared" si="9"/>
        <v>0.99625251108615365</v>
      </c>
      <c r="O17" s="10">
        <f t="shared" si="15"/>
        <v>3.7408160899369235E-3</v>
      </c>
      <c r="P17" s="10">
        <f t="shared" si="16"/>
        <v>1.1009032237348736E-2</v>
      </c>
      <c r="Q17" s="10">
        <f t="shared" si="10"/>
        <v>4.4919012528734786E-2</v>
      </c>
      <c r="S17" s="5">
        <f t="shared" si="11"/>
        <v>0.97255755381017006</v>
      </c>
      <c r="T17" s="5">
        <f t="shared" si="12"/>
        <v>4.3857983932876097E-3</v>
      </c>
      <c r="U17" s="5">
        <f t="shared" si="13"/>
        <v>1.0875564757101391E-2</v>
      </c>
      <c r="W17" s="76" t="s">
        <v>10</v>
      </c>
      <c r="X17" s="309">
        <f>F15/(X14+X15+0.6*X16)</f>
        <v>76845.714085948013</v>
      </c>
    </row>
    <row r="18" spans="1:24">
      <c r="A18" s="19">
        <f t="shared" si="14"/>
        <v>0.33333333333333331</v>
      </c>
      <c r="B18" s="10">
        <f t="shared" si="0"/>
        <v>0.98522661597795325</v>
      </c>
      <c r="C18" s="10">
        <f t="shared" si="2"/>
        <v>0.98386814680619694</v>
      </c>
      <c r="D18" s="10">
        <f t="shared" si="3"/>
        <v>0.96933308484636949</v>
      </c>
      <c r="H18" s="19">
        <f t="shared" si="1"/>
        <v>0.33333333333333331</v>
      </c>
      <c r="I18" s="10">
        <f t="shared" si="4"/>
        <v>0.99400194429334454</v>
      </c>
      <c r="J18" s="10">
        <f t="shared" si="5"/>
        <v>0.9793171718516378</v>
      </c>
      <c r="K18" s="10">
        <f t="shared" si="6"/>
        <v>5.9094441263154085E-3</v>
      </c>
      <c r="L18" s="10">
        <f t="shared" si="7"/>
        <v>0.99192129373302662</v>
      </c>
      <c r="M18" s="10">
        <f t="shared" si="8"/>
        <v>0.99794481363809406</v>
      </c>
      <c r="N18" s="10">
        <f t="shared" si="9"/>
        <v>0.9962299507596738</v>
      </c>
      <c r="O18" s="10">
        <f t="shared" si="15"/>
        <v>3.7632978467429302E-3</v>
      </c>
      <c r="P18" s="10">
        <f t="shared" si="16"/>
        <v>1.4669343957166014E-2</v>
      </c>
      <c r="Q18" s="10">
        <f t="shared" si="10"/>
        <v>4.5189939830219711E-2</v>
      </c>
      <c r="S18" s="5">
        <f t="shared" si="11"/>
        <v>0.96351897100515682</v>
      </c>
      <c r="T18" s="5">
        <f t="shared" si="12"/>
        <v>5.8141138412127064E-3</v>
      </c>
      <c r="U18" s="5">
        <f t="shared" si="13"/>
        <v>1.4432700253999611E-2</v>
      </c>
    </row>
    <row r="19" spans="1:24">
      <c r="A19" s="19">
        <f t="shared" si="14"/>
        <v>0.41666666666666663</v>
      </c>
      <c r="B19" s="10">
        <f t="shared" si="0"/>
        <v>0.98151226312283646</v>
      </c>
      <c r="C19" s="10">
        <f t="shared" si="2"/>
        <v>0.97987601064619689</v>
      </c>
      <c r="D19" s="10">
        <f t="shared" si="3"/>
        <v>0.96176032078912532</v>
      </c>
      <c r="H19" s="19">
        <f t="shared" si="1"/>
        <v>0.41666666666666663</v>
      </c>
      <c r="I19" s="10">
        <f t="shared" si="4"/>
        <v>0.99248701743432566</v>
      </c>
      <c r="J19" s="10">
        <f t="shared" si="5"/>
        <v>0.97413817860199903</v>
      </c>
      <c r="K19" s="10">
        <f t="shared" si="6"/>
        <v>7.3740845208374378E-3</v>
      </c>
      <c r="L19" s="10">
        <f t="shared" si="7"/>
        <v>0.98988271061806243</v>
      </c>
      <c r="M19" s="10">
        <f t="shared" si="8"/>
        <v>0.99793293233182201</v>
      </c>
      <c r="N19" s="10">
        <f t="shared" si="9"/>
        <v>0.99620725457337211</v>
      </c>
      <c r="O19" s="10">
        <f t="shared" si="15"/>
        <v>3.7859145377657673E-3</v>
      </c>
      <c r="P19" s="10">
        <f t="shared" si="16"/>
        <v>1.8324657925634785E-2</v>
      </c>
      <c r="Q19" s="10">
        <f t="shared" si="10"/>
        <v>4.546250486530358E-2</v>
      </c>
      <c r="S19" s="5">
        <f t="shared" si="11"/>
        <v>0.95453463226667923</v>
      </c>
      <c r="T19" s="5">
        <f t="shared" si="12"/>
        <v>7.2256885224460613E-3</v>
      </c>
      <c r="U19" s="5">
        <f t="shared" si="13"/>
        <v>1.7955892704627226E-2</v>
      </c>
      <c r="W19" s="1" t="s">
        <v>3</v>
      </c>
    </row>
    <row r="20" spans="1:24">
      <c r="A20" s="19">
        <f t="shared" si="14"/>
        <v>0.49999999999999994</v>
      </c>
      <c r="B20" s="10">
        <f t="shared" si="0"/>
        <v>0.9777896369756981</v>
      </c>
      <c r="C20" s="10">
        <f t="shared" si="2"/>
        <v>0.97590007294853309</v>
      </c>
      <c r="D20" s="10">
        <f t="shared" si="3"/>
        <v>0.95422497805290352</v>
      </c>
      <c r="H20" s="19">
        <f t="shared" si="1"/>
        <v>0.49999999999999994</v>
      </c>
      <c r="I20" s="10">
        <f t="shared" si="4"/>
        <v>0.99096590011490804</v>
      </c>
      <c r="J20" s="10">
        <f t="shared" si="5"/>
        <v>0.96895618772865189</v>
      </c>
      <c r="K20" s="10">
        <f t="shared" si="6"/>
        <v>8.8334492470462656E-3</v>
      </c>
      <c r="L20" s="10">
        <f t="shared" si="7"/>
        <v>0.98783655607165544</v>
      </c>
      <c r="M20" s="10">
        <f t="shared" si="8"/>
        <v>0.99792098213006608</v>
      </c>
      <c r="N20" s="10">
        <f t="shared" si="9"/>
        <v>0.99618442171222588</v>
      </c>
      <c r="O20" s="10">
        <f t="shared" si="15"/>
        <v>3.8086669671293927E-3</v>
      </c>
      <c r="P20" s="10">
        <f t="shared" si="16"/>
        <v>2.197478350986826E-2</v>
      </c>
      <c r="Q20" s="10">
        <f t="shared" si="10"/>
        <v>4.5736717533953392E-2</v>
      </c>
      <c r="S20" s="5">
        <f t="shared" si="11"/>
        <v>0.94560441428832387</v>
      </c>
      <c r="T20" s="5">
        <f t="shared" si="12"/>
        <v>8.6205637645796161E-3</v>
      </c>
      <c r="U20" s="5">
        <f t="shared" si="13"/>
        <v>2.1445192830308657E-2</v>
      </c>
      <c r="W20" s="76" t="s">
        <v>10</v>
      </c>
      <c r="X20" s="309">
        <f>(F15-100000*X15)/(X14+0.6*X16)</f>
        <v>73942.339614947283</v>
      </c>
    </row>
    <row r="21" spans="1:24">
      <c r="A21" s="19">
        <f t="shared" si="14"/>
        <v>0.58333333333333326</v>
      </c>
      <c r="B21" s="10">
        <f t="shared" si="0"/>
        <v>0.97405880406684309</v>
      </c>
      <c r="C21" s="10">
        <f t="shared" si="2"/>
        <v>0.97194026798644406</v>
      </c>
      <c r="D21" s="10">
        <f t="shared" si="3"/>
        <v>0.94672697505928272</v>
      </c>
      <c r="H21" s="19">
        <f t="shared" si="1"/>
        <v>0.58333333333333326</v>
      </c>
      <c r="I21" s="10">
        <f t="shared" si="4"/>
        <v>0.98943857991311945</v>
      </c>
      <c r="J21" s="10">
        <f t="shared" si="5"/>
        <v>0.96377135984776874</v>
      </c>
      <c r="K21" s="10">
        <f t="shared" si="6"/>
        <v>1.0287444219074399E-2</v>
      </c>
      <c r="L21" s="10">
        <f t="shared" si="7"/>
        <v>0.98578282621900848</v>
      </c>
      <c r="M21" s="10">
        <f t="shared" si="8"/>
        <v>0.99790896263416007</v>
      </c>
      <c r="N21" s="10">
        <f t="shared" si="9"/>
        <v>0.9961614513563618</v>
      </c>
      <c r="O21" s="10">
        <f t="shared" si="15"/>
        <v>3.8315559436809497E-3</v>
      </c>
      <c r="P21" s="10">
        <f t="shared" si="16"/>
        <v>2.5619528967061059E-2</v>
      </c>
      <c r="Q21" s="10">
        <f t="shared" si="10"/>
        <v>4.6012587795980581E-2</v>
      </c>
      <c r="S21" s="5">
        <f t="shared" si="11"/>
        <v>0.93672819376810001</v>
      </c>
      <c r="T21" s="5">
        <f t="shared" si="12"/>
        <v>9.9987812911827654E-3</v>
      </c>
      <c r="U21" s="5">
        <f t="shared" si="13"/>
        <v>2.4900651849931791E-2</v>
      </c>
    </row>
    <row r="22" spans="1:24">
      <c r="A22" s="19">
        <f t="shared" si="14"/>
        <v>0.66666666666666663</v>
      </c>
      <c r="B22" s="10">
        <f t="shared" si="0"/>
        <v>0.97031983196566851</v>
      </c>
      <c r="C22" s="10">
        <f t="shared" si="2"/>
        <v>0.96799653029986032</v>
      </c>
      <c r="D22" s="10">
        <f t="shared" si="3"/>
        <v>0.93926623062391057</v>
      </c>
      <c r="H22" s="19">
        <f t="shared" si="1"/>
        <v>0.66666666666666663</v>
      </c>
      <c r="I22" s="10">
        <f t="shared" si="4"/>
        <v>0.9879050445371591</v>
      </c>
      <c r="J22" s="10">
        <f t="shared" si="5"/>
        <v>0.95858385681333247</v>
      </c>
      <c r="K22" s="10">
        <f t="shared" si="6"/>
        <v>1.1735975152336021E-2</v>
      </c>
      <c r="L22" s="10">
        <f t="shared" si="7"/>
        <v>0.98372151749478121</v>
      </c>
      <c r="M22" s="10">
        <f t="shared" si="8"/>
        <v>0.99789687344313982</v>
      </c>
      <c r="N22" s="10">
        <f t="shared" si="9"/>
        <v>0.99613834268102763</v>
      </c>
      <c r="O22" s="10">
        <f t="shared" si="15"/>
        <v>3.8545822810176697E-3</v>
      </c>
      <c r="P22" s="10">
        <f t="shared" si="16"/>
        <v>2.9258701456869905E-2</v>
      </c>
      <c r="Q22" s="10">
        <f t="shared" si="10"/>
        <v>4.6290125671403011E-2</v>
      </c>
      <c r="S22" s="5">
        <f t="shared" si="11"/>
        <v>0.92790584739676396</v>
      </c>
      <c r="T22" s="5">
        <f t="shared" si="12"/>
        <v>1.1360383227146643E-2</v>
      </c>
      <c r="U22" s="5">
        <f t="shared" si="13"/>
        <v>2.8322321491329537E-2</v>
      </c>
    </row>
    <row r="23" spans="1:24">
      <c r="A23" s="19">
        <f t="shared" si="14"/>
        <v>0.75</v>
      </c>
      <c r="B23" s="10">
        <f t="shared" si="0"/>
        <v>0.96657278928481427</v>
      </c>
      <c r="C23" s="10">
        <f t="shared" si="2"/>
        <v>0.96406879469432316</v>
      </c>
      <c r="D23" s="10">
        <f t="shared" si="3"/>
        <v>0.93184266395014093</v>
      </c>
      <c r="H23" s="19">
        <f t="shared" si="1"/>
        <v>0.75</v>
      </c>
      <c r="I23" s="10">
        <f t="shared" si="4"/>
        <v>0.98636528182758199</v>
      </c>
      <c r="J23" s="10">
        <f t="shared" si="5"/>
        <v>0.9533938417097878</v>
      </c>
      <c r="K23" s="10">
        <f t="shared" si="6"/>
        <v>1.3178947575026426E-2</v>
      </c>
      <c r="L23" s="10">
        <f t="shared" si="7"/>
        <v>0.9816526266467831</v>
      </c>
      <c r="M23" s="10">
        <f t="shared" si="8"/>
        <v>0.99788471415373137</v>
      </c>
      <c r="N23" s="10">
        <f t="shared" si="9"/>
        <v>0.99611509485656091</v>
      </c>
      <c r="O23" s="10">
        <f t="shared" si="15"/>
        <v>3.8777467975139295E-3</v>
      </c>
      <c r="P23" s="10">
        <f t="shared" si="16"/>
        <v>3.2892107054158973E-2</v>
      </c>
      <c r="Q23" s="10">
        <f t="shared" si="10"/>
        <v>4.6569341240808464E-2</v>
      </c>
      <c r="S23" s="5">
        <f t="shared" si="11"/>
        <v>0.91913725184614548</v>
      </c>
      <c r="T23" s="5">
        <f t="shared" si="12"/>
        <v>1.27054121039954E-2</v>
      </c>
      <c r="U23" s="5">
        <f t="shared" si="13"/>
        <v>3.1710254002659685E-2</v>
      </c>
    </row>
    <row r="24" spans="1:24">
      <c r="A24" s="19">
        <f t="shared" si="14"/>
        <v>0.83333333333333337</v>
      </c>
      <c r="B24" s="10">
        <f t="shared" si="0"/>
        <v>0.96281774568421341</v>
      </c>
      <c r="C24" s="10">
        <f t="shared" si="2"/>
        <v>0.96015699623990569</v>
      </c>
      <c r="D24" s="10">
        <f t="shared" si="3"/>
        <v>0.92445619462263173</v>
      </c>
      <c r="H24" s="19">
        <f t="shared" si="1"/>
        <v>0.83333333333333337</v>
      </c>
      <c r="I24" s="10">
        <f t="shared" si="4"/>
        <v>0.9848192797595009</v>
      </c>
      <c r="J24" s="10">
        <f t="shared" si="5"/>
        <v>0.94820147884439332</v>
      </c>
      <c r="K24" s="10">
        <f t="shared" si="6"/>
        <v>1.4616266839820055E-2</v>
      </c>
      <c r="L24" s="10">
        <f t="shared" si="7"/>
        <v>0.97957615073968474</v>
      </c>
      <c r="M24" s="10">
        <f t="shared" si="8"/>
        <v>0.99787248436033726</v>
      </c>
      <c r="N24" s="10">
        <f t="shared" si="9"/>
        <v>0.99609170704836381</v>
      </c>
      <c r="O24" s="10">
        <f t="shared" si="15"/>
        <v>3.9010503163484597E-3</v>
      </c>
      <c r="P24" s="10">
        <f t="shared" si="16"/>
        <v>3.6519550762112989E-2</v>
      </c>
      <c r="Q24" s="10">
        <f t="shared" si="10"/>
        <v>4.6850244645721344E-2</v>
      </c>
      <c r="S24" s="5">
        <f t="shared" si="11"/>
        <v>0.91042228375746914</v>
      </c>
      <c r="T24" s="5">
        <f t="shared" si="12"/>
        <v>1.4033910865162563E-2</v>
      </c>
      <c r="U24" s="5">
        <f t="shared" si="13"/>
        <v>3.5064502163781167E-2</v>
      </c>
    </row>
    <row r="25" spans="1:24">
      <c r="A25" s="19">
        <f t="shared" si="14"/>
        <v>0.91666666666666674</v>
      </c>
      <c r="B25" s="10">
        <f t="shared" si="0"/>
        <v>0.95905477187504551</v>
      </c>
      <c r="C25" s="10">
        <f t="shared" si="2"/>
        <v>0.95626107027014118</v>
      </c>
      <c r="D25" s="10">
        <f t="shared" si="3"/>
        <v>0.91710674260091707</v>
      </c>
      <c r="H25" s="19">
        <f t="shared" si="1"/>
        <v>0.91666666666666674</v>
      </c>
      <c r="I25" s="10">
        <f t="shared" si="4"/>
        <v>0.98326702644480424</v>
      </c>
      <c r="J25" s="10">
        <f t="shared" si="5"/>
        <v>0.94300693373927602</v>
      </c>
      <c r="K25" s="10">
        <f t="shared" si="6"/>
        <v>1.6047838135769443E-2</v>
      </c>
      <c r="L25" s="10">
        <f t="shared" si="7"/>
        <v>0.97749208715874547</v>
      </c>
      <c r="M25" s="10">
        <f t="shared" si="8"/>
        <v>0.99786018365502349</v>
      </c>
      <c r="N25" s="10">
        <f t="shared" si="9"/>
        <v>0.99606817841687223</v>
      </c>
      <c r="O25" s="10">
        <f t="shared" si="15"/>
        <v>3.9244936655316821E-3</v>
      </c>
      <c r="P25" s="10">
        <f t="shared" si="16"/>
        <v>4.0140836525721132E-2</v>
      </c>
      <c r="Q25" s="10">
        <f t="shared" si="10"/>
        <v>4.7132846088970559E-2</v>
      </c>
      <c r="S25" s="5">
        <f t="shared" si="11"/>
        <v>0.90176081972968414</v>
      </c>
      <c r="T25" s="5">
        <f t="shared" si="12"/>
        <v>1.5345922871232874E-2</v>
      </c>
      <c r="U25" s="5">
        <f t="shared" si="13"/>
        <v>3.8385119297624865E-2</v>
      </c>
    </row>
    <row r="26" spans="1:24">
      <c r="A26" s="19">
        <f t="shared" si="14"/>
        <v>1</v>
      </c>
      <c r="B26" s="10">
        <f t="shared" si="0"/>
        <v>0.95528393962358549</v>
      </c>
      <c r="C26" s="10">
        <f t="shared" si="2"/>
        <v>0.95238095238095233</v>
      </c>
      <c r="D26" s="10">
        <f t="shared" si="3"/>
        <v>0.90979422821293854</v>
      </c>
      <c r="H26" s="19">
        <f t="shared" si="1"/>
        <v>1</v>
      </c>
      <c r="I26" s="10">
        <f t="shared" si="4"/>
        <v>0.98170851013439342</v>
      </c>
      <c r="J26" s="10">
        <f t="shared" si="5"/>
        <v>0.93781037312318394</v>
      </c>
      <c r="K26" s="10">
        <f t="shared" si="6"/>
        <v>1.7473566500401543E-2</v>
      </c>
      <c r="L26" s="10">
        <f t="shared" si="7"/>
        <v>0.97540043361355799</v>
      </c>
      <c r="M26" s="10">
        <f t="shared" si="8"/>
        <v>0.9978478116275048</v>
      </c>
      <c r="N26" s="10">
        <f t="shared" si="9"/>
        <v>0.99604450811752643</v>
      </c>
      <c r="O26" s="10">
        <f t="shared" si="15"/>
        <v>3.94807767793319E-3</v>
      </c>
      <c r="P26" s="10">
        <f t="shared" si="16"/>
        <v>4.3755767245634611E-2</v>
      </c>
      <c r="Q26" s="10">
        <f t="shared" si="10"/>
        <v>4.7417155835060412E-2</v>
      </c>
      <c r="S26" s="5">
        <f t="shared" si="11"/>
        <v>0.89315273630779413</v>
      </c>
      <c r="T26" s="5">
        <f t="shared" si="12"/>
        <v>1.6641491905144325E-2</v>
      </c>
      <c r="U26" s="5">
        <f t="shared" si="13"/>
        <v>4.1672159281556771E-2</v>
      </c>
    </row>
    <row r="27" spans="1:24">
      <c r="A27" s="19">
        <f t="shared" si="14"/>
        <v>1.0833333333333333</v>
      </c>
      <c r="B27" s="10">
        <f t="shared" si="0"/>
        <v>0.95150532175494706</v>
      </c>
      <c r="C27" s="10">
        <f t="shared" si="2"/>
        <v>0.94851657842958759</v>
      </c>
      <c r="D27" s="10">
        <f t="shared" si="3"/>
        <v>0.90251857214854625</v>
      </c>
      <c r="H27" s="19">
        <f t="shared" si="1"/>
        <v>1.0833333333333333</v>
      </c>
      <c r="I27" s="10">
        <f t="shared" si="4"/>
        <v>0.98014371922043464</v>
      </c>
      <c r="J27" s="10">
        <f t="shared" si="5"/>
        <v>0.93261196492293019</v>
      </c>
      <c r="K27" s="10">
        <f t="shared" si="6"/>
        <v>1.889335683201691E-2</v>
      </c>
      <c r="L27" s="10">
        <f t="shared" si="7"/>
        <v>0.9733011881418081</v>
      </c>
      <c r="M27" s="10">
        <f t="shared" si="8"/>
        <v>0.99783536786513438</v>
      </c>
      <c r="N27" s="10">
        <f t="shared" si="9"/>
        <v>0.996020695300743</v>
      </c>
      <c r="O27" s="10">
        <f t="shared" si="15"/>
        <v>3.9718031913094053E-3</v>
      </c>
      <c r="P27" s="10">
        <f t="shared" si="16"/>
        <v>4.7364144792400795E-2</v>
      </c>
      <c r="Q27" s="10">
        <f t="shared" si="10"/>
        <v>4.7703184210543065E-2</v>
      </c>
      <c r="S27" s="5">
        <f t="shared" si="11"/>
        <v>0.88459790997119225</v>
      </c>
      <c r="T27" s="5">
        <f t="shared" si="12"/>
        <v>1.7920662177353951E-2</v>
      </c>
      <c r="U27" s="5">
        <f t="shared" si="13"/>
        <v>4.4925676558731573E-2</v>
      </c>
    </row>
    <row r="28" spans="1:24">
      <c r="A28" s="19">
        <f t="shared" si="14"/>
        <v>1.1666666666666665</v>
      </c>
      <c r="B28" s="10">
        <f t="shared" si="0"/>
        <v>0.94771899215671951</v>
      </c>
      <c r="C28" s="10">
        <f t="shared" si="2"/>
        <v>0.94466788453356076</v>
      </c>
      <c r="D28" s="10">
        <f t="shared" si="3"/>
        <v>0.89527969545296648</v>
      </c>
      <c r="H28" s="19">
        <f t="shared" si="1"/>
        <v>1.1666666666666665</v>
      </c>
      <c r="I28" s="10">
        <f t="shared" si="4"/>
        <v>0.9785726422386305</v>
      </c>
      <c r="J28" s="10">
        <f t="shared" si="5"/>
        <v>0.92741187825453297</v>
      </c>
      <c r="K28" s="10">
        <f t="shared" si="6"/>
        <v>2.0307113902186567E-2</v>
      </c>
      <c r="L28" s="10">
        <f t="shared" si="7"/>
        <v>0.97119434911305347</v>
      </c>
      <c r="M28" s="10">
        <f t="shared" si="8"/>
        <v>0.99782285195288611</v>
      </c>
      <c r="N28" s="10">
        <f t="shared" si="9"/>
        <v>0.99599673911188535</v>
      </c>
      <c r="O28" s="10">
        <f t="shared" si="15"/>
        <v>3.9956710483313495E-3</v>
      </c>
      <c r="P28" s="10">
        <f t="shared" si="16"/>
        <v>5.0965770021076967E-2</v>
      </c>
      <c r="Q28" s="10">
        <f t="shared" si="10"/>
        <v>4.7990941604394287E-2</v>
      </c>
      <c r="S28" s="5">
        <f t="shared" si="11"/>
        <v>0.87609621712200592</v>
      </c>
      <c r="T28" s="5">
        <f t="shared" si="12"/>
        <v>1.9183478330960645E-2</v>
      </c>
      <c r="U28" s="5">
        <f t="shared" si="13"/>
        <v>4.8145726149434749E-2</v>
      </c>
    </row>
    <row r="29" spans="1:24">
      <c r="A29" s="19">
        <f t="shared" si="14"/>
        <v>1.2499999999999998</v>
      </c>
      <c r="B29" s="10">
        <f t="shared" si="0"/>
        <v>0.94392502578249504</v>
      </c>
      <c r="C29" s="10">
        <f t="shared" si="2"/>
        <v>0.94083480706959433</v>
      </c>
      <c r="D29" s="10">
        <f t="shared" si="3"/>
        <v>0.88807751952023561</v>
      </c>
      <c r="H29" s="19">
        <f t="shared" si="1"/>
        <v>1.2499999999999998</v>
      </c>
      <c r="I29" s="10">
        <f t="shared" si="4"/>
        <v>0.97699526787050706</v>
      </c>
      <c r="J29" s="10">
        <f t="shared" si="5"/>
        <v>0.92221028341404399</v>
      </c>
      <c r="K29" s="10">
        <f t="shared" si="6"/>
        <v>2.1714742368451018E-2</v>
      </c>
      <c r="L29" s="10">
        <f t="shared" si="7"/>
        <v>0.96907991523251391</v>
      </c>
      <c r="M29" s="10">
        <f t="shared" si="8"/>
        <v>0.99781026347334478</v>
      </c>
      <c r="N29" s="10">
        <f t="shared" si="9"/>
        <v>0.99597263869123243</v>
      </c>
      <c r="O29" s="10">
        <f t="shared" si="15"/>
        <v>4.0196820966125601E-3</v>
      </c>
      <c r="P29" s="10">
        <f t="shared" si="16"/>
        <v>5.4560442786226161E-2</v>
      </c>
      <c r="Q29" s="10">
        <f t="shared" si="10"/>
        <v>4.8280438468389898E-2</v>
      </c>
      <c r="S29" s="5">
        <f t="shared" si="11"/>
        <v>0.86764753407344797</v>
      </c>
      <c r="T29" s="5">
        <f t="shared" si="12"/>
        <v>2.042998544678756E-2</v>
      </c>
      <c r="U29" s="5">
        <f t="shared" si="13"/>
        <v>5.1332363662410729E-2</v>
      </c>
    </row>
    <row r="30" spans="1:24">
      <c r="A30" s="19">
        <f t="shared" si="14"/>
        <v>1.333333333333333</v>
      </c>
      <c r="B30" s="10">
        <f t="shared" si="0"/>
        <v>0.94012349865528122</v>
      </c>
      <c r="C30" s="10">
        <f t="shared" si="2"/>
        <v>0.93701728267256856</v>
      </c>
      <c r="D30" s="10">
        <f t="shared" si="3"/>
        <v>0.88091196608659983</v>
      </c>
      <c r="H30" s="19">
        <f t="shared" si="1"/>
        <v>1.333333333333333</v>
      </c>
      <c r="I30" s="10">
        <f t="shared" si="4"/>
        <v>0.97541158494571822</v>
      </c>
      <c r="J30" s="10">
        <f t="shared" si="5"/>
        <v>0.9170073518680617</v>
      </c>
      <c r="K30" s="10">
        <f t="shared" si="6"/>
        <v>2.3116146787219568E-2</v>
      </c>
      <c r="L30" s="10">
        <f t="shared" si="7"/>
        <v>0.96695788554488138</v>
      </c>
      <c r="M30" s="10">
        <f t="shared" si="8"/>
        <v>0.9977976020066911</v>
      </c>
      <c r="N30" s="10">
        <f t="shared" si="9"/>
        <v>0.99594839317395156</v>
      </c>
      <c r="O30" s="10">
        <f t="shared" si="15"/>
        <v>4.0438371887371915E-3</v>
      </c>
      <c r="P30" s="10">
        <f t="shared" si="16"/>
        <v>5.8147961957298107E-2</v>
      </c>
      <c r="Q30" s="10">
        <f t="shared" si="10"/>
        <v>4.8571685317486193E-2</v>
      </c>
      <c r="S30" s="5">
        <f t="shared" si="11"/>
        <v>0.85925173703817914</v>
      </c>
      <c r="T30" s="5">
        <f t="shared" si="12"/>
        <v>2.1660229048420705E-2</v>
      </c>
      <c r="U30" s="5">
        <f t="shared" si="13"/>
        <v>5.4485645306175362E-2</v>
      </c>
    </row>
    <row r="31" spans="1:24">
      <c r="A31" s="19">
        <f t="shared" si="14"/>
        <v>1.4166666666666663</v>
      </c>
      <c r="B31" s="10">
        <f t="shared" si="0"/>
        <v>0.93631448787080096</v>
      </c>
      <c r="C31" s="10">
        <f t="shared" si="2"/>
        <v>0.93321524823447322</v>
      </c>
      <c r="D31" s="10">
        <f t="shared" si="3"/>
        <v>0.87378295722388322</v>
      </c>
      <c r="H31" s="19">
        <f t="shared" si="1"/>
        <v>1.4166666666666663</v>
      </c>
      <c r="I31" s="10">
        <f t="shared" si="4"/>
        <v>0.973821582444369</v>
      </c>
      <c r="J31" s="10">
        <f t="shared" si="5"/>
        <v>0.91180325624393233</v>
      </c>
      <c r="K31" s="10">
        <f t="shared" si="6"/>
        <v>2.4511231626868621E-2</v>
      </c>
      <c r="L31" s="10">
        <f t="shared" si="7"/>
        <v>0.9648282594381431</v>
      </c>
      <c r="M31" s="10">
        <f t="shared" si="8"/>
        <v>0.99778486713068604</v>
      </c>
      <c r="N31" s="10">
        <f t="shared" si="9"/>
        <v>0.99592400169006678</v>
      </c>
      <c r="O31" s="10">
        <f t="shared" si="15"/>
        <v>4.0681371822882196E-3</v>
      </c>
      <c r="P31" s="10">
        <f t="shared" si="16"/>
        <v>6.1728125434397832E-2</v>
      </c>
      <c r="Q31" s="10">
        <f t="shared" si="10"/>
        <v>4.8864692730201352E-2</v>
      </c>
      <c r="S31" s="5">
        <f t="shared" si="11"/>
        <v>0.85090870211668235</v>
      </c>
      <c r="T31" s="5">
        <f t="shared" si="12"/>
        <v>2.2874255107200869E-2</v>
      </c>
      <c r="U31" s="5">
        <f t="shared" si="13"/>
        <v>5.760562790031027E-2</v>
      </c>
    </row>
    <row r="32" spans="1:24">
      <c r="A32" s="19">
        <f t="shared" si="14"/>
        <v>1.4999999999999996</v>
      </c>
      <c r="B32" s="10">
        <f t="shared" si="0"/>
        <v>0.93249807160067355</v>
      </c>
      <c r="C32" s="10">
        <f t="shared" si="2"/>
        <v>0.92942864090336497</v>
      </c>
      <c r="D32" s="10">
        <f t="shared" si="3"/>
        <v>0.86669041533282276</v>
      </c>
      <c r="H32" s="19">
        <f t="shared" si="1"/>
        <v>1.4999999999999996</v>
      </c>
      <c r="I32" s="10">
        <f t="shared" si="4"/>
        <v>0.97222524949935385</v>
      </c>
      <c r="J32" s="10">
        <f t="shared" si="5"/>
        <v>0.90659817031963119</v>
      </c>
      <c r="K32" s="10">
        <f t="shared" si="6"/>
        <v>2.5899901281042376E-2</v>
      </c>
      <c r="L32" s="10">
        <f t="shared" si="7"/>
        <v>0.96269103664741873</v>
      </c>
      <c r="M32" s="10">
        <f t="shared" si="8"/>
        <v>0.9977720584206613</v>
      </c>
      <c r="N32" s="10">
        <f t="shared" si="9"/>
        <v>0.99589946336442881</v>
      </c>
      <c r="O32" s="10">
        <f t="shared" si="15"/>
        <v>4.0925829398758256E-3</v>
      </c>
      <c r="P32" s="10">
        <f t="shared" si="16"/>
        <v>6.5300730164444376E-2</v>
      </c>
      <c r="Q32" s="10">
        <f t="shared" si="10"/>
        <v>4.9159471348999895E-2</v>
      </c>
      <c r="S32" s="5">
        <f t="shared" si="11"/>
        <v>0.84261830528565218</v>
      </c>
      <c r="T32" s="5">
        <f t="shared" si="12"/>
        <v>2.4072110047170536E-2</v>
      </c>
      <c r="U32" s="5">
        <f t="shared" si="13"/>
        <v>6.0692368886736903E-2</v>
      </c>
    </row>
    <row r="33" spans="1:21">
      <c r="A33" s="19">
        <f t="shared" si="14"/>
        <v>1.5833333333333328</v>
      </c>
      <c r="B33" s="10">
        <f t="shared" si="0"/>
        <v>0.92867432909547554</v>
      </c>
      <c r="C33" s="10">
        <f t="shared" si="2"/>
        <v>0.92565739808232761</v>
      </c>
      <c r="D33" s="10">
        <f t="shared" si="3"/>
        <v>0.85963426313636915</v>
      </c>
      <c r="H33" s="19">
        <f t="shared" si="1"/>
        <v>1.5833333333333328</v>
      </c>
      <c r="I33" s="10">
        <f t="shared" si="4"/>
        <v>0.97062257539871277</v>
      </c>
      <c r="J33" s="10">
        <f t="shared" si="5"/>
        <v>0.90139226901332226</v>
      </c>
      <c r="K33" s="10">
        <f t="shared" si="6"/>
        <v>2.7282060082153333E-2</v>
      </c>
      <c r="L33" s="10">
        <f t="shared" si="7"/>
        <v>0.96054621725881528</v>
      </c>
      <c r="M33" s="10">
        <f t="shared" si="8"/>
        <v>0.99775917544950055</v>
      </c>
      <c r="N33" s="10">
        <f t="shared" si="9"/>
        <v>0.99587477731668694</v>
      </c>
      <c r="O33" s="10">
        <f t="shared" si="15"/>
        <v>4.1171753291659218E-3</v>
      </c>
      <c r="P33" s="10">
        <f t="shared" si="16"/>
        <v>6.8865572157722599E-2</v>
      </c>
      <c r="Q33" s="10">
        <f t="shared" si="10"/>
        <v>4.9456031880679117E-2</v>
      </c>
      <c r="S33" s="5">
        <f t="shared" si="11"/>
        <v>0.83438042238639742</v>
      </c>
      <c r="T33" s="5">
        <f t="shared" si="12"/>
        <v>2.5253840749971786E-2</v>
      </c>
      <c r="U33" s="5">
        <f t="shared" si="13"/>
        <v>6.374592634096829E-2</v>
      </c>
    </row>
    <row r="34" spans="1:21">
      <c r="A34" s="19">
        <f t="shared" si="14"/>
        <v>1.6666666666666661</v>
      </c>
      <c r="B34" s="10">
        <f t="shared" si="0"/>
        <v>0.92484334068768037</v>
      </c>
      <c r="C34" s="10">
        <f t="shared" si="2"/>
        <v>0.92190145742843832</v>
      </c>
      <c r="D34" s="10">
        <f t="shared" si="3"/>
        <v>0.85261442367295825</v>
      </c>
      <c r="H34" s="19">
        <f t="shared" si="1"/>
        <v>1.6666666666666661</v>
      </c>
      <c r="I34" s="10">
        <f t="shared" si="4"/>
        <v>0.9690135495880059</v>
      </c>
      <c r="J34" s="10">
        <f t="shared" si="5"/>
        <v>0.89618572837259858</v>
      </c>
      <c r="K34" s="10">
        <f t="shared" si="6"/>
        <v>2.8657612315081776E-2</v>
      </c>
      <c r="L34" s="10">
        <f t="shared" si="7"/>
        <v>0.95839380171329236</v>
      </c>
      <c r="M34" s="10">
        <f t="shared" si="8"/>
        <v>0.99774621778762973</v>
      </c>
      <c r="N34" s="10">
        <f t="shared" si="9"/>
        <v>0.99584994266125459</v>
      </c>
      <c r="O34" s="10">
        <f t="shared" si="15"/>
        <v>4.1419152229088159E-3</v>
      </c>
      <c r="P34" s="10">
        <f t="shared" si="16"/>
        <v>7.2422446504829915E-2</v>
      </c>
      <c r="Q34" s="10">
        <f t="shared" si="10"/>
        <v>4.9754385096758239E-2</v>
      </c>
      <c r="S34" s="5">
        <f t="shared" si="11"/>
        <v>0.8261949291132652</v>
      </c>
      <c r="T34" s="5">
        <f t="shared" si="12"/>
        <v>2.6419494559693051E-2</v>
      </c>
      <c r="U34" s="5">
        <f t="shared" si="13"/>
        <v>6.6766358983335813E-2</v>
      </c>
    </row>
    <row r="35" spans="1:21">
      <c r="A35" s="19">
        <f t="shared" si="14"/>
        <v>1.7499999999999993</v>
      </c>
      <c r="B35" s="10">
        <f t="shared" si="0"/>
        <v>0.9210051877944696</v>
      </c>
      <c r="C35" s="10">
        <f t="shared" si="2"/>
        <v>0.91816075685173626</v>
      </c>
      <c r="D35" s="10">
        <f t="shared" si="3"/>
        <v>0.84563082028974568</v>
      </c>
      <c r="H35" s="19">
        <f t="shared" si="1"/>
        <v>1.7499999999999993</v>
      </c>
      <c r="I35" s="10">
        <f t="shared" si="4"/>
        <v>0.96739816167270232</v>
      </c>
      <c r="J35" s="10">
        <f t="shared" si="5"/>
        <v>0.89097872556339186</v>
      </c>
      <c r="K35" s="10">
        <f t="shared" si="6"/>
        <v>3.0026462231077741E-2</v>
      </c>
      <c r="L35" s="10">
        <f t="shared" si="7"/>
        <v>0.95623379081054505</v>
      </c>
      <c r="M35" s="10">
        <f t="shared" si="8"/>
        <v>0.99773318500299946</v>
      </c>
      <c r="N35" s="10">
        <f t="shared" si="9"/>
        <v>0.99582495850728292</v>
      </c>
      <c r="O35" s="10">
        <f t="shared" si="15"/>
        <v>4.1668034989680424E-3</v>
      </c>
      <c r="P35" s="10">
        <f t="shared" si="16"/>
        <v>7.5971147394021082E-2</v>
      </c>
      <c r="Q35" s="10">
        <f t="shared" si="10"/>
        <v>5.00545418338691E-2</v>
      </c>
      <c r="S35" s="5">
        <f t="shared" si="11"/>
        <v>0.81806170100207931</v>
      </c>
      <c r="T35" s="5">
        <f t="shared" si="12"/>
        <v>2.7569119287666411E-2</v>
      </c>
      <c r="U35" s="5">
        <f t="shared" si="13"/>
        <v>6.9753726190189214E-2</v>
      </c>
    </row>
    <row r="36" spans="1:21">
      <c r="A36" s="19">
        <f t="shared" si="14"/>
        <v>1.8333333333333326</v>
      </c>
      <c r="B36" s="10">
        <f t="shared" si="0"/>
        <v>0.91715995292041996</v>
      </c>
      <c r="C36" s="10">
        <f t="shared" si="2"/>
        <v>0.91443523451419584</v>
      </c>
      <c r="D36" s="10">
        <f t="shared" si="3"/>
        <v>0.83868337663581305</v>
      </c>
      <c r="H36" s="19">
        <f t="shared" si="1"/>
        <v>1.8333333333333326</v>
      </c>
      <c r="I36" s="10">
        <f t="shared" si="4"/>
        <v>0.96577640142058996</v>
      </c>
      <c r="J36" s="10">
        <f t="shared" si="5"/>
        <v>0.88577143885856091</v>
      </c>
      <c r="K36" s="10">
        <f t="shared" si="6"/>
        <v>3.1388514061859066E-2</v>
      </c>
      <c r="L36" s="10">
        <f t="shared" si="7"/>
        <v>0.95406618571289703</v>
      </c>
      <c r="M36" s="10">
        <f t="shared" si="8"/>
        <v>0.99772007666107432</v>
      </c>
      <c r="N36" s="10">
        <f t="shared" si="9"/>
        <v>0.99579982395862809</v>
      </c>
      <c r="O36" s="10">
        <f t="shared" si="15"/>
        <v>4.1918410403493471E-3</v>
      </c>
      <c r="P36" s="10">
        <f t="shared" si="16"/>
        <v>7.9511468128952614E-2</v>
      </c>
      <c r="Q36" s="10">
        <f t="shared" si="10"/>
        <v>5.0356512994150435E-2</v>
      </c>
      <c r="S36" s="5">
        <f t="shared" si="11"/>
        <v>0.80998061341860483</v>
      </c>
      <c r="T36" s="5">
        <f t="shared" si="12"/>
        <v>2.870276321720823E-2</v>
      </c>
      <c r="U36" s="5">
        <f t="shared" si="13"/>
        <v>7.2708088005066798E-2</v>
      </c>
    </row>
    <row r="37" spans="1:21">
      <c r="A37" s="19">
        <f t="shared" si="14"/>
        <v>1.9166666666666659</v>
      </c>
      <c r="B37" s="10">
        <f t="shared" si="0"/>
        <v>0.91330771966005786</v>
      </c>
      <c r="C37" s="10">
        <f t="shared" si="2"/>
        <v>0.91072482882870598</v>
      </c>
      <c r="D37" s="10">
        <f t="shared" si="3"/>
        <v>0.83177201665534195</v>
      </c>
      <c r="H37" s="19">
        <f t="shared" si="1"/>
        <v>1.9166666666666659</v>
      </c>
      <c r="I37" s="10">
        <f t="shared" si="4"/>
        <v>0.96414825876419852</v>
      </c>
      <c r="J37" s="10">
        <f t="shared" si="5"/>
        <v>0.8805640476261456</v>
      </c>
      <c r="K37" s="10">
        <f t="shared" si="6"/>
        <v>3.2743672033912319E-2</v>
      </c>
      <c r="L37" s="10">
        <f t="shared" si="7"/>
        <v>0.95189098794921034</v>
      </c>
      <c r="M37" s="10">
        <f t="shared" si="8"/>
        <v>0.99770689232481558</v>
      </c>
      <c r="N37" s="10">
        <f t="shared" si="9"/>
        <v>0.99577453811381966</v>
      </c>
      <c r="O37" s="10">
        <f t="shared" si="15"/>
        <v>4.2170287352297975E-3</v>
      </c>
      <c r="P37" s="10">
        <f t="shared" si="16"/>
        <v>8.3043201146829768E-2</v>
      </c>
      <c r="Q37" s="10">
        <f t="shared" si="10"/>
        <v>5.0660309545643351E-2</v>
      </c>
      <c r="S37" s="5">
        <f t="shared" si="11"/>
        <v>0.80195154154703396</v>
      </c>
      <c r="T37" s="5">
        <f t="shared" si="12"/>
        <v>2.9820475108308084E-2</v>
      </c>
      <c r="U37" s="5">
        <f t="shared" si="13"/>
        <v>7.5629505149834339E-2</v>
      </c>
    </row>
    <row r="38" spans="1:21">
      <c r="A38" s="19">
        <f t="shared" si="14"/>
        <v>1.9999999999999991</v>
      </c>
      <c r="B38" s="10">
        <f t="shared" si="0"/>
        <v>0.90944857270028001</v>
      </c>
      <c r="C38" s="10">
        <f t="shared" si="2"/>
        <v>0.90702947845804982</v>
      </c>
      <c r="D38" s="10">
        <f t="shared" si="3"/>
        <v>0.82489666458075284</v>
      </c>
      <c r="H38" s="19">
        <f t="shared" si="1"/>
        <v>1.9999999999999991</v>
      </c>
      <c r="I38" s="10">
        <f t="shared" si="4"/>
        <v>0.96251372380324196</v>
      </c>
      <c r="J38" s="10">
        <f t="shared" si="5"/>
        <v>0.87535673231728994</v>
      </c>
      <c r="K38" s="10">
        <f t="shared" si="6"/>
        <v>3.4091840382990082E-2</v>
      </c>
      <c r="L38" s="10">
        <f t="shared" si="7"/>
        <v>0.94970819941880513</v>
      </c>
      <c r="M38" s="10">
        <f t="shared" si="8"/>
        <v>0.99769363155466895</v>
      </c>
      <c r="N38" s="10">
        <f t="shared" si="9"/>
        <v>0.99574910006603146</v>
      </c>
      <c r="O38" s="10">
        <f t="shared" si="15"/>
        <v>4.2423674769870769E-3</v>
      </c>
      <c r="P38" s="10">
        <f t="shared" si="16"/>
        <v>8.6566138036957799E-2</v>
      </c>
      <c r="Q38" s="10">
        <f t="shared" si="10"/>
        <v>5.096594252268994E-2</v>
      </c>
      <c r="S38" s="5">
        <f t="shared" si="11"/>
        <v>0.79397436037849423</v>
      </c>
      <c r="T38" s="5">
        <f t="shared" si="12"/>
        <v>3.0922304202258576E-2</v>
      </c>
      <c r="U38" s="5">
        <f t="shared" si="13"/>
        <v>7.8518039035789383E-2</v>
      </c>
    </row>
    <row r="39" spans="1:21">
      <c r="A39" s="19">
        <f t="shared" si="14"/>
        <v>2.0833333333333326</v>
      </c>
      <c r="B39" s="10">
        <f t="shared" si="0"/>
        <v>0.90558259782264061</v>
      </c>
      <c r="C39" s="10">
        <f t="shared" si="2"/>
        <v>0.90334912231389286</v>
      </c>
      <c r="D39" s="10">
        <f t="shared" si="3"/>
        <v>0.81805724492581744</v>
      </c>
      <c r="H39" s="19">
        <f t="shared" si="1"/>
        <v>2.0833333333333326</v>
      </c>
      <c r="I39" s="10">
        <f t="shared" si="4"/>
        <v>0.96087278680707744</v>
      </c>
      <c r="J39" s="10">
        <f t="shared" si="5"/>
        <v>0.87014967445383351</v>
      </c>
      <c r="K39" s="10">
        <f t="shared" si="6"/>
        <v>3.5432923368807108E-2</v>
      </c>
      <c r="L39" s="10">
        <f t="shared" si="7"/>
        <v>0.94751782239539339</v>
      </c>
      <c r="M39" s="10">
        <f t="shared" si="8"/>
        <v>0.99768029390854895</v>
      </c>
      <c r="N39" s="10">
        <f t="shared" si="9"/>
        <v>0.9957235089030485</v>
      </c>
      <c r="O39" s="10">
        <f t="shared" si="15"/>
        <v>4.2678581642289198E-3</v>
      </c>
      <c r="P39" s="10">
        <f t="shared" si="16"/>
        <v>9.0080069559699744E-2</v>
      </c>
      <c r="Q39" s="10">
        <f t="shared" si="10"/>
        <v>5.1273423026333795E-2</v>
      </c>
      <c r="S39" s="5">
        <f t="shared" si="11"/>
        <v>0.78604894469959008</v>
      </c>
      <c r="T39" s="5">
        <f t="shared" si="12"/>
        <v>3.2008300226227325E-2</v>
      </c>
      <c r="U39" s="5">
        <f t="shared" si="13"/>
        <v>8.1373751774729178E-2</v>
      </c>
    </row>
    <row r="40" spans="1:21">
      <c r="A40" s="19">
        <f t="shared" si="14"/>
        <v>2.1666666666666661</v>
      </c>
      <c r="B40" s="10">
        <f t="shared" si="0"/>
        <v>0.90170988190549783</v>
      </c>
      <c r="C40" s="10">
        <f t="shared" si="2"/>
        <v>0.89968369955577199</v>
      </c>
      <c r="D40" s="10">
        <f t="shared" si="3"/>
        <v>0.81125368247873653</v>
      </c>
      <c r="H40" s="19">
        <f t="shared" si="1"/>
        <v>2.1666666666666661</v>
      </c>
      <c r="I40" s="10">
        <f t="shared" si="4"/>
        <v>0.95922543821718043</v>
      </c>
      <c r="J40" s="10">
        <f t="shared" si="5"/>
        <v>0.86494305661556314</v>
      </c>
      <c r="K40" s="10">
        <f t="shared" si="6"/>
        <v>3.6766825289934663E-2</v>
      </c>
      <c r="L40" s="10">
        <f t="shared" si="7"/>
        <v>0.94531985953102438</v>
      </c>
      <c r="M40" s="10">
        <f t="shared" si="8"/>
        <v>0.99766687894182671</v>
      </c>
      <c r="N40" s="10">
        <f t="shared" si="9"/>
        <v>0.99569776370723651</v>
      </c>
      <c r="O40" s="10">
        <f t="shared" si="15"/>
        <v>4.2935017008227045E-3</v>
      </c>
      <c r="P40" s="10">
        <f t="shared" si="16"/>
        <v>9.3584785665842704E-2</v>
      </c>
      <c r="Q40" s="10">
        <f t="shared" si="10"/>
        <v>5.1582762224723862E-2</v>
      </c>
      <c r="S40" s="5">
        <f t="shared" si="11"/>
        <v>0.7781751690809674</v>
      </c>
      <c r="T40" s="5">
        <f t="shared" si="12"/>
        <v>3.3078513397769134E-2</v>
      </c>
      <c r="U40" s="5">
        <f t="shared" si="13"/>
        <v>8.4196706189979348E-2</v>
      </c>
    </row>
    <row r="41" spans="1:21">
      <c r="A41" s="19">
        <f t="shared" si="14"/>
        <v>2.2499999999999996</v>
      </c>
      <c r="B41" s="10">
        <f t="shared" si="0"/>
        <v>0.89783051292602056</v>
      </c>
      <c r="C41" s="10">
        <f t="shared" si="2"/>
        <v>0.89603314959008984</v>
      </c>
      <c r="D41" s="10">
        <f t="shared" si="3"/>
        <v>0.80448590229518813</v>
      </c>
      <c r="H41" s="19">
        <f t="shared" si="1"/>
        <v>2.2499999999999996</v>
      </c>
      <c r="I41" s="10">
        <f t="shared" si="4"/>
        <v>0.95757166864963783</v>
      </c>
      <c r="J41" s="10">
        <f t="shared" si="5"/>
        <v>0.85973706242712977</v>
      </c>
      <c r="K41" s="10">
        <f t="shared" si="6"/>
        <v>3.8093450498890825E-2</v>
      </c>
      <c r="L41" s="10">
        <f t="shared" si="7"/>
        <v>0.94311431386004307</v>
      </c>
      <c r="M41" s="10">
        <f t="shared" si="8"/>
        <v>0.99765338620731137</v>
      </c>
      <c r="N41" s="10">
        <f t="shared" si="9"/>
        <v>0.99567186355551063</v>
      </c>
      <c r="O41" s="10">
        <f t="shared" si="15"/>
        <v>4.3192989959251792E-3</v>
      </c>
      <c r="P41" s="10">
        <f t="shared" si="16"/>
        <v>9.7080075516374806E-2</v>
      </c>
      <c r="Q41" s="10">
        <f t="shared" si="10"/>
        <v>5.1893971353519142E-2</v>
      </c>
      <c r="S41" s="5">
        <f t="shared" si="11"/>
        <v>0.77035290786591282</v>
      </c>
      <c r="T41" s="5">
        <f t="shared" si="12"/>
        <v>3.4132994429275323E-2</v>
      </c>
      <c r="U41" s="5">
        <f t="shared" si="13"/>
        <v>8.698696582738108E-2</v>
      </c>
    </row>
    <row r="42" spans="1:21">
      <c r="A42" s="19">
        <f t="shared" si="14"/>
        <v>2.333333333333333</v>
      </c>
      <c r="B42" s="10">
        <f t="shared" si="0"/>
        <v>0.8939445799620509</v>
      </c>
      <c r="C42" s="10">
        <f t="shared" si="2"/>
        <v>0.89239741206911283</v>
      </c>
      <c r="D42" s="10">
        <f t="shared" si="3"/>
        <v>0.79775382969134434</v>
      </c>
      <c r="H42" s="19">
        <f t="shared" si="1"/>
        <v>2.333333333333333</v>
      </c>
      <c r="I42" s="10">
        <f t="shared" si="4"/>
        <v>0.95591146889765699</v>
      </c>
      <c r="J42" s="10">
        <f t="shared" si="5"/>
        <v>0.85453187654462304</v>
      </c>
      <c r="K42" s="10">
        <f t="shared" si="6"/>
        <v>3.9412703417427836E-2</v>
      </c>
      <c r="L42" s="10">
        <f t="shared" si="7"/>
        <v>0.94090118880305706</v>
      </c>
      <c r="M42" s="10">
        <f t="shared" si="8"/>
        <v>0.99763981525524015</v>
      </c>
      <c r="N42" s="10">
        <f t="shared" si="9"/>
        <v>0.99564580751930198</v>
      </c>
      <c r="O42" s="10">
        <f t="shared" si="15"/>
        <v>4.34525096401239E-3</v>
      </c>
      <c r="P42" s="10">
        <f t="shared" si="16"/>
        <v>0.10056572750267399</v>
      </c>
      <c r="Q42" s="10">
        <f t="shared" si="10"/>
        <v>5.2207061716297659E-2</v>
      </c>
      <c r="S42" s="5">
        <f t="shared" si="11"/>
        <v>0.76258203515898426</v>
      </c>
      <c r="T42" s="5">
        <f t="shared" si="12"/>
        <v>3.5171794532360079E-2</v>
      </c>
      <c r="U42" s="5">
        <f t="shared" si="13"/>
        <v>8.9744594966233882E-2</v>
      </c>
    </row>
    <row r="43" spans="1:21">
      <c r="A43" s="19">
        <f t="shared" si="14"/>
        <v>2.4166666666666665</v>
      </c>
      <c r="B43" s="10">
        <f t="shared" si="0"/>
        <v>0.89005217319381935</v>
      </c>
      <c r="C43" s="10">
        <f t="shared" si="2"/>
        <v>0.88877642688997438</v>
      </c>
      <c r="D43" s="10">
        <f t="shared" si="3"/>
        <v>0.79105739023685939</v>
      </c>
      <c r="H43" s="19">
        <f t="shared" si="1"/>
        <v>2.4166666666666665</v>
      </c>
      <c r="I43" s="10">
        <f t="shared" si="4"/>
        <v>0.95424482993409243</v>
      </c>
      <c r="J43" s="10">
        <f t="shared" si="5"/>
        <v>0.84932768464180552</v>
      </c>
      <c r="K43" s="10">
        <f t="shared" si="6"/>
        <v>4.072448855201382E-2</v>
      </c>
      <c r="L43" s="10">
        <f t="shared" si="7"/>
        <v>0.93868048817091765</v>
      </c>
      <c r="M43" s="10">
        <f t="shared" si="8"/>
        <v>0.99762616563326068</v>
      </c>
      <c r="N43" s="10">
        <f t="shared" si="9"/>
        <v>0.99561959466452798</v>
      </c>
      <c r="O43" s="10">
        <f t="shared" si="15"/>
        <v>4.3713585249097135E-3</v>
      </c>
      <c r="P43" s="10">
        <f t="shared" si="16"/>
        <v>0.10404152926711134</v>
      </c>
      <c r="Q43" s="10">
        <f t="shared" si="10"/>
        <v>5.2522044684966462E-2</v>
      </c>
      <c r="S43" s="5">
        <f t="shared" si="11"/>
        <v>0.75486242481467891</v>
      </c>
      <c r="T43" s="5">
        <f t="shared" si="12"/>
        <v>3.6194965422180508E-2</v>
      </c>
      <c r="U43" s="5">
        <f t="shared" si="13"/>
        <v>9.2469658630191909E-2</v>
      </c>
    </row>
    <row r="44" spans="1:21">
      <c r="A44" s="19">
        <f t="shared" si="14"/>
        <v>2.5</v>
      </c>
      <c r="B44" s="10">
        <f t="shared" si="0"/>
        <v>0.88615338390551268</v>
      </c>
      <c r="C44" s="10">
        <f t="shared" si="2"/>
        <v>0.88517013419368074</v>
      </c>
      <c r="D44" s="10">
        <f t="shared" si="3"/>
        <v>0.78439650974782693</v>
      </c>
      <c r="H44" s="19">
        <f t="shared" si="1"/>
        <v>2.5</v>
      </c>
      <c r="I44" s="10">
        <f t="shared" si="4"/>
        <v>0.95257174291398794</v>
      </c>
      <c r="J44" s="10">
        <f t="shared" si="5"/>
        <v>0.8441246733960025</v>
      </c>
      <c r="K44" s="10">
        <f t="shared" si="6"/>
        <v>4.2028710509510195E-2</v>
      </c>
      <c r="L44" s="10">
        <f t="shared" si="7"/>
        <v>0.93645221616870988</v>
      </c>
      <c r="M44" s="10">
        <f t="shared" si="8"/>
        <v>0.99761243688641621</v>
      </c>
      <c r="N44" s="10">
        <f t="shared" si="9"/>
        <v>0.99559322405155803</v>
      </c>
      <c r="O44" s="10">
        <f t="shared" si="15"/>
        <v>4.3976226038220777E-3</v>
      </c>
      <c r="P44" s="10">
        <f t="shared" si="16"/>
        <v>0.10750726772406974</v>
      </c>
      <c r="Q44" s="10">
        <f t="shared" si="10"/>
        <v>5.2838931700174889E-2</v>
      </c>
      <c r="S44" s="5">
        <f t="shared" si="11"/>
        <v>0.74719395042613646</v>
      </c>
      <c r="T44" s="5">
        <f t="shared" si="12"/>
        <v>3.7202559321690497E-2</v>
      </c>
      <c r="U44" s="5">
        <f t="shared" si="13"/>
        <v>9.5162222598110774E-2</v>
      </c>
    </row>
    <row r="45" spans="1:21">
      <c r="A45" s="19">
        <f t="shared" si="14"/>
        <v>2.5833333333333335</v>
      </c>
      <c r="B45" s="10">
        <f t="shared" si="0"/>
        <v>0.88224830448668745</v>
      </c>
      <c r="C45" s="10">
        <f t="shared" si="2"/>
        <v>0.8815784743641214</v>
      </c>
      <c r="D45" s="10">
        <f t="shared" si="3"/>
        <v>0.7777711142797068</v>
      </c>
      <c r="H45" s="19">
        <f t="shared" si="1"/>
        <v>2.5833333333333335</v>
      </c>
      <c r="I45" s="10">
        <f t="shared" si="4"/>
        <v>0.95089219917713796</v>
      </c>
      <c r="J45" s="10">
        <f t="shared" si="5"/>
        <v>0.83892303047364747</v>
      </c>
      <c r="K45" s="10">
        <f t="shared" si="6"/>
        <v>4.3325274013039983E-2</v>
      </c>
      <c r="L45" s="10">
        <f t="shared" si="7"/>
        <v>0.93421637739975172</v>
      </c>
      <c r="M45" s="10">
        <f t="shared" si="8"/>
        <v>0.99759862855713344</v>
      </c>
      <c r="N45" s="10">
        <f t="shared" si="9"/>
        <v>0.99556669473518322</v>
      </c>
      <c r="O45" s="10">
        <f t="shared" si="15"/>
        <v>4.424044131364345E-3</v>
      </c>
      <c r="P45" s="10">
        <f t="shared" si="16"/>
        <v>0.11096272908137976</v>
      </c>
      <c r="Q45" s="10">
        <f t="shared" si="10"/>
        <v>5.315773427173006E-2</v>
      </c>
      <c r="S45" s="5">
        <f t="shared" si="11"/>
        <v>0.73957648531388342</v>
      </c>
      <c r="T45" s="5">
        <f t="shared" si="12"/>
        <v>3.8194628965823305E-2</v>
      </c>
      <c r="U45" s="5">
        <f t="shared" si="13"/>
        <v>9.7822353414842092E-2</v>
      </c>
    </row>
    <row r="46" spans="1:21">
      <c r="A46" s="19">
        <f t="shared" si="14"/>
        <v>2.666666666666667</v>
      </c>
      <c r="B46" s="10">
        <f t="shared" si="0"/>
        <v>0.8783370284335309</v>
      </c>
      <c r="C46" s="10">
        <f t="shared" si="2"/>
        <v>0.87800138802708416</v>
      </c>
      <c r="D46" s="10">
        <f t="shared" si="3"/>
        <v>0.7711811301202246</v>
      </c>
      <c r="H46" s="19">
        <f t="shared" si="1"/>
        <v>2.666666666666667</v>
      </c>
      <c r="I46" s="10">
        <f t="shared" si="4"/>
        <v>0.949206190250662</v>
      </c>
      <c r="J46" s="10">
        <f t="shared" si="5"/>
        <v>0.83372294451547924</v>
      </c>
      <c r="K46" s="10">
        <f t="shared" si="6"/>
        <v>4.4614083918051654E-2</v>
      </c>
      <c r="L46" s="10">
        <f t="shared" si="7"/>
        <v>0.93197297686960567</v>
      </c>
      <c r="M46" s="10">
        <f t="shared" si="8"/>
        <v>0.99758474018520416</v>
      </c>
      <c r="N46" s="10">
        <f t="shared" si="9"/>
        <v>0.99554000576458157</v>
      </c>
      <c r="O46" s="10">
        <f t="shared" si="15"/>
        <v>4.4506240435918162E-3</v>
      </c>
      <c r="P46" s="10">
        <f t="shared" si="16"/>
        <v>0.11440769886217453</v>
      </c>
      <c r="Q46" s="10">
        <f t="shared" si="10"/>
        <v>5.3478463979015109E-2</v>
      </c>
      <c r="S46" s="5">
        <f t="shared" si="11"/>
        <v>0.73200990251461839</v>
      </c>
      <c r="T46" s="5">
        <f t="shared" si="12"/>
        <v>3.9171227605606165E-2</v>
      </c>
      <c r="U46" s="5">
        <f t="shared" si="13"/>
        <v>0.10045011840197389</v>
      </c>
    </row>
    <row r="47" spans="1:21">
      <c r="A47" s="19">
        <f t="shared" si="14"/>
        <v>2.7500000000000004</v>
      </c>
      <c r="B47" s="10">
        <f t="shared" si="0"/>
        <v>0.87441965034996283</v>
      </c>
      <c r="C47" s="10">
        <f t="shared" si="2"/>
        <v>0.87443881604927254</v>
      </c>
      <c r="D47" s="10">
        <f t="shared" si="3"/>
        <v>0.76462648378224041</v>
      </c>
      <c r="H47" s="19">
        <f t="shared" si="1"/>
        <v>2.7500000000000004</v>
      </c>
      <c r="I47" s="10">
        <f t="shared" si="4"/>
        <v>0.94751370785159861</v>
      </c>
      <c r="J47" s="10">
        <f t="shared" si="5"/>
        <v>0.8285246051213917</v>
      </c>
      <c r="K47" s="10">
        <f t="shared" si="6"/>
        <v>4.5895045228571144E-2</v>
      </c>
      <c r="L47" s="10">
        <f t="shared" si="7"/>
        <v>0.92972201999009685</v>
      </c>
      <c r="M47" s="10">
        <f t="shared" si="8"/>
        <v>0.99757077130777261</v>
      </c>
      <c r="N47" s="10">
        <f t="shared" si="9"/>
        <v>0.99551315618328751</v>
      </c>
      <c r="O47" s="10">
        <f t="shared" si="15"/>
        <v>4.4773632820309384E-3</v>
      </c>
      <c r="P47" s="10">
        <f t="shared" si="16"/>
        <v>0.1178419619271642</v>
      </c>
      <c r="Q47" s="10">
        <f t="shared" si="10"/>
        <v>5.3801132471409281E-2</v>
      </c>
      <c r="S47" s="5">
        <f t="shared" si="11"/>
        <v>0.7244940747700408</v>
      </c>
      <c r="T47" s="5">
        <f t="shared" si="12"/>
        <v>4.0132409012199569E-2</v>
      </c>
      <c r="U47" s="5">
        <f t="shared" si="13"/>
        <v>0.10304558566851292</v>
      </c>
    </row>
    <row r="48" spans="1:21">
      <c r="A48" s="19">
        <f t="shared" si="14"/>
        <v>2.8333333333333339</v>
      </c>
      <c r="B48" s="10">
        <f t="shared" si="0"/>
        <v>0.87049626594857821</v>
      </c>
      <c r="C48" s="10">
        <f t="shared" si="2"/>
        <v>0.87089069953732934</v>
      </c>
      <c r="D48" s="10">
        <f t="shared" si="3"/>
        <v>0.75810710199659037</v>
      </c>
      <c r="H48" s="19">
        <f t="shared" si="1"/>
        <v>2.8333333333333339</v>
      </c>
      <c r="I48" s="10">
        <f t="shared" si="4"/>
        <v>0.94581474388951492</v>
      </c>
      <c r="J48" s="10">
        <f t="shared" si="5"/>
        <v>0.82332820283493358</v>
      </c>
      <c r="K48" s="10">
        <f t="shared" si="6"/>
        <v>4.7168063113644645E-2</v>
      </c>
      <c r="L48" s="10">
        <f t="shared" si="7"/>
        <v>0.92746351258334125</v>
      </c>
      <c r="M48" s="10">
        <f t="shared" si="8"/>
        <v>0.99755672145931962</v>
      </c>
      <c r="N48" s="10">
        <f t="shared" si="9"/>
        <v>0.99548614502915755</v>
      </c>
      <c r="O48" s="10">
        <f t="shared" si="15"/>
        <v>4.5042627937101455E-3</v>
      </c>
      <c r="P48" s="10">
        <f t="shared" si="16"/>
        <v>0.12126530249733207</v>
      </c>
      <c r="Q48" s="10">
        <f t="shared" si="10"/>
        <v>5.4125751468711715E-2</v>
      </c>
      <c r="S48" s="5">
        <f t="shared" si="11"/>
        <v>0.7170288745157275</v>
      </c>
      <c r="T48" s="5">
        <f t="shared" si="12"/>
        <v>4.1078227480862886E-2</v>
      </c>
      <c r="U48" s="5">
        <f t="shared" si="13"/>
        <v>0.10560882412150738</v>
      </c>
    </row>
    <row r="49" spans="1:21">
      <c r="A49" s="19">
        <f t="shared" si="14"/>
        <v>2.9166666666666674</v>
      </c>
      <c r="B49" s="10">
        <f t="shared" si="0"/>
        <v>0.86656697205142641</v>
      </c>
      <c r="C49" s="10">
        <f t="shared" si="2"/>
        <v>0.86735697983686277</v>
      </c>
      <c r="D49" s="10">
        <f t="shared" si="3"/>
        <v>0.75162291170490025</v>
      </c>
      <c r="H49" s="19">
        <f t="shared" si="1"/>
        <v>2.9166666666666674</v>
      </c>
      <c r="I49" s="10">
        <f t="shared" si="4"/>
        <v>0.94410929046913172</v>
      </c>
      <c r="J49" s="10">
        <f t="shared" si="5"/>
        <v>0.81813392912745608</v>
      </c>
      <c r="K49" s="10">
        <f t="shared" si="6"/>
        <v>4.8433042923970319E-2</v>
      </c>
      <c r="L49" s="10">
        <f t="shared" si="7"/>
        <v>0.92519746088578236</v>
      </c>
      <c r="M49" s="10">
        <f t="shared" si="8"/>
        <v>0.99754259017164693</v>
      </c>
      <c r="N49" s="10">
        <f t="shared" si="9"/>
        <v>0.99545897133433725</v>
      </c>
      <c r="O49" s="10">
        <f t="shared" si="15"/>
        <v>4.5313235311908668E-3</v>
      </c>
      <c r="P49" s="10">
        <f t="shared" si="16"/>
        <v>0.12467750417705285</v>
      </c>
      <c r="Q49" s="10">
        <f t="shared" si="10"/>
        <v>5.4452332761566601E-2</v>
      </c>
      <c r="S49" s="5">
        <f t="shared" si="11"/>
        <v>0.70961417387005621</v>
      </c>
      <c r="T49" s="5">
        <f t="shared" si="12"/>
        <v>4.2008737834844032E-2</v>
      </c>
      <c r="U49" s="5">
        <f t="shared" si="13"/>
        <v>0.1081399034766064</v>
      </c>
    </row>
    <row r="50" spans="1:21">
      <c r="A50" s="19">
        <f t="shared" si="14"/>
        <v>3.0000000000000009</v>
      </c>
      <c r="B50" s="10">
        <f t="shared" si="0"/>
        <v>0.8626318665906243</v>
      </c>
      <c r="C50" s="10">
        <f t="shared" si="2"/>
        <v>0.86383759853147601</v>
      </c>
      <c r="D50" s="10">
        <f t="shared" si="3"/>
        <v>0.74517384005236953</v>
      </c>
      <c r="H50" s="19">
        <f t="shared" si="1"/>
        <v>3.0000000000000009</v>
      </c>
      <c r="I50" s="10">
        <f t="shared" si="4"/>
        <v>0.94239733989296637</v>
      </c>
      <c r="J50" s="10">
        <f t="shared" si="5"/>
        <v>0.81294197638190857</v>
      </c>
      <c r="K50" s="10">
        <f t="shared" si="6"/>
        <v>4.9689890208715712E-2</v>
      </c>
      <c r="L50" s="10">
        <f t="shared" si="7"/>
        <v>0.92292387155223432</v>
      </c>
      <c r="M50" s="10">
        <f t="shared" si="8"/>
        <v>0.99752837697386354</v>
      </c>
      <c r="N50" s="10">
        <f t="shared" si="9"/>
        <v>0.9954316341252295</v>
      </c>
      <c r="O50" s="10">
        <f t="shared" si="15"/>
        <v>4.5585464525986817E-3</v>
      </c>
      <c r="P50" s="10">
        <f t="shared" si="16"/>
        <v>0.12807834997763451</v>
      </c>
      <c r="Q50" s="10">
        <f t="shared" si="10"/>
        <v>5.4780888211891685E-2</v>
      </c>
      <c r="S50" s="5">
        <f t="shared" si="11"/>
        <v>0.70224984462317974</v>
      </c>
      <c r="T50" s="5">
        <f t="shared" si="12"/>
        <v>4.2923995429189683E-2</v>
      </c>
      <c r="U50" s="5">
        <f t="shared" si="13"/>
        <v>0.11063889426855372</v>
      </c>
    </row>
    <row r="51" spans="1:21">
      <c r="A51" s="19">
        <f t="shared" si="14"/>
        <v>3.0833333333333344</v>
      </c>
      <c r="B51" s="10">
        <f t="shared" si="0"/>
        <v>0.85869104860880208</v>
      </c>
      <c r="C51" s="10">
        <f t="shared" si="2"/>
        <v>0.86033249744180262</v>
      </c>
      <c r="D51" s="10">
        <f t="shared" si="3"/>
        <v>0.73875981438053107</v>
      </c>
      <c r="H51" s="19">
        <f t="shared" si="1"/>
        <v>3.0833333333333344</v>
      </c>
      <c r="I51" s="10">
        <f t="shared" si="4"/>
        <v>0.94067888466399074</v>
      </c>
      <c r="J51" s="10">
        <f t="shared" si="5"/>
        <v>0.80775253787628065</v>
      </c>
      <c r="K51" s="10">
        <f t="shared" si="6"/>
        <v>5.093851073252148E-2</v>
      </c>
      <c r="L51" s="10">
        <f t="shared" si="7"/>
        <v>0.92064275165993481</v>
      </c>
      <c r="M51" s="10">
        <f t="shared" si="8"/>
        <v>0.99751408139236819</v>
      </c>
      <c r="N51" s="10">
        <f t="shared" si="9"/>
        <v>0.99540413242245973</v>
      </c>
      <c r="O51" s="10">
        <f t="shared" si="15"/>
        <v>4.5859325216546761E-3</v>
      </c>
      <c r="P51" s="10">
        <f t="shared" si="16"/>
        <v>0.13146762234128453</v>
      </c>
      <c r="Q51" s="10">
        <f t="shared" si="10"/>
        <v>5.5111429753308828E-2</v>
      </c>
      <c r="S51" s="5">
        <f t="shared" si="11"/>
        <v>0.6949357582260548</v>
      </c>
      <c r="T51" s="5">
        <f t="shared" si="12"/>
        <v>4.3824056154476272E-2</v>
      </c>
      <c r="U51" s="5">
        <f t="shared" si="13"/>
        <v>0.11310586786161304</v>
      </c>
    </row>
    <row r="52" spans="1:21">
      <c r="A52" s="19">
        <f t="shared" si="14"/>
        <v>3.1666666666666679</v>
      </c>
      <c r="B52" s="10">
        <f t="shared" si="0"/>
        <v>0.85474461825937686</v>
      </c>
      <c r="C52" s="10">
        <f t="shared" si="2"/>
        <v>0.85684161862454467</v>
      </c>
      <c r="D52" s="10">
        <f t="shared" si="3"/>
        <v>0.73238076221998305</v>
      </c>
      <c r="H52" s="19">
        <f t="shared" si="1"/>
        <v>3.1666666666666679</v>
      </c>
      <c r="I52" s="10">
        <f t="shared" si="4"/>
        <v>0.93895391748830626</v>
      </c>
      <c r="J52" s="10">
        <f t="shared" si="5"/>
        <v>0.80256580776668873</v>
      </c>
      <c r="K52" s="10">
        <f t="shared" si="6"/>
        <v>5.2178810492688091E-2</v>
      </c>
      <c r="L52" s="10">
        <f t="shared" si="7"/>
        <v>0.91835410871260204</v>
      </c>
      <c r="M52" s="10">
        <f t="shared" si="8"/>
        <v>0.99749970295083568</v>
      </c>
      <c r="N52" s="10">
        <f t="shared" si="9"/>
        <v>0.99537646524084133</v>
      </c>
      <c r="O52" s="10">
        <f t="shared" si="15"/>
        <v>4.6134827077069108E-3</v>
      </c>
      <c r="P52" s="10">
        <f t="shared" si="16"/>
        <v>0.13484510316550116</v>
      </c>
      <c r="Q52" s="10">
        <f t="shared" si="10"/>
        <v>5.5443969391578148E-2</v>
      </c>
      <c r="S52" s="5">
        <f t="shared" si="11"/>
        <v>0.6876717857795247</v>
      </c>
      <c r="T52" s="5">
        <f t="shared" si="12"/>
        <v>4.4708976440458237E-2</v>
      </c>
      <c r="U52" s="5">
        <f t="shared" si="13"/>
        <v>0.11554089645992173</v>
      </c>
    </row>
    <row r="53" spans="1:21">
      <c r="A53" s="19">
        <f t="shared" si="14"/>
        <v>3.2500000000000013</v>
      </c>
      <c r="B53" s="10">
        <f t="shared" si="0"/>
        <v>0.85079267680665083</v>
      </c>
      <c r="C53" s="10">
        <f t="shared" si="2"/>
        <v>0.85336490437151402</v>
      </c>
      <c r="D53" s="10">
        <f t="shared" si="3"/>
        <v>0.72603661128309205</v>
      </c>
      <c r="H53" s="19">
        <f t="shared" si="1"/>
        <v>3.2500000000000013</v>
      </c>
      <c r="I53" s="10">
        <f t="shared" si="4"/>
        <v>0.93722243127783433</v>
      </c>
      <c r="J53" s="10">
        <f t="shared" si="5"/>
        <v>0.79738198107010605</v>
      </c>
      <c r="K53" s="10">
        <f t="shared" si="6"/>
        <v>5.3410695736544805E-2</v>
      </c>
      <c r="L53" s="10">
        <f t="shared" si="7"/>
        <v>0.91605795064450002</v>
      </c>
      <c r="M53" s="10">
        <f t="shared" si="8"/>
        <v>0.99748524117020021</v>
      </c>
      <c r="N53" s="10">
        <f t="shared" si="9"/>
        <v>0.99534863158934461</v>
      </c>
      <c r="O53" s="10">
        <f t="shared" si="15"/>
        <v>4.6411979857620802E-3</v>
      </c>
      <c r="P53" s="10">
        <f t="shared" si="16"/>
        <v>0.13821057382789065</v>
      </c>
      <c r="Q53" s="10">
        <f t="shared" si="10"/>
        <v>5.5778519205033072E-2</v>
      </c>
      <c r="S53" s="5">
        <f t="shared" si="11"/>
        <v>0.6804577980234594</v>
      </c>
      <c r="T53" s="5">
        <f t="shared" si="12"/>
        <v>4.5578813259632589E-2</v>
      </c>
      <c r="U53" s="5">
        <f t="shared" si="13"/>
        <v>0.11794405311776998</v>
      </c>
    </row>
    <row r="54" spans="1:21">
      <c r="A54" s="19">
        <f t="shared" si="14"/>
        <v>3.3333333333333348</v>
      </c>
      <c r="B54" s="10">
        <f t="shared" si="0"/>
        <v>0.84683532662573546</v>
      </c>
      <c r="C54" s="10">
        <f t="shared" si="2"/>
        <v>0.84990229720867871</v>
      </c>
      <c r="D54" s="10">
        <f t="shared" si="3"/>
        <v>0.7197272894566743</v>
      </c>
      <c r="H54" s="19">
        <f t="shared" si="1"/>
        <v>3.3333333333333348</v>
      </c>
      <c r="I54" s="10">
        <f t="shared" si="4"/>
        <v>0.93548441915302327</v>
      </c>
      <c r="J54" s="10">
        <f t="shared" si="5"/>
        <v>0.79220125364673688</v>
      </c>
      <c r="K54" s="10">
        <f t="shared" si="6"/>
        <v>5.4634072978998582E-2</v>
      </c>
      <c r="L54" s="10">
        <f t="shared" si="7"/>
        <v>0.91375428582450846</v>
      </c>
      <c r="M54" s="10">
        <f t="shared" si="8"/>
        <v>0.99747069556864087</v>
      </c>
      <c r="N54" s="10">
        <f t="shared" si="9"/>
        <v>0.99532063047106079</v>
      </c>
      <c r="O54" s="10">
        <f t="shared" si="15"/>
        <v>4.6690793365173431E-3</v>
      </c>
      <c r="P54" s="10">
        <f t="shared" si="16"/>
        <v>0.14156381521141082</v>
      </c>
      <c r="Q54" s="10">
        <f t="shared" si="10"/>
        <v>5.6115091345019977E-2</v>
      </c>
      <c r="S54" s="5">
        <f t="shared" si="11"/>
        <v>0.6732936653259568</v>
      </c>
      <c r="T54" s="5">
        <f t="shared" si="12"/>
        <v>4.6433624130717499E-2</v>
      </c>
      <c r="U54" s="5">
        <f t="shared" si="13"/>
        <v>0.12031541174980295</v>
      </c>
    </row>
    <row r="55" spans="1:21">
      <c r="A55" s="19">
        <f t="shared" si="14"/>
        <v>3.4166666666666683</v>
      </c>
      <c r="B55" s="10">
        <f t="shared" si="0"/>
        <v>0.8428726712022937</v>
      </c>
      <c r="C55" s="10">
        <f t="shared" si="2"/>
        <v>0.84645373989521355</v>
      </c>
      <c r="D55" s="10">
        <f t="shared" si="3"/>
        <v>0.71345272479465016</v>
      </c>
      <c r="H55" s="19">
        <f t="shared" si="1"/>
        <v>3.4166666666666683</v>
      </c>
      <c r="I55" s="10">
        <f t="shared" si="4"/>
        <v>0.93373987444557094</v>
      </c>
      <c r="J55" s="10">
        <f t="shared" si="5"/>
        <v>0.78702382218203271</v>
      </c>
      <c r="K55" s="10">
        <f t="shared" si="6"/>
        <v>5.5848849020260986E-2</v>
      </c>
      <c r="L55" s="10">
        <f t="shared" si="7"/>
        <v>0.91144312306019915</v>
      </c>
      <c r="M55" s="10">
        <f t="shared" si="8"/>
        <v>0.99745606566156508</v>
      </c>
      <c r="N55" s="10">
        <f t="shared" si="9"/>
        <v>0.99529246088316758</v>
      </c>
      <c r="O55" s="10">
        <f t="shared" si="15"/>
        <v>4.6971277463922819E-3</v>
      </c>
      <c r="P55" s="10">
        <f t="shared" si="16"/>
        <v>0.1449046077300416</v>
      </c>
      <c r="Q55" s="10">
        <f t="shared" si="10"/>
        <v>5.6453698036338942E-2</v>
      </c>
      <c r="S55" s="5">
        <f t="shared" si="11"/>
        <v>0.66617925767260711</v>
      </c>
      <c r="T55" s="5">
        <f t="shared" si="12"/>
        <v>4.7273467122043042E-2</v>
      </c>
      <c r="U55" s="5">
        <f t="shared" si="13"/>
        <v>0.12265504714114259</v>
      </c>
    </row>
    <row r="56" spans="1:21">
      <c r="A56" s="19">
        <f t="shared" si="14"/>
        <v>3.5000000000000018</v>
      </c>
      <c r="B56" s="10">
        <f t="shared" si="0"/>
        <v>0.83890481513209991</v>
      </c>
      <c r="C56" s="10">
        <f t="shared" si="2"/>
        <v>0.843019175422553</v>
      </c>
      <c r="D56" s="10">
        <f t="shared" si="3"/>
        <v>0.70721284551067209</v>
      </c>
      <c r="H56" s="19">
        <f t="shared" si="1"/>
        <v>3.5000000000000018</v>
      </c>
      <c r="I56" s="10">
        <f t="shared" si="4"/>
        <v>0.93198879070116292</v>
      </c>
      <c r="J56" s="10">
        <f t="shared" si="5"/>
        <v>0.78184988416834844</v>
      </c>
      <c r="K56" s="10">
        <f t="shared" si="6"/>
        <v>5.7054930963751478E-2</v>
      </c>
      <c r="L56" s="10">
        <f t="shared" si="7"/>
        <v>0.9091244716019159</v>
      </c>
      <c r="M56" s="10">
        <f t="shared" si="8"/>
        <v>0.99744135096159292</v>
      </c>
      <c r="N56" s="10">
        <f t="shared" si="9"/>
        <v>0.99526412181689683</v>
      </c>
      <c r="O56" s="10">
        <f t="shared" si="15"/>
        <v>4.7253442075610693E-3</v>
      </c>
      <c r="P56" s="10">
        <f t="shared" si="16"/>
        <v>0.14823273135488263</v>
      </c>
      <c r="Q56" s="10">
        <f t="shared" si="10"/>
        <v>5.6794351577688001E-2</v>
      </c>
      <c r="S56" s="5">
        <f t="shared" si="11"/>
        <v>0.6591144446558197</v>
      </c>
      <c r="T56" s="5">
        <f t="shared" si="12"/>
        <v>4.8098400854852459E-2</v>
      </c>
      <c r="U56" s="5">
        <f t="shared" si="13"/>
        <v>0.12496303495742597</v>
      </c>
    </row>
    <row r="57" spans="1:21">
      <c r="A57" s="19">
        <f t="shared" si="14"/>
        <v>3.5833333333333353</v>
      </c>
      <c r="B57" s="10">
        <f t="shared" si="0"/>
        <v>0.83493186412041565</v>
      </c>
      <c r="C57" s="10">
        <f t="shared" si="2"/>
        <v>0.83959854701344894</v>
      </c>
      <c r="D57" s="10">
        <f t="shared" si="3"/>
        <v>0.70100757997073138</v>
      </c>
      <c r="H57" s="19">
        <f t="shared" si="1"/>
        <v>3.5833333333333353</v>
      </c>
      <c r="I57" s="10">
        <f t="shared" si="4"/>
        <v>0.93023116168222719</v>
      </c>
      <c r="J57" s="10">
        <f t="shared" si="5"/>
        <v>0.77667963788624172</v>
      </c>
      <c r="K57" s="10">
        <f t="shared" si="6"/>
        <v>5.8252226234173934E-2</v>
      </c>
      <c r="L57" s="10">
        <f t="shared" si="7"/>
        <v>0.90679834114685931</v>
      </c>
      <c r="M57" s="10">
        <f t="shared" si="8"/>
        <v>0.99742655097854171</v>
      </c>
      <c r="N57" s="10">
        <f t="shared" si="9"/>
        <v>0.99523561225749735</v>
      </c>
      <c r="O57" s="10">
        <f t="shared" si="15"/>
        <v>4.7537297179847723E-3</v>
      </c>
      <c r="P57" s="10">
        <f t="shared" si="16"/>
        <v>0.15154796564067821</v>
      </c>
      <c r="Q57" s="10">
        <f t="shared" si="10"/>
        <v>5.7137064342109814E-2</v>
      </c>
      <c r="S57" s="5">
        <f t="shared" si="11"/>
        <v>0.65209909546422018</v>
      </c>
      <c r="T57" s="5">
        <f t="shared" si="12"/>
        <v>4.8908484506511148E-2</v>
      </c>
      <c r="U57" s="5">
        <f t="shared" si="13"/>
        <v>0.12723945175475751</v>
      </c>
    </row>
    <row r="58" spans="1:21">
      <c r="A58" s="19">
        <f t="shared" si="14"/>
        <v>3.6666666666666687</v>
      </c>
      <c r="B58" s="10">
        <f t="shared" si="0"/>
        <v>0.83095392498117548</v>
      </c>
      <c r="C58" s="10">
        <f t="shared" si="2"/>
        <v>0.83619179812103239</v>
      </c>
      <c r="D58" s="10">
        <f t="shared" si="3"/>
        <v>0.69483685668573858</v>
      </c>
      <c r="H58" s="19">
        <f t="shared" si="1"/>
        <v>3.6666666666666687</v>
      </c>
      <c r="I58" s="10">
        <f t="shared" si="4"/>
        <v>0.92846698137070316</v>
      </c>
      <c r="J58" s="10">
        <f t="shared" si="5"/>
        <v>0.77151328238540973</v>
      </c>
      <c r="K58" s="10">
        <f t="shared" si="6"/>
        <v>5.9440642595765758E-2</v>
      </c>
      <c r="L58" s="10">
        <f t="shared" si="7"/>
        <v>0.90446474184317494</v>
      </c>
      <c r="M58" s="10">
        <f t="shared" si="8"/>
        <v>0.99741166521940949</v>
      </c>
      <c r="N58" s="10">
        <f t="shared" si="9"/>
        <v>0.99520693118420256</v>
      </c>
      <c r="O58" s="10">
        <f t="shared" si="15"/>
        <v>4.7822852814438273E-3</v>
      </c>
      <c r="P58" s="10">
        <f t="shared" si="16"/>
        <v>0.15485008975276968</v>
      </c>
      <c r="Q58" s="10">
        <f t="shared" si="10"/>
        <v>5.7481848777441238E-2</v>
      </c>
      <c r="S58" s="5">
        <f t="shared" si="11"/>
        <v>0.64513307887211557</v>
      </c>
      <c r="T58" s="5">
        <f t="shared" si="12"/>
        <v>4.9703777813623E-2</v>
      </c>
      <c r="U58" s="5">
        <f t="shared" si="13"/>
        <v>0.12948437498957172</v>
      </c>
    </row>
    <row r="59" spans="1:21">
      <c r="A59" s="19">
        <f t="shared" si="14"/>
        <v>3.7500000000000022</v>
      </c>
      <c r="B59" s="10">
        <f t="shared" si="0"/>
        <v>0.82697110563598375</v>
      </c>
      <c r="C59" s="10">
        <f t="shared" si="2"/>
        <v>0.83279887242787853</v>
      </c>
      <c r="D59" s="10">
        <f t="shared" si="3"/>
        <v>0.68870060430408331</v>
      </c>
      <c r="H59" s="19">
        <f t="shared" si="1"/>
        <v>3.7500000000000022</v>
      </c>
      <c r="I59" s="10">
        <f t="shared" si="4"/>
        <v>0.92669624397082784</v>
      </c>
      <c r="J59" s="10">
        <f t="shared" si="5"/>
        <v>0.76635101746526879</v>
      </c>
      <c r="K59" s="10">
        <f t="shared" si="6"/>
        <v>6.062008817071491E-2</v>
      </c>
      <c r="L59" s="10">
        <f t="shared" si="7"/>
        <v>0.90212368429404444</v>
      </c>
      <c r="M59" s="10">
        <f t="shared" si="8"/>
        <v>0.99739669318836</v>
      </c>
      <c r="N59" s="10">
        <f t="shared" si="9"/>
        <v>0.9951780775701935</v>
      </c>
      <c r="O59" s="10">
        <f t="shared" si="15"/>
        <v>4.8110119075706901E-3</v>
      </c>
      <c r="P59" s="10">
        <f t="shared" si="16"/>
        <v>0.15813888249447516</v>
      </c>
      <c r="Q59" s="10">
        <f t="shared" si="10"/>
        <v>5.7828717406764978E-2</v>
      </c>
      <c r="S59" s="5">
        <f t="shared" si="11"/>
        <v>0.63821626322903324</v>
      </c>
      <c r="T59" s="5">
        <f t="shared" si="12"/>
        <v>5.0484341075049954E-2</v>
      </c>
      <c r="U59" s="5">
        <f t="shared" si="13"/>
        <v>0.13169788302840368</v>
      </c>
    </row>
    <row r="60" spans="1:21">
      <c r="A60" s="19">
        <f t="shared" si="14"/>
        <v>3.8333333333333357</v>
      </c>
      <c r="B60" s="10">
        <f t="shared" si="0"/>
        <v>0.82298351511291568</v>
      </c>
      <c r="C60" s="10">
        <f t="shared" si="2"/>
        <v>0.82941971384507551</v>
      </c>
      <c r="D60" s="10">
        <f t="shared" si="3"/>
        <v>0.68259875160416894</v>
      </c>
      <c r="H60" s="19">
        <f t="shared" si="1"/>
        <v>3.8333333333333357</v>
      </c>
      <c r="I60" s="10">
        <f t="shared" si="4"/>
        <v>0.92491894391193552</v>
      </c>
      <c r="J60" s="10">
        <f t="shared" si="5"/>
        <v>0.76119304365517038</v>
      </c>
      <c r="K60" s="10">
        <f t="shared" si="6"/>
        <v>6.1790471457745286E-2</v>
      </c>
      <c r="L60" s="10">
        <f t="shared" si="7"/>
        <v>0.89977517956177999</v>
      </c>
      <c r="M60" s="10">
        <f t="shared" si="8"/>
        <v>0.99738163438670491</v>
      </c>
      <c r="N60" s="10">
        <f t="shared" si="9"/>
        <v>0.99514905038256585</v>
      </c>
      <c r="O60" s="10">
        <f t="shared" si="15"/>
        <v>4.8399106118826463E-3</v>
      </c>
      <c r="P60" s="10">
        <f t="shared" si="16"/>
        <v>0.16141412233489646</v>
      </c>
      <c r="Q60" s="10">
        <f t="shared" si="10"/>
        <v>5.8177682828865152E-2</v>
      </c>
      <c r="S60" s="5">
        <f t="shared" si="11"/>
        <v>0.63134851644933354</v>
      </c>
      <c r="T60" s="5">
        <f t="shared" si="12"/>
        <v>5.12502351548354E-2</v>
      </c>
      <c r="U60" s="5">
        <f t="shared" si="13"/>
        <v>0.13388005515756385</v>
      </c>
    </row>
    <row r="61" spans="1:21">
      <c r="A61" s="19">
        <f t="shared" si="14"/>
        <v>3.9166666666666692</v>
      </c>
      <c r="B61" s="10">
        <f t="shared" si="0"/>
        <v>0.81899126354512408</v>
      </c>
      <c r="C61" s="10">
        <f t="shared" si="2"/>
        <v>0.82605426651129765</v>
      </c>
      <c r="D61" s="10">
        <f t="shared" si="3"/>
        <v>0.67653122748692829</v>
      </c>
      <c r="H61" s="19">
        <f t="shared" si="1"/>
        <v>3.9166666666666692</v>
      </c>
      <c r="I61" s="10">
        <f t="shared" si="4"/>
        <v>0.92313507585127386</v>
      </c>
      <c r="J61" s="10">
        <f t="shared" si="5"/>
        <v>0.75603956219425872</v>
      </c>
      <c r="K61" s="10">
        <f t="shared" si="6"/>
        <v>6.2951701350865349E-2</v>
      </c>
      <c r="L61" s="10">
        <f t="shared" si="7"/>
        <v>0.89741923917191901</v>
      </c>
      <c r="M61" s="10">
        <f t="shared" si="8"/>
        <v>0.99736648831288888</v>
      </c>
      <c r="N61" s="10">
        <f t="shared" si="9"/>
        <v>0.9951198485822913</v>
      </c>
      <c r="O61" s="10">
        <f t="shared" si="15"/>
        <v>4.8689824158147862E-3</v>
      </c>
      <c r="P61" s="10">
        <f t="shared" si="16"/>
        <v>0.16467558743715247</v>
      </c>
      <c r="Q61" s="10">
        <f t="shared" si="10"/>
        <v>5.8528757718684099E-2</v>
      </c>
      <c r="S61" s="5">
        <f t="shared" si="11"/>
        <v>0.62452970600190094</v>
      </c>
      <c r="T61" s="5">
        <f t="shared" si="12"/>
        <v>5.200152148502734E-2</v>
      </c>
      <c r="U61" s="5">
        <f t="shared" si="13"/>
        <v>0.13603097159271405</v>
      </c>
    </row>
    <row r="62" spans="1:21">
      <c r="A62" s="19">
        <f t="shared" si="14"/>
        <v>4.0000000000000027</v>
      </c>
      <c r="B62" s="10">
        <f t="shared" si="0"/>
        <v>0.81499446216924332</v>
      </c>
      <c r="C62" s="10">
        <f t="shared" si="2"/>
        <v>0.82270247479188163</v>
      </c>
      <c r="D62" s="10">
        <f t="shared" si="3"/>
        <v>0.67049796096831504</v>
      </c>
      <c r="H62" s="19">
        <f t="shared" si="1"/>
        <v>4.0000000000000027</v>
      </c>
      <c r="I62" s="10">
        <f t="shared" si="4"/>
        <v>0.92134463467683503</v>
      </c>
      <c r="J62" s="10">
        <f t="shared" si="5"/>
        <v>0.75089077501096513</v>
      </c>
      <c r="K62" s="10">
        <f t="shared" si="6"/>
        <v>6.4103687158278189E-2</v>
      </c>
      <c r="L62" s="10">
        <f t="shared" si="7"/>
        <v>0.89505587511732143</v>
      </c>
      <c r="M62" s="10">
        <f t="shared" si="8"/>
        <v>0.99735125446247341</v>
      </c>
      <c r="N62" s="10">
        <f t="shared" si="9"/>
        <v>0.99509047112418636</v>
      </c>
      <c r="O62" s="10">
        <f t="shared" si="15"/>
        <v>4.8982283467531602E-3</v>
      </c>
      <c r="P62" s="10">
        <f t="shared" si="16"/>
        <v>0.16792305568703897</v>
      </c>
      <c r="Q62" s="10">
        <f t="shared" si="10"/>
        <v>5.8881954827783571E-2</v>
      </c>
      <c r="S62" s="5">
        <f t="shared" si="11"/>
        <v>0.617759698899915</v>
      </c>
      <c r="T62" s="5">
        <f t="shared" si="12"/>
        <v>5.273826206840003E-2</v>
      </c>
      <c r="U62" s="5">
        <f t="shared" si="13"/>
        <v>0.1381507134883419</v>
      </c>
    </row>
    <row r="63" spans="1:21">
      <c r="A63" s="19">
        <f t="shared" si="14"/>
        <v>4.0833333333333357</v>
      </c>
      <c r="B63" s="10">
        <f t="shared" si="0"/>
        <v>0.81099322332359525</v>
      </c>
      <c r="C63" s="10">
        <f t="shared" si="2"/>
        <v>0.81936428327790733</v>
      </c>
      <c r="D63" s="10">
        <f t="shared" si="3"/>
        <v>0.66449888117177747</v>
      </c>
      <c r="H63" s="19">
        <f t="shared" si="1"/>
        <v>4.0833333333333357</v>
      </c>
      <c r="I63" s="10">
        <f t="shared" si="4"/>
        <v>0.91954761551020059</v>
      </c>
      <c r="J63" s="10">
        <f t="shared" si="5"/>
        <v>0.74574688470214356</v>
      </c>
      <c r="K63" s="10">
        <f t="shared" si="6"/>
        <v>6.5246338621451641E-2</v>
      </c>
      <c r="L63" s="10">
        <f t="shared" si="7"/>
        <v>0.89268509986226752</v>
      </c>
      <c r="M63" s="10">
        <f t="shared" si="8"/>
        <v>0.99733593232811923</v>
      </c>
      <c r="N63" s="10">
        <f t="shared" si="9"/>
        <v>0.99506091695687326</v>
      </c>
      <c r="O63" s="10">
        <f t="shared" si="15"/>
        <v>4.9276494380680984E-3</v>
      </c>
      <c r="P63" s="10">
        <f t="shared" si="16"/>
        <v>0.17115630472211424</v>
      </c>
      <c r="Q63" s="10">
        <f t="shared" si="10"/>
        <v>5.9237286984807049E-2</v>
      </c>
      <c r="S63" s="5">
        <f t="shared" si="11"/>
        <v>0.61103836169070402</v>
      </c>
      <c r="T63" s="5">
        <f t="shared" si="12"/>
        <v>5.3460519481073367E-2</v>
      </c>
      <c r="U63" s="5">
        <f t="shared" si="13"/>
        <v>0.14023936294713024</v>
      </c>
    </row>
    <row r="64" spans="1:21">
      <c r="A64" s="19">
        <f t="shared" si="14"/>
        <v>4.1666666666666687</v>
      </c>
      <c r="B64" s="10">
        <f t="shared" si="0"/>
        <v>0.80698766044618697</v>
      </c>
      <c r="C64" s="10">
        <f t="shared" si="2"/>
        <v>0.81603963678528069</v>
      </c>
      <c r="D64" s="10">
        <f t="shared" si="3"/>
        <v>0.65853391732070987</v>
      </c>
      <c r="H64" s="19">
        <f t="shared" si="1"/>
        <v>4.1666666666666687</v>
      </c>
      <c r="I64" s="10">
        <f t="shared" si="4"/>
        <v>0.91774401370940373</v>
      </c>
      <c r="J64" s="10">
        <f t="shared" si="5"/>
        <v>0.74060809451184506</v>
      </c>
      <c r="K64" s="10">
        <f t="shared" si="6"/>
        <v>6.6379565934341911E-2</v>
      </c>
      <c r="L64" s="10">
        <f t="shared" si="7"/>
        <v>0.89030692634655484</v>
      </c>
      <c r="M64" s="10">
        <f t="shared" si="8"/>
        <v>0.99732052139957084</v>
      </c>
      <c r="N64" s="10">
        <f t="shared" si="9"/>
        <v>0.99503118502274501</v>
      </c>
      <c r="O64" s="10">
        <f t="shared" si="15"/>
        <v>4.9572467291476921E-3</v>
      </c>
      <c r="P64" s="10">
        <f t="shared" si="16"/>
        <v>0.17437511196120903</v>
      </c>
      <c r="Q64" s="10">
        <f t="shared" si="10"/>
        <v>5.9594767095946515E-2</v>
      </c>
      <c r="S64" s="5">
        <f t="shared" si="11"/>
        <v>0.6043655604456849</v>
      </c>
      <c r="T64" s="5">
        <f t="shared" si="12"/>
        <v>5.4168356875024963E-2</v>
      </c>
      <c r="U64" s="5">
        <f t="shared" si="13"/>
        <v>0.14229700302921766</v>
      </c>
    </row>
    <row r="65" spans="1:21">
      <c r="A65" s="19">
        <f t="shared" si="14"/>
        <v>4.2500000000000018</v>
      </c>
      <c r="B65" s="10">
        <f t="shared" si="0"/>
        <v>0.80297788807250203</v>
      </c>
      <c r="C65" s="10">
        <f t="shared" si="2"/>
        <v>0.81272848035382284</v>
      </c>
      <c r="D65" s="10">
        <f t="shared" si="3"/>
        <v>0.65260299873088667</v>
      </c>
      <c r="H65" s="19">
        <f t="shared" si="1"/>
        <v>4.2500000000000018</v>
      </c>
      <c r="I65" s="10">
        <f t="shared" si="4"/>
        <v>0.91593382487180341</v>
      </c>
      <c r="J65" s="10">
        <f t="shared" si="5"/>
        <v>0.73547460830972966</v>
      </c>
      <c r="K65" s="10">
        <f t="shared" si="6"/>
        <v>6.7503279762772386E-2</v>
      </c>
      <c r="L65" s="10">
        <f t="shared" si="7"/>
        <v>0.88792136798959542</v>
      </c>
      <c r="M65" s="10">
        <f t="shared" si="8"/>
        <v>0.99730502116363962</v>
      </c>
      <c r="N65" s="10">
        <f t="shared" si="9"/>
        <v>0.99500127425792972</v>
      </c>
      <c r="O65" s="10">
        <f t="shared" si="15"/>
        <v>4.9870212654314567E-3</v>
      </c>
      <c r="P65" s="10">
        <f t="shared" si="16"/>
        <v>0.17757925463436067</v>
      </c>
      <c r="Q65" s="10">
        <f t="shared" si="10"/>
        <v>5.9954408145410552E-2</v>
      </c>
      <c r="S65" s="5">
        <f t="shared" si="11"/>
        <v>0.59774116075038963</v>
      </c>
      <c r="T65" s="5">
        <f t="shared" si="12"/>
        <v>5.4861837980496965E-2</v>
      </c>
      <c r="U65" s="5">
        <f t="shared" si="13"/>
        <v>0.1443237177613485</v>
      </c>
    </row>
    <row r="66" spans="1:21">
      <c r="A66" s="19">
        <f t="shared" si="14"/>
        <v>4.3333333333333348</v>
      </c>
      <c r="B66" s="10">
        <f t="shared" si="0"/>
        <v>0.7989640218330808</v>
      </c>
      <c r="C66" s="10">
        <f t="shared" si="2"/>
        <v>0.80943075924636065</v>
      </c>
      <c r="D66" s="10">
        <f t="shared" si="3"/>
        <v>0.64670605480287646</v>
      </c>
      <c r="H66" s="19">
        <f t="shared" si="1"/>
        <v>4.3333333333333348</v>
      </c>
      <c r="I66" s="10">
        <f t="shared" si="4"/>
        <v>0.91411704483697453</v>
      </c>
      <c r="J66" s="10">
        <f t="shared" si="5"/>
        <v>0.73034663056911986</v>
      </c>
      <c r="K66" s="10">
        <f t="shared" si="6"/>
        <v>6.8617391263960978E-2</v>
      </c>
      <c r="L66" s="10">
        <f t="shared" si="7"/>
        <v>0.88552843869451126</v>
      </c>
      <c r="M66" s="10">
        <f t="shared" si="8"/>
        <v>0.99728943110418644</v>
      </c>
      <c r="N66" s="10">
        <f t="shared" si="9"/>
        <v>0.99497118359225334</v>
      </c>
      <c r="O66" s="10">
        <f t="shared" si="15"/>
        <v>5.0169740984441604E-3</v>
      </c>
      <c r="P66" s="10">
        <f t="shared" si="16"/>
        <v>0.18076850981316989</v>
      </c>
      <c r="Q66" s="10">
        <f t="shared" si="10"/>
        <v>6.0316223195896482E-2</v>
      </c>
      <c r="S66" s="5">
        <f t="shared" si="11"/>
        <v>0.59116502769458401</v>
      </c>
      <c r="T66" s="5">
        <f t="shared" si="12"/>
        <v>5.5541027108292527E-2</v>
      </c>
      <c r="U66" s="5">
        <f t="shared" si="13"/>
        <v>0.14631959214590728</v>
      </c>
    </row>
    <row r="67" spans="1:21">
      <c r="A67" s="19">
        <f t="shared" si="14"/>
        <v>4.4166666666666679</v>
      </c>
      <c r="B67" s="10">
        <f t="shared" si="0"/>
        <v>0.79494617845088733</v>
      </c>
      <c r="C67" s="10">
        <f t="shared" si="2"/>
        <v>0.80614641894782246</v>
      </c>
      <c r="D67" s="10">
        <f t="shared" si="3"/>
        <v>0.64084301501443941</v>
      </c>
      <c r="H67" s="19">
        <f t="shared" si="1"/>
        <v>4.4166666666666679</v>
      </c>
      <c r="I67" s="10">
        <f t="shared" si="4"/>
        <v>0.91229366968961201</v>
      </c>
      <c r="J67" s="10">
        <f t="shared" si="5"/>
        <v>0.72522436634469312</v>
      </c>
      <c r="K67" s="10">
        <f t="shared" si="6"/>
        <v>6.9721812106194159E-2</v>
      </c>
      <c r="L67" s="10">
        <f t="shared" si="7"/>
        <v>0.88312815285222757</v>
      </c>
      <c r="M67" s="10">
        <f t="shared" si="8"/>
        <v>0.99727375070210689</v>
      </c>
      <c r="N67" s="10">
        <f t="shared" si="9"/>
        <v>0.99494091194920464</v>
      </c>
      <c r="O67" s="10">
        <f t="shared" si="15"/>
        <v>5.0471062858298311E-3</v>
      </c>
      <c r="P67" s="10">
        <f t="shared" si="16"/>
        <v>0.18394265444157898</v>
      </c>
      <c r="Q67" s="10">
        <f t="shared" si="10"/>
        <v>6.0680225389064361E-2</v>
      </c>
      <c r="S67" s="5">
        <f t="shared" si="11"/>
        <v>0.58463702586247801</v>
      </c>
      <c r="T67" s="5">
        <f t="shared" si="12"/>
        <v>5.6205989151961358E-2</v>
      </c>
      <c r="U67" s="5">
        <f t="shared" si="13"/>
        <v>0.14828471216983566</v>
      </c>
    </row>
    <row r="68" spans="1:21">
      <c r="A68" s="19">
        <f t="shared" si="14"/>
        <v>4.5000000000000009</v>
      </c>
      <c r="B68" s="10">
        <f t="shared" si="0"/>
        <v>0.79092447573846103</v>
      </c>
      <c r="C68" s="10">
        <f t="shared" si="2"/>
        <v>0.80287540516433609</v>
      </c>
      <c r="D68" s="10">
        <f t="shared" si="3"/>
        <v>0.63501380891290704</v>
      </c>
      <c r="H68" s="19">
        <f t="shared" si="1"/>
        <v>4.5000000000000009</v>
      </c>
      <c r="I68" s="10">
        <f t="shared" si="4"/>
        <v>0.9104636957624499</v>
      </c>
      <c r="J68" s="10">
        <f t="shared" si="5"/>
        <v>0.72010802124981732</v>
      </c>
      <c r="K68" s="10">
        <f t="shared" si="6"/>
        <v>7.0816454488643654E-2</v>
      </c>
      <c r="L68" s="10">
        <f t="shared" si="7"/>
        <v>0.88072052534556455</v>
      </c>
      <c r="M68" s="10">
        <f t="shared" si="8"/>
        <v>0.99725797943531258</v>
      </c>
      <c r="N68" s="10">
        <f t="shared" si="9"/>
        <v>0.99491045824589663</v>
      </c>
      <c r="O68" s="10">
        <f t="shared" si="15"/>
        <v>5.0774188913859175E-3</v>
      </c>
      <c r="P68" s="10">
        <f t="shared" si="16"/>
        <v>0.18710146536707029</v>
      </c>
      <c r="Q68" s="10">
        <f t="shared" si="10"/>
        <v>6.1046427946014607E-2</v>
      </c>
      <c r="S68" s="5">
        <f t="shared" si="11"/>
        <v>0.57815701932303543</v>
      </c>
      <c r="T68" s="5">
        <f t="shared" si="12"/>
        <v>5.6856789589871538E-2</v>
      </c>
      <c r="U68" s="5">
        <f t="shared" si="13"/>
        <v>0.15021916481342756</v>
      </c>
    </row>
    <row r="69" spans="1:21">
      <c r="A69" s="19">
        <f t="shared" si="14"/>
        <v>4.5833333333333339</v>
      </c>
      <c r="B69" s="10">
        <f t="shared" si="0"/>
        <v>0.78689903259484784</v>
      </c>
      <c r="C69" s="10">
        <f t="shared" si="2"/>
        <v>0.79961766382233246</v>
      </c>
      <c r="D69" s="10">
        <f t="shared" si="3"/>
        <v>0.62921836610754567</v>
      </c>
      <c r="H69" s="19">
        <f t="shared" si="1"/>
        <v>4.5833333333333339</v>
      </c>
      <c r="I69" s="10">
        <f t="shared" si="4"/>
        <v>0.90862711963919263</v>
      </c>
      <c r="J69" s="10">
        <f t="shared" si="5"/>
        <v>0.71499780143352376</v>
      </c>
      <c r="K69" s="10">
        <f t="shared" si="6"/>
        <v>7.1901231161324089E-2</v>
      </c>
      <c r="L69" s="10">
        <f t="shared" si="7"/>
        <v>0.87830557155332467</v>
      </c>
      <c r="M69" s="10">
        <f t="shared" si="8"/>
        <v>0.99724211677871366</v>
      </c>
      <c r="N69" s="10">
        <f t="shared" si="9"/>
        <v>0.99487982139303111</v>
      </c>
      <c r="O69" s="10">
        <f t="shared" si="15"/>
        <v>5.1079129850976571E-3</v>
      </c>
      <c r="P69" s="10">
        <f t="shared" si="16"/>
        <v>0.19024471937228299</v>
      </c>
      <c r="Q69" s="10">
        <f t="shared" si="10"/>
        <v>6.1414844167768039E-2</v>
      </c>
      <c r="S69" s="5">
        <f t="shared" si="11"/>
        <v>0.57172487162037822</v>
      </c>
      <c r="T69" s="5">
        <f t="shared" si="12"/>
        <v>5.7493494487167458E-2</v>
      </c>
      <c r="U69" s="5">
        <f t="shared" si="13"/>
        <v>0.15212303805900015</v>
      </c>
    </row>
    <row r="70" spans="1:21">
      <c r="A70" s="19">
        <f t="shared" si="14"/>
        <v>4.666666666666667</v>
      </c>
      <c r="B70" s="10">
        <f t="shared" si="0"/>
        <v>0.78286996900231121</v>
      </c>
      <c r="C70" s="10">
        <f t="shared" si="2"/>
        <v>0.79637314106764989</v>
      </c>
      <c r="D70" s="10">
        <f t="shared" si="3"/>
        <v>0.6234566162619043</v>
      </c>
      <c r="H70" s="19">
        <f t="shared" si="1"/>
        <v>4.666666666666667</v>
      </c>
      <c r="I70" s="10">
        <f t="shared" si="4"/>
        <v>0.90678393815746283</v>
      </c>
      <c r="J70" s="10">
        <f t="shared" si="5"/>
        <v>0.70989391355712661</v>
      </c>
      <c r="K70" s="10">
        <f t="shared" si="6"/>
        <v>7.2976055445184596E-2</v>
      </c>
      <c r="L70" s="10">
        <f t="shared" si="7"/>
        <v>0.87588330735437547</v>
      </c>
      <c r="M70" s="10">
        <f t="shared" si="8"/>
        <v>0.99722616220420468</v>
      </c>
      <c r="N70" s="10">
        <f t="shared" si="9"/>
        <v>0.9948490002948609</v>
      </c>
      <c r="O70" s="10">
        <f t="shared" si="15"/>
        <v>5.1385896431725862E-3</v>
      </c>
      <c r="P70" s="10">
        <f t="shared" si="16"/>
        <v>0.19337219320704643</v>
      </c>
      <c r="Q70" s="10">
        <f t="shared" si="10"/>
        <v>6.1785487435749332E-2</v>
      </c>
      <c r="S70" s="5">
        <f t="shared" si="11"/>
        <v>0.56534044576429565</v>
      </c>
      <c r="T70" s="5">
        <f t="shared" si="12"/>
        <v>5.811617049760863E-2</v>
      </c>
      <c r="U70" s="5">
        <f t="shared" si="13"/>
        <v>0.15399642089943605</v>
      </c>
    </row>
    <row r="71" spans="1:21">
      <c r="A71" s="19">
        <f t="shared" si="14"/>
        <v>4.75</v>
      </c>
      <c r="B71" s="10">
        <f t="shared" si="0"/>
        <v>0.77883740602281804</v>
      </c>
      <c r="C71" s="10">
        <f t="shared" si="2"/>
        <v>0.79314178326464624</v>
      </c>
      <c r="D71" s="10">
        <f t="shared" si="3"/>
        <v>0.61772848908614919</v>
      </c>
      <c r="H71" s="19">
        <f t="shared" si="1"/>
        <v>4.75</v>
      </c>
      <c r="I71" s="10">
        <f t="shared" si="4"/>
        <v>0.90493414841176034</v>
      </c>
      <c r="J71" s="10">
        <f t="shared" si="5"/>
        <v>0.70479656477048325</v>
      </c>
      <c r="K71" s="10">
        <f t="shared" si="6"/>
        <v>7.4040841252334774E-2</v>
      </c>
      <c r="L71" s="10">
        <f t="shared" si="7"/>
        <v>0.87345374913172968</v>
      </c>
      <c r="M71" s="10">
        <f t="shared" si="8"/>
        <v>0.99721011518064417</v>
      </c>
      <c r="N71" s="10">
        <f t="shared" si="9"/>
        <v>0.9948179938491517</v>
      </c>
      <c r="O71" s="10">
        <f t="shared" si="15"/>
        <v>5.1694499480752299E-3</v>
      </c>
      <c r="P71" s="10">
        <f t="shared" si="16"/>
        <v>0.19648366362082878</v>
      </c>
      <c r="Q71" s="10">
        <f t="shared" si="10"/>
        <v>6.2158371212272349E-2</v>
      </c>
      <c r="S71" s="5">
        <f t="shared" si="11"/>
        <v>0.55900360422085782</v>
      </c>
      <c r="T71" s="5">
        <f t="shared" si="12"/>
        <v>5.8724884865291385E-2</v>
      </c>
      <c r="U71" s="5">
        <f t="shared" si="13"/>
        <v>0.15583940334659505</v>
      </c>
    </row>
    <row r="72" spans="1:21">
      <c r="A72" s="19">
        <f t="shared" si="14"/>
        <v>4.833333333333333</v>
      </c>
      <c r="B72" s="10">
        <f t="shared" si="0"/>
        <v>0.7748014657942971</v>
      </c>
      <c r="C72" s="10">
        <f t="shared" si="2"/>
        <v>0.78992353699531004</v>
      </c>
      <c r="D72" s="10">
        <f t="shared" si="3"/>
        <v>0.61203391432938192</v>
      </c>
      <c r="H72" s="19">
        <f t="shared" si="1"/>
        <v>4.833333333333333</v>
      </c>
      <c r="I72" s="10">
        <f t="shared" si="4"/>
        <v>0.90307774775643612</v>
      </c>
      <c r="J72" s="10">
        <f t="shared" si="5"/>
        <v>0.6997059626878992</v>
      </c>
      <c r="K72" s="10">
        <f t="shared" si="6"/>
        <v>7.5095503106397898E-2</v>
      </c>
      <c r="L72" s="10">
        <f t="shared" si="7"/>
        <v>0.87101691377661761</v>
      </c>
      <c r="M72" s="10">
        <f t="shared" si="8"/>
        <v>0.99719397517383934</v>
      </c>
      <c r="N72" s="10">
        <f t="shared" si="9"/>
        <v>0.99478680094714689</v>
      </c>
      <c r="O72" s="10">
        <f t="shared" si="15"/>
        <v>5.2004949885619978E-3</v>
      </c>
      <c r="P72" s="10">
        <f t="shared" si="16"/>
        <v>0.199578907395598</v>
      </c>
      <c r="Q72" s="10">
        <f t="shared" si="10"/>
        <v>6.2533509041029986E-2</v>
      </c>
      <c r="S72" s="5">
        <f t="shared" si="11"/>
        <v>0.55271420890313372</v>
      </c>
      <c r="T72" s="5">
        <f t="shared" si="12"/>
        <v>5.931970542624812E-2</v>
      </c>
      <c r="U72" s="5">
        <f t="shared" si="13"/>
        <v>0.1576520764395902</v>
      </c>
    </row>
    <row r="73" spans="1:21">
      <c r="A73" s="19">
        <f t="shared" si="14"/>
        <v>4.9166666666666661</v>
      </c>
      <c r="B73" s="10">
        <f t="shared" si="0"/>
        <v>0.7707622715266691</v>
      </c>
      <c r="C73" s="10">
        <f t="shared" si="2"/>
        <v>0.78671834905837879</v>
      </c>
      <c r="D73" s="10">
        <f t="shared" si="3"/>
        <v>0.60637282177194696</v>
      </c>
      <c r="H73" s="19">
        <f t="shared" si="1"/>
        <v>4.9166666666666661</v>
      </c>
      <c r="I73" s="10">
        <f t="shared" si="4"/>
        <v>0.90121473380867922</v>
      </c>
      <c r="J73" s="10">
        <f t="shared" si="5"/>
        <v>0.69462231536368002</v>
      </c>
      <c r="K73" s="10">
        <f t="shared" si="6"/>
        <v>7.6139956162989061E-2</v>
      </c>
      <c r="L73" s="10">
        <f t="shared" si="7"/>
        <v>0.86857281869255454</v>
      </c>
      <c r="M73" s="10">
        <f t="shared" si="8"/>
        <v>0.99717774164652839</v>
      </c>
      <c r="N73" s="10">
        <f t="shared" si="9"/>
        <v>0.99475542047352694</v>
      </c>
      <c r="O73" s="10">
        <f t="shared" si="15"/>
        <v>5.2317258597162075E-3</v>
      </c>
      <c r="P73" s="10">
        <f t="shared" si="16"/>
        <v>0.20265770137909328</v>
      </c>
      <c r="Q73" s="10">
        <f t="shared" si="10"/>
        <v>6.2910914547585406E-2</v>
      </c>
      <c r="S73" s="5">
        <f t="shared" si="11"/>
        <v>0.54647212116202293</v>
      </c>
      <c r="T73" s="5">
        <f t="shared" si="12"/>
        <v>5.9900700609924085E-2</v>
      </c>
      <c r="U73" s="5">
        <f t="shared" si="13"/>
        <v>0.1594345322529262</v>
      </c>
    </row>
    <row r="74" spans="1:21">
      <c r="A74" s="19">
        <f t="shared" si="14"/>
        <v>4.9999999999999991</v>
      </c>
      <c r="B74" s="10">
        <f t="shared" si="0"/>
        <v>0.7667199474976425</v>
      </c>
      <c r="C74" s="10">
        <f t="shared" si="2"/>
        <v>0.78352616646845896</v>
      </c>
      <c r="D74" s="10">
        <f t="shared" si="3"/>
        <v>0.60074514121772593</v>
      </c>
      <c r="H74" s="19">
        <f t="shared" si="1"/>
        <v>4.9999999999999991</v>
      </c>
      <c r="I74" s="10">
        <f t="shared" si="4"/>
        <v>0.89934510445151683</v>
      </c>
      <c r="J74" s="10">
        <f t="shared" si="5"/>
        <v>0.68954583126732882</v>
      </c>
      <c r="K74" s="10">
        <f t="shared" si="6"/>
        <v>7.71741162303137E-2</v>
      </c>
      <c r="L74" s="10">
        <f t="shared" si="7"/>
        <v>0.86612148179940107</v>
      </c>
      <c r="M74" s="10">
        <f t="shared" si="8"/>
        <v>0.99716141405836267</v>
      </c>
      <c r="N74" s="10">
        <f t="shared" si="9"/>
        <v>0.99472385130637342</v>
      </c>
      <c r="O74" s="10">
        <f t="shared" si="15"/>
        <v>5.2631436629833155E-3</v>
      </c>
      <c r="P74" s="10">
        <f t="shared" si="16"/>
        <v>0.2057198225185049</v>
      </c>
      <c r="Q74" s="10">
        <f t="shared" si="10"/>
        <v>6.3290601439867339E-2</v>
      </c>
      <c r="S74" s="5">
        <f t="shared" si="11"/>
        <v>0.54027720177719696</v>
      </c>
      <c r="T74" s="5">
        <f t="shared" si="12"/>
        <v>6.0467939440528973E-2</v>
      </c>
      <c r="U74" s="5">
        <f t="shared" si="13"/>
        <v>0.16118686390449591</v>
      </c>
    </row>
    <row r="75" spans="1:21">
      <c r="A75" s="19">
        <f t="shared" si="14"/>
        <v>5.0833333333333321</v>
      </c>
      <c r="B75" s="10">
        <f t="shared" si="0"/>
        <v>0.76267461904827538</v>
      </c>
      <c r="C75" s="10">
        <f t="shared" si="2"/>
        <v>0.78034693645514985</v>
      </c>
      <c r="D75" s="10">
        <f t="shared" si="3"/>
        <v>0.59515080248642016</v>
      </c>
      <c r="H75" s="19">
        <f t="shared" si="1"/>
        <v>5.0833333333333321</v>
      </c>
      <c r="I75" s="10">
        <f t="shared" si="4"/>
        <v>0.89746885783682717</v>
      </c>
      <c r="J75" s="10">
        <f t="shared" si="5"/>
        <v>0.68447671925839293</v>
      </c>
      <c r="K75" s="10">
        <f t="shared" si="6"/>
        <v>7.8197899789882397E-2</v>
      </c>
      <c r="L75" s="10">
        <f t="shared" si="7"/>
        <v>0.8636629215374152</v>
      </c>
      <c r="M75" s="10">
        <f t="shared" si="8"/>
        <v>0.99714499186588967</v>
      </c>
      <c r="N75" s="10">
        <f t="shared" si="9"/>
        <v>0.99469209231713041</v>
      </c>
      <c r="O75" s="10">
        <f t="shared" si="15"/>
        <v>5.2947495062063326E-3</v>
      </c>
      <c r="P75" s="10">
        <f t="shared" si="16"/>
        <v>0.20876504789455894</v>
      </c>
      <c r="Q75" s="10">
        <f t="shared" si="10"/>
        <v>6.3672583508667516E-2</v>
      </c>
      <c r="S75" s="5">
        <f t="shared" si="11"/>
        <v>0.53412931094815863</v>
      </c>
      <c r="T75" s="5">
        <f t="shared" si="12"/>
        <v>6.1021491538261537E-2</v>
      </c>
      <c r="U75" s="5">
        <f t="shared" si="13"/>
        <v>0.16290916556343168</v>
      </c>
    </row>
    <row r="76" spans="1:21">
      <c r="A76" s="19">
        <f t="shared" si="14"/>
        <v>5.1666666666666652</v>
      </c>
      <c r="B76" s="10">
        <f t="shared" si="0"/>
        <v>0.75862641257829944</v>
      </c>
      <c r="C76" s="10">
        <f t="shared" si="2"/>
        <v>0.77718060646217213</v>
      </c>
      <c r="D76" s="10">
        <f t="shared" si="3"/>
        <v>0.58958973540582471</v>
      </c>
      <c r="H76" s="19">
        <f t="shared" si="1"/>
        <v>5.1666666666666652</v>
      </c>
      <c r="I76" s="10">
        <f t="shared" si="4"/>
        <v>0.89558599238836467</v>
      </c>
      <c r="J76" s="10">
        <f t="shared" si="5"/>
        <v>0.67941518856096128</v>
      </c>
      <c r="K76" s="10">
        <f t="shared" si="6"/>
        <v>7.9211224017338155E-2</v>
      </c>
      <c r="L76" s="10">
        <f t="shared" si="7"/>
        <v>0.86119715687129639</v>
      </c>
      <c r="M76" s="10">
        <f t="shared" si="8"/>
        <v>0.99712847452253472</v>
      </c>
      <c r="N76" s="10">
        <f t="shared" si="9"/>
        <v>0.99466014237056477</v>
      </c>
      <c r="O76" s="10">
        <f t="shared" si="15"/>
        <v>5.3265445036613877E-3</v>
      </c>
      <c r="P76" s="10">
        <f t="shared" si="16"/>
        <v>0.21179315475600516</v>
      </c>
      <c r="Q76" s="10">
        <f t="shared" si="10"/>
        <v>6.405687462814251E-2</v>
      </c>
      <c r="S76" s="5">
        <f t="shared" si="11"/>
        <v>0.52802830828541891</v>
      </c>
      <c r="T76" s="5">
        <f t="shared" si="12"/>
        <v>6.156142712040584E-2</v>
      </c>
      <c r="U76" s="5">
        <f t="shared" si="13"/>
        <v>0.16460153245780876</v>
      </c>
    </row>
    <row r="77" spans="1:21">
      <c r="A77" s="19">
        <f t="shared" si="14"/>
        <v>5.2499999999999982</v>
      </c>
      <c r="B77" s="10">
        <f t="shared" si="0"/>
        <v>0.75457545554120209</v>
      </c>
      <c r="C77" s="10">
        <f t="shared" si="2"/>
        <v>0.77402712414649799</v>
      </c>
      <c r="D77" s="10">
        <f t="shared" si="3"/>
        <v>0.58406186980409025</v>
      </c>
      <c r="H77" s="19">
        <f t="shared" si="1"/>
        <v>5.2499999999999982</v>
      </c>
      <c r="I77" s="10">
        <f t="shared" si="4"/>
        <v>0.89369650680479951</v>
      </c>
      <c r="J77" s="10">
        <f t="shared" si="5"/>
        <v>0.67436144873781256</v>
      </c>
      <c r="K77" s="10">
        <f t="shared" si="6"/>
        <v>8.0214006803389484E-2</v>
      </c>
      <c r="L77" s="10">
        <f t="shared" si="7"/>
        <v>0.85872420729421983</v>
      </c>
      <c r="M77" s="10">
        <f t="shared" si="8"/>
        <v>0.99711186147858455</v>
      </c>
      <c r="N77" s="10">
        <f t="shared" si="9"/>
        <v>0.99462800032472964</v>
      </c>
      <c r="O77" s="10">
        <f t="shared" si="15"/>
        <v>5.3585297760934958E-3</v>
      </c>
      <c r="P77" s="10">
        <f t="shared" si="16"/>
        <v>0.21480392055450401</v>
      </c>
      <c r="Q77" s="10">
        <f t="shared" si="10"/>
        <v>6.444348875631635E-2</v>
      </c>
      <c r="S77" s="5">
        <f t="shared" si="11"/>
        <v>0.5219740528017951</v>
      </c>
      <c r="T77" s="5">
        <f t="shared" si="12"/>
        <v>6.2087817002295188E-2</v>
      </c>
      <c r="U77" s="5">
        <f t="shared" si="13"/>
        <v>0.16626406088219556</v>
      </c>
    </row>
    <row r="78" spans="1:21">
      <c r="A78" s="19">
        <f t="shared" si="14"/>
        <v>5.3333333333333313</v>
      </c>
      <c r="B78" s="10">
        <f t="shared" ref="B78:B141" si="17">(B$9^A78)*B$10^((B$7^65)*((B$7^A78)-1))</f>
        <v>0.75052187643906776</v>
      </c>
      <c r="C78" s="10">
        <f t="shared" si="2"/>
        <v>0.77088643737748652</v>
      </c>
      <c r="D78" s="10">
        <f t="shared" si="3"/>
        <v>0.57856713550197914</v>
      </c>
      <c r="H78" s="19">
        <f t="shared" ref="H78:H141" si="18">A78</f>
        <v>5.3333333333333313</v>
      </c>
      <c r="I78" s="10">
        <f t="shared" si="4"/>
        <v>0.89180040006276695</v>
      </c>
      <c r="J78" s="10">
        <f t="shared" si="5"/>
        <v>0.66931570966421916</v>
      </c>
      <c r="K78" s="10">
        <f t="shared" si="6"/>
        <v>8.1206166774848584E-2</v>
      </c>
      <c r="L78" s="10">
        <f t="shared" si="7"/>
        <v>0.85624409283186143</v>
      </c>
      <c r="M78" s="10">
        <f t="shared" si="8"/>
        <v>0.9970951521811674</v>
      </c>
      <c r="N78" s="10">
        <f t="shared" si="9"/>
        <v>0.99459566503092456</v>
      </c>
      <c r="O78" s="10">
        <f t="shared" si="15"/>
        <v>5.390706450752486E-3</v>
      </c>
      <c r="P78" s="10">
        <f t="shared" si="16"/>
        <v>0.21779712297991058</v>
      </c>
      <c r="Q78" s="10">
        <f t="shared" si="10"/>
        <v>6.4832439935588709E-2</v>
      </c>
      <c r="S78" s="5">
        <f t="shared" si="11"/>
        <v>0.515966402903834</v>
      </c>
      <c r="T78" s="5">
        <f t="shared" si="12"/>
        <v>6.260073259814504E-2</v>
      </c>
      <c r="U78" s="5">
        <f t="shared" si="13"/>
        <v>0.16789684820504958</v>
      </c>
    </row>
    <row r="79" spans="1:21">
      <c r="A79" s="19">
        <f t="shared" si="14"/>
        <v>5.4166666666666643</v>
      </c>
      <c r="B79" s="10">
        <f t="shared" si="17"/>
        <v>0.74646580481717195</v>
      </c>
      <c r="C79" s="10">
        <f t="shared" ref="C79:C142" si="19">(1+B$8)^-A79</f>
        <v>0.76775849423602149</v>
      </c>
      <c r="D79" s="10">
        <f t="shared" ref="D79:D142" si="20">B79*C79</f>
        <v>0.57310546230511183</v>
      </c>
      <c r="H79" s="19">
        <f t="shared" si="18"/>
        <v>5.4166666666666643</v>
      </c>
      <c r="I79" s="10">
        <f t="shared" ref="I79:I142" si="21">(C$9^H79)*C$10^((C$7^63)*((C$7^H79)-1))</f>
        <v>0.88989767141993004</v>
      </c>
      <c r="J79" s="10">
        <f t="shared" ref="J79:J142" si="22">B79*I79</f>
        <v>0.66427818150140527</v>
      </c>
      <c r="K79" s="10">
        <f t="shared" ref="K79:K142" si="23">B79*(1-I79)</f>
        <v>8.2187623315766636E-2</v>
      </c>
      <c r="L79" s="10">
        <f t="shared" ref="L79:L142" si="24">(D$9^H79)*D$10^((D$7^63)*((D$7^H79)-1))</f>
        <v>0.85375683404641045</v>
      </c>
      <c r="M79" s="10">
        <f t="shared" ref="M79:M142" si="25">L80/L79</f>
        <v>0.99707834607423751</v>
      </c>
      <c r="N79" s="10">
        <f t="shared" ref="N79:N142" si="26">B80/B79</f>
        <v>0.9945631353336557</v>
      </c>
      <c r="O79" s="10">
        <f t="shared" si="15"/>
        <v>5.4230756614291331E-3</v>
      </c>
      <c r="P79" s="10">
        <f t="shared" si="16"/>
        <v>0.22077253999595126</v>
      </c>
      <c r="Q79" s="10">
        <f t="shared" ref="Q79:Q142" si="27">0.0001+0.0004*(1.075^(65+H79))</f>
        <v>6.5223742293244139E-2</v>
      </c>
      <c r="S79" s="5">
        <f t="shared" ref="S79:S142" si="28">C79*J79</f>
        <v>0.51000521638336149</v>
      </c>
      <c r="T79" s="5">
        <f t="shared" ref="T79:T142" si="29">C79*K79</f>
        <v>6.3100245921750328E-2</v>
      </c>
      <c r="U79" s="5">
        <f t="shared" ref="U79:U142" si="30">C79*P79</f>
        <v>0.16949999287595335</v>
      </c>
    </row>
    <row r="80" spans="1:21">
      <c r="A80" s="19">
        <f t="shared" ref="A80:A143" si="31">A79+1/12</f>
        <v>5.4999999999999973</v>
      </c>
      <c r="B80" s="10">
        <f t="shared" si="17"/>
        <v>0.74240737125832723</v>
      </c>
      <c r="C80" s="10">
        <f t="shared" si="19"/>
        <v>0.76464324301365372</v>
      </c>
      <c r="D80" s="10">
        <f t="shared" si="20"/>
        <v>0.56767677999620891</v>
      </c>
      <c r="H80" s="19">
        <f t="shared" si="18"/>
        <v>5.4999999999999973</v>
      </c>
      <c r="I80" s="10">
        <f t="shared" si="21"/>
        <v>0.88798832041805487</v>
      </c>
      <c r="J80" s="10">
        <f t="shared" si="22"/>
        <v>0.65924907466966531</v>
      </c>
      <c r="K80" s="10">
        <f t="shared" si="23"/>
        <v>8.3158296588661931E-2</v>
      </c>
      <c r="L80" s="10">
        <f t="shared" si="24"/>
        <v>0.85126245204057216</v>
      </c>
      <c r="M80" s="10">
        <f t="shared" si="25"/>
        <v>0.99706144259855489</v>
      </c>
      <c r="N80" s="10">
        <f t="shared" si="26"/>
        <v>0.99453041007059872</v>
      </c>
      <c r="O80" s="10">
        <f t="shared" ref="O80:O143" si="32">(1/24)*(Q80*M80+(J81/J80)*Q81)</f>
        <v>5.4556385484914359E-3</v>
      </c>
      <c r="P80" s="10">
        <f t="shared" ref="P80:P143" si="33">P79*M79+J79*O79</f>
        <v>0.22372994987629022</v>
      </c>
      <c r="Q80" s="10">
        <f t="shared" si="27"/>
        <v>6.5617410041965696E-2</v>
      </c>
      <c r="S80" s="5">
        <f t="shared" si="28"/>
        <v>0.50409035040916328</v>
      </c>
      <c r="T80" s="5">
        <f t="shared" si="29"/>
        <v>6.3586429587045717E-2</v>
      </c>
      <c r="U80" s="5">
        <f t="shared" si="30"/>
        <v>0.17107359443268874</v>
      </c>
    </row>
    <row r="81" spans="1:21">
      <c r="A81" s="19">
        <f t="shared" si="31"/>
        <v>5.5833333333333304</v>
      </c>
      <c r="B81" s="10">
        <f t="shared" si="17"/>
        <v>0.73834670737697938</v>
      </c>
      <c r="C81" s="10">
        <f t="shared" si="19"/>
        <v>0.76154063221174517</v>
      </c>
      <c r="D81" s="10">
        <f t="shared" si="20"/>
        <v>0.56228101832732524</v>
      </c>
      <c r="H81" s="19">
        <f t="shared" si="18"/>
        <v>5.5833333333333304</v>
      </c>
      <c r="I81" s="10">
        <f t="shared" si="21"/>
        <v>0.88607234688609571</v>
      </c>
      <c r="J81" s="10">
        <f t="shared" si="22"/>
        <v>0.65422859982114145</v>
      </c>
      <c r="K81" s="10">
        <f t="shared" si="23"/>
        <v>8.4118107555837901E-2</v>
      </c>
      <c r="L81" s="10">
        <f t="shared" si="24"/>
        <v>0.84876096846155602</v>
      </c>
      <c r="M81" s="10">
        <f t="shared" si="25"/>
        <v>0.99704444119166924</v>
      </c>
      <c r="N81" s="10">
        <f t="shared" si="26"/>
        <v>0.99449748807255722</v>
      </c>
      <c r="O81" s="10">
        <f t="shared" si="32"/>
        <v>5.4883962589211167E-3</v>
      </c>
      <c r="P81" s="10">
        <f t="shared" si="33"/>
        <v>0.22666913124098143</v>
      </c>
      <c r="Q81" s="10">
        <f t="shared" si="27"/>
        <v>6.6013457480350646E-2</v>
      </c>
      <c r="S81" s="5">
        <f t="shared" si="28"/>
        <v>0.49822166151879688</v>
      </c>
      <c r="T81" s="5">
        <f t="shared" si="29"/>
        <v>6.4059356808528367E-2</v>
      </c>
      <c r="U81" s="5">
        <f t="shared" si="30"/>
        <v>0.17261775350814404</v>
      </c>
    </row>
    <row r="82" spans="1:21">
      <c r="A82" s="19">
        <f t="shared" si="31"/>
        <v>5.6666666666666634</v>
      </c>
      <c r="B82" s="10">
        <f t="shared" si="17"/>
        <v>0.73428394581304945</v>
      </c>
      <c r="C82" s="10">
        <f t="shared" si="19"/>
        <v>0.75845061054061913</v>
      </c>
      <c r="D82" s="10">
        <f t="shared" si="20"/>
        <v>0.55691810701208222</v>
      </c>
      <c r="H82" s="19">
        <f t="shared" si="18"/>
        <v>5.6666666666666634</v>
      </c>
      <c r="I82" s="10">
        <f t="shared" si="21"/>
        <v>0.88414975094329296</v>
      </c>
      <c r="J82" s="10">
        <f t="shared" si="22"/>
        <v>0.64921696781226612</v>
      </c>
      <c r="K82" s="10">
        <f t="shared" si="23"/>
        <v>8.5066978000783361E-2</v>
      </c>
      <c r="L82" s="10">
        <f t="shared" si="24"/>
        <v>0.8462524055050521</v>
      </c>
      <c r="M82" s="10">
        <f t="shared" si="25"/>
        <v>0.99702734128789972</v>
      </c>
      <c r="N82" s="10">
        <f t="shared" si="26"/>
        <v>0.99446436816342376</v>
      </c>
      <c r="O82" s="10">
        <f t="shared" si="32"/>
        <v>5.5213499463502708E-3</v>
      </c>
      <c r="P82" s="10">
        <f t="shared" si="33"/>
        <v>0.22958986309330301</v>
      </c>
      <c r="Q82" s="10">
        <f t="shared" si="27"/>
        <v>6.6411898993430418E-2</v>
      </c>
      <c r="S82" s="5">
        <f t="shared" si="28"/>
        <v>0.49239900561054273</v>
      </c>
      <c r="T82" s="5">
        <f t="shared" si="29"/>
        <v>6.4519101401539561E-2</v>
      </c>
      <c r="U82" s="5">
        <f t="shared" si="30"/>
        <v>0.17413257183705283</v>
      </c>
    </row>
    <row r="83" spans="1:21">
      <c r="A83" s="19">
        <f t="shared" si="31"/>
        <v>5.7499999999999964</v>
      </c>
      <c r="B83" s="10">
        <f t="shared" si="17"/>
        <v>0.73021922022551988</v>
      </c>
      <c r="C83" s="10">
        <f t="shared" si="19"/>
        <v>0.75537312691871084</v>
      </c>
      <c r="D83" s="10">
        <f t="shared" si="20"/>
        <v>0.55158797571789364</v>
      </c>
      <c r="H83" s="19">
        <f t="shared" si="18"/>
        <v>5.7499999999999964</v>
      </c>
      <c r="I83" s="10">
        <f t="shared" si="21"/>
        <v>0.88222053300228154</v>
      </c>
      <c r="J83" s="10">
        <f t="shared" si="22"/>
        <v>0.64421438967586853</v>
      </c>
      <c r="K83" s="10">
        <f t="shared" si="23"/>
        <v>8.6004830549651329E-2</v>
      </c>
      <c r="L83" s="10">
        <f t="shared" si="24"/>
        <v>0.84373678591919166</v>
      </c>
      <c r="M83" s="10">
        <f t="shared" si="25"/>
        <v>0.99701014231831842</v>
      </c>
      <c r="N83" s="10">
        <f t="shared" si="26"/>
        <v>0.99443104916014047</v>
      </c>
      <c r="O83" s="10">
        <f t="shared" si="32"/>
        <v>5.5545007710982169E-3</v>
      </c>
      <c r="P83" s="10">
        <f t="shared" si="33"/>
        <v>0.23249192485696873</v>
      </c>
      <c r="Q83" s="10">
        <f t="shared" si="27"/>
        <v>6.6812749053192774E-2</v>
      </c>
      <c r="S83" s="5">
        <f t="shared" si="28"/>
        <v>0.4866222379354897</v>
      </c>
      <c r="T83" s="5">
        <f t="shared" si="29"/>
        <v>6.4965737782403998E-2</v>
      </c>
      <c r="U83" s="5">
        <f t="shared" si="30"/>
        <v>0.17561815226255842</v>
      </c>
    </row>
    <row r="84" spans="1:21">
      <c r="A84" s="19">
        <f t="shared" si="31"/>
        <v>5.8333333333333295</v>
      </c>
      <c r="B84" s="10">
        <f t="shared" si="17"/>
        <v>0.72615266528576339</v>
      </c>
      <c r="C84" s="10">
        <f t="shared" si="19"/>
        <v>0.75230813047172396</v>
      </c>
      <c r="D84" s="10">
        <f t="shared" si="20"/>
        <v>0.54629055405819216</v>
      </c>
      <c r="H84" s="19">
        <f t="shared" si="18"/>
        <v>5.8333333333333295</v>
      </c>
      <c r="I84" s="10">
        <f t="shared" si="21"/>
        <v>0.8802846937722103</v>
      </c>
      <c r="J84" s="10">
        <f t="shared" si="22"/>
        <v>0.63922107659295258</v>
      </c>
      <c r="K84" s="10">
        <f t="shared" si="23"/>
        <v>8.6931588692810841E-2</v>
      </c>
      <c r="L84" s="10">
        <f t="shared" si="24"/>
        <v>0.84121413300849379</v>
      </c>
      <c r="M84" s="10">
        <f t="shared" si="25"/>
        <v>0.99699284371073083</v>
      </c>
      <c r="N84" s="10">
        <f t="shared" si="26"/>
        <v>0.99439752987265828</v>
      </c>
      <c r="O84" s="10">
        <f t="shared" si="32"/>
        <v>5.5878499002084978E-3</v>
      </c>
      <c r="P84" s="10">
        <f t="shared" si="33"/>
        <v>0.23537509641371337</v>
      </c>
      <c r="Q84" s="10">
        <f t="shared" si="27"/>
        <v>6.7216022219107233E-2</v>
      </c>
      <c r="S84" s="5">
        <f t="shared" si="28"/>
        <v>0.48089121308976684</v>
      </c>
      <c r="T84" s="5">
        <f t="shared" si="29"/>
        <v>6.5399340968425382E-2</v>
      </c>
      <c r="U84" s="5">
        <f t="shared" si="30"/>
        <v>0.17707459874260248</v>
      </c>
    </row>
    <row r="85" spans="1:21">
      <c r="A85" s="19">
        <f t="shared" si="31"/>
        <v>5.9166666666666625</v>
      </c>
      <c r="B85" s="10">
        <f t="shared" si="17"/>
        <v>0.7220844166706103</v>
      </c>
      <c r="C85" s="10">
        <f t="shared" si="19"/>
        <v>0.74925557053178937</v>
      </c>
      <c r="D85" s="10">
        <f t="shared" si="20"/>
        <v>0.54102577158465248</v>
      </c>
      <c r="H85" s="19">
        <f t="shared" si="18"/>
        <v>5.9166666666666625</v>
      </c>
      <c r="I85" s="10">
        <f t="shared" si="21"/>
        <v>0.87834223426187208</v>
      </c>
      <c r="J85" s="10">
        <f t="shared" si="22"/>
        <v>0.63423723986414449</v>
      </c>
      <c r="K85" s="10">
        <f t="shared" si="23"/>
        <v>8.7847176806465865E-2</v>
      </c>
      <c r="L85" s="10">
        <f t="shared" si="24"/>
        <v>0.83868447063779517</v>
      </c>
      <c r="M85" s="10">
        <f t="shared" si="25"/>
        <v>0.99697544488965784</v>
      </c>
      <c r="N85" s="10">
        <f t="shared" si="26"/>
        <v>0.99436380910389788</v>
      </c>
      <c r="O85" s="10">
        <f t="shared" si="32"/>
        <v>5.6213985074861448E-3</v>
      </c>
      <c r="P85" s="10">
        <f t="shared" si="33"/>
        <v>0.23823915814124663</v>
      </c>
      <c r="Q85" s="10">
        <f t="shared" si="27"/>
        <v>6.7621733138654258E-2</v>
      </c>
      <c r="S85" s="5">
        <f t="shared" si="28"/>
        <v>0.4752057850069169</v>
      </c>
      <c r="T85" s="5">
        <f t="shared" si="29"/>
        <v>6.5819986577735551E-2</v>
      </c>
      <c r="U85" s="5">
        <f t="shared" si="30"/>
        <v>0.17850201635613294</v>
      </c>
    </row>
    <row r="86" spans="1:21">
      <c r="A86" s="19">
        <f t="shared" si="31"/>
        <v>5.9999999999999956</v>
      </c>
      <c r="B86" s="10">
        <f t="shared" si="17"/>
        <v>0.71801461105515418</v>
      </c>
      <c r="C86" s="10">
        <f t="shared" si="19"/>
        <v>0.74621539663662761</v>
      </c>
      <c r="D86" s="10">
        <f t="shared" si="20"/>
        <v>0.53579355777941584</v>
      </c>
      <c r="H86" s="19">
        <f t="shared" si="18"/>
        <v>5.9999999999999956</v>
      </c>
      <c r="I86" s="10">
        <f t="shared" si="21"/>
        <v>0.87639315578284416</v>
      </c>
      <c r="J86" s="10">
        <f t="shared" si="22"/>
        <v>0.629263090880818</v>
      </c>
      <c r="K86" s="10">
        <f t="shared" si="23"/>
        <v>8.8751520174336185E-2</v>
      </c>
      <c r="L86" s="10">
        <f t="shared" si="24"/>
        <v>0.83614782323616299</v>
      </c>
      <c r="M86" s="10">
        <f t="shared" si="25"/>
        <v>0.99695794527631632</v>
      </c>
      <c r="N86" s="10">
        <f t="shared" si="26"/>
        <v>0.99432988564970648</v>
      </c>
      <c r="O86" s="10">
        <f t="shared" si="32"/>
        <v>5.6551477735350061E-3</v>
      </c>
      <c r="P86" s="10">
        <f t="shared" si="33"/>
        <v>0.24108389095157134</v>
      </c>
      <c r="Q86" s="10">
        <f t="shared" si="27"/>
        <v>6.8029896547857391E-2</v>
      </c>
      <c r="S86" s="5">
        <f t="shared" si="28"/>
        <v>0.46956580695041983</v>
      </c>
      <c r="T86" s="5">
        <f t="shared" si="29"/>
        <v>6.6227750828995929E-2</v>
      </c>
      <c r="U86" s="5">
        <f t="shared" si="30"/>
        <v>0.17990051130912829</v>
      </c>
    </row>
    <row r="87" spans="1:21">
      <c r="A87" s="19">
        <f t="shared" si="31"/>
        <v>6.0833333333333286</v>
      </c>
      <c r="B87" s="10">
        <f t="shared" si="17"/>
        <v>0.71394338610528996</v>
      </c>
      <c r="C87" s="10">
        <f t="shared" si="19"/>
        <v>0.74318755852871421</v>
      </c>
      <c r="D87" s="10">
        <f t="shared" si="20"/>
        <v>0.53059384204731364</v>
      </c>
      <c r="H87" s="19">
        <f t="shared" si="18"/>
        <v>6.0833333333333286</v>
      </c>
      <c r="I87" s="10">
        <f t="shared" si="21"/>
        <v>0.87443745995263855</v>
      </c>
      <c r="J87" s="10">
        <f t="shared" si="22"/>
        <v>0.62429884109589562</v>
      </c>
      <c r="K87" s="10">
        <f t="shared" si="23"/>
        <v>8.9644545009394311E-2</v>
      </c>
      <c r="L87" s="10">
        <f t="shared" si="24"/>
        <v>0.83360421580078958</v>
      </c>
      <c r="M87" s="10">
        <f t="shared" si="25"/>
        <v>0.99694034428860179</v>
      </c>
      <c r="N87" s="10">
        <f t="shared" si="26"/>
        <v>0.99429575829882011</v>
      </c>
      <c r="O87" s="10">
        <f t="shared" si="32"/>
        <v>5.6890988857953712E-3</v>
      </c>
      <c r="P87" s="10">
        <f t="shared" si="33"/>
        <v>0.24390907632966047</v>
      </c>
      <c r="Q87" s="10">
        <f t="shared" si="27"/>
        <v>6.8440527271817583E-2</v>
      </c>
      <c r="S87" s="5">
        <f t="shared" si="28"/>
        <v>0.46397113150636438</v>
      </c>
      <c r="T87" s="5">
        <f t="shared" si="29"/>
        <v>6.662271054094919E-2</v>
      </c>
      <c r="U87" s="5">
        <f t="shared" si="30"/>
        <v>0.18127019094043417</v>
      </c>
    </row>
    <row r="88" spans="1:21">
      <c r="A88" s="19">
        <f t="shared" si="31"/>
        <v>6.1666666666666616</v>
      </c>
      <c r="B88" s="10">
        <f t="shared" si="17"/>
        <v>0.70987088046998659</v>
      </c>
      <c r="C88" s="10">
        <f t="shared" si="19"/>
        <v>0.74017200615444967</v>
      </c>
      <c r="D88" s="10">
        <f t="shared" si="20"/>
        <v>0.52542655370809555</v>
      </c>
      <c r="H88" s="19">
        <f t="shared" si="18"/>
        <v>6.1666666666666616</v>
      </c>
      <c r="I88" s="10">
        <f t="shared" si="21"/>
        <v>0.87247514869786225</v>
      </c>
      <c r="J88" s="10">
        <f t="shared" si="22"/>
        <v>0.61934470199433389</v>
      </c>
      <c r="K88" s="10">
        <f t="shared" si="23"/>
        <v>9.0526178475652641E-2</v>
      </c>
      <c r="L88" s="10">
        <f t="shared" si="24"/>
        <v>0.83105367390086904</v>
      </c>
      <c r="M88" s="10">
        <f t="shared" si="25"/>
        <v>0.99692264134106856</v>
      </c>
      <c r="N88" s="10">
        <f t="shared" si="26"/>
        <v>0.99426142583282096</v>
      </c>
      <c r="O88" s="10">
        <f t="shared" si="32"/>
        <v>5.7232530385817439E-3</v>
      </c>
      <c r="P88" s="10">
        <f t="shared" si="33"/>
        <v>0.24671449637248857</v>
      </c>
      <c r="Q88" s="10">
        <f t="shared" si="27"/>
        <v>6.885364022525306E-2</v>
      </c>
      <c r="S88" s="5">
        <f t="shared" si="28"/>
        <v>0.4584216105762759</v>
      </c>
      <c r="T88" s="5">
        <f t="shared" si="29"/>
        <v>6.700494313181958E-2</v>
      </c>
      <c r="U88" s="5">
        <f t="shared" si="30"/>
        <v>0.18261116372740957</v>
      </c>
    </row>
    <row r="89" spans="1:21">
      <c r="A89" s="19">
        <f t="shared" si="31"/>
        <v>6.2499999999999947</v>
      </c>
      <c r="B89" s="10">
        <f t="shared" si="17"/>
        <v>0.70579723377328885</v>
      </c>
      <c r="C89" s="10">
        <f t="shared" si="19"/>
        <v>0.7371686896633316</v>
      </c>
      <c r="D89" s="10">
        <f t="shared" si="20"/>
        <v>0.52029162198865953</v>
      </c>
      <c r="H89" s="19">
        <f t="shared" si="18"/>
        <v>6.2499999999999947</v>
      </c>
      <c r="I89" s="10">
        <f t="shared" si="21"/>
        <v>0.87050622425738688</v>
      </c>
      <c r="J89" s="10">
        <f t="shared" si="22"/>
        <v>0.61440088506329393</v>
      </c>
      <c r="K89" s="10">
        <f t="shared" si="23"/>
        <v>9.1396348709994954E-2</v>
      </c>
      <c r="L89" s="10">
        <f t="shared" si="24"/>
        <v>0.82849622368145337</v>
      </c>
      <c r="M89" s="10">
        <f t="shared" si="25"/>
        <v>0.99690483584491085</v>
      </c>
      <c r="N89" s="10">
        <f t="shared" si="26"/>
        <v>0.99422688702609607</v>
      </c>
      <c r="O89" s="10">
        <f t="shared" si="32"/>
        <v>5.7576114331207452E-3</v>
      </c>
      <c r="P89" s="10">
        <f t="shared" si="33"/>
        <v>0.24949993382841137</v>
      </c>
      <c r="Q89" s="10">
        <f t="shared" si="27"/>
        <v>6.9269250413040079E-2</v>
      </c>
      <c r="S89" s="5">
        <f t="shared" si="28"/>
        <v>0.45291709537009961</v>
      </c>
      <c r="T89" s="5">
        <f t="shared" si="29"/>
        <v>6.7374526618559902E-2</v>
      </c>
      <c r="U89" s="5">
        <f t="shared" si="30"/>
        <v>0.18392353929137795</v>
      </c>
    </row>
    <row r="90" spans="1:21">
      <c r="A90" s="19">
        <f t="shared" si="31"/>
        <v>6.3333333333333277</v>
      </c>
      <c r="B90" s="10">
        <f t="shared" si="17"/>
        <v>0.70172258660604681</v>
      </c>
      <c r="C90" s="10">
        <f t="shared" si="19"/>
        <v>0.73417755940713003</v>
      </c>
      <c r="D90" s="10">
        <f t="shared" si="20"/>
        <v>0.5151889760152859</v>
      </c>
      <c r="H90" s="19">
        <f t="shared" si="18"/>
        <v>6.3333333333333277</v>
      </c>
      <c r="I90" s="10">
        <f t="shared" si="21"/>
        <v>0.86853068918552778</v>
      </c>
      <c r="J90" s="10">
        <f t="shared" si="22"/>
        <v>0.60946760176200099</v>
      </c>
      <c r="K90" s="10">
        <f t="shared" si="23"/>
        <v>9.2254984844045762E-2</v>
      </c>
      <c r="L90" s="10">
        <f t="shared" si="24"/>
        <v>0.82593189186728777</v>
      </c>
      <c r="M90" s="10">
        <f t="shared" si="25"/>
        <v>0.99688692720794381</v>
      </c>
      <c r="N90" s="10">
        <f t="shared" si="26"/>
        <v>0.99419214064579686</v>
      </c>
      <c r="O90" s="10">
        <f t="shared" si="32"/>
        <v>5.7921752775892928E-3</v>
      </c>
      <c r="P90" s="10">
        <f t="shared" si="33"/>
        <v>0.25226517213688848</v>
      </c>
      <c r="Q90" s="10">
        <f t="shared" si="27"/>
        <v>6.9687372930757815E-2</v>
      </c>
      <c r="S90" s="5">
        <f t="shared" si="28"/>
        <v>0.44745743639934255</v>
      </c>
      <c r="T90" s="5">
        <f t="shared" si="29"/>
        <v>6.773153961594329E-2</v>
      </c>
      <c r="U90" s="5">
        <f t="shared" si="30"/>
        <v>0.18520742840288032</v>
      </c>
    </row>
    <row r="91" spans="1:21">
      <c r="A91" s="19">
        <f t="shared" si="31"/>
        <v>6.4166666666666607</v>
      </c>
      <c r="B91" s="10">
        <f t="shared" si="17"/>
        <v>0.69764708051737123</v>
      </c>
      <c r="C91" s="10">
        <f t="shared" si="19"/>
        <v>0.73119856593906829</v>
      </c>
      <c r="D91" s="10">
        <f t="shared" si="20"/>
        <v>0.51011854480587959</v>
      </c>
      <c r="H91" s="19">
        <f t="shared" si="18"/>
        <v>6.4166666666666607</v>
      </c>
      <c r="I91" s="10">
        <f t="shared" si="21"/>
        <v>0.8665485463552316</v>
      </c>
      <c r="J91" s="10">
        <f t="shared" si="22"/>
        <v>0.60454506349129922</v>
      </c>
      <c r="K91" s="10">
        <f t="shared" si="23"/>
        <v>9.3102017026071973E-2</v>
      </c>
      <c r="L91" s="10">
        <f t="shared" si="24"/>
        <v>0.82336070576662423</v>
      </c>
      <c r="M91" s="10">
        <f t="shared" si="25"/>
        <v>0.99686891483458517</v>
      </c>
      <c r="N91" s="10">
        <f t="shared" si="26"/>
        <v>0.99415718545179632</v>
      </c>
      <c r="O91" s="10">
        <f t="shared" si="32"/>
        <v>5.826945787152921E-3</v>
      </c>
      <c r="P91" s="10">
        <f t="shared" si="33"/>
        <v>0.25500999546854325</v>
      </c>
      <c r="Q91" s="10">
        <f t="shared" si="27"/>
        <v>7.0108022965237438E-2</v>
      </c>
      <c r="S91" s="5">
        <f t="shared" si="28"/>
        <v>0.442042483470381</v>
      </c>
      <c r="T91" s="5">
        <f t="shared" si="29"/>
        <v>6.8076061335498553E-2</v>
      </c>
      <c r="U91" s="5">
        <f t="shared" si="30"/>
        <v>0.18646294298672714</v>
      </c>
    </row>
    <row r="92" spans="1:21">
      <c r="A92" s="19">
        <f t="shared" si="31"/>
        <v>6.4999999999999938</v>
      </c>
      <c r="B92" s="10">
        <f t="shared" si="17"/>
        <v>0.69357085800581253</v>
      </c>
      <c r="C92" s="10">
        <f t="shared" si="19"/>
        <v>0.72823166001300355</v>
      </c>
      <c r="D92" s="10">
        <f t="shared" si="20"/>
        <v>0.50508025726221606</v>
      </c>
      <c r="H92" s="19">
        <f t="shared" si="18"/>
        <v>6.4999999999999938</v>
      </c>
      <c r="I92" s="10">
        <f t="shared" si="21"/>
        <v>0.86455979896127289</v>
      </c>
      <c r="J92" s="10">
        <f t="shared" si="22"/>
        <v>0.59963348156290286</v>
      </c>
      <c r="K92" s="10">
        <f t="shared" si="23"/>
        <v>9.3937376442909712E-2</v>
      </c>
      <c r="L92" s="10">
        <f t="shared" si="24"/>
        <v>0.82078269327501285</v>
      </c>
      <c r="M92" s="10">
        <f t="shared" si="25"/>
        <v>0.99685079812583477</v>
      </c>
      <c r="N92" s="10">
        <f t="shared" si="26"/>
        <v>0.9941220201966483</v>
      </c>
      <c r="O92" s="10">
        <f t="shared" si="32"/>
        <v>5.8619241840042729E-3</v>
      </c>
      <c r="P92" s="10">
        <f t="shared" si="33"/>
        <v>0.25773418876555393</v>
      </c>
      <c r="Q92" s="10">
        <f t="shared" si="27"/>
        <v>7.0531215795113122E-2</v>
      </c>
      <c r="S92" s="5">
        <f t="shared" si="28"/>
        <v>0.43667208567792948</v>
      </c>
      <c r="T92" s="5">
        <f t="shared" si="29"/>
        <v>6.8408171584286553E-2</v>
      </c>
      <c r="U92" s="5">
        <f t="shared" si="30"/>
        <v>0.18769019612684415</v>
      </c>
    </row>
    <row r="93" spans="1:21">
      <c r="A93" s="19">
        <f t="shared" si="31"/>
        <v>6.5833333333333268</v>
      </c>
      <c r="B93" s="10">
        <f t="shared" si="17"/>
        <v>0.68949406251026102</v>
      </c>
      <c r="C93" s="10">
        <f t="shared" si="19"/>
        <v>0.72527679258261468</v>
      </c>
      <c r="D93" s="10">
        <f t="shared" si="20"/>
        <v>0.50007404216219897</v>
      </c>
      <c r="H93" s="19">
        <f t="shared" si="18"/>
        <v>6.5833333333333268</v>
      </c>
      <c r="I93" s="10">
        <f t="shared" si="21"/>
        <v>0.86256445052345854</v>
      </c>
      <c r="J93" s="10">
        <f t="shared" si="22"/>
        <v>0.5947330671683505</v>
      </c>
      <c r="K93" s="10">
        <f t="shared" si="23"/>
        <v>9.4760995341910556E-2</v>
      </c>
      <c r="L93" s="10">
        <f t="shared" si="24"/>
        <v>0.81819788287906881</v>
      </c>
      <c r="M93" s="10">
        <f t="shared" si="25"/>
        <v>0.99683257647925594</v>
      </c>
      <c r="N93" s="10">
        <f t="shared" si="26"/>
        <v>0.99408664362554489</v>
      </c>
      <c r="O93" s="10">
        <f t="shared" si="32"/>
        <v>5.897111697401829E-3</v>
      </c>
      <c r="P93" s="10">
        <f t="shared" si="33"/>
        <v>0.26043753778236922</v>
      </c>
      <c r="Q93" s="10">
        <f t="shared" si="27"/>
        <v>7.0956966791376946E-2</v>
      </c>
      <c r="S93" s="5">
        <f t="shared" si="28"/>
        <v>0.43134609139868202</v>
      </c>
      <c r="T93" s="5">
        <f t="shared" si="29"/>
        <v>6.8727950763516982E-2</v>
      </c>
      <c r="U93" s="5">
        <f t="shared" si="30"/>
        <v>0.18888930207091029</v>
      </c>
    </row>
    <row r="94" spans="1:21">
      <c r="A94" s="19">
        <f t="shared" si="31"/>
        <v>6.6666666666666599</v>
      </c>
      <c r="B94" s="10">
        <f t="shared" si="17"/>
        <v>0.685416838400567</v>
      </c>
      <c r="C94" s="10">
        <f t="shared" si="19"/>
        <v>0.72233391480058973</v>
      </c>
      <c r="D94" s="10">
        <f t="shared" si="20"/>
        <v>0.49509982815212472</v>
      </c>
      <c r="H94" s="19">
        <f t="shared" si="18"/>
        <v>6.6666666666666599</v>
      </c>
      <c r="I94" s="10">
        <f t="shared" si="21"/>
        <v>0.86056250488984087</v>
      </c>
      <c r="J94" s="10">
        <f t="shared" si="22"/>
        <v>0.58984403134766716</v>
      </c>
      <c r="K94" s="10">
        <f t="shared" si="23"/>
        <v>9.5572807052899791E-2</v>
      </c>
      <c r="L94" s="10">
        <f t="shared" si="24"/>
        <v>0.81560630366021469</v>
      </c>
      <c r="M94" s="10">
        <f t="shared" si="25"/>
        <v>0.99681424928895601</v>
      </c>
      <c r="N94" s="10">
        <f t="shared" si="26"/>
        <v>0.99405105447627262</v>
      </c>
      <c r="O94" s="10">
        <f t="shared" si="32"/>
        <v>5.9325095637087974E-3</v>
      </c>
      <c r="P94" s="10">
        <f t="shared" si="33"/>
        <v>0.26311982912674281</v>
      </c>
      <c r="Q94" s="10">
        <f t="shared" si="27"/>
        <v>7.1385291417937688E-2</v>
      </c>
      <c r="S94" s="5">
        <f t="shared" si="28"/>
        <v>0.42606434828512219</v>
      </c>
      <c r="T94" s="5">
        <f t="shared" si="29"/>
        <v>6.9035479867002522E-2</v>
      </c>
      <c r="U94" s="5">
        <f t="shared" si="30"/>
        <v>0.19006037623478236</v>
      </c>
    </row>
    <row r="95" spans="1:21">
      <c r="A95" s="19">
        <f t="shared" si="31"/>
        <v>6.7499999999999929</v>
      </c>
      <c r="B95" s="10">
        <f t="shared" si="17"/>
        <v>0.68133933096787658</v>
      </c>
      <c r="C95" s="10">
        <f t="shared" si="19"/>
        <v>0.71940297801781994</v>
      </c>
      <c r="D95" s="10">
        <f t="shared" si="20"/>
        <v>0.49015754373895948</v>
      </c>
      <c r="H95" s="19">
        <f t="shared" si="18"/>
        <v>6.7499999999999929</v>
      </c>
      <c r="I95" s="10">
        <f t="shared" si="21"/>
        <v>0.85855396623993685</v>
      </c>
      <c r="J95" s="10">
        <f t="shared" si="22"/>
        <v>0.58496658495773546</v>
      </c>
      <c r="K95" s="10">
        <f t="shared" si="23"/>
        <v>9.6372746010141105E-2</v>
      </c>
      <c r="L95" s="10">
        <f t="shared" si="24"/>
        <v>0.81300798529839724</v>
      </c>
      <c r="M95" s="10">
        <f t="shared" si="25"/>
        <v>0.9967958159455661</v>
      </c>
      <c r="N95" s="10">
        <f t="shared" si="26"/>
        <v>0.99401525147917313</v>
      </c>
      <c r="O95" s="10">
        <f t="shared" si="32"/>
        <v>5.9681190264321751E-3</v>
      </c>
      <c r="P95" s="10">
        <f t="shared" si="33"/>
        <v>0.26578085030107912</v>
      </c>
      <c r="Q95" s="10">
        <f t="shared" si="27"/>
        <v>7.181620523218224E-2</v>
      </c>
      <c r="S95" s="5">
        <f t="shared" si="28"/>
        <v>0.42082670325950894</v>
      </c>
      <c r="T95" s="5">
        <f t="shared" si="29"/>
        <v>6.9330840479450484E-2</v>
      </c>
      <c r="U95" s="5">
        <f t="shared" si="30"/>
        <v>0.19120353520670472</v>
      </c>
    </row>
    <row r="96" spans="1:21">
      <c r="A96" s="19">
        <f t="shared" si="31"/>
        <v>6.8333333333333259</v>
      </c>
      <c r="B96" s="10">
        <f t="shared" si="17"/>
        <v>0.67726168641468543</v>
      </c>
      <c r="C96" s="10">
        <f t="shared" si="19"/>
        <v>0.71648393378259434</v>
      </c>
      <c r="D96" s="10">
        <f t="shared" si="20"/>
        <v>0.48524711728262765</v>
      </c>
      <c r="H96" s="19">
        <f t="shared" si="18"/>
        <v>6.8333333333333259</v>
      </c>
      <c r="I96" s="10">
        <f t="shared" si="21"/>
        <v>0.85653883908795658</v>
      </c>
      <c r="J96" s="10">
        <f t="shared" si="22"/>
        <v>0.58010093864038637</v>
      </c>
      <c r="K96" s="10">
        <f t="shared" si="23"/>
        <v>9.7160747774299075E-2</v>
      </c>
      <c r="L96" s="10">
        <f t="shared" si="24"/>
        <v>0.81040295807577667</v>
      </c>
      <c r="M96" s="10">
        <f t="shared" si="25"/>
        <v>0.99677727583622278</v>
      </c>
      <c r="N96" s="10">
        <f t="shared" si="26"/>
        <v>0.99397923335709715</v>
      </c>
      <c r="O96" s="10">
        <f t="shared" si="32"/>
        <v>6.0039413362620421E-3</v>
      </c>
      <c r="P96" s="10">
        <f t="shared" si="33"/>
        <v>0.26842038974408383</v>
      </c>
      <c r="Q96" s="10">
        <f t="shared" si="27"/>
        <v>7.2249723885540212E-2</v>
      </c>
      <c r="S96" s="5">
        <f t="shared" si="28"/>
        <v>0.41563300250803942</v>
      </c>
      <c r="T96" s="5">
        <f t="shared" si="29"/>
        <v>6.9614114774588245E-2</v>
      </c>
      <c r="U96" s="5">
        <f t="shared" si="30"/>
        <v>0.19231889675129832</v>
      </c>
    </row>
    <row r="97" spans="1:21">
      <c r="A97" s="19">
        <f t="shared" si="31"/>
        <v>6.916666666666659</v>
      </c>
      <c r="B97" s="10">
        <f t="shared" si="17"/>
        <v>0.67318405184460373</v>
      </c>
      <c r="C97" s="10">
        <f t="shared" si="19"/>
        <v>0.71357673383979958</v>
      </c>
      <c r="D97" s="10">
        <f t="shared" si="20"/>
        <v>0.48036847698831464</v>
      </c>
      <c r="H97" s="19">
        <f t="shared" si="18"/>
        <v>6.916666666666659</v>
      </c>
      <c r="I97" s="10">
        <f t="shared" si="21"/>
        <v>0.85451712828603776</v>
      </c>
      <c r="J97" s="10">
        <f t="shared" si="22"/>
        <v>0.57524730279020997</v>
      </c>
      <c r="K97" s="10">
        <f t="shared" si="23"/>
        <v>9.7936749054393785E-2</v>
      </c>
      <c r="L97" s="10">
        <f t="shared" si="24"/>
        <v>0.80779125288038933</v>
      </c>
      <c r="M97" s="10">
        <f t="shared" si="25"/>
        <v>0.9967586283445472</v>
      </c>
      <c r="N97" s="10">
        <f t="shared" si="26"/>
        <v>0.99394299882536408</v>
      </c>
      <c r="O97" s="10">
        <f t="shared" si="32"/>
        <v>6.0399777511110199E-3</v>
      </c>
      <c r="P97" s="10">
        <f t="shared" si="33"/>
        <v>0.2710382368727125</v>
      </c>
      <c r="Q97" s="10">
        <f t="shared" si="27"/>
        <v>7.2685863124053313E-2</v>
      </c>
      <c r="S97" s="5">
        <f t="shared" si="28"/>
        <v>0.41048309147519224</v>
      </c>
      <c r="T97" s="5">
        <f t="shared" si="29"/>
        <v>6.98853855131224E-2</v>
      </c>
      <c r="U97" s="5">
        <f t="shared" si="30"/>
        <v>0.19340657981332812</v>
      </c>
    </row>
    <row r="98" spans="1:21">
      <c r="A98" s="19">
        <f t="shared" si="31"/>
        <v>6.999999999999992</v>
      </c>
      <c r="B98" s="10">
        <f t="shared" si="17"/>
        <v>0.66910657525183481</v>
      </c>
      <c r="C98" s="10">
        <f t="shared" si="19"/>
        <v>0.71068133013012169</v>
      </c>
      <c r="D98" s="10">
        <f t="shared" si="20"/>
        <v>0.47552155089878434</v>
      </c>
      <c r="H98" s="19">
        <f t="shared" si="18"/>
        <v>6.999999999999992</v>
      </c>
      <c r="I98" s="10">
        <f t="shared" si="21"/>
        <v>0.85248883902748585</v>
      </c>
      <c r="J98" s="10">
        <f t="shared" si="22"/>
        <v>0.57040588752209376</v>
      </c>
      <c r="K98" s="10">
        <f t="shared" si="23"/>
        <v>9.8700687729741055E-2</v>
      </c>
      <c r="L98" s="10">
        <f t="shared" si="24"/>
        <v>0.80517290120978013</v>
      </c>
      <c r="M98" s="10">
        <f t="shared" si="25"/>
        <v>0.9967398728506246</v>
      </c>
      <c r="N98" s="10">
        <f t="shared" si="26"/>
        <v>0.99390654659171518</v>
      </c>
      <c r="O98" s="10">
        <f t="shared" si="32"/>
        <v>6.0762295361539266E-3</v>
      </c>
      <c r="P98" s="10">
        <f t="shared" si="33"/>
        <v>0.27363418212440888</v>
      </c>
      <c r="Q98" s="10">
        <f t="shared" si="27"/>
        <v>7.3124638788946483E-2</v>
      </c>
      <c r="S98" s="5">
        <f t="shared" si="28"/>
        <v>0.40537681485825416</v>
      </c>
      <c r="T98" s="5">
        <f t="shared" si="29"/>
        <v>7.0144736040530148E-2</v>
      </c>
      <c r="U98" s="5">
        <f t="shared" si="30"/>
        <v>0.19446670452124287</v>
      </c>
    </row>
    <row r="99" spans="1:21">
      <c r="A99" s="19">
        <f t="shared" si="31"/>
        <v>7.083333333333325</v>
      </c>
      <c r="B99" s="10">
        <f t="shared" si="17"/>
        <v>0.66502940551036072</v>
      </c>
      <c r="C99" s="10">
        <f t="shared" si="19"/>
        <v>0.70779767478925171</v>
      </c>
      <c r="D99" s="10">
        <f t="shared" si="20"/>
        <v>0.47070626688671169</v>
      </c>
      <c r="H99" s="19">
        <f t="shared" si="18"/>
        <v>7.083333333333325</v>
      </c>
      <c r="I99" s="10">
        <f t="shared" si="21"/>
        <v>0.85045397685002166</v>
      </c>
      <c r="J99" s="10">
        <f t="shared" si="22"/>
        <v>0.56557690263849203</v>
      </c>
      <c r="K99" s="10">
        <f t="shared" si="23"/>
        <v>9.9452502871868728E-2</v>
      </c>
      <c r="L99" s="10">
        <f t="shared" si="24"/>
        <v>0.80254793517460477</v>
      </c>
      <c r="M99" s="10">
        <f t="shared" si="25"/>
        <v>0.99672100873098624</v>
      </c>
      <c r="N99" s="10">
        <f t="shared" si="26"/>
        <v>0.99386987535627525</v>
      </c>
      <c r="O99" s="10">
        <f t="shared" si="32"/>
        <v>6.1126979638676249E-3</v>
      </c>
      <c r="P99" s="10">
        <f t="shared" si="33"/>
        <v>0.27620801699962583</v>
      </c>
      <c r="Q99" s="10">
        <f t="shared" si="27"/>
        <v>7.3566066817203901E-2</v>
      </c>
      <c r="S99" s="5">
        <f t="shared" si="28"/>
        <v>0.40031401660203164</v>
      </c>
      <c r="T99" s="5">
        <f t="shared" si="29"/>
        <v>7.0392250284680061E-2</v>
      </c>
      <c r="U99" s="5">
        <f t="shared" si="30"/>
        <v>0.19549939219048526</v>
      </c>
    </row>
    <row r="100" spans="1:21">
      <c r="A100" s="19">
        <f t="shared" si="31"/>
        <v>7.1666666666666581</v>
      </c>
      <c r="B100" s="10">
        <f t="shared" si="17"/>
        <v>0.66095269236284004</v>
      </c>
      <c r="C100" s="10">
        <f t="shared" si="19"/>
        <v>0.70492572014709509</v>
      </c>
      <c r="D100" s="10">
        <f t="shared" si="20"/>
        <v>0.46592255264703641</v>
      </c>
      <c r="H100" s="19">
        <f t="shared" si="18"/>
        <v>7.1666666666666581</v>
      </c>
      <c r="I100" s="10">
        <f t="shared" si="21"/>
        <v>0.84841254763903506</v>
      </c>
      <c r="J100" s="10">
        <f t="shared" si="22"/>
        <v>0.5607605575964365</v>
      </c>
      <c r="K100" s="10">
        <f t="shared" si="23"/>
        <v>0.10019213476640353</v>
      </c>
      <c r="L100" s="10">
        <f t="shared" si="24"/>
        <v>0.79991638750220218</v>
      </c>
      <c r="M100" s="10">
        <f t="shared" si="25"/>
        <v>0.99670203535858815</v>
      </c>
      <c r="N100" s="10">
        <f t="shared" si="26"/>
        <v>0.99383298381150287</v>
      </c>
      <c r="O100" s="10">
        <f t="shared" si="32"/>
        <v>6.1493843140710651E-3</v>
      </c>
      <c r="P100" s="10">
        <f t="shared" si="33"/>
        <v>0.27875953410462129</v>
      </c>
      <c r="Q100" s="10">
        <f t="shared" si="27"/>
        <v>7.4010163242147042E-2</v>
      </c>
      <c r="S100" s="5">
        <f t="shared" si="28"/>
        <v>0.39529453989375457</v>
      </c>
      <c r="T100" s="5">
        <f t="shared" si="29"/>
        <v>7.0628012753281802E-2</v>
      </c>
      <c r="U100" s="5">
        <f t="shared" si="30"/>
        <v>0.19650476532656888</v>
      </c>
    </row>
    <row r="101" spans="1:21">
      <c r="A101" s="19">
        <f t="shared" si="31"/>
        <v>7.2499999999999911</v>
      </c>
      <c r="B101" s="10">
        <f t="shared" si="17"/>
        <v>0.65687658640920765</v>
      </c>
      <c r="C101" s="10">
        <f t="shared" si="19"/>
        <v>0.70206541872698247</v>
      </c>
      <c r="D101" s="10">
        <f t="shared" si="20"/>
        <v>0.46117033568933125</v>
      </c>
      <c r="H101" s="19">
        <f t="shared" si="18"/>
        <v>7.2499999999999911</v>
      </c>
      <c r="I101" s="10">
        <f t="shared" si="21"/>
        <v>0.84636455763084273</v>
      </c>
      <c r="J101" s="10">
        <f t="shared" si="22"/>
        <v>0.55595706147428703</v>
      </c>
      <c r="K101" s="10">
        <f t="shared" si="23"/>
        <v>0.10091952493492058</v>
      </c>
      <c r="L101" s="10">
        <f t="shared" si="24"/>
        <v>0.79727829154013397</v>
      </c>
      <c r="M101" s="10">
        <f t="shared" si="25"/>
        <v>0.99668295210279045</v>
      </c>
      <c r="N101" s="10">
        <f t="shared" si="26"/>
        <v>0.99379587064215258</v>
      </c>
      <c r="O101" s="10">
        <f t="shared" si="32"/>
        <v>6.1862898739655312E-3</v>
      </c>
      <c r="P101" s="10">
        <f t="shared" si="33"/>
        <v>0.28128852719452108</v>
      </c>
      <c r="Q101" s="10">
        <f t="shared" si="27"/>
        <v>7.4456944194018021E-2</v>
      </c>
      <c r="S101" s="5">
        <f t="shared" si="28"/>
        <v>0.39031822715816805</v>
      </c>
      <c r="T101" s="5">
        <f t="shared" si="29"/>
        <v>7.0852108531163166E-2</v>
      </c>
      <c r="U101" s="5">
        <f t="shared" si="30"/>
        <v>0.19748294762791763</v>
      </c>
    </row>
    <row r="102" spans="1:21">
      <c r="A102" s="19">
        <f t="shared" si="31"/>
        <v>7.3333333333333242</v>
      </c>
      <c r="B102" s="10">
        <f t="shared" si="17"/>
        <v>0.65280123909498367</v>
      </c>
      <c r="C102" s="10">
        <f t="shared" si="19"/>
        <v>0.69921672324488582</v>
      </c>
      <c r="D102" s="10">
        <f t="shared" si="20"/>
        <v>0.45644954333019572</v>
      </c>
      <c r="H102" s="19">
        <f t="shared" si="18"/>
        <v>7.3333333333333242</v>
      </c>
      <c r="I102" s="10">
        <f t="shared" si="21"/>
        <v>0.84431001341595224</v>
      </c>
      <c r="J102" s="10">
        <f t="shared" si="22"/>
        <v>0.55116662293823593</v>
      </c>
      <c r="K102" s="10">
        <f t="shared" si="23"/>
        <v>0.10163461615674776</v>
      </c>
      <c r="L102" s="10">
        <f t="shared" si="24"/>
        <v>0.79463368125968992</v>
      </c>
      <c r="M102" s="10">
        <f t="shared" si="25"/>
        <v>0.99666375832933696</v>
      </c>
      <c r="N102" s="10">
        <f t="shared" si="26"/>
        <v>0.993758534525225</v>
      </c>
      <c r="O102" s="10">
        <f t="shared" si="32"/>
        <v>6.2234159381750484E-3</v>
      </c>
      <c r="P102" s="10">
        <f t="shared" si="33"/>
        <v>0.28379479121663936</v>
      </c>
      <c r="Q102" s="10">
        <f t="shared" si="27"/>
        <v>7.4906425900564649E-2</v>
      </c>
      <c r="S102" s="5">
        <f t="shared" si="28"/>
        <v>0.38538492005282282</v>
      </c>
      <c r="T102" s="5">
        <f t="shared" si="29"/>
        <v>7.1064623277372896E-2</v>
      </c>
      <c r="U102" s="5">
        <f t="shared" si="30"/>
        <v>0.19843406398846508</v>
      </c>
    </row>
    <row r="103" spans="1:21">
      <c r="A103" s="19">
        <f t="shared" si="31"/>
        <v>7.4166666666666572</v>
      </c>
      <c r="B103" s="10">
        <f t="shared" si="17"/>
        <v>0.64872680269928196</v>
      </c>
      <c r="C103" s="10">
        <f t="shared" si="19"/>
        <v>0.69637958660863652</v>
      </c>
      <c r="D103" s="10">
        <f t="shared" si="20"/>
        <v>0.45176010268566846</v>
      </c>
      <c r="H103" s="19">
        <f t="shared" si="18"/>
        <v>7.4166666666666572</v>
      </c>
      <c r="I103" s="10">
        <f t="shared" si="21"/>
        <v>0.84224892194232992</v>
      </c>
      <c r="J103" s="10">
        <f t="shared" si="22"/>
        <v>0.54638945020856478</v>
      </c>
      <c r="K103" s="10">
        <f t="shared" si="23"/>
        <v>0.10233735249071717</v>
      </c>
      <c r="L103" s="10">
        <f t="shared" si="24"/>
        <v>0.79198259125935899</v>
      </c>
      <c r="M103" s="10">
        <f t="shared" si="25"/>
        <v>0.99664445340033803</v>
      </c>
      <c r="N103" s="10">
        <f t="shared" si="26"/>
        <v>0.99372097412992566</v>
      </c>
      <c r="O103" s="10">
        <f t="shared" si="32"/>
        <v>6.2607638087870329E-3</v>
      </c>
      <c r="P103" s="10">
        <f t="shared" si="33"/>
        <v>0.28627812235404926</v>
      </c>
      <c r="Q103" s="10">
        <f t="shared" si="27"/>
        <v>7.5358624687630243E-2</v>
      </c>
      <c r="S103" s="5">
        <f t="shared" si="28"/>
        <v>0.38049445946356053</v>
      </c>
      <c r="T103" s="5">
        <f t="shared" si="29"/>
        <v>7.1265643222107947E-2</v>
      </c>
      <c r="U103" s="5">
        <f t="shared" si="30"/>
        <v>0.1993582405000095</v>
      </c>
    </row>
    <row r="104" spans="1:21">
      <c r="A104" s="19">
        <f t="shared" si="31"/>
        <v>7.4999999999999902</v>
      </c>
      <c r="B104" s="10">
        <f t="shared" si="17"/>
        <v>0.64465343032252254</v>
      </c>
      <c r="C104" s="10">
        <f t="shared" si="19"/>
        <v>0.69355396191714636</v>
      </c>
      <c r="D104" s="10">
        <f t="shared" si="20"/>
        <v>0.44710194066366454</v>
      </c>
      <c r="H104" s="19">
        <f t="shared" si="18"/>
        <v>7.4999999999999902</v>
      </c>
      <c r="I104" s="10">
        <f t="shared" si="21"/>
        <v>0.84018129051867441</v>
      </c>
      <c r="J104" s="10">
        <f t="shared" si="22"/>
        <v>0.54162575102566735</v>
      </c>
      <c r="K104" s="10">
        <f t="shared" si="23"/>
        <v>0.1030276792968552</v>
      </c>
      <c r="L104" s="10">
        <f t="shared" si="24"/>
        <v>0.78932505676826714</v>
      </c>
      <c r="M104" s="10">
        <f t="shared" si="25"/>
        <v>0.99662503667424363</v>
      </c>
      <c r="N104" s="10">
        <f t="shared" si="26"/>
        <v>0.99368318811762113</v>
      </c>
      <c r="O104" s="10">
        <f t="shared" si="32"/>
        <v>6.298334795393103E-3</v>
      </c>
      <c r="P104" s="10">
        <f t="shared" si="33"/>
        <v>0.28873831806939532</v>
      </c>
      <c r="Q104" s="10">
        <f t="shared" si="27"/>
        <v>7.5813556979746483E-2</v>
      </c>
      <c r="S104" s="5">
        <f t="shared" si="28"/>
        <v>0.37564668550020147</v>
      </c>
      <c r="T104" s="5">
        <f t="shared" si="29"/>
        <v>7.1455255163463086E-2</v>
      </c>
      <c r="U104" s="5">
        <f t="shared" si="30"/>
        <v>0.20025560445432228</v>
      </c>
    </row>
    <row r="105" spans="1:21">
      <c r="A105" s="19">
        <f t="shared" si="31"/>
        <v>7.5833333333333233</v>
      </c>
      <c r="B105" s="10">
        <f t="shared" si="17"/>
        <v>0.64058127587384495</v>
      </c>
      <c r="C105" s="10">
        <f t="shared" si="19"/>
        <v>0.69073980245963296</v>
      </c>
      <c r="D105" s="10">
        <f t="shared" si="20"/>
        <v>0.44247498395643931</v>
      </c>
      <c r="H105" s="19">
        <f t="shared" si="18"/>
        <v>7.5833333333333233</v>
      </c>
      <c r="I105" s="10">
        <f t="shared" si="21"/>
        <v>0.83810712681769184</v>
      </c>
      <c r="J105" s="10">
        <f t="shared" si="22"/>
        <v>0.53687573261583943</v>
      </c>
      <c r="K105" s="10">
        <f t="shared" si="23"/>
        <v>0.10370554325800554</v>
      </c>
      <c r="L105" s="10">
        <f t="shared" si="24"/>
        <v>0.7866611136495737</v>
      </c>
      <c r="M105" s="10">
        <f t="shared" si="25"/>
        <v>0.99660550750582899</v>
      </c>
      <c r="N105" s="10">
        <f t="shared" si="26"/>
        <v>0.9936451751417904</v>
      </c>
      <c r="O105" s="10">
        <f t="shared" si="32"/>
        <v>6.3361302151300879E-3</v>
      </c>
      <c r="P105" s="10">
        <f t="shared" si="33"/>
        <v>0.29117517714893643</v>
      </c>
      <c r="Q105" s="10">
        <f t="shared" si="27"/>
        <v>7.6271239300730223E-2</v>
      </c>
      <c r="S105" s="5">
        <f t="shared" si="28"/>
        <v>0.37084143749243564</v>
      </c>
      <c r="T105" s="5">
        <f t="shared" si="29"/>
        <v>7.1633546464003675E-2</v>
      </c>
      <c r="U105" s="5">
        <f t="shared" si="30"/>
        <v>0.20112628434500499</v>
      </c>
    </row>
    <row r="106" spans="1:21">
      <c r="A106" s="19">
        <f t="shared" si="31"/>
        <v>7.6666666666666563</v>
      </c>
      <c r="B106" s="10">
        <f t="shared" si="17"/>
        <v>0.63651049405821825</v>
      </c>
      <c r="C106" s="10">
        <f t="shared" si="19"/>
        <v>0.68793706171484736</v>
      </c>
      <c r="D106" s="10">
        <f t="shared" si="20"/>
        <v>0.43787915903307645</v>
      </c>
      <c r="H106" s="19">
        <f t="shared" si="18"/>
        <v>7.6666666666666563</v>
      </c>
      <c r="I106" s="10">
        <f t="shared" si="21"/>
        <v>0.83602643887937711</v>
      </c>
      <c r="J106" s="10">
        <f t="shared" si="22"/>
        <v>0.53213960165684515</v>
      </c>
      <c r="K106" s="10">
        <f t="shared" si="23"/>
        <v>0.10437089240137312</v>
      </c>
      <c r="L106" s="10">
        <f t="shared" si="24"/>
        <v>0.78399079840383401</v>
      </c>
      <c r="M106" s="10">
        <f t="shared" si="25"/>
        <v>0.99658586524617043</v>
      </c>
      <c r="N106" s="10">
        <f t="shared" si="26"/>
        <v>0.99360693384798293</v>
      </c>
      <c r="O106" s="10">
        <f t="shared" si="32"/>
        <v>6.3741513927212546E-3</v>
      </c>
      <c r="P106" s="10">
        <f t="shared" si="33"/>
        <v>0.29358849974681278</v>
      </c>
      <c r="Q106" s="10">
        <f t="shared" si="27"/>
        <v>7.6731688274283033E-2</v>
      </c>
      <c r="S106" s="5">
        <f t="shared" si="28"/>
        <v>0.36607855398591937</v>
      </c>
      <c r="T106" s="5">
        <f t="shared" si="29"/>
        <v>7.1800605047157115E-2</v>
      </c>
      <c r="U106" s="5">
        <f t="shared" si="30"/>
        <v>0.20197040986909259</v>
      </c>
    </row>
    <row r="107" spans="1:21">
      <c r="A107" s="19">
        <f t="shared" si="31"/>
        <v>7.7499999999999893</v>
      </c>
      <c r="B107" s="10">
        <f t="shared" si="17"/>
        <v>0.632441240363251</v>
      </c>
      <c r="C107" s="10">
        <f t="shared" si="19"/>
        <v>0.68514569335030484</v>
      </c>
      <c r="D107" s="10">
        <f t="shared" si="20"/>
        <v>0.4333143921320064</v>
      </c>
      <c r="H107" s="19">
        <f t="shared" si="18"/>
        <v>7.7499999999999893</v>
      </c>
      <c r="I107" s="10">
        <f t="shared" si="21"/>
        <v>0.83393923511429624</v>
      </c>
      <c r="J107" s="10">
        <f t="shared" si="22"/>
        <v>0.52741756424326636</v>
      </c>
      <c r="K107" s="10">
        <f t="shared" si="23"/>
        <v>0.10502367611998469</v>
      </c>
      <c r="L107" s="10">
        <f t="shared" si="24"/>
        <v>0.78131414817232092</v>
      </c>
      <c r="M107" s="10">
        <f t="shared" si="25"/>
        <v>0.99656610924262501</v>
      </c>
      <c r="N107" s="10">
        <f t="shared" si="26"/>
        <v>0.99356846287377187</v>
      </c>
      <c r="O107" s="10">
        <f t="shared" si="32"/>
        <v>6.4123996605177196E-3</v>
      </c>
      <c r="P107" s="10">
        <f t="shared" si="33"/>
        <v>0.29597808742952558</v>
      </c>
      <c r="Q107" s="10">
        <f t="shared" si="27"/>
        <v>7.7194920624595847E-2</v>
      </c>
      <c r="S107" s="5">
        <f t="shared" si="28"/>
        <v>0.36135787273858166</v>
      </c>
      <c r="T107" s="5">
        <f t="shared" si="29"/>
        <v>7.1956519393424762E-2</v>
      </c>
      <c r="U107" s="5">
        <f t="shared" si="30"/>
        <v>0.20278811192839946</v>
      </c>
    </row>
    <row r="108" spans="1:21">
      <c r="A108" s="19">
        <f t="shared" si="31"/>
        <v>7.8333333333333224</v>
      </c>
      <c r="B108" s="10">
        <f t="shared" si="17"/>
        <v>0.62837367104569697</v>
      </c>
      <c r="C108" s="10">
        <f t="shared" si="19"/>
        <v>0.68236565122151849</v>
      </c>
      <c r="D108" s="10">
        <f t="shared" si="20"/>
        <v>0.42878060925355327</v>
      </c>
      <c r="H108" s="19">
        <f t="shared" si="18"/>
        <v>7.8333333333333224</v>
      </c>
      <c r="I108" s="10">
        <f t="shared" si="21"/>
        <v>0.83184552430687209</v>
      </c>
      <c r="J108" s="10">
        <f t="shared" si="22"/>
        <v>0.52270982585164172</v>
      </c>
      <c r="K108" s="10">
        <f t="shared" si="23"/>
        <v>0.10566384519405521</v>
      </c>
      <c r="L108" s="10">
        <f t="shared" si="24"/>
        <v>0.77863120074030567</v>
      </c>
      <c r="M108" s="10">
        <f t="shared" si="25"/>
        <v>0.99654623883880977</v>
      </c>
      <c r="N108" s="10">
        <f t="shared" si="26"/>
        <v>0.99352976084870903</v>
      </c>
      <c r="O108" s="10">
        <f t="shared" si="32"/>
        <v>6.4508763585400461E-3</v>
      </c>
      <c r="P108" s="10">
        <f t="shared" si="33"/>
        <v>0.29834374322062041</v>
      </c>
      <c r="Q108" s="10">
        <f t="shared" si="27"/>
        <v>7.7660953176955733E-2</v>
      </c>
      <c r="S108" s="5">
        <f t="shared" si="28"/>
        <v>0.35667923071714203</v>
      </c>
      <c r="T108" s="5">
        <f t="shared" si="29"/>
        <v>7.2101378536411201E-2</v>
      </c>
      <c r="U108" s="5">
        <f t="shared" si="30"/>
        <v>0.20357952263060414</v>
      </c>
    </row>
    <row r="109" spans="1:21">
      <c r="A109" s="19">
        <f t="shared" si="31"/>
        <v>7.9166666666666554</v>
      </c>
      <c r="B109" s="10">
        <f t="shared" si="17"/>
        <v>0.62430794311765669</v>
      </c>
      <c r="C109" s="10">
        <f t="shared" si="19"/>
        <v>0.67959688937123786</v>
      </c>
      <c r="D109" s="10">
        <f t="shared" si="20"/>
        <v>0.42427773615251518</v>
      </c>
      <c r="H109" s="19">
        <f t="shared" si="18"/>
        <v>7.9166666666666554</v>
      </c>
      <c r="I109" s="10">
        <f t="shared" si="21"/>
        <v>0.82974531561867226</v>
      </c>
      <c r="J109" s="10">
        <f t="shared" si="22"/>
        <v>0.51801659130540412</v>
      </c>
      <c r="K109" s="10">
        <f t="shared" si="23"/>
        <v>0.10629135181225255</v>
      </c>
      <c r="L109" s="10">
        <f t="shared" si="24"/>
        <v>0.77594199454029789</v>
      </c>
      <c r="M109" s="10">
        <f t="shared" si="25"/>
        <v>0.99652625337458012</v>
      </c>
      <c r="N109" s="10">
        <f t="shared" si="26"/>
        <v>0.99349082639427799</v>
      </c>
      <c r="O109" s="10">
        <f t="shared" si="32"/>
        <v>6.4895828345200562E-3</v>
      </c>
      <c r="P109" s="10">
        <f t="shared" si="33"/>
        <v>0.30068527164556386</v>
      </c>
      <c r="Q109" s="10">
        <f t="shared" si="27"/>
        <v>7.8129802858357314E-2</v>
      </c>
      <c r="S109" s="5">
        <f t="shared" si="28"/>
        <v>0.35204246409384443</v>
      </c>
      <c r="T109" s="5">
        <f t="shared" si="29"/>
        <v>7.2235272058670724E-2</v>
      </c>
      <c r="U109" s="5">
        <f t="shared" si="30"/>
        <v>0.20434477529007086</v>
      </c>
    </row>
    <row r="110" spans="1:21">
      <c r="A110" s="19">
        <f t="shared" si="31"/>
        <v>7.9999999999999885</v>
      </c>
      <c r="B110" s="10">
        <f t="shared" si="17"/>
        <v>0.62024421433247268</v>
      </c>
      <c r="C110" s="10">
        <f t="shared" si="19"/>
        <v>0.67683936202868733</v>
      </c>
      <c r="D110" s="10">
        <f t="shared" si="20"/>
        <v>0.41980569833077519</v>
      </c>
      <c r="H110" s="19">
        <f t="shared" si="18"/>
        <v>7.9999999999999885</v>
      </c>
      <c r="I110" s="10">
        <f t="shared" si="21"/>
        <v>0.82763861859169863</v>
      </c>
      <c r="J110" s="10">
        <f t="shared" si="22"/>
        <v>0.51333806473962118</v>
      </c>
      <c r="K110" s="10">
        <f t="shared" si="23"/>
        <v>0.10690614959285155</v>
      </c>
      <c r="L110" s="10">
        <f t="shared" si="24"/>
        <v>0.77324656865524199</v>
      </c>
      <c r="M110" s="10">
        <f t="shared" si="25"/>
        <v>0.99650615218601069</v>
      </c>
      <c r="N110" s="10">
        <f t="shared" si="26"/>
        <v>0.9934516581238485</v>
      </c>
      <c r="O110" s="10">
        <f t="shared" si="32"/>
        <v>6.5285204439428507E-3</v>
      </c>
      <c r="P110" s="10">
        <f t="shared" si="33"/>
        <v>0.30300247877680381</v>
      </c>
      <c r="Q110" s="10">
        <f t="shared" si="27"/>
        <v>7.8601486698117479E-2</v>
      </c>
      <c r="S110" s="5">
        <f t="shared" si="28"/>
        <v>0.3474474082434062</v>
      </c>
      <c r="T110" s="5">
        <f t="shared" si="29"/>
        <v>7.2358290087369062E-2</v>
      </c>
      <c r="U110" s="5">
        <f t="shared" si="30"/>
        <v>0.20508400442840277</v>
      </c>
    </row>
    <row r="111" spans="1:21">
      <c r="A111" s="19">
        <f t="shared" si="31"/>
        <v>8.0833333333333215</v>
      </c>
      <c r="B111" s="10">
        <f t="shared" si="17"/>
        <v>0.61618264317031868</v>
      </c>
      <c r="C111" s="10">
        <f t="shared" si="19"/>
        <v>0.67409302360881129</v>
      </c>
      <c r="D111" s="10">
        <f t="shared" si="20"/>
        <v>0.41536442102994936</v>
      </c>
      <c r="H111" s="19">
        <f t="shared" si="18"/>
        <v>8.0833333333333215</v>
      </c>
      <c r="I111" s="10">
        <f t="shared" si="21"/>
        <v>0.8255254431516782</v>
      </c>
      <c r="J111" s="10">
        <f t="shared" si="22"/>
        <v>0.50867444956554975</v>
      </c>
      <c r="K111" s="10">
        <f t="shared" si="23"/>
        <v>0.10750819360476896</v>
      </c>
      <c r="L111" s="10">
        <f t="shared" si="24"/>
        <v>0.77054496282167118</v>
      </c>
      <c r="M111" s="10">
        <f t="shared" si="25"/>
        <v>0.99648593460537027</v>
      </c>
      <c r="N111" s="10">
        <f t="shared" si="26"/>
        <v>0.99341225464263117</v>
      </c>
      <c r="O111" s="10">
        <f t="shared" si="32"/>
        <v>6.567690550089004E-3</v>
      </c>
      <c r="P111" s="10">
        <f t="shared" si="33"/>
        <v>0.30529517227900282</v>
      </c>
      <c r="Q111" s="10">
        <f t="shared" si="27"/>
        <v>7.9076021828494131E-2</v>
      </c>
      <c r="S111" s="5">
        <f t="shared" si="28"/>
        <v>0.34289389774018919</v>
      </c>
      <c r="T111" s="5">
        <f t="shared" si="29"/>
        <v>7.2470523289760183E-2</v>
      </c>
      <c r="U111" s="5">
        <f t="shared" si="30"/>
        <v>0.20579734577472597</v>
      </c>
    </row>
    <row r="112" spans="1:21">
      <c r="A112" s="19">
        <f t="shared" si="31"/>
        <v>8.1666666666666554</v>
      </c>
      <c r="B112" s="10">
        <f t="shared" si="17"/>
        <v>0.61212338882348216</v>
      </c>
      <c r="C112" s="10">
        <f t="shared" si="19"/>
        <v>0.67135782871151917</v>
      </c>
      <c r="D112" s="10">
        <f t="shared" si="20"/>
        <v>0.41095382922406998</v>
      </c>
      <c r="H112" s="19">
        <f t="shared" si="18"/>
        <v>8.1666666666666554</v>
      </c>
      <c r="I112" s="10">
        <f t="shared" si="21"/>
        <v>0.82340579961135452</v>
      </c>
      <c r="J112" s="10">
        <f t="shared" si="22"/>
        <v>0.50402594843501136</v>
      </c>
      <c r="K112" s="10">
        <f t="shared" si="23"/>
        <v>0.10809744038847076</v>
      </c>
      <c r="L112" s="10">
        <f t="shared" si="24"/>
        <v>0.7678372174328133</v>
      </c>
      <c r="M112" s="10">
        <f t="shared" si="25"/>
        <v>0.99646559996110351</v>
      </c>
      <c r="N112" s="10">
        <f t="shared" si="26"/>
        <v>0.99337261454762926</v>
      </c>
      <c r="O112" s="10">
        <f t="shared" si="32"/>
        <v>6.6070945240769702E-3</v>
      </c>
      <c r="P112" s="10">
        <f t="shared" si="33"/>
        <v>0.30756316145443308</v>
      </c>
      <c r="Q112" s="10">
        <f t="shared" si="27"/>
        <v>7.9553425485308082E-2</v>
      </c>
      <c r="S112" s="5">
        <f t="shared" si="28"/>
        <v>0.33838176635559336</v>
      </c>
      <c r="T112" s="5">
        <f t="shared" si="29"/>
        <v>7.2572062868476603E-2</v>
      </c>
      <c r="U112" s="5">
        <f t="shared" si="30"/>
        <v>0.20648493626569858</v>
      </c>
    </row>
    <row r="113" spans="1:21">
      <c r="A113" s="19">
        <f t="shared" si="31"/>
        <v>8.2499999999999893</v>
      </c>
      <c r="B113" s="10">
        <f t="shared" si="17"/>
        <v>0.60806661118133754</v>
      </c>
      <c r="C113" s="10">
        <f t="shared" si="19"/>
        <v>0.66863373212093569</v>
      </c>
      <c r="D113" s="10">
        <f t="shared" si="20"/>
        <v>0.40657384761230758</v>
      </c>
      <c r="H113" s="19">
        <f t="shared" si="18"/>
        <v>8.2499999999999893</v>
      </c>
      <c r="I113" s="10">
        <f t="shared" si="21"/>
        <v>0.8212796986737797</v>
      </c>
      <c r="J113" s="10">
        <f t="shared" si="22"/>
        <v>0.49939276320459525</v>
      </c>
      <c r="K113" s="10">
        <f t="shared" si="23"/>
        <v>0.10867384797674229</v>
      </c>
      <c r="L113" s="10">
        <f t="shared" si="24"/>
        <v>0.76512337354165261</v>
      </c>
      <c r="M113" s="10">
        <f t="shared" si="25"/>
        <v>0.99644514757780789</v>
      </c>
      <c r="N113" s="10">
        <f t="shared" si="26"/>
        <v>0.99333273642759023</v>
      </c>
      <c r="O113" s="10">
        <f t="shared" si="32"/>
        <v>6.6467337449056876E-3</v>
      </c>
      <c r="P113" s="10">
        <f t="shared" si="33"/>
        <v>0.30980625728852307</v>
      </c>
      <c r="Q113" s="10">
        <f t="shared" si="27"/>
        <v>8.0033715008569373E-2</v>
      </c>
      <c r="S113" s="5">
        <f t="shared" si="28"/>
        <v>0.3339108470556752</v>
      </c>
      <c r="T113" s="5">
        <f t="shared" si="29"/>
        <v>7.2663000556632398E-2</v>
      </c>
      <c r="U113" s="5">
        <f t="shared" si="30"/>
        <v>0.20714691404524402</v>
      </c>
    </row>
    <row r="114" spans="1:21">
      <c r="A114" s="19">
        <f t="shared" si="31"/>
        <v>8.3333333333333233</v>
      </c>
      <c r="B114" s="10">
        <f t="shared" si="17"/>
        <v>0.60401247081500953</v>
      </c>
      <c r="C114" s="10">
        <f t="shared" si="19"/>
        <v>0.66592068880465327</v>
      </c>
      <c r="D114" s="10">
        <f t="shared" si="20"/>
        <v>0.4022244006117317</v>
      </c>
      <c r="H114" s="19">
        <f t="shared" si="18"/>
        <v>8.3333333333333233</v>
      </c>
      <c r="I114" s="10">
        <f t="shared" si="21"/>
        <v>0.81914715143560646</v>
      </c>
      <c r="J114" s="10">
        <f t="shared" si="22"/>
        <v>0.49477509489969745</v>
      </c>
      <c r="K114" s="10">
        <f t="shared" si="23"/>
        <v>0.10923737591531209</v>
      </c>
      <c r="L114" s="10">
        <f t="shared" si="24"/>
        <v>0.76240347286394228</v>
      </c>
      <c r="M114" s="10">
        <f t="shared" si="25"/>
        <v>0.99642457677621266</v>
      </c>
      <c r="N114" s="10">
        <f t="shared" si="26"/>
        <v>0.99329261886296449</v>
      </c>
      <c r="O114" s="10">
        <f t="shared" si="32"/>
        <v>6.6866095994974114E-3</v>
      </c>
      <c r="P114" s="10">
        <f t="shared" si="33"/>
        <v>0.31202427249554437</v>
      </c>
      <c r="Q114" s="10">
        <f t="shared" si="27"/>
        <v>8.0516907843107E-2</v>
      </c>
      <c r="S114" s="5">
        <f t="shared" si="28"/>
        <v>0.32948097199899423</v>
      </c>
      <c r="T114" s="5">
        <f t="shared" si="29"/>
        <v>7.2743428612737471E-2</v>
      </c>
      <c r="U114" s="5">
        <f t="shared" si="30"/>
        <v>0.20778341846400375</v>
      </c>
    </row>
    <row r="115" spans="1:21">
      <c r="A115" s="19">
        <f t="shared" si="31"/>
        <v>8.4166666666666572</v>
      </c>
      <c r="B115" s="10">
        <f t="shared" si="17"/>
        <v>0.59996112896173071</v>
      </c>
      <c r="C115" s="10">
        <f t="shared" si="19"/>
        <v>0.66321865391298707</v>
      </c>
      <c r="D115" s="10">
        <f t="shared" si="20"/>
        <v>0.39790541235011506</v>
      </c>
      <c r="H115" s="19">
        <f t="shared" si="18"/>
        <v>8.4166666666666572</v>
      </c>
      <c r="I115" s="10">
        <f t="shared" si="21"/>
        <v>0.81700816939037901</v>
      </c>
      <c r="J115" s="10">
        <f t="shared" si="22"/>
        <v>0.4901731436784087</v>
      </c>
      <c r="K115" s="10">
        <f t="shared" si="23"/>
        <v>0.109787985283322</v>
      </c>
      <c r="L115" s="10">
        <f t="shared" si="24"/>
        <v>0.75967755778116841</v>
      </c>
      <c r="M115" s="10">
        <f t="shared" si="25"/>
        <v>0.99640388687315606</v>
      </c>
      <c r="N115" s="10">
        <f t="shared" si="26"/>
        <v>0.99325226042585124</v>
      </c>
      <c r="O115" s="10">
        <f t="shared" si="32"/>
        <v>6.7267234827406925E-3</v>
      </c>
      <c r="P115" s="10">
        <f t="shared" si="33"/>
        <v>0.31421702156442705</v>
      </c>
      <c r="Q115" s="10">
        <f t="shared" si="27"/>
        <v>8.100302153920251E-2</v>
      </c>
      <c r="S115" s="5">
        <f t="shared" si="28"/>
        <v>0.32509197253469141</v>
      </c>
      <c r="T115" s="5">
        <f t="shared" si="29"/>
        <v>7.2813439815423653E-2</v>
      </c>
      <c r="U115" s="5">
        <f t="shared" si="30"/>
        <v>0.20839459007850733</v>
      </c>
    </row>
    <row r="116" spans="1:21">
      <c r="A116" s="19">
        <f t="shared" si="31"/>
        <v>8.4999999999999911</v>
      </c>
      <c r="B116" s="10">
        <f t="shared" si="17"/>
        <v>0.59591274750888468</v>
      </c>
      <c r="C116" s="10">
        <f t="shared" si="19"/>
        <v>0.66052758277823453</v>
      </c>
      <c r="D116" s="10">
        <f t="shared" si="20"/>
        <v>0.39361680665878002</v>
      </c>
      <c r="H116" s="19">
        <f t="shared" si="18"/>
        <v>8.4999999999999911</v>
      </c>
      <c r="I116" s="10">
        <f t="shared" si="21"/>
        <v>0.81486276443182237</v>
      </c>
      <c r="J116" s="10">
        <f t="shared" si="22"/>
        <v>0.48558710879525235</v>
      </c>
      <c r="K116" s="10">
        <f t="shared" si="23"/>
        <v>0.11032563871363234</v>
      </c>
      <c r="L116" s="10">
        <f t="shared" si="24"/>
        <v>0.7569456713434628</v>
      </c>
      <c r="M116" s="10">
        <f t="shared" si="25"/>
        <v>0.99638307718156482</v>
      </c>
      <c r="N116" s="10">
        <f t="shared" si="26"/>
        <v>0.99321165967995351</v>
      </c>
      <c r="O116" s="10">
        <f t="shared" si="32"/>
        <v>6.7670767975336167E-3</v>
      </c>
      <c r="P116" s="10">
        <f t="shared" si="33"/>
        <v>0.31638432080469181</v>
      </c>
      <c r="Q116" s="10">
        <f t="shared" si="27"/>
        <v>8.1492073753227465E-2</v>
      </c>
      <c r="S116" s="5">
        <f t="shared" si="28"/>
        <v>0.3207436792007996</v>
      </c>
      <c r="T116" s="5">
        <f t="shared" si="29"/>
        <v>7.2873127457980386E-2</v>
      </c>
      <c r="U116" s="5">
        <f t="shared" si="30"/>
        <v>0.20898057065005657</v>
      </c>
    </row>
    <row r="117" spans="1:21">
      <c r="A117" s="19">
        <f t="shared" si="31"/>
        <v>8.583333333333325</v>
      </c>
      <c r="B117" s="10">
        <f t="shared" si="17"/>
        <v>0.59186748897774044</v>
      </c>
      <c r="C117" s="10">
        <f t="shared" si="19"/>
        <v>0.65784743091393605</v>
      </c>
      <c r="D117" s="10">
        <f t="shared" si="20"/>
        <v>0.38935850706548891</v>
      </c>
      <c r="H117" s="19">
        <f t="shared" si="18"/>
        <v>8.583333333333325</v>
      </c>
      <c r="I117" s="10">
        <f t="shared" si="21"/>
        <v>0.8127109488571318</v>
      </c>
      <c r="J117" s="10">
        <f t="shared" si="22"/>
        <v>0.48101718856478742</v>
      </c>
      <c r="K117" s="10">
        <f t="shared" si="23"/>
        <v>0.11085030041295302</v>
      </c>
      <c r="L117" s="10">
        <f t="shared" si="24"/>
        <v>0.75420785727246487</v>
      </c>
      <c r="M117" s="10">
        <f t="shared" si="25"/>
        <v>0.99636214701042958</v>
      </c>
      <c r="N117" s="10">
        <f t="shared" si="26"/>
        <v>0.99317081518053341</v>
      </c>
      <c r="O117" s="10">
        <f t="shared" si="32"/>
        <v>6.8076709548272156E-3</v>
      </c>
      <c r="P117" s="10">
        <f t="shared" si="33"/>
        <v>0.31852598839248797</v>
      </c>
      <c r="Q117" s="10">
        <f t="shared" si="27"/>
        <v>8.198408224828499E-2</v>
      </c>
      <c r="S117" s="5">
        <f t="shared" si="28"/>
        <v>0.31643592172278973</v>
      </c>
      <c r="T117" s="5">
        <f t="shared" si="29"/>
        <v>7.2922585342699173E-2</v>
      </c>
      <c r="U117" s="5">
        <f t="shared" si="30"/>
        <v>0.20954150314332043</v>
      </c>
    </row>
    <row r="118" spans="1:21">
      <c r="A118" s="19">
        <f t="shared" si="31"/>
        <v>8.666666666666659</v>
      </c>
      <c r="B118" s="10">
        <f t="shared" si="17"/>
        <v>0.58782551650687787</v>
      </c>
      <c r="C118" s="10">
        <f t="shared" si="19"/>
        <v>0.65517815401414026</v>
      </c>
      <c r="D118" s="10">
        <f t="shared" si="20"/>
        <v>0.38513043678738479</v>
      </c>
      <c r="H118" s="19">
        <f t="shared" si="18"/>
        <v>8.666666666666659</v>
      </c>
      <c r="I118" s="10">
        <f t="shared" si="21"/>
        <v>0.8105527353702584</v>
      </c>
      <c r="J118" s="10">
        <f t="shared" si="22"/>
        <v>0.47646358032508485</v>
      </c>
      <c r="K118" s="10">
        <f t="shared" si="23"/>
        <v>0.11136193618179303</v>
      </c>
      <c r="L118" s="10">
        <f t="shared" si="24"/>
        <v>0.75146415996412874</v>
      </c>
      <c r="M118" s="10">
        <f t="shared" si="25"/>
        <v>0.99634109566478712</v>
      </c>
      <c r="N118" s="10">
        <f t="shared" si="26"/>
        <v>0.99312972547435785</v>
      </c>
      <c r="O118" s="10">
        <f t="shared" si="32"/>
        <v>6.8485073736690759E-3</v>
      </c>
      <c r="P118" s="10">
        <f t="shared" si="33"/>
        <v>0.32064184441672366</v>
      </c>
      <c r="Q118" s="10">
        <f t="shared" si="27"/>
        <v>8.2479064894854251E-2</v>
      </c>
      <c r="S118" s="5">
        <f t="shared" si="28"/>
        <v>0.31216852901235714</v>
      </c>
      <c r="T118" s="5">
        <f t="shared" si="29"/>
        <v>7.296190777502766E-2</v>
      </c>
      <c r="U118" s="5">
        <f t="shared" si="30"/>
        <v>0.21007753172463817</v>
      </c>
    </row>
    <row r="119" spans="1:21">
      <c r="A119" s="19">
        <f t="shared" si="31"/>
        <v>8.7499999999999929</v>
      </c>
      <c r="B119" s="10">
        <f t="shared" si="17"/>
        <v>0.5837869938352982</v>
      </c>
      <c r="C119" s="10">
        <f t="shared" si="19"/>
        <v>0.652519707952671</v>
      </c>
      <c r="D119" s="10">
        <f t="shared" si="20"/>
        <v>0.38093251872397654</v>
      </c>
      <c r="H119" s="19">
        <f t="shared" si="18"/>
        <v>8.7499999999999929</v>
      </c>
      <c r="I119" s="10">
        <f t="shared" si="21"/>
        <v>0.80838813708519219</v>
      </c>
      <c r="J119" s="10">
        <f t="shared" si="22"/>
        <v>0.47192648040108126</v>
      </c>
      <c r="K119" s="10">
        <f t="shared" si="23"/>
        <v>0.11186051343421691</v>
      </c>
      <c r="L119" s="10">
        <f t="shared" si="24"/>
        <v>0.74871462449147885</v>
      </c>
      <c r="M119" s="10">
        <f t="shared" si="25"/>
        <v>0.99631992244569234</v>
      </c>
      <c r="N119" s="10">
        <f t="shared" si="26"/>
        <v>0.99308838909965347</v>
      </c>
      <c r="O119" s="10">
        <f t="shared" si="32"/>
        <v>6.8895874812471714E-3</v>
      </c>
      <c r="P119" s="10">
        <f t="shared" si="33"/>
        <v>0.32273171092527775</v>
      </c>
      <c r="Q119" s="10">
        <f t="shared" si="27"/>
        <v>8.29770396714406E-2</v>
      </c>
      <c r="S119" s="5">
        <f t="shared" si="28"/>
        <v>0.30794132916644545</v>
      </c>
      <c r="T119" s="5">
        <f t="shared" si="29"/>
        <v>7.2991189557531047E-2</v>
      </c>
      <c r="U119" s="5">
        <f t="shared" si="30"/>
        <v>0.21058880176002809</v>
      </c>
    </row>
    <row r="120" spans="1:21">
      <c r="A120" s="19">
        <f t="shared" si="31"/>
        <v>8.8333333333333268</v>
      </c>
      <c r="B120" s="10">
        <f t="shared" si="17"/>
        <v>0.57975208528522559</v>
      </c>
      <c r="C120" s="10">
        <f t="shared" si="19"/>
        <v>0.64987204878239835</v>
      </c>
      <c r="D120" s="10">
        <f t="shared" si="20"/>
        <v>0.37676467545017728</v>
      </c>
      <c r="H120" s="19">
        <f t="shared" si="18"/>
        <v>8.8333333333333268</v>
      </c>
      <c r="I120" s="10">
        <f t="shared" si="21"/>
        <v>0.80621716752924244</v>
      </c>
      <c r="J120" s="10">
        <f t="shared" si="22"/>
        <v>0.46740608406782636</v>
      </c>
      <c r="K120" s="10">
        <f t="shared" si="23"/>
        <v>0.11234600121739922</v>
      </c>
      <c r="L120" s="10">
        <f t="shared" si="24"/>
        <v>0.74595929660730587</v>
      </c>
      <c r="M120" s="10">
        <f t="shared" si="25"/>
        <v>0.99629862665020086</v>
      </c>
      <c r="N120" s="10">
        <f t="shared" si="26"/>
        <v>0.99304680458606009</v>
      </c>
      <c r="O120" s="10">
        <f t="shared" si="32"/>
        <v>6.9309127129339055E-3</v>
      </c>
      <c r="P120" s="10">
        <f t="shared" si="33"/>
        <v>0.32479541197127865</v>
      </c>
      <c r="Q120" s="10">
        <f t="shared" si="27"/>
        <v>8.3478024665227413E-2</v>
      </c>
      <c r="S120" s="5">
        <f t="shared" si="28"/>
        <v>0.30375414946651624</v>
      </c>
      <c r="T120" s="5">
        <f t="shared" si="29"/>
        <v>7.3010525983661048E-2</v>
      </c>
      <c r="U120" s="5">
        <f t="shared" si="30"/>
        <v>0.21107545981289796</v>
      </c>
    </row>
    <row r="121" spans="1:21">
      <c r="A121" s="19">
        <f t="shared" si="31"/>
        <v>8.9166666666666607</v>
      </c>
      <c r="B121" s="10">
        <f t="shared" si="17"/>
        <v>0.57572095574459825</v>
      </c>
      <c r="C121" s="10">
        <f t="shared" si="19"/>
        <v>0.64723513273451194</v>
      </c>
      <c r="D121" s="10">
        <f t="shared" si="20"/>
        <v>0.37262682920939511</v>
      </c>
      <c r="H121" s="19">
        <f t="shared" si="18"/>
        <v>8.9166666666666607</v>
      </c>
      <c r="I121" s="10">
        <f t="shared" si="21"/>
        <v>0.80403984064631417</v>
      </c>
      <c r="J121" s="10">
        <f t="shared" si="22"/>
        <v>0.46290258551363045</v>
      </c>
      <c r="K121" s="10">
        <f t="shared" si="23"/>
        <v>0.11281837023096777</v>
      </c>
      <c r="L121" s="10">
        <f t="shared" si="24"/>
        <v>0.74319822274680869</v>
      </c>
      <c r="M121" s="10">
        <f t="shared" si="25"/>
        <v>0.99627720757134375</v>
      </c>
      <c r="N121" s="10">
        <f t="shared" si="26"/>
        <v>0.99300497045457681</v>
      </c>
      <c r="O121" s="10">
        <f t="shared" si="32"/>
        <v>6.9724845123303389E-3</v>
      </c>
      <c r="P121" s="10">
        <f t="shared" si="33"/>
        <v>0.32683277365943947</v>
      </c>
      <c r="Q121" s="10">
        <f t="shared" si="27"/>
        <v>8.3982038072734119E-2</v>
      </c>
      <c r="S121" s="5">
        <f t="shared" si="28"/>
        <v>0.29960681637806336</v>
      </c>
      <c r="T121" s="5">
        <f t="shared" si="29"/>
        <v>7.3020012831331735E-2</v>
      </c>
      <c r="U121" s="5">
        <f t="shared" si="30"/>
        <v>0.21153765364145599</v>
      </c>
    </row>
    <row r="122" spans="1:21">
      <c r="A122" s="19">
        <f t="shared" si="31"/>
        <v>8.9999999999999947</v>
      </c>
      <c r="B122" s="10">
        <f t="shared" si="17"/>
        <v>0.57169377064924554</v>
      </c>
      <c r="C122" s="10">
        <f t="shared" si="19"/>
        <v>0.64460891621779726</v>
      </c>
      <c r="D122" s="10">
        <f t="shared" si="20"/>
        <v>0.36851890190667613</v>
      </c>
      <c r="H122" s="19">
        <f t="shared" si="18"/>
        <v>8.9999999999999947</v>
      </c>
      <c r="I122" s="10">
        <f t="shared" si="21"/>
        <v>0.80185617080018046</v>
      </c>
      <c r="J122" s="10">
        <f t="shared" si="22"/>
        <v>0.45841617780312061</v>
      </c>
      <c r="K122" s="10">
        <f t="shared" si="23"/>
        <v>0.11327759284612492</v>
      </c>
      <c r="L122" s="10">
        <f t="shared" si="24"/>
        <v>0.74043145003017607</v>
      </c>
      <c r="M122" s="10">
        <f t="shared" si="25"/>
        <v>0.99625566449810488</v>
      </c>
      <c r="N122" s="10">
        <f t="shared" si="26"/>
        <v>0.99296288521751697</v>
      </c>
      <c r="O122" s="10">
        <f t="shared" si="32"/>
        <v>7.0143043313106029E-3</v>
      </c>
      <c r="P122" s="10">
        <f t="shared" si="33"/>
        <v>0.32884362419243485</v>
      </c>
      <c r="Q122" s="10">
        <f t="shared" si="27"/>
        <v>8.4489098200476495E-2</v>
      </c>
      <c r="S122" s="5">
        <f t="shared" si="28"/>
        <v>0.29549915555037465</v>
      </c>
      <c r="T122" s="5">
        <f t="shared" si="29"/>
        <v>7.3019746356301485E-2</v>
      </c>
      <c r="U122" s="5">
        <f t="shared" si="30"/>
        <v>0.21197553219581805</v>
      </c>
    </row>
    <row r="123" spans="1:21">
      <c r="A123" s="19">
        <f t="shared" si="31"/>
        <v>9.0833333333333286</v>
      </c>
      <c r="B123" s="10">
        <f t="shared" si="17"/>
        <v>0.56767069596475628</v>
      </c>
      <c r="C123" s="10">
        <f t="shared" si="19"/>
        <v>0.64199335581791528</v>
      </c>
      <c r="D123" s="10">
        <f t="shared" si="20"/>
        <v>0.3644408151019054</v>
      </c>
      <c r="H123" s="19">
        <f t="shared" si="18"/>
        <v>9.0833333333333286</v>
      </c>
      <c r="I123" s="10">
        <f t="shared" si="21"/>
        <v>0.79966617277774799</v>
      </c>
      <c r="J123" s="10">
        <f t="shared" si="22"/>
        <v>0.45394705284021725</v>
      </c>
      <c r="K123" s="10">
        <f t="shared" si="23"/>
        <v>0.11372364312453903</v>
      </c>
      <c r="L123" s="10">
        <f t="shared" si="24"/>
        <v>0.73765902626510838</v>
      </c>
      <c r="M123" s="10">
        <f t="shared" si="25"/>
        <v>0.99623399671540014</v>
      </c>
      <c r="N123" s="10">
        <f t="shared" si="26"/>
        <v>0.99292054737845592</v>
      </c>
      <c r="O123" s="10">
        <f t="shared" si="32"/>
        <v>7.0563736300665817E-3</v>
      </c>
      <c r="P123" s="10">
        <f t="shared" si="33"/>
        <v>0.33082779391730655</v>
      </c>
      <c r="Q123" s="10">
        <f t="shared" si="27"/>
        <v>8.4999223465631268E-2</v>
      </c>
      <c r="S123" s="5">
        <f t="shared" si="28"/>
        <v>0.29143099181654358</v>
      </c>
      <c r="T123" s="5">
        <f t="shared" si="29"/>
        <v>7.3009823285361805E-2</v>
      </c>
      <c r="U123" s="5">
        <f t="shared" si="30"/>
        <v>0.21238924561480932</v>
      </c>
    </row>
    <row r="124" spans="1:21">
      <c r="A124" s="19">
        <f t="shared" si="31"/>
        <v>9.1666666666666625</v>
      </c>
      <c r="B124" s="10">
        <f t="shared" si="17"/>
        <v>0.56365189816803485</v>
      </c>
      <c r="C124" s="10">
        <f t="shared" si="19"/>
        <v>0.63938840829668475</v>
      </c>
      <c r="D124" s="10">
        <f t="shared" si="20"/>
        <v>0.36039249000306484</v>
      </c>
      <c r="H124" s="19">
        <f t="shared" si="18"/>
        <v>9.1666666666666625</v>
      </c>
      <c r="I124" s="10">
        <f t="shared" si="21"/>
        <v>0.79746986179232082</v>
      </c>
      <c r="J124" s="10">
        <f t="shared" si="22"/>
        <v>0.44949540133104204</v>
      </c>
      <c r="K124" s="10">
        <f t="shared" si="23"/>
        <v>0.1141564968369928</v>
      </c>
      <c r="L124" s="10">
        <f t="shared" si="24"/>
        <v>0.73488099994927925</v>
      </c>
      <c r="M124" s="10">
        <f t="shared" si="25"/>
        <v>0.99621220350405137</v>
      </c>
      <c r="N124" s="10">
        <f t="shared" si="26"/>
        <v>0.99287795543218349</v>
      </c>
      <c r="O124" s="10">
        <f t="shared" si="32"/>
        <v>7.098693877152778E-3</v>
      </c>
      <c r="P124" s="10">
        <f t="shared" si="33"/>
        <v>0.33278511537188515</v>
      </c>
      <c r="Q124" s="10">
        <f t="shared" si="27"/>
        <v>8.5512432396706181E-2</v>
      </c>
      <c r="S124" s="5">
        <f t="shared" si="28"/>
        <v>0.28740214919373447</v>
      </c>
      <c r="T124" s="5">
        <f t="shared" si="29"/>
        <v>7.2990340809330354E-2</v>
      </c>
      <c r="U124" s="5">
        <f t="shared" si="30"/>
        <v>0.21277894522245824</v>
      </c>
    </row>
    <row r="125" spans="1:21">
      <c r="A125" s="19">
        <f t="shared" si="31"/>
        <v>9.2499999999999964</v>
      </c>
      <c r="B125" s="10">
        <f t="shared" si="17"/>
        <v>0.55963754422854772</v>
      </c>
      <c r="C125" s="10">
        <f t="shared" si="19"/>
        <v>0.63679403059136708</v>
      </c>
      <c r="D125" s="10">
        <f t="shared" si="20"/>
        <v>0.35637384745955136</v>
      </c>
      <c r="H125" s="19">
        <f t="shared" si="18"/>
        <v>9.2499999999999964</v>
      </c>
      <c r="I125" s="10">
        <f t="shared" si="21"/>
        <v>0.7952672534868539</v>
      </c>
      <c r="J125" s="10">
        <f t="shared" si="22"/>
        <v>0.44506141274676486</v>
      </c>
      <c r="K125" s="10">
        <f t="shared" si="23"/>
        <v>0.11457613148178285</v>
      </c>
      <c r="L125" s="10">
        <f t="shared" si="24"/>
        <v>0.73209742027273217</v>
      </c>
      <c r="M125" s="10">
        <f t="shared" si="25"/>
        <v>0.99619028414076638</v>
      </c>
      <c r="N125" s="10">
        <f t="shared" si="26"/>
        <v>0.99283510786465212</v>
      </c>
      <c r="O125" s="10">
        <f t="shared" si="32"/>
        <v>7.1412665495313278E-3</v>
      </c>
      <c r="P125" s="10">
        <f t="shared" si="33"/>
        <v>0.33471542333121268</v>
      </c>
      <c r="Q125" s="10">
        <f t="shared" si="27"/>
        <v>8.6028743634212146E-2</v>
      </c>
      <c r="S125" s="5">
        <f t="shared" si="28"/>
        <v>0.28341245088370043</v>
      </c>
      <c r="T125" s="5">
        <f t="shared" si="29"/>
        <v>7.296139657585092E-2</v>
      </c>
      <c r="U125" s="5">
        <f t="shared" si="30"/>
        <v>0.21314478352417862</v>
      </c>
    </row>
    <row r="126" spans="1:21">
      <c r="A126" s="19">
        <f t="shared" si="31"/>
        <v>9.3333333333333304</v>
      </c>
      <c r="B126" s="10">
        <f t="shared" si="17"/>
        <v>0.55562780158925917</v>
      </c>
      <c r="C126" s="10">
        <f t="shared" si="19"/>
        <v>0.63421017981395522</v>
      </c>
      <c r="D126" s="10">
        <f t="shared" si="20"/>
        <v>0.35238480795555671</v>
      </c>
      <c r="H126" s="19">
        <f t="shared" si="18"/>
        <v>9.3333333333333304</v>
      </c>
      <c r="I126" s="10">
        <f t="shared" si="21"/>
        <v>0.7930583639372033</v>
      </c>
      <c r="J126" s="10">
        <f t="shared" si="22"/>
        <v>0.4406452752864029</v>
      </c>
      <c r="K126" s="10">
        <f t="shared" si="23"/>
        <v>0.11498252630285628</v>
      </c>
      <c r="L126" s="10">
        <f t="shared" si="24"/>
        <v>0.72930833712021514</v>
      </c>
      <c r="M126" s="10">
        <f t="shared" si="25"/>
        <v>0.99616823789811437</v>
      </c>
      <c r="N126" s="10">
        <f t="shared" si="26"/>
        <v>0.99279200315292815</v>
      </c>
      <c r="O126" s="10">
        <f t="shared" si="32"/>
        <v>7.1840931326172964E-3</v>
      </c>
      <c r="P126" s="10">
        <f t="shared" si="33"/>
        <v>0.33661855485395331</v>
      </c>
      <c r="Q126" s="10">
        <f t="shared" si="27"/>
        <v>8.6548175931340024E-2</v>
      </c>
      <c r="S126" s="5">
        <f t="shared" si="28"/>
        <v>0.27946171927355939</v>
      </c>
      <c r="T126" s="5">
        <f t="shared" si="29"/>
        <v>7.2923088681997317E-2</v>
      </c>
      <c r="U126" s="5">
        <f t="shared" si="30"/>
        <v>0.21348691420263949</v>
      </c>
    </row>
    <row r="127" spans="1:21">
      <c r="A127" s="19">
        <f t="shared" si="31"/>
        <v>9.4166666666666643</v>
      </c>
      <c r="B127" s="10">
        <f t="shared" si="17"/>
        <v>0.55162283814725832</v>
      </c>
      <c r="C127" s="10">
        <f t="shared" si="19"/>
        <v>0.63163681325046361</v>
      </c>
      <c r="D127" s="10">
        <f t="shared" si="20"/>
        <v>0.34842529160351055</v>
      </c>
      <c r="H127" s="19">
        <f t="shared" si="18"/>
        <v>9.4166666666666643</v>
      </c>
      <c r="I127" s="10">
        <f t="shared" si="21"/>
        <v>0.7908432096553667</v>
      </c>
      <c r="J127" s="10">
        <f t="shared" si="22"/>
        <v>0.43624717583958061</v>
      </c>
      <c r="K127" s="10">
        <f t="shared" si="23"/>
        <v>0.11537566230767769</v>
      </c>
      <c r="L127" s="10">
        <f t="shared" si="24"/>
        <v>0.72651380107344865</v>
      </c>
      <c r="M127" s="10">
        <f t="shared" si="25"/>
        <v>0.99614606404450134</v>
      </c>
      <c r="N127" s="10">
        <f t="shared" si="26"/>
        <v>0.99274863976513961</v>
      </c>
      <c r="O127" s="10">
        <f t="shared" si="32"/>
        <v>7.2271751203241644E-3</v>
      </c>
      <c r="P127" s="10">
        <f t="shared" si="33"/>
        <v>0.33849434932877775</v>
      </c>
      <c r="Q127" s="10">
        <f t="shared" si="27"/>
        <v>8.7070748154642719E-2</v>
      </c>
      <c r="S127" s="5">
        <f t="shared" si="28"/>
        <v>0.27554977593682733</v>
      </c>
      <c r="T127" s="5">
        <f t="shared" si="29"/>
        <v>7.2875515666683169E-2</v>
      </c>
      <c r="U127" s="5">
        <f t="shared" si="30"/>
        <v>0.2138054921133184</v>
      </c>
    </row>
    <row r="128" spans="1:21">
      <c r="A128" s="19">
        <f t="shared" si="31"/>
        <v>9.4999999999999982</v>
      </c>
      <c r="B128" s="10">
        <f t="shared" si="17"/>
        <v>0.54762282223407643</v>
      </c>
      <c r="C128" s="10">
        <f t="shared" si="19"/>
        <v>0.62907388836022315</v>
      </c>
      <c r="D128" s="10">
        <f t="shared" si="20"/>
        <v>0.34449521813758971</v>
      </c>
      <c r="H128" s="19">
        <f t="shared" si="18"/>
        <v>9.4999999999999982</v>
      </c>
      <c r="I128" s="10">
        <f t="shared" si="21"/>
        <v>0.78862180759271794</v>
      </c>
      <c r="J128" s="10">
        <f t="shared" si="22"/>
        <v>0.43186729994926298</v>
      </c>
      <c r="K128" s="10">
        <f t="shared" si="23"/>
        <v>0.11575552228481344</v>
      </c>
      <c r="L128" s="10">
        <f t="shared" si="24"/>
        <v>0.72371386341332566</v>
      </c>
      <c r="M128" s="10">
        <f t="shared" si="25"/>
        <v>0.99612376184415008</v>
      </c>
      <c r="N128" s="10">
        <f t="shared" si="26"/>
        <v>0.99270501616042761</v>
      </c>
      <c r="O128" s="10">
        <f t="shared" si="32"/>
        <v>7.2705140151094957E-3</v>
      </c>
      <c r="P128" s="10">
        <f t="shared" si="33"/>
        <v>0.34034264852070595</v>
      </c>
      <c r="Q128" s="10">
        <f t="shared" si="27"/>
        <v>8.7596479284719614E-2</v>
      </c>
      <c r="S128" s="5">
        <f t="shared" si="28"/>
        <v>0.27167644163471366</v>
      </c>
      <c r="T128" s="5">
        <f t="shared" si="29"/>
        <v>7.2818776502876048E-2</v>
      </c>
      <c r="U128" s="5">
        <f t="shared" si="30"/>
        <v>0.21410067327973725</v>
      </c>
    </row>
    <row r="129" spans="1:21">
      <c r="A129" s="19">
        <f t="shared" si="31"/>
        <v>9.5833333333333321</v>
      </c>
      <c r="B129" s="10">
        <f t="shared" si="17"/>
        <v>0.54362792259569781</v>
      </c>
      <c r="C129" s="10">
        <f t="shared" si="19"/>
        <v>0.626521362775177</v>
      </c>
      <c r="D129" s="10">
        <f t="shared" si="20"/>
        <v>0.34059450690729504</v>
      </c>
      <c r="H129" s="19">
        <f t="shared" si="18"/>
        <v>9.5833333333333321</v>
      </c>
      <c r="I129" s="10">
        <f t="shared" si="21"/>
        <v>0.7863941751432314</v>
      </c>
      <c r="J129" s="10">
        <f t="shared" si="22"/>
        <v>0.42750583177447221</v>
      </c>
      <c r="K129" s="10">
        <f t="shared" si="23"/>
        <v>0.11612209082122558</v>
      </c>
      <c r="L129" s="10">
        <f t="shared" si="24"/>
        <v>0.7209085761220454</v>
      </c>
      <c r="M129" s="10">
        <f t="shared" si="25"/>
        <v>0.99610133055707262</v>
      </c>
      <c r="N129" s="10">
        <f t="shared" si="26"/>
        <v>0.99266113078889251</v>
      </c>
      <c r="O129" s="10">
        <f t="shared" si="32"/>
        <v>7.3141113280208447E-3</v>
      </c>
      <c r="P129" s="10">
        <f t="shared" si="33"/>
        <v>0.34216329661739558</v>
      </c>
      <c r="Q129" s="10">
        <f t="shared" si="27"/>
        <v>8.8125388416906356E-2</v>
      </c>
      <c r="S129" s="5">
        <f t="shared" si="28"/>
        <v>0.26784153631767788</v>
      </c>
      <c r="T129" s="5">
        <f t="shared" si="29"/>
        <v>7.2752970589617133E-2</v>
      </c>
      <c r="U129" s="5">
        <f t="shared" si="30"/>
        <v>0.2143726148883778</v>
      </c>
    </row>
    <row r="130" spans="1:21">
      <c r="A130" s="19">
        <f t="shared" si="31"/>
        <v>9.6666666666666661</v>
      </c>
      <c r="B130" s="10">
        <f t="shared" si="17"/>
        <v>0.5396383083722619</v>
      </c>
      <c r="C130" s="10">
        <f t="shared" si="19"/>
        <v>0.62397919429918092</v>
      </c>
      <c r="D130" s="10">
        <f t="shared" si="20"/>
        <v>0.33672307687109693</v>
      </c>
      <c r="H130" s="19">
        <f t="shared" si="18"/>
        <v>9.6666666666666661</v>
      </c>
      <c r="I130" s="10">
        <f t="shared" si="21"/>
        <v>0.78416033014669884</v>
      </c>
      <c r="J130" s="10">
        <f t="shared" si="22"/>
        <v>0.42316295405299897</v>
      </c>
      <c r="K130" s="10">
        <f t="shared" si="23"/>
        <v>0.11647535431926294</v>
      </c>
      <c r="L130" s="10">
        <f t="shared" si="24"/>
        <v>0.71809799188517409</v>
      </c>
      <c r="M130" s="10">
        <f t="shared" si="25"/>
        <v>0.99607876943905027</v>
      </c>
      <c r="N130" s="10">
        <f t="shared" si="26"/>
        <v>0.99261698209154581</v>
      </c>
      <c r="O130" s="10">
        <f t="shared" si="32"/>
        <v>7.3579685787418664E-3</v>
      </c>
      <c r="P130" s="10">
        <f t="shared" si="33"/>
        <v>0.3439561402753587</v>
      </c>
      <c r="Q130" s="10">
        <f t="shared" si="27"/>
        <v>8.8657494761968395E-2</v>
      </c>
      <c r="S130" s="5">
        <f t="shared" si="28"/>
        <v>0.26404487912725161</v>
      </c>
      <c r="T130" s="5">
        <f t="shared" si="29"/>
        <v>7.2678197743845305E-2</v>
      </c>
      <c r="U130" s="5">
        <f t="shared" si="30"/>
        <v>0.21462147528327438</v>
      </c>
    </row>
    <row r="131" spans="1:21">
      <c r="A131" s="19">
        <f t="shared" si="31"/>
        <v>9.75</v>
      </c>
      <c r="B131" s="10">
        <f t="shared" si="17"/>
        <v>0.53565414907746156</v>
      </c>
      <c r="C131" s="10">
        <f t="shared" si="19"/>
        <v>0.62144734090730558</v>
      </c>
      <c r="D131" s="10">
        <f t="shared" si="20"/>
        <v>0.33288084659015393</v>
      </c>
      <c r="H131" s="19">
        <f t="shared" si="18"/>
        <v>9.75</v>
      </c>
      <c r="I131" s="10">
        <f t="shared" si="21"/>
        <v>0.78192029089193493</v>
      </c>
      <c r="J131" s="10">
        <f t="shared" si="22"/>
        <v>0.41883884806412064</v>
      </c>
      <c r="K131" s="10">
        <f t="shared" si="23"/>
        <v>0.11681530101334094</v>
      </c>
      <c r="L131" s="10">
        <f t="shared" si="24"/>
        <v>0.71528216409363732</v>
      </c>
      <c r="M131" s="10">
        <f t="shared" si="25"/>
        <v>0.99605607774160621</v>
      </c>
      <c r="N131" s="10">
        <f t="shared" si="26"/>
        <v>0.99257256850025577</v>
      </c>
      <c r="O131" s="10">
        <f t="shared" si="32"/>
        <v>7.4020872956386107E-3</v>
      </c>
      <c r="P131" s="10">
        <f t="shared" si="33"/>
        <v>0.34572102866609422</v>
      </c>
      <c r="Q131" s="10">
        <f t="shared" si="27"/>
        <v>8.919281764679865E-2</v>
      </c>
      <c r="S131" s="5">
        <f t="shared" si="28"/>
        <v>0.26028628839812673</v>
      </c>
      <c r="T131" s="5">
        <f t="shared" si="29"/>
        <v>7.2594558192027203E-2</v>
      </c>
      <c r="U131" s="5">
        <f t="shared" si="30"/>
        <v>0.21484741396028262</v>
      </c>
    </row>
    <row r="132" spans="1:21">
      <c r="A132" s="19">
        <f t="shared" si="31"/>
        <v>9.8333333333333339</v>
      </c>
      <c r="B132" s="10">
        <f t="shared" si="17"/>
        <v>0.5316756145776349</v>
      </c>
      <c r="C132" s="10">
        <f t="shared" si="19"/>
        <v>0.61892576074514116</v>
      </c>
      <c r="D132" s="10">
        <f t="shared" si="20"/>
        <v>0.32906773422210317</v>
      </c>
      <c r="H132" s="19">
        <f t="shared" si="18"/>
        <v>9.8333333333333339</v>
      </c>
      <c r="I132" s="10">
        <f t="shared" si="21"/>
        <v>0.77967407611997319</v>
      </c>
      <c r="J132" s="10">
        <f t="shared" si="22"/>
        <v>0.41453369359133646</v>
      </c>
      <c r="K132" s="10">
        <f t="shared" si="23"/>
        <v>0.11714192098629846</v>
      </c>
      <c r="L132" s="10">
        <f t="shared" si="24"/>
        <v>0.71246114684563633</v>
      </c>
      <c r="M132" s="10">
        <f t="shared" si="25"/>
        <v>0.99603325471198512</v>
      </c>
      <c r="N132" s="10">
        <f t="shared" si="26"/>
        <v>0.99252788843769701</v>
      </c>
      <c r="O132" s="10">
        <f t="shared" si="32"/>
        <v>7.4464690158060967E-3</v>
      </c>
      <c r="P132" s="10">
        <f t="shared" si="33"/>
        <v>0.34745781352211852</v>
      </c>
      <c r="Q132" s="10">
        <f t="shared" si="27"/>
        <v>8.9731376515119463E-2</v>
      </c>
      <c r="S132" s="5">
        <f t="shared" si="28"/>
        <v>0.25656558166051119</v>
      </c>
      <c r="T132" s="5">
        <f t="shared" si="29"/>
        <v>7.2502152561591995E-2</v>
      </c>
      <c r="U132" s="5">
        <f t="shared" si="30"/>
        <v>0.2150505915610206</v>
      </c>
    </row>
    <row r="133" spans="1:21">
      <c r="A133" s="19">
        <f t="shared" si="31"/>
        <v>9.9166666666666679</v>
      </c>
      <c r="B133" s="10">
        <f t="shared" si="17"/>
        <v>0.5277028750705548</v>
      </c>
      <c r="C133" s="10">
        <f t="shared" si="19"/>
        <v>0.61641441212810644</v>
      </c>
      <c r="D133" s="10">
        <f t="shared" si="20"/>
        <v>0.3252836575149276</v>
      </c>
      <c r="H133" s="19">
        <f t="shared" si="18"/>
        <v>9.9166666666666679</v>
      </c>
      <c r="I133" s="10">
        <f t="shared" si="21"/>
        <v>0.77742170502725128</v>
      </c>
      <c r="J133" s="10">
        <f t="shared" si="22"/>
        <v>0.41024766888513331</v>
      </c>
      <c r="K133" s="10">
        <f t="shared" si="23"/>
        <v>0.11745520618542152</v>
      </c>
      <c r="L133" s="10">
        <f t="shared" si="24"/>
        <v>0.70963499494849269</v>
      </c>
      <c r="M133" s="10">
        <f t="shared" si="25"/>
        <v>0.9960102995931257</v>
      </c>
      <c r="N133" s="10">
        <f t="shared" si="26"/>
        <v>0.99248294031729778</v>
      </c>
      <c r="O133" s="10">
        <f t="shared" si="32"/>
        <v>7.4911152851149937E-3</v>
      </c>
      <c r="P133" s="10">
        <f t="shared" si="33"/>
        <v>0.34916634918288125</v>
      </c>
      <c r="Q133" s="10">
        <f t="shared" si="27"/>
        <v>9.0273190928189265E-2</v>
      </c>
      <c r="S133" s="5">
        <f t="shared" si="28"/>
        <v>0.25288257564275551</v>
      </c>
      <c r="T133" s="5">
        <f t="shared" si="29"/>
        <v>7.2401081872172132E-2</v>
      </c>
      <c r="U133" s="5">
        <f t="shared" si="30"/>
        <v>0.21523116986648289</v>
      </c>
    </row>
    <row r="134" spans="1:21">
      <c r="A134" s="19">
        <f t="shared" si="31"/>
        <v>10.000000000000002</v>
      </c>
      <c r="B134" s="10">
        <f t="shared" si="17"/>
        <v>0.52373610106391588</v>
      </c>
      <c r="C134" s="10">
        <f t="shared" si="19"/>
        <v>0.6139132535407591</v>
      </c>
      <c r="D134" s="10">
        <f t="shared" si="20"/>
        <v>0.32152853380090041</v>
      </c>
      <c r="H134" s="19">
        <f t="shared" si="18"/>
        <v>10.000000000000002</v>
      </c>
      <c r="I134" s="10">
        <f t="shared" si="21"/>
        <v>0.77516319726878335</v>
      </c>
      <c r="J134" s="10">
        <f t="shared" si="22"/>
        <v>0.4059809506257917</v>
      </c>
      <c r="K134" s="10">
        <f t="shared" si="23"/>
        <v>0.11775515043812419</v>
      </c>
      <c r="L134" s="10">
        <f t="shared" si="24"/>
        <v>0.70680376392041444</v>
      </c>
      <c r="M134" s="10">
        <f t="shared" si="25"/>
        <v>0.99598721162363912</v>
      </c>
      <c r="N134" s="10">
        <f t="shared" si="26"/>
        <v>0.99243772254318696</v>
      </c>
      <c r="O134" s="10">
        <f t="shared" si="32"/>
        <v>7.5360276582585959E-3</v>
      </c>
      <c r="P134" s="10">
        <f t="shared" si="33"/>
        <v>0.35084649264054768</v>
      </c>
      <c r="Q134" s="10">
        <f t="shared" si="27"/>
        <v>9.0818280565512249E-2</v>
      </c>
      <c r="S134" s="5">
        <f t="shared" si="28"/>
        <v>0.24923708627425006</v>
      </c>
      <c r="T134" s="5">
        <f t="shared" si="29"/>
        <v>7.2291447526650371E-2</v>
      </c>
      <c r="U134" s="5">
        <f t="shared" si="30"/>
        <v>0.21538931179032261</v>
      </c>
    </row>
    <row r="135" spans="1:21">
      <c r="A135" s="19">
        <f t="shared" si="31"/>
        <v>10.083333333333336</v>
      </c>
      <c r="B135" s="10">
        <f t="shared" si="17"/>
        <v>0.51977546335352109</v>
      </c>
      <c r="C135" s="10">
        <f t="shared" si="19"/>
        <v>0.61142224363610964</v>
      </c>
      <c r="D135" s="10">
        <f t="shared" si="20"/>
        <v>0.31780227999060834</v>
      </c>
      <c r="H135" s="19">
        <f t="shared" si="18"/>
        <v>10.083333333333336</v>
      </c>
      <c r="I135" s="10">
        <f t="shared" si="21"/>
        <v>0.7728985729613207</v>
      </c>
      <c r="J135" s="10">
        <f t="shared" si="22"/>
        <v>0.40173371388624568</v>
      </c>
      <c r="K135" s="10">
        <f t="shared" si="23"/>
        <v>0.1180417494672754</v>
      </c>
      <c r="L135" s="10">
        <f t="shared" si="24"/>
        <v>0.70396750999218649</v>
      </c>
      <c r="M135" s="10">
        <f t="shared" si="25"/>
        <v>0.99596399003778413</v>
      </c>
      <c r="N135" s="10">
        <f t="shared" si="26"/>
        <v>0.99239223351014516</v>
      </c>
      <c r="O135" s="10">
        <f t="shared" si="32"/>
        <v>7.5812076988000113E-3</v>
      </c>
      <c r="P135" s="10">
        <f t="shared" si="33"/>
        <v>0.35249810358563477</v>
      </c>
      <c r="Q135" s="10">
        <f t="shared" si="27"/>
        <v>9.1366665225553687E-2</v>
      </c>
      <c r="S135" s="5">
        <f t="shared" si="28"/>
        <v>0.24562892868859526</v>
      </c>
      <c r="T135" s="5">
        <f t="shared" si="29"/>
        <v>7.2173351302013078E-2</v>
      </c>
      <c r="U135" s="5">
        <f t="shared" si="30"/>
        <v>0.2155251813718026</v>
      </c>
    </row>
    <row r="136" spans="1:21">
      <c r="A136" s="19">
        <f t="shared" si="31"/>
        <v>10.16666666666667</v>
      </c>
      <c r="B136" s="10">
        <f t="shared" si="17"/>
        <v>0.51582113300117138</v>
      </c>
      <c r="C136" s="10">
        <f t="shared" si="19"/>
        <v>0.60894134123493759</v>
      </c>
      <c r="D136" s="10">
        <f t="shared" si="20"/>
        <v>0.31410481256705841</v>
      </c>
      <c r="H136" s="19">
        <f t="shared" si="18"/>
        <v>10.16666666666667</v>
      </c>
      <c r="I136" s="10">
        <f t="shared" si="21"/>
        <v>0.77062785268649958</v>
      </c>
      <c r="J136" s="10">
        <f t="shared" si="22"/>
        <v>0.39750613209501001</v>
      </c>
      <c r="K136" s="10">
        <f t="shared" si="23"/>
        <v>0.11831500090616137</v>
      </c>
      <c r="L136" s="10">
        <f t="shared" si="24"/>
        <v>0.70112629010878169</v>
      </c>
      <c r="M136" s="10">
        <f t="shared" si="25"/>
        <v>0.99594063406544064</v>
      </c>
      <c r="N136" s="10">
        <f t="shared" si="26"/>
        <v>0.99234647160354428</v>
      </c>
      <c r="O136" s="10">
        <f t="shared" si="32"/>
        <v>7.626656979219504E-3</v>
      </c>
      <c r="P136" s="10">
        <f t="shared" si="33"/>
        <v>0.35412104445248288</v>
      </c>
      <c r="Q136" s="10">
        <f t="shared" si="27"/>
        <v>9.1918364826459223E-2</v>
      </c>
      <c r="S136" s="5">
        <f t="shared" si="28"/>
        <v>0.24205791722704767</v>
      </c>
      <c r="T136" s="5">
        <f t="shared" si="29"/>
        <v>7.2046895340010769E-2</v>
      </c>
      <c r="U136" s="5">
        <f t="shared" si="30"/>
        <v>0.21563894376841189</v>
      </c>
    </row>
    <row r="137" spans="1:21">
      <c r="A137" s="19">
        <f t="shared" si="31"/>
        <v>10.250000000000004</v>
      </c>
      <c r="B137" s="10">
        <f t="shared" si="17"/>
        <v>0.51187328131225496</v>
      </c>
      <c r="C137" s="10">
        <f t="shared" si="19"/>
        <v>0.60647050532511126</v>
      </c>
      <c r="D137" s="10">
        <f t="shared" si="20"/>
        <v>0.31043604757986609</v>
      </c>
      <c r="H137" s="19">
        <f t="shared" si="18"/>
        <v>10.250000000000004</v>
      </c>
      <c r="I137" s="10">
        <f t="shared" si="21"/>
        <v>0.76835105749397459</v>
      </c>
      <c r="J137" s="10">
        <f t="shared" si="22"/>
        <v>0.39329837699918185</v>
      </c>
      <c r="K137" s="10">
        <f t="shared" si="23"/>
        <v>0.11857490431307312</v>
      </c>
      <c r="L137" s="10">
        <f t="shared" si="24"/>
        <v>0.69828016193089015</v>
      </c>
      <c r="M137" s="10">
        <f t="shared" si="25"/>
        <v>0.99591714293208755</v>
      </c>
      <c r="N137" s="10">
        <f t="shared" si="26"/>
        <v>0.99230043519930267</v>
      </c>
      <c r="O137" s="10">
        <f t="shared" si="32"/>
        <v>7.6723770809620957E-3</v>
      </c>
      <c r="P137" s="10">
        <f t="shared" si="33"/>
        <v>0.35571518046454681</v>
      </c>
      <c r="Q137" s="10">
        <f t="shared" si="27"/>
        <v>9.2473399406778067E-2</v>
      </c>
      <c r="S137" s="5">
        <f t="shared" si="28"/>
        <v>0.23852386544223994</v>
      </c>
      <c r="T137" s="5">
        <f t="shared" si="29"/>
        <v>7.1912182137626166E-2</v>
      </c>
      <c r="U137" s="5">
        <f t="shared" si="30"/>
        <v>0.21573076524814686</v>
      </c>
    </row>
    <row r="138" spans="1:21">
      <c r="A138" s="19">
        <f t="shared" si="31"/>
        <v>10.333333333333337</v>
      </c>
      <c r="B138" s="10">
        <f t="shared" si="17"/>
        <v>0.50793207981304567</v>
      </c>
      <c r="C138" s="10">
        <f t="shared" si="19"/>
        <v>0.6040096950609094</v>
      </c>
      <c r="D138" s="10">
        <f t="shared" si="20"/>
        <v>0.30679590063953122</v>
      </c>
      <c r="H138" s="19">
        <f t="shared" si="18"/>
        <v>10.333333333333337</v>
      </c>
      <c r="I138" s="10">
        <f t="shared" si="21"/>
        <v>0.7660682089045372</v>
      </c>
      <c r="J138" s="10">
        <f t="shared" si="22"/>
        <v>0.38911061862753632</v>
      </c>
      <c r="K138" s="10">
        <f t="shared" si="23"/>
        <v>0.11882146118550933</v>
      </c>
      <c r="L138" s="10">
        <f t="shared" si="24"/>
        <v>0.69542918383636754</v>
      </c>
      <c r="M138" s="10">
        <f t="shared" si="25"/>
        <v>0.9958935158587775</v>
      </c>
      <c r="N138" s="10">
        <f t="shared" si="26"/>
        <v>0.99225412266382484</v>
      </c>
      <c r="O138" s="10">
        <f t="shared" si="32"/>
        <v>7.7183695944853638E-3</v>
      </c>
      <c r="P138" s="10">
        <f t="shared" si="33"/>
        <v>0.3572803796794915</v>
      </c>
      <c r="Q138" s="10">
        <f t="shared" si="27"/>
        <v>9.3031789126190603E-2</v>
      </c>
      <c r="S138" s="5">
        <f t="shared" si="28"/>
        <v>0.23502658610218002</v>
      </c>
      <c r="T138" s="5">
        <f t="shared" si="29"/>
        <v>7.1769314537351178E-2</v>
      </c>
      <c r="U138" s="5">
        <f t="shared" si="30"/>
        <v>0.21580081318145558</v>
      </c>
    </row>
    <row r="139" spans="1:21">
      <c r="A139" s="19">
        <f t="shared" si="31"/>
        <v>10.416666666666671</v>
      </c>
      <c r="B139" s="10">
        <f t="shared" si="17"/>
        <v>0.50399770022770551</v>
      </c>
      <c r="C139" s="10">
        <f t="shared" si="19"/>
        <v>0.60155886976234607</v>
      </c>
      <c r="D139" s="10">
        <f t="shared" si="20"/>
        <v>0.30318428691180022</v>
      </c>
      <c r="H139" s="19">
        <f t="shared" si="18"/>
        <v>10.416666666666671</v>
      </c>
      <c r="I139" s="10">
        <f t="shared" si="21"/>
        <v>0.76377932891322076</v>
      </c>
      <c r="J139" s="10">
        <f t="shared" si="22"/>
        <v>0.38494302525372354</v>
      </c>
      <c r="K139" s="10">
        <f t="shared" si="23"/>
        <v>0.11905467497398199</v>
      </c>
      <c r="L139" s="10">
        <f t="shared" si="24"/>
        <v>0.69257341492160018</v>
      </c>
      <c r="M139" s="10">
        <f t="shared" si="25"/>
        <v>0.99586975206211092</v>
      </c>
      <c r="N139" s="10">
        <f t="shared" si="26"/>
        <v>0.99220753235395309</v>
      </c>
      <c r="O139" s="10">
        <f t="shared" si="32"/>
        <v>7.7646361193074616E-3</v>
      </c>
      <c r="P139" s="10">
        <f t="shared" si="33"/>
        <v>0.35881651303407391</v>
      </c>
      <c r="Q139" s="10">
        <f t="shared" si="27"/>
        <v>9.3593554266240997E-2</v>
      </c>
      <c r="S139" s="5">
        <f t="shared" si="28"/>
        <v>0.23156589119452817</v>
      </c>
      <c r="T139" s="5">
        <f t="shared" si="29"/>
        <v>7.1618395717272076E-2</v>
      </c>
      <c r="U139" s="5">
        <f t="shared" si="30"/>
        <v>0.21584925603284363</v>
      </c>
    </row>
    <row r="140" spans="1:21">
      <c r="A140" s="19">
        <f t="shared" si="31"/>
        <v>10.500000000000005</v>
      </c>
      <c r="B140" s="10">
        <f t="shared" si="17"/>
        <v>0.50007031445499905</v>
      </c>
      <c r="C140" s="10">
        <f t="shared" si="19"/>
        <v>0.59911798891449797</v>
      </c>
      <c r="D140" s="10">
        <f t="shared" si="20"/>
        <v>0.29960112111211962</v>
      </c>
      <c r="H140" s="19">
        <f t="shared" si="18"/>
        <v>10.500000000000005</v>
      </c>
      <c r="I140" s="10">
        <f t="shared" si="21"/>
        <v>0.76148443999238724</v>
      </c>
      <c r="J140" s="10">
        <f t="shared" si="22"/>
        <v>0.38079576335958193</v>
      </c>
      <c r="K140" s="10">
        <f t="shared" si="23"/>
        <v>0.11927455109541711</v>
      </c>
      <c r="L140" s="10">
        <f t="shared" si="24"/>
        <v>0.68971291500278342</v>
      </c>
      <c r="M140" s="10">
        <f t="shared" si="25"/>
        <v>0.99584585075421161</v>
      </c>
      <c r="N140" s="10">
        <f t="shared" si="26"/>
        <v>0.99216066261690705</v>
      </c>
      <c r="O140" s="10">
        <f t="shared" si="32"/>
        <v>7.8111782640553438E-3</v>
      </c>
      <c r="P140" s="10">
        <f t="shared" si="33"/>
        <v>0.36032345438879493</v>
      </c>
      <c r="Q140" s="10">
        <f t="shared" si="27"/>
        <v>9.4158715231073567E-2</v>
      </c>
      <c r="S140" s="5">
        <f t="shared" si="28"/>
        <v>0.2281415919311538</v>
      </c>
      <c r="T140" s="5">
        <f t="shared" si="29"/>
        <v>7.1459529180965833E-2</v>
      </c>
      <c r="U140" s="5">
        <f t="shared" si="30"/>
        <v>0.21587626335213966</v>
      </c>
    </row>
    <row r="141" spans="1:21">
      <c r="A141" s="19">
        <f t="shared" si="31"/>
        <v>10.583333333333339</v>
      </c>
      <c r="B141" s="10">
        <f t="shared" si="17"/>
        <v>0.49615009454471692</v>
      </c>
      <c r="C141" s="10">
        <f t="shared" si="19"/>
        <v>0.59668701216683506</v>
      </c>
      <c r="D141" s="10">
        <f t="shared" si="20"/>
        <v>0.2960463175001799</v>
      </c>
      <c r="H141" s="19">
        <f t="shared" si="18"/>
        <v>10.583333333333339</v>
      </c>
      <c r="I141" s="10">
        <f t="shared" si="21"/>
        <v>0.75918356509479856</v>
      </c>
      <c r="J141" s="10">
        <f t="shared" si="22"/>
        <v>0.37666899759857958</v>
      </c>
      <c r="K141" s="10">
        <f t="shared" si="23"/>
        <v>0.11948109694613736</v>
      </c>
      <c r="L141" s="10">
        <f t="shared" si="24"/>
        <v>0.68684774461711406</v>
      </c>
      <c r="M141" s="10">
        <f t="shared" si="25"/>
        <v>0.99582181114270252</v>
      </c>
      <c r="N141" s="10">
        <f t="shared" si="26"/>
        <v>0.99211351179023732</v>
      </c>
      <c r="O141" s="10">
        <f t="shared" si="32"/>
        <v>7.8579976465132338E-3</v>
      </c>
      <c r="P141" s="10">
        <f t="shared" si="33"/>
        <v>0.36180108057230459</v>
      </c>
      <c r="Q141" s="10">
        <f t="shared" si="27"/>
        <v>9.4727292548174427E-2</v>
      </c>
      <c r="S141" s="5">
        <f t="shared" si="28"/>
        <v>0.22475349875297321</v>
      </c>
      <c r="T141" s="5">
        <f t="shared" si="29"/>
        <v>7.1292818747206665E-2</v>
      </c>
      <c r="U141" s="5">
        <f t="shared" si="30"/>
        <v>0.21588200576542077</v>
      </c>
    </row>
    <row r="142" spans="1:21">
      <c r="A142" s="19">
        <f t="shared" si="31"/>
        <v>10.666666666666673</v>
      </c>
      <c r="B142" s="10">
        <f t="shared" ref="B142:B205" si="34">(B$9^A142)*B$10^((B$7^65)*((B$7^A142)-1))</f>
        <v>0.49223721267381737</v>
      </c>
      <c r="C142" s="10">
        <f t="shared" si="19"/>
        <v>0.59426589933255303</v>
      </c>
      <c r="D142" s="10">
        <f t="shared" si="20"/>
        <v>0.29251978987455524</v>
      </c>
      <c r="H142" s="19">
        <f t="shared" ref="H142:H205" si="35">A142</f>
        <v>10.666666666666673</v>
      </c>
      <c r="I142" s="10">
        <f t="shared" si="21"/>
        <v>0.75687672765667124</v>
      </c>
      <c r="J142" s="10">
        <f t="shared" si="22"/>
        <v>0.37256289075939986</v>
      </c>
      <c r="K142" s="10">
        <f t="shared" si="23"/>
        <v>0.11967432191441754</v>
      </c>
      <c r="L142" s="10">
        <f t="shared" si="24"/>
        <v>0.68397796502389496</v>
      </c>
      <c r="M142" s="10">
        <f t="shared" si="25"/>
        <v>0.99579763243067843</v>
      </c>
      <c r="N142" s="10">
        <f t="shared" si="26"/>
        <v>0.99206607820176329</v>
      </c>
      <c r="O142" s="10">
        <f t="shared" si="32"/>
        <v>7.9050958936712386E-3</v>
      </c>
      <c r="P142" s="10">
        <f t="shared" si="33"/>
        <v>0.36324927142554331</v>
      </c>
      <c r="Q142" s="10">
        <f t="shared" si="27"/>
        <v>9.5299306869116029E-2</v>
      </c>
      <c r="S142" s="5">
        <f t="shared" si="28"/>
        <v>0.22140142133507046</v>
      </c>
      <c r="T142" s="5">
        <f t="shared" si="29"/>
        <v>7.1118368539484805E-2</v>
      </c>
      <c r="U142" s="5">
        <f t="shared" si="30"/>
        <v>0.21586665496559515</v>
      </c>
    </row>
    <row r="143" spans="1:21">
      <c r="A143" s="19">
        <f t="shared" si="31"/>
        <v>10.750000000000007</v>
      </c>
      <c r="B143" s="10">
        <f t="shared" si="34"/>
        <v>0.48833184112228128</v>
      </c>
      <c r="C143" s="10">
        <f t="shared" ref="C143:C206" si="36">(1+B$8)^-A143</f>
        <v>0.59185461038790987</v>
      </c>
      <c r="D143" s="10">
        <f t="shared" ref="D143:D206" si="37">B143*C143</f>
        <v>0.28902145156743847</v>
      </c>
      <c r="H143" s="19">
        <f t="shared" si="35"/>
        <v>10.750000000000007</v>
      </c>
      <c r="I143" s="10">
        <f t="shared" ref="I143:I206" si="38">(C$9^H143)*C$10^((C$7^63)*((C$7^H143)-1))</f>
        <v>0.75456395160071021</v>
      </c>
      <c r="J143" s="10">
        <f t="shared" ref="J143:J206" si="39">B143*I143</f>
        <v>0.36847760372967875</v>
      </c>
      <c r="K143" s="10">
        <f t="shared" ref="K143:K206" si="40">B143*(1-I143)</f>
        <v>0.11985423739260252</v>
      </c>
      <c r="L143" s="10">
        <f t="shared" ref="L143:L206" si="41">(D$9^H143)*D$10^((D$7^63)*((D$7^H143)-1))</f>
        <v>0.68110363820554798</v>
      </c>
      <c r="M143" s="10">
        <f t="shared" ref="M143:M206" si="42">L144/L143</f>
        <v>0.99577331381668321</v>
      </c>
      <c r="N143" s="10">
        <f t="shared" ref="N143:N206" si="43">B144/B143</f>
        <v>0.99201836016952327</v>
      </c>
      <c r="O143" s="10">
        <f t="shared" si="32"/>
        <v>7.9524746417742893E-3</v>
      </c>
      <c r="P143" s="10">
        <f t="shared" si="33"/>
        <v>0.36466790984560132</v>
      </c>
      <c r="Q143" s="10">
        <f t="shared" ref="Q143:Q206" si="44">0.0001+0.0004*(1.075^(65+H143))</f>
        <v>9.587477897030855E-2</v>
      </c>
      <c r="S143" s="5">
        <f t="shared" ref="S143:S206" si="45">C143*J143</f>
        <v>0.21808516859209967</v>
      </c>
      <c r="T143" s="5">
        <f t="shared" ref="T143:T206" si="46">C143*K143</f>
        <v>7.0936282975338827E-2</v>
      </c>
      <c r="U143" s="5">
        <f t="shared" ref="U143:U206" si="47">C143*P143</f>
        <v>0.21583038370264182</v>
      </c>
    </row>
    <row r="144" spans="1:21">
      <c r="A144" s="19">
        <f t="shared" ref="A144:A207" si="48">A143+1/12</f>
        <v>10.833333333333341</v>
      </c>
      <c r="B144" s="10">
        <f t="shared" si="34"/>
        <v>0.48443415224868963</v>
      </c>
      <c r="C144" s="10">
        <f t="shared" si="36"/>
        <v>0.58945310547156271</v>
      </c>
      <c r="D144" s="10">
        <f t="shared" si="37"/>
        <v>0.28555121543947393</v>
      </c>
      <c r="H144" s="19">
        <f t="shared" si="35"/>
        <v>10.833333333333341</v>
      </c>
      <c r="I144" s="10">
        <f t="shared" si="38"/>
        <v>0.75224526133912661</v>
      </c>
      <c r="J144" s="10">
        <f t="shared" si="39"/>
        <v>0.3644132954599138</v>
      </c>
      <c r="K144" s="10">
        <f t="shared" si="40"/>
        <v>0.12002085678877585</v>
      </c>
      <c r="L144" s="10">
        <f t="shared" si="41"/>
        <v>0.6782248268685378</v>
      </c>
      <c r="M144" s="10">
        <f t="shared" si="42"/>
        <v>0.99574885449468176</v>
      </c>
      <c r="N144" s="10">
        <f t="shared" si="43"/>
        <v>0.99197035600171579</v>
      </c>
      <c r="O144" s="10">
        <f t="shared" ref="O144:O207" si="49">(1/24)*(Q144*M144+(J145/J144)*Q145)</f>
        <v>8.0001355363711734E-3</v>
      </c>
      <c r="P144" s="10">
        <f t="shared" ref="P144:P207" si="50">P143*M143+J143*O143</f>
        <v>0.36605688182927992</v>
      </c>
      <c r="Q144" s="10">
        <f t="shared" si="44"/>
        <v>9.645372975375352E-2</v>
      </c>
      <c r="S144" s="5">
        <f t="shared" si="45"/>
        <v>0.21480454868397231</v>
      </c>
      <c r="T144" s="5">
        <f t="shared" si="46"/>
        <v>7.0746666755501605E-2</v>
      </c>
      <c r="U144" s="5">
        <f t="shared" si="47"/>
        <v>0.21577336577350589</v>
      </c>
    </row>
    <row r="145" spans="1:21">
      <c r="A145" s="19">
        <f t="shared" si="48"/>
        <v>10.916666666666675</v>
      </c>
      <c r="B145" s="10">
        <f t="shared" si="34"/>
        <v>0.48054431846552204</v>
      </c>
      <c r="C145" s="10">
        <f t="shared" si="36"/>
        <v>0.5870613448839106</v>
      </c>
      <c r="D145" s="10">
        <f t="shared" si="37"/>
        <v>0.28210899387469157</v>
      </c>
      <c r="H145" s="19">
        <f t="shared" si="35"/>
        <v>10.916666666666675</v>
      </c>
      <c r="I145" s="10">
        <f t="shared" si="38"/>
        <v>0.74992068177663407</v>
      </c>
      <c r="J145" s="10">
        <f t="shared" si="39"/>
        <v>0.36037012292755227</v>
      </c>
      <c r="K145" s="10">
        <f t="shared" si="40"/>
        <v>0.12017419553796979</v>
      </c>
      <c r="L145" s="10">
        <f t="shared" si="41"/>
        <v>0.67534159444420039</v>
      </c>
      <c r="M145" s="10">
        <f t="shared" si="42"/>
        <v>0.99572425365403594</v>
      </c>
      <c r="N145" s="10">
        <f t="shared" si="43"/>
        <v>0.99192206399664795</v>
      </c>
      <c r="O145" s="10">
        <f t="shared" si="49"/>
        <v>8.0480802323638859E-3</v>
      </c>
      <c r="P145" s="10">
        <f t="shared" si="50"/>
        <v>0.36741607651633557</v>
      </c>
      <c r="Q145" s="10">
        <f t="shared" si="44"/>
        <v>9.7036180247803458E-2</v>
      </c>
      <c r="S145" s="5">
        <f t="shared" si="45"/>
        <v>0.21155936902182901</v>
      </c>
      <c r="T145" s="5">
        <f t="shared" si="46"/>
        <v>7.0549624852862591E-2</v>
      </c>
      <c r="U145" s="5">
        <f t="shared" si="47"/>
        <v>0.21569577601164977</v>
      </c>
    </row>
    <row r="146" spans="1:21">
      <c r="A146" s="19">
        <f t="shared" si="48"/>
        <v>11.000000000000009</v>
      </c>
      <c r="B146" s="10">
        <f t="shared" si="34"/>
        <v>0.4766625122141831</v>
      </c>
      <c r="C146" s="10">
        <f t="shared" si="36"/>
        <v>0.58467928908643696</v>
      </c>
      <c r="D146" s="10">
        <f t="shared" si="37"/>
        <v>0.27869469877554365</v>
      </c>
      <c r="H146" s="19">
        <f t="shared" si="35"/>
        <v>11.000000000000009</v>
      </c>
      <c r="I146" s="10">
        <f t="shared" si="38"/>
        <v>0.74759023831342442</v>
      </c>
      <c r="J146" s="10">
        <f t="shared" si="39"/>
        <v>0.35634824110127672</v>
      </c>
      <c r="K146" s="10">
        <f t="shared" si="40"/>
        <v>0.12031427111290638</v>
      </c>
      <c r="L146" s="10">
        <f t="shared" si="41"/>
        <v>0.67245400508947806</v>
      </c>
      <c r="M146" s="10">
        <f t="shared" si="42"/>
        <v>0.99569951047947736</v>
      </c>
      <c r="N146" s="10">
        <f t="shared" si="43"/>
        <v>0.99187348244267515</v>
      </c>
      <c r="O146" s="10">
        <f t="shared" si="49"/>
        <v>8.0963103940571296E-3</v>
      </c>
      <c r="P146" s="10">
        <f t="shared" si="50"/>
        <v>0.36874538623239017</v>
      </c>
      <c r="Q146" s="10">
        <f t="shared" si="44"/>
        <v>9.7622151607925589E-2</v>
      </c>
      <c r="S146" s="5">
        <f t="shared" si="45"/>
        <v>0.2083494362742967</v>
      </c>
      <c r="T146" s="5">
        <f t="shared" si="46"/>
        <v>7.0345262501246938E-2</v>
      </c>
      <c r="U146" s="5">
        <f t="shared" si="47"/>
        <v>0.2155977902762575</v>
      </c>
    </row>
    <row r="147" spans="1:21">
      <c r="A147" s="19">
        <f t="shared" si="48"/>
        <v>11.083333333333343</v>
      </c>
      <c r="B147" s="10">
        <f t="shared" si="34"/>
        <v>0.47278890593975598</v>
      </c>
      <c r="C147" s="10">
        <f t="shared" si="36"/>
        <v>0.58230689870105645</v>
      </c>
      <c r="D147" s="10">
        <f t="shared" si="37"/>
        <v>0.27530824155804479</v>
      </c>
      <c r="H147" s="19">
        <f t="shared" si="35"/>
        <v>11.083333333333343</v>
      </c>
      <c r="I147" s="10">
        <f t="shared" si="38"/>
        <v>0.7452539568481229</v>
      </c>
      <c r="J147" s="10">
        <f t="shared" si="39"/>
        <v>0.35234780290549816</v>
      </c>
      <c r="K147" s="10">
        <f t="shared" si="40"/>
        <v>0.12044110303425784</v>
      </c>
      <c r="L147" s="10">
        <f t="shared" si="41"/>
        <v>0.6695621236875573</v>
      </c>
      <c r="M147" s="10">
        <f t="shared" si="42"/>
        <v>0.99567462415108399</v>
      </c>
      <c r="N147" s="10">
        <f t="shared" si="43"/>
        <v>0.99182460961814822</v>
      </c>
      <c r="O147" s="10">
        <f t="shared" si="49"/>
        <v>8.1448276952080807E-3</v>
      </c>
      <c r="P147" s="10">
        <f t="shared" si="50"/>
        <v>0.37004470653148896</v>
      </c>
      <c r="Q147" s="10">
        <f t="shared" si="44"/>
        <v>9.8211665117470218E-2</v>
      </c>
      <c r="S147" s="5">
        <f t="shared" si="45"/>
        <v>0.20517455637403173</v>
      </c>
      <c r="T147" s="5">
        <f t="shared" si="46"/>
        <v>7.0133685184013084E-2</v>
      </c>
      <c r="U147" s="5">
        <f t="shared" si="47"/>
        <v>0.21547958544109391</v>
      </c>
    </row>
    <row r="148" spans="1:21">
      <c r="A148" s="19">
        <f t="shared" si="48"/>
        <v>11.166666666666677</v>
      </c>
      <c r="B148" s="10">
        <f t="shared" si="34"/>
        <v>0.46892367206548985</v>
      </c>
      <c r="C148" s="10">
        <f t="shared" si="36"/>
        <v>0.57994413450946414</v>
      </c>
      <c r="D148" s="10">
        <f t="shared" si="37"/>
        <v>0.27194953314702031</v>
      </c>
      <c r="H148" s="19">
        <f t="shared" si="35"/>
        <v>11.166666666666677</v>
      </c>
      <c r="I148" s="10">
        <f t="shared" si="38"/>
        <v>0.74291186378072116</v>
      </c>
      <c r="J148" s="10">
        <f t="shared" si="39"/>
        <v>0.34836895918507277</v>
      </c>
      <c r="K148" s="10">
        <f t="shared" si="40"/>
        <v>0.12055471288041709</v>
      </c>
      <c r="L148" s="10">
        <f t="shared" si="41"/>
        <v>0.66666601584841023</v>
      </c>
      <c r="M148" s="10">
        <f t="shared" si="42"/>
        <v>0.99564959384425045</v>
      </c>
      <c r="N148" s="10">
        <f t="shared" si="43"/>
        <v>0.99177544379135651</v>
      </c>
      <c r="O148" s="10">
        <f t="shared" si="49"/>
        <v>8.193633819076335E-3</v>
      </c>
      <c r="P148" s="10">
        <f t="shared" si="50"/>
        <v>0.3713139362382889</v>
      </c>
      <c r="Q148" s="10">
        <f t="shared" si="44"/>
        <v>9.8804742188443664E-2</v>
      </c>
      <c r="S148" s="5">
        <f t="shared" si="45"/>
        <v>0.20203453452454986</v>
      </c>
      <c r="T148" s="5">
        <f t="shared" si="46"/>
        <v>6.9914998622470442E-2</v>
      </c>
      <c r="U148" s="5">
        <f t="shared" si="47"/>
        <v>0.21534133938301681</v>
      </c>
    </row>
    <row r="149" spans="1:21">
      <c r="A149" s="19">
        <f t="shared" si="48"/>
        <v>11.250000000000011</v>
      </c>
      <c r="B149" s="10">
        <f t="shared" si="34"/>
        <v>0.4650669829670237</v>
      </c>
      <c r="C149" s="10">
        <f t="shared" si="36"/>
        <v>0.57759095745248679</v>
      </c>
      <c r="D149" s="10">
        <f t="shared" si="37"/>
        <v>0.2686184839714626</v>
      </c>
      <c r="H149" s="19">
        <f t="shared" si="35"/>
        <v>11.250000000000011</v>
      </c>
      <c r="I149" s="10">
        <f t="shared" si="38"/>
        <v>0.74056398601548545</v>
      </c>
      <c r="J149" s="10">
        <f t="shared" si="39"/>
        <v>0.34441185867025498</v>
      </c>
      <c r="K149" s="10">
        <f t="shared" si="40"/>
        <v>0.12065512429676875</v>
      </c>
      <c r="L149" s="10">
        <f t="shared" si="41"/>
        <v>0.66376574790923426</v>
      </c>
      <c r="M149" s="10">
        <f t="shared" si="42"/>
        <v>0.99562441872966512</v>
      </c>
      <c r="N149" s="10">
        <f t="shared" si="43"/>
        <v>0.99172598322047034</v>
      </c>
      <c r="O149" s="10">
        <f t="shared" si="49"/>
        <v>8.2427304584740957E-3</v>
      </c>
      <c r="P149" s="10">
        <f t="shared" si="50"/>
        <v>0.3725529774898575</v>
      </c>
      <c r="Q149" s="10">
        <f t="shared" si="44"/>
        <v>9.9401404362286505E-2</v>
      </c>
      <c r="S149" s="5">
        <f t="shared" si="45"/>
        <v>0.19892917520734313</v>
      </c>
      <c r="T149" s="5">
        <f t="shared" si="46"/>
        <v>6.9689308764119468E-2</v>
      </c>
      <c r="U149" s="5">
        <f t="shared" si="47"/>
        <v>0.21518323097014155</v>
      </c>
    </row>
    <row r="150" spans="1:21">
      <c r="A150" s="19">
        <f t="shared" si="48"/>
        <v>11.333333333333345</v>
      </c>
      <c r="B150" s="10">
        <f t="shared" si="34"/>
        <v>0.46121901094634932</v>
      </c>
      <c r="C150" s="10">
        <f t="shared" si="36"/>
        <v>0.57524732862943739</v>
      </c>
      <c r="D150" s="10">
        <f t="shared" si="37"/>
        <v>0.26531500395999869</v>
      </c>
      <c r="H150" s="19">
        <f t="shared" si="35"/>
        <v>11.333333333333345</v>
      </c>
      <c r="I150" s="10">
        <f t="shared" si="38"/>
        <v>0.73821035096384413</v>
      </c>
      <c r="J150" s="10">
        <f t="shared" si="39"/>
        <v>0.34047664794190158</v>
      </c>
      <c r="K150" s="10">
        <f t="shared" si="40"/>
        <v>0.12074236300444773</v>
      </c>
      <c r="L150" s="10">
        <f t="shared" si="41"/>
        <v>0.66086138693479279</v>
      </c>
      <c r="M150" s="10">
        <f t="shared" si="42"/>
        <v>0.99559909797328128</v>
      </c>
      <c r="N150" s="10">
        <f t="shared" si="43"/>
        <v>0.99167622615348383</v>
      </c>
      <c r="O150" s="10">
        <f t="shared" si="49"/>
        <v>8.2921193158165627E-3</v>
      </c>
      <c r="P150" s="10">
        <f t="shared" si="50"/>
        <v>0.37376173577706634</v>
      </c>
      <c r="Q150" s="10">
        <f t="shared" si="44"/>
        <v>0.1000016733106549</v>
      </c>
      <c r="S150" s="5">
        <f t="shared" si="45"/>
        <v>0.19585828218928431</v>
      </c>
      <c r="T150" s="5">
        <f t="shared" si="46"/>
        <v>6.9456721770714366E-2</v>
      </c>
      <c r="U150" s="5">
        <f t="shared" si="47"/>
        <v>0.21500544004965902</v>
      </c>
    </row>
    <row r="151" spans="1:21">
      <c r="A151" s="19">
        <f t="shared" si="48"/>
        <v>11.416666666666679</v>
      </c>
      <c r="B151" s="10">
        <f t="shared" si="34"/>
        <v>0.45737992820551804</v>
      </c>
      <c r="C151" s="10">
        <f t="shared" si="36"/>
        <v>0.57291320929747225</v>
      </c>
      <c r="D151" s="10">
        <f t="shared" si="37"/>
        <v>0.26203900253647078</v>
      </c>
      <c r="H151" s="19">
        <f t="shared" si="35"/>
        <v>11.416666666666679</v>
      </c>
      <c r="I151" s="10">
        <f t="shared" si="38"/>
        <v>0.73585098654724834</v>
      </c>
      <c r="J151" s="10">
        <f t="shared" si="39"/>
        <v>0.33656347139694004</v>
      </c>
      <c r="K151" s="10">
        <f t="shared" si="40"/>
        <v>0.12081645680857797</v>
      </c>
      <c r="L151" s="10">
        <f t="shared" si="41"/>
        <v>0.65795300071765128</v>
      </c>
      <c r="M151" s="10">
        <f t="shared" si="42"/>
        <v>0.99557363073629213</v>
      </c>
      <c r="N151" s="10">
        <f t="shared" si="43"/>
        <v>0.99162617082815885</v>
      </c>
      <c r="O151" s="10">
        <f t="shared" si="49"/>
        <v>8.3418021031725492E-3</v>
      </c>
      <c r="P151" s="10">
        <f t="shared" si="50"/>
        <v>0.37494011998555865</v>
      </c>
      <c r="Q151" s="10">
        <f t="shared" si="44"/>
        <v>0.10060557083620916</v>
      </c>
      <c r="S151" s="5">
        <f t="shared" si="45"/>
        <v>0.19282165853031893</v>
      </c>
      <c r="T151" s="5">
        <f t="shared" si="46"/>
        <v>6.9217344006151843E-2</v>
      </c>
      <c r="U151" s="5">
        <f t="shared" si="47"/>
        <v>0.21480814743530571</v>
      </c>
    </row>
    <row r="152" spans="1:21">
      <c r="A152" s="19">
        <f t="shared" si="48"/>
        <v>11.500000000000012</v>
      </c>
      <c r="B152" s="10">
        <f t="shared" si="34"/>
        <v>0.45354990682009605</v>
      </c>
      <c r="C152" s="10">
        <f t="shared" si="36"/>
        <v>0.57058856087095022</v>
      </c>
      <c r="D152" s="10">
        <f t="shared" si="37"/>
        <v>0.25879038861563219</v>
      </c>
      <c r="H152" s="19">
        <f t="shared" si="35"/>
        <v>11.500000000000012</v>
      </c>
      <c r="I152" s="10">
        <f t="shared" si="38"/>
        <v>0.73348592120000677</v>
      </c>
      <c r="J152" s="10">
        <f t="shared" si="39"/>
        <v>0.33267247121411536</v>
      </c>
      <c r="K152" s="10">
        <f t="shared" si="40"/>
        <v>0.12087743560598066</v>
      </c>
      <c r="L152" s="10">
        <f t="shared" si="41"/>
        <v>0.65504065777831033</v>
      </c>
      <c r="M152" s="10">
        <f t="shared" si="42"/>
        <v>0.99554801617510347</v>
      </c>
      <c r="N152" s="10">
        <f t="shared" si="43"/>
        <v>0.99157581547196683</v>
      </c>
      <c r="O152" s="10">
        <f t="shared" si="49"/>
        <v>8.3917805423153226E-3</v>
      </c>
      <c r="P152" s="10">
        <f t="shared" si="50"/>
        <v>0.37608804243627364</v>
      </c>
      <c r="Q152" s="10">
        <f t="shared" si="44"/>
        <v>0.10121311887340419</v>
      </c>
      <c r="S152" s="5">
        <f t="shared" si="45"/>
        <v>0.18981910659144469</v>
      </c>
      <c r="T152" s="5">
        <f t="shared" si="46"/>
        <v>6.8971282024187466E-2</v>
      </c>
      <c r="U152" s="5">
        <f t="shared" si="47"/>
        <v>0.21459153489448624</v>
      </c>
    </row>
    <row r="153" spans="1:21">
      <c r="A153" s="19">
        <f t="shared" si="48"/>
        <v>11.583333333333346</v>
      </c>
      <c r="B153" s="10">
        <f t="shared" si="34"/>
        <v>0.44972911871237131</v>
      </c>
      <c r="C153" s="10">
        <f t="shared" si="36"/>
        <v>0.56827334492079495</v>
      </c>
      <c r="D153" s="10">
        <f t="shared" si="37"/>
        <v>0.2555690705989605</v>
      </c>
      <c r="H153" s="19">
        <f t="shared" si="35"/>
        <v>11.583333333333346</v>
      </c>
      <c r="I153" s="10">
        <f t="shared" si="38"/>
        <v>0.73111518387209606</v>
      </c>
      <c r="J153" s="10">
        <f t="shared" si="39"/>
        <v>0.32880378732003107</v>
      </c>
      <c r="K153" s="10">
        <f t="shared" si="40"/>
        <v>0.12092533139234024</v>
      </c>
      <c r="L153" s="10">
        <f t="shared" si="41"/>
        <v>0.65212442736523168</v>
      </c>
      <c r="M153" s="10">
        <f t="shared" si="42"/>
        <v>0.99552225344130718</v>
      </c>
      <c r="N153" s="10">
        <f t="shared" si="43"/>
        <v>0.99152515830203136</v>
      </c>
      <c r="O153" s="10">
        <f t="shared" si="49"/>
        <v>8.4420563647736729E-3</v>
      </c>
      <c r="P153" s="10">
        <f t="shared" si="50"/>
        <v>0.37720541892550896</v>
      </c>
      <c r="Q153" s="10">
        <f t="shared" si="44"/>
        <v>0.10182433948928751</v>
      </c>
      <c r="S153" s="5">
        <f t="shared" si="45"/>
        <v>0.18685042804297972</v>
      </c>
      <c r="T153" s="5">
        <f t="shared" si="46"/>
        <v>6.87186425559808E-2</v>
      </c>
      <c r="U153" s="5">
        <f t="shared" si="47"/>
        <v>0.21435578513504872</v>
      </c>
    </row>
    <row r="154" spans="1:21">
      <c r="A154" s="19">
        <f t="shared" si="48"/>
        <v>11.66666666666668</v>
      </c>
      <c r="B154" s="10">
        <f t="shared" si="34"/>
        <v>0.44591773562431702</v>
      </c>
      <c r="C154" s="10">
        <f t="shared" si="36"/>
        <v>0.5659675231738599</v>
      </c>
      <c r="D154" s="10">
        <f t="shared" si="37"/>
        <v>0.25237495637059076</v>
      </c>
      <c r="H154" s="19">
        <f t="shared" si="35"/>
        <v>11.66666666666668</v>
      </c>
      <c r="I154" s="10">
        <f t="shared" si="38"/>
        <v>0.72873880403194269</v>
      </c>
      <c r="J154" s="10">
        <f t="shared" si="39"/>
        <v>0.32495755735549681</v>
      </c>
      <c r="K154" s="10">
        <f t="shared" si="40"/>
        <v>0.12096017826882023</v>
      </c>
      <c r="L154" s="10">
        <f t="shared" si="41"/>
        <v>0.64920437945475751</v>
      </c>
      <c r="M154" s="10">
        <f t="shared" si="42"/>
        <v>0.99549634168165368</v>
      </c>
      <c r="N154" s="10">
        <f t="shared" si="43"/>
        <v>0.9914741975250686</v>
      </c>
      <c r="O154" s="10">
        <f t="shared" si="49"/>
        <v>8.49263131188315E-3</v>
      </c>
      <c r="P154" s="10">
        <f t="shared" si="50"/>
        <v>0.37829216876450178</v>
      </c>
      <c r="Q154" s="10">
        <f t="shared" si="44"/>
        <v>0.10243925488429982</v>
      </c>
      <c r="S154" s="5">
        <f t="shared" si="45"/>
        <v>0.18391542387311804</v>
      </c>
      <c r="T154" s="5">
        <f t="shared" si="46"/>
        <v>6.8459532497472733E-2</v>
      </c>
      <c r="U154" s="5">
        <f t="shared" si="47"/>
        <v>0.21410108179171289</v>
      </c>
    </row>
    <row r="155" spans="1:21">
      <c r="A155" s="19">
        <f t="shared" si="48"/>
        <v>11.750000000000014</v>
      </c>
      <c r="B155" s="10">
        <f t="shared" si="34"/>
        <v>0.44211592909031544</v>
      </c>
      <c r="C155" s="10">
        <f t="shared" si="36"/>
        <v>0.56367105751229485</v>
      </c>
      <c r="D155" s="10">
        <f t="shared" si="37"/>
        <v>0.24920795329336887</v>
      </c>
      <c r="H155" s="19">
        <f t="shared" si="35"/>
        <v>11.750000000000014</v>
      </c>
      <c r="I155" s="10">
        <f t="shared" si="38"/>
        <v>0.72635681166917654</v>
      </c>
      <c r="J155" s="10">
        <f t="shared" si="39"/>
        <v>0.32113391664219726</v>
      </c>
      <c r="K155" s="10">
        <f t="shared" si="40"/>
        <v>0.12098201244811818</v>
      </c>
      <c r="L155" s="10">
        <f t="shared" si="41"/>
        <v>0.64628058475091921</v>
      </c>
      <c r="M155" s="10">
        <f t="shared" si="42"/>
        <v>0.99547028003802607</v>
      </c>
      <c r="N155" s="10">
        <f t="shared" si="43"/>
        <v>0.99142293133733062</v>
      </c>
      <c r="O155" s="10">
        <f t="shared" si="49"/>
        <v>8.5435071348375913E-3</v>
      </c>
      <c r="P155" s="10">
        <f t="shared" si="50"/>
        <v>0.37934821481851067</v>
      </c>
      <c r="Q155" s="10">
        <f t="shared" si="44"/>
        <v>0.10305788739308178</v>
      </c>
      <c r="S155" s="5">
        <f t="shared" si="45"/>
        <v>0.18101389439677248</v>
      </c>
      <c r="T155" s="5">
        <f t="shared" si="46"/>
        <v>6.8194058896596396E-2</v>
      </c>
      <c r="U155" s="5">
        <f t="shared" si="47"/>
        <v>0.21382760941215109</v>
      </c>
    </row>
    <row r="156" spans="1:21">
      <c r="A156" s="19">
        <f t="shared" si="48"/>
        <v>11.833333333333348</v>
      </c>
      <c r="B156" s="10">
        <f t="shared" si="34"/>
        <v>0.43832387040964793</v>
      </c>
      <c r="C156" s="10">
        <f t="shared" si="36"/>
        <v>0.56138390997291665</v>
      </c>
      <c r="D156" s="10">
        <f t="shared" si="37"/>
        <v>0.24606796820503019</v>
      </c>
      <c r="H156" s="19">
        <f t="shared" si="35"/>
        <v>11.833333333333348</v>
      </c>
      <c r="I156" s="10">
        <f t="shared" si="38"/>
        <v>0.72396923729735652</v>
      </c>
      <c r="J156" s="10">
        <f t="shared" si="39"/>
        <v>0.31733299814969818</v>
      </c>
      <c r="K156" s="10">
        <f t="shared" si="40"/>
        <v>0.12099087225994978</v>
      </c>
      <c r="L156" s="10">
        <f t="shared" si="41"/>
        <v>0.64335311468513678</v>
      </c>
      <c r="M156" s="10">
        <f t="shared" si="42"/>
        <v>0.99544406764741056</v>
      </c>
      <c r="N156" s="10">
        <f t="shared" si="43"/>
        <v>0.99137135792454611</v>
      </c>
      <c r="O156" s="10">
        <f t="shared" si="49"/>
        <v>8.5946855947408203E-3</v>
      </c>
      <c r="P156" s="10">
        <f t="shared" si="50"/>
        <v>0.38037348354537903</v>
      </c>
      <c r="Q156" s="10">
        <f t="shared" si="44"/>
        <v>0.10368025948528503</v>
      </c>
      <c r="S156" s="5">
        <f t="shared" si="45"/>
        <v>0.17814563926470589</v>
      </c>
      <c r="T156" s="5">
        <f t="shared" si="46"/>
        <v>6.7922328940324309E-2</v>
      </c>
      <c r="U156" s="5">
        <f t="shared" si="47"/>
        <v>0.21353555344272376</v>
      </c>
    </row>
    <row r="157" spans="1:21">
      <c r="A157" s="19">
        <f t="shared" si="48"/>
        <v>11.916666666666682</v>
      </c>
      <c r="B157" s="10">
        <f t="shared" si="34"/>
        <v>0.43454173061875545</v>
      </c>
      <c r="C157" s="10">
        <f t="shared" si="36"/>
        <v>0.55910604274658127</v>
      </c>
      <c r="D157" s="10">
        <f t="shared" si="37"/>
        <v>0.24295490741450329</v>
      </c>
      <c r="H157" s="19">
        <f t="shared" si="35"/>
        <v>11.916666666666682</v>
      </c>
      <c r="I157" s="10">
        <f t="shared" si="38"/>
        <v>0.72157611195666549</v>
      </c>
      <c r="J157" s="10">
        <f t="shared" si="39"/>
        <v>0.31355493246280225</v>
      </c>
      <c r="K157" s="10">
        <f t="shared" si="40"/>
        <v>0.12098679815595319</v>
      </c>
      <c r="L157" s="10">
        <f t="shared" si="41"/>
        <v>0.64042204141580361</v>
      </c>
      <c r="M157" s="10">
        <f t="shared" si="42"/>
        <v>0.99541770364187221</v>
      </c>
      <c r="N157" s="10">
        <f t="shared" si="43"/>
        <v>0.99131947546185895</v>
      </c>
      <c r="O157" s="10">
        <f t="shared" si="49"/>
        <v>8.6461684626585825E-3</v>
      </c>
      <c r="P157" s="10">
        <f t="shared" si="50"/>
        <v>0.38136790503356061</v>
      </c>
      <c r="Q157" s="10">
        <f t="shared" si="44"/>
        <v>0.10430639376638881</v>
      </c>
      <c r="S157" s="5">
        <f t="shared" si="45"/>
        <v>0.17531045747294891</v>
      </c>
      <c r="T157" s="5">
        <f t="shared" si="46"/>
        <v>6.7644449941554358E-2</v>
      </c>
      <c r="U157" s="5">
        <f t="shared" si="47"/>
        <v>0.21322510021386809</v>
      </c>
    </row>
    <row r="158" spans="1:21">
      <c r="A158" s="19">
        <f t="shared" si="48"/>
        <v>12.000000000000016</v>
      </c>
      <c r="B158" s="10">
        <f t="shared" si="34"/>
        <v>0.43076968046327307</v>
      </c>
      <c r="C158" s="10">
        <f t="shared" si="36"/>
        <v>0.55683741817755872</v>
      </c>
      <c r="D158" s="10">
        <f t="shared" si="37"/>
        <v>0.23986867669834094</v>
      </c>
      <c r="H158" s="19">
        <f t="shared" si="35"/>
        <v>12.000000000000016</v>
      </c>
      <c r="I158" s="10">
        <f t="shared" si="38"/>
        <v>0.7191774672165745</v>
      </c>
      <c r="J158" s="10">
        <f t="shared" si="39"/>
        <v>0.30979984774926983</v>
      </c>
      <c r="K158" s="10">
        <f t="shared" si="40"/>
        <v>0.12096983271400323</v>
      </c>
      <c r="L158" s="10">
        <f t="shared" si="41"/>
        <v>0.63748743782775918</v>
      </c>
      <c r="M158" s="10">
        <f t="shared" si="42"/>
        <v>0.99539118714852504</v>
      </c>
      <c r="N158" s="10">
        <f t="shared" si="43"/>
        <v>0.99126728211377535</v>
      </c>
      <c r="O158" s="10">
        <f t="shared" si="49"/>
        <v>8.6979575196707067E-3</v>
      </c>
      <c r="P158" s="10">
        <f t="shared" si="50"/>
        <v>0.3823314130395894</v>
      </c>
      <c r="Q158" s="10">
        <f t="shared" si="44"/>
        <v>0.10493631297852002</v>
      </c>
      <c r="S158" s="5">
        <f t="shared" si="45"/>
        <v>0.17250814737250419</v>
      </c>
      <c r="T158" s="5">
        <f t="shared" si="46"/>
        <v>6.7360529325836735E-2</v>
      </c>
      <c r="U158" s="5">
        <f t="shared" si="47"/>
        <v>0.21289643692514276</v>
      </c>
    </row>
    <row r="159" spans="1:21">
      <c r="A159" s="19">
        <f t="shared" si="48"/>
        <v>12.08333333333335</v>
      </c>
      <c r="B159" s="10">
        <f t="shared" si="34"/>
        <v>0.42700789036984815</v>
      </c>
      <c r="C159" s="10">
        <f t="shared" si="36"/>
        <v>0.5545779987629107</v>
      </c>
      <c r="D159" s="10">
        <f t="shared" si="37"/>
        <v>0.23680918129728276</v>
      </c>
      <c r="H159" s="19">
        <f t="shared" si="35"/>
        <v>12.08333333333335</v>
      </c>
      <c r="I159" s="10">
        <f t="shared" si="38"/>
        <v>0.7167733351784753</v>
      </c>
      <c r="J159" s="10">
        <f t="shared" si="39"/>
        <v>0.30606786972792083</v>
      </c>
      <c r="K159" s="10">
        <f t="shared" si="40"/>
        <v>0.12094002064192735</v>
      </c>
      <c r="L159" s="10">
        <f t="shared" si="41"/>
        <v>0.63454937753164475</v>
      </c>
      <c r="M159" s="10">
        <f t="shared" si="42"/>
        <v>0.99536451728950504</v>
      </c>
      <c r="N159" s="10">
        <f t="shared" si="43"/>
        <v>0.99121477603409458</v>
      </c>
      <c r="O159" s="10">
        <f t="shared" si="49"/>
        <v>8.7500545569234763E-3</v>
      </c>
      <c r="P159" s="10">
        <f t="shared" si="50"/>
        <v>0.38326394502497357</v>
      </c>
      <c r="Q159" s="10">
        <f t="shared" si="44"/>
        <v>0.10557004000128048</v>
      </c>
      <c r="S159" s="5">
        <f t="shared" si="45"/>
        <v>0.1697385066793376</v>
      </c>
      <c r="T159" s="5">
        <f t="shared" si="46"/>
        <v>6.7070674617945178E-2</v>
      </c>
      <c r="U159" s="5">
        <f t="shared" si="47"/>
        <v>0.21254975162992806</v>
      </c>
    </row>
    <row r="160" spans="1:21">
      <c r="A160" s="19">
        <f t="shared" si="48"/>
        <v>12.166666666666684</v>
      </c>
      <c r="B160" s="10">
        <f t="shared" si="34"/>
        <v>0.42325653041774025</v>
      </c>
      <c r="C160" s="10">
        <f t="shared" si="36"/>
        <v>0.55232774715187039</v>
      </c>
      <c r="D160" s="10">
        <f t="shared" si="37"/>
        <v>0.23377632591294759</v>
      </c>
      <c r="H160" s="19">
        <f t="shared" si="35"/>
        <v>12.166666666666684</v>
      </c>
      <c r="I160" s="10">
        <f t="shared" si="38"/>
        <v>0.71436374847828132</v>
      </c>
      <c r="J160" s="10">
        <f t="shared" si="39"/>
        <v>0.30235912163712864</v>
      </c>
      <c r="K160" s="10">
        <f t="shared" si="40"/>
        <v>0.12089740878061163</v>
      </c>
      <c r="L160" s="10">
        <f t="shared" si="41"/>
        <v>0.63160793486314148</v>
      </c>
      <c r="M160" s="10">
        <f t="shared" si="42"/>
        <v>0.99533769318194198</v>
      </c>
      <c r="N160" s="10">
        <f t="shared" si="43"/>
        <v>0.99116195536585872</v>
      </c>
      <c r="O160" s="10">
        <f t="shared" si="49"/>
        <v>8.8024613756822329E-3</v>
      </c>
      <c r="P160" s="10">
        <f t="shared" si="50"/>
        <v>0.38416544219249482</v>
      </c>
      <c r="Q160" s="10">
        <f t="shared" si="44"/>
        <v>0.10620759785257704</v>
      </c>
      <c r="S160" s="5">
        <f t="shared" si="45"/>
        <v>0.1670013324846536</v>
      </c>
      <c r="T160" s="5">
        <f t="shared" si="46"/>
        <v>6.6774993428293974E-2</v>
      </c>
      <c r="U160" s="5">
        <f t="shared" si="47"/>
        <v>0.21218523321978275</v>
      </c>
    </row>
    <row r="161" spans="1:21">
      <c r="A161" s="19">
        <f t="shared" si="48"/>
        <v>12.250000000000018</v>
      </c>
      <c r="B161" s="10">
        <f t="shared" si="34"/>
        <v>0.41951577031021647</v>
      </c>
      <c r="C161" s="10">
        <f t="shared" si="36"/>
        <v>0.55008662614522519</v>
      </c>
      <c r="D161" s="10">
        <f t="shared" si="37"/>
        <v>0.23077001470466221</v>
      </c>
      <c r="H161" s="19">
        <f t="shared" si="35"/>
        <v>12.250000000000018</v>
      </c>
      <c r="I161" s="10">
        <f t="shared" si="38"/>
        <v>0.7119487402889928</v>
      </c>
      <c r="J161" s="10">
        <f t="shared" si="39"/>
        <v>0.29867372420372507</v>
      </c>
      <c r="K161" s="10">
        <f t="shared" si="40"/>
        <v>0.12084204610649141</v>
      </c>
      <c r="L161" s="10">
        <f t="shared" si="41"/>
        <v>0.6286631848820895</v>
      </c>
      <c r="M161" s="10">
        <f t="shared" si="42"/>
        <v>0.99531071393793324</v>
      </c>
      <c r="N161" s="10">
        <f t="shared" si="43"/>
        <v>0.99110881824128505</v>
      </c>
      <c r="O161" s="10">
        <f t="shared" si="49"/>
        <v>8.8551797873841851E-3</v>
      </c>
      <c r="P161" s="10">
        <f t="shared" si="50"/>
        <v>0.38503584952189451</v>
      </c>
      <c r="Q161" s="10">
        <f t="shared" si="44"/>
        <v>0.106849009689458</v>
      </c>
      <c r="S161" s="5">
        <f t="shared" si="45"/>
        <v>0.1642964212654566</v>
      </c>
      <c r="T161" s="5">
        <f t="shared" si="46"/>
        <v>6.64735934392056E-2</v>
      </c>
      <c r="U161" s="5">
        <f t="shared" si="47"/>
        <v>0.21180307140845958</v>
      </c>
    </row>
    <row r="162" spans="1:21">
      <c r="A162" s="19">
        <f t="shared" si="48"/>
        <v>12.333333333333352</v>
      </c>
      <c r="B162" s="10">
        <f t="shared" si="34"/>
        <v>0.41578577934574101</v>
      </c>
      <c r="C162" s="10">
        <f t="shared" si="36"/>
        <v>0.5478545986947021</v>
      </c>
      <c r="D162" s="10">
        <f t="shared" si="37"/>
        <v>0.22779015128642491</v>
      </c>
      <c r="H162" s="19">
        <f t="shared" si="35"/>
        <v>12.333333333333352</v>
      </c>
      <c r="I162" s="10">
        <f t="shared" si="38"/>
        <v>0.70952834432322975</v>
      </c>
      <c r="J162" s="10">
        <f t="shared" si="39"/>
        <v>0.29501179561232738</v>
      </c>
      <c r="K162" s="10">
        <f t="shared" si="40"/>
        <v>0.12077398373341365</v>
      </c>
      <c r="L162" s="10">
        <f t="shared" si="41"/>
        <v>0.62571520337148745</v>
      </c>
      <c r="M162" s="10">
        <f t="shared" si="42"/>
        <v>0.99528357866451223</v>
      </c>
      <c r="N162" s="10">
        <f t="shared" si="43"/>
        <v>0.99105536278170936</v>
      </c>
      <c r="O162" s="10">
        <f t="shared" si="49"/>
        <v>8.908211613691451E-3</v>
      </c>
      <c r="P162" s="10">
        <f t="shared" si="50"/>
        <v>0.38587511580492706</v>
      </c>
      <c r="Q162" s="10">
        <f t="shared" si="44"/>
        <v>0.10749429880895413</v>
      </c>
      <c r="S162" s="5">
        <f t="shared" si="45"/>
        <v>0.16162356889539509</v>
      </c>
      <c r="T162" s="5">
        <f t="shared" si="46"/>
        <v>6.6166582391029821E-2</v>
      </c>
      <c r="U162" s="5">
        <f t="shared" si="47"/>
        <v>0.21140345671558</v>
      </c>
    </row>
    <row r="163" spans="1:21">
      <c r="A163" s="19">
        <f t="shared" si="48"/>
        <v>12.416666666666686</v>
      </c>
      <c r="B163" s="10">
        <f t="shared" si="34"/>
        <v>0.41206672638896913</v>
      </c>
      <c r="C163" s="10">
        <f t="shared" si="36"/>
        <v>0.54563162790235431</v>
      </c>
      <c r="D163" s="10">
        <f t="shared" si="37"/>
        <v>0.22483663872400725</v>
      </c>
      <c r="H163" s="19">
        <f t="shared" si="35"/>
        <v>12.416666666666686</v>
      </c>
      <c r="I163" s="10">
        <f t="shared" si="38"/>
        <v>0.70710259483572802</v>
      </c>
      <c r="J163" s="10">
        <f t="shared" si="39"/>
        <v>0.29137345147510402</v>
      </c>
      <c r="K163" s="10">
        <f t="shared" si="40"/>
        <v>0.1206932749138651</v>
      </c>
      <c r="L163" s="10">
        <f t="shared" si="41"/>
        <v>0.62276406683636709</v>
      </c>
      <c r="M163" s="10">
        <f t="shared" si="42"/>
        <v>0.99525628646362374</v>
      </c>
      <c r="N163" s="10">
        <f t="shared" si="43"/>
        <v>0.99100158709752439</v>
      </c>
      <c r="O163" s="10">
        <f t="shared" si="49"/>
        <v>8.9615586865443367E-3</v>
      </c>
      <c r="P163" s="10">
        <f t="shared" si="50"/>
        <v>0.38668319367976062</v>
      </c>
      <c r="Q163" s="10">
        <f t="shared" si="44"/>
        <v>0.10814348864892484</v>
      </c>
      <c r="S163" s="5">
        <f t="shared" si="45"/>
        <v>0.15898257065588864</v>
      </c>
      <c r="T163" s="5">
        <f t="shared" si="46"/>
        <v>6.5854068068118596E-2</v>
      </c>
      <c r="U163" s="5">
        <f t="shared" si="47"/>
        <v>0.21098658044996915</v>
      </c>
    </row>
    <row r="164" spans="1:21">
      <c r="A164" s="19">
        <f t="shared" si="48"/>
        <v>12.50000000000002</v>
      </c>
      <c r="B164" s="10">
        <f t="shared" si="34"/>
        <v>0.40835877984154972</v>
      </c>
      <c r="C164" s="10">
        <f t="shared" si="36"/>
        <v>0.54341767701995247</v>
      </c>
      <c r="D164" s="10">
        <f t="shared" si="37"/>
        <v>0.22190937953219714</v>
      </c>
      <c r="H164" s="19">
        <f t="shared" si="35"/>
        <v>12.50000000000002</v>
      </c>
      <c r="I164" s="10">
        <f t="shared" si="38"/>
        <v>0.70467152662579935</v>
      </c>
      <c r="J164" s="10">
        <f t="shared" si="39"/>
        <v>0.28775880480199356</v>
      </c>
      <c r="K164" s="10">
        <f t="shared" si="40"/>
        <v>0.12059997503955619</v>
      </c>
      <c r="L164" s="10">
        <f t="shared" si="41"/>
        <v>0.61980985250254672</v>
      </c>
      <c r="M164" s="10">
        <f t="shared" si="42"/>
        <v>0.99522883643209292</v>
      </c>
      <c r="N164" s="10">
        <f t="shared" si="43"/>
        <v>0.9909474892881186</v>
      </c>
      <c r="O164" s="10">
        <f t="shared" si="49"/>
        <v>9.0152228482148107E-3</v>
      </c>
      <c r="P164" s="10">
        <f t="shared" si="50"/>
        <v>0.38746003966470782</v>
      </c>
      <c r="Q164" s="10">
        <f t="shared" si="44"/>
        <v>0.1087966027889095</v>
      </c>
      <c r="S164" s="5">
        <f t="shared" si="45"/>
        <v>0.15637322124753728</v>
      </c>
      <c r="T164" s="5">
        <f t="shared" si="46"/>
        <v>6.5536158284659876E-2</v>
      </c>
      <c r="U164" s="5">
        <f t="shared" si="47"/>
        <v>0.21055263469265417</v>
      </c>
    </row>
    <row r="165" spans="1:21">
      <c r="A165" s="19">
        <f t="shared" si="48"/>
        <v>12.583333333333353</v>
      </c>
      <c r="B165" s="10">
        <f t="shared" si="34"/>
        <v>0.40466210761274329</v>
      </c>
      <c r="C165" s="10">
        <f t="shared" si="36"/>
        <v>0.54121270944837596</v>
      </c>
      <c r="D165" s="10">
        <f t="shared" si="37"/>
        <v>0.21900827567218309</v>
      </c>
      <c r="H165" s="19">
        <f t="shared" si="35"/>
        <v>12.583333333333353</v>
      </c>
      <c r="I165" s="10">
        <f t="shared" si="38"/>
        <v>0.7022351750397543</v>
      </c>
      <c r="J165" s="10">
        <f t="shared" si="39"/>
        <v>0.28416796597139066</v>
      </c>
      <c r="K165" s="10">
        <f t="shared" si="40"/>
        <v>0.12049414164135261</v>
      </c>
      <c r="L165" s="10">
        <f t="shared" si="41"/>
        <v>0.61685263831525672</v>
      </c>
      <c r="M165" s="10">
        <f t="shared" si="42"/>
        <v>0.9952012276615988</v>
      </c>
      <c r="N165" s="10">
        <f t="shared" si="43"/>
        <v>0.99089306744181238</v>
      </c>
      <c r="O165" s="10">
        <f t="shared" si="49"/>
        <v>9.0692059513602045E-3</v>
      </c>
      <c r="P165" s="10">
        <f t="shared" si="50"/>
        <v>0.38820561419126565</v>
      </c>
      <c r="Q165" s="10">
        <f t="shared" si="44"/>
        <v>0.10945366495098417</v>
      </c>
      <c r="S165" s="5">
        <f t="shared" si="45"/>
        <v>0.15379531480181025</v>
      </c>
      <c r="T165" s="5">
        <f t="shared" si="46"/>
        <v>6.521296087037283E-2</v>
      </c>
      <c r="U165" s="5">
        <f t="shared" si="47"/>
        <v>0.21010181227952579</v>
      </c>
    </row>
    <row r="166" spans="1:21">
      <c r="A166" s="19">
        <f t="shared" si="48"/>
        <v>12.666666666666687</v>
      </c>
      <c r="B166" s="10">
        <f t="shared" si="34"/>
        <v>0.40097687708985996</v>
      </c>
      <c r="C166" s="10">
        <f t="shared" si="36"/>
        <v>0.53901668873700914</v>
      </c>
      <c r="D166" s="10">
        <f t="shared" si="37"/>
        <v>0.21613322854908301</v>
      </c>
      <c r="H166" s="19">
        <f t="shared" si="35"/>
        <v>12.666666666666687</v>
      </c>
      <c r="I166" s="10">
        <f t="shared" si="38"/>
        <v>0.6997935759732864</v>
      </c>
      <c r="J166" s="10">
        <f t="shared" si="39"/>
        <v>0.28060104270131403</v>
      </c>
      <c r="K166" s="10">
        <f t="shared" si="40"/>
        <v>0.12037583438854592</v>
      </c>
      <c r="L166" s="10">
        <f t="shared" si="41"/>
        <v>0.61389250293763964</v>
      </c>
      <c r="M166" s="10">
        <f t="shared" si="42"/>
        <v>0.99517345923864187</v>
      </c>
      <c r="N166" s="10">
        <f t="shared" si="43"/>
        <v>0.99083831963580027</v>
      </c>
      <c r="O166" s="10">
        <f t="shared" si="49"/>
        <v>9.1235098590771377E-3</v>
      </c>
      <c r="P166" s="10">
        <f t="shared" si="50"/>
        <v>0.38891988163644625</v>
      </c>
      <c r="Q166" s="10">
        <f t="shared" si="44"/>
        <v>0.11011469900062233</v>
      </c>
      <c r="S166" s="5">
        <f t="shared" si="45"/>
        <v>0.1512486448930144</v>
      </c>
      <c r="T166" s="5">
        <f t="shared" si="46"/>
        <v>6.4884583656068612E-2</v>
      </c>
      <c r="U166" s="5">
        <f t="shared" si="47"/>
        <v>0.20963430678366679</v>
      </c>
    </row>
    <row r="167" spans="1:21">
      <c r="A167" s="19">
        <f t="shared" si="48"/>
        <v>12.750000000000021</v>
      </c>
      <c r="B167" s="10">
        <f t="shared" si="34"/>
        <v>0.39730325510852765</v>
      </c>
      <c r="C167" s="10">
        <f t="shared" si="36"/>
        <v>0.53682957858313773</v>
      </c>
      <c r="D167" s="10">
        <f t="shared" si="37"/>
        <v>0.21328413900961976</v>
      </c>
      <c r="H167" s="19">
        <f t="shared" si="35"/>
        <v>12.750000000000021</v>
      </c>
      <c r="I167" s="10">
        <f t="shared" si="38"/>
        <v>0.69734676587381628</v>
      </c>
      <c r="J167" s="10">
        <f t="shared" si="39"/>
        <v>0.27705814002107154</v>
      </c>
      <c r="K167" s="10">
        <f t="shared" si="40"/>
        <v>0.12024511508745613</v>
      </c>
      <c r="L167" s="10">
        <f t="shared" si="41"/>
        <v>0.61092952574911896</v>
      </c>
      <c r="M167" s="10">
        <f t="shared" si="42"/>
        <v>0.99514553024452157</v>
      </c>
      <c r="N167" s="10">
        <f t="shared" si="43"/>
        <v>0.99078324393608663</v>
      </c>
      <c r="O167" s="10">
        <f t="shared" si="49"/>
        <v>9.1781364449557111E-3</v>
      </c>
      <c r="P167" s="10">
        <f t="shared" si="50"/>
        <v>0.3896028103543781</v>
      </c>
      <c r="Q167" s="10">
        <f t="shared" si="44"/>
        <v>0.11077972894756302</v>
      </c>
      <c r="S167" s="5">
        <f t="shared" si="45"/>
        <v>0.14873300455053981</v>
      </c>
      <c r="T167" s="5">
        <f t="shared" si="46"/>
        <v>6.4551134459079965E-2</v>
      </c>
      <c r="U167" s="5">
        <f t="shared" si="47"/>
        <v>0.20915031249734692</v>
      </c>
    </row>
    <row r="168" spans="1:21">
      <c r="A168" s="19">
        <f t="shared" si="48"/>
        <v>12.833333333333355</v>
      </c>
      <c r="B168" s="10">
        <f t="shared" si="34"/>
        <v>0.39364140792279362</v>
      </c>
      <c r="C168" s="10">
        <f t="shared" si="36"/>
        <v>0.53465134283134907</v>
      </c>
      <c r="D168" s="10">
        <f t="shared" si="37"/>
        <v>0.21046090733994446</v>
      </c>
      <c r="H168" s="19">
        <f t="shared" si="35"/>
        <v>12.833333333333355</v>
      </c>
      <c r="I168" s="10">
        <f t="shared" si="38"/>
        <v>0.69489478174279751</v>
      </c>
      <c r="J168" s="10">
        <f t="shared" si="39"/>
        <v>0.27353936024343717</v>
      </c>
      <c r="K168" s="10">
        <f t="shared" si="40"/>
        <v>0.12010204767935642</v>
      </c>
      <c r="L168" s="10">
        <f t="shared" si="41"/>
        <v>0.60796378684364105</v>
      </c>
      <c r="M168" s="10">
        <f t="shared" si="42"/>
        <v>0.99511743975529976</v>
      </c>
      <c r="N168" s="10">
        <f t="shared" si="43"/>
        <v>0.99072783839742273</v>
      </c>
      <c r="O168" s="10">
        <f t="shared" si="49"/>
        <v>9.2330875931338277E-3</v>
      </c>
      <c r="P168" s="10">
        <f t="shared" si="50"/>
        <v>0.3902543727071624</v>
      </c>
      <c r="Q168" s="10">
        <f t="shared" si="44"/>
        <v>0.11144877894668151</v>
      </c>
      <c r="S168" s="5">
        <f t="shared" si="45"/>
        <v>0.14624818627138184</v>
      </c>
      <c r="T168" s="5">
        <f t="shared" si="46"/>
        <v>6.4212721068562628E-2</v>
      </c>
      <c r="U168" s="5">
        <f t="shared" si="47"/>
        <v>0.20865002441369015</v>
      </c>
    </row>
    <row r="169" spans="1:21">
      <c r="A169" s="19">
        <f t="shared" si="48"/>
        <v>12.916666666666689</v>
      </c>
      <c r="B169" s="10">
        <f t="shared" si="34"/>
        <v>0.38999150117506742</v>
      </c>
      <c r="C169" s="10">
        <f t="shared" si="36"/>
        <v>0.53248194547293437</v>
      </c>
      <c r="D169" s="10">
        <f t="shared" si="37"/>
        <v>0.20766343326361006</v>
      </c>
      <c r="H169" s="19">
        <f t="shared" si="35"/>
        <v>12.916666666666689</v>
      </c>
      <c r="I169" s="10">
        <f t="shared" si="38"/>
        <v>0.69243766113797889</v>
      </c>
      <c r="J169" s="10">
        <f t="shared" si="39"/>
        <v>0.27004480293735306</v>
      </c>
      <c r="K169" s="10">
        <f t="shared" si="40"/>
        <v>0.11994669823771439</v>
      </c>
      <c r="L169" s="10">
        <f t="shared" si="41"/>
        <v>0.60499536702778089</v>
      </c>
      <c r="M169" s="10">
        <f t="shared" si="42"/>
        <v>0.99508918684177738</v>
      </c>
      <c r="N169" s="10">
        <f t="shared" si="43"/>
        <v>0.9906721010632431</v>
      </c>
      <c r="O169" s="10">
        <f t="shared" si="49"/>
        <v>9.2883651983518192E-3</v>
      </c>
      <c r="P169" s="10">
        <f t="shared" si="50"/>
        <v>0.39087454509495945</v>
      </c>
      <c r="Q169" s="10">
        <f t="shared" si="44"/>
        <v>0.11212187329886797</v>
      </c>
      <c r="S169" s="5">
        <f t="shared" si="45"/>
        <v>0.14379398203293695</v>
      </c>
      <c r="T169" s="5">
        <f t="shared" si="46"/>
        <v>6.3869451230673155E-2</v>
      </c>
      <c r="U169" s="5">
        <f t="shared" si="47"/>
        <v>0.20813363820801223</v>
      </c>
    </row>
    <row r="170" spans="1:21">
      <c r="A170" s="19">
        <f t="shared" si="48"/>
        <v>13.000000000000023</v>
      </c>
      <c r="B170" s="10">
        <f t="shared" si="34"/>
        <v>0.38635369986591228</v>
      </c>
      <c r="C170" s="10">
        <f t="shared" si="36"/>
        <v>0.53032135064529384</v>
      </c>
      <c r="D170" s="10">
        <f t="shared" si="37"/>
        <v>0.2048916159396971</v>
      </c>
      <c r="H170" s="19">
        <f t="shared" si="35"/>
        <v>13.000000000000023</v>
      </c>
      <c r="I170" s="10">
        <f t="shared" si="38"/>
        <v>0.6899754421756249</v>
      </c>
      <c r="J170" s="10">
        <f t="shared" si="39"/>
        <v>0.26657456490117148</v>
      </c>
      <c r="K170" s="10">
        <f t="shared" si="40"/>
        <v>0.11977913496474078</v>
      </c>
      <c r="L170" s="10">
        <f t="shared" si="41"/>
        <v>0.60202434781871716</v>
      </c>
      <c r="M170" s="10">
        <f t="shared" si="42"/>
        <v>0.99506077056946218</v>
      </c>
      <c r="N170" s="10">
        <f t="shared" si="43"/>
        <v>0.99061602996560782</v>
      </c>
      <c r="O170" s="10">
        <f t="shared" si="49"/>
        <v>9.3439711660072856E-3</v>
      </c>
      <c r="P170" s="10">
        <f t="shared" si="50"/>
        <v>0.39146330798529194</v>
      </c>
      <c r="Q170" s="10">
        <f t="shared" si="44"/>
        <v>0.11279903645190913</v>
      </c>
      <c r="S170" s="5">
        <f t="shared" si="45"/>
        <v>0.14137018330607079</v>
      </c>
      <c r="T170" s="5">
        <f t="shared" si="46"/>
        <v>6.3521432633626279E-2</v>
      </c>
      <c r="U170" s="5">
        <f t="shared" si="47"/>
        <v>0.20760135021883466</v>
      </c>
    </row>
    <row r="171" spans="1:21">
      <c r="A171" s="19">
        <f t="shared" si="48"/>
        <v>13.083333333333357</v>
      </c>
      <c r="B171" s="10">
        <f t="shared" si="34"/>
        <v>0.382728168323694</v>
      </c>
      <c r="C171" s="10">
        <f t="shared" si="36"/>
        <v>0.52816952263134331</v>
      </c>
      <c r="D171" s="10">
        <f t="shared" si="37"/>
        <v>0.20214535396109387</v>
      </c>
      <c r="H171" s="19">
        <f t="shared" si="35"/>
        <v>13.083333333333357</v>
      </c>
      <c r="I171" s="10">
        <f t="shared" si="38"/>
        <v>0.68750816353269395</v>
      </c>
      <c r="J171" s="10">
        <f t="shared" si="39"/>
        <v>0.26312874013645465</v>
      </c>
      <c r="K171" s="10">
        <f t="shared" si="40"/>
        <v>0.11959942818723937</v>
      </c>
      <c r="L171" s="10">
        <f t="shared" si="41"/>
        <v>0.59905081144207062</v>
      </c>
      <c r="M171" s="10">
        <f t="shared" si="42"/>
        <v>0.99503218999853904</v>
      </c>
      <c r="N171" s="10">
        <f t="shared" si="43"/>
        <v>0.99055962312513202</v>
      </c>
      <c r="O171" s="10">
        <f t="shared" si="49"/>
        <v>9.3999074122100776E-3</v>
      </c>
      <c r="P171" s="10">
        <f t="shared" si="50"/>
        <v>0.39202064594154279</v>
      </c>
      <c r="Q171" s="10">
        <f t="shared" si="44"/>
        <v>0.11348029300137663</v>
      </c>
      <c r="S171" s="5">
        <f t="shared" si="45"/>
        <v>0.13897658106845803</v>
      </c>
      <c r="T171" s="5">
        <f t="shared" si="46"/>
        <v>6.3168772892635838E-2</v>
      </c>
      <c r="U171" s="5">
        <f t="shared" si="47"/>
        <v>0.2070533574285755</v>
      </c>
    </row>
    <row r="172" spans="1:21">
      <c r="A172" s="19">
        <f t="shared" si="48"/>
        <v>13.166666666666691</v>
      </c>
      <c r="B172" s="10">
        <f t="shared" si="34"/>
        <v>0.37911507017409041</v>
      </c>
      <c r="C172" s="10">
        <f t="shared" si="36"/>
        <v>0.52602642585892401</v>
      </c>
      <c r="D172" s="10">
        <f t="shared" si="37"/>
        <v>0.19942454535293194</v>
      </c>
      <c r="H172" s="19">
        <f t="shared" si="35"/>
        <v>13.166666666666691</v>
      </c>
      <c r="I172" s="10">
        <f t="shared" si="38"/>
        <v>0.68503586444896947</v>
      </c>
      <c r="J172" s="10">
        <f t="shared" si="39"/>
        <v>0.25970741982233975</v>
      </c>
      <c r="K172" s="10">
        <f t="shared" si="40"/>
        <v>0.11940765035175066</v>
      </c>
      <c r="L172" s="10">
        <f t="shared" si="41"/>
        <v>0.59607484082960538</v>
      </c>
      <c r="M172" s="10">
        <f t="shared" si="42"/>
        <v>0.99500344418384257</v>
      </c>
      <c r="N172" s="10">
        <f t="shared" si="43"/>
        <v>0.99050287855092611</v>
      </c>
      <c r="O172" s="10">
        <f t="shared" si="49"/>
        <v>9.4561758638376497E-3</v>
      </c>
      <c r="P172" s="10">
        <f t="shared" si="50"/>
        <v>0.39254654765062941</v>
      </c>
      <c r="Q172" s="10">
        <f t="shared" si="44"/>
        <v>0.11416566769152033</v>
      </c>
      <c r="S172" s="5">
        <f t="shared" si="45"/>
        <v>0.13661296581818844</v>
      </c>
      <c r="T172" s="5">
        <f t="shared" si="46"/>
        <v>6.2811579534743492E-2</v>
      </c>
      <c r="U172" s="5">
        <f t="shared" si="47"/>
        <v>0.2064898574439204</v>
      </c>
    </row>
    <row r="173" spans="1:21">
      <c r="A173" s="19">
        <f t="shared" si="48"/>
        <v>13.250000000000025</v>
      </c>
      <c r="B173" s="10">
        <f t="shared" si="34"/>
        <v>0.37551456830947288</v>
      </c>
      <c r="C173" s="10">
        <f t="shared" si="36"/>
        <v>0.52389202490021425</v>
      </c>
      <c r="D173" s="10">
        <f t="shared" si="37"/>
        <v>0.19672908757117957</v>
      </c>
      <c r="H173" s="19">
        <f t="shared" si="35"/>
        <v>13.250000000000025</v>
      </c>
      <c r="I173" s="10">
        <f t="shared" si="38"/>
        <v>0.6825585847291491</v>
      </c>
      <c r="J173" s="10">
        <f t="shared" si="39"/>
        <v>0.25631069229049119</v>
      </c>
      <c r="K173" s="10">
        <f t="shared" si="40"/>
        <v>0.11920387601898169</v>
      </c>
      <c r="L173" s="10">
        <f t="shared" si="41"/>
        <v>0.59309651961679311</v>
      </c>
      <c r="M173" s="10">
        <f t="shared" si="42"/>
        <v>0.99497453217482568</v>
      </c>
      <c r="N173" s="10">
        <f t="shared" si="43"/>
        <v>0.99044579424053192</v>
      </c>
      <c r="O173" s="10">
        <f t="shared" si="49"/>
        <v>9.5127784585904863E-3</v>
      </c>
      <c r="P173" s="10">
        <f t="shared" si="50"/>
        <v>0.39304100594983671</v>
      </c>
      <c r="Q173" s="10">
        <f t="shared" si="44"/>
        <v>0.11485518541616745</v>
      </c>
      <c r="S173" s="5">
        <f t="shared" si="45"/>
        <v>0.13427912758764116</v>
      </c>
      <c r="T173" s="5">
        <f t="shared" si="46"/>
        <v>6.244995998353841E-2</v>
      </c>
      <c r="U173" s="5">
        <f t="shared" si="47"/>
        <v>0.2059110484758771</v>
      </c>
    </row>
    <row r="174" spans="1:21">
      <c r="A174" s="19">
        <f t="shared" si="48"/>
        <v>13.333333333333359</v>
      </c>
      <c r="B174" s="10">
        <f t="shared" si="34"/>
        <v>0.37192682485816636</v>
      </c>
      <c r="C174" s="10">
        <f t="shared" si="36"/>
        <v>0.52176628447114459</v>
      </c>
      <c r="D174" s="10">
        <f t="shared" si="37"/>
        <v>0.19405887750139561</v>
      </c>
      <c r="H174" s="19">
        <f t="shared" si="35"/>
        <v>13.333333333333359</v>
      </c>
      <c r="I174" s="10">
        <f t="shared" si="38"/>
        <v>0.68007636474488375</v>
      </c>
      <c r="J174" s="10">
        <f t="shared" si="39"/>
        <v>0.25293864300064883</v>
      </c>
      <c r="K174" s="10">
        <f t="shared" si="40"/>
        <v>0.11898818185751751</v>
      </c>
      <c r="L174" s="10">
        <f t="shared" si="41"/>
        <v>0.59011593214023605</v>
      </c>
      <c r="M174" s="10">
        <f t="shared" si="42"/>
        <v>0.99494545301552828</v>
      </c>
      <c r="N174" s="10">
        <f t="shared" si="43"/>
        <v>0.99038836817985632</v>
      </c>
      <c r="O174" s="10">
        <f t="shared" si="49"/>
        <v>9.5697171450478298E-3</v>
      </c>
      <c r="P174" s="10">
        <f t="shared" si="50"/>
        <v>0.39350401785278905</v>
      </c>
      <c r="Q174" s="10">
        <f t="shared" si="44"/>
        <v>0.11554887121962569</v>
      </c>
      <c r="S174" s="5">
        <f t="shared" si="45"/>
        <v>0.13197485595762182</v>
      </c>
      <c r="T174" s="5">
        <f t="shared" si="46"/>
        <v>6.2084021543773772E-2</v>
      </c>
      <c r="U174" s="5">
        <f t="shared" si="47"/>
        <v>0.20531712931951668</v>
      </c>
    </row>
    <row r="175" spans="1:21">
      <c r="A175" s="19">
        <f t="shared" si="48"/>
        <v>13.416666666666693</v>
      </c>
      <c r="B175" s="10">
        <f t="shared" si="34"/>
        <v>0.36835200115359462</v>
      </c>
      <c r="C175" s="10">
        <f t="shared" si="36"/>
        <v>0.51964916943081341</v>
      </c>
      <c r="D175" s="10">
        <f t="shared" si="37"/>
        <v>0.19141381145764347</v>
      </c>
      <c r="H175" s="19">
        <f t="shared" si="35"/>
        <v>13.416666666666693</v>
      </c>
      <c r="I175" s="10">
        <f t="shared" si="38"/>
        <v>0.67758924543677135</v>
      </c>
      <c r="J175" s="10">
        <f t="shared" si="39"/>
        <v>0.2495913545167889</v>
      </c>
      <c r="K175" s="10">
        <f t="shared" si="40"/>
        <v>0.11876064663680572</v>
      </c>
      <c r="L175" s="10">
        <f t="shared" si="41"/>
        <v>0.58713316343494792</v>
      </c>
      <c r="M175" s="10">
        <f t="shared" si="42"/>
        <v>0.99491620574454998</v>
      </c>
      <c r="N175" s="10">
        <f t="shared" si="43"/>
        <v>0.99033059834310933</v>
      </c>
      <c r="O175" s="10">
        <f t="shared" si="49"/>
        <v>9.626993882723648E-3</v>
      </c>
      <c r="P175" s="10">
        <f t="shared" si="50"/>
        <v>0.39393558457454214</v>
      </c>
      <c r="Q175" s="10">
        <f t="shared" si="44"/>
        <v>0.11624675029759422</v>
      </c>
      <c r="S175" s="5">
        <f t="shared" si="45"/>
        <v>0.12969994007176106</v>
      </c>
      <c r="T175" s="5">
        <f t="shared" si="46"/>
        <v>6.1713871385882413E-2</v>
      </c>
      <c r="U175" s="5">
        <f t="shared" si="47"/>
        <v>0.20470829933340276</v>
      </c>
    </row>
    <row r="176" spans="1:21">
      <c r="A176" s="19">
        <f t="shared" si="48"/>
        <v>13.500000000000027</v>
      </c>
      <c r="B176" s="10">
        <f t="shared" si="34"/>
        <v>0.36479025770332107</v>
      </c>
      <c r="C176" s="10">
        <f t="shared" si="36"/>
        <v>0.51754064478090689</v>
      </c>
      <c r="D176" s="10">
        <f t="shared" si="37"/>
        <v>0.18879378518156997</v>
      </c>
      <c r="H176" s="19">
        <f t="shared" si="35"/>
        <v>13.500000000000027</v>
      </c>
      <c r="I176" s="10">
        <f t="shared" si="38"/>
        <v>0.6750972683163009</v>
      </c>
      <c r="J176" s="10">
        <f t="shared" si="39"/>
        <v>0.2462689064839115</v>
      </c>
      <c r="K176" s="10">
        <f t="shared" si="40"/>
        <v>0.11852135121940957</v>
      </c>
      <c r="L176" s="10">
        <f t="shared" si="41"/>
        <v>0.58414829923149314</v>
      </c>
      <c r="M176" s="10">
        <f t="shared" si="42"/>
        <v>0.9948867893950184</v>
      </c>
      <c r="N176" s="10">
        <f t="shared" si="43"/>
        <v>0.99027248269273538</v>
      </c>
      <c r="O176" s="10">
        <f t="shared" si="49"/>
        <v>9.684610642122761E-3</v>
      </c>
      <c r="P176" s="10">
        <f t="shared" si="50"/>
        <v>0.39433571155577857</v>
      </c>
      <c r="Q176" s="10">
        <f t="shared" si="44"/>
        <v>0.11694884799807781</v>
      </c>
      <c r="S176" s="5">
        <f t="shared" si="45"/>
        <v>0.12745416865117243</v>
      </c>
      <c r="T176" s="5">
        <f t="shared" si="46"/>
        <v>6.1339616530397552E-2</v>
      </c>
      <c r="U176" s="5">
        <f t="shared" si="47"/>
        <v>0.20408475841871535</v>
      </c>
    </row>
    <row r="177" spans="1:21">
      <c r="A177" s="19">
        <f t="shared" si="48"/>
        <v>13.583333333333361</v>
      </c>
      <c r="B177" s="10">
        <f t="shared" si="34"/>
        <v>0.36124175415799048</v>
      </c>
      <c r="C177" s="10">
        <f t="shared" si="36"/>
        <v>0.51544067566511986</v>
      </c>
      <c r="D177" s="10">
        <f t="shared" si="37"/>
        <v>0.18619869384164772</v>
      </c>
      <c r="H177" s="19">
        <f t="shared" si="35"/>
        <v>13.583333333333361</v>
      </c>
      <c r="I177" s="10">
        <f t="shared" si="38"/>
        <v>0.67260047546774693</v>
      </c>
      <c r="J177" s="10">
        <f t="shared" si="39"/>
        <v>0.24297137560546733</v>
      </c>
      <c r="K177" s="10">
        <f t="shared" si="40"/>
        <v>0.11827037855252313</v>
      </c>
      <c r="L177" s="10">
        <f t="shared" si="41"/>
        <v>0.5811614259529807</v>
      </c>
      <c r="M177" s="10">
        <f t="shared" si="42"/>
        <v>0.99485720299455771</v>
      </c>
      <c r="N177" s="10">
        <f t="shared" si="43"/>
        <v>0.9902140191793517</v>
      </c>
      <c r="O177" s="10">
        <f t="shared" si="49"/>
        <v>9.7425694047972456E-3</v>
      </c>
      <c r="P177" s="10">
        <f t="shared" si="50"/>
        <v>0.39470440848608662</v>
      </c>
      <c r="Q177" s="10">
        <f t="shared" si="44"/>
        <v>0.11765518982230798</v>
      </c>
      <c r="S177" s="5">
        <f t="shared" si="45"/>
        <v>0.12523733000936571</v>
      </c>
      <c r="T177" s="5">
        <f t="shared" si="46"/>
        <v>6.0961363832282026E-2</v>
      </c>
      <c r="U177" s="5">
        <f t="shared" si="47"/>
        <v>0.20344670699806996</v>
      </c>
    </row>
    <row r="178" spans="1:21">
      <c r="A178" s="19">
        <f t="shared" si="48"/>
        <v>13.666666666666694</v>
      </c>
      <c r="B178" s="10">
        <f t="shared" si="34"/>
        <v>0.35770664928018303</v>
      </c>
      <c r="C178" s="10">
        <f t="shared" si="36"/>
        <v>0.51334922736858002</v>
      </c>
      <c r="D178" s="10">
        <f t="shared" si="37"/>
        <v>0.18362843203258558</v>
      </c>
      <c r="H178" s="19">
        <f t="shared" si="35"/>
        <v>13.666666666666694</v>
      </c>
      <c r="I178" s="10">
        <f t="shared" si="38"/>
        <v>0.67009890955001283</v>
      </c>
      <c r="J178" s="10">
        <f t="shared" si="39"/>
        <v>0.23969883562143954</v>
      </c>
      <c r="K178" s="10">
        <f t="shared" si="40"/>
        <v>0.11800781365874349</v>
      </c>
      <c r="L178" s="10">
        <f t="shared" si="41"/>
        <v>0.57817263071191116</v>
      </c>
      <c r="M178" s="10">
        <f t="shared" si="42"/>
        <v>0.99482744556526048</v>
      </c>
      <c r="N178" s="10">
        <f t="shared" si="43"/>
        <v>0.99015520574168048</v>
      </c>
      <c r="O178" s="10">
        <f t="shared" si="49"/>
        <v>9.8008721634030484E-3</v>
      </c>
      <c r="P178" s="10">
        <f t="shared" si="50"/>
        <v>0.39504168932630485</v>
      </c>
      <c r="Q178" s="10">
        <f t="shared" si="44"/>
        <v>0.11836580142566909</v>
      </c>
      <c r="S178" s="5">
        <f t="shared" si="45"/>
        <v>0.12304921206741425</v>
      </c>
      <c r="T178" s="5">
        <f t="shared" si="46"/>
        <v>6.0579219965171335E-2</v>
      </c>
      <c r="U178" s="5">
        <f t="shared" si="47"/>
        <v>0.20279434599403723</v>
      </c>
    </row>
    <row r="179" spans="1:21">
      <c r="A179" s="19">
        <f t="shared" si="48"/>
        <v>13.750000000000028</v>
      </c>
      <c r="B179" s="10">
        <f t="shared" si="34"/>
        <v>0.35418510091318678</v>
      </c>
      <c r="C179" s="10">
        <f t="shared" si="36"/>
        <v>0.51126626531727382</v>
      </c>
      <c r="D179" s="10">
        <f t="shared" si="37"/>
        <v>0.18108289377490674</v>
      </c>
      <c r="H179" s="19">
        <f t="shared" si="35"/>
        <v>13.750000000000028</v>
      </c>
      <c r="I179" s="10">
        <f t="shared" si="38"/>
        <v>0.66759261379842327</v>
      </c>
      <c r="J179" s="10">
        <f t="shared" si="39"/>
        <v>0.23645135728709268</v>
      </c>
      <c r="K179" s="10">
        <f t="shared" si="40"/>
        <v>0.11773374362609411</v>
      </c>
      <c r="L179" s="10">
        <f t="shared" si="41"/>
        <v>0.57518200130687724</v>
      </c>
      <c r="M179" s="10">
        <f t="shared" si="42"/>
        <v>0.99479751612365375</v>
      </c>
      <c r="N179" s="10">
        <f t="shared" si="43"/>
        <v>0.99009604030648402</v>
      </c>
      <c r="O179" s="10">
        <f t="shared" si="49"/>
        <v>9.8595209217567942E-3</v>
      </c>
      <c r="P179" s="10">
        <f t="shared" si="50"/>
        <v>0.39534757232991541</v>
      </c>
      <c r="Q179" s="10">
        <f t="shared" si="44"/>
        <v>0.11908070861863024</v>
      </c>
      <c r="S179" s="5">
        <f t="shared" si="45"/>
        <v>0.12088960236937224</v>
      </c>
      <c r="T179" s="5">
        <f t="shared" si="46"/>
        <v>6.0193291405534526E-2</v>
      </c>
      <c r="U179" s="5">
        <f t="shared" si="47"/>
        <v>0.20212787680736663</v>
      </c>
    </row>
    <row r="180" spans="1:21">
      <c r="A180" s="19">
        <f t="shared" si="48"/>
        <v>13.833333333333362</v>
      </c>
      <c r="B180" s="10">
        <f t="shared" si="34"/>
        <v>0.35067726594969867</v>
      </c>
      <c r="C180" s="10">
        <f t="shared" si="36"/>
        <v>0.50919175507747505</v>
      </c>
      <c r="D180" s="10">
        <f t="shared" si="37"/>
        <v>0.17856197251469755</v>
      </c>
      <c r="H180" s="19">
        <f t="shared" si="35"/>
        <v>13.833333333333362</v>
      </c>
      <c r="I180" s="10">
        <f t="shared" si="38"/>
        <v>0.66508163202646142</v>
      </c>
      <c r="J180" s="10">
        <f t="shared" si="39"/>
        <v>0.23322900835240304</v>
      </c>
      <c r="K180" s="10">
        <f t="shared" si="40"/>
        <v>0.11744825759729563</v>
      </c>
      <c r="L180" s="10">
        <f t="shared" si="41"/>
        <v>0.57218962621911362</v>
      </c>
      <c r="M180" s="10">
        <f t="shared" si="42"/>
        <v>0.9947674136806709</v>
      </c>
      <c r="N180" s="10">
        <f t="shared" si="43"/>
        <v>0.99003652078849558</v>
      </c>
      <c r="O180" s="10">
        <f t="shared" si="49"/>
        <v>9.918517694892881E-3</v>
      </c>
      <c r="P180" s="10">
        <f t="shared" si="50"/>
        <v>0.39562208006346627</v>
      </c>
      <c r="Q180" s="10">
        <f t="shared" si="44"/>
        <v>0.11979993736768262</v>
      </c>
      <c r="S180" s="5">
        <f t="shared" si="45"/>
        <v>0.11875828809793919</v>
      </c>
      <c r="T180" s="5">
        <f t="shared" si="46"/>
        <v>5.9803684416758353E-2</v>
      </c>
      <c r="U180" s="5">
        <f t="shared" si="47"/>
        <v>0.20144750129491776</v>
      </c>
    </row>
    <row r="181" spans="1:21">
      <c r="A181" s="19">
        <f t="shared" si="48"/>
        <v>13.916666666666696</v>
      </c>
      <c r="B181" s="10">
        <f t="shared" si="34"/>
        <v>0.34718330030046163</v>
      </c>
      <c r="C181" s="10">
        <f t="shared" si="36"/>
        <v>0.50712566235517542</v>
      </c>
      <c r="D181" s="10">
        <f t="shared" si="37"/>
        <v>0.17606556112352736</v>
      </c>
      <c r="H181" s="19">
        <f t="shared" si="35"/>
        <v>13.916666666666696</v>
      </c>
      <c r="I181" s="10">
        <f t="shared" si="38"/>
        <v>0.66256600862745407</v>
      </c>
      <c r="J181" s="10">
        <f t="shared" si="39"/>
        <v>0.23003185354218364</v>
      </c>
      <c r="K181" s="10">
        <f t="shared" si="40"/>
        <v>0.11715144675827799</v>
      </c>
      <c r="L181" s="10">
        <f t="shared" si="41"/>
        <v>0.56919559460889746</v>
      </c>
      <c r="M181" s="10">
        <f t="shared" si="42"/>
        <v>0.99473713724161872</v>
      </c>
      <c r="N181" s="10">
        <f t="shared" si="43"/>
        <v>0.98997664509035954</v>
      </c>
      <c r="O181" s="10">
        <f t="shared" si="49"/>
        <v>9.9778645091207346E-3</v>
      </c>
      <c r="P181" s="10">
        <f t="shared" si="50"/>
        <v>0.39586523942600732</v>
      </c>
      <c r="Q181" s="10">
        <f t="shared" si="44"/>
        <v>0.12052351379628318</v>
      </c>
      <c r="S181" s="5">
        <f t="shared" si="45"/>
        <v>0.11665505609036858</v>
      </c>
      <c r="T181" s="5">
        <f t="shared" si="46"/>
        <v>5.9410505033158791E-2</v>
      </c>
      <c r="U181" s="5">
        <f t="shared" si="47"/>
        <v>0.20075342174730407</v>
      </c>
    </row>
    <row r="182" spans="1:21">
      <c r="A182" s="19">
        <f t="shared" si="48"/>
        <v>14.00000000000003</v>
      </c>
      <c r="B182" s="10">
        <f t="shared" si="34"/>
        <v>0.34370335886284981</v>
      </c>
      <c r="C182" s="10">
        <f t="shared" si="36"/>
        <v>0.50506795299551777</v>
      </c>
      <c r="D182" s="10">
        <f t="shared" si="37"/>
        <v>0.17359355189854339</v>
      </c>
      <c r="H182" s="19">
        <f t="shared" si="35"/>
        <v>14.00000000000003</v>
      </c>
      <c r="I182" s="10">
        <f t="shared" si="38"/>
        <v>0.66004578857620033</v>
      </c>
      <c r="J182" s="10">
        <f t="shared" si="39"/>
        <v>0.22685995453691848</v>
      </c>
      <c r="K182" s="10">
        <f t="shared" si="40"/>
        <v>0.11684340432593134</v>
      </c>
      <c r="L182" s="10">
        <f t="shared" si="41"/>
        <v>0.56619999631179563</v>
      </c>
      <c r="M182" s="10">
        <f t="shared" si="42"/>
        <v>0.99470668580614707</v>
      </c>
      <c r="N182" s="10">
        <f t="shared" si="43"/>
        <v>0.98991641110255479</v>
      </c>
      <c r="O182" s="10">
        <f t="shared" si="49"/>
        <v>1.0037563402082304E-2</v>
      </c>
      <c r="P182" s="10">
        <f t="shared" si="50"/>
        <v>0.39607708166752031</v>
      </c>
      <c r="Q182" s="10">
        <f t="shared" si="44"/>
        <v>0.12125146418580231</v>
      </c>
      <c r="S182" s="5">
        <f t="shared" si="45"/>
        <v>0.11457969285461764</v>
      </c>
      <c r="T182" s="5">
        <f t="shared" si="46"/>
        <v>5.9013859043925768E-2</v>
      </c>
      <c r="U182" s="5">
        <f t="shared" si="47"/>
        <v>0.20004584086625299</v>
      </c>
    </row>
    <row r="183" spans="1:21">
      <c r="A183" s="19">
        <f t="shared" si="48"/>
        <v>14.083333333333364</v>
      </c>
      <c r="B183" s="10">
        <f t="shared" si="34"/>
        <v>0.34023759548940574</v>
      </c>
      <c r="C183" s="10">
        <f t="shared" si="36"/>
        <v>0.5030185929822315</v>
      </c>
      <c r="D183" s="10">
        <f t="shared" si="37"/>
        <v>0.17114583656273852</v>
      </c>
      <c r="H183" s="19">
        <f t="shared" si="35"/>
        <v>14.083333333333364</v>
      </c>
      <c r="I183" s="10">
        <f t="shared" si="38"/>
        <v>0.65752101743054425</v>
      </c>
      <c r="J183" s="10">
        <f t="shared" si="39"/>
        <v>0.22371336995431601</v>
      </c>
      <c r="K183" s="10">
        <f t="shared" si="40"/>
        <v>0.11652422553508972</v>
      </c>
      <c r="L183" s="10">
        <f t="shared" si="41"/>
        <v>0.56320292183475895</v>
      </c>
      <c r="M183" s="10">
        <f t="shared" si="42"/>
        <v>0.99467605836821771</v>
      </c>
      <c r="N183" s="10">
        <f t="shared" si="43"/>
        <v>0.98985581670333633</v>
      </c>
      <c r="O183" s="10">
        <f t="shared" si="49"/>
        <v>1.0097616422809822E-2</v>
      </c>
      <c r="P183" s="10">
        <f t="shared" si="50"/>
        <v>0.3962576424063276</v>
      </c>
      <c r="Q183" s="10">
        <f t="shared" si="44"/>
        <v>0.12198381497647998</v>
      </c>
      <c r="S183" s="5">
        <f t="shared" si="45"/>
        <v>0.11253198458573346</v>
      </c>
      <c r="T183" s="5">
        <f t="shared" si="46"/>
        <v>5.8613851977005041E-2</v>
      </c>
      <c r="U183" s="5">
        <f t="shared" si="47"/>
        <v>0.19932496174168715</v>
      </c>
    </row>
    <row r="184" spans="1:21">
      <c r="A184" s="19">
        <f t="shared" si="48"/>
        <v>14.166666666666698</v>
      </c>
      <c r="B184" s="10">
        <f t="shared" si="34"/>
        <v>0.33678616295634511</v>
      </c>
      <c r="C184" s="10">
        <f t="shared" si="36"/>
        <v>0.50097754843707021</v>
      </c>
      <c r="D184" s="10">
        <f t="shared" si="37"/>
        <v>0.16872230626539741</v>
      </c>
      <c r="H184" s="19">
        <f t="shared" si="35"/>
        <v>14.166666666666698</v>
      </c>
      <c r="I184" s="10">
        <f t="shared" si="38"/>
        <v>0.65499174133288907</v>
      </c>
      <c r="J184" s="10">
        <f t="shared" si="39"/>
        <v>0.22059215533159862</v>
      </c>
      <c r="K184" s="10">
        <f t="shared" si="40"/>
        <v>0.11619400762474649</v>
      </c>
      <c r="L184" s="10">
        <f t="shared" si="41"/>
        <v>0.56020446235206145</v>
      </c>
      <c r="M184" s="10">
        <f t="shared" si="42"/>
        <v>0.9946452539160705</v>
      </c>
      <c r="N184" s="10">
        <f t="shared" si="43"/>
        <v>0.98979485975866233</v>
      </c>
      <c r="O184" s="10">
        <f t="shared" si="49"/>
        <v>1.0158025631783727E-2</v>
      </c>
      <c r="P184" s="10">
        <f t="shared" si="50"/>
        <v>0.39640696164546152</v>
      </c>
      <c r="Q184" s="10">
        <f t="shared" si="44"/>
        <v>0.12272059276838446</v>
      </c>
      <c r="S184" s="5">
        <f t="shared" si="45"/>
        <v>0.11051171718247367</v>
      </c>
      <c r="T184" s="5">
        <f t="shared" si="46"/>
        <v>5.8210589082923744E-2</v>
      </c>
      <c r="U184" s="5">
        <f t="shared" si="47"/>
        <v>0.19859098782853102</v>
      </c>
    </row>
    <row r="185" spans="1:21">
      <c r="A185" s="19">
        <f t="shared" si="48"/>
        <v>14.250000000000032</v>
      </c>
      <c r="B185" s="10">
        <f t="shared" si="34"/>
        <v>0.33334921293203362</v>
      </c>
      <c r="C185" s="10">
        <f t="shared" si="36"/>
        <v>0.49894478561925149</v>
      </c>
      <c r="D185" s="10">
        <f t="shared" si="37"/>
        <v>0.16632285158271973</v>
      </c>
      <c r="H185" s="19">
        <f t="shared" si="35"/>
        <v>14.250000000000032</v>
      </c>
      <c r="I185" s="10">
        <f t="shared" si="38"/>
        <v>0.65245800701165457</v>
      </c>
      <c r="J185" s="10">
        <f t="shared" si="39"/>
        <v>0.21749636310853832</v>
      </c>
      <c r="K185" s="10">
        <f t="shared" si="40"/>
        <v>0.11585284982349529</v>
      </c>
      <c r="L185" s="10">
        <f t="shared" si="41"/>
        <v>0.55720470970108193</v>
      </c>
      <c r="M185" s="10">
        <f t="shared" si="42"/>
        <v>0.99461427143219472</v>
      </c>
      <c r="N185" s="10">
        <f t="shared" si="43"/>
        <v>0.98973353812212872</v>
      </c>
      <c r="O185" s="10">
        <f t="shared" si="49"/>
        <v>1.0218793100990865E-2</v>
      </c>
      <c r="P185" s="10">
        <f t="shared" si="50"/>
        <v>0.39652508378797691</v>
      </c>
      <c r="Q185" s="10">
        <f t="shared" si="44"/>
        <v>0.12346182432238</v>
      </c>
      <c r="S185" s="5">
        <f t="shared" si="45"/>
        <v>0.10851867626415652</v>
      </c>
      <c r="T185" s="5">
        <f t="shared" si="46"/>
        <v>5.7804175318563196E-2</v>
      </c>
      <c r="U185" s="5">
        <f t="shared" si="47"/>
        <v>0.19784412292324788</v>
      </c>
    </row>
    <row r="186" spans="1:21">
      <c r="A186" s="19">
        <f t="shared" si="48"/>
        <v>14.333333333333366</v>
      </c>
      <c r="B186" s="10">
        <f t="shared" si="34"/>
        <v>0.3299268959454485</v>
      </c>
      <c r="C186" s="10">
        <f t="shared" si="36"/>
        <v>0.49692027092489943</v>
      </c>
      <c r="D186" s="10">
        <f t="shared" si="37"/>
        <v>0.16394736251862338</v>
      </c>
      <c r="H186" s="19">
        <f t="shared" si="35"/>
        <v>14.333333333333366</v>
      </c>
      <c r="I186" s="10">
        <f t="shared" si="38"/>
        <v>0.64991986178267191</v>
      </c>
      <c r="J186" s="10">
        <f t="shared" si="39"/>
        <v>0.21442604261125187</v>
      </c>
      <c r="K186" s="10">
        <f t="shared" si="40"/>
        <v>0.11550085333419663</v>
      </c>
      <c r="L186" s="10">
        <f t="shared" si="41"/>
        <v>0.55420375637792918</v>
      </c>
      <c r="M186" s="10">
        <f t="shared" si="42"/>
        <v>0.99458310989329424</v>
      </c>
      <c r="N186" s="10">
        <f t="shared" si="43"/>
        <v>0.98967184963489674</v>
      </c>
      <c r="O186" s="10">
        <f t="shared" si="49"/>
        <v>1.0279920913982842E-2</v>
      </c>
      <c r="P186" s="10">
        <f t="shared" si="50"/>
        <v>0.39661205765119278</v>
      </c>
      <c r="Q186" s="10">
        <f t="shared" si="44"/>
        <v>0.12420753656109772</v>
      </c>
      <c r="S186" s="5">
        <f t="shared" si="45"/>
        <v>0.10655264718773731</v>
      </c>
      <c r="T186" s="5">
        <f t="shared" si="46"/>
        <v>5.7394715330886061E-2</v>
      </c>
      <c r="U186" s="5">
        <f t="shared" si="47"/>
        <v>0.19708457114011255</v>
      </c>
    </row>
    <row r="187" spans="1:21">
      <c r="A187" s="19">
        <f t="shared" si="48"/>
        <v>14.4166666666667</v>
      </c>
      <c r="B187" s="10">
        <f t="shared" si="34"/>
        <v>0.32651936135463211</v>
      </c>
      <c r="C187" s="10">
        <f t="shared" si="36"/>
        <v>0.4949039708864888</v>
      </c>
      <c r="D187" s="10">
        <f t="shared" si="37"/>
        <v>0.16159572850572776</v>
      </c>
      <c r="H187" s="19">
        <f t="shared" si="35"/>
        <v>14.4166666666667</v>
      </c>
      <c r="I187" s="10">
        <f t="shared" si="38"/>
        <v>0.64737735355051995</v>
      </c>
      <c r="J187" s="10">
        <f t="shared" si="39"/>
        <v>0.21138124003676764</v>
      </c>
      <c r="K187" s="10">
        <f t="shared" si="40"/>
        <v>0.11513812131786445</v>
      </c>
      <c r="L187" s="10">
        <f t="shared" si="41"/>
        <v>0.55120169553290643</v>
      </c>
      <c r="M187" s="10">
        <f t="shared" si="42"/>
        <v>0.99455176827025871</v>
      </c>
      <c r="N187" s="10">
        <f t="shared" si="43"/>
        <v>0.98960979212563294</v>
      </c>
      <c r="O187" s="10">
        <f t="shared" si="49"/>
        <v>1.0341411165934707E-2</v>
      </c>
      <c r="P187" s="10">
        <f t="shared" si="50"/>
        <v>0.39666793647984383</v>
      </c>
      <c r="Q187" s="10">
        <f t="shared" si="44"/>
        <v>0.1249577565699139</v>
      </c>
      <c r="S187" s="5">
        <f t="shared" si="45"/>
        <v>0.10461341506510635</v>
      </c>
      <c r="T187" s="5">
        <f t="shared" si="46"/>
        <v>5.6982313440621407E-2</v>
      </c>
      <c r="U187" s="5">
        <f t="shared" si="47"/>
        <v>0.19631253688722422</v>
      </c>
    </row>
    <row r="188" spans="1:21">
      <c r="A188" s="19">
        <f t="shared" si="48"/>
        <v>14.500000000000034</v>
      </c>
      <c r="B188" s="10">
        <f t="shared" si="34"/>
        <v>0.32312675731515189</v>
      </c>
      <c r="C188" s="10">
        <f t="shared" si="36"/>
        <v>0.49289585217229204</v>
      </c>
      <c r="D188" s="10">
        <f t="shared" si="37"/>
        <v>0.1592678384065212</v>
      </c>
      <c r="H188" s="19">
        <f t="shared" si="35"/>
        <v>14.500000000000034</v>
      </c>
      <c r="I188" s="10">
        <f t="shared" si="38"/>
        <v>0.6448305308097978</v>
      </c>
      <c r="J188" s="10">
        <f t="shared" si="39"/>
        <v>0.2083619984383781</v>
      </c>
      <c r="K188" s="10">
        <f t="shared" si="40"/>
        <v>0.11476475887677379</v>
      </c>
      <c r="L188" s="10">
        <f t="shared" si="41"/>
        <v>0.54819862096581684</v>
      </c>
      <c r="M188" s="10">
        <f t="shared" si="42"/>
        <v>0.99452024552812712</v>
      </c>
      <c r="N188" s="10">
        <f t="shared" si="43"/>
        <v>0.98954736341042926</v>
      </c>
      <c r="O188" s="10">
        <f t="shared" si="49"/>
        <v>1.0403265963703747E-2</v>
      </c>
      <c r="P188" s="10">
        <f t="shared" si="50"/>
        <v>0.39669277795812874</v>
      </c>
      <c r="Q188" s="10">
        <f t="shared" si="44"/>
        <v>0.12571251159793365</v>
      </c>
      <c r="S188" s="5">
        <f t="shared" si="45"/>
        <v>0.10270076478060616</v>
      </c>
      <c r="T188" s="5">
        <f t="shared" si="46"/>
        <v>5.6567073625915031E-2</v>
      </c>
      <c r="U188" s="5">
        <f t="shared" si="47"/>
        <v>0.1955282248422657</v>
      </c>
    </row>
    <row r="189" spans="1:21">
      <c r="A189" s="19">
        <f t="shared" si="48"/>
        <v>14.583333333333368</v>
      </c>
      <c r="B189" s="10">
        <f t="shared" si="34"/>
        <v>0.3197492307485702</v>
      </c>
      <c r="C189" s="10">
        <f t="shared" si="36"/>
        <v>0.49089588158582814</v>
      </c>
      <c r="D189" s="10">
        <f t="shared" si="37"/>
        <v>0.15696358051470977</v>
      </c>
      <c r="H189" s="19">
        <f t="shared" si="35"/>
        <v>14.583333333333368</v>
      </c>
      <c r="I189" s="10">
        <f t="shared" si="38"/>
        <v>0.64227944264633463</v>
      </c>
      <c r="J189" s="10">
        <f t="shared" si="39"/>
        <v>0.20536835771178591</v>
      </c>
      <c r="K189" s="10">
        <f t="shared" si="40"/>
        <v>0.11438087303678429</v>
      </c>
      <c r="L189" s="10">
        <f t="shared" si="41"/>
        <v>0.54519462712110489</v>
      </c>
      <c r="M189" s="10">
        <f t="shared" si="42"/>
        <v>0.99448854062605918</v>
      </c>
      <c r="N189" s="10">
        <f t="shared" si="43"/>
        <v>0.98948456129274298</v>
      </c>
      <c r="O189" s="10">
        <f t="shared" si="49"/>
        <v>1.0465487425888573E-2</v>
      </c>
      <c r="P189" s="10">
        <f t="shared" si="50"/>
        <v>0.39668664422063626</v>
      </c>
      <c r="Q189" s="10">
        <f t="shared" si="44"/>
        <v>0.12647182905898119</v>
      </c>
      <c r="S189" s="5">
        <f t="shared" si="45"/>
        <v>0.10081448100876085</v>
      </c>
      <c r="T189" s="5">
        <f t="shared" si="46"/>
        <v>5.6149099505948902E-2</v>
      </c>
      <c r="U189" s="5">
        <f t="shared" si="47"/>
        <v>0.19473183992801299</v>
      </c>
    </row>
    <row r="190" spans="1:21">
      <c r="A190" s="19">
        <f t="shared" si="48"/>
        <v>14.666666666666702</v>
      </c>
      <c r="B190" s="10">
        <f t="shared" si="34"/>
        <v>0.31638692731094104</v>
      </c>
      <c r="C190" s="10">
        <f t="shared" si="36"/>
        <v>0.48890402606531402</v>
      </c>
      <c r="D190" s="10">
        <f t="shared" si="37"/>
        <v>0.15468284255675294</v>
      </c>
      <c r="H190" s="19">
        <f t="shared" si="35"/>
        <v>14.666666666666702</v>
      </c>
      <c r="I190" s="10">
        <f t="shared" si="38"/>
        <v>0.63972413873833434</v>
      </c>
      <c r="J190" s="10">
        <f t="shared" si="39"/>
        <v>0.20240035458205974</v>
      </c>
      <c r="K190" s="10">
        <f t="shared" si="40"/>
        <v>0.1139865727288813</v>
      </c>
      <c r="L190" s="10">
        <f t="shared" si="41"/>
        <v>0.54218980908283609</v>
      </c>
      <c r="M190" s="10">
        <f t="shared" si="42"/>
        <v>0.99445665251729953</v>
      </c>
      <c r="N190" s="10">
        <f t="shared" si="43"/>
        <v>0.98942138356332043</v>
      </c>
      <c r="O190" s="10">
        <f t="shared" si="49"/>
        <v>1.0528077682888409E-2</v>
      </c>
      <c r="P190" s="10">
        <f t="shared" si="50"/>
        <v>0.39664960186213738</v>
      </c>
      <c r="Q190" s="10">
        <f t="shared" si="44"/>
        <v>0.12723573653259426</v>
      </c>
      <c r="S190" s="5">
        <f t="shared" si="45"/>
        <v>9.8954348232216133E-2</v>
      </c>
      <c r="T190" s="5">
        <f t="shared" si="46"/>
        <v>5.5728494324536797E-2</v>
      </c>
      <c r="U190" s="5">
        <f t="shared" si="47"/>
        <v>0.19392358728760284</v>
      </c>
    </row>
    <row r="191" spans="1:21">
      <c r="A191" s="19">
        <f t="shared" si="48"/>
        <v>14.750000000000036</v>
      </c>
      <c r="B191" s="10">
        <f t="shared" si="34"/>
        <v>0.31303999136133898</v>
      </c>
      <c r="C191" s="10">
        <f t="shared" si="36"/>
        <v>0.48692025268311767</v>
      </c>
      <c r="D191" s="10">
        <f t="shared" si="37"/>
        <v>0.15242551169358415</v>
      </c>
      <c r="H191" s="19">
        <f t="shared" si="35"/>
        <v>14.750000000000036</v>
      </c>
      <c r="I191" s="10">
        <f t="shared" si="38"/>
        <v>0.63716466935745564</v>
      </c>
      <c r="J191" s="10">
        <f t="shared" si="39"/>
        <v>0.19945802259140832</v>
      </c>
      <c r="K191" s="10">
        <f t="shared" si="40"/>
        <v>0.11358196876993065</v>
      </c>
      <c r="L191" s="10">
        <f t="shared" si="41"/>
        <v>0.53918426256951091</v>
      </c>
      <c r="M191" s="10">
        <f t="shared" si="42"/>
        <v>0.99442458014914825</v>
      </c>
      <c r="N191" s="10">
        <f t="shared" si="43"/>
        <v>0.9893578280001335</v>
      </c>
      <c r="O191" s="10">
        <f t="shared" si="49"/>
        <v>1.0591038876962614E-2</v>
      </c>
      <c r="P191" s="10">
        <f t="shared" si="50"/>
        <v>0.39658172194622482</v>
      </c>
      <c r="Q191" s="10">
        <f t="shared" si="44"/>
        <v>0.12800426176502752</v>
      </c>
      <c r="S191" s="5">
        <f t="shared" si="45"/>
        <v>9.7120150759883533E-2</v>
      </c>
      <c r="T191" s="5">
        <f t="shared" si="46"/>
        <v>5.5305360933700615E-2</v>
      </c>
      <c r="U191" s="5">
        <f t="shared" si="47"/>
        <v>0.19310367225956171</v>
      </c>
    </row>
    <row r="192" spans="1:21">
      <c r="A192" s="19">
        <f t="shared" si="48"/>
        <v>14.833333333333369</v>
      </c>
      <c r="B192" s="10">
        <f t="shared" si="34"/>
        <v>0.30970856593043489</v>
      </c>
      <c r="C192" s="10">
        <f t="shared" si="36"/>
        <v>0.48494452864521409</v>
      </c>
      <c r="D192" s="10">
        <f t="shared" si="37"/>
        <v>0.15019147452251996</v>
      </c>
      <c r="H192" s="19">
        <f t="shared" si="35"/>
        <v>14.833333333333369</v>
      </c>
      <c r="I192" s="10">
        <f t="shared" si="38"/>
        <v>0.63460108536982407</v>
      </c>
      <c r="J192" s="10">
        <f t="shared" si="39"/>
        <v>0.1965413920877857</v>
      </c>
      <c r="K192" s="10">
        <f t="shared" si="40"/>
        <v>0.1131671738426492</v>
      </c>
      <c r="L192" s="10">
        <f t="shared" si="41"/>
        <v>0.53617808392871402</v>
      </c>
      <c r="M192" s="10">
        <f t="shared" si="42"/>
        <v>0.99439232246292442</v>
      </c>
      <c r="N192" s="10">
        <f t="shared" si="43"/>
        <v>0.98929389236830023</v>
      </c>
      <c r="O192" s="10">
        <f t="shared" si="49"/>
        <v>1.0654373162290381E-2</v>
      </c>
      <c r="P192" s="10">
        <f t="shared" si="50"/>
        <v>0.39648308001278854</v>
      </c>
      <c r="Q192" s="10">
        <f t="shared" si="44"/>
        <v>0.1287774326702589</v>
      </c>
      <c r="S192" s="5">
        <f t="shared" si="45"/>
        <v>9.5311672745285445E-2</v>
      </c>
      <c r="T192" s="5">
        <f t="shared" si="46"/>
        <v>5.4879801777234519E-2</v>
      </c>
      <c r="U192" s="5">
        <f t="shared" si="47"/>
        <v>0.19227230035260445</v>
      </c>
    </row>
    <row r="193" spans="1:21">
      <c r="A193" s="19">
        <f t="shared" si="48"/>
        <v>14.916666666666703</v>
      </c>
      <c r="B193" s="10">
        <f t="shared" si="34"/>
        <v>0.30639279268912428</v>
      </c>
      <c r="C193" s="10">
        <f t="shared" si="36"/>
        <v>0.48297682129064301</v>
      </c>
      <c r="D193" s="10">
        <f t="shared" si="37"/>
        <v>0.1479806170793562</v>
      </c>
      <c r="H193" s="19">
        <f t="shared" si="35"/>
        <v>14.916666666666703</v>
      </c>
      <c r="I193" s="10">
        <f t="shared" si="38"/>
        <v>0.63203343823697589</v>
      </c>
      <c r="J193" s="10">
        <f t="shared" si="39"/>
        <v>0.1936504902143362</v>
      </c>
      <c r="K193" s="10">
        <f t="shared" si="40"/>
        <v>0.1127423024747881</v>
      </c>
      <c r="L193" s="10">
        <f t="shared" si="41"/>
        <v>0.53317137013159477</v>
      </c>
      <c r="M193" s="10">
        <f t="shared" si="42"/>
        <v>0.99435987839393547</v>
      </c>
      <c r="N193" s="10">
        <f t="shared" si="43"/>
        <v>0.98922957442002613</v>
      </c>
      <c r="O193" s="10">
        <f t="shared" si="49"/>
        <v>1.071808270503076E-2</v>
      </c>
      <c r="P193" s="10">
        <f t="shared" si="50"/>
        <v>0.39635375608430956</v>
      </c>
      <c r="Q193" s="10">
        <f t="shared" si="44"/>
        <v>0.12955527733100441</v>
      </c>
      <c r="S193" s="5">
        <f t="shared" si="45"/>
        <v>9.3528698205094865E-2</v>
      </c>
      <c r="T193" s="5">
        <f t="shared" si="46"/>
        <v>5.4451918874261353E-2</v>
      </c>
      <c r="U193" s="5">
        <f t="shared" si="47"/>
        <v>0.19142967722020668</v>
      </c>
    </row>
    <row r="194" spans="1:21">
      <c r="A194" s="19">
        <f t="shared" si="48"/>
        <v>15.000000000000037</v>
      </c>
      <c r="B194" s="10">
        <f t="shared" si="34"/>
        <v>0.3030928119172257</v>
      </c>
      <c r="C194" s="10">
        <f t="shared" si="36"/>
        <v>0.48101709809096915</v>
      </c>
      <c r="D194" s="10">
        <f t="shared" si="37"/>
        <v>0.14579282484065581</v>
      </c>
      <c r="H194" s="19">
        <f t="shared" si="35"/>
        <v>15.000000000000037</v>
      </c>
      <c r="I194" s="10">
        <f t="shared" si="38"/>
        <v>0.6294617800167347</v>
      </c>
      <c r="J194" s="10">
        <f t="shared" si="39"/>
        <v>0.19078534089969426</v>
      </c>
      <c r="K194" s="10">
        <f t="shared" si="40"/>
        <v>0.11230747101753143</v>
      </c>
      <c r="L194" s="10">
        <f t="shared" si="41"/>
        <v>0.53016421876718056</v>
      </c>
      <c r="M194" s="10">
        <f t="shared" si="42"/>
        <v>0.99432724687144336</v>
      </c>
      <c r="N194" s="10">
        <f t="shared" si="43"/>
        <v>0.98916487189451996</v>
      </c>
      <c r="O194" s="10">
        <f t="shared" si="49"/>
        <v>1.0782169683382756E-2</v>
      </c>
      <c r="P194" s="10">
        <f t="shared" si="50"/>
        <v>0.39619383467096059</v>
      </c>
      <c r="Q194" s="10">
        <f t="shared" si="44"/>
        <v>0.13033782399973756</v>
      </c>
      <c r="S194" s="5">
        <f t="shared" si="45"/>
        <v>9.1771011037867223E-2</v>
      </c>
      <c r="T194" s="5">
        <f t="shared" si="46"/>
        <v>5.4021813802788587E-2</v>
      </c>
      <c r="U194" s="5">
        <f t="shared" si="47"/>
        <v>0.19057600863495866</v>
      </c>
    </row>
    <row r="195" spans="1:21">
      <c r="A195" s="19">
        <f t="shared" si="48"/>
        <v>15.083333333333371</v>
      </c>
      <c r="B195" s="10">
        <f t="shared" si="34"/>
        <v>0.29980876247225241</v>
      </c>
      <c r="C195" s="10">
        <f t="shared" si="36"/>
        <v>0.47906532664974416</v>
      </c>
      <c r="D195" s="10">
        <f t="shared" si="37"/>
        <v>0.14362798272622515</v>
      </c>
      <c r="H195" s="19">
        <f t="shared" si="35"/>
        <v>15.083333333333371</v>
      </c>
      <c r="I195" s="10">
        <f t="shared" si="38"/>
        <v>0.62688616336401382</v>
      </c>
      <c r="J195" s="10">
        <f t="shared" si="39"/>
        <v>0.18794596484914325</v>
      </c>
      <c r="K195" s="10">
        <f t="shared" si="40"/>
        <v>0.11186279762310918</v>
      </c>
      <c r="L195" s="10">
        <f t="shared" si="41"/>
        <v>0.52715672803652025</v>
      </c>
      <c r="M195" s="10">
        <f t="shared" si="42"/>
        <v>0.99429442681862945</v>
      </c>
      <c r="N195" s="10">
        <f t="shared" si="43"/>
        <v>0.98909978251793429</v>
      </c>
      <c r="O195" s="10">
        <f t="shared" si="49"/>
        <v>1.0846636287645784E-2</v>
      </c>
      <c r="P195" s="10">
        <f t="shared" si="50"/>
        <v>0.39600340477449858</v>
      </c>
      <c r="Q195" s="10">
        <f t="shared" si="44"/>
        <v>0.13112510109971598</v>
      </c>
      <c r="S195" s="5">
        <f t="shared" si="45"/>
        <v>9.0038395042956146E-2</v>
      </c>
      <c r="T195" s="5">
        <f t="shared" si="46"/>
        <v>5.3589587683269019E-2</v>
      </c>
      <c r="U195" s="5">
        <f t="shared" si="47"/>
        <v>0.18971150046270602</v>
      </c>
    </row>
    <row r="196" spans="1:21">
      <c r="A196" s="19">
        <f t="shared" si="48"/>
        <v>15.166666666666705</v>
      </c>
      <c r="B196" s="10">
        <f t="shared" si="34"/>
        <v>0.29654078175827586</v>
      </c>
      <c r="C196" s="10">
        <f t="shared" si="36"/>
        <v>0.47712147470197147</v>
      </c>
      <c r="D196" s="10">
        <f t="shared" si="37"/>
        <v>0.14148597510178407</v>
      </c>
      <c r="H196" s="19">
        <f t="shared" si="35"/>
        <v>15.166666666666705</v>
      </c>
      <c r="I196" s="10">
        <f t="shared" si="38"/>
        <v>0.62430664153155102</v>
      </c>
      <c r="J196" s="10">
        <f t="shared" si="39"/>
        <v>0.18513237953664982</v>
      </c>
      <c r="K196" s="10">
        <f t="shared" si="40"/>
        <v>0.11140840222162603</v>
      </c>
      <c r="L196" s="10">
        <f t="shared" si="41"/>
        <v>0.52414899674665605</v>
      </c>
      <c r="M196" s="10">
        <f t="shared" si="42"/>
        <v>0.99426141715256278</v>
      </c>
      <c r="N196" s="10">
        <f t="shared" si="43"/>
        <v>0.98903430400328507</v>
      </c>
      <c r="O196" s="10">
        <f t="shared" si="49"/>
        <v>1.0911484720280289E-2</v>
      </c>
      <c r="P196" s="10">
        <f t="shared" si="50"/>
        <v>0.39578255989093508</v>
      </c>
      <c r="Q196" s="10">
        <f t="shared" si="44"/>
        <v>0.13191713722601328</v>
      </c>
      <c r="S196" s="5">
        <f t="shared" si="45"/>
        <v>8.833063393961145E-2</v>
      </c>
      <c r="T196" s="5">
        <f t="shared" si="46"/>
        <v>5.3155341162172604E-2</v>
      </c>
      <c r="U196" s="5">
        <f t="shared" si="47"/>
        <v>0.18883635863648429</v>
      </c>
    </row>
    <row r="197" spans="1:21">
      <c r="A197" s="19">
        <f t="shared" si="48"/>
        <v>15.250000000000039</v>
      </c>
      <c r="B197" s="10">
        <f t="shared" si="34"/>
        <v>0.29328900569488642</v>
      </c>
      <c r="C197" s="10">
        <f t="shared" si="36"/>
        <v>0.47518551011357274</v>
      </c>
      <c r="D197" s="10">
        <f t="shared" si="37"/>
        <v>0.13936668578182715</v>
      </c>
      <c r="H197" s="19">
        <f t="shared" si="35"/>
        <v>15.250000000000039</v>
      </c>
      <c r="I197" s="10">
        <f t="shared" si="38"/>
        <v>0.62172326837056724</v>
      </c>
      <c r="J197" s="10">
        <f t="shared" si="39"/>
        <v>0.18234459919777868</v>
      </c>
      <c r="K197" s="10">
        <f t="shared" si="40"/>
        <v>0.11094440649710773</v>
      </c>
      <c r="L197" s="10">
        <f t="shared" si="41"/>
        <v>0.52114112430442427</v>
      </c>
      <c r="M197" s="10">
        <f t="shared" si="42"/>
        <v>0.99422821678416684</v>
      </c>
      <c r="N197" s="10">
        <f t="shared" si="43"/>
        <v>0.98896843405038515</v>
      </c>
      <c r="O197" s="10">
        <f t="shared" si="49"/>
        <v>1.0976717195968575E-2</v>
      </c>
      <c r="P197" s="10">
        <f t="shared" si="50"/>
        <v>0.39553139801197346</v>
      </c>
      <c r="Q197" s="10">
        <f t="shared" si="44"/>
        <v>0.13271396114655862</v>
      </c>
      <c r="S197" s="5">
        <f t="shared" si="45"/>
        <v>8.664751138625143E-2</v>
      </c>
      <c r="T197" s="5">
        <f t="shared" si="46"/>
        <v>5.2719174395575712E-2</v>
      </c>
      <c r="U197" s="5">
        <f t="shared" si="47"/>
        <v>0.18795078913025418</v>
      </c>
    </row>
    <row r="198" spans="1:21">
      <c r="A198" s="19">
        <f t="shared" si="48"/>
        <v>15.333333333333373</v>
      </c>
      <c r="B198" s="10">
        <f t="shared" si="34"/>
        <v>0.29005356868626631</v>
      </c>
      <c r="C198" s="10">
        <f t="shared" si="36"/>
        <v>0.47325740088085638</v>
      </c>
      <c r="D198" s="10">
        <f t="shared" si="37"/>
        <v>0.13726999803267934</v>
      </c>
      <c r="H198" s="19">
        <f t="shared" si="35"/>
        <v>15.333333333333373</v>
      </c>
      <c r="I198" s="10">
        <f t="shared" si="38"/>
        <v>0.61913609833135286</v>
      </c>
      <c r="J198" s="10">
        <f t="shared" si="39"/>
        <v>0.17958263482349998</v>
      </c>
      <c r="K198" s="10">
        <f t="shared" si="40"/>
        <v>0.11047093386276632</v>
      </c>
      <c r="L198" s="10">
        <f t="shared" si="41"/>
        <v>0.51813321071008356</v>
      </c>
      <c r="M198" s="10">
        <f t="shared" si="42"/>
        <v>0.99419482461818143</v>
      </c>
      <c r="N198" s="10">
        <f t="shared" si="43"/>
        <v>0.98890217034576777</v>
      </c>
      <c r="O198" s="10">
        <f t="shared" si="49"/>
        <v>1.1042335941675844E-2</v>
      </c>
      <c r="P198" s="10">
        <f t="shared" si="50"/>
        <v>0.39525002162519918</v>
      </c>
      <c r="Q198" s="10">
        <f t="shared" si="44"/>
        <v>0.13351560180318003</v>
      </c>
      <c r="S198" s="5">
        <f t="shared" si="45"/>
        <v>8.4988810999905573E-2</v>
      </c>
      <c r="T198" s="5">
        <f t="shared" si="46"/>
        <v>5.2281187032773777E-2</v>
      </c>
      <c r="U198" s="5">
        <f t="shared" si="47"/>
        <v>0.18705499793244404</v>
      </c>
    </row>
    <row r="199" spans="1:21">
      <c r="A199" s="19">
        <f t="shared" si="48"/>
        <v>15.416666666666707</v>
      </c>
      <c r="B199" s="10">
        <f t="shared" si="34"/>
        <v>0.28683460359038399</v>
      </c>
      <c r="C199" s="10">
        <f t="shared" si="36"/>
        <v>0.4713371151299891</v>
      </c>
      <c r="D199" s="10">
        <f t="shared" si="37"/>
        <v>0.1351957945757456</v>
      </c>
      <c r="H199" s="19">
        <f t="shared" si="35"/>
        <v>15.416666666666707</v>
      </c>
      <c r="I199" s="10">
        <f t="shared" si="38"/>
        <v>0.61654518646377776</v>
      </c>
      <c r="J199" s="10">
        <f t="shared" si="39"/>
        <v>0.17684649415489706</v>
      </c>
      <c r="K199" s="10">
        <f t="shared" si="40"/>
        <v>0.10998810943548691</v>
      </c>
      <c r="L199" s="10">
        <f t="shared" si="41"/>
        <v>0.51512535655076674</v>
      </c>
      <c r="M199" s="10">
        <f t="shared" si="42"/>
        <v>0.99416123955313396</v>
      </c>
      <c r="N199" s="10">
        <f t="shared" si="43"/>
        <v>0.98883551056261809</v>
      </c>
      <c r="O199" s="10">
        <f t="shared" si="49"/>
        <v>1.1108343196711532E-2</v>
      </c>
      <c r="P199" s="10">
        <f t="shared" si="50"/>
        <v>0.39493853771300969</v>
      </c>
      <c r="Q199" s="10">
        <f t="shared" si="44"/>
        <v>0.13432208831265754</v>
      </c>
      <c r="S199" s="5">
        <f t="shared" si="45"/>
        <v>8.3354316375821663E-2</v>
      </c>
      <c r="T199" s="5">
        <f t="shared" si="46"/>
        <v>5.1841478199923935E-2</v>
      </c>
      <c r="U199" s="5">
        <f t="shared" si="47"/>
        <v>0.18614919101930638</v>
      </c>
    </row>
    <row r="200" spans="1:21">
      <c r="A200" s="19">
        <f t="shared" si="48"/>
        <v>15.500000000000041</v>
      </c>
      <c r="B200" s="10">
        <f t="shared" si="34"/>
        <v>0.28363224168832352</v>
      </c>
      <c r="C200" s="10">
        <f t="shared" si="36"/>
        <v>0.46942462111646838</v>
      </c>
      <c r="D200" s="10">
        <f t="shared" si="37"/>
        <v>0.13314395759095585</v>
      </c>
      <c r="H200" s="19">
        <f t="shared" si="35"/>
        <v>15.500000000000041</v>
      </c>
      <c r="I200" s="10">
        <f t="shared" si="38"/>
        <v>0.61395058841772543</v>
      </c>
      <c r="J200" s="10">
        <f t="shared" si="39"/>
        <v>0.17413618167878472</v>
      </c>
      <c r="K200" s="10">
        <f t="shared" si="40"/>
        <v>0.10949606000953878</v>
      </c>
      <c r="L200" s="10">
        <f t="shared" si="41"/>
        <v>0.51211766299376038</v>
      </c>
      <c r="M200" s="10">
        <f t="shared" si="42"/>
        <v>0.99412746048130085</v>
      </c>
      <c r="N200" s="10">
        <f t="shared" si="43"/>
        <v>0.98876845236069466</v>
      </c>
      <c r="O200" s="10">
        <f t="shared" si="49"/>
        <v>1.1174741212790773E-2</v>
      </c>
      <c r="P200" s="10">
        <f t="shared" si="50"/>
        <v>0.3945970577502757</v>
      </c>
      <c r="Q200" s="10">
        <f t="shared" si="44"/>
        <v>0.13513344996777879</v>
      </c>
      <c r="S200" s="5">
        <f t="shared" si="45"/>
        <v>8.1743811107232014E-2</v>
      </c>
      <c r="T200" s="5">
        <f t="shared" si="46"/>
        <v>5.1400146483723826E-2</v>
      </c>
      <c r="U200" s="5">
        <f t="shared" si="47"/>
        <v>0.18523357432809637</v>
      </c>
    </row>
    <row r="201" spans="1:21">
      <c r="A201" s="19">
        <f t="shared" si="48"/>
        <v>15.583333333333375</v>
      </c>
      <c r="B201" s="10">
        <f t="shared" si="34"/>
        <v>0.28044661265375814</v>
      </c>
      <c r="C201" s="10">
        <f t="shared" si="36"/>
        <v>0.46751988722459814</v>
      </c>
      <c r="D201" s="10">
        <f t="shared" si="37"/>
        <v>0.13111436872040558</v>
      </c>
      <c r="H201" s="19">
        <f t="shared" si="35"/>
        <v>15.583333333333375</v>
      </c>
      <c r="I201" s="10">
        <f t="shared" si="38"/>
        <v>0.61135236044344876</v>
      </c>
      <c r="J201" s="10">
        <f t="shared" si="39"/>
        <v>0.17145169862424461</v>
      </c>
      <c r="K201" s="10">
        <f t="shared" si="40"/>
        <v>0.10899491402951354</v>
      </c>
      <c r="L201" s="10">
        <f t="shared" si="41"/>
        <v>0.50911023177960568</v>
      </c>
      <c r="M201" s="10">
        <f t="shared" si="42"/>
        <v>0.99409348628867489</v>
      </c>
      <c r="N201" s="10">
        <f t="shared" si="43"/>
        <v>0.98870099338626205</v>
      </c>
      <c r="O201" s="10">
        <f t="shared" si="49"/>
        <v>1.1241532254096145E-2</v>
      </c>
      <c r="P201" s="10">
        <f t="shared" si="50"/>
        <v>0.39422569770071875</v>
      </c>
      <c r="Q201" s="10">
        <f t="shared" si="44"/>
        <v>0.13594971623840479</v>
      </c>
      <c r="S201" s="5">
        <f t="shared" si="45"/>
        <v>8.0157078805272633E-2</v>
      </c>
      <c r="T201" s="5">
        <f t="shared" si="46"/>
        <v>5.0957289915132944E-2</v>
      </c>
      <c r="U201" s="5">
        <f t="shared" si="47"/>
        <v>0.18430835373007853</v>
      </c>
    </row>
    <row r="202" spans="1:21">
      <c r="A202" s="19">
        <f t="shared" si="48"/>
        <v>15.666666666666709</v>
      </c>
      <c r="B202" s="10">
        <f t="shared" si="34"/>
        <v>0.27727784452258292</v>
      </c>
      <c r="C202" s="10">
        <f t="shared" si="36"/>
        <v>0.46562288196696566</v>
      </c>
      <c r="D202" s="10">
        <f t="shared" si="37"/>
        <v>0.12910690907219327</v>
      </c>
      <c r="H202" s="19">
        <f t="shared" si="35"/>
        <v>15.666666666666709</v>
      </c>
      <c r="I202" s="10">
        <f t="shared" si="38"/>
        <v>0.60875055939184708</v>
      </c>
      <c r="J202" s="10">
        <f t="shared" si="39"/>
        <v>0.16879304296008796</v>
      </c>
      <c r="K202" s="10">
        <f t="shared" si="40"/>
        <v>0.10848480156249496</v>
      </c>
      <c r="L202" s="10">
        <f t="shared" si="41"/>
        <v>0.50610316521502352</v>
      </c>
      <c r="M202" s="10">
        <f t="shared" si="42"/>
        <v>0.99405931585492957</v>
      </c>
      <c r="N202" s="10">
        <f t="shared" si="43"/>
        <v>0.98863313127201136</v>
      </c>
      <c r="O202" s="10">
        <f t="shared" si="49"/>
        <v>1.130871859733959E-2</v>
      </c>
      <c r="P202" s="10">
        <f t="shared" si="50"/>
        <v>0.39382457801199672</v>
      </c>
      <c r="Q202" s="10">
        <f t="shared" si="44"/>
        <v>0.13677091677253894</v>
      </c>
      <c r="S202" s="5">
        <f t="shared" si="45"/>
        <v>7.8593903119049999E-2</v>
      </c>
      <c r="T202" s="5">
        <f t="shared" si="46"/>
        <v>5.0513005953143279E-2</v>
      </c>
      <c r="U202" s="5">
        <f t="shared" si="47"/>
        <v>0.18337373500337001</v>
      </c>
    </row>
    <row r="203" spans="1:21">
      <c r="A203" s="19">
        <f t="shared" si="48"/>
        <v>15.750000000000043</v>
      </c>
      <c r="B203" s="10">
        <f t="shared" si="34"/>
        <v>0.27412606366271508</v>
      </c>
      <c r="C203" s="10">
        <f t="shared" si="36"/>
        <v>0.46373357398392145</v>
      </c>
      <c r="D203" s="10">
        <f t="shared" si="37"/>
        <v>0.12712145922445484</v>
      </c>
      <c r="H203" s="19">
        <f t="shared" si="35"/>
        <v>15.750000000000043</v>
      </c>
      <c r="I203" s="10">
        <f t="shared" si="38"/>
        <v>0.60614524271466264</v>
      </c>
      <c r="J203" s="10">
        <f t="shared" si="39"/>
        <v>0.16616020939325149</v>
      </c>
      <c r="K203" s="10">
        <f t="shared" si="40"/>
        <v>0.10796585426946359</v>
      </c>
      <c r="L203" s="10">
        <f t="shared" si="41"/>
        <v>0.50309656616566067</v>
      </c>
      <c r="M203" s="10">
        <f t="shared" si="42"/>
        <v>0.99402494805338637</v>
      </c>
      <c r="N203" s="10">
        <f t="shared" si="43"/>
        <v>0.98856486363699148</v>
      </c>
      <c r="O203" s="10">
        <f t="shared" si="49"/>
        <v>1.1376302531824605E-2</v>
      </c>
      <c r="P203" s="10">
        <f t="shared" si="50"/>
        <v>0.3933938236094861</v>
      </c>
      <c r="Q203" s="10">
        <f t="shared" si="44"/>
        <v>0.13759708139740467</v>
      </c>
      <c r="S203" s="5">
        <f t="shared" si="45"/>
        <v>7.7054067755849276E-2</v>
      </c>
      <c r="T203" s="5">
        <f t="shared" si="46"/>
        <v>5.0067391468605574E-2</v>
      </c>
      <c r="U203" s="5">
        <f t="shared" si="47"/>
        <v>0.18242992380562736</v>
      </c>
    </row>
    <row r="204" spans="1:21">
      <c r="A204" s="19">
        <f t="shared" si="48"/>
        <v>15.833333333333377</v>
      </c>
      <c r="B204" s="10">
        <f t="shared" si="34"/>
        <v>0.27099139474407719</v>
      </c>
      <c r="C204" s="10">
        <f t="shared" si="36"/>
        <v>0.46185193204306085</v>
      </c>
      <c r="D204" s="10">
        <f t="shared" si="37"/>
        <v>0.1251578992295958</v>
      </c>
      <c r="H204" s="19">
        <f t="shared" si="35"/>
        <v>15.833333333333377</v>
      </c>
      <c r="I204" s="10">
        <f t="shared" si="38"/>
        <v>0.60353646846459597</v>
      </c>
      <c r="J204" s="10">
        <f t="shared" si="39"/>
        <v>0.16355318936813562</v>
      </c>
      <c r="K204" s="10">
        <f t="shared" si="40"/>
        <v>0.10743820537594156</v>
      </c>
      <c r="L204" s="10">
        <f t="shared" si="41"/>
        <v>0.50009053804865788</v>
      </c>
      <c r="M204" s="10">
        <f t="shared" si="42"/>
        <v>0.99399038175097532</v>
      </c>
      <c r="N204" s="10">
        <f t="shared" si="43"/>
        <v>0.98849618808652928</v>
      </c>
      <c r="O204" s="10">
        <f t="shared" si="49"/>
        <v>1.1444286359508594E-2</v>
      </c>
      <c r="P204" s="10">
        <f t="shared" si="50"/>
        <v>0.39293356388875139</v>
      </c>
      <c r="Q204" s="10">
        <f t="shared" si="44"/>
        <v>0.13842824012052835</v>
      </c>
      <c r="S204" s="5">
        <f t="shared" si="45"/>
        <v>7.553735650147804E-2</v>
      </c>
      <c r="T204" s="5">
        <f t="shared" si="46"/>
        <v>4.9620542728117778E-2</v>
      </c>
      <c r="U204" s="5">
        <f t="shared" si="47"/>
        <v>0.18147712564658533</v>
      </c>
    </row>
    <row r="205" spans="1:21">
      <c r="A205" s="19">
        <f t="shared" si="48"/>
        <v>15.91666666666671</v>
      </c>
      <c r="B205" s="10">
        <f t="shared" si="34"/>
        <v>0.26787396070877223</v>
      </c>
      <c r="C205" s="10">
        <f t="shared" si="36"/>
        <v>0.45997792503870744</v>
      </c>
      <c r="D205" s="10">
        <f t="shared" si="37"/>
        <v>0.12321610861872129</v>
      </c>
      <c r="H205" s="19">
        <f t="shared" si="35"/>
        <v>15.91666666666671</v>
      </c>
      <c r="I205" s="10">
        <f t="shared" si="38"/>
        <v>0.60092429529533831</v>
      </c>
      <c r="J205" s="10">
        <f t="shared" si="39"/>
        <v>0.1609719710668901</v>
      </c>
      <c r="K205" s="10">
        <f t="shared" si="40"/>
        <v>0.10690198964188213</v>
      </c>
      <c r="L205" s="10">
        <f t="shared" si="41"/>
        <v>0.49708518482503611</v>
      </c>
      <c r="M205" s="10">
        <f t="shared" si="42"/>
        <v>0.99395561580820446</v>
      </c>
      <c r="N205" s="10">
        <f t="shared" si="43"/>
        <v>0.98842710221215879</v>
      </c>
      <c r="O205" s="10">
        <f t="shared" si="49"/>
        <v>1.1512672395065475E-2</v>
      </c>
      <c r="P205" s="10">
        <f t="shared" si="50"/>
        <v>0.39244393270669115</v>
      </c>
      <c r="Q205" s="10">
        <f t="shared" si="44"/>
        <v>0.13926442313082987</v>
      </c>
      <c r="S205" s="5">
        <f t="shared" si="45"/>
        <v>7.4043553240738955E-2</v>
      </c>
      <c r="T205" s="5">
        <f t="shared" si="46"/>
        <v>4.917255537798234E-2</v>
      </c>
      <c r="U205" s="5">
        <f t="shared" si="47"/>
        <v>0.18051554586045393</v>
      </c>
    </row>
    <row r="206" spans="1:21">
      <c r="A206" s="19">
        <f t="shared" si="48"/>
        <v>16.000000000000043</v>
      </c>
      <c r="B206" s="10">
        <f t="shared" ref="B206:B269" si="51">(B$9^A206)*B$10^((B$7^65)*((B$7^A206)-1))</f>
        <v>0.26477388274146541</v>
      </c>
      <c r="C206" s="10">
        <f t="shared" si="36"/>
        <v>0.45811152199139898</v>
      </c>
      <c r="D206" s="10">
        <f t="shared" si="37"/>
        <v>0.12129596640626493</v>
      </c>
      <c r="H206" s="19">
        <f t="shared" ref="H206:H269" si="52">A206</f>
        <v>16.000000000000043</v>
      </c>
      <c r="I206" s="10">
        <f t="shared" si="38"/>
        <v>0.59830878246151942</v>
      </c>
      <c r="J206" s="10">
        <f t="shared" si="39"/>
        <v>0.15841653941065528</v>
      </c>
      <c r="K206" s="10">
        <f t="shared" si="40"/>
        <v>0.10635734333081014</v>
      </c>
      <c r="L206" s="10">
        <f t="shared" si="41"/>
        <v>0.49408061099190392</v>
      </c>
      <c r="M206" s="10">
        <f t="shared" si="42"/>
        <v>0.99392064907912114</v>
      </c>
      <c r="N206" s="10">
        <f t="shared" si="43"/>
        <v>0.98835760359154323</v>
      </c>
      <c r="O206" s="10">
        <f t="shared" si="49"/>
        <v>1.158146296594849E-2</v>
      </c>
      <c r="P206" s="10">
        <f t="shared" si="50"/>
        <v>0.39192506837135382</v>
      </c>
      <c r="Q206" s="10">
        <f t="shared" si="44"/>
        <v>0.1401056607997179</v>
      </c>
      <c r="S206" s="5">
        <f t="shared" si="45"/>
        <v>7.2572441978025731E-2</v>
      </c>
      <c r="T206" s="5">
        <f t="shared" si="46"/>
        <v>4.8723524428239198E-2</v>
      </c>
      <c r="U206" s="5">
        <f t="shared" si="47"/>
        <v>0.179545389578184</v>
      </c>
    </row>
    <row r="207" spans="1:21">
      <c r="A207" s="19">
        <f t="shared" si="48"/>
        <v>16.083333333333375</v>
      </c>
      <c r="B207" s="10">
        <f t="shared" si="51"/>
        <v>0.261691280239983</v>
      </c>
      <c r="C207" s="10">
        <f t="shared" ref="C207:C270" si="53">(1+B$8)^-A207</f>
        <v>0.45625269204737529</v>
      </c>
      <c r="D207" s="10">
        <f t="shared" ref="D207:D270" si="54">B207*C207</f>
        <v>0.11939735109481635</v>
      </c>
      <c r="H207" s="19">
        <f t="shared" si="52"/>
        <v>16.083333333333375</v>
      </c>
      <c r="I207" s="10">
        <f t="shared" ref="I207:I270" si="55">(C$9^H207)*C$10^((C$7^63)*((C$7^H207)-1))</f>
        <v>0.59568998981857146</v>
      </c>
      <c r="J207" s="10">
        <f t="shared" ref="J207:J270" si="56">B207*I207</f>
        <v>0.15588687606176441</v>
      </c>
      <c r="K207" s="10">
        <f t="shared" ref="K207:K270" si="57">B207*(1-I207)</f>
        <v>0.1058044041782186</v>
      </c>
      <c r="L207" s="10">
        <f t="shared" ref="L207:L270" si="58">(D$9^H207)*D$10^((D$7^63)*((D$7^H207)-1))</f>
        <v>0.49107692157448191</v>
      </c>
      <c r="M207" s="10">
        <f t="shared" ref="M207:M270" si="59">L208/L207</f>
        <v>0.99388548041127822</v>
      </c>
      <c r="N207" s="10">
        <f t="shared" ref="N207:N270" si="60">B208/B207</f>
        <v>0.98828768978840176</v>
      </c>
      <c r="O207" s="10">
        <f t="shared" si="49"/>
        <v>1.1650660412453268E-2</v>
      </c>
      <c r="P207" s="10">
        <f t="shared" si="50"/>
        <v>0.39137711363041316</v>
      </c>
      <c r="Q207" s="10">
        <f t="shared" ref="Q207:Q270" si="61">0.0001+0.0004*(1.075^(65+H207))</f>
        <v>0.14095198368219466</v>
      </c>
      <c r="S207" s="5">
        <f t="shared" ref="S207:S270" si="62">C207*J207</f>
        <v>7.1123806858035557E-2</v>
      </c>
      <c r="T207" s="5">
        <f t="shared" ref="T207:T270" si="63">C207*K207</f>
        <v>4.8273544236780798E-2</v>
      </c>
      <c r="U207" s="5">
        <f t="shared" ref="U207:U270" si="64">C207*P207</f>
        <v>0.1785668616996075</v>
      </c>
    </row>
    <row r="208" spans="1:21">
      <c r="A208" s="19">
        <f t="shared" ref="A208:A271" si="65">A207+1/12</f>
        <v>16.166666666666707</v>
      </c>
      <c r="B208" s="10">
        <f t="shared" si="51"/>
        <v>0.25862627078614203</v>
      </c>
      <c r="C208" s="10">
        <f t="shared" si="53"/>
        <v>0.45440140447806804</v>
      </c>
      <c r="D208" s="10">
        <f t="shared" si="54"/>
        <v>0.11752014068014807</v>
      </c>
      <c r="H208" s="19">
        <f t="shared" si="52"/>
        <v>16.166666666666707</v>
      </c>
      <c r="I208" s="10">
        <f t="shared" si="55"/>
        <v>0.5930679778225052</v>
      </c>
      <c r="J208" s="10">
        <f t="shared" si="56"/>
        <v>0.15338295942691291</v>
      </c>
      <c r="K208" s="10">
        <f t="shared" si="57"/>
        <v>0.10524331135922912</v>
      </c>
      <c r="L208" s="10">
        <f t="shared" si="58"/>
        <v>0.48807422211794554</v>
      </c>
      <c r="M208" s="10">
        <f t="shared" si="59"/>
        <v>0.99385010864569612</v>
      </c>
      <c r="N208" s="10">
        <f t="shared" si="60"/>
        <v>0.98821735835243107</v>
      </c>
      <c r="O208" s="10">
        <f t="shared" ref="O208:O271" si="66">(1/24)*(Q208*M208+(J209/J208)*Q209)</f>
        <v>1.1720267087781013E-2</v>
      </c>
      <c r="P208" s="10">
        <f t="shared" ref="P208:P271" si="67">P207*M207+J207*O207</f>
        <v>0.39080021565829642</v>
      </c>
      <c r="Q208" s="10">
        <f t="shared" si="61"/>
        <v>0.14180342251796441</v>
      </c>
      <c r="S208" s="5">
        <f t="shared" si="62"/>
        <v>6.9697432186591746E-2</v>
      </c>
      <c r="T208" s="5">
        <f t="shared" si="63"/>
        <v>4.7822708493556326E-2</v>
      </c>
      <c r="U208" s="5">
        <f t="shared" si="64"/>
        <v>0.17758016686546177</v>
      </c>
    </row>
    <row r="209" spans="1:21">
      <c r="A209" s="19">
        <f t="shared" si="65"/>
        <v>16.250000000000039</v>
      </c>
      <c r="B209" s="10">
        <f t="shared" si="51"/>
        <v>0.25557897011682179</v>
      </c>
      <c r="C209" s="10">
        <f t="shared" si="53"/>
        <v>0.45255762867959298</v>
      </c>
      <c r="D209" s="10">
        <f t="shared" si="54"/>
        <v>0.11566421265644143</v>
      </c>
      <c r="H209" s="19">
        <f t="shared" si="52"/>
        <v>16.250000000000039</v>
      </c>
      <c r="I209" s="10">
        <f t="shared" si="55"/>
        <v>0.5904428075295991</v>
      </c>
      <c r="J209" s="10">
        <f t="shared" si="56"/>
        <v>0.15090476466129976</v>
      </c>
      <c r="K209" s="10">
        <f t="shared" si="57"/>
        <v>0.10467420545552202</v>
      </c>
      <c r="L209" s="10">
        <f t="shared" si="58"/>
        <v>0.4850726186790838</v>
      </c>
      <c r="M209" s="10">
        <f t="shared" si="59"/>
        <v>0.99381453261682962</v>
      </c>
      <c r="N209" s="10">
        <f t="shared" si="60"/>
        <v>0.9881466068192325</v>
      </c>
      <c r="O209" s="10">
        <f t="shared" si="66"/>
        <v>1.1790285358102021E-2</v>
      </c>
      <c r="P209" s="10">
        <f t="shared" si="67"/>
        <v>0.39019452604195709</v>
      </c>
      <c r="Q209" s="10">
        <f t="shared" si="61"/>
        <v>0.14266000823255051</v>
      </c>
      <c r="S209" s="5">
        <f t="shared" si="62"/>
        <v>6.8293102451569859E-2</v>
      </c>
      <c r="T209" s="5">
        <f t="shared" si="63"/>
        <v>4.7371110204871558E-2</v>
      </c>
      <c r="U209" s="5">
        <f t="shared" si="64"/>
        <v>0.17658550942930579</v>
      </c>
    </row>
    <row r="210" spans="1:21">
      <c r="A210" s="19">
        <f t="shared" si="65"/>
        <v>16.333333333333371</v>
      </c>
      <c r="B210" s="10">
        <f t="shared" si="51"/>
        <v>0.25254949209529148</v>
      </c>
      <c r="C210" s="10">
        <f t="shared" si="53"/>
        <v>0.45072133417224419</v>
      </c>
      <c r="D210" s="10">
        <f t="shared" si="54"/>
        <v>0.11382944402171241</v>
      </c>
      <c r="H210" s="19">
        <f t="shared" si="52"/>
        <v>16.333333333333371</v>
      </c>
      <c r="I210" s="10">
        <f t="shared" si="55"/>
        <v>0.58781454059599891</v>
      </c>
      <c r="J210" s="10">
        <f t="shared" si="56"/>
        <v>0.14845226367374662</v>
      </c>
      <c r="K210" s="10">
        <f t="shared" si="57"/>
        <v>0.10409722842154485</v>
      </c>
      <c r="L210" s="10">
        <f t="shared" si="58"/>
        <v>0.48207221781777526</v>
      </c>
      <c r="M210" s="10">
        <f t="shared" si="59"/>
        <v>0.99377875115252901</v>
      </c>
      <c r="N210" s="10">
        <f t="shared" si="60"/>
        <v>0.98807543271023113</v>
      </c>
      <c r="O210" s="10">
        <f t="shared" si="66"/>
        <v>1.186071760261935E-2</v>
      </c>
      <c r="P210" s="10">
        <f t="shared" si="67"/>
        <v>0.38956020076528691</v>
      </c>
      <c r="Q210" s="10">
        <f t="shared" si="61"/>
        <v>0.14352177193841853</v>
      </c>
      <c r="S210" s="5">
        <f t="shared" si="62"/>
        <v>6.691060234392085E-2</v>
      </c>
      <c r="T210" s="5">
        <f t="shared" si="63"/>
        <v>4.6918841677791555E-2</v>
      </c>
      <c r="U210" s="5">
        <f t="shared" si="64"/>
        <v>0.17558309342933742</v>
      </c>
    </row>
    <row r="211" spans="1:21">
      <c r="A211" s="19">
        <f t="shared" si="65"/>
        <v>16.416666666666703</v>
      </c>
      <c r="B211" s="10">
        <f t="shared" si="51"/>
        <v>0.24953794868280424</v>
      </c>
      <c r="C211" s="10">
        <f t="shared" si="53"/>
        <v>0.4488924905999897</v>
      </c>
      <c r="D211" s="10">
        <f t="shared" si="54"/>
        <v>0.11201571128343642</v>
      </c>
      <c r="H211" s="19">
        <f t="shared" si="52"/>
        <v>16.416666666666703</v>
      </c>
      <c r="I211" s="10">
        <f t="shared" si="55"/>
        <v>0.58518323927722848</v>
      </c>
      <c r="J211" s="10">
        <f t="shared" si="56"/>
        <v>0.1460254251327982</v>
      </c>
      <c r="K211" s="10">
        <f t="shared" si="57"/>
        <v>0.10351252355000605</v>
      </c>
      <c r="L211" s="10">
        <f t="shared" si="58"/>
        <v>0.47907312658827866</v>
      </c>
      <c r="M211" s="10">
        <f t="shared" si="59"/>
        <v>0.99374276307400566</v>
      </c>
      <c r="N211" s="10">
        <f t="shared" si="60"/>
        <v>0.98800383353260179</v>
      </c>
      <c r="O211" s="10">
        <f t="shared" si="66"/>
        <v>1.1931566213632675E-2</v>
      </c>
      <c r="P211" s="10">
        <f t="shared" si="67"/>
        <v>0.38889740019215918</v>
      </c>
      <c r="Q211" s="10">
        <f t="shared" si="61"/>
        <v>0.14438874493610673</v>
      </c>
      <c r="S211" s="5">
        <f t="shared" si="62"/>
        <v>6.5549716778784115E-2</v>
      </c>
      <c r="T211" s="5">
        <f t="shared" si="63"/>
        <v>4.6465994504652303E-2</v>
      </c>
      <c r="U211" s="5">
        <f t="shared" si="64"/>
        <v>0.17457312256011925</v>
      </c>
    </row>
    <row r="212" spans="1:21">
      <c r="A212" s="19">
        <f t="shared" si="65"/>
        <v>16.500000000000036</v>
      </c>
      <c r="B212" s="10">
        <f t="shared" si="51"/>
        <v>0.24654444991047225</v>
      </c>
      <c r="C212" s="10">
        <f t="shared" si="53"/>
        <v>0.44707106772997002</v>
      </c>
      <c r="D212" s="10">
        <f t="shared" si="54"/>
        <v>0.11022289046437295</v>
      </c>
      <c r="H212" s="19">
        <f t="shared" si="52"/>
        <v>16.500000000000036</v>
      </c>
      <c r="I212" s="10">
        <f t="shared" si="55"/>
        <v>0.58254896642760656</v>
      </c>
      <c r="J212" s="10">
        <f t="shared" si="56"/>
        <v>0.14362421447380844</v>
      </c>
      <c r="K212" s="10">
        <f t="shared" si="57"/>
        <v>0.10292023543666383</v>
      </c>
      <c r="L212" s="10">
        <f t="shared" si="58"/>
        <v>0.47607545253033895</v>
      </c>
      <c r="M212" s="10">
        <f t="shared" si="59"/>
        <v>0.99370656719579353</v>
      </c>
      <c r="N212" s="10">
        <f t="shared" si="60"/>
        <v>0.9879318067791899</v>
      </c>
      <c r="O212" s="10">
        <f t="shared" si="66"/>
        <v>1.200283359660244E-2</v>
      </c>
      <c r="P212" s="10">
        <f t="shared" si="67"/>
        <v>0.38820628904809945</v>
      </c>
      <c r="Q212" s="10">
        <f t="shared" si="61"/>
        <v>0.14526095871536207</v>
      </c>
      <c r="S212" s="5">
        <f t="shared" si="62"/>
        <v>6.421023091668375E-2</v>
      </c>
      <c r="T212" s="5">
        <f t="shared" si="63"/>
        <v>4.6012659547689197E-2</v>
      </c>
      <c r="U212" s="5">
        <f t="shared" si="64"/>
        <v>0.1735558001442232</v>
      </c>
    </row>
    <row r="213" spans="1:21">
      <c r="A213" s="19">
        <f t="shared" si="65"/>
        <v>16.583333333333368</v>
      </c>
      <c r="B213" s="10">
        <f t="shared" si="51"/>
        <v>0.24356910385143435</v>
      </c>
      <c r="C213" s="10">
        <f t="shared" si="53"/>
        <v>0.44525703545199835</v>
      </c>
      <c r="D213" s="10">
        <f t="shared" si="54"/>
        <v>0.10845085710858957</v>
      </c>
      <c r="H213" s="19">
        <f t="shared" si="52"/>
        <v>16.583333333333368</v>
      </c>
      <c r="I213" s="10">
        <f t="shared" si="55"/>
        <v>0.57991178549957345</v>
      </c>
      <c r="J213" s="10">
        <f t="shared" si="56"/>
        <v>0.14124859390701633</v>
      </c>
      <c r="K213" s="10">
        <f t="shared" si="57"/>
        <v>0.10232050994441802</v>
      </c>
      <c r="L213" s="10">
        <f t="shared" si="58"/>
        <v>0.47307930366010709</v>
      </c>
      <c r="M213" s="10">
        <f t="shared" si="59"/>
        <v>0.99367016232571459</v>
      </c>
      <c r="N213" s="10">
        <f t="shared" si="60"/>
        <v>0.9878593499284356</v>
      </c>
      <c r="O213" s="10">
        <f t="shared" si="66"/>
        <v>1.2074522170214156E-2</v>
      </c>
      <c r="P213" s="10">
        <f t="shared" si="67"/>
        <v>0.38748703640057675</v>
      </c>
      <c r="Q213" s="10">
        <f t="shared" si="61"/>
        <v>0.14613844495628514</v>
      </c>
      <c r="S213" s="5">
        <f t="shared" si="62"/>
        <v>6.2891930184801284E-2</v>
      </c>
      <c r="T213" s="5">
        <f t="shared" si="63"/>
        <v>4.5558926923788282E-2</v>
      </c>
      <c r="U213" s="5">
        <f t="shared" si="64"/>
        <v>0.17253132910380137</v>
      </c>
    </row>
    <row r="214" spans="1:21">
      <c r="A214" s="19">
        <f t="shared" si="65"/>
        <v>16.6666666666667</v>
      </c>
      <c r="B214" s="10">
        <f t="shared" si="51"/>
        <v>0.24061201659332956</v>
      </c>
      <c r="C214" s="10">
        <f t="shared" si="53"/>
        <v>0.44345036377806263</v>
      </c>
      <c r="D214" s="10">
        <f t="shared" si="54"/>
        <v>0.10669948628768523</v>
      </c>
      <c r="H214" s="19">
        <f t="shared" si="52"/>
        <v>16.6666666666667</v>
      </c>
      <c r="I214" s="10">
        <f t="shared" si="55"/>
        <v>0.57727176054292229</v>
      </c>
      <c r="J214" s="10">
        <f t="shared" si="56"/>
        <v>0.13889852242661418</v>
      </c>
      <c r="K214" s="10">
        <f t="shared" si="57"/>
        <v>0.10171349416671538</v>
      </c>
      <c r="L214" s="10">
        <f t="shared" si="58"/>
        <v>0.47008478846087465</v>
      </c>
      <c r="M214" s="10">
        <f t="shared" si="59"/>
        <v>0.99363354726483943</v>
      </c>
      <c r="N214" s="10">
        <f t="shared" si="60"/>
        <v>0.98778646044429563</v>
      </c>
      <c r="O214" s="10">
        <f t="shared" si="66"/>
        <v>1.2146634366442944E-2</v>
      </c>
      <c r="P214" s="10">
        <f t="shared" si="67"/>
        <v>0.38673981563791299</v>
      </c>
      <c r="Q214" s="10">
        <f t="shared" si="61"/>
        <v>0.14702123553047924</v>
      </c>
      <c r="S214" s="5">
        <f t="shared" si="62"/>
        <v>6.1594600298317453E-2</v>
      </c>
      <c r="T214" s="5">
        <f t="shared" si="63"/>
        <v>4.5104885989367786E-2</v>
      </c>
      <c r="U214" s="5">
        <f t="shared" si="64"/>
        <v>0.17149991193209338</v>
      </c>
    </row>
    <row r="215" spans="1:21">
      <c r="A215" s="19">
        <f t="shared" si="65"/>
        <v>16.750000000000032</v>
      </c>
      <c r="B215" s="10">
        <f t="shared" si="51"/>
        <v>0.23767329221108913</v>
      </c>
      <c r="C215" s="10">
        <f t="shared" si="53"/>
        <v>0.44165102284183022</v>
      </c>
      <c r="D215" s="10">
        <f t="shared" si="54"/>
        <v>0.10496865260721271</v>
      </c>
      <c r="H215" s="19">
        <f t="shared" si="52"/>
        <v>16.750000000000032</v>
      </c>
      <c r="I215" s="10">
        <f t="shared" si="55"/>
        <v>0.5746289562039355</v>
      </c>
      <c r="J215" s="10">
        <f t="shared" si="56"/>
        <v>0.13657395582081111</v>
      </c>
      <c r="K215" s="10">
        <f t="shared" si="57"/>
        <v>0.10109933639027803</v>
      </c>
      <c r="L215" s="10">
        <f t="shared" si="58"/>
        <v>0.46709201587362054</v>
      </c>
      <c r="M215" s="10">
        <f t="shared" si="59"/>
        <v>0.99359672080745143</v>
      </c>
      <c r="N215" s="10">
        <f t="shared" si="60"/>
        <v>0.98771313577615971</v>
      </c>
      <c r="O215" s="10">
        <f t="shared" si="66"/>
        <v>1.2219172630618252E-2</v>
      </c>
      <c r="P215" s="10">
        <f t="shared" si="67"/>
        <v>0.38596480444680481</v>
      </c>
      <c r="Q215" s="10">
        <f t="shared" si="61"/>
        <v>0.1479093625022099</v>
      </c>
      <c r="S215" s="5">
        <f t="shared" si="62"/>
        <v>6.0318027281816157E-2</v>
      </c>
      <c r="T215" s="5">
        <f t="shared" si="63"/>
        <v>4.4650625325396556E-2</v>
      </c>
      <c r="U215" s="5">
        <f t="shared" si="64"/>
        <v>0.17046175066487831</v>
      </c>
    </row>
    <row r="216" spans="1:21">
      <c r="A216" s="19">
        <f t="shared" si="65"/>
        <v>16.833333333333364</v>
      </c>
      <c r="B216" s="10">
        <f t="shared" si="51"/>
        <v>0.23475303274005835</v>
      </c>
      <c r="C216" s="10">
        <f t="shared" si="53"/>
        <v>0.43985898289815345</v>
      </c>
      <c r="D216" s="10">
        <f t="shared" si="54"/>
        <v>0.10325823021329898</v>
      </c>
      <c r="H216" s="19">
        <f t="shared" si="52"/>
        <v>16.833333333333364</v>
      </c>
      <c r="I216" s="10">
        <f t="shared" si="55"/>
        <v>0.5719834377244245</v>
      </c>
      <c r="J216" s="10">
        <f t="shared" si="56"/>
        <v>0.13427484668289294</v>
      </c>
      <c r="K216" s="10">
        <f t="shared" si="57"/>
        <v>0.10047818605716539</v>
      </c>
      <c r="L216" s="10">
        <f t="shared" si="58"/>
        <v>0.46410109528737142</v>
      </c>
      <c r="M216" s="10">
        <f t="shared" si="59"/>
        <v>0.99355968174101084</v>
      </c>
      <c r="N216" s="10">
        <f t="shared" si="60"/>
        <v>0.98763937335878071</v>
      </c>
      <c r="O216" s="10">
        <f t="shared" si="66"/>
        <v>1.2292139421488876E-2</v>
      </c>
      <c r="P216" s="10">
        <f t="shared" si="67"/>
        <v>0.38516218478845543</v>
      </c>
      <c r="Q216" s="10">
        <f t="shared" si="61"/>
        <v>0.14880285812956798</v>
      </c>
      <c r="S216" s="5">
        <f t="shared" si="62"/>
        <v>5.9061997490742785E-2</v>
      </c>
      <c r="T216" s="5">
        <f t="shared" si="63"/>
        <v>4.419623272255619E-2</v>
      </c>
      <c r="U216" s="5">
        <f t="shared" si="64"/>
        <v>0.16941704685188064</v>
      </c>
    </row>
    <row r="217" spans="1:21">
      <c r="A217" s="19">
        <f t="shared" si="65"/>
        <v>16.916666666666696</v>
      </c>
      <c r="B217" s="10">
        <f t="shared" si="51"/>
        <v>0.23185133814946457</v>
      </c>
      <c r="C217" s="10">
        <f t="shared" si="53"/>
        <v>0.43807421432257887</v>
      </c>
      <c r="D217" s="10">
        <f t="shared" si="54"/>
        <v>0.10156809279946524</v>
      </c>
      <c r="H217" s="19">
        <f t="shared" si="52"/>
        <v>16.916666666666696</v>
      </c>
      <c r="I217" s="10">
        <f t="shared" si="55"/>
        <v>0.56933527094067271</v>
      </c>
      <c r="J217" s="10">
        <f t="shared" si="56"/>
        <v>0.13200114442328295</v>
      </c>
      <c r="K217" s="10">
        <f t="shared" si="57"/>
        <v>9.9850193726181632E-2</v>
      </c>
      <c r="L217" s="10">
        <f t="shared" si="58"/>
        <v>0.46111213652937527</v>
      </c>
      <c r="M217" s="10">
        <f t="shared" si="59"/>
        <v>0.99352242884611386</v>
      </c>
      <c r="N217" s="10">
        <f t="shared" si="60"/>
        <v>0.98756517061218663</v>
      </c>
      <c r="O217" s="10">
        <f t="shared" si="66"/>
        <v>1.2365537211288019E-2</v>
      </c>
      <c r="P217" s="10">
        <f t="shared" si="67"/>
        <v>0.38433214287331535</v>
      </c>
      <c r="Q217" s="10">
        <f t="shared" si="61"/>
        <v>0.14970175486564197</v>
      </c>
      <c r="S217" s="5">
        <f t="shared" si="62"/>
        <v>5.7826297632910945E-2</v>
      </c>
      <c r="T217" s="5">
        <f t="shared" si="63"/>
        <v>4.3741795166554312E-2</v>
      </c>
      <c r="U217" s="5">
        <f t="shared" si="64"/>
        <v>0.16836600152814074</v>
      </c>
    </row>
    <row r="218" spans="1:21">
      <c r="A218" s="19">
        <f t="shared" si="65"/>
        <v>17.000000000000028</v>
      </c>
      <c r="B218" s="10">
        <f t="shared" si="51"/>
        <v>0.22896830631623974</v>
      </c>
      <c r="C218" s="10">
        <f t="shared" si="53"/>
        <v>0.43629668761085655</v>
      </c>
      <c r="D218" s="10">
        <f t="shared" si="54"/>
        <v>9.9898113613643355E-2</v>
      </c>
      <c r="H218" s="19">
        <f t="shared" si="52"/>
        <v>17.000000000000028</v>
      </c>
      <c r="I218" s="10">
        <f t="shared" si="55"/>
        <v>0.56668452228227817</v>
      </c>
      <c r="J218" s="10">
        <f t="shared" si="56"/>
        <v>0.12975279528260064</v>
      </c>
      <c r="K218" s="10">
        <f t="shared" si="57"/>
        <v>9.9215511033639084E-2</v>
      </c>
      <c r="L218" s="10">
        <f t="shared" si="58"/>
        <v>0.45812524985508579</v>
      </c>
      <c r="M218" s="10">
        <f t="shared" si="59"/>
        <v>0.9934849608964571</v>
      </c>
      <c r="N218" s="10">
        <f t="shared" si="60"/>
        <v>0.98749052494160705</v>
      </c>
      <c r="O218" s="10">
        <f t="shared" si="66"/>
        <v>1.2439368485798784E-2</v>
      </c>
      <c r="P218" s="10">
        <f t="shared" si="67"/>
        <v>0.38347486913442663</v>
      </c>
      <c r="Q218" s="10">
        <f t="shared" si="61"/>
        <v>0.15060608535969661</v>
      </c>
      <c r="S218" s="5">
        <f t="shared" si="62"/>
        <v>5.6610714790048235E-2</v>
      </c>
      <c r="T218" s="5">
        <f t="shared" si="63"/>
        <v>4.328739882359512E-2</v>
      </c>
      <c r="U218" s="5">
        <f t="shared" si="64"/>
        <v>0.16730881518535703</v>
      </c>
    </row>
    <row r="219" spans="1:21">
      <c r="A219" s="19">
        <f t="shared" si="65"/>
        <v>17.083333333333361</v>
      </c>
      <c r="B219" s="10">
        <f t="shared" si="51"/>
        <v>0.22610403299921425</v>
      </c>
      <c r="C219" s="10">
        <f t="shared" si="53"/>
        <v>0.4345263733784529</v>
      </c>
      <c r="D219" s="10">
        <f t="shared" si="54"/>
        <v>9.8248165465390613E-2</v>
      </c>
      <c r="H219" s="19">
        <f t="shared" si="52"/>
        <v>17.083333333333361</v>
      </c>
      <c r="I219" s="10">
        <f t="shared" si="55"/>
        <v>0.56403125877089733</v>
      </c>
      <c r="J219" s="10">
        <f t="shared" si="56"/>
        <v>0.12752974234572331</v>
      </c>
      <c r="K219" s="10">
        <f t="shared" si="57"/>
        <v>9.8574290653490923E-2</v>
      </c>
      <c r="L219" s="10">
        <f t="shared" si="58"/>
        <v>0.45514054593795955</v>
      </c>
      <c r="M219" s="10">
        <f t="shared" si="59"/>
        <v>0.99344727665879984</v>
      </c>
      <c r="N219" s="10">
        <f t="shared" si="60"/>
        <v>0.98741543373738982</v>
      </c>
      <c r="O219" s="10">
        <f t="shared" si="66"/>
        <v>1.2513635744419683E-2</v>
      </c>
      <c r="P219" s="10">
        <f t="shared" si="67"/>
        <v>0.38259055819937254</v>
      </c>
      <c r="Q219" s="10">
        <f t="shared" si="61"/>
        <v>0.15151588245835912</v>
      </c>
      <c r="S219" s="5">
        <f t="shared" si="62"/>
        <v>5.5415036439375662E-2</v>
      </c>
      <c r="T219" s="5">
        <f t="shared" si="63"/>
        <v>4.2833129026014938E-2</v>
      </c>
      <c r="U219" s="5">
        <f t="shared" si="64"/>
        <v>0.16624568774321127</v>
      </c>
    </row>
    <row r="220" spans="1:21">
      <c r="A220" s="19">
        <f t="shared" si="65"/>
        <v>17.166666666666693</v>
      </c>
      <c r="B220" s="10">
        <f t="shared" si="51"/>
        <v>0.22325861181369225</v>
      </c>
      <c r="C220" s="10">
        <f t="shared" si="53"/>
        <v>0.43276324236006503</v>
      </c>
      <c r="D220" s="10">
        <f t="shared" si="54"/>
        <v>9.6618120733300575E-2</v>
      </c>
      <c r="H220" s="19">
        <f t="shared" si="52"/>
        <v>17.166666666666693</v>
      </c>
      <c r="I220" s="10">
        <f t="shared" si="55"/>
        <v>0.56137554801888678</v>
      </c>
      <c r="J220" s="10">
        <f t="shared" si="56"/>
        <v>0.12533192555684738</v>
      </c>
      <c r="K220" s="10">
        <f t="shared" si="57"/>
        <v>9.792668625684485E-2</v>
      </c>
      <c r="L220" s="10">
        <f t="shared" si="58"/>
        <v>0.45215813585906528</v>
      </c>
      <c r="M220" s="10">
        <f t="shared" si="59"/>
        <v>0.99340937489292458</v>
      </c>
      <c r="N220" s="10">
        <f t="shared" si="60"/>
        <v>0.98733989437492242</v>
      </c>
      <c r="O220" s="10">
        <f t="shared" si="66"/>
        <v>1.2588341500230447E-2</v>
      </c>
      <c r="P220" s="10">
        <f t="shared" si="67"/>
        <v>0.38167940886083079</v>
      </c>
      <c r="Q220" s="10">
        <f t="shared" si="61"/>
        <v>0.15243117920681148</v>
      </c>
      <c r="S220" s="5">
        <f t="shared" si="62"/>
        <v>5.4239050475211575E-2</v>
      </c>
      <c r="T220" s="5">
        <f t="shared" si="63"/>
        <v>4.2379070258088999E-2</v>
      </c>
      <c r="U220" s="5">
        <f t="shared" si="64"/>
        <v>0.16517681852068608</v>
      </c>
    </row>
    <row r="221" spans="1:21">
      <c r="A221" s="19">
        <f t="shared" si="65"/>
        <v>17.250000000000025</v>
      </c>
      <c r="B221" s="10">
        <f t="shared" si="51"/>
        <v>0.22043213420642271</v>
      </c>
      <c r="C221" s="10">
        <f t="shared" si="53"/>
        <v>0.43100726540913642</v>
      </c>
      <c r="D221" s="10">
        <f t="shared" si="54"/>
        <v>9.5007851372610017E-2</v>
      </c>
      <c r="H221" s="19">
        <f t="shared" si="52"/>
        <v>17.250000000000025</v>
      </c>
      <c r="I221" s="10">
        <f t="shared" si="55"/>
        <v>0.55871745822784258</v>
      </c>
      <c r="J221" s="10">
        <f t="shared" si="56"/>
        <v>0.12315928173555117</v>
      </c>
      <c r="K221" s="10">
        <f t="shared" si="57"/>
        <v>9.7272852470871543E-2</v>
      </c>
      <c r="L221" s="10">
        <f t="shared" si="58"/>
        <v>0.44917813109650412</v>
      </c>
      <c r="M221" s="10">
        <f t="shared" si="59"/>
        <v>0.99337125435159956</v>
      </c>
      <c r="N221" s="10">
        <f t="shared" si="60"/>
        <v>0.9872639042145509</v>
      </c>
      <c r="O221" s="10">
        <f t="shared" si="66"/>
        <v>1.2663488280058028E-2</v>
      </c>
      <c r="P221" s="10">
        <f t="shared" si="67"/>
        <v>0.38074162404572992</v>
      </c>
      <c r="Q221" s="10">
        <f t="shared" si="61"/>
        <v>0.15335200884999167</v>
      </c>
      <c r="S221" s="5">
        <f t="shared" si="62"/>
        <v>5.308254523059331E-2</v>
      </c>
      <c r="T221" s="5">
        <f t="shared" si="63"/>
        <v>4.1925306142016699E-2</v>
      </c>
      <c r="U221" s="5">
        <f t="shared" si="64"/>
        <v>0.16410240620738356</v>
      </c>
    </row>
    <row r="222" spans="1:21">
      <c r="A222" s="19">
        <f t="shared" si="65"/>
        <v>17.333333333333357</v>
      </c>
      <c r="B222" s="10">
        <f t="shared" si="51"/>
        <v>0.21762468943097873</v>
      </c>
      <c r="C222" s="10">
        <f t="shared" si="53"/>
        <v>0.42925841349737576</v>
      </c>
      <c r="D222" s="10">
        <f t="shared" si="54"/>
        <v>9.3417228923001056E-2</v>
      </c>
      <c r="H222" s="19">
        <f t="shared" si="52"/>
        <v>17.333333333333357</v>
      </c>
      <c r="I222" s="10">
        <f t="shared" si="55"/>
        <v>0.55605705818703577</v>
      </c>
      <c r="J222" s="10">
        <f t="shared" si="56"/>
        <v>0.12101174459385733</v>
      </c>
      <c r="K222" s="10">
        <f t="shared" si="57"/>
        <v>9.6612944837121406E-2</v>
      </c>
      <c r="L222" s="10">
        <f t="shared" si="58"/>
        <v>0.4462006435146415</v>
      </c>
      <c r="M222" s="10">
        <f t="shared" si="59"/>
        <v>0.99333291378054001</v>
      </c>
      <c r="N222" s="10">
        <f t="shared" si="60"/>
        <v>0.98718746060149754</v>
      </c>
      <c r="O222" s="10">
        <f t="shared" si="66"/>
        <v>1.273907862454279E-2</v>
      </c>
      <c r="P222" s="10">
        <f t="shared" si="67"/>
        <v>0.37977741078301042</v>
      </c>
      <c r="Q222" s="10">
        <f t="shared" si="61"/>
        <v>0.15427840483379979</v>
      </c>
      <c r="S222" s="5">
        <f t="shared" si="62"/>
        <v>5.1945309498908833E-2</v>
      </c>
      <c r="T222" s="5">
        <f t="shared" si="63"/>
        <v>4.1471919424092216E-2</v>
      </c>
      <c r="U222" s="5">
        <f t="shared" si="64"/>
        <v>0.1630226488348562</v>
      </c>
    </row>
    <row r="223" spans="1:21">
      <c r="A223" s="19">
        <f t="shared" si="65"/>
        <v>17.416666666666689</v>
      </c>
      <c r="B223" s="10">
        <f t="shared" si="51"/>
        <v>0.21483636452355745</v>
      </c>
      <c r="C223" s="10">
        <f t="shared" si="53"/>
        <v>0.42751665771427616</v>
      </c>
      <c r="D223" s="10">
        <f t="shared" si="54"/>
        <v>9.1846124516597169E-2</v>
      </c>
      <c r="H223" s="19">
        <f t="shared" si="52"/>
        <v>17.416666666666689</v>
      </c>
      <c r="I223" s="10">
        <f t="shared" si="55"/>
        <v>0.55339441727174277</v>
      </c>
      <c r="J223" s="10">
        <f t="shared" si="56"/>
        <v>0.11888924475429379</v>
      </c>
      <c r="K223" s="10">
        <f t="shared" si="57"/>
        <v>9.5947119769263664E-2</v>
      </c>
      <c r="L223" s="10">
        <f t="shared" si="58"/>
        <v>0.44322578535315088</v>
      </c>
      <c r="M223" s="10">
        <f t="shared" si="59"/>
        <v>0.99329435191836968</v>
      </c>
      <c r="N223" s="10">
        <f t="shared" si="60"/>
        <v>0.9871105608657823</v>
      </c>
      <c r="O223" s="10">
        <f t="shared" si="66"/>
        <v>1.281511508820497E-2</v>
      </c>
      <c r="P223" s="10">
        <f t="shared" si="67"/>
        <v>0.37878698016999102</v>
      </c>
      <c r="Q223" s="10">
        <f t="shared" si="61"/>
        <v>0.1552104008063146</v>
      </c>
      <c r="S223" s="5">
        <f t="shared" si="62"/>
        <v>5.0827132555530216E-2</v>
      </c>
      <c r="T223" s="5">
        <f t="shared" si="63"/>
        <v>4.1018991961066953E-2</v>
      </c>
      <c r="U223" s="5">
        <f t="shared" si="64"/>
        <v>0.16193774374795836</v>
      </c>
    </row>
    <row r="224" spans="1:21">
      <c r="A224" s="19">
        <f t="shared" si="65"/>
        <v>17.500000000000021</v>
      </c>
      <c r="B224" s="10">
        <f t="shared" si="51"/>
        <v>0.21206724427921445</v>
      </c>
      <c r="C224" s="10">
        <f t="shared" si="53"/>
        <v>0.42578196926663842</v>
      </c>
      <c r="D224" s="10">
        <f t="shared" si="54"/>
        <v>9.0294408886153185E-2</v>
      </c>
      <c r="H224" s="19">
        <f t="shared" si="52"/>
        <v>17.500000000000021</v>
      </c>
      <c r="I224" s="10">
        <f t="shared" si="55"/>
        <v>0.55072960544146965</v>
      </c>
      <c r="J224" s="10">
        <f t="shared" si="56"/>
        <v>0.11679170976895153</v>
      </c>
      <c r="K224" s="10">
        <f t="shared" si="57"/>
        <v>9.527553451026291E-2</v>
      </c>
      <c r="L224" s="10">
        <f t="shared" si="58"/>
        <v>0.44025366921586845</v>
      </c>
      <c r="M224" s="10">
        <f t="shared" si="59"/>
        <v>0.9932555674965815</v>
      </c>
      <c r="N224" s="10">
        <f t="shared" si="60"/>
        <v>0.98703320232213698</v>
      </c>
      <c r="O224" s="10">
        <f t="shared" si="66"/>
        <v>1.2891600239511206E-2</v>
      </c>
      <c r="P224" s="10">
        <f t="shared" si="67"/>
        <v>0.37777054733734361</v>
      </c>
      <c r="Q224" s="10">
        <f t="shared" si="61"/>
        <v>0.15614803061901422</v>
      </c>
      <c r="S224" s="5">
        <f t="shared" si="62"/>
        <v>4.9727804179441878E-2</v>
      </c>
      <c r="T224" s="5">
        <f t="shared" si="63"/>
        <v>4.0566604706711314E-2</v>
      </c>
      <c r="U224" s="5">
        <f t="shared" si="64"/>
        <v>0.16084788757623</v>
      </c>
    </row>
    <row r="225" spans="1:21">
      <c r="A225" s="19">
        <f t="shared" si="65"/>
        <v>17.583333333333353</v>
      </c>
      <c r="B225" s="10">
        <f t="shared" si="51"/>
        <v>0.20931741122854391</v>
      </c>
      <c r="C225" s="10">
        <f t="shared" si="53"/>
        <v>0.42405431947809386</v>
      </c>
      <c r="D225" s="10">
        <f t="shared" si="54"/>
        <v>8.8761952373436509E-2</v>
      </c>
      <c r="H225" s="19">
        <f t="shared" si="52"/>
        <v>17.583333333333353</v>
      </c>
      <c r="I225" s="10">
        <f t="shared" si="55"/>
        <v>0.54806269323806878</v>
      </c>
      <c r="J225" s="10">
        <f t="shared" si="56"/>
        <v>0.11471906413953616</v>
      </c>
      <c r="K225" s="10">
        <f t="shared" si="57"/>
        <v>9.4598347089007759E-2</v>
      </c>
      <c r="L225" s="10">
        <f t="shared" si="58"/>
        <v>0.43728440805945967</v>
      </c>
      <c r="M225" s="10">
        <f t="shared" si="59"/>
        <v>0.99321655923949825</v>
      </c>
      <c r="N225" s="10">
        <f t="shared" si="60"/>
        <v>0.9869553822699253</v>
      </c>
      <c r="O225" s="10">
        <f t="shared" si="66"/>
        <v>1.296853666094141E-2</v>
      </c>
      <c r="P225" s="10">
        <f t="shared" si="67"/>
        <v>0.37672833141267781</v>
      </c>
      <c r="Q225" s="10">
        <f t="shared" si="61"/>
        <v>0.1570913283280064</v>
      </c>
      <c r="S225" s="5">
        <f t="shared" si="62"/>
        <v>4.8647114674854802E-2</v>
      </c>
      <c r="T225" s="5">
        <f t="shared" si="63"/>
        <v>4.0114837698581707E-2</v>
      </c>
      <c r="U225" s="5">
        <f t="shared" si="64"/>
        <v>0.1597532762053209</v>
      </c>
    </row>
    <row r="226" spans="1:21">
      <c r="A226" s="19">
        <f t="shared" si="65"/>
        <v>17.666666666666686</v>
      </c>
      <c r="B226" s="10">
        <f t="shared" si="51"/>
        <v>0.20658694561481872</v>
      </c>
      <c r="C226" s="10">
        <f t="shared" si="53"/>
        <v>0.42233367978863134</v>
      </c>
      <c r="D226" s="10">
        <f t="shared" si="54"/>
        <v>8.7248624937800251E-2</v>
      </c>
      <c r="H226" s="19">
        <f t="shared" si="52"/>
        <v>17.666666666666686</v>
      </c>
      <c r="I226" s="10">
        <f t="shared" si="55"/>
        <v>0.54539375178374672</v>
      </c>
      <c r="J226" s="10">
        <f t="shared" si="56"/>
        <v>0.11267122933841082</v>
      </c>
      <c r="K226" s="10">
        <f t="shared" si="57"/>
        <v>9.3915716276407893E-2</v>
      </c>
      <c r="L226" s="10">
        <f t="shared" si="58"/>
        <v>0.43431811518189728</v>
      </c>
      <c r="M226" s="10">
        <f t="shared" si="59"/>
        <v>0.99317732586423457</v>
      </c>
      <c r="N226" s="10">
        <f t="shared" si="60"/>
        <v>0.98687709799306389</v>
      </c>
      <c r="O226" s="10">
        <f t="shared" si="66"/>
        <v>1.3045926949055809E-2</v>
      </c>
      <c r="P226" s="10">
        <f t="shared" si="67"/>
        <v>0.37566055548273969</v>
      </c>
      <c r="Q226" s="10">
        <f t="shared" si="61"/>
        <v>0.15804032819526506</v>
      </c>
      <c r="S226" s="5">
        <f t="shared" si="62"/>
        <v>4.7584854892799844E-2</v>
      </c>
      <c r="T226" s="5">
        <f t="shared" si="63"/>
        <v>3.9663770045000407E-2</v>
      </c>
      <c r="U226" s="5">
        <f t="shared" si="64"/>
        <v>0.15865410474846675</v>
      </c>
    </row>
    <row r="227" spans="1:21">
      <c r="A227" s="19">
        <f t="shared" si="65"/>
        <v>17.750000000000018</v>
      </c>
      <c r="B227" s="10">
        <f t="shared" si="51"/>
        <v>0.20387592537160321</v>
      </c>
      <c r="C227" s="10">
        <f t="shared" si="53"/>
        <v>0.42062002175412427</v>
      </c>
      <c r="D227" s="10">
        <f t="shared" si="54"/>
        <v>8.5754296164945953E-2</v>
      </c>
      <c r="H227" s="19">
        <f t="shared" si="52"/>
        <v>17.750000000000018</v>
      </c>
      <c r="I227" s="10">
        <f t="shared" si="55"/>
        <v>0.54272285277896348</v>
      </c>
      <c r="J227" s="10">
        <f t="shared" si="56"/>
        <v>0.11064812383062755</v>
      </c>
      <c r="K227" s="10">
        <f t="shared" si="57"/>
        <v>9.3227801540975652E-2</v>
      </c>
      <c r="L227" s="10">
        <f t="shared" si="58"/>
        <v>0.43135490421075134</v>
      </c>
      <c r="M227" s="10">
        <f t="shared" si="59"/>
        <v>0.99313786608065469</v>
      </c>
      <c r="N227" s="10">
        <f t="shared" si="60"/>
        <v>0.98679834675993017</v>
      </c>
      <c r="O227" s="10">
        <f t="shared" si="66"/>
        <v>1.3123773714562099E-2</v>
      </c>
      <c r="P227" s="10">
        <f t="shared" si="67"/>
        <v>0.37456744655422952</v>
      </c>
      <c r="Q227" s="10">
        <f t="shared" si="61"/>
        <v>0.15899506468987537</v>
      </c>
      <c r="S227" s="5">
        <f t="shared" si="62"/>
        <v>4.6540816252691596E-2</v>
      </c>
      <c r="T227" s="5">
        <f t="shared" si="63"/>
        <v>3.9213479912254358E-2</v>
      </c>
      <c r="U227" s="5">
        <f t="shared" si="64"/>
        <v>0.15755056751802679</v>
      </c>
    </row>
    <row r="228" spans="1:21">
      <c r="A228" s="19">
        <f t="shared" si="65"/>
        <v>17.83333333333335</v>
      </c>
      <c r="B228" s="10">
        <f t="shared" si="51"/>
        <v>0.20118442610084894</v>
      </c>
      <c r="C228" s="10">
        <f t="shared" si="53"/>
        <v>0.41891331704586077</v>
      </c>
      <c r="D228" s="10">
        <f t="shared" si="54"/>
        <v>8.4278835275874472E-2</v>
      </c>
      <c r="H228" s="19">
        <f t="shared" si="52"/>
        <v>17.83333333333335</v>
      </c>
      <c r="I228" s="10">
        <f t="shared" si="55"/>
        <v>0.54005006850021819</v>
      </c>
      <c r="J228" s="10">
        <f t="shared" si="56"/>
        <v>0.10864966309694056</v>
      </c>
      <c r="K228" s="10">
        <f t="shared" si="57"/>
        <v>9.253476300390838E-2</v>
      </c>
      <c r="L228" s="10">
        <f t="shared" si="58"/>
        <v>0.42839488909129081</v>
      </c>
      <c r="M228" s="10">
        <f t="shared" si="59"/>
        <v>0.99309817859133687</v>
      </c>
      <c r="N228" s="10">
        <f t="shared" si="60"/>
        <v>0.98671912582328902</v>
      </c>
      <c r="O228" s="10">
        <f t="shared" si="66"/>
        <v>1.3202079582382946E-2</v>
      </c>
      <c r="P228" s="10">
        <f t="shared" si="67"/>
        <v>0.37344923551324122</v>
      </c>
      <c r="Q228" s="10">
        <f t="shared" si="61"/>
        <v>0.15995557248928527</v>
      </c>
      <c r="S228" s="5">
        <f t="shared" si="62"/>
        <v>4.5514790763854618E-2</v>
      </c>
      <c r="T228" s="5">
        <f t="shared" si="63"/>
        <v>3.8764044512019862E-2</v>
      </c>
      <c r="U228" s="5">
        <f t="shared" si="64"/>
        <v>0.15644285799709273</v>
      </c>
    </row>
    <row r="229" spans="1:21">
      <c r="A229" s="19">
        <f t="shared" si="65"/>
        <v>17.916666666666682</v>
      </c>
      <c r="B229" s="10">
        <f t="shared" si="51"/>
        <v>0.19851252105148975</v>
      </c>
      <c r="C229" s="10">
        <f t="shared" si="53"/>
        <v>0.41721353745007539</v>
      </c>
      <c r="D229" s="10">
        <f t="shared" si="54"/>
        <v>8.2822111136024598E-2</v>
      </c>
      <c r="H229" s="19">
        <f t="shared" si="52"/>
        <v>17.916666666666682</v>
      </c>
      <c r="I229" s="10">
        <f t="shared" si="55"/>
        <v>0.53737547179772549</v>
      </c>
      <c r="J229" s="10">
        <f t="shared" si="56"/>
        <v>0.10667575965780023</v>
      </c>
      <c r="K229" s="10">
        <f t="shared" si="57"/>
        <v>9.1836761393689528E-2</v>
      </c>
      <c r="L229" s="10">
        <f t="shared" si="58"/>
        <v>0.42543818407439865</v>
      </c>
      <c r="M229" s="10">
        <f t="shared" si="59"/>
        <v>0.99305826209152814</v>
      </c>
      <c r="N229" s="10">
        <f t="shared" si="60"/>
        <v>0.98663943242020113</v>
      </c>
      <c r="O229" s="10">
        <f t="shared" si="66"/>
        <v>1.3280847191723484E-2</v>
      </c>
      <c r="P229" s="10">
        <f t="shared" si="67"/>
        <v>0.37230615708333198</v>
      </c>
      <c r="Q229" s="10">
        <f t="shared" si="61"/>
        <v>0.16092188648056499</v>
      </c>
      <c r="S229" s="5">
        <f t="shared" si="62"/>
        <v>4.4506571047004874E-2</v>
      </c>
      <c r="T229" s="5">
        <f t="shared" si="63"/>
        <v>3.8315540089019724E-2</v>
      </c>
      <c r="U229" s="5">
        <f t="shared" si="64"/>
        <v>0.15533116881118036</v>
      </c>
    </row>
    <row r="230" spans="1:21">
      <c r="A230" s="19">
        <f t="shared" si="65"/>
        <v>18.000000000000014</v>
      </c>
      <c r="B230" s="10">
        <f t="shared" si="51"/>
        <v>0.19586028109854509</v>
      </c>
      <c r="C230" s="10">
        <f t="shared" si="53"/>
        <v>0.41552065486748269</v>
      </c>
      <c r="D230" s="10">
        <f t="shared" si="54"/>
        <v>8.1383992264596694E-2</v>
      </c>
      <c r="H230" s="19">
        <f t="shared" si="52"/>
        <v>18.000000000000014</v>
      </c>
      <c r="I230" s="10">
        <f t="shared" si="55"/>
        <v>0.53469913609297637</v>
      </c>
      <c r="J230" s="10">
        <f t="shared" si="56"/>
        <v>0.10472632309831957</v>
      </c>
      <c r="K230" s="10">
        <f t="shared" si="57"/>
        <v>9.1133958000225515E-2</v>
      </c>
      <c r="L230" s="10">
        <f t="shared" si="58"/>
        <v>0.42248490370429798</v>
      </c>
      <c r="M230" s="10">
        <f t="shared" si="59"/>
        <v>0.9930181152691101</v>
      </c>
      <c r="N230" s="10">
        <f t="shared" si="60"/>
        <v>0.98655926377194569</v>
      </c>
      <c r="O230" s="10">
        <f t="shared" si="66"/>
        <v>1.3360079196139263E-2</v>
      </c>
      <c r="P230" s="10">
        <f t="shared" si="67"/>
        <v>0.37113844978222543</v>
      </c>
      <c r="Q230" s="10">
        <f t="shared" si="61"/>
        <v>0.16189404176167371</v>
      </c>
      <c r="S230" s="5">
        <f t="shared" si="62"/>
        <v>4.3515950355677326E-2</v>
      </c>
      <c r="T230" s="5">
        <f t="shared" si="63"/>
        <v>3.7868041908919368E-2</v>
      </c>
      <c r="U230" s="5">
        <f t="shared" si="64"/>
        <v>0.15421569170001265</v>
      </c>
    </row>
    <row r="231" spans="1:21">
      <c r="A231" s="19">
        <f t="shared" si="65"/>
        <v>18.083333333333346</v>
      </c>
      <c r="B231" s="10">
        <f t="shared" si="51"/>
        <v>0.19322777472274696</v>
      </c>
      <c r="C231" s="10">
        <f t="shared" si="53"/>
        <v>0.41383464131281261</v>
      </c>
      <c r="D231" s="10">
        <f t="shared" si="54"/>
        <v>7.9964346844060952E-2</v>
      </c>
      <c r="H231" s="19">
        <f t="shared" si="52"/>
        <v>18.083333333333346</v>
      </c>
      <c r="I231" s="10">
        <f t="shared" si="55"/>
        <v>0.53202113537618556</v>
      </c>
      <c r="J231" s="10">
        <f t="shared" si="56"/>
        <v>0.10280126009420965</v>
      </c>
      <c r="K231" s="10">
        <f t="shared" si="57"/>
        <v>9.0426514628537319E-2</v>
      </c>
      <c r="L231" s="10">
        <f t="shared" si="58"/>
        <v>0.41953516280609343</v>
      </c>
      <c r="M231" s="10">
        <f t="shared" si="59"/>
        <v>0.9929777368045537</v>
      </c>
      <c r="N231" s="10">
        <f t="shared" si="60"/>
        <v>0.98647861708393025</v>
      </c>
      <c r="O231" s="10">
        <f t="shared" si="66"/>
        <v>1.3439778263604218E-2</v>
      </c>
      <c r="P231" s="10">
        <f t="shared" si="67"/>
        <v>0.36994635587715879</v>
      </c>
      <c r="Q231" s="10">
        <f t="shared" si="61"/>
        <v>0.16287207364273576</v>
      </c>
      <c r="S231" s="5">
        <f t="shared" si="62"/>
        <v>4.2542722597592404E-2</v>
      </c>
      <c r="T231" s="5">
        <f t="shared" si="63"/>
        <v>3.7421624246468541E-2</v>
      </c>
      <c r="U231" s="5">
        <f t="shared" si="64"/>
        <v>0.15309661748940614</v>
      </c>
    </row>
    <row r="232" spans="1:21">
      <c r="A232" s="19">
        <f t="shared" si="65"/>
        <v>18.166666666666679</v>
      </c>
      <c r="B232" s="10">
        <f t="shared" si="51"/>
        <v>0.19061506799070063</v>
      </c>
      <c r="C232" s="10">
        <f t="shared" si="53"/>
        <v>0.4121554689143479</v>
      </c>
      <c r="D232" s="10">
        <f t="shared" si="54"/>
        <v>7.8563042729847529E-2</v>
      </c>
      <c r="H232" s="19">
        <f t="shared" si="52"/>
        <v>18.166666666666679</v>
      </c>
      <c r="I232" s="10">
        <f t="shared" si="55"/>
        <v>0.52934154420362312</v>
      </c>
      <c r="J232" s="10">
        <f t="shared" si="56"/>
        <v>0.10090047443867609</v>
      </c>
      <c r="K232" s="10">
        <f t="shared" si="57"/>
        <v>8.9714593552024546E-2</v>
      </c>
      <c r="L232" s="10">
        <f t="shared" si="58"/>
        <v>0.41658907647312465</v>
      </c>
      <c r="M232" s="10">
        <f t="shared" si="59"/>
        <v>0.9929371253708793</v>
      </c>
      <c r="N232" s="10">
        <f t="shared" si="60"/>
        <v>0.98639748954560735</v>
      </c>
      <c r="O232" s="10">
        <f t="shared" si="66"/>
        <v>1.3519947076578803E-2</v>
      </c>
      <c r="P232" s="10">
        <f t="shared" si="67"/>
        <v>0.36873012133887839</v>
      </c>
      <c r="Q232" s="10">
        <f t="shared" si="61"/>
        <v>0.16385601764732233</v>
      </c>
      <c r="S232" s="5">
        <f t="shared" si="62"/>
        <v>4.1586682355952719E-2</v>
      </c>
      <c r="T232" s="5">
        <f t="shared" si="63"/>
        <v>3.6976360373894811E-2</v>
      </c>
      <c r="U232" s="5">
        <f t="shared" si="64"/>
        <v>0.15197413606326982</v>
      </c>
    </row>
    <row r="233" spans="1:21">
      <c r="A233" s="19">
        <f t="shared" si="65"/>
        <v>18.250000000000011</v>
      </c>
      <c r="B233" s="10">
        <f t="shared" si="51"/>
        <v>0.18802222453559236</v>
      </c>
      <c r="C233" s="10">
        <f t="shared" si="53"/>
        <v>0.41048310991346365</v>
      </c>
      <c r="D233" s="10">
        <f t="shared" si="54"/>
        <v>7.7179947460217502E-2</v>
      </c>
      <c r="H233" s="19">
        <f t="shared" si="52"/>
        <v>18.250000000000011</v>
      </c>
      <c r="I233" s="10">
        <f t="shared" si="55"/>
        <v>0.52666043769482851</v>
      </c>
      <c r="J233" s="10">
        <f t="shared" si="56"/>
        <v>9.9023867070270402E-2</v>
      </c>
      <c r="K233" s="10">
        <f t="shared" si="57"/>
        <v>8.8998357465321962E-2</v>
      </c>
      <c r="L233" s="10">
        <f t="shared" si="58"/>
        <v>0.41364676005413381</v>
      </c>
      <c r="M233" s="10">
        <f t="shared" si="59"/>
        <v>0.99289627963362015</v>
      </c>
      <c r="N233" s="10">
        <f t="shared" si="60"/>
        <v>0.98631587833039314</v>
      </c>
      <c r="O233" s="10">
        <f t="shared" si="66"/>
        <v>1.36005883320785E-2</v>
      </c>
      <c r="P233" s="10">
        <f t="shared" si="67"/>
        <v>0.36748999579429403</v>
      </c>
      <c r="Q233" s="10">
        <f t="shared" si="61"/>
        <v>0.16484590951374076</v>
      </c>
      <c r="S233" s="5">
        <f t="shared" si="62"/>
        <v>4.0647624910662018E-2</v>
      </c>
      <c r="T233" s="5">
        <f t="shared" si="63"/>
        <v>3.6532322549555483E-2</v>
      </c>
      <c r="U233" s="5">
        <f t="shared" si="64"/>
        <v>0.1508484363357275</v>
      </c>
    </row>
    <row r="234" spans="1:21">
      <c r="A234" s="19">
        <f t="shared" si="65"/>
        <v>18.333333333333343</v>
      </c>
      <c r="B234" s="10">
        <f t="shared" si="51"/>
        <v>0.18544930553845718</v>
      </c>
      <c r="C234" s="10">
        <f t="shared" si="53"/>
        <v>0.4088175366641677</v>
      </c>
      <c r="D234" s="10">
        <f t="shared" si="54"/>
        <v>7.5814928266312656E-2</v>
      </c>
      <c r="H234" s="19">
        <f t="shared" si="52"/>
        <v>18.333333333333343</v>
      </c>
      <c r="I234" s="10">
        <f t="shared" si="55"/>
        <v>0.52397789152970764</v>
      </c>
      <c r="J234" s="10">
        <f t="shared" si="56"/>
        <v>9.7171336101689321E-2</v>
      </c>
      <c r="K234" s="10">
        <f t="shared" si="57"/>
        <v>8.8277969436767856E-2</v>
      </c>
      <c r="L234" s="10">
        <f t="shared" si="58"/>
        <v>0.41070832914025024</v>
      </c>
      <c r="M234" s="10">
        <f t="shared" si="59"/>
        <v>0.99285519825077551</v>
      </c>
      <c r="N234" s="10">
        <f t="shared" si="60"/>
        <v>0.98623378059557687</v>
      </c>
      <c r="O234" s="10">
        <f t="shared" si="66"/>
        <v>1.3681704741742368E-2</v>
      </c>
      <c r="P234" s="10">
        <f t="shared" si="67"/>
        <v>0.36622623247780245</v>
      </c>
      <c r="Q234" s="10">
        <f t="shared" si="61"/>
        <v>0.16584178519633463</v>
      </c>
      <c r="S234" s="5">
        <f t="shared" si="62"/>
        <v>3.972534625945854E-2</v>
      </c>
      <c r="T234" s="5">
        <f t="shared" si="63"/>
        <v>3.6089582006854116E-2</v>
      </c>
      <c r="U234" s="5">
        <f t="shared" si="64"/>
        <v>0.14971970622337399</v>
      </c>
    </row>
    <row r="235" spans="1:21">
      <c r="A235" s="19">
        <f t="shared" si="65"/>
        <v>18.416666666666675</v>
      </c>
      <c r="B235" s="10">
        <f t="shared" si="51"/>
        <v>0.18289636971001688</v>
      </c>
      <c r="C235" s="10">
        <f t="shared" si="53"/>
        <v>0.40715872163264427</v>
      </c>
      <c r="D235" s="10">
        <f t="shared" si="54"/>
        <v>7.446785208238195E-2</v>
      </c>
      <c r="H235" s="19">
        <f t="shared" si="52"/>
        <v>18.416666666666675</v>
      </c>
      <c r="I235" s="10">
        <f t="shared" si="55"/>
        <v>0.52129398194551047</v>
      </c>
      <c r="J235" s="10">
        <f t="shared" si="56"/>
        <v>9.534277684951295E-2</v>
      </c>
      <c r="K235" s="10">
        <f t="shared" si="57"/>
        <v>8.7553592860503932E-2</v>
      </c>
      <c r="L235" s="10">
        <f t="shared" si="58"/>
        <v>0.40777389955178789</v>
      </c>
      <c r="M235" s="10">
        <f t="shared" si="59"/>
        <v>0.99281387987277514</v>
      </c>
      <c r="N235" s="10">
        <f t="shared" si="60"/>
        <v>0.9861511934822369</v>
      </c>
      <c r="O235" s="10">
        <f t="shared" si="66"/>
        <v>1.3763299031901821E-2</v>
      </c>
      <c r="P235" s="10">
        <f t="shared" si="67"/>
        <v>0.36493908818128706</v>
      </c>
      <c r="Q235" s="10">
        <f t="shared" si="61"/>
        <v>0.16684368086678789</v>
      </c>
      <c r="S235" s="5">
        <f t="shared" si="62"/>
        <v>3.8819643138954162E-2</v>
      </c>
      <c r="T235" s="5">
        <f t="shared" si="63"/>
        <v>3.5648208943427788E-2</v>
      </c>
      <c r="U235" s="5">
        <f t="shared" si="64"/>
        <v>0.14858813261767567</v>
      </c>
    </row>
    <row r="236" spans="1:21">
      <c r="A236" s="19">
        <f t="shared" si="65"/>
        <v>18.500000000000007</v>
      </c>
      <c r="B236" s="10">
        <f t="shared" si="51"/>
        <v>0.18036347327310159</v>
      </c>
      <c r="C236" s="10">
        <f t="shared" si="53"/>
        <v>0.40550663739679865</v>
      </c>
      <c r="D236" s="10">
        <f t="shared" si="54"/>
        <v>7.3138585556182786E-2</v>
      </c>
      <c r="H236" s="19">
        <f t="shared" si="52"/>
        <v>18.500000000000007</v>
      </c>
      <c r="I236" s="10">
        <f t="shared" si="55"/>
        <v>0.51860878573368807</v>
      </c>
      <c r="J236" s="10">
        <f t="shared" si="56"/>
        <v>9.3538081864873723E-2</v>
      </c>
      <c r="K236" s="10">
        <f t="shared" si="57"/>
        <v>8.682539140822787E-2</v>
      </c>
      <c r="L236" s="10">
        <f t="shared" si="58"/>
        <v>0.40484358732486181</v>
      </c>
      <c r="M236" s="10">
        <f t="shared" si="59"/>
        <v>0.9927723231424318</v>
      </c>
      <c r="N236" s="10">
        <f t="shared" si="60"/>
        <v>0.98606811411515372</v>
      </c>
      <c r="O236" s="10">
        <f t="shared" si="66"/>
        <v>1.3845373943649607E-2</v>
      </c>
      <c r="P236" s="10">
        <f t="shared" si="67"/>
        <v>0.3636288232028082</v>
      </c>
      <c r="Q236" s="10">
        <f t="shared" si="61"/>
        <v>0.16785163291544</v>
      </c>
      <c r="S236" s="5">
        <f t="shared" si="62"/>
        <v>3.7930313045571415E-2</v>
      </c>
      <c r="T236" s="5">
        <f t="shared" si="63"/>
        <v>3.5208272510611378E-2</v>
      </c>
      <c r="U236" s="5">
        <f t="shared" si="64"/>
        <v>0.14745390135752576</v>
      </c>
    </row>
    <row r="237" spans="1:21">
      <c r="A237" s="19">
        <f t="shared" si="65"/>
        <v>18.583333333333339</v>
      </c>
      <c r="B237" s="10">
        <f t="shared" si="51"/>
        <v>0.17785066994566623</v>
      </c>
      <c r="C237" s="10">
        <f t="shared" si="53"/>
        <v>0.40386125664580397</v>
      </c>
      <c r="D237" s="10">
        <f t="shared" si="54"/>
        <v>7.182699505955488E-2</v>
      </c>
      <c r="H237" s="19">
        <f t="shared" si="52"/>
        <v>18.583333333333339</v>
      </c>
      <c r="I237" s="10">
        <f t="shared" si="55"/>
        <v>0.51592238023662873</v>
      </c>
      <c r="J237" s="10">
        <f t="shared" si="56"/>
        <v>9.1757140965047168E-2</v>
      </c>
      <c r="K237" s="10">
        <f t="shared" si="57"/>
        <v>8.6093528980619061E-2</v>
      </c>
      <c r="L237" s="10">
        <f t="shared" si="58"/>
        <v>0.401917508697819</v>
      </c>
      <c r="M237" s="10">
        <f t="shared" si="59"/>
        <v>0.99273052669490547</v>
      </c>
      <c r="N237" s="10">
        <f t="shared" si="60"/>
        <v>0.98598453960272547</v>
      </c>
      <c r="O237" s="10">
        <f t="shared" si="66"/>
        <v>1.3927932232908998E-2</v>
      </c>
      <c r="P237" s="10">
        <f t="shared" si="67"/>
        <v>0.36229570129399136</v>
      </c>
      <c r="Q237" s="10">
        <f t="shared" si="61"/>
        <v>0.16886567795260657</v>
      </c>
      <c r="S237" s="5">
        <f t="shared" si="62"/>
        <v>3.7057154256370128E-2</v>
      </c>
      <c r="T237" s="5">
        <f t="shared" si="63"/>
        <v>3.4769840803184758E-2</v>
      </c>
      <c r="U237" s="5">
        <f t="shared" si="64"/>
        <v>0.14631719720196418</v>
      </c>
    </row>
    <row r="238" spans="1:21">
      <c r="A238" s="19">
        <f t="shared" si="65"/>
        <v>18.666666666666671</v>
      </c>
      <c r="B238" s="10">
        <f t="shared" si="51"/>
        <v>0.175358010924414</v>
      </c>
      <c r="C238" s="10">
        <f t="shared" si="53"/>
        <v>0.40222255217964914</v>
      </c>
      <c r="D238" s="10">
        <f t="shared" si="54"/>
        <v>7.0532946699164586E-2</v>
      </c>
      <c r="H238" s="19">
        <f t="shared" si="52"/>
        <v>18.666666666666671</v>
      </c>
      <c r="I238" s="10">
        <f t="shared" si="55"/>
        <v>0.51323484334427194</v>
      </c>
      <c r="J238" s="10">
        <f t="shared" si="56"/>
        <v>8.9999841265954741E-2</v>
      </c>
      <c r="K238" s="10">
        <f t="shared" si="57"/>
        <v>8.5358169658459257E-2</v>
      </c>
      <c r="L238" s="10">
        <f t="shared" si="58"/>
        <v>0.39899578009749009</v>
      </c>
      <c r="M238" s="10">
        <f t="shared" si="59"/>
        <v>0.99268848915765773</v>
      </c>
      <c r="N238" s="10">
        <f t="shared" si="60"/>
        <v>0.98590046703687717</v>
      </c>
      <c r="O238" s="10">
        <f t="shared" si="66"/>
        <v>1.4010976670503102E-2</v>
      </c>
      <c r="P238" s="10">
        <f t="shared" si="67"/>
        <v>0.36093998960613083</v>
      </c>
      <c r="Q238" s="10">
        <f t="shared" si="61"/>
        <v>0.16988585280990978</v>
      </c>
      <c r="S238" s="5">
        <f t="shared" si="62"/>
        <v>3.6199965849755621E-2</v>
      </c>
      <c r="T238" s="5">
        <f t="shared" si="63"/>
        <v>3.4332980849408973E-2</v>
      </c>
      <c r="U238" s="5">
        <f t="shared" si="64"/>
        <v>0.14517820380307397</v>
      </c>
    </row>
    <row r="239" spans="1:21">
      <c r="A239" s="19">
        <f t="shared" si="65"/>
        <v>18.750000000000004</v>
      </c>
      <c r="B239" s="10">
        <f t="shared" si="51"/>
        <v>0.17288554486903757</v>
      </c>
      <c r="C239" s="10">
        <f t="shared" si="53"/>
        <v>0.40059049690868997</v>
      </c>
      <c r="D239" s="10">
        <f t="shared" si="54"/>
        <v>6.9256306327417375E-2</v>
      </c>
      <c r="H239" s="19">
        <f t="shared" si="52"/>
        <v>18.750000000000004</v>
      </c>
      <c r="I239" s="10">
        <f t="shared" si="55"/>
        <v>0.51054625349059846</v>
      </c>
      <c r="J239" s="10">
        <f t="shared" si="56"/>
        <v>8.8266067215567887E-2</v>
      </c>
      <c r="K239" s="10">
        <f t="shared" si="57"/>
        <v>8.461947765346968E-2</v>
      </c>
      <c r="L239" s="10">
        <f t="shared" si="58"/>
        <v>0.39607851812525846</v>
      </c>
      <c r="M239" s="10">
        <f t="shared" si="59"/>
        <v>0.99264620915041168</v>
      </c>
      <c r="N239" s="10">
        <f t="shared" si="60"/>
        <v>0.98581589349297372</v>
      </c>
      <c r="O239" s="10">
        <f t="shared" si="66"/>
        <v>1.4094510042224433E-2</v>
      </c>
      <c r="P239" s="10">
        <f t="shared" si="67"/>
        <v>0.35956195863501694</v>
      </c>
      <c r="Q239" s="10">
        <f t="shared" si="61"/>
        <v>0.17091219454161588</v>
      </c>
      <c r="S239" s="5">
        <f t="shared" si="62"/>
        <v>3.5358547726060167E-2</v>
      </c>
      <c r="T239" s="5">
        <f t="shared" si="63"/>
        <v>3.3897758601357207E-2</v>
      </c>
      <c r="U239" s="5">
        <f t="shared" si="64"/>
        <v>0.14403710367906328</v>
      </c>
    </row>
    <row r="240" spans="1:21">
      <c r="A240" s="19">
        <f t="shared" si="65"/>
        <v>18.833333333333336</v>
      </c>
      <c r="B240" s="10">
        <f t="shared" si="51"/>
        <v>0.17043331788708987</v>
      </c>
      <c r="C240" s="10">
        <f t="shared" si="53"/>
        <v>0.39896506385320096</v>
      </c>
      <c r="D240" s="10">
        <f t="shared" si="54"/>
        <v>6.799693955353571E-2</v>
      </c>
      <c r="H240" s="19">
        <f t="shared" si="52"/>
        <v>18.833333333333336</v>
      </c>
      <c r="I240" s="10">
        <f t="shared" si="55"/>
        <v>0.50785668964999608</v>
      </c>
      <c r="J240" s="10">
        <f t="shared" si="56"/>
        <v>8.6555700628202933E-2</v>
      </c>
      <c r="K240" s="10">
        <f t="shared" si="57"/>
        <v>8.3877617258886941E-2</v>
      </c>
      <c r="L240" s="10">
        <f t="shared" si="58"/>
        <v>0.39316583954295042</v>
      </c>
      <c r="M240" s="10">
        <f t="shared" si="59"/>
        <v>0.99260368528510878</v>
      </c>
      <c r="N240" s="10">
        <f t="shared" si="60"/>
        <v>0.98573081602973867</v>
      </c>
      <c r="O240" s="10">
        <f t="shared" si="66"/>
        <v>1.4178535148904645E-2</v>
      </c>
      <c r="P240" s="10">
        <f t="shared" si="67"/>
        <v>0.35816188216450418</v>
      </c>
      <c r="Q240" s="10">
        <f t="shared" si="61"/>
        <v>0.17194474042598168</v>
      </c>
      <c r="S240" s="5">
        <f t="shared" si="62"/>
        <v>3.4532700627989528E-2</v>
      </c>
      <c r="T240" s="5">
        <f t="shared" si="63"/>
        <v>3.3464238925546182E-2</v>
      </c>
      <c r="U240" s="5">
        <f t="shared" si="64"/>
        <v>0.14289407818754404</v>
      </c>
    </row>
    <row r="241" spans="1:21">
      <c r="A241" s="19">
        <f t="shared" si="65"/>
        <v>18.916666666666668</v>
      </c>
      <c r="B241" s="10">
        <f t="shared" si="51"/>
        <v>0.16800137351949695</v>
      </c>
      <c r="C241" s="10">
        <f t="shared" si="53"/>
        <v>0.39734622614292914</v>
      </c>
      <c r="D241" s="10">
        <f t="shared" si="54"/>
        <v>6.6754711754800744E-2</v>
      </c>
      <c r="H241" s="19">
        <f t="shared" si="52"/>
        <v>18.916666666666668</v>
      </c>
      <c r="I241" s="10">
        <f t="shared" si="55"/>
        <v>0.5051662313334998</v>
      </c>
      <c r="J241" s="10">
        <f t="shared" si="56"/>
        <v>8.4868620719695906E-2</v>
      </c>
      <c r="K241" s="10">
        <f t="shared" si="57"/>
        <v>8.3132752799801049E-2</v>
      </c>
      <c r="L241" s="10">
        <f t="shared" si="58"/>
        <v>0.39025786125854633</v>
      </c>
      <c r="M241" s="10">
        <f t="shared" si="59"/>
        <v>0.99256091616586406</v>
      </c>
      <c r="N241" s="10">
        <f t="shared" si="60"/>
        <v>0.9856452316891533</v>
      </c>
      <c r="O241" s="10">
        <f t="shared" si="66"/>
        <v>1.4263054806484359E-2</v>
      </c>
      <c r="P241" s="10">
        <f t="shared" si="67"/>
        <v>0.35674003720883274</v>
      </c>
      <c r="Q241" s="10">
        <f t="shared" si="61"/>
        <v>0.17298352796660704</v>
      </c>
      <c r="S241" s="5">
        <f t="shared" si="62"/>
        <v>3.3722226160926773E-2</v>
      </c>
      <c r="T241" s="5">
        <f t="shared" si="63"/>
        <v>3.3032485593873971E-2</v>
      </c>
      <c r="U241" s="5">
        <f t="shared" si="64"/>
        <v>0.14174930749901782</v>
      </c>
    </row>
    <row r="242" spans="1:21">
      <c r="A242" s="19">
        <f t="shared" si="65"/>
        <v>19</v>
      </c>
      <c r="B242" s="10">
        <f t="shared" si="51"/>
        <v>0.16558975272672055</v>
      </c>
      <c r="C242" s="10">
        <f t="shared" si="53"/>
        <v>0.39573395701665059</v>
      </c>
      <c r="D242" s="10">
        <f t="shared" si="54"/>
        <v>6.5529488087953836E-2</v>
      </c>
      <c r="H242" s="19">
        <f t="shared" si="52"/>
        <v>19</v>
      </c>
      <c r="I242" s="10">
        <f t="shared" si="55"/>
        <v>0.5024749585849061</v>
      </c>
      <c r="J242" s="10">
        <f t="shared" si="56"/>
        <v>8.3204704143443747E-2</v>
      </c>
      <c r="K242" s="10">
        <f t="shared" si="57"/>
        <v>8.2385048583276804E-2</v>
      </c>
      <c r="L242" s="10">
        <f t="shared" si="58"/>
        <v>0.38735470031171343</v>
      </c>
      <c r="M242" s="10">
        <f t="shared" si="59"/>
        <v>0.99251790038893539</v>
      </c>
      <c r="N242" s="10">
        <f t="shared" si="60"/>
        <v>0.98555913749638291</v>
      </c>
      <c r="O242" s="10">
        <f t="shared" si="66"/>
        <v>1.4348071846083391E-2</v>
      </c>
      <c r="P242" s="10">
        <f t="shared" si="67"/>
        <v>0.35529670395371921</v>
      </c>
      <c r="Q242" s="10">
        <f t="shared" si="61"/>
        <v>0.17402859489379929</v>
      </c>
      <c r="S242" s="5">
        <f t="shared" si="62"/>
        <v>3.2926926813084699E-2</v>
      </c>
      <c r="T242" s="5">
        <f t="shared" si="63"/>
        <v>3.2602561274869137E-2</v>
      </c>
      <c r="U242" s="5">
        <f t="shared" si="64"/>
        <v>0.14060297057057874</v>
      </c>
    </row>
    <row r="243" spans="1:21">
      <c r="A243" s="19">
        <f t="shared" si="65"/>
        <v>19.083333333333332</v>
      </c>
      <c r="B243" s="10">
        <f t="shared" si="51"/>
        <v>0.16319849387558602</v>
      </c>
      <c r="C243" s="10">
        <f t="shared" si="53"/>
        <v>0.39412822982172652</v>
      </c>
      <c r="D243" s="10">
        <f t="shared" si="54"/>
        <v>6.4321133500756592E-2</v>
      </c>
      <c r="H243" s="19">
        <f t="shared" si="52"/>
        <v>19.083333333333332</v>
      </c>
      <c r="I243" s="10">
        <f t="shared" si="55"/>
        <v>0.49978295197675682</v>
      </c>
      <c r="J243" s="10">
        <f t="shared" si="56"/>
        <v>8.1563825027301043E-2</v>
      </c>
      <c r="K243" s="10">
        <f t="shared" si="57"/>
        <v>8.1634668848284977E-2</v>
      </c>
      <c r="L243" s="10">
        <f t="shared" si="58"/>
        <v>0.38445647385916709</v>
      </c>
      <c r="M243" s="10">
        <f t="shared" si="59"/>
        <v>0.99247463654265511</v>
      </c>
      <c r="N243" s="10">
        <f t="shared" si="60"/>
        <v>0.98547253045967076</v>
      </c>
      <c r="O243" s="10">
        <f t="shared" si="66"/>
        <v>1.4433589114070819E-2</v>
      </c>
      <c r="P243" s="10">
        <f t="shared" si="67"/>
        <v>0.35383216569623682</v>
      </c>
      <c r="Q243" s="10">
        <f t="shared" si="61"/>
        <v>0.17507997916594081</v>
      </c>
      <c r="S243" s="5">
        <f t="shared" si="62"/>
        <v>3.2146605975499197E-2</v>
      </c>
      <c r="T243" s="5">
        <f t="shared" si="63"/>
        <v>3.2174527525257401E-2</v>
      </c>
      <c r="U243" s="5">
        <f t="shared" si="64"/>
        <v>0.13945524511984564</v>
      </c>
    </row>
    <row r="244" spans="1:21">
      <c r="A244" s="19">
        <f t="shared" si="65"/>
        <v>19.166666666666664</v>
      </c>
      <c r="B244" s="10">
        <f t="shared" si="51"/>
        <v>0.16082763272678083</v>
      </c>
      <c r="C244" s="10">
        <f t="shared" si="53"/>
        <v>0.39252901801366491</v>
      </c>
      <c r="D244" s="10">
        <f t="shared" si="54"/>
        <v>6.3129512743705637E-2</v>
      </c>
      <c r="H244" s="19">
        <f t="shared" si="52"/>
        <v>19.166666666666664</v>
      </c>
      <c r="I244" s="10">
        <f t="shared" si="55"/>
        <v>0.49709029260620119</v>
      </c>
      <c r="J244" s="10">
        <f t="shared" si="56"/>
        <v>7.9945855011318137E-2</v>
      </c>
      <c r="K244" s="10">
        <f t="shared" si="57"/>
        <v>8.0881777715462691E-2</v>
      </c>
      <c r="L244" s="10">
        <f t="shared" si="58"/>
        <v>0.38156329915984766</v>
      </c>
      <c r="M244" s="10">
        <f t="shared" si="59"/>
        <v>0.99243112320741889</v>
      </c>
      <c r="N244" s="10">
        <f t="shared" si="60"/>
        <v>0.98538540757026638</v>
      </c>
      <c r="O244" s="10">
        <f t="shared" si="66"/>
        <v>1.4519609472135675E-2</v>
      </c>
      <c r="P244" s="10">
        <f t="shared" si="67"/>
        <v>0.35234670878348917</v>
      </c>
      <c r="Q244" s="10">
        <f t="shared" si="61"/>
        <v>0.17613771897087119</v>
      </c>
      <c r="S244" s="5">
        <f t="shared" si="62"/>
        <v>3.1381067961855538E-2</v>
      </c>
      <c r="T244" s="5">
        <f t="shared" si="63"/>
        <v>3.1748444781850092E-2</v>
      </c>
      <c r="U244" s="5">
        <f t="shared" si="64"/>
        <v>0.13830630759912976</v>
      </c>
    </row>
    <row r="245" spans="1:21">
      <c r="A245" s="19">
        <f t="shared" si="65"/>
        <v>19.249999999999996</v>
      </c>
      <c r="B245" s="10">
        <f t="shared" si="51"/>
        <v>0.15847720242304003</v>
      </c>
      <c r="C245" s="10">
        <f t="shared" si="53"/>
        <v>0.3909362951556799</v>
      </c>
      <c r="D245" s="10">
        <f t="shared" si="54"/>
        <v>6.1954490381900006E-2</v>
      </c>
      <c r="H245" s="19">
        <f t="shared" si="52"/>
        <v>19.249999999999996</v>
      </c>
      <c r="I245" s="10">
        <f t="shared" si="55"/>
        <v>0.49439706209071943</v>
      </c>
      <c r="J245" s="10">
        <f t="shared" si="56"/>
        <v>7.8350663286307229E-2</v>
      </c>
      <c r="K245" s="10">
        <f t="shared" si="57"/>
        <v>8.0126539136732802E-2</v>
      </c>
      <c r="L245" s="10">
        <f t="shared" si="58"/>
        <v>0.37867529355993601</v>
      </c>
      <c r="M245" s="10">
        <f t="shared" si="59"/>
        <v>0.99238735895561703</v>
      </c>
      <c r="N245" s="10">
        <f t="shared" si="60"/>
        <v>0.98529776580232076</v>
      </c>
      <c r="O245" s="10">
        <f t="shared" si="66"/>
        <v>1.4606135797357315E-2</v>
      </c>
      <c r="P245" s="10">
        <f t="shared" si="67"/>
        <v>0.35084062255011578</v>
      </c>
      <c r="Q245" s="10">
        <f t="shared" si="61"/>
        <v>0.17720185272727118</v>
      </c>
      <c r="S245" s="5">
        <f t="shared" si="62"/>
        <v>3.0630118028139097E-2</v>
      </c>
      <c r="T245" s="5">
        <f t="shared" si="63"/>
        <v>3.1324372353760913E-2</v>
      </c>
      <c r="U245" s="5">
        <f t="shared" si="64"/>
        <v>0.13715633316985454</v>
      </c>
    </row>
    <row r="246" spans="1:21">
      <c r="A246" s="19">
        <f t="shared" si="65"/>
        <v>19.333333333333329</v>
      </c>
      <c r="B246" s="10">
        <f t="shared" si="51"/>
        <v>0.15614723347802348</v>
      </c>
      <c r="C246" s="10">
        <f t="shared" si="53"/>
        <v>0.38935003491825515</v>
      </c>
      <c r="D246" s="10">
        <f t="shared" si="54"/>
        <v>6.0795930807057384E-2</v>
      </c>
      <c r="H246" s="19">
        <f t="shared" si="52"/>
        <v>19.333333333333329</v>
      </c>
      <c r="I246" s="10">
        <f t="shared" si="55"/>
        <v>0.491703342563722</v>
      </c>
      <c r="J246" s="10">
        <f t="shared" si="56"/>
        <v>7.6778116633222065E-2</v>
      </c>
      <c r="K246" s="10">
        <f t="shared" si="57"/>
        <v>7.9369116844801413E-2</v>
      </c>
      <c r="L246" s="10">
        <f t="shared" si="58"/>
        <v>0.37579257447768788</v>
      </c>
      <c r="M246" s="10">
        <f t="shared" si="59"/>
        <v>0.99234334235160437</v>
      </c>
      <c r="N246" s="10">
        <f t="shared" si="60"/>
        <v>0.98520960211280717</v>
      </c>
      <c r="O246" s="10">
        <f t="shared" si="66"/>
        <v>1.469317098227638E-2</v>
      </c>
      <c r="P246" s="10">
        <f t="shared" si="67"/>
        <v>0.3493141992546267</v>
      </c>
      <c r="Q246" s="10">
        <f t="shared" si="61"/>
        <v>0.17827241908605959</v>
      </c>
      <c r="S246" s="5">
        <f t="shared" si="62"/>
        <v>2.9893562392102876E-2</v>
      </c>
      <c r="T246" s="5">
        <f t="shared" si="63"/>
        <v>3.0902368414954504E-2</v>
      </c>
      <c r="U246" s="5">
        <f t="shared" si="64"/>
        <v>0.13600549567723125</v>
      </c>
    </row>
    <row r="247" spans="1:21">
      <c r="A247" s="19">
        <f t="shared" si="65"/>
        <v>19.416666666666661</v>
      </c>
      <c r="B247" s="10">
        <f t="shared" si="51"/>
        <v>0.15383775376589912</v>
      </c>
      <c r="C247" s="10">
        <f t="shared" si="53"/>
        <v>0.38777021107870907</v>
      </c>
      <c r="D247" s="10">
        <f t="shared" si="54"/>
        <v>5.9653698249677173E-2</v>
      </c>
      <c r="H247" s="19">
        <f t="shared" si="52"/>
        <v>19.416666666666661</v>
      </c>
      <c r="I247" s="10">
        <f t="shared" si="55"/>
        <v>0.48900921667001568</v>
      </c>
      <c r="J247" s="10">
        <f t="shared" si="56"/>
        <v>7.522807946333708E-2</v>
      </c>
      <c r="K247" s="10">
        <f t="shared" si="57"/>
        <v>7.8609674302562021E-2</v>
      </c>
      <c r="L247" s="10">
        <f t="shared" si="58"/>
        <v>0.37291525938810299</v>
      </c>
      <c r="M247" s="10">
        <f t="shared" si="59"/>
        <v>0.99229907195165157</v>
      </c>
      <c r="N247" s="10">
        <f t="shared" si="60"/>
        <v>0.9851209134414225</v>
      </c>
      <c r="O247" s="10">
        <f t="shared" si="66"/>
        <v>1.4780717934965723E-2</v>
      </c>
      <c r="P247" s="10">
        <f t="shared" si="67"/>
        <v>0.34776773401459965</v>
      </c>
      <c r="Q247" s="10">
        <f t="shared" si="61"/>
        <v>0.17934945693179682</v>
      </c>
      <c r="S247" s="5">
        <f t="shared" si="62"/>
        <v>2.9171208252544118E-2</v>
      </c>
      <c r="T247" s="5">
        <f t="shared" si="63"/>
        <v>3.0482489997133048E-2</v>
      </c>
      <c r="U247" s="5">
        <f t="shared" si="64"/>
        <v>0.13485396762520566</v>
      </c>
    </row>
    <row r="248" spans="1:21">
      <c r="A248" s="19">
        <f t="shared" si="65"/>
        <v>19.499999999999993</v>
      </c>
      <c r="B248" s="10">
        <f t="shared" si="51"/>
        <v>0.15154878851163917</v>
      </c>
      <c r="C248" s="10">
        <f t="shared" si="53"/>
        <v>0.38619679752076091</v>
      </c>
      <c r="D248" s="10">
        <f t="shared" si="54"/>
        <v>5.8527656791346132E-2</v>
      </c>
      <c r="H248" s="19">
        <f t="shared" si="52"/>
        <v>19.499999999999993</v>
      </c>
      <c r="I248" s="10">
        <f t="shared" si="55"/>
        <v>0.48631476756113762</v>
      </c>
      <c r="J248" s="10">
        <f t="shared" si="56"/>
        <v>7.3700413859209807E-2</v>
      </c>
      <c r="K248" s="10">
        <f t="shared" si="57"/>
        <v>7.7848374652429359E-2</v>
      </c>
      <c r="L248" s="10">
        <f t="shared" si="58"/>
        <v>0.37004346580742403</v>
      </c>
      <c r="M248" s="10">
        <f t="shared" si="59"/>
        <v>0.99225454630390209</v>
      </c>
      <c r="N248" s="10">
        <f t="shared" si="60"/>
        <v>0.98503169671050061</v>
      </c>
      <c r="O248" s="10">
        <f t="shared" si="66"/>
        <v>1.4868779579101496E-2</v>
      </c>
      <c r="P248" s="10">
        <f t="shared" si="67"/>
        <v>0.34620152474075283</v>
      </c>
      <c r="Q248" s="10">
        <f t="shared" si="61"/>
        <v>0.18043300538409801</v>
      </c>
      <c r="S248" s="5">
        <f t="shared" si="62"/>
        <v>2.846286380838153E-2</v>
      </c>
      <c r="T248" s="5">
        <f t="shared" si="63"/>
        <v>3.0064792982964599E-2</v>
      </c>
      <c r="U248" s="5">
        <f t="shared" si="64"/>
        <v>0.13370192015168322</v>
      </c>
    </row>
    <row r="249" spans="1:21">
      <c r="A249" s="19">
        <f t="shared" si="65"/>
        <v>19.583333333333325</v>
      </c>
      <c r="B249" s="10">
        <f t="shared" si="51"/>
        <v>0.14928036028204075</v>
      </c>
      <c r="C249" s="10">
        <f t="shared" si="53"/>
        <v>0.38462976823409933</v>
      </c>
      <c r="D249" s="10">
        <f t="shared" si="54"/>
        <v>5.7417670377184184E-2</v>
      </c>
      <c r="H249" s="19">
        <f t="shared" si="52"/>
        <v>19.583333333333325</v>
      </c>
      <c r="I249" s="10">
        <f t="shared" si="55"/>
        <v>0.48362007889055497</v>
      </c>
      <c r="J249" s="10">
        <f t="shared" si="56"/>
        <v>7.2194979616411012E-2</v>
      </c>
      <c r="K249" s="10">
        <f t="shared" si="57"/>
        <v>7.7085380665629741E-2</v>
      </c>
      <c r="L249" s="10">
        <f t="shared" si="58"/>
        <v>0.36717731127746905</v>
      </c>
      <c r="M249" s="10">
        <f t="shared" si="59"/>
        <v>0.99220976394832772</v>
      </c>
      <c r="N249" s="10">
        <f t="shared" si="60"/>
        <v>0.98494194882491937</v>
      </c>
      <c r="O249" s="10">
        <f t="shared" si="66"/>
        <v>1.495735885403451E-2</v>
      </c>
      <c r="P249" s="10">
        <f t="shared" si="67"/>
        <v>0.34461587206991601</v>
      </c>
      <c r="Q249" s="10">
        <f t="shared" si="61"/>
        <v>0.1815231037990519</v>
      </c>
      <c r="S249" s="5">
        <f t="shared" si="62"/>
        <v>2.7768338277525693E-2</v>
      </c>
      <c r="T249" s="5">
        <f t="shared" si="63"/>
        <v>2.964933209965849E-2</v>
      </c>
      <c r="U249" s="5">
        <f t="shared" si="64"/>
        <v>0.13254952300404382</v>
      </c>
    </row>
    <row r="250" spans="1:21">
      <c r="A250" s="19">
        <f t="shared" si="65"/>
        <v>19.666666666666657</v>
      </c>
      <c r="B250" s="10">
        <f t="shared" si="51"/>
        <v>0.14703248897747931</v>
      </c>
      <c r="C250" s="10">
        <f t="shared" si="53"/>
        <v>0.38306909731395183</v>
      </c>
      <c r="D250" s="10">
        <f t="shared" si="54"/>
        <v>5.6323602828426571E-2</v>
      </c>
      <c r="H250" s="19">
        <f t="shared" si="52"/>
        <v>19.666666666666657</v>
      </c>
      <c r="I250" s="10">
        <f t="shared" si="55"/>
        <v>0.48092523480873178</v>
      </c>
      <c r="J250" s="10">
        <f t="shared" si="56"/>
        <v>7.0711634286006506E-2</v>
      </c>
      <c r="K250" s="10">
        <f t="shared" si="57"/>
        <v>7.6320854691472803E-2</v>
      </c>
      <c r="L250" s="10">
        <f t="shared" si="58"/>
        <v>0.36431691334979921</v>
      </c>
      <c r="M250" s="10">
        <f t="shared" si="59"/>
        <v>0.99216472341668527</v>
      </c>
      <c r="N250" s="10">
        <f t="shared" si="60"/>
        <v>0.98485166667201041</v>
      </c>
      <c r="O250" s="10">
        <f t="shared" si="66"/>
        <v>1.504645871486171E-2</v>
      </c>
      <c r="P250" s="10">
        <f t="shared" si="67"/>
        <v>0.34301107929692087</v>
      </c>
      <c r="Q250" s="10">
        <f t="shared" si="61"/>
        <v>0.18261979177065285</v>
      </c>
      <c r="S250" s="5">
        <f t="shared" si="62"/>
        <v>2.7087441915534798E-2</v>
      </c>
      <c r="T250" s="5">
        <f t="shared" si="63"/>
        <v>2.9236160912891773E-2</v>
      </c>
      <c r="U250" s="5">
        <f t="shared" si="64"/>
        <v>0.13139694451495584</v>
      </c>
    </row>
    <row r="251" spans="1:21">
      <c r="A251" s="19">
        <f t="shared" si="65"/>
        <v>19.749999999999989</v>
      </c>
      <c r="B251" s="10">
        <f t="shared" si="51"/>
        <v>0.14480519182440449</v>
      </c>
      <c r="C251" s="10">
        <f t="shared" si="53"/>
        <v>0.38151475896065734</v>
      </c>
      <c r="D251" s="10">
        <f t="shared" si="54"/>
        <v>5.5245317855139427E-2</v>
      </c>
      <c r="H251" s="19">
        <f t="shared" si="52"/>
        <v>19.749999999999989</v>
      </c>
      <c r="I251" s="10">
        <f t="shared" si="55"/>
        <v>0.47823031995806026</v>
      </c>
      <c r="J251" s="10">
        <f t="shared" si="56"/>
        <v>6.9250233217773252E-2</v>
      </c>
      <c r="K251" s="10">
        <f t="shared" si="57"/>
        <v>7.5554958606631251E-2</v>
      </c>
      <c r="L251" s="10">
        <f t="shared" si="58"/>
        <v>0.36146238956972404</v>
      </c>
      <c r="M251" s="10">
        <f t="shared" si="59"/>
        <v>0.99211942323247149</v>
      </c>
      <c r="N251" s="10">
        <f t="shared" si="60"/>
        <v>0.98476084712146306</v>
      </c>
      <c r="O251" s="10">
        <f t="shared" si="66"/>
        <v>1.5136082132497774E-2</v>
      </c>
      <c r="P251" s="10">
        <f t="shared" si="67"/>
        <v>0.34138745230543299</v>
      </c>
      <c r="Q251" s="10">
        <f t="shared" si="61"/>
        <v>0.18372310913223691</v>
      </c>
      <c r="S251" s="5">
        <f t="shared" si="62"/>
        <v>2.6419986034048069E-2</v>
      </c>
      <c r="T251" s="5">
        <f t="shared" si="63"/>
        <v>2.8825331821091364E-2</v>
      </c>
      <c r="U251" s="5">
        <f t="shared" si="64"/>
        <v>0.13024435157850017</v>
      </c>
    </row>
    <row r="252" spans="1:21">
      <c r="A252" s="19">
        <f t="shared" si="65"/>
        <v>19.833333333333321</v>
      </c>
      <c r="B252" s="10">
        <f t="shared" si="51"/>
        <v>0.14259848336858652</v>
      </c>
      <c r="C252" s="10">
        <f t="shared" si="53"/>
        <v>0.37996672747923921</v>
      </c>
      <c r="D252" s="10">
        <f t="shared" si="54"/>
        <v>5.4182679069064536E-2</v>
      </c>
      <c r="H252" s="19">
        <f t="shared" si="52"/>
        <v>19.833333333333321</v>
      </c>
      <c r="I252" s="10">
        <f t="shared" si="55"/>
        <v>0.47553541946765598</v>
      </c>
      <c r="J252" s="10">
        <f t="shared" si="56"/>
        <v>6.7810629604132353E-2</v>
      </c>
      <c r="K252" s="10">
        <f t="shared" si="57"/>
        <v>7.4787853764454168E-2</v>
      </c>
      <c r="L252" s="10">
        <f t="shared" si="58"/>
        <v>0.35861385746014551</v>
      </c>
      <c r="M252" s="10">
        <f t="shared" si="59"/>
        <v>0.99207386191087643</v>
      </c>
      <c r="N252" s="10">
        <f t="shared" si="60"/>
        <v>0.98466948702523838</v>
      </c>
      <c r="O252" s="10">
        <f t="shared" si="66"/>
        <v>1.5226232093746983E-2</v>
      </c>
      <c r="P252" s="10">
        <f t="shared" si="67"/>
        <v>0.3397452994977479</v>
      </c>
      <c r="Q252" s="10">
        <f t="shared" si="61"/>
        <v>0.18483309595792982</v>
      </c>
      <c r="S252" s="5">
        <f t="shared" si="62"/>
        <v>2.5765783018988988E-2</v>
      </c>
      <c r="T252" s="5">
        <f t="shared" si="63"/>
        <v>2.8416896050075552E-2</v>
      </c>
      <c r="U252" s="5">
        <f t="shared" si="64"/>
        <v>0.12909190962661329</v>
      </c>
    </row>
    <row r="253" spans="1:21">
      <c r="A253" s="19">
        <f t="shared" si="65"/>
        <v>19.916666666666654</v>
      </c>
      <c r="B253" s="10">
        <f t="shared" si="51"/>
        <v>0.14041237546912308</v>
      </c>
      <c r="C253" s="10">
        <f t="shared" si="53"/>
        <v>0.37842497727898039</v>
      </c>
      <c r="D253" s="10">
        <f t="shared" si="54"/>
        <v>5.3135549996590564E-2</v>
      </c>
      <c r="H253" s="19">
        <f t="shared" si="52"/>
        <v>19.916666666666654</v>
      </c>
      <c r="I253" s="10">
        <f t="shared" si="55"/>
        <v>0.47284061894801716</v>
      </c>
      <c r="J253" s="10">
        <f t="shared" si="56"/>
        <v>6.6392674524781536E-2</v>
      </c>
      <c r="K253" s="10">
        <f t="shared" si="57"/>
        <v>7.4019700944341529E-2</v>
      </c>
      <c r="L253" s="10">
        <f t="shared" si="58"/>
        <v>0.35577143450524312</v>
      </c>
      <c r="M253" s="10">
        <f t="shared" si="59"/>
        <v>0.99202803795874128</v>
      </c>
      <c r="N253" s="10">
        <f t="shared" si="60"/>
        <v>0.98457758321746724</v>
      </c>
      <c r="O253" s="10">
        <f t="shared" si="66"/>
        <v>1.5316911601375086E-2</v>
      </c>
      <c r="P253" s="10">
        <f t="shared" si="67"/>
        <v>0.33808493172357373</v>
      </c>
      <c r="Q253" s="10">
        <f t="shared" si="61"/>
        <v>0.18594979256410243</v>
      </c>
      <c r="S253" s="5">
        <f t="shared" si="62"/>
        <v>2.5124646348531194E-2</v>
      </c>
      <c r="T253" s="5">
        <f t="shared" si="63"/>
        <v>2.8010903648059367E-2</v>
      </c>
      <c r="U253" s="5">
        <f t="shared" si="64"/>
        <v>0.12793978260585903</v>
      </c>
    </row>
    <row r="254" spans="1:21">
      <c r="A254" s="19">
        <f t="shared" si="65"/>
        <v>19.999999999999986</v>
      </c>
      <c r="B254" s="10">
        <f t="shared" si="51"/>
        <v>0.13824687729321278</v>
      </c>
      <c r="C254" s="10">
        <f t="shared" si="53"/>
        <v>0.37688948287300061</v>
      </c>
      <c r="D254" s="10">
        <f t="shared" si="54"/>
        <v>5.2103794091846137E-2</v>
      </c>
      <c r="H254" s="19">
        <f t="shared" si="52"/>
        <v>19.999999999999986</v>
      </c>
      <c r="I254" s="10">
        <f t="shared" si="55"/>
        <v>0.47014600448554572</v>
      </c>
      <c r="J254" s="10">
        <f t="shared" si="56"/>
        <v>6.4996216992007499E-2</v>
      </c>
      <c r="K254" s="10">
        <f t="shared" si="57"/>
        <v>7.3250660301205278E-2</v>
      </c>
      <c r="L254" s="10">
        <f t="shared" si="58"/>
        <v>0.35293523813400318</v>
      </c>
      <c r="M254" s="10">
        <f t="shared" si="59"/>
        <v>0.99198194987451116</v>
      </c>
      <c r="N254" s="10">
        <f t="shared" si="60"/>
        <v>0.98448513251436565</v>
      </c>
      <c r="O254" s="10">
        <f t="shared" si="66"/>
        <v>1.5408123674181493E-2</v>
      </c>
      <c r="P254" s="10">
        <f t="shared" si="67"/>
        <v>0.33640666220782683</v>
      </c>
      <c r="Q254" s="10">
        <f t="shared" si="61"/>
        <v>0.18707323951083385</v>
      </c>
      <c r="S254" s="5">
        <f t="shared" si="62"/>
        <v>2.4496390610819041E-2</v>
      </c>
      <c r="T254" s="5">
        <f t="shared" si="63"/>
        <v>2.7607403481027092E-2</v>
      </c>
      <c r="U254" s="5">
        <f t="shared" si="64"/>
        <v>0.12678813295454006</v>
      </c>
    </row>
    <row r="255" spans="1:21">
      <c r="A255" s="19">
        <f t="shared" si="65"/>
        <v>20.083333333333318</v>
      </c>
      <c r="B255" s="10">
        <f t="shared" si="51"/>
        <v>0.13610199531170583</v>
      </c>
      <c r="C255" s="10">
        <f t="shared" si="53"/>
        <v>0.37536021887783505</v>
      </c>
      <c r="D255" s="10">
        <f t="shared" si="54"/>
        <v>5.1087274749911982E-2</v>
      </c>
      <c r="H255" s="19">
        <f t="shared" si="52"/>
        <v>20.083333333333318</v>
      </c>
      <c r="I255" s="10">
        <f t="shared" si="55"/>
        <v>0.46745166263693066</v>
      </c>
      <c r="J255" s="10">
        <f t="shared" si="56"/>
        <v>6.3621103996660627E-2</v>
      </c>
      <c r="K255" s="10">
        <f t="shared" si="57"/>
        <v>7.248089131504519E-2</v>
      </c>
      <c r="L255" s="10">
        <f t="shared" si="58"/>
        <v>0.3501053857035934</v>
      </c>
      <c r="M255" s="10">
        <f t="shared" si="59"/>
        <v>0.99193559614818949</v>
      </c>
      <c r="N255" s="10">
        <f t="shared" si="60"/>
        <v>0.98439213171413631</v>
      </c>
      <c r="O255" s="10">
        <f t="shared" si="66"/>
        <v>1.5499871347071564E-2</v>
      </c>
      <c r="P255" s="10">
        <f t="shared" si="67"/>
        <v>0.33471080647746287</v>
      </c>
      <c r="Q255" s="10">
        <f t="shared" si="61"/>
        <v>0.18820347760338621</v>
      </c>
      <c r="S255" s="5">
        <f t="shared" si="62"/>
        <v>2.3880831521436038E-2</v>
      </c>
      <c r="T255" s="5">
        <f t="shared" si="63"/>
        <v>2.7206443228475936E-2</v>
      </c>
      <c r="U255" s="5">
        <f t="shared" si="64"/>
        <v>0.12563712158015716</v>
      </c>
    </row>
    <row r="256" spans="1:21">
      <c r="A256" s="19">
        <f t="shared" si="65"/>
        <v>20.16666666666665</v>
      </c>
      <c r="B256" s="10">
        <f t="shared" si="51"/>
        <v>0.1339777332954375</v>
      </c>
      <c r="C256" s="10">
        <f t="shared" si="53"/>
        <v>0.37383716001301448</v>
      </c>
      <c r="D256" s="10">
        <f t="shared" si="54"/>
        <v>5.0085855320147442E-2</v>
      </c>
      <c r="H256" s="19">
        <f t="shared" si="52"/>
        <v>20.16666666666665</v>
      </c>
      <c r="I256" s="10">
        <f t="shared" si="55"/>
        <v>0.46475768042339216</v>
      </c>
      <c r="J256" s="10">
        <f t="shared" si="56"/>
        <v>6.2267180554771408E-2</v>
      </c>
      <c r="K256" s="10">
        <f t="shared" si="57"/>
        <v>7.1710552740666095E-2</v>
      </c>
      <c r="L256" s="10">
        <f t="shared" si="58"/>
        <v>0.34728199448258573</v>
      </c>
      <c r="M256" s="10">
        <f t="shared" si="59"/>
        <v>0.99188897526129294</v>
      </c>
      <c r="N256" s="10">
        <f t="shared" si="60"/>
        <v>0.98429857759687522</v>
      </c>
      <c r="O256" s="10">
        <f t="shared" si="66"/>
        <v>1.5592157671128997E-2</v>
      </c>
      <c r="P256" s="10">
        <f t="shared" si="67"/>
        <v>0.33299768228737037</v>
      </c>
      <c r="Q256" s="10">
        <f t="shared" si="61"/>
        <v>0.18934054789368654</v>
      </c>
      <c r="S256" s="5">
        <f t="shared" si="62"/>
        <v>2.3277785940613343E-2</v>
      </c>
      <c r="T256" s="5">
        <f t="shared" si="63"/>
        <v>2.6808069379534106E-2</v>
      </c>
      <c r="U256" s="5">
        <f t="shared" si="64"/>
        <v>0.12448690783722663</v>
      </c>
    </row>
    <row r="257" spans="1:21">
      <c r="A257" s="19">
        <f t="shared" si="65"/>
        <v>20.249999999999982</v>
      </c>
      <c r="B257" s="10">
        <f t="shared" si="51"/>
        <v>0.13187409231235264</v>
      </c>
      <c r="C257" s="10">
        <f t="shared" si="53"/>
        <v>0.37232028110064774</v>
      </c>
      <c r="D257" s="10">
        <f t="shared" si="54"/>
        <v>4.9099399119627907E-2</v>
      </c>
      <c r="H257" s="19">
        <f t="shared" si="52"/>
        <v>20.249999999999982</v>
      </c>
      <c r="I257" s="10">
        <f t="shared" si="55"/>
        <v>0.46206414532478646</v>
      </c>
      <c r="J257" s="10">
        <f t="shared" si="56"/>
        <v>6.0934289754789213E-2</v>
      </c>
      <c r="K257" s="10">
        <f t="shared" si="57"/>
        <v>7.0939802557563422E-2</v>
      </c>
      <c r="L257" s="10">
        <f t="shared" si="58"/>
        <v>0.34446518163402995</v>
      </c>
      <c r="M257" s="10">
        <f t="shared" si="59"/>
        <v>0.99184208568680565</v>
      </c>
      <c r="N257" s="10">
        <f t="shared" si="60"/>
        <v>0.98420446692447283</v>
      </c>
      <c r="O257" s="10">
        <f t="shared" si="66"/>
        <v>1.5684985713688399E-2</v>
      </c>
      <c r="P257" s="10">
        <f t="shared" si="67"/>
        <v>0.33126760954535206</v>
      </c>
      <c r="Q257" s="10">
        <f t="shared" si="61"/>
        <v>0.19048449168181633</v>
      </c>
      <c r="S257" s="5">
        <f t="shared" si="62"/>
        <v>2.268707189017144E-2</v>
      </c>
      <c r="T257" s="5">
        <f t="shared" si="63"/>
        <v>2.6412327229456464E-2</v>
      </c>
      <c r="U257" s="5">
        <f t="shared" si="64"/>
        <v>0.12333764950546509</v>
      </c>
    </row>
    <row r="258" spans="1:21">
      <c r="A258" s="19">
        <f t="shared" si="65"/>
        <v>20.333333333333314</v>
      </c>
      <c r="B258" s="10">
        <f t="shared" si="51"/>
        <v>0.12979107072542775</v>
      </c>
      <c r="C258" s="10">
        <f t="shared" si="53"/>
        <v>0.37080955706500512</v>
      </c>
      <c r="D258" s="10">
        <f t="shared" si="54"/>
        <v>4.8127769446688617E-2</v>
      </c>
      <c r="H258" s="19">
        <f t="shared" si="52"/>
        <v>20.333333333333314</v>
      </c>
      <c r="I258" s="10">
        <f t="shared" si="55"/>
        <v>0.45937114527356998</v>
      </c>
      <c r="J258" s="10">
        <f t="shared" si="56"/>
        <v>5.962227280542267E-2</v>
      </c>
      <c r="K258" s="10">
        <f t="shared" si="57"/>
        <v>7.0168797920005077E-2</v>
      </c>
      <c r="L258" s="10">
        <f t="shared" si="58"/>
        <v>0.3416550641983806</v>
      </c>
      <c r="M258" s="10">
        <f t="shared" si="59"/>
        <v>0.99179492588913265</v>
      </c>
      <c r="N258" s="10">
        <f t="shared" si="60"/>
        <v>0.98410979644053298</v>
      </c>
      <c r="O258" s="10">
        <f t="shared" si="66"/>
        <v>1.5778358558408152E-2</v>
      </c>
      <c r="P258" s="10">
        <f t="shared" si="67"/>
        <v>0.32952091023622199</v>
      </c>
      <c r="Q258" s="10">
        <f t="shared" si="61"/>
        <v>0.19163535051751371</v>
      </c>
      <c r="S258" s="5">
        <f t="shared" si="62"/>
        <v>2.2108508570187681E-2</v>
      </c>
      <c r="T258" s="5">
        <f t="shared" si="63"/>
        <v>2.6019260876500937E-2</v>
      </c>
      <c r="U258" s="5">
        <f t="shared" si="64"/>
        <v>0.12218950276835079</v>
      </c>
    </row>
    <row r="259" spans="1:21">
      <c r="A259" s="19">
        <f t="shared" si="65"/>
        <v>20.416666666666647</v>
      </c>
      <c r="B259" s="10">
        <f t="shared" si="51"/>
        <v>0.12772866419139953</v>
      </c>
      <c r="C259" s="10">
        <f t="shared" si="53"/>
        <v>0.36930496293210407</v>
      </c>
      <c r="D259" s="10">
        <f t="shared" si="54"/>
        <v>4.7170829594571972E-2</v>
      </c>
      <c r="H259" s="19">
        <f t="shared" si="52"/>
        <v>20.416666666666647</v>
      </c>
      <c r="I259" s="10">
        <f t="shared" si="55"/>
        <v>0.45667876864862222</v>
      </c>
      <c r="J259" s="10">
        <f t="shared" si="56"/>
        <v>5.8330969084061705E-2</v>
      </c>
      <c r="K259" s="10">
        <f t="shared" si="57"/>
        <v>6.9397695107337828E-2</v>
      </c>
      <c r="L259" s="10">
        <f t="shared" si="58"/>
        <v>0.33885175907627973</v>
      </c>
      <c r="M259" s="10">
        <f t="shared" si="59"/>
        <v>0.99174749432405196</v>
      </c>
      <c r="N259" s="10">
        <f t="shared" si="60"/>
        <v>0.98401456287025724</v>
      </c>
      <c r="O259" s="10">
        <f t="shared" si="66"/>
        <v>1.5872279305343122E-2</v>
      </c>
      <c r="P259" s="10">
        <f t="shared" si="67"/>
        <v>0.32775790834504454</v>
      </c>
      <c r="Q259" s="10">
        <f t="shared" si="61"/>
        <v>0.19279316620168141</v>
      </c>
      <c r="S259" s="5">
        <f t="shared" si="62"/>
        <v>2.1541916375383118E-2</v>
      </c>
      <c r="T259" s="5">
        <f t="shared" si="63"/>
        <v>2.5628913219188858E-2</v>
      </c>
      <c r="U259" s="5">
        <f t="shared" si="64"/>
        <v>0.12104262219207064</v>
      </c>
    </row>
    <row r="260" spans="1:21">
      <c r="A260" s="19">
        <f t="shared" si="65"/>
        <v>20.499999999999979</v>
      </c>
      <c r="B260" s="10">
        <f t="shared" si="51"/>
        <v>0.12568686566030188</v>
      </c>
      <c r="C260" s="10">
        <f t="shared" si="53"/>
        <v>0.36780647382929632</v>
      </c>
      <c r="D260" s="10">
        <f t="shared" si="54"/>
        <v>4.6228442865172102E-2</v>
      </c>
      <c r="H260" s="19">
        <f t="shared" si="52"/>
        <v>20.499999999999979</v>
      </c>
      <c r="I260" s="10">
        <f t="shared" si="55"/>
        <v>0.45398710426892819</v>
      </c>
      <c r="J260" s="10">
        <f t="shared" si="56"/>
        <v>5.7060216185758239E-2</v>
      </c>
      <c r="K260" s="10">
        <f t="shared" si="57"/>
        <v>6.8626649474543638E-2</v>
      </c>
      <c r="L260" s="10">
        <f t="shared" si="58"/>
        <v>0.33605538301119775</v>
      </c>
      <c r="M260" s="10">
        <f t="shared" si="59"/>
        <v>0.99169978943867121</v>
      </c>
      <c r="N260" s="10">
        <f t="shared" si="60"/>
        <v>0.98391876292036706</v>
      </c>
      <c r="O260" s="10">
        <f t="shared" si="66"/>
        <v>1.5966751071017818E-2</v>
      </c>
      <c r="P260" s="10">
        <f t="shared" si="67"/>
        <v>0.32597892977954379</v>
      </c>
      <c r="Q260" s="10">
        <f t="shared" si="61"/>
        <v>0.19395798078790483</v>
      </c>
      <c r="S260" s="5">
        <f t="shared" si="62"/>
        <v>2.0987116911221078E-2</v>
      </c>
      <c r="T260" s="5">
        <f t="shared" si="63"/>
        <v>2.5241325953951028E-2</v>
      </c>
      <c r="U260" s="5">
        <f t="shared" si="64"/>
        <v>0.1198971607048618</v>
      </c>
    </row>
    <row r="261" spans="1:21">
      <c r="A261" s="19">
        <f t="shared" si="65"/>
        <v>20.583333333333311</v>
      </c>
      <c r="B261" s="10">
        <f t="shared" si="51"/>
        <v>0.12366566537582259</v>
      </c>
      <c r="C261" s="10">
        <f t="shared" si="53"/>
        <v>0.36631406498485669</v>
      </c>
      <c r="D261" s="10">
        <f t="shared" si="54"/>
        <v>4.5300472582874618E-2</v>
      </c>
      <c r="H261" s="19">
        <f t="shared" si="52"/>
        <v>20.583333333333311</v>
      </c>
      <c r="I261" s="10">
        <f t="shared" si="55"/>
        <v>0.45129624138711655</v>
      </c>
      <c r="J261" s="10">
        <f t="shared" si="56"/>
        <v>5.5809849972745615E-2</v>
      </c>
      <c r="K261" s="10">
        <f t="shared" si="57"/>
        <v>6.7855815403076974E-2</v>
      </c>
      <c r="L261" s="10">
        <f t="shared" si="58"/>
        <v>0.33326605257193681</v>
      </c>
      <c r="M261" s="10">
        <f t="shared" si="59"/>
        <v>0.99165180967137756</v>
      </c>
      <c r="N261" s="10">
        <f t="shared" si="60"/>
        <v>0.9838223932789959</v>
      </c>
      <c r="O261" s="10">
        <f t="shared" si="66"/>
        <v>1.6061776988499483E-2</v>
      </c>
      <c r="P261" s="10">
        <f t="shared" si="67"/>
        <v>0.32418430229171341</v>
      </c>
      <c r="Q261" s="10">
        <f t="shared" si="61"/>
        <v>0.19512983658398061</v>
      </c>
      <c r="S261" s="5">
        <f t="shared" si="62"/>
        <v>2.0443933009711441E-2</v>
      </c>
      <c r="T261" s="5">
        <f t="shared" si="63"/>
        <v>2.4856539573163177E-2</v>
      </c>
      <c r="U261" s="5">
        <f t="shared" si="64"/>
        <v>0.11875326957675714</v>
      </c>
    </row>
    <row r="262" spans="1:21">
      <c r="A262" s="19">
        <f t="shared" si="65"/>
        <v>20.666666666666643</v>
      </c>
      <c r="B262" s="10">
        <f t="shared" si="51"/>
        <v>0.12166505087648123</v>
      </c>
      <c r="C262" s="10">
        <f t="shared" si="53"/>
        <v>0.36482771172757339</v>
      </c>
      <c r="D262" s="10">
        <f t="shared" si="54"/>
        <v>4.4386782108485442E-2</v>
      </c>
      <c r="H262" s="19">
        <f t="shared" si="52"/>
        <v>20.666666666666643</v>
      </c>
      <c r="I262" s="10">
        <f t="shared" si="55"/>
        <v>0.44860626968285722</v>
      </c>
      <c r="J262" s="10">
        <f t="shared" si="56"/>
        <v>5.4579704624473285E-2</v>
      </c>
      <c r="K262" s="10">
        <f t="shared" si="57"/>
        <v>6.7085346252007946E-2</v>
      </c>
      <c r="L262" s="10">
        <f t="shared" si="58"/>
        <v>0.33048388413499757</v>
      </c>
      <c r="M262" s="10">
        <f t="shared" si="59"/>
        <v>0.99160355345179185</v>
      </c>
      <c r="N262" s="10">
        <f t="shared" si="60"/>
        <v>0.98372545061560079</v>
      </c>
      <c r="O262" s="10">
        <f t="shared" si="66"/>
        <v>1.615736020747148E-2</v>
      </c>
      <c r="P262" s="10">
        <f t="shared" si="67"/>
        <v>0.32237435539865439</v>
      </c>
      <c r="Q262" s="10">
        <f t="shared" si="61"/>
        <v>0.19630877615345149</v>
      </c>
      <c r="S262" s="5">
        <f t="shared" si="62"/>
        <v>1.9912188744913444E-2</v>
      </c>
      <c r="T262" s="5">
        <f t="shared" si="63"/>
        <v>2.4474593363572002E-2</v>
      </c>
      <c r="U262" s="5">
        <f t="shared" si="64"/>
        <v>0.11761109839974257</v>
      </c>
    </row>
    <row r="263" spans="1:21">
      <c r="A263" s="19">
        <f t="shared" si="65"/>
        <v>20.749999999999975</v>
      </c>
      <c r="B263" s="10">
        <f t="shared" si="51"/>
        <v>0.1196850069976365</v>
      </c>
      <c r="C263" s="10">
        <f t="shared" si="53"/>
        <v>0.36334738948634066</v>
      </c>
      <c r="D263" s="10">
        <f t="shared" si="54"/>
        <v>4.3487234853245633E-2</v>
      </c>
      <c r="H263" s="19">
        <f t="shared" si="52"/>
        <v>20.749999999999975</v>
      </c>
      <c r="I263" s="10">
        <f t="shared" si="55"/>
        <v>0.44591727925611413</v>
      </c>
      <c r="J263" s="10">
        <f t="shared" si="56"/>
        <v>5.3369612688135046E-2</v>
      </c>
      <c r="K263" s="10">
        <f t="shared" si="57"/>
        <v>6.6315394309501452E-2</v>
      </c>
      <c r="L263" s="10">
        <f t="shared" si="58"/>
        <v>0.32770899386681385</v>
      </c>
      <c r="M263" s="10">
        <f t="shared" si="59"/>
        <v>0.99155501920072187</v>
      </c>
      <c r="N263" s="10">
        <f t="shared" si="60"/>
        <v>0.98362793158085826</v>
      </c>
      <c r="O263" s="10">
        <f t="shared" si="66"/>
        <v>1.625350389430669E-2</v>
      </c>
      <c r="P263" s="10">
        <f t="shared" si="67"/>
        <v>0.32054942030267153</v>
      </c>
      <c r="Q263" s="10">
        <f t="shared" si="61"/>
        <v>0.1974948423171545</v>
      </c>
      <c r="S263" s="5">
        <f t="shared" si="62"/>
        <v>1.9391709448130953E-2</v>
      </c>
      <c r="T263" s="5">
        <f t="shared" si="63"/>
        <v>2.4095525405114684E-2</v>
      </c>
      <c r="U263" s="5">
        <f t="shared" si="64"/>
        <v>0.11647079506833551</v>
      </c>
    </row>
    <row r="264" spans="1:21">
      <c r="A264" s="19">
        <f t="shared" si="65"/>
        <v>20.833333333333307</v>
      </c>
      <c r="B264" s="10">
        <f t="shared" si="51"/>
        <v>0.11772551587432574</v>
      </c>
      <c r="C264" s="10">
        <f t="shared" si="53"/>
        <v>0.36187307378975192</v>
      </c>
      <c r="D264" s="10">
        <f t="shared" si="54"/>
        <v>4.2601694292926491E-2</v>
      </c>
      <c r="H264" s="19">
        <f t="shared" si="52"/>
        <v>20.833333333333307</v>
      </c>
      <c r="I264" s="10">
        <f t="shared" si="55"/>
        <v>0.44322936062025409</v>
      </c>
      <c r="J264" s="10">
        <f t="shared" si="56"/>
        <v>5.217940512966697E-2</v>
      </c>
      <c r="K264" s="10">
        <f t="shared" si="57"/>
        <v>6.554611074465877E-2</v>
      </c>
      <c r="L264" s="10">
        <f t="shared" si="58"/>
        <v>0.32494149770585784</v>
      </c>
      <c r="M264" s="10">
        <f t="shared" si="59"/>
        <v>0.99150620533011236</v>
      </c>
      <c r="N264" s="10">
        <f t="shared" si="60"/>
        <v>0.98352983280657158</v>
      </c>
      <c r="O264" s="10">
        <f t="shared" si="66"/>
        <v>1.6350211232141129E-2</v>
      </c>
      <c r="P264" s="10">
        <f t="shared" si="67"/>
        <v>0.31870982981065998</v>
      </c>
      <c r="Q264" s="10">
        <f t="shared" si="61"/>
        <v>0.19868807815477457</v>
      </c>
      <c r="S264" s="5">
        <f t="shared" si="62"/>
        <v>1.8882321722793336E-2</v>
      </c>
      <c r="T264" s="5">
        <f t="shared" si="63"/>
        <v>2.3719372570133155E-2</v>
      </c>
      <c r="U264" s="5">
        <f t="shared" si="64"/>
        <v>0.11533250576059223</v>
      </c>
    </row>
    <row r="265" spans="1:21">
      <c r="A265" s="19">
        <f t="shared" si="65"/>
        <v>20.916666666666639</v>
      </c>
      <c r="B265" s="10">
        <f t="shared" si="51"/>
        <v>0.11578655694494298</v>
      </c>
      <c r="C265" s="10">
        <f t="shared" si="53"/>
        <v>0.36040474026569586</v>
      </c>
      <c r="D265" s="10">
        <f t="shared" si="54"/>
        <v>4.1730023982001381E-2</v>
      </c>
      <c r="H265" s="19">
        <f t="shared" si="52"/>
        <v>20.916666666666639</v>
      </c>
      <c r="I265" s="10">
        <f t="shared" si="55"/>
        <v>0.44054260469501227</v>
      </c>
      <c r="J265" s="10">
        <f t="shared" si="56"/>
        <v>5.1008911385192542E-2</v>
      </c>
      <c r="K265" s="10">
        <f t="shared" si="57"/>
        <v>6.4777645559750435E-2</v>
      </c>
      <c r="L265" s="10">
        <f t="shared" si="58"/>
        <v>0.32218151134461853</v>
      </c>
      <c r="M265" s="10">
        <f t="shared" si="59"/>
        <v>0.99145711024300065</v>
      </c>
      <c r="N265" s="10">
        <f t="shared" si="60"/>
        <v>0.98343115090557442</v>
      </c>
      <c r="O265" s="10">
        <f t="shared" si="66"/>
        <v>1.6447485420947677E-2</v>
      </c>
      <c r="P265" s="10">
        <f t="shared" si="67"/>
        <v>0.31685591825281095</v>
      </c>
      <c r="Q265" s="10">
        <f t="shared" si="61"/>
        <v>0.19988852700640991</v>
      </c>
      <c r="S265" s="5">
        <f t="shared" si="62"/>
        <v>1.8383853459016213E-2</v>
      </c>
      <c r="T265" s="5">
        <f t="shared" si="63"/>
        <v>2.3346170522985162E-2</v>
      </c>
      <c r="U265" s="5">
        <f t="shared" si="64"/>
        <v>0.1141963749195529</v>
      </c>
    </row>
    <row r="266" spans="1:21">
      <c r="A266" s="19">
        <f t="shared" si="65"/>
        <v>20.999999999999972</v>
      </c>
      <c r="B266" s="10">
        <f t="shared" si="51"/>
        <v>0.11386810695575911</v>
      </c>
      <c r="C266" s="10">
        <f t="shared" si="53"/>
        <v>0.35894236464095325</v>
      </c>
      <c r="D266" s="10">
        <f t="shared" si="54"/>
        <v>4.0872087567889154E-2</v>
      </c>
      <c r="H266" s="19">
        <f t="shared" si="52"/>
        <v>20.999999999999972</v>
      </c>
      <c r="I266" s="10">
        <f t="shared" si="55"/>
        <v>0.43785710279931178</v>
      </c>
      <c r="J266" s="10">
        <f t="shared" si="56"/>
        <v>4.9857959412890847E-2</v>
      </c>
      <c r="K266" s="10">
        <f t="shared" si="57"/>
        <v>6.4010147542868268E-2</v>
      </c>
      <c r="L266" s="10">
        <f t="shared" si="58"/>
        <v>0.31942915021145801</v>
      </c>
      <c r="M266" s="10">
        <f t="shared" si="59"/>
        <v>0.99140773233346646</v>
      </c>
      <c r="N266" s="10">
        <f t="shared" si="60"/>
        <v>0.98333188247162151</v>
      </c>
      <c r="O266" s="10">
        <f t="shared" si="66"/>
        <v>1.6545329677609869E-2</v>
      </c>
      <c r="P266" s="10">
        <f t="shared" si="67"/>
        <v>0.31498802140067078</v>
      </c>
      <c r="Q266" s="10">
        <f t="shared" si="61"/>
        <v>0.20109623247414604</v>
      </c>
      <c r="S266" s="5">
        <f t="shared" si="62"/>
        <v>1.7896133847835713E-2</v>
      </c>
      <c r="T266" s="5">
        <f t="shared" si="63"/>
        <v>2.2975953720053441E-2</v>
      </c>
      <c r="U266" s="5">
        <f t="shared" si="64"/>
        <v>0.11306254523513196</v>
      </c>
    </row>
    <row r="267" spans="1:21">
      <c r="A267" s="19">
        <f t="shared" si="65"/>
        <v>21.083333333333304</v>
      </c>
      <c r="B267" s="10">
        <f t="shared" si="51"/>
        <v>0.11197013996628655</v>
      </c>
      <c r="C267" s="10">
        <f t="shared" si="53"/>
        <v>0.35748592274079549</v>
      </c>
      <c r="D267" s="10">
        <f t="shared" si="54"/>
        <v>4.0027748805263969E-2</v>
      </c>
      <c r="H267" s="19">
        <f t="shared" si="52"/>
        <v>21.083333333333304</v>
      </c>
      <c r="I267" s="10">
        <f t="shared" si="55"/>
        <v>0.43517294664393896</v>
      </c>
      <c r="J267" s="10">
        <f t="shared" si="56"/>
        <v>4.8726375745263194E-2</v>
      </c>
      <c r="K267" s="10">
        <f t="shared" si="57"/>
        <v>6.324376422102336E-2</v>
      </c>
      <c r="L267" s="10">
        <f t="shared" si="58"/>
        <v>0.31668452945234782</v>
      </c>
      <c r="M267" s="10">
        <f t="shared" si="59"/>
        <v>0.99135806998658249</v>
      </c>
      <c r="N267" s="10">
        <f t="shared" si="60"/>
        <v>0.98323202407930987</v>
      </c>
      <c r="O267" s="10">
        <f t="shared" si="66"/>
        <v>1.6643747235995991E-2</v>
      </c>
      <c r="P267" s="10">
        <f t="shared" si="67"/>
        <v>0.31310647638458361</v>
      </c>
      <c r="Q267" s="10">
        <f t="shared" si="61"/>
        <v>0.20231123842363999</v>
      </c>
      <c r="S267" s="5">
        <f t="shared" si="62"/>
        <v>1.7418993395110129E-2</v>
      </c>
      <c r="T267" s="5">
        <f t="shared" si="63"/>
        <v>2.2608755410153843E-2</v>
      </c>
      <c r="U267" s="5">
        <f t="shared" si="64"/>
        <v>0.11193115762646197</v>
      </c>
    </row>
    <row r="268" spans="1:21">
      <c r="A268" s="19">
        <f t="shared" si="65"/>
        <v>21.166666666666636</v>
      </c>
      <c r="B268" s="10">
        <f t="shared" si="51"/>
        <v>0.11009262735549555</v>
      </c>
      <c r="C268" s="10">
        <f t="shared" si="53"/>
        <v>0.35603539048858546</v>
      </c>
      <c r="D268" s="10">
        <f t="shared" si="54"/>
        <v>3.9196871570428185E-2</v>
      </c>
      <c r="H268" s="19">
        <f t="shared" si="52"/>
        <v>21.166666666666636</v>
      </c>
      <c r="I268" s="10">
        <f t="shared" si="55"/>
        <v>0.43249022832407208</v>
      </c>
      <c r="J268" s="10">
        <f t="shared" si="56"/>
        <v>4.7613985541775254E-2</v>
      </c>
      <c r="K268" s="10">
        <f t="shared" si="57"/>
        <v>6.2478641813720287E-2</v>
      </c>
      <c r="L268" s="10">
        <f t="shared" si="58"/>
        <v>0.31394776391248858</v>
      </c>
      <c r="M268" s="10">
        <f t="shared" si="59"/>
        <v>0.9913081215783679</v>
      </c>
      <c r="N268" s="10">
        <f t="shared" si="60"/>
        <v>0.98313157228396197</v>
      </c>
      <c r="O268" s="10">
        <f t="shared" si="66"/>
        <v>1.6742741347033081E-2</v>
      </c>
      <c r="P268" s="10">
        <f t="shared" si="67"/>
        <v>0.3112116216105506</v>
      </c>
      <c r="Q268" s="10">
        <f t="shared" si="61"/>
        <v>0.20353358898571247</v>
      </c>
      <c r="S268" s="5">
        <f t="shared" si="62"/>
        <v>1.6952263935083815E-2</v>
      </c>
      <c r="T268" s="5">
        <f t="shared" si="63"/>
        <v>2.2244607635344367E-2</v>
      </c>
      <c r="U268" s="5">
        <f t="shared" si="64"/>
        <v>0.11080235122469828</v>
      </c>
    </row>
    <row r="269" spans="1:21">
      <c r="A269" s="19">
        <f t="shared" si="65"/>
        <v>21.249999999999968</v>
      </c>
      <c r="B269" s="10">
        <f t="shared" si="51"/>
        <v>0.10823553782888067</v>
      </c>
      <c r="C269" s="10">
        <f t="shared" si="53"/>
        <v>0.35459074390537904</v>
      </c>
      <c r="D269" s="10">
        <f t="shared" si="54"/>
        <v>3.8379319875741585E-2</v>
      </c>
      <c r="H269" s="19">
        <f t="shared" si="52"/>
        <v>21.249999999999968</v>
      </c>
      <c r="I269" s="10">
        <f t="shared" si="55"/>
        <v>0.42980904031166461</v>
      </c>
      <c r="J269" s="10">
        <f t="shared" si="56"/>
        <v>4.6520612641848071E-2</v>
      </c>
      <c r="K269" s="10">
        <f t="shared" si="57"/>
        <v>6.1714925187032602E-2</v>
      </c>
      <c r="L269" s="10">
        <f t="shared" si="58"/>
        <v>0.31121896811781796</v>
      </c>
      <c r="M269" s="10">
        <f t="shared" si="59"/>
        <v>0.99125788547573856</v>
      </c>
      <c r="N269" s="10">
        <f t="shared" si="60"/>
        <v>0.98303052362153209</v>
      </c>
      <c r="O269" s="10">
        <f t="shared" si="66"/>
        <v>1.6842315278781168E-2</v>
      </c>
      <c r="P269" s="10">
        <f t="shared" si="67"/>
        <v>0.30930379667654001</v>
      </c>
      <c r="Q269" s="10">
        <f t="shared" si="61"/>
        <v>0.20476332855795237</v>
      </c>
      <c r="S269" s="5">
        <f t="shared" si="62"/>
        <v>1.6495778643606889E-2</v>
      </c>
      <c r="T269" s="5">
        <f t="shared" si="63"/>
        <v>2.1883541232134703E-2</v>
      </c>
      <c r="U269" s="5">
        <f t="shared" si="64"/>
        <v>0.10967626335629242</v>
      </c>
    </row>
    <row r="270" spans="1:21">
      <c r="A270" s="19">
        <f t="shared" si="65"/>
        <v>21.3333333333333</v>
      </c>
      <c r="B270" s="10">
        <f t="shared" ref="B270:B333" si="68">(B$9^A270)*B$10^((B$7^65)*((B$7^A270)-1))</f>
        <v>0.1063988374263827</v>
      </c>
      <c r="C270" s="10">
        <f t="shared" si="53"/>
        <v>0.3531519591095289</v>
      </c>
      <c r="D270" s="10">
        <f t="shared" si="54"/>
        <v>3.7574957884103317E-2</v>
      </c>
      <c r="H270" s="19">
        <f t="shared" ref="H270:H333" si="69">A270</f>
        <v>21.3333333333333</v>
      </c>
      <c r="I270" s="10">
        <f t="shared" si="55"/>
        <v>0.42712947544768243</v>
      </c>
      <c r="J270" s="10">
        <f t="shared" si="56"/>
        <v>4.5446079618174082E-2</v>
      </c>
      <c r="K270" s="10">
        <f t="shared" si="57"/>
        <v>6.0952757808208621E-2</v>
      </c>
      <c r="L270" s="10">
        <f t="shared" si="58"/>
        <v>0.30849825625640953</v>
      </c>
      <c r="M270" s="10">
        <f t="shared" si="59"/>
        <v>0.99120736003645926</v>
      </c>
      <c r="N270" s="10">
        <f t="shared" si="60"/>
        <v>0.98292887460851042</v>
      </c>
      <c r="O270" s="10">
        <f t="shared" si="66"/>
        <v>1.6942472316507674E-2</v>
      </c>
      <c r="P270" s="10">
        <f t="shared" si="67"/>
        <v>0.30738334228828085</v>
      </c>
      <c r="Q270" s="10">
        <f t="shared" si="61"/>
        <v>0.20600050180632706</v>
      </c>
      <c r="S270" s="5">
        <f t="shared" si="62"/>
        <v>1.6049372051005806E-2</v>
      </c>
      <c r="T270" s="5">
        <f t="shared" si="63"/>
        <v>2.1525585833097511E-2</v>
      </c>
      <c r="U270" s="5">
        <f t="shared" si="64"/>
        <v>0.10855302952674128</v>
      </c>
    </row>
    <row r="271" spans="1:21">
      <c r="A271" s="19">
        <f t="shared" si="65"/>
        <v>21.416666666666632</v>
      </c>
      <c r="B271" s="10">
        <f t="shared" si="68"/>
        <v>0.10458248953116821</v>
      </c>
      <c r="C271" s="10">
        <f t="shared" ref="C271:C334" si="70">(1+B$8)^-A271</f>
        <v>0.35171901231628988</v>
      </c>
      <c r="D271" s="10">
        <f t="shared" ref="D271:D334" si="71">B271*C271</f>
        <v>3.678364992348121E-2</v>
      </c>
      <c r="H271" s="19">
        <f t="shared" si="69"/>
        <v>21.416666666666632</v>
      </c>
      <c r="I271" s="10">
        <f t="shared" ref="I271:I334" si="72">(C$9^H271)*C$10^((C$7^63)*((C$7^H271)-1))</f>
        <v>0.42445162693419392</v>
      </c>
      <c r="J271" s="10">
        <f t="shared" ref="J271:J334" si="73">B271*I271</f>
        <v>4.4390207830332651E-2</v>
      </c>
      <c r="K271" s="10">
        <f t="shared" ref="K271:K334" si="74">B271*(1-I271)</f>
        <v>6.0192281700835557E-2</v>
      </c>
      <c r="L271" s="10">
        <f t="shared" ref="L271:L334" si="75">(D$9^H271)*D$10^((D$7^63)*((D$7^H271)-1))</f>
        <v>0.30578574215976678</v>
      </c>
      <c r="M271" s="10">
        <f t="shared" ref="M271:M334" si="76">L272/L271</f>
        <v>0.99115654360909156</v>
      </c>
      <c r="N271" s="10">
        <f t="shared" ref="N271:N334" si="77">B272/B271</f>
        <v>0.98282662174181779</v>
      </c>
      <c r="O271" s="10">
        <f t="shared" si="66"/>
        <v>1.7043215762761833E-2</v>
      </c>
      <c r="P271" s="10">
        <f t="shared" si="67"/>
        <v>0.30545060017457487</v>
      </c>
      <c r="Q271" s="10">
        <f t="shared" ref="Q271:Q334" si="78">0.0001+0.0004*(1.075^(65+H271))</f>
        <v>0.20724515366680735</v>
      </c>
      <c r="S271" s="5">
        <f t="shared" ref="S271:S334" si="79">C271*J271</f>
        <v>1.5612880054599437E-2</v>
      </c>
      <c r="T271" s="5">
        <f t="shared" ref="T271:T334" si="80">C271*K271</f>
        <v>2.1170769868881771E-2</v>
      </c>
      <c r="U271" s="5">
        <f t="shared" ref="U271:U334" si="81">C271*P271</f>
        <v>0.10743278340481943</v>
      </c>
    </row>
    <row r="272" spans="1:21">
      <c r="A272" s="19">
        <f t="shared" ref="A272:A335" si="82">A271+1/12</f>
        <v>21.499999999999964</v>
      </c>
      <c r="B272" s="10">
        <f t="shared" si="68"/>
        <v>0.10278645487926708</v>
      </c>
      <c r="C272" s="10">
        <f t="shared" si="70"/>
        <v>0.35029187983742538</v>
      </c>
      <c r="D272" s="10">
        <f t="shared" si="71"/>
        <v>3.6005260501483165E-2</v>
      </c>
      <c r="H272" s="19">
        <f t="shared" si="69"/>
        <v>21.499999999999964</v>
      </c>
      <c r="I272" s="10">
        <f t="shared" si="72"/>
        <v>0.42177558832631368</v>
      </c>
      <c r="J272" s="10">
        <f t="shared" si="73"/>
        <v>4.3352817478678966E-2</v>
      </c>
      <c r="K272" s="10">
        <f t="shared" si="74"/>
        <v>5.9433637400588109E-2</v>
      </c>
      <c r="L272" s="10">
        <f t="shared" si="75"/>
        <v>0.30308153928401532</v>
      </c>
      <c r="M272" s="10">
        <f t="shared" si="76"/>
        <v>0.99110543453294853</v>
      </c>
      <c r="N272" s="10">
        <f t="shared" si="77"/>
        <v>0.9827237614987081</v>
      </c>
      <c r="O272" s="10">
        <f t="shared" ref="O272:O335" si="83">(1/24)*(Q272*M272+(J273/J272)*Q273)</f>
        <v>1.7144548937449301E-2</v>
      </c>
      <c r="P272" s="10">
        <f t="shared" ref="P272:P335" si="84">P271*M271+J271*O271</f>
        <v>0.30350591300216045</v>
      </c>
      <c r="Q272" s="10">
        <f t="shared" si="78"/>
        <v>0.20849732934699769</v>
      </c>
      <c r="S272" s="5">
        <f t="shared" si="79"/>
        <v>1.5186139930855247E-2</v>
      </c>
      <c r="T272" s="5">
        <f t="shared" si="80"/>
        <v>2.081912057062792E-2</v>
      </c>
      <c r="U272" s="5">
        <f t="shared" si="81"/>
        <v>0.10631565680730087</v>
      </c>
    </row>
    <row r="273" spans="1:21">
      <c r="A273" s="19">
        <f t="shared" si="82"/>
        <v>21.583333333333297</v>
      </c>
      <c r="B273" s="10">
        <f t="shared" si="68"/>
        <v>0.10101069157007057</v>
      </c>
      <c r="C273" s="10">
        <f t="shared" si="70"/>
        <v>0.34887053808081619</v>
      </c>
      <c r="D273" s="10">
        <f t="shared" si="71"/>
        <v>3.5239654319965882E-2</v>
      </c>
      <c r="H273" s="19">
        <f t="shared" si="69"/>
        <v>21.583333333333297</v>
      </c>
      <c r="I273" s="10">
        <f t="shared" si="72"/>
        <v>0.41910145352399908</v>
      </c>
      <c r="J273" s="10">
        <f t="shared" si="73"/>
        <v>4.2333727658480938E-2</v>
      </c>
      <c r="K273" s="10">
        <f t="shared" si="74"/>
        <v>5.8676963911589636E-2</v>
      </c>
      <c r="L273" s="10">
        <f t="shared" si="75"/>
        <v>0.30038576069099893</v>
      </c>
      <c r="M273" s="10">
        <f t="shared" si="76"/>
        <v>0.99105403113803991</v>
      </c>
      <c r="N273" s="10">
        <f t="shared" si="77"/>
        <v>0.98262029033666753</v>
      </c>
      <c r="O273" s="10">
        <f t="shared" si="83"/>
        <v>1.7246475177906791E-2</v>
      </c>
      <c r="P273" s="10">
        <f t="shared" si="84"/>
        <v>0.30154962429016502</v>
      </c>
      <c r="Q273" s="10">
        <f t="shared" si="78"/>
        <v>0.20975707432777899</v>
      </c>
      <c r="S273" s="5">
        <f t="shared" si="79"/>
        <v>1.4768990347180976E-2</v>
      </c>
      <c r="T273" s="5">
        <f t="shared" si="80"/>
        <v>2.0470663972784908E-2</v>
      </c>
      <c r="U273" s="5">
        <f t="shared" si="81"/>
        <v>0.10520177968417783</v>
      </c>
    </row>
    <row r="274" spans="1:21">
      <c r="A274" s="19">
        <f t="shared" si="82"/>
        <v>21.666666666666629</v>
      </c>
      <c r="B274" s="10">
        <f t="shared" si="68"/>
        <v>9.9255155077690324E-2</v>
      </c>
      <c r="C274" s="10">
        <f t="shared" si="70"/>
        <v>0.34745496355007011</v>
      </c>
      <c r="D274" s="10">
        <f t="shared" si="71"/>
        <v>3.4486696289675448E-2</v>
      </c>
      <c r="H274" s="19">
        <f t="shared" si="69"/>
        <v>21.666666666666629</v>
      </c>
      <c r="I274" s="10">
        <f t="shared" si="72"/>
        <v>0.41642931676369954</v>
      </c>
      <c r="J274" s="10">
        <f t="shared" si="73"/>
        <v>4.1332756414277624E-2</v>
      </c>
      <c r="K274" s="10">
        <f t="shared" si="74"/>
        <v>5.79223986634127E-2</v>
      </c>
      <c r="L274" s="10">
        <f t="shared" si="75"/>
        <v>0.29769851902928107</v>
      </c>
      <c r="M274" s="10">
        <f t="shared" si="76"/>
        <v>0.9910023317450255</v>
      </c>
      <c r="N274" s="10">
        <f t="shared" si="77"/>
        <v>0.98251620469330891</v>
      </c>
      <c r="O274" s="10">
        <f t="shared" si="83"/>
        <v>1.7348997838976896E-2</v>
      </c>
      <c r="P274" s="10">
        <f t="shared" si="84"/>
        <v>0.29958207832417971</v>
      </c>
      <c r="Q274" s="10">
        <f t="shared" si="78"/>
        <v>0.21102443436496016</v>
      </c>
      <c r="S274" s="5">
        <f t="shared" si="79"/>
        <v>1.4361271373346758E-2</v>
      </c>
      <c r="T274" s="5">
        <f t="shared" si="80"/>
        <v>2.0125424916328689E-2</v>
      </c>
      <c r="U274" s="5">
        <f t="shared" si="81"/>
        <v>0.10409128010438211</v>
      </c>
    </row>
    <row r="275" spans="1:21">
      <c r="A275" s="19">
        <f t="shared" si="82"/>
        <v>21.749999999999961</v>
      </c>
      <c r="B275" s="10">
        <f t="shared" si="68"/>
        <v>9.7519798263178109E-2</v>
      </c>
      <c r="C275" s="10">
        <f t="shared" si="70"/>
        <v>0.34604513284413407</v>
      </c>
      <c r="D275" s="10">
        <f t="shared" si="71"/>
        <v>3.3746251544914625E-2</v>
      </c>
      <c r="H275" s="19">
        <f t="shared" si="69"/>
        <v>21.749999999999961</v>
      </c>
      <c r="I275" s="10">
        <f t="shared" si="72"/>
        <v>0.41375927260985867</v>
      </c>
      <c r="J275" s="10">
        <f t="shared" si="73"/>
        <v>4.0349720794432734E-2</v>
      </c>
      <c r="K275" s="10">
        <f t="shared" si="74"/>
        <v>5.7170077468745376E-2</v>
      </c>
      <c r="L275" s="10">
        <f t="shared" si="75"/>
        <v>0.29501992651505837</v>
      </c>
      <c r="M275" s="10">
        <f t="shared" si="76"/>
        <v>0.99095033466516647</v>
      </c>
      <c r="N275" s="10">
        <f t="shared" si="77"/>
        <v>0.98241150098627539</v>
      </c>
      <c r="O275" s="10">
        <f t="shared" si="83"/>
        <v>1.7452120293083028E-2</v>
      </c>
      <c r="P275" s="10">
        <f t="shared" si="84"/>
        <v>0.29760362006999325</v>
      </c>
      <c r="Q275" s="10">
        <f t="shared" si="78"/>
        <v>0.2122994554909409</v>
      </c>
      <c r="S275" s="5">
        <f t="shared" si="79"/>
        <v>1.3962824492533193E-2</v>
      </c>
      <c r="T275" s="5">
        <f t="shared" si="80"/>
        <v>1.9783427052381428E-2</v>
      </c>
      <c r="U275" s="5">
        <f t="shared" si="81"/>
        <v>0.10298428424201601</v>
      </c>
    </row>
    <row r="276" spans="1:21">
      <c r="A276" s="19">
        <f t="shared" si="82"/>
        <v>21.833333333333293</v>
      </c>
      <c r="B276" s="10">
        <f t="shared" si="68"/>
        <v>9.5804571387607576E-2</v>
      </c>
      <c r="C276" s="10">
        <f t="shared" si="70"/>
        <v>0.34464102265690671</v>
      </c>
      <c r="D276" s="10">
        <f t="shared" si="71"/>
        <v>3.3018185458231701E-2</v>
      </c>
      <c r="H276" s="19">
        <f t="shared" si="69"/>
        <v>21.833333333333293</v>
      </c>
      <c r="I276" s="10">
        <f t="shared" si="72"/>
        <v>0.41109141594626897</v>
      </c>
      <c r="J276" s="10">
        <f t="shared" si="73"/>
        <v>3.9384436905857002E-2</v>
      </c>
      <c r="K276" s="10">
        <f t="shared" si="74"/>
        <v>5.6420134481750574E-2</v>
      </c>
      <c r="L276" s="10">
        <f t="shared" si="75"/>
        <v>0.29235009491298991</v>
      </c>
      <c r="M276" s="10">
        <f t="shared" si="76"/>
        <v>0.99089803820026767</v>
      </c>
      <c r="N276" s="10">
        <f t="shared" si="77"/>
        <v>0.98230617561313649</v>
      </c>
      <c r="O276" s="10">
        <f t="shared" si="83"/>
        <v>1.7555845930304341E-2</v>
      </c>
      <c r="P276" s="10">
        <f t="shared" si="84"/>
        <v>0.29561459508702159</v>
      </c>
      <c r="Q276" s="10">
        <f t="shared" si="78"/>
        <v>0.21358218401638229</v>
      </c>
      <c r="S276" s="5">
        <f t="shared" si="79"/>
        <v>1.3573492612000975E-2</v>
      </c>
      <c r="T276" s="5">
        <f t="shared" si="80"/>
        <v>1.9444692846230724E-2</v>
      </c>
      <c r="U276" s="5">
        <f t="shared" si="81"/>
        <v>0.10188091636309851</v>
      </c>
    </row>
    <row r="277" spans="1:21">
      <c r="A277" s="19">
        <f t="shared" si="82"/>
        <v>21.916666666666625</v>
      </c>
      <c r="B277" s="10">
        <f t="shared" si="68"/>
        <v>9.4109422126016515E-2</v>
      </c>
      <c r="C277" s="10">
        <f t="shared" si="70"/>
        <v>0.34324260977685339</v>
      </c>
      <c r="D277" s="10">
        <f t="shared" si="71"/>
        <v>3.2302363655125461E-2</v>
      </c>
      <c r="H277" s="19">
        <f t="shared" si="69"/>
        <v>21.916666666666625</v>
      </c>
      <c r="I277" s="10">
        <f t="shared" si="72"/>
        <v>0.40842584196727905</v>
      </c>
      <c r="J277" s="10">
        <f t="shared" si="73"/>
        <v>3.8436719968872372E-2</v>
      </c>
      <c r="K277" s="10">
        <f t="shared" si="74"/>
        <v>5.5672702157144142E-2</v>
      </c>
      <c r="L277" s="10">
        <f t="shared" si="75"/>
        <v>0.28968913551694375</v>
      </c>
      <c r="M277" s="10">
        <f t="shared" si="76"/>
        <v>0.99084544064263691</v>
      </c>
      <c r="N277" s="10">
        <f t="shared" si="77"/>
        <v>0.98220022495128301</v>
      </c>
      <c r="O277" s="10">
        <f t="shared" si="83"/>
        <v>1.7660178158450897E-2</v>
      </c>
      <c r="P277" s="10">
        <f t="shared" si="84"/>
        <v>0.29361534944146722</v>
      </c>
      <c r="Q277" s="10">
        <f t="shared" si="78"/>
        <v>0.21487266653189049</v>
      </c>
      <c r="S277" s="5">
        <f t="shared" si="79"/>
        <v>1.3193120073377848E-2</v>
      </c>
      <c r="T277" s="5">
        <f t="shared" si="80"/>
        <v>1.910924358174761E-2</v>
      </c>
      <c r="U277" s="5">
        <f t="shared" si="81"/>
        <v>0.10078129881283199</v>
      </c>
    </row>
    <row r="278" spans="1:21">
      <c r="A278" s="19">
        <f t="shared" si="82"/>
        <v>21.999999999999957</v>
      </c>
      <c r="B278" s="10">
        <f t="shared" si="68"/>
        <v>9.243429558220867E-2</v>
      </c>
      <c r="C278" s="10">
        <f t="shared" si="70"/>
        <v>0.34184987108662229</v>
      </c>
      <c r="D278" s="10">
        <f t="shared" si="71"/>
        <v>3.1598652028760776E-2</v>
      </c>
      <c r="H278" s="19">
        <f t="shared" si="69"/>
        <v>21.999999999999957</v>
      </c>
      <c r="I278" s="10">
        <f t="shared" si="72"/>
        <v>0.40576264616885432</v>
      </c>
      <c r="J278" s="10">
        <f t="shared" si="73"/>
        <v>3.7506384372191032E-2</v>
      </c>
      <c r="K278" s="10">
        <f t="shared" si="74"/>
        <v>5.4927911210017631E-2</v>
      </c>
      <c r="L278" s="10">
        <f t="shared" si="75"/>
        <v>0.28703715913067068</v>
      </c>
      <c r="M278" s="10">
        <f t="shared" si="76"/>
        <v>0.99079254027502439</v>
      </c>
      <c r="N278" s="10">
        <f t="shared" si="77"/>
        <v>0.98209364535782573</v>
      </c>
      <c r="O278" s="10">
        <f t="shared" si="83"/>
        <v>1.776512040313874E-2</v>
      </c>
      <c r="P278" s="10">
        <f t="shared" si="84"/>
        <v>0.2916062296192492</v>
      </c>
      <c r="Q278" s="10">
        <f t="shared" si="78"/>
        <v>0.21617094990970681</v>
      </c>
      <c r="S278" s="5">
        <f t="shared" si="79"/>
        <v>1.282155266255881E-2</v>
      </c>
      <c r="T278" s="5">
        <f t="shared" si="80"/>
        <v>1.8777099366201963E-2</v>
      </c>
      <c r="U278" s="5">
        <f t="shared" si="81"/>
        <v>9.9685552003396322E-2</v>
      </c>
    </row>
    <row r="279" spans="1:21">
      <c r="A279" s="19">
        <f t="shared" si="82"/>
        <v>22.08333333333329</v>
      </c>
      <c r="B279" s="10">
        <f t="shared" si="68"/>
        <v>9.0779134304414075E-2</v>
      </c>
      <c r="C279" s="10">
        <f t="shared" si="70"/>
        <v>0.34046278356266257</v>
      </c>
      <c r="D279" s="10">
        <f t="shared" si="71"/>
        <v>3.0906916754689606E-2</v>
      </c>
      <c r="H279" s="19">
        <f t="shared" si="69"/>
        <v>22.08333333333329</v>
      </c>
      <c r="I279" s="10">
        <f t="shared" si="72"/>
        <v>0.40310192433948794</v>
      </c>
      <c r="J279" s="10">
        <f t="shared" si="73"/>
        <v>3.6593243727982137E-2</v>
      </c>
      <c r="K279" s="10">
        <f t="shared" si="74"/>
        <v>5.418589057643193E-2</v>
      </c>
      <c r="L279" s="10">
        <f t="shared" si="75"/>
        <v>0.28439427604840362</v>
      </c>
      <c r="M279" s="10">
        <f t="shared" si="76"/>
        <v>0.99073933537057923</v>
      </c>
      <c r="N279" s="10">
        <f t="shared" si="77"/>
        <v>0.98198643316949819</v>
      </c>
      <c r="O279" s="10">
        <f t="shared" si="83"/>
        <v>1.7870676107865413E-2</v>
      </c>
      <c r="P279" s="10">
        <f t="shared" si="84"/>
        <v>0.28958758243873634</v>
      </c>
      <c r="Q279" s="10">
        <f t="shared" si="78"/>
        <v>0.21747708130541282</v>
      </c>
      <c r="S279" s="5">
        <f t="shared" si="79"/>
        <v>1.2458637619215743E-2</v>
      </c>
      <c r="T279" s="5">
        <f t="shared" si="80"/>
        <v>1.8448279135473863E-2</v>
      </c>
      <c r="U279" s="5">
        <f t="shared" si="81"/>
        <v>9.8593794402274199E-2</v>
      </c>
    </row>
    <row r="280" spans="1:21">
      <c r="A280" s="19">
        <f t="shared" si="82"/>
        <v>22.166666666666622</v>
      </c>
      <c r="B280" s="10">
        <f t="shared" si="68"/>
        <v>8.9143878301806409E-2</v>
      </c>
      <c r="C280" s="10">
        <f t="shared" si="70"/>
        <v>0.3390813242748435</v>
      </c>
      <c r="D280" s="10">
        <f t="shared" si="71"/>
        <v>3.0227024305572003E-2</v>
      </c>
      <c r="H280" s="19">
        <f t="shared" si="69"/>
        <v>22.166666666666622</v>
      </c>
      <c r="I280" s="10">
        <f t="shared" si="72"/>
        <v>0.40044377255096791</v>
      </c>
      <c r="J280" s="10">
        <f t="shared" si="73"/>
        <v>3.5697110926999731E-2</v>
      </c>
      <c r="K280" s="10">
        <f t="shared" si="74"/>
        <v>5.3446767374806678E-2</v>
      </c>
      <c r="L280" s="10">
        <f t="shared" si="75"/>
        <v>0.28176059603539244</v>
      </c>
      <c r="M280" s="10">
        <f t="shared" si="76"/>
        <v>0.99068582419279283</v>
      </c>
      <c r="N280" s="10">
        <f t="shared" si="77"/>
        <v>0.98187858470253708</v>
      </c>
      <c r="O280" s="10">
        <f t="shared" si="83"/>
        <v>1.7976848734085022E-2</v>
      </c>
      <c r="P280" s="10">
        <f t="shared" si="84"/>
        <v>0.28755975496332542</v>
      </c>
      <c r="Q280" s="10">
        <f t="shared" si="78"/>
        <v>0.21879110815964095</v>
      </c>
      <c r="S280" s="5">
        <f t="shared" si="79"/>
        <v>1.2104223645913055E-2</v>
      </c>
      <c r="T280" s="5">
        <f t="shared" si="80"/>
        <v>1.812280065965895E-2</v>
      </c>
      <c r="U280" s="5">
        <f t="shared" si="81"/>
        <v>9.7506142521113878E-2</v>
      </c>
    </row>
    <row r="281" spans="1:21">
      <c r="A281" s="19">
        <f t="shared" si="82"/>
        <v>22.249999999999954</v>
      </c>
      <c r="B281" s="10">
        <f t="shared" si="68"/>
        <v>8.7528465061872882E-2</v>
      </c>
      <c r="C281" s="10">
        <f t="shared" si="70"/>
        <v>0.33770547038607546</v>
      </c>
      <c r="D281" s="10">
        <f t="shared" si="71"/>
        <v>2.9558841465890953E-2</v>
      </c>
      <c r="H281" s="19">
        <f t="shared" si="69"/>
        <v>22.249999999999954</v>
      </c>
      <c r="I281" s="10">
        <f t="shared" si="72"/>
        <v>0.39778828714899389</v>
      </c>
      <c r="J281" s="10">
        <f t="shared" si="73"/>
        <v>3.481779819374297E-2</v>
      </c>
      <c r="K281" s="10">
        <f t="shared" si="74"/>
        <v>5.2710666868129905E-2</v>
      </c>
      <c r="L281" s="10">
        <f t="shared" si="75"/>
        <v>0.27913622830837531</v>
      </c>
      <c r="M281" s="10">
        <f t="shared" si="76"/>
        <v>0.99063200499544724</v>
      </c>
      <c r="N281" s="10">
        <f t="shared" si="77"/>
        <v>0.98177009625259704</v>
      </c>
      <c r="O281" s="10">
        <f t="shared" si="83"/>
        <v>1.8083641761283919E-2</v>
      </c>
      <c r="P281" s="10">
        <f t="shared" si="84"/>
        <v>0.28552309441389812</v>
      </c>
      <c r="Q281" s="10">
        <f t="shared" si="78"/>
        <v>0.22011307819979861</v>
      </c>
      <c r="S281" s="5">
        <f t="shared" si="79"/>
        <v>1.1758160916825418E-2</v>
      </c>
      <c r="T281" s="5">
        <f t="shared" si="80"/>
        <v>1.7800680549065532E-2</v>
      </c>
      <c r="U281" s="5">
        <f t="shared" si="81"/>
        <v>9.6422710905133296E-2</v>
      </c>
    </row>
    <row r="282" spans="1:21">
      <c r="A282" s="19">
        <f t="shared" si="82"/>
        <v>22.333333333333286</v>
      </c>
      <c r="B282" s="10">
        <f t="shared" si="68"/>
        <v>8.5932829568637015E-2</v>
      </c>
      <c r="C282" s="10">
        <f t="shared" si="70"/>
        <v>0.3363351991519325</v>
      </c>
      <c r="D282" s="10">
        <f t="shared" si="71"/>
        <v>2.8902235346656605E-2</v>
      </c>
      <c r="H282" s="19">
        <f t="shared" si="69"/>
        <v>22.333333333333286</v>
      </c>
      <c r="I282" s="10">
        <f t="shared" si="72"/>
        <v>0.39513556474364903</v>
      </c>
      <c r="J282" s="10">
        <f t="shared" si="73"/>
        <v>3.395511714162313E-2</v>
      </c>
      <c r="K282" s="10">
        <f t="shared" si="74"/>
        <v>5.1977712427013892E-2</v>
      </c>
      <c r="L282" s="10">
        <f t="shared" si="75"/>
        <v>0.27652128151599276</v>
      </c>
      <c r="M282" s="10">
        <f t="shared" si="76"/>
        <v>0.99057787602256886</v>
      </c>
      <c r="N282" s="10">
        <f t="shared" si="77"/>
        <v>0.98166096409463366</v>
      </c>
      <c r="O282" s="10">
        <f t="shared" si="83"/>
        <v>1.8191058687056165E-2</v>
      </c>
      <c r="P282" s="10">
        <f t="shared" si="84"/>
        <v>0.28347794808119658</v>
      </c>
      <c r="Q282" s="10">
        <f t="shared" si="78"/>
        <v>0.22144303944180138</v>
      </c>
      <c r="S282" s="5">
        <f t="shared" si="79"/>
        <v>1.1420301086055013E-2</v>
      </c>
      <c r="T282" s="5">
        <f t="shared" si="80"/>
        <v>1.7481934260601593E-2</v>
      </c>
      <c r="U282" s="5">
        <f t="shared" si="81"/>
        <v>9.5343612123070437E-2</v>
      </c>
    </row>
    <row r="283" spans="1:21">
      <c r="A283" s="19">
        <f t="shared" si="82"/>
        <v>22.416666666666618</v>
      </c>
      <c r="B283" s="10">
        <f t="shared" si="68"/>
        <v>8.4356904321728057E-2</v>
      </c>
      <c r="C283" s="10">
        <f t="shared" si="70"/>
        <v>0.33497048792027623</v>
      </c>
      <c r="D283" s="10">
        <f t="shared" si="71"/>
        <v>2.8257073400093306E-2</v>
      </c>
      <c r="H283" s="19">
        <f t="shared" si="69"/>
        <v>22.416666666666618</v>
      </c>
      <c r="I283" s="10">
        <f t="shared" si="72"/>
        <v>0.39248570219972406</v>
      </c>
      <c r="J283" s="10">
        <f t="shared" si="73"/>
        <v>3.3108878828108375E-2</v>
      </c>
      <c r="K283" s="10">
        <f t="shared" si="74"/>
        <v>5.1248025493619676E-2</v>
      </c>
      <c r="L283" s="10">
        <f t="shared" si="75"/>
        <v>0.27391586371915094</v>
      </c>
      <c r="M283" s="10">
        <f t="shared" si="76"/>
        <v>0.99052343550836919</v>
      </c>
      <c r="N283" s="10">
        <f t="shared" si="77"/>
        <v>0.98155118448280132</v>
      </c>
      <c r="O283" s="10">
        <f t="shared" si="83"/>
        <v>1.8299103027179135E-2</v>
      </c>
      <c r="P283" s="10">
        <f t="shared" si="84"/>
        <v>0.28142466323815685</v>
      </c>
      <c r="Q283" s="10">
        <f t="shared" si="78"/>
        <v>0.22278104019181752</v>
      </c>
      <c r="S283" s="5">
        <f t="shared" si="79"/>
        <v>1.1090497295544765E-2</v>
      </c>
      <c r="T283" s="5">
        <f t="shared" si="80"/>
        <v>1.7166576104548539E-2</v>
      </c>
      <c r="U283" s="5">
        <f t="shared" si="81"/>
        <v>9.4268956757684819E-2</v>
      </c>
    </row>
    <row r="284" spans="1:21">
      <c r="A284" s="19">
        <f t="shared" si="82"/>
        <v>22.49999999999995</v>
      </c>
      <c r="B284" s="10">
        <f t="shared" si="68"/>
        <v>8.2800619356294514E-2</v>
      </c>
      <c r="C284" s="10">
        <f t="shared" si="70"/>
        <v>0.33361131413088146</v>
      </c>
      <c r="D284" s="10">
        <f t="shared" si="71"/>
        <v>2.7623223434304314E-2</v>
      </c>
      <c r="H284" s="19">
        <f t="shared" si="69"/>
        <v>22.49999999999995</v>
      </c>
      <c r="I284" s="10">
        <f t="shared" si="72"/>
        <v>0.38983879662689558</v>
      </c>
      <c r="J284" s="10">
        <f t="shared" si="73"/>
        <v>3.2278893809819492E-2</v>
      </c>
      <c r="K284" s="10">
        <f t="shared" si="74"/>
        <v>5.0521725546475021E-2</v>
      </c>
      <c r="L284" s="10">
        <f t="shared" si="75"/>
        <v>0.27132008237133565</v>
      </c>
      <c r="M284" s="10">
        <f t="shared" si="76"/>
        <v>0.99046868167719515</v>
      </c>
      <c r="N284" s="10">
        <f t="shared" si="77"/>
        <v>0.98144075365035066</v>
      </c>
      <c r="O284" s="10">
        <f t="shared" si="83"/>
        <v>1.840777831568919E-2</v>
      </c>
      <c r="P284" s="10">
        <f t="shared" si="84"/>
        <v>0.27936358705223496</v>
      </c>
      <c r="Q284" s="10">
        <f t="shared" si="78"/>
        <v>0.22412712904802215</v>
      </c>
      <c r="S284" s="5">
        <f t="shared" si="79"/>
        <v>1.0768604182585056E-2</v>
      </c>
      <c r="T284" s="5">
        <f t="shared" si="80"/>
        <v>1.6854619251719258E-2</v>
      </c>
      <c r="U284" s="5">
        <f t="shared" si="81"/>
        <v>9.3198853396813011E-2</v>
      </c>
    </row>
    <row r="285" spans="1:21">
      <c r="A285" s="19">
        <f t="shared" si="82"/>
        <v>22.583333333333282</v>
      </c>
      <c r="B285" s="10">
        <f t="shared" si="68"/>
        <v>8.1263902263757501E-2</v>
      </c>
      <c r="C285" s="10">
        <f t="shared" si="70"/>
        <v>0.33225765531506318</v>
      </c>
      <c r="D285" s="10">
        <f t="shared" si="71"/>
        <v>2.7000553627908524E-2</v>
      </c>
      <c r="H285" s="19">
        <f t="shared" si="69"/>
        <v>22.583333333333282</v>
      </c>
      <c r="I285" s="10">
        <f t="shared" si="72"/>
        <v>0.38719494536975768</v>
      </c>
      <c r="J285" s="10">
        <f t="shared" si="73"/>
        <v>3.1464972197548916E-2</v>
      </c>
      <c r="K285" s="10">
        <f t="shared" si="74"/>
        <v>4.9798930066208592E-2</v>
      </c>
      <c r="L285" s="10">
        <f t="shared" si="75"/>
        <v>0.26873404429888481</v>
      </c>
      <c r="M285" s="10">
        <f t="shared" si="76"/>
        <v>0.99041361274347717</v>
      </c>
      <c r="N285" s="10">
        <f t="shared" si="77"/>
        <v>0.98132966780951902</v>
      </c>
      <c r="O285" s="10">
        <f t="shared" si="83"/>
        <v>1.8517088104957412E-2</v>
      </c>
      <c r="P285" s="10">
        <f t="shared" si="84"/>
        <v>0.27729506649776636</v>
      </c>
      <c r="Q285" s="10">
        <f t="shared" si="78"/>
        <v>0.22548135490236224</v>
      </c>
      <c r="S285" s="5">
        <f t="shared" si="79"/>
        <v>1.0454477886911253E-2</v>
      </c>
      <c r="T285" s="5">
        <f t="shared" si="80"/>
        <v>1.6546075740997271E-2</v>
      </c>
      <c r="U285" s="5">
        <f t="shared" si="81"/>
        <v>9.2133408624982385E-2</v>
      </c>
    </row>
    <row r="286" spans="1:21">
      <c r="A286" s="19">
        <f t="shared" si="82"/>
        <v>22.666666666666615</v>
      </c>
      <c r="B286" s="10">
        <f t="shared" si="68"/>
        <v>7.974667821339837E-2</v>
      </c>
      <c r="C286" s="10">
        <f t="shared" si="70"/>
        <v>0.3309094890953051</v>
      </c>
      <c r="D286" s="10">
        <f t="shared" si="71"/>
        <v>2.6388932544643352E-2</v>
      </c>
      <c r="H286" s="19">
        <f t="shared" si="69"/>
        <v>22.666666666666615</v>
      </c>
      <c r="I286" s="10">
        <f t="shared" si="72"/>
        <v>0.38455424599770793</v>
      </c>
      <c r="J286" s="10">
        <f t="shared" si="73"/>
        <v>3.0666923711175253E-2</v>
      </c>
      <c r="K286" s="10">
        <f t="shared" si="74"/>
        <v>4.907975450222312E-2</v>
      </c>
      <c r="L286" s="10">
        <f t="shared" si="75"/>
        <v>0.26615785568122413</v>
      </c>
      <c r="M286" s="10">
        <f t="shared" si="76"/>
        <v>0.99035822691167608</v>
      </c>
      <c r="N286" s="10">
        <f t="shared" si="77"/>
        <v>0.98121792315142697</v>
      </c>
      <c r="O286" s="10">
        <f t="shared" si="83"/>
        <v>1.8627035965765485E-2</v>
      </c>
      <c r="P286" s="10">
        <f t="shared" si="84"/>
        <v>0.27521944826839762</v>
      </c>
      <c r="Q286" s="10">
        <f t="shared" si="78"/>
        <v>0.22684376694233196</v>
      </c>
      <c r="S286" s="5">
        <f t="shared" si="79"/>
        <v>1.01479760573897E-2</v>
      </c>
      <c r="T286" s="5">
        <f t="shared" si="80"/>
        <v>1.6240956487253651E-2</v>
      </c>
      <c r="U286" s="5">
        <f t="shared" si="81"/>
        <v>9.1072727015587204E-2</v>
      </c>
    </row>
    <row r="287" spans="1:21">
      <c r="A287" s="19">
        <f t="shared" si="82"/>
        <v>22.749999999999947</v>
      </c>
      <c r="B287" s="10">
        <f t="shared" si="68"/>
        <v>7.8248869974775898E-2</v>
      </c>
      <c r="C287" s="10">
        <f t="shared" si="70"/>
        <v>0.32956679318488985</v>
      </c>
      <c r="D287" s="10">
        <f t="shared" si="71"/>
        <v>2.5788229147928304E-2</v>
      </c>
      <c r="H287" s="19">
        <f t="shared" si="69"/>
        <v>22.749999999999947</v>
      </c>
      <c r="I287" s="10">
        <f t="shared" si="72"/>
        <v>0.38191679629468817</v>
      </c>
      <c r="J287" s="10">
        <f t="shared" si="73"/>
        <v>2.9884557734446027E-2</v>
      </c>
      <c r="K287" s="10">
        <f t="shared" si="74"/>
        <v>4.8364312240329874E-2</v>
      </c>
      <c r="L287" s="10">
        <f t="shared" si="75"/>
        <v>0.26359162203107089</v>
      </c>
      <c r="M287" s="10">
        <f t="shared" si="76"/>
        <v>0.99030252237622696</v>
      </c>
      <c r="N287" s="10">
        <f t="shared" si="77"/>
        <v>0.98110551584596928</v>
      </c>
      <c r="O287" s="10">
        <f t="shared" si="83"/>
        <v>1.8737625487381532E-2</v>
      </c>
      <c r="P287" s="10">
        <f t="shared" si="84"/>
        <v>0.27313707868962744</v>
      </c>
      <c r="Q287" s="10">
        <f t="shared" si="78"/>
        <v>0.22821441465276107</v>
      </c>
      <c r="S287" s="5">
        <f t="shared" si="79"/>
        <v>9.8489578582900746E-3</v>
      </c>
      <c r="T287" s="5">
        <f t="shared" si="80"/>
        <v>1.5939271289638231E-2</v>
      </c>
      <c r="U287" s="5">
        <f t="shared" si="81"/>
        <v>9.0016911123629431E-2</v>
      </c>
    </row>
    <row r="288" spans="1:21">
      <c r="A288" s="19">
        <f t="shared" si="82"/>
        <v>22.833333333333279</v>
      </c>
      <c r="B288" s="10">
        <f t="shared" si="68"/>
        <v>7.6770397940966684E-2</v>
      </c>
      <c r="C288" s="10">
        <f t="shared" si="70"/>
        <v>0.32822954538753052</v>
      </c>
      <c r="D288" s="10">
        <f t="shared" si="71"/>
        <v>2.5198312815383303E-2</v>
      </c>
      <c r="H288" s="19">
        <f t="shared" si="69"/>
        <v>22.833333333333279</v>
      </c>
      <c r="I288" s="10">
        <f t="shared" si="72"/>
        <v>0.37928269424878019</v>
      </c>
      <c r="J288" s="10">
        <f t="shared" si="73"/>
        <v>2.9117683369600852E-2</v>
      </c>
      <c r="K288" s="10">
        <f t="shared" si="74"/>
        <v>4.7652714571365835E-2</v>
      </c>
      <c r="L288" s="10">
        <f t="shared" si="75"/>
        <v>0.26103544817461055</v>
      </c>
      <c r="M288" s="10">
        <f t="shared" si="76"/>
        <v>0.99024649732149039</v>
      </c>
      <c r="N288" s="10">
        <f t="shared" si="77"/>
        <v>0.98099244204171299</v>
      </c>
      <c r="O288" s="10">
        <f t="shared" si="83"/>
        <v>1.8848860277636079E-2</v>
      </c>
      <c r="P288" s="10">
        <f t="shared" si="84"/>
        <v>0.27104830363149612</v>
      </c>
      <c r="Q288" s="10">
        <f t="shared" si="78"/>
        <v>0.22959334781761095</v>
      </c>
      <c r="S288" s="5">
        <f t="shared" si="79"/>
        <v>9.5572839751421456E-3</v>
      </c>
      <c r="T288" s="5">
        <f t="shared" si="80"/>
        <v>1.5641028840241159E-2</v>
      </c>
      <c r="U288" s="5">
        <f t="shared" si="81"/>
        <v>8.8966061479027317E-2</v>
      </c>
    </row>
    <row r="289" spans="1:21">
      <c r="A289" s="19">
        <f t="shared" si="82"/>
        <v>22.916666666666611</v>
      </c>
      <c r="B289" s="10">
        <f t="shared" si="68"/>
        <v>7.5311180152623003E-2</v>
      </c>
      <c r="C289" s="10">
        <f t="shared" si="70"/>
        <v>0.32689772359700348</v>
      </c>
      <c r="D289" s="10">
        <f t="shared" si="71"/>
        <v>2.461905335329629E-2</v>
      </c>
      <c r="H289" s="19">
        <f t="shared" si="69"/>
        <v>22.916666666666611</v>
      </c>
      <c r="I289" s="10">
        <f t="shared" si="72"/>
        <v>0.3766520380416572</v>
      </c>
      <c r="J289" s="10">
        <f t="shared" si="73"/>
        <v>2.8366109491807859E-2</v>
      </c>
      <c r="K289" s="10">
        <f t="shared" si="74"/>
        <v>4.6945070660815151E-2</v>
      </c>
      <c r="L289" s="10">
        <f t="shared" si="75"/>
        <v>0.25848943823165355</v>
      </c>
      <c r="M289" s="10">
        <f t="shared" si="76"/>
        <v>0.99019014992169585</v>
      </c>
      <c r="N289" s="10">
        <f t="shared" si="77"/>
        <v>0.98087869786578252</v>
      </c>
      <c r="O289" s="10">
        <f t="shared" si="83"/>
        <v>1.8960743962997993E-2</v>
      </c>
      <c r="P289" s="10">
        <f t="shared" si="84"/>
        <v>0.26895346842146289</v>
      </c>
      <c r="Q289" s="10">
        <f t="shared" si="78"/>
        <v>0.23098061652178184</v>
      </c>
      <c r="S289" s="5">
        <f t="shared" si="79"/>
        <v>9.2728166201753413E-3</v>
      </c>
      <c r="T289" s="5">
        <f t="shared" si="80"/>
        <v>1.5346236733120949E-2</v>
      </c>
      <c r="U289" s="5">
        <f t="shared" si="81"/>
        <v>8.7920276580494783E-2</v>
      </c>
    </row>
    <row r="290" spans="1:21">
      <c r="A290" s="19">
        <f t="shared" si="82"/>
        <v>22.999999999999943</v>
      </c>
      <c r="B290" s="10">
        <f t="shared" si="68"/>
        <v>7.3871132322840219E-2</v>
      </c>
      <c r="C290" s="10">
        <f t="shared" si="70"/>
        <v>0.32557130579678339</v>
      </c>
      <c r="D290" s="10">
        <f t="shared" si="71"/>
        <v>2.4050321011034062E-2</v>
      </c>
      <c r="H290" s="19">
        <f t="shared" si="69"/>
        <v>22.999999999999943</v>
      </c>
      <c r="I290" s="10">
        <f t="shared" si="72"/>
        <v>0.37402492603789167</v>
      </c>
      <c r="J290" s="10">
        <f t="shared" si="73"/>
        <v>2.762964480338562E-2</v>
      </c>
      <c r="K290" s="10">
        <f t="shared" si="74"/>
        <v>4.6241487519454602E-2</v>
      </c>
      <c r="L290" s="10">
        <f t="shared" si="75"/>
        <v>0.25595369559577597</v>
      </c>
      <c r="M290" s="10">
        <f t="shared" si="76"/>
        <v>0.9901334783408855</v>
      </c>
      <c r="N290" s="10">
        <f t="shared" si="77"/>
        <v>0.98076427942375843</v>
      </c>
      <c r="O290" s="10">
        <f t="shared" si="83"/>
        <v>1.9073280188650555E-2</v>
      </c>
      <c r="P290" s="10">
        <f t="shared" si="84"/>
        <v>0.26685291775750897</v>
      </c>
      <c r="Q290" s="10">
        <f t="shared" si="78"/>
        <v>0.23237627115293463</v>
      </c>
      <c r="S290" s="5">
        <f t="shared" si="79"/>
        <v>8.9954195373395662E-3</v>
      </c>
      <c r="T290" s="5">
        <f t="shared" si="80"/>
        <v>1.5054901473694498E-2</v>
      </c>
      <c r="U290" s="5">
        <f t="shared" si="81"/>
        <v>8.6879652889993844E-2</v>
      </c>
    </row>
    <row r="291" spans="1:21">
      <c r="A291" s="19">
        <f t="shared" si="82"/>
        <v>23.083333333333275</v>
      </c>
      <c r="B291" s="10">
        <f t="shared" si="68"/>
        <v>7.24501678628275E-2</v>
      </c>
      <c r="C291" s="10">
        <f t="shared" si="70"/>
        <v>0.32425027005967882</v>
      </c>
      <c r="D291" s="10">
        <f t="shared" si="71"/>
        <v>2.3491986495390881E-2</v>
      </c>
      <c r="H291" s="19">
        <f t="shared" si="69"/>
        <v>23.083333333333275</v>
      </c>
      <c r="I291" s="10">
        <f t="shared" si="72"/>
        <v>0.37140145677411918</v>
      </c>
      <c r="J291" s="10">
        <f t="shared" si="73"/>
        <v>2.6908097887783606E-2</v>
      </c>
      <c r="K291" s="10">
        <f t="shared" si="74"/>
        <v>4.554206997504389E-2</v>
      </c>
      <c r="L291" s="10">
        <f t="shared" si="75"/>
        <v>0.25342832291444983</v>
      </c>
      <c r="M291" s="10">
        <f t="shared" si="76"/>
        <v>0.99007648073286381</v>
      </c>
      <c r="N291" s="10">
        <f t="shared" si="77"/>
        <v>0.98064918279956614</v>
      </c>
      <c r="O291" s="10">
        <f t="shared" si="83"/>
        <v>1.9186472618567554E-2</v>
      </c>
      <c r="P291" s="10">
        <f t="shared" si="84"/>
        <v>0.26474699562150444</v>
      </c>
      <c r="Q291" s="10">
        <f t="shared" si="78"/>
        <v>0.23378036240331834</v>
      </c>
      <c r="S291" s="5">
        <f t="shared" si="79"/>
        <v>8.7249580069061073E-3</v>
      </c>
      <c r="T291" s="5">
        <f t="shared" si="80"/>
        <v>1.4767028488484771E-2</v>
      </c>
      <c r="U291" s="5">
        <f t="shared" si="81"/>
        <v>8.5844284827761422E-2</v>
      </c>
    </row>
    <row r="292" spans="1:21">
      <c r="A292" s="19">
        <f t="shared" si="82"/>
        <v>23.166666666666607</v>
      </c>
      <c r="B292" s="10">
        <f t="shared" si="68"/>
        <v>7.1048197908373176E-2</v>
      </c>
      <c r="C292" s="10">
        <f t="shared" si="70"/>
        <v>0.3229345945474702</v>
      </c>
      <c r="D292" s="10">
        <f t="shared" si="71"/>
        <v>2.2943920984868912E-2</v>
      </c>
      <c r="H292" s="19">
        <f t="shared" si="69"/>
        <v>23.166666666666607</v>
      </c>
      <c r="I292" s="10">
        <f t="shared" si="72"/>
        <v>0.36878172894806077</v>
      </c>
      <c r="J292" s="10">
        <f t="shared" si="73"/>
        <v>2.6201277263293854E-2</v>
      </c>
      <c r="K292" s="10">
        <f t="shared" si="74"/>
        <v>4.4846920645079315E-2</v>
      </c>
      <c r="L292" s="10">
        <f t="shared" si="75"/>
        <v>0.25091342206917028</v>
      </c>
      <c r="M292" s="10">
        <f t="shared" si="76"/>
        <v>0.99001915524114359</v>
      </c>
      <c r="N292" s="10">
        <f t="shared" si="77"/>
        <v>0.98053340405536904</v>
      </c>
      <c r="O292" s="10">
        <f t="shared" si="83"/>
        <v>1.9300324935589433E-2</v>
      </c>
      <c r="P292" s="10">
        <f t="shared" si="84"/>
        <v>0.26263604519287975</v>
      </c>
      <c r="Q292" s="10">
        <f t="shared" si="78"/>
        <v>0.23519294127161361</v>
      </c>
      <c r="S292" s="5">
        <f t="shared" si="79"/>
        <v>8.4612988496476499E-3</v>
      </c>
      <c r="T292" s="5">
        <f t="shared" si="80"/>
        <v>1.4482622135221258E-2</v>
      </c>
      <c r="U292" s="5">
        <f t="shared" si="81"/>
        <v>8.4814264767913677E-2</v>
      </c>
    </row>
    <row r="293" spans="1:21">
      <c r="A293" s="19">
        <f t="shared" si="82"/>
        <v>23.24999999999994</v>
      </c>
      <c r="B293" s="10">
        <f t="shared" si="68"/>
        <v>6.9665131347096704E-2</v>
      </c>
      <c r="C293" s="10">
        <f t="shared" si="70"/>
        <v>0.32162425751054829</v>
      </c>
      <c r="D293" s="10">
        <f t="shared" si="71"/>
        <v>2.2405996143884801E-2</v>
      </c>
      <c r="H293" s="19">
        <f t="shared" si="69"/>
        <v>23.24999999999994</v>
      </c>
      <c r="I293" s="10">
        <f t="shared" si="72"/>
        <v>0.36616584140740294</v>
      </c>
      <c r="J293" s="10">
        <f t="shared" si="73"/>
        <v>2.5508991436466906E-2</v>
      </c>
      <c r="K293" s="10">
        <f t="shared" si="74"/>
        <v>4.4156139910629798E-2</v>
      </c>
      <c r="L293" s="10">
        <f t="shared" si="75"/>
        <v>0.24840909415558449</v>
      </c>
      <c r="M293" s="10">
        <f t="shared" si="76"/>
        <v>0.9899614999988855</v>
      </c>
      <c r="N293" s="10">
        <f t="shared" si="77"/>
        <v>0.98041693923145767</v>
      </c>
      <c r="O293" s="10">
        <f t="shared" si="83"/>
        <v>1.9414840841499352E-2</v>
      </c>
      <c r="P293" s="10">
        <f t="shared" si="84"/>
        <v>0.26052040876263866</v>
      </c>
      <c r="Q293" s="10">
        <f t="shared" si="78"/>
        <v>0.23661405906478308</v>
      </c>
      <c r="S293" s="5">
        <f t="shared" si="79"/>
        <v>8.2043104305966029E-3</v>
      </c>
      <c r="T293" s="5">
        <f t="shared" si="80"/>
        <v>1.4201685713288196E-2</v>
      </c>
      <c r="U293" s="5">
        <f t="shared" si="81"/>
        <v>8.3789683034628193E-2</v>
      </c>
    </row>
    <row r="294" spans="1:21">
      <c r="A294" s="19">
        <f t="shared" si="82"/>
        <v>23.333333333333272</v>
      </c>
      <c r="B294" s="10">
        <f t="shared" si="68"/>
        <v>6.8300874846478024E-2</v>
      </c>
      <c r="C294" s="10">
        <f t="shared" si="70"/>
        <v>0.32031923728755496</v>
      </c>
      <c r="D294" s="10">
        <f t="shared" si="71"/>
        <v>2.1878084136896587E-2</v>
      </c>
      <c r="H294" s="19">
        <f t="shared" si="69"/>
        <v>23.333333333333272</v>
      </c>
      <c r="I294" s="10">
        <f t="shared" si="72"/>
        <v>0.36355389313853675</v>
      </c>
      <c r="J294" s="10">
        <f t="shared" si="73"/>
        <v>2.4831048955205045E-2</v>
      </c>
      <c r="K294" s="10">
        <f t="shared" si="74"/>
        <v>4.3469825891272983E-2</v>
      </c>
      <c r="L294" s="10">
        <f t="shared" si="75"/>
        <v>0.24591543946362679</v>
      </c>
      <c r="M294" s="10">
        <f t="shared" si="76"/>
        <v>0.98990351312884928</v>
      </c>
      <c r="N294" s="10">
        <f t="shared" si="77"/>
        <v>0.98029978434614062</v>
      </c>
      <c r="O294" s="10">
        <f t="shared" si="83"/>
        <v>1.9530024057099478E-2</v>
      </c>
      <c r="P294" s="10">
        <f t="shared" si="84"/>
        <v>0.25840042764775073</v>
      </c>
      <c r="Q294" s="10">
        <f t="shared" si="78"/>
        <v>0.23804376739993627</v>
      </c>
      <c r="S294" s="5">
        <f t="shared" si="79"/>
        <v>7.9538626623812184E-3</v>
      </c>
      <c r="T294" s="5">
        <f t="shared" si="80"/>
        <v>1.392422147451537E-2</v>
      </c>
      <c r="U294" s="5">
        <f t="shared" si="81"/>
        <v>8.2770627898905547E-2</v>
      </c>
    </row>
    <row r="295" spans="1:21">
      <c r="A295" s="19">
        <f t="shared" si="82"/>
        <v>23.416666666666604</v>
      </c>
      <c r="B295" s="10">
        <f t="shared" si="68"/>
        <v>6.695533288265515E-2</v>
      </c>
      <c r="C295" s="10">
        <f t="shared" si="70"/>
        <v>0.31901951230502523</v>
      </c>
      <c r="D295" s="10">
        <f t="shared" si="71"/>
        <v>2.1360057642445265E-2</v>
      </c>
      <c r="H295" s="19">
        <f t="shared" si="69"/>
        <v>23.416666666666604</v>
      </c>
      <c r="I295" s="10">
        <f t="shared" si="72"/>
        <v>0.36094598325515681</v>
      </c>
      <c r="J295" s="10">
        <f t="shared" si="73"/>
        <v>2.4167258461506295E-2</v>
      </c>
      <c r="K295" s="10">
        <f t="shared" si="74"/>
        <v>4.2788074421148854E-2</v>
      </c>
      <c r="L295" s="10">
        <f t="shared" si="75"/>
        <v>0.24343255745766901</v>
      </c>
      <c r="M295" s="10">
        <f t="shared" si="76"/>
        <v>0.98984519274333482</v>
      </c>
      <c r="N295" s="10">
        <f t="shared" si="77"/>
        <v>0.98018193539563769</v>
      </c>
      <c r="O295" s="10">
        <f t="shared" si="83"/>
        <v>1.9645878322287199E-2</v>
      </c>
      <c r="P295" s="10">
        <f t="shared" si="84"/>
        <v>0.25627644210596368</v>
      </c>
      <c r="Q295" s="10">
        <f t="shared" si="78"/>
        <v>0.23948211820620363</v>
      </c>
      <c r="S295" s="5">
        <f t="shared" si="79"/>
        <v>7.709827008139233E-3</v>
      </c>
      <c r="T295" s="5">
        <f t="shared" si="80"/>
        <v>1.3650230634306032E-2</v>
      </c>
      <c r="U295" s="5">
        <f t="shared" si="81"/>
        <v>8.1757185575911565E-2</v>
      </c>
    </row>
    <row r="296" spans="1:21">
      <c r="A296" s="19">
        <f t="shared" si="82"/>
        <v>23.499999999999936</v>
      </c>
      <c r="B296" s="10">
        <f t="shared" si="68"/>
        <v>6.5628407769980107E-2</v>
      </c>
      <c r="C296" s="10">
        <f t="shared" si="70"/>
        <v>0.31772506107703025</v>
      </c>
      <c r="D296" s="10">
        <f t="shared" si="71"/>
        <v>2.0851789867105175E-2</v>
      </c>
      <c r="H296" s="19">
        <f t="shared" si="69"/>
        <v>23.499999999999936</v>
      </c>
      <c r="I296" s="10">
        <f t="shared" si="72"/>
        <v>0.35834221098672103</v>
      </c>
      <c r="J296" s="10">
        <f t="shared" si="73"/>
        <v>2.3517428743832773E-2</v>
      </c>
      <c r="K296" s="10">
        <f t="shared" si="74"/>
        <v>4.2110979026147334E-2</v>
      </c>
      <c r="L296" s="10">
        <f t="shared" si="75"/>
        <v>0.24096054675668932</v>
      </c>
      <c r="M296" s="10">
        <f t="shared" si="76"/>
        <v>0.98978653694412555</v>
      </c>
      <c r="N296" s="10">
        <f t="shared" si="77"/>
        <v>0.98006338835396634</v>
      </c>
      <c r="O296" s="10">
        <f t="shared" si="83"/>
        <v>1.976240739613129E-2</v>
      </c>
      <c r="P296" s="10">
        <f t="shared" si="84"/>
        <v>0.2541487912510717</v>
      </c>
      <c r="Q296" s="10">
        <f t="shared" si="78"/>
        <v>0.24092916372662379</v>
      </c>
      <c r="S296" s="5">
        <f t="shared" si="79"/>
        <v>7.4720764840089746E-3</v>
      </c>
      <c r="T296" s="5">
        <f t="shared" si="80"/>
        <v>1.3379713383096202E-2</v>
      </c>
      <c r="U296" s="5">
        <f t="shared" si="81"/>
        <v>8.0749440222900162E-2</v>
      </c>
    </row>
    <row r="297" spans="1:21">
      <c r="A297" s="19">
        <f t="shared" si="82"/>
        <v>23.583333333333268</v>
      </c>
      <c r="B297" s="10">
        <f t="shared" si="68"/>
        <v>6.4319999691322474E-2</v>
      </c>
      <c r="C297" s="10">
        <f t="shared" si="70"/>
        <v>0.31643586220482228</v>
      </c>
      <c r="D297" s="10">
        <f t="shared" si="71"/>
        <v>2.0353154559337529E-2</v>
      </c>
      <c r="H297" s="19">
        <f t="shared" si="69"/>
        <v>23.583333333333268</v>
      </c>
      <c r="I297" s="10">
        <f t="shared" si="72"/>
        <v>0.35574267566677192</v>
      </c>
      <c r="J297" s="10">
        <f t="shared" si="73"/>
        <v>2.2881368789077001E-2</v>
      </c>
      <c r="K297" s="10">
        <f t="shared" si="74"/>
        <v>4.1438630902245477E-2</v>
      </c>
      <c r="L297" s="10">
        <f t="shared" si="75"/>
        <v>0.23849950511446658</v>
      </c>
      <c r="M297" s="10">
        <f t="shared" si="76"/>
        <v>0.98972754382243933</v>
      </c>
      <c r="N297" s="10">
        <f t="shared" si="77"/>
        <v>0.97994413917283429</v>
      </c>
      <c r="O297" s="10">
        <f t="shared" si="83"/>
        <v>1.987961505694829E-2</v>
      </c>
      <c r="P297" s="10">
        <f t="shared" si="84"/>
        <v>0.25201781296867887</v>
      </c>
      <c r="Q297" s="10">
        <f t="shared" si="78"/>
        <v>0.24238495652003894</v>
      </c>
      <c r="S297" s="5">
        <f t="shared" si="79"/>
        <v>7.2404856611980907E-3</v>
      </c>
      <c r="T297" s="5">
        <f t="shared" si="80"/>
        <v>1.311266889813944E-2</v>
      </c>
      <c r="U297" s="5">
        <f t="shared" si="81"/>
        <v>7.9747473937717542E-2</v>
      </c>
    </row>
    <row r="298" spans="1:21">
      <c r="A298" s="19">
        <f t="shared" si="82"/>
        <v>23.6666666666666</v>
      </c>
      <c r="B298" s="10">
        <f t="shared" si="68"/>
        <v>6.3030006729109966E-2</v>
      </c>
      <c r="C298" s="10">
        <f t="shared" si="70"/>
        <v>0.31515189437648128</v>
      </c>
      <c r="D298" s="10">
        <f t="shared" si="71"/>
        <v>1.9864026023241367E-2</v>
      </c>
      <c r="H298" s="19">
        <f t="shared" si="69"/>
        <v>23.6666666666666</v>
      </c>
      <c r="I298" s="10">
        <f t="shared" si="72"/>
        <v>0.35314747672112068</v>
      </c>
      <c r="J298" s="10">
        <f t="shared" si="73"/>
        <v>2.2258887834100443E-2</v>
      </c>
      <c r="K298" s="10">
        <f t="shared" si="74"/>
        <v>4.0771118895009527E-2</v>
      </c>
      <c r="L298" s="10">
        <f t="shared" si="75"/>
        <v>0.23604952939980831</v>
      </c>
      <c r="M298" s="10">
        <f t="shared" si="76"/>
        <v>0.98966821145886263</v>
      </c>
      <c r="N298" s="10">
        <f t="shared" si="77"/>
        <v>0.97982418378152392</v>
      </c>
      <c r="O298" s="10">
        <f t="shared" si="83"/>
        <v>1.999750510237866E-2</v>
      </c>
      <c r="P298" s="10">
        <f t="shared" si="84"/>
        <v>0.24988384383249634</v>
      </c>
      <c r="Q298" s="10">
        <f t="shared" si="78"/>
        <v>0.24384954946300669</v>
      </c>
      <c r="S298" s="5">
        <f t="shared" si="79"/>
        <v>7.0149306676303667E-3</v>
      </c>
      <c r="T298" s="5">
        <f t="shared" si="80"/>
        <v>1.2849095355611002E-2</v>
      </c>
      <c r="U298" s="5">
        <f t="shared" si="81"/>
        <v>7.8751366757888033E-2</v>
      </c>
    </row>
    <row r="299" spans="1:21">
      <c r="A299" s="19">
        <f t="shared" si="82"/>
        <v>23.749999999999932</v>
      </c>
      <c r="B299" s="10">
        <f t="shared" si="68"/>
        <v>6.1758324897094131E-2</v>
      </c>
      <c r="C299" s="10">
        <f t="shared" si="70"/>
        <v>0.313873136366562</v>
      </c>
      <c r="D299" s="10">
        <f t="shared" si="71"/>
        <v>1.9384279132196067E-2</v>
      </c>
      <c r="H299" s="19">
        <f t="shared" si="69"/>
        <v>23.749999999999932</v>
      </c>
      <c r="I299" s="10">
        <f t="shared" si="72"/>
        <v>0.35055671365589514</v>
      </c>
      <c r="J299" s="10">
        <f t="shared" si="73"/>
        <v>2.1649795416818367E-2</v>
      </c>
      <c r="K299" s="10">
        <f t="shared" si="74"/>
        <v>4.0108529480275767E-2</v>
      </c>
      <c r="L299" s="10">
        <f t="shared" si="75"/>
        <v>0.23361071557681451</v>
      </c>
      <c r="M299" s="10">
        <f t="shared" si="76"/>
        <v>0.98960853792330183</v>
      </c>
      <c r="N299" s="10">
        <f t="shared" si="77"/>
        <v>0.97970351808678668</v>
      </c>
      <c r="O299" s="10">
        <f t="shared" si="83"/>
        <v>2.0116081349463182E-2</v>
      </c>
      <c r="P299" s="10">
        <f t="shared" si="84"/>
        <v>0.24774721902120808</v>
      </c>
      <c r="Q299" s="10">
        <f t="shared" si="78"/>
        <v>0.24532299575171795</v>
      </c>
      <c r="S299" s="5">
        <f t="shared" si="79"/>
        <v>6.7952891891712008E-3</v>
      </c>
      <c r="T299" s="5">
        <f t="shared" si="80"/>
        <v>1.2588989943024868E-2</v>
      </c>
      <c r="U299" s="5">
        <f t="shared" si="81"/>
        <v>7.7761196660280141E-2</v>
      </c>
    </row>
    <row r="300" spans="1:21">
      <c r="A300" s="19">
        <f t="shared" si="82"/>
        <v>23.833333333333265</v>
      </c>
      <c r="B300" s="10">
        <f t="shared" si="68"/>
        <v>6.050484817282991E-2</v>
      </c>
      <c r="C300" s="10">
        <f t="shared" si="70"/>
        <v>0.31259956703574354</v>
      </c>
      <c r="D300" s="10">
        <f t="shared" si="71"/>
        <v>1.891378934239003E-2</v>
      </c>
      <c r="H300" s="19">
        <f t="shared" si="69"/>
        <v>23.833333333333265</v>
      </c>
      <c r="I300" s="10">
        <f t="shared" si="72"/>
        <v>0.34797048604545294</v>
      </c>
      <c r="J300" s="10">
        <f t="shared" si="73"/>
        <v>2.1053901426805958E-2</v>
      </c>
      <c r="K300" s="10">
        <f t="shared" si="74"/>
        <v>3.9450946746023952E-2</v>
      </c>
      <c r="L300" s="10">
        <f t="shared" si="75"/>
        <v>0.23118315868518771</v>
      </c>
      <c r="M300" s="10">
        <f t="shared" si="76"/>
        <v>0.98954852127492199</v>
      </c>
      <c r="N300" s="10">
        <f t="shared" si="77"/>
        <v>0.97958213797272919</v>
      </c>
      <c r="O300" s="10">
        <f t="shared" si="83"/>
        <v>2.0235347634719181E-2</v>
      </c>
      <c r="P300" s="10">
        <f t="shared" si="84"/>
        <v>0.2456082722359457</v>
      </c>
      <c r="Q300" s="10">
        <f t="shared" si="78"/>
        <v>0.24680534890393133</v>
      </c>
      <c r="S300" s="5">
        <f t="shared" si="79"/>
        <v>6.5814404704327657E-3</v>
      </c>
      <c r="T300" s="5">
        <f t="shared" si="80"/>
        <v>1.2332348871957263E-2</v>
      </c>
      <c r="U300" s="5">
        <f t="shared" si="81"/>
        <v>7.6777039561353649E-2</v>
      </c>
    </row>
    <row r="301" spans="1:21">
      <c r="A301" s="19">
        <f t="shared" si="82"/>
        <v>23.916666666666597</v>
      </c>
      <c r="B301" s="10">
        <f t="shared" si="68"/>
        <v>5.9269468530856101E-2</v>
      </c>
      <c r="C301" s="10">
        <f t="shared" si="70"/>
        <v>0.31133116533047972</v>
      </c>
      <c r="D301" s="10">
        <f t="shared" si="71"/>
        <v>1.8452432706229625E-2</v>
      </c>
      <c r="H301" s="19">
        <f t="shared" si="69"/>
        <v>23.916666666666597</v>
      </c>
      <c r="I301" s="10">
        <f t="shared" si="72"/>
        <v>0.34538889352015978</v>
      </c>
      <c r="J301" s="10">
        <f t="shared" si="73"/>
        <v>2.0471016155400319E-2</v>
      </c>
      <c r="K301" s="10">
        <f t="shared" si="74"/>
        <v>3.8798452375455782E-2</v>
      </c>
      <c r="L301" s="10">
        <f t="shared" si="75"/>
        <v>0.22876695282059314</v>
      </c>
      <c r="M301" s="10">
        <f t="shared" si="76"/>
        <v>0.98948815956209335</v>
      </c>
      <c r="N301" s="10">
        <f t="shared" si="77"/>
        <v>0.97946003930069703</v>
      </c>
      <c r="O301" s="10">
        <f t="shared" si="83"/>
        <v>2.035530781421676E-2</v>
      </c>
      <c r="P301" s="10">
        <f t="shared" si="84"/>
        <v>0.24346733561840705</v>
      </c>
      <c r="Q301" s="10">
        <f t="shared" si="78"/>
        <v>0.2482966627609153</v>
      </c>
      <c r="S301" s="5">
        <f t="shared" si="79"/>
        <v>6.3732653151598578E-3</v>
      </c>
      <c r="T301" s="5">
        <f t="shared" si="80"/>
        <v>1.2079167391069767E-2</v>
      </c>
      <c r="U301" s="5">
        <f t="shared" si="81"/>
        <v>7.5798969317985687E-2</v>
      </c>
    </row>
    <row r="302" spans="1:21">
      <c r="A302" s="19">
        <f t="shared" si="82"/>
        <v>23.999999999999929</v>
      </c>
      <c r="B302" s="10">
        <f t="shared" si="68"/>
        <v>5.8052075976563741E-2</v>
      </c>
      <c r="C302" s="10">
        <f t="shared" si="70"/>
        <v>0.31006791028265107</v>
      </c>
      <c r="D302" s="10">
        <f t="shared" si="71"/>
        <v>1.800008588562281E-2</v>
      </c>
      <c r="H302" s="19">
        <f t="shared" si="69"/>
        <v>23.999999999999929</v>
      </c>
      <c r="I302" s="10">
        <f t="shared" si="72"/>
        <v>0.34281203575403557</v>
      </c>
      <c r="J302" s="10">
        <f t="shared" si="73"/>
        <v>1.9900950345273758E-2</v>
      </c>
      <c r="K302" s="10">
        <f t="shared" si="74"/>
        <v>3.815112563128998E-2</v>
      </c>
      <c r="L302" s="10">
        <f t="shared" si="75"/>
        <v>0.22636219111507694</v>
      </c>
      <c r="M302" s="10">
        <f t="shared" si="76"/>
        <v>0.98942745082233086</v>
      </c>
      <c r="N302" s="10">
        <f t="shared" si="77"/>
        <v>0.97933721790916972</v>
      </c>
      <c r="O302" s="10">
        <f t="shared" si="83"/>
        <v>2.0475965763655197E-2</v>
      </c>
      <c r="P302" s="10">
        <f t="shared" si="84"/>
        <v>0.24132473966965706</v>
      </c>
      <c r="Q302" s="10">
        <f t="shared" si="78"/>
        <v>0.24979699148940449</v>
      </c>
      <c r="S302" s="5">
        <f t="shared" si="79"/>
        <v>6.1706460861978372E-3</v>
      </c>
      <c r="T302" s="5">
        <f t="shared" si="80"/>
        <v>1.1829439799424971E-2</v>
      </c>
      <c r="U302" s="5">
        <f t="shared" si="81"/>
        <v>7.4827057728875351E-2</v>
      </c>
    </row>
    <row r="303" spans="1:21">
      <c r="A303" s="19">
        <f t="shared" si="82"/>
        <v>24.083333333333261</v>
      </c>
      <c r="B303" s="10">
        <f t="shared" si="68"/>
        <v>5.6852558580739683E-2</v>
      </c>
      <c r="C303" s="10">
        <f t="shared" si="70"/>
        <v>0.30880978100921819</v>
      </c>
      <c r="D303" s="10">
        <f t="shared" si="71"/>
        <v>1.7556626165131969E-2</v>
      </c>
      <c r="H303" s="19">
        <f t="shared" si="69"/>
        <v>24.083333333333261</v>
      </c>
      <c r="I303" s="10">
        <f t="shared" si="72"/>
        <v>0.34024001245226981</v>
      </c>
      <c r="J303" s="10">
        <f t="shared" si="73"/>
        <v>1.9343515239454268E-2</v>
      </c>
      <c r="K303" s="10">
        <f t="shared" si="74"/>
        <v>3.7509043341285415E-2</v>
      </c>
      <c r="L303" s="10">
        <f t="shared" si="75"/>
        <v>0.22396896571754785</v>
      </c>
      <c r="M303" s="10">
        <f t="shared" si="76"/>
        <v>0.98936639308224039</v>
      </c>
      <c r="N303" s="10">
        <f t="shared" si="77"/>
        <v>0.97921366961364575</v>
      </c>
      <c r="O303" s="10">
        <f t="shared" si="83"/>
        <v>2.0597325378439231E-2</v>
      </c>
      <c r="P303" s="10">
        <f t="shared" si="84"/>
        <v>0.23918081316964546</v>
      </c>
      <c r="Q303" s="10">
        <f t="shared" si="78"/>
        <v>0.25130638958356699</v>
      </c>
      <c r="S303" s="5">
        <f t="shared" si="79"/>
        <v>5.9734667050443469E-3</v>
      </c>
      <c r="T303" s="5">
        <f t="shared" si="80"/>
        <v>1.1583159460087623E-2</v>
      </c>
      <c r="U303" s="5">
        <f t="shared" si="81"/>
        <v>7.3861374536524943E-2</v>
      </c>
    </row>
    <row r="304" spans="1:21">
      <c r="A304" s="19">
        <f t="shared" si="82"/>
        <v>24.166666666666593</v>
      </c>
      <c r="B304" s="10">
        <f t="shared" si="68"/>
        <v>5.567080251477087E-2</v>
      </c>
      <c r="C304" s="10">
        <f t="shared" si="70"/>
        <v>0.30755675671187666</v>
      </c>
      <c r="D304" s="10">
        <f t="shared" si="71"/>
        <v>1.7121931464990317E-2</v>
      </c>
      <c r="H304" s="19">
        <f t="shared" si="69"/>
        <v>24.166666666666593</v>
      </c>
      <c r="I304" s="10">
        <f t="shared" si="72"/>
        <v>0.33767292333860649</v>
      </c>
      <c r="J304" s="10">
        <f t="shared" si="73"/>
        <v>1.8798522629768926E-2</v>
      </c>
      <c r="K304" s="10">
        <f t="shared" si="74"/>
        <v>3.6872279885001948E-2</v>
      </c>
      <c r="L304" s="10">
        <f t="shared" si="75"/>
        <v>0.22158736777433027</v>
      </c>
      <c r="M304" s="10">
        <f t="shared" si="76"/>
        <v>0.98930498435745595</v>
      </c>
      <c r="N304" s="10">
        <f t="shared" si="77"/>
        <v>0.97908939020652042</v>
      </c>
      <c r="O304" s="10">
        <f t="shared" si="83"/>
        <v>2.0719390573755079E-2</v>
      </c>
      <c r="P304" s="10">
        <f t="shared" si="84"/>
        <v>0.23703588309747919</v>
      </c>
      <c r="Q304" s="10">
        <f t="shared" si="78"/>
        <v>0.25282491186698464</v>
      </c>
      <c r="S304" s="5">
        <f t="shared" si="79"/>
        <v>5.7816126509865496E-3</v>
      </c>
      <c r="T304" s="5">
        <f t="shared" si="80"/>
        <v>1.1340318814003767E-2</v>
      </c>
      <c r="U304" s="5">
        <f t="shared" si="81"/>
        <v>7.2901987429796242E-2</v>
      </c>
    </row>
    <row r="305" spans="1:21">
      <c r="A305" s="19">
        <f t="shared" si="82"/>
        <v>24.249999999999925</v>
      </c>
      <c r="B305" s="10">
        <f t="shared" si="68"/>
        <v>5.4506692086494633E-2</v>
      </c>
      <c r="C305" s="10">
        <f t="shared" si="70"/>
        <v>0.30630881667671289</v>
      </c>
      <c r="D305" s="10">
        <f t="shared" si="71"/>
        <v>1.6695880353976122E-2</v>
      </c>
      <c r="H305" s="19">
        <f t="shared" si="69"/>
        <v>24.249999999999925</v>
      </c>
      <c r="I305" s="10">
        <f t="shared" si="72"/>
        <v>0.33511086814259949</v>
      </c>
      <c r="J305" s="10">
        <f t="shared" si="73"/>
        <v>1.8265784904686576E-2</v>
      </c>
      <c r="K305" s="10">
        <f t="shared" si="74"/>
        <v>3.6240907181808057E-2</v>
      </c>
      <c r="L305" s="10">
        <f t="shared" si="75"/>
        <v>0.21921748740979366</v>
      </c>
      <c r="M305" s="10">
        <f t="shared" si="76"/>
        <v>0.98924322265258724</v>
      </c>
      <c r="N305" s="10">
        <f t="shared" si="77"/>
        <v>0.978964375456989</v>
      </c>
      <c r="O305" s="10">
        <f t="shared" si="83"/>
        <v>2.0842165284647E-2</v>
      </c>
      <c r="P305" s="10">
        <f t="shared" si="84"/>
        <v>0.23489027455248318</v>
      </c>
      <c r="Q305" s="10">
        <f t="shared" si="78"/>
        <v>0.25435261349464161</v>
      </c>
      <c r="S305" s="5">
        <f t="shared" si="79"/>
        <v>5.59497095982591E-3</v>
      </c>
      <c r="T305" s="5">
        <f t="shared" si="80"/>
        <v>1.1100909394150212E-2</v>
      </c>
      <c r="U305" s="5">
        <f t="shared" si="81"/>
        <v>7.1948962047039336E-2</v>
      </c>
    </row>
    <row r="306" spans="1:21">
      <c r="A306" s="19">
        <f t="shared" si="82"/>
        <v>24.333333333333258</v>
      </c>
      <c r="B306" s="10">
        <f t="shared" si="68"/>
        <v>5.3360109776681625E-2</v>
      </c>
      <c r="C306" s="10">
        <f t="shared" si="70"/>
        <v>0.30506594027386208</v>
      </c>
      <c r="D306" s="10">
        <f t="shared" si="71"/>
        <v>1.6278352062139879E-2</v>
      </c>
      <c r="H306" s="19">
        <f t="shared" si="69"/>
        <v>24.333333333333258</v>
      </c>
      <c r="I306" s="10">
        <f t="shared" si="72"/>
        <v>0.33255394658674281</v>
      </c>
      <c r="J306" s="10">
        <f t="shared" si="73"/>
        <v>1.7745115096537315E-2</v>
      </c>
      <c r="K306" s="10">
        <f t="shared" si="74"/>
        <v>3.5614994680144306E-2</v>
      </c>
      <c r="L306" s="10">
        <f t="shared" si="75"/>
        <v>0.21685941370706724</v>
      </c>
      <c r="M306" s="10">
        <f t="shared" si="76"/>
        <v>0.98918110596115694</v>
      </c>
      <c r="N306" s="10">
        <f t="shared" si="77"/>
        <v>0.97883862111091779</v>
      </c>
      <c r="O306" s="10">
        <f t="shared" si="83"/>
        <v>2.0965653466093248E-2</v>
      </c>
      <c r="P306" s="10">
        <f t="shared" si="84"/>
        <v>0.23274431067608675</v>
      </c>
      <c r="Q306" s="10">
        <f t="shared" si="78"/>
        <v>0.25588954995493129</v>
      </c>
      <c r="S306" s="5">
        <f t="shared" si="79"/>
        <v>5.4134302221930612E-3</v>
      </c>
      <c r="T306" s="5">
        <f t="shared" si="80"/>
        <v>1.0864921839946818E-2</v>
      </c>
      <c r="U306" s="5">
        <f t="shared" si="81"/>
        <v>7.1002361979792275E-2</v>
      </c>
    </row>
    <row r="307" spans="1:21">
      <c r="A307" s="19">
        <f t="shared" si="82"/>
        <v>24.41666666666659</v>
      </c>
      <c r="B307" s="10">
        <f t="shared" si="68"/>
        <v>5.2230936276134246E-2</v>
      </c>
      <c r="C307" s="10">
        <f t="shared" si="70"/>
        <v>0.30382810695716705</v>
      </c>
      <c r="D307" s="10">
        <f t="shared" si="71"/>
        <v>1.5869226493378293E-2</v>
      </c>
      <c r="H307" s="19">
        <f t="shared" si="69"/>
        <v>24.41666666666659</v>
      </c>
      <c r="I307" s="10">
        <f t="shared" si="72"/>
        <v>0.33000225837347369</v>
      </c>
      <c r="J307" s="10">
        <f t="shared" si="73"/>
        <v>1.7236326928085292E-2</v>
      </c>
      <c r="K307" s="10">
        <f t="shared" si="74"/>
        <v>3.4994609348048954E-2</v>
      </c>
      <c r="L307" s="10">
        <f t="shared" si="75"/>
        <v>0.21451323468884484</v>
      </c>
      <c r="M307" s="10">
        <f t="shared" si="76"/>
        <v>0.98911863226554619</v>
      </c>
      <c r="N307" s="10">
        <f t="shared" si="77"/>
        <v>0.97871212289073561</v>
      </c>
      <c r="O307" s="10">
        <f t="shared" si="83"/>
        <v>2.1089859093082371E-2</v>
      </c>
      <c r="P307" s="10">
        <f t="shared" si="84"/>
        <v>0.23059831257456856</v>
      </c>
      <c r="Q307" s="10">
        <f t="shared" si="78"/>
        <v>0.2574357770716687</v>
      </c>
      <c r="S307" s="5">
        <f t="shared" si="79"/>
        <v>5.2368805814549972E-3</v>
      </c>
      <c r="T307" s="5">
        <f t="shared" si="80"/>
        <v>1.0632345911923295E-2</v>
      </c>
      <c r="U307" s="5">
        <f t="shared" si="81"/>
        <v>7.0062248777048253E-2</v>
      </c>
    </row>
    <row r="308" spans="1:21">
      <c r="A308" s="19">
        <f t="shared" si="82"/>
        <v>24.499999999999922</v>
      </c>
      <c r="B308" s="10">
        <f t="shared" si="68"/>
        <v>5.1119050523386084E-2</v>
      </c>
      <c r="C308" s="10">
        <f t="shared" si="70"/>
        <v>0.30259529626383846</v>
      </c>
      <c r="D308" s="10">
        <f t="shared" si="71"/>
        <v>1.5468384237850139E-2</v>
      </c>
      <c r="H308" s="19">
        <f t="shared" si="69"/>
        <v>24.499999999999922</v>
      </c>
      <c r="I308" s="10">
        <f t="shared" si="72"/>
        <v>0.32745590317205292</v>
      </c>
      <c r="J308" s="10">
        <f t="shared" si="73"/>
        <v>1.6739234858433195E-2</v>
      </c>
      <c r="K308" s="10">
        <f t="shared" si="74"/>
        <v>3.4379815664952885E-2</v>
      </c>
      <c r="L308" s="10">
        <f t="shared" si="75"/>
        <v>0.21217903729828833</v>
      </c>
      <c r="M308" s="10">
        <f t="shared" si="76"/>
        <v>0.98905579953693135</v>
      </c>
      <c r="N308" s="10">
        <f t="shared" si="77"/>
        <v>0.97858487649532266</v>
      </c>
      <c r="O308" s="10">
        <f t="shared" si="83"/>
        <v>2.1214786160689343E-2</v>
      </c>
      <c r="P308" s="10">
        <f t="shared" si="84"/>
        <v>0.22845259924269576</v>
      </c>
      <c r="Q308" s="10">
        <f t="shared" si="78"/>
        <v>0.25899135100611986</v>
      </c>
      <c r="S308" s="5">
        <f t="shared" si="79"/>
        <v>5.0652137312175646E-3</v>
      </c>
      <c r="T308" s="5">
        <f t="shared" si="80"/>
        <v>1.0403170506632572E-2</v>
      </c>
      <c r="U308" s="5">
        <f t="shared" si="81"/>
        <v>6.9128681950087478E-2</v>
      </c>
    </row>
    <row r="309" spans="1:21">
      <c r="A309" s="19">
        <f t="shared" si="82"/>
        <v>24.583333333333254</v>
      </c>
      <c r="B309" s="10">
        <f t="shared" si="68"/>
        <v>5.0024329742985929E-2</v>
      </c>
      <c r="C309" s="10">
        <f t="shared" si="70"/>
        <v>0.30136748781411665</v>
      </c>
      <c r="D309" s="10">
        <f t="shared" si="71"/>
        <v>1.5075706584228665E-2</v>
      </c>
      <c r="H309" s="19">
        <f t="shared" si="69"/>
        <v>24.583333333333254</v>
      </c>
      <c r="I309" s="10">
        <f t="shared" si="72"/>
        <v>0.32491498060532203</v>
      </c>
      <c r="J309" s="10">
        <f t="shared" si="73"/>
        <v>1.6253654128236508E-2</v>
      </c>
      <c r="K309" s="10">
        <f t="shared" si="74"/>
        <v>3.3770675614749425E-2</v>
      </c>
      <c r="L309" s="10">
        <f t="shared" si="75"/>
        <v>0.20985690738003493</v>
      </c>
      <c r="M309" s="10">
        <f t="shared" si="76"/>
        <v>0.98899260573522818</v>
      </c>
      <c r="N309" s="10">
        <f t="shared" si="77"/>
        <v>0.97845687759988897</v>
      </c>
      <c r="O309" s="10">
        <f t="shared" si="83"/>
        <v>2.1340438684151593E-2</v>
      </c>
      <c r="P309" s="10">
        <f t="shared" si="84"/>
        <v>0.22630748748828983</v>
      </c>
      <c r="Q309" s="10">
        <f t="shared" si="78"/>
        <v>0.26055632825904163</v>
      </c>
      <c r="S309" s="5">
        <f t="shared" si="79"/>
        <v>4.8983229124261824E-3</v>
      </c>
      <c r="T309" s="5">
        <f t="shared" si="80"/>
        <v>1.0177383671802483E-2</v>
      </c>
      <c r="U309" s="5">
        <f t="shared" si="81"/>
        <v>6.8201718977870543E-2</v>
      </c>
    </row>
    <row r="310" spans="1:21">
      <c r="A310" s="19">
        <f t="shared" si="82"/>
        <v>24.666666666666586</v>
      </c>
      <c r="B310" s="10">
        <f t="shared" si="68"/>
        <v>4.8946649484349271E-2</v>
      </c>
      <c r="C310" s="10">
        <f t="shared" si="70"/>
        <v>0.30014466131093476</v>
      </c>
      <c r="D310" s="10">
        <f t="shared" si="71"/>
        <v>1.4691075531785051E-2</v>
      </c>
      <c r="H310" s="19">
        <f t="shared" si="69"/>
        <v>24.666666666666586</v>
      </c>
      <c r="I310" s="10">
        <f t="shared" si="72"/>
        <v>0.32237959023634072</v>
      </c>
      <c r="J310" s="10">
        <f t="shared" si="73"/>
        <v>1.5779400804206315E-2</v>
      </c>
      <c r="K310" s="10">
        <f t="shared" si="74"/>
        <v>3.3167248680142959E-2</v>
      </c>
      <c r="L310" s="10">
        <f t="shared" si="75"/>
        <v>0.20754692966131719</v>
      </c>
      <c r="M310" s="10">
        <f t="shared" si="76"/>
        <v>0.98892904880903143</v>
      </c>
      <c r="N310" s="10">
        <f t="shared" si="77"/>
        <v>0.97832812185585982</v>
      </c>
      <c r="O310" s="10">
        <f t="shared" si="83"/>
        <v>2.1466820698945031E-2</v>
      </c>
      <c r="P310" s="10">
        <f t="shared" si="84"/>
        <v>0.22416329185775333</v>
      </c>
      <c r="Q310" s="10">
        <f t="shared" si="78"/>
        <v>0.26213076567273191</v>
      </c>
      <c r="S310" s="5">
        <f t="shared" si="79"/>
        <v>4.7361029100679956E-3</v>
      </c>
      <c r="T310" s="5">
        <f t="shared" si="80"/>
        <v>9.9549726217170557E-3</v>
      </c>
      <c r="U310" s="5">
        <f t="shared" si="81"/>
        <v>6.728141531298959E-2</v>
      </c>
    </row>
    <row r="311" spans="1:21">
      <c r="A311" s="19">
        <f t="shared" si="82"/>
        <v>24.749999999999918</v>
      </c>
      <c r="B311" s="10">
        <f t="shared" si="68"/>
        <v>4.7885883661160512E-2</v>
      </c>
      <c r="C311" s="10">
        <f t="shared" si="70"/>
        <v>0.29892679653958304</v>
      </c>
      <c r="D311" s="10">
        <f t="shared" si="71"/>
        <v>1.4314373802297872E-2</v>
      </c>
      <c r="H311" s="19">
        <f t="shared" si="69"/>
        <v>24.749999999999918</v>
      </c>
      <c r="I311" s="10">
        <f t="shared" si="72"/>
        <v>0.31984983155490582</v>
      </c>
      <c r="J311" s="10">
        <f t="shared" si="73"/>
        <v>1.5316291822880006E-2</v>
      </c>
      <c r="K311" s="10">
        <f t="shared" si="74"/>
        <v>3.2569591838280502E-2</v>
      </c>
      <c r="L311" s="10">
        <f t="shared" si="75"/>
        <v>0.20524918773320136</v>
      </c>
      <c r="M311" s="10">
        <f t="shared" si="76"/>
        <v>0.98886512669555471</v>
      </c>
      <c r="N311" s="10">
        <f t="shared" si="77"/>
        <v>0.97819860489076926</v>
      </c>
      <c r="O311" s="10">
        <f t="shared" si="83"/>
        <v>2.1593936260860206E-2</v>
      </c>
      <c r="P311" s="10">
        <f t="shared" si="84"/>
        <v>0.22202032456258997</v>
      </c>
      <c r="Q311" s="10">
        <f t="shared" si="78"/>
        <v>0.26371472043309657</v>
      </c>
      <c r="S311" s="5">
        <f t="shared" si="79"/>
        <v>4.5784500494789309E-3</v>
      </c>
      <c r="T311" s="5">
        <f t="shared" si="80"/>
        <v>9.7359237528189396E-3</v>
      </c>
      <c r="U311" s="5">
        <f t="shared" si="81"/>
        <v>6.6367824388173527E-2</v>
      </c>
    </row>
    <row r="312" spans="1:21">
      <c r="A312" s="19">
        <f t="shared" si="82"/>
        <v>24.83333333333325</v>
      </c>
      <c r="B312" s="10">
        <f t="shared" si="68"/>
        <v>4.6841904591308894E-2</v>
      </c>
      <c r="C312" s="10">
        <f t="shared" si="70"/>
        <v>0.29771387336737493</v>
      </c>
      <c r="D312" s="10">
        <f t="shared" si="71"/>
        <v>1.3945484851783594E-2</v>
      </c>
      <c r="H312" s="19">
        <f t="shared" si="69"/>
        <v>24.83333333333325</v>
      </c>
      <c r="I312" s="10">
        <f t="shared" si="72"/>
        <v>0.31732580396395244</v>
      </c>
      <c r="J312" s="10">
        <f t="shared" si="73"/>
        <v>1.486414503363985E-2</v>
      </c>
      <c r="K312" s="10">
        <f t="shared" si="74"/>
        <v>3.1977759557669044E-2</v>
      </c>
      <c r="L312" s="10">
        <f t="shared" si="75"/>
        <v>0.20296376403195185</v>
      </c>
      <c r="M312" s="10">
        <f t="shared" si="76"/>
        <v>0.988800837320572</v>
      </c>
      <c r="N312" s="10">
        <f t="shared" si="77"/>
        <v>0.97806832230812368</v>
      </c>
      <c r="O312" s="10">
        <f t="shared" si="83"/>
        <v>2.1721789446077961E-2</v>
      </c>
      <c r="P312" s="10">
        <f t="shared" si="84"/>
        <v>0.21987889540694971</v>
      </c>
      <c r="Q312" s="10">
        <f t="shared" si="78"/>
        <v>0.2653082500717262</v>
      </c>
      <c r="S312" s="5">
        <f t="shared" si="79"/>
        <v>4.4252621922593492E-3</v>
      </c>
      <c r="T312" s="5">
        <f t="shared" si="80"/>
        <v>9.5202226595242443E-3</v>
      </c>
      <c r="U312" s="5">
        <f t="shared" si="81"/>
        <v>6.5460997623342898E-2</v>
      </c>
    </row>
    <row r="313" spans="1:21">
      <c r="A313" s="19">
        <f t="shared" si="82"/>
        <v>24.916666666666583</v>
      </c>
      <c r="B313" s="10">
        <f t="shared" si="68"/>
        <v>4.5814583037338687E-2</v>
      </c>
      <c r="C313" s="10">
        <f t="shared" si="70"/>
        <v>0.29650587174331416</v>
      </c>
      <c r="D313" s="10">
        <f t="shared" si="71"/>
        <v>1.3584292882042562E-2</v>
      </c>
      <c r="H313" s="19">
        <f t="shared" si="69"/>
        <v>24.916666666666583</v>
      </c>
      <c r="I313" s="10">
        <f t="shared" si="72"/>
        <v>0.31480760676584141</v>
      </c>
      <c r="J313" s="10">
        <f t="shared" si="73"/>
        <v>1.4422779240959506E-2</v>
      </c>
      <c r="K313" s="10">
        <f t="shared" si="74"/>
        <v>3.1391803796379181E-2</v>
      </c>
      <c r="L313" s="10">
        <f t="shared" si="75"/>
        <v>0.20069073982052898</v>
      </c>
      <c r="M313" s="10">
        <f t="shared" si="76"/>
        <v>0.98873617859835627</v>
      </c>
      <c r="N313" s="10">
        <f t="shared" si="77"/>
        <v>0.97793726968731365</v>
      </c>
      <c r="O313" s="10">
        <f t="shared" si="83"/>
        <v>2.1850384351245596E-2</v>
      </c>
      <c r="P313" s="10">
        <f t="shared" si="84"/>
        <v>0.21773931171623104</v>
      </c>
      <c r="Q313" s="10">
        <f t="shared" si="78"/>
        <v>0.26691141246798372</v>
      </c>
      <c r="S313" s="5">
        <f t="shared" si="79"/>
        <v>4.2764387318020734E-3</v>
      </c>
      <c r="T313" s="5">
        <f t="shared" si="80"/>
        <v>9.3078541502404875E-3</v>
      </c>
      <c r="U313" s="5">
        <f t="shared" si="81"/>
        <v>6.4560984433210303E-2</v>
      </c>
    </row>
    <row r="314" spans="1:21">
      <c r="A314" s="19">
        <f t="shared" si="82"/>
        <v>24.999999999999915</v>
      </c>
      <c r="B314" s="10">
        <f t="shared" si="68"/>
        <v>4.4803788247397711E-2</v>
      </c>
      <c r="C314" s="10">
        <f t="shared" si="70"/>
        <v>0.29530277169776309</v>
      </c>
      <c r="D314" s="10">
        <f t="shared" si="71"/>
        <v>1.3230682852016206E-2</v>
      </c>
      <c r="H314" s="19">
        <f t="shared" si="69"/>
        <v>24.999999999999915</v>
      </c>
      <c r="I314" s="10">
        <f t="shared" si="72"/>
        <v>0.31229533914853369</v>
      </c>
      <c r="J314" s="10">
        <f t="shared" si="73"/>
        <v>1.3992014245860156E-2</v>
      </c>
      <c r="K314" s="10">
        <f t="shared" si="74"/>
        <v>3.0811774001537555E-2</v>
      </c>
      <c r="L314" s="10">
        <f t="shared" si="75"/>
        <v>0.19843019517022681</v>
      </c>
      <c r="M314" s="10">
        <f t="shared" si="76"/>
        <v>0.98867114843161674</v>
      </c>
      <c r="N314" s="10">
        <f t="shared" si="77"/>
        <v>0.97780544258346591</v>
      </c>
      <c r="O314" s="10">
        <f t="shared" si="83"/>
        <v>2.1979725093552369E-2</v>
      </c>
      <c r="P314" s="10">
        <f t="shared" si="84"/>
        <v>0.21560187826677071</v>
      </c>
      <c r="Q314" s="10">
        <f t="shared" si="78"/>
        <v>0.26852426585110933</v>
      </c>
      <c r="S314" s="5">
        <f t="shared" si="79"/>
        <v>4.13188058843709E-3</v>
      </c>
      <c r="T314" s="5">
        <f t="shared" si="80"/>
        <v>9.0988022635791165E-3</v>
      </c>
      <c r="U314" s="5">
        <f t="shared" si="81"/>
        <v>6.3667832235421107E-2</v>
      </c>
    </row>
    <row r="315" spans="1:21">
      <c r="A315" s="19">
        <f t="shared" si="82"/>
        <v>25.083333333333247</v>
      </c>
      <c r="B315" s="10">
        <f t="shared" si="68"/>
        <v>4.3809387996662605E-2</v>
      </c>
      <c r="C315" s="10">
        <f t="shared" si="70"/>
        <v>0.29410455334211272</v>
      </c>
      <c r="D315" s="10">
        <f t="shared" si="71"/>
        <v>1.2884540488949769E-2</v>
      </c>
      <c r="H315" s="19">
        <f t="shared" si="69"/>
        <v>25.083333333333247</v>
      </c>
      <c r="I315" s="10">
        <f t="shared" si="72"/>
        <v>0.30978910017165379</v>
      </c>
      <c r="J315" s="10">
        <f t="shared" si="73"/>
        <v>1.3571670886556959E-2</v>
      </c>
      <c r="K315" s="10">
        <f t="shared" si="74"/>
        <v>3.0237717110105648E-2</v>
      </c>
      <c r="L315" s="10">
        <f t="shared" si="75"/>
        <v>0.196182208942458</v>
      </c>
      <c r="M315" s="10">
        <f t="shared" si="76"/>
        <v>0.98860574471144491</v>
      </c>
      <c r="N315" s="10">
        <f t="shared" si="77"/>
        <v>0.97767283652735315</v>
      </c>
      <c r="O315" s="10">
        <f t="shared" si="83"/>
        <v>2.2109815810805455E-2</v>
      </c>
      <c r="P315" s="10">
        <f t="shared" si="84"/>
        <v>0.21346689721665091</v>
      </c>
      <c r="Q315" s="10">
        <f t="shared" si="78"/>
        <v>0.27014686880233429</v>
      </c>
      <c r="S315" s="5">
        <f t="shared" si="79"/>
        <v>3.9914902041969895E-3</v>
      </c>
      <c r="T315" s="5">
        <f t="shared" si="80"/>
        <v>8.8930502847527817E-3</v>
      </c>
      <c r="U315" s="5">
        <f t="shared" si="81"/>
        <v>6.2781586459229793E-2</v>
      </c>
    </row>
    <row r="316" spans="1:21">
      <c r="A316" s="19">
        <f t="shared" si="82"/>
        <v>25.166666666666579</v>
      </c>
      <c r="B316" s="10">
        <f t="shared" si="68"/>
        <v>4.2831248629224508E-2</v>
      </c>
      <c r="C316" s="10">
        <f t="shared" si="70"/>
        <v>0.29291119686845407</v>
      </c>
      <c r="D316" s="10">
        <f t="shared" si="71"/>
        <v>1.2545752299356484E-2</v>
      </c>
      <c r="H316" s="19">
        <f t="shared" si="69"/>
        <v>25.166666666666579</v>
      </c>
      <c r="I316" s="10">
        <f t="shared" si="72"/>
        <v>0.3072889887524447</v>
      </c>
      <c r="J316" s="10">
        <f t="shared" si="73"/>
        <v>1.3161571078278932E-2</v>
      </c>
      <c r="K316" s="10">
        <f t="shared" si="74"/>
        <v>2.9669677550945576E-2</v>
      </c>
      <c r="L316" s="10">
        <f t="shared" si="75"/>
        <v>0.19394685877069498</v>
      </c>
      <c r="M316" s="10">
        <f t="shared" si="76"/>
        <v>0.98853996531724564</v>
      </c>
      <c r="N316" s="10">
        <f t="shared" si="77"/>
        <v>0.97753944702525597</v>
      </c>
      <c r="O316" s="10">
        <f t="shared" si="83"/>
        <v>2.2240660661505363E-2</v>
      </c>
      <c r="P316" s="10">
        <f t="shared" si="84"/>
        <v>0.21133466803765527</v>
      </c>
      <c r="Q316" s="10">
        <f t="shared" si="78"/>
        <v>0.2717792802570077</v>
      </c>
      <c r="S316" s="5">
        <f t="shared" si="79"/>
        <v>3.8551715372079115E-3</v>
      </c>
      <c r="T316" s="5">
        <f t="shared" si="80"/>
        <v>8.6905807621485715E-3</v>
      </c>
      <c r="U316" s="5">
        <f t="shared" si="81"/>
        <v>6.1902290554707029E-2</v>
      </c>
    </row>
    <row r="317" spans="1:21">
      <c r="A317" s="19">
        <f t="shared" si="82"/>
        <v>25.249999999999911</v>
      </c>
      <c r="B317" s="10">
        <f t="shared" si="68"/>
        <v>4.1869235100413377E-2</v>
      </c>
      <c r="C317" s="10">
        <f t="shared" si="70"/>
        <v>0.29172268254925054</v>
      </c>
      <c r="D317" s="10">
        <f t="shared" si="71"/>
        <v>1.221420557977783E-2</v>
      </c>
      <c r="H317" s="19">
        <f t="shared" si="69"/>
        <v>25.249999999999911</v>
      </c>
      <c r="I317" s="10">
        <f t="shared" si="72"/>
        <v>0.30479510365161694</v>
      </c>
      <c r="J317" s="10">
        <f t="shared" si="73"/>
        <v>1.2761537852244414E-2</v>
      </c>
      <c r="K317" s="10">
        <f t="shared" si="74"/>
        <v>2.9107697248168959E-2</v>
      </c>
      <c r="L317" s="10">
        <f t="shared" si="75"/>
        <v>0.19172422104257156</v>
      </c>
      <c r="M317" s="10">
        <f t="shared" si="76"/>
        <v>0.98847380811668251</v>
      </c>
      <c r="N317" s="10">
        <f t="shared" si="77"/>
        <v>0.97740526955886065</v>
      </c>
      <c r="O317" s="10">
        <f t="shared" si="83"/>
        <v>2.237226382492162E-2</v>
      </c>
      <c r="P317" s="10">
        <f t="shared" si="84"/>
        <v>0.20920548744839965</v>
      </c>
      <c r="Q317" s="10">
        <f t="shared" si="78"/>
        <v>0.27342155950673946</v>
      </c>
      <c r="S317" s="5">
        <f t="shared" si="79"/>
        <v>3.7228300557105415E-3</v>
      </c>
      <c r="T317" s="5">
        <f t="shared" si="80"/>
        <v>8.4913755240672868E-3</v>
      </c>
      <c r="U317" s="5">
        <f t="shared" si="81"/>
        <v>6.1029986002470712E-2</v>
      </c>
    </row>
    <row r="318" spans="1:21">
      <c r="A318" s="19">
        <f t="shared" si="82"/>
        <v>25.333333333333243</v>
      </c>
      <c r="B318" s="10">
        <f t="shared" si="68"/>
        <v>4.0923211019542848E-2</v>
      </c>
      <c r="C318" s="10">
        <f t="shared" si="70"/>
        <v>0.29053899073701167</v>
      </c>
      <c r="D318" s="10">
        <f t="shared" si="71"/>
        <v>1.1889788427335733E-2</v>
      </c>
      <c r="H318" s="19">
        <f t="shared" si="69"/>
        <v>25.333333333333243</v>
      </c>
      <c r="I318" s="10">
        <f t="shared" si="72"/>
        <v>0.302307543459093</v>
      </c>
      <c r="J318" s="10">
        <f t="shared" si="73"/>
        <v>1.2371395393776083E-2</v>
      </c>
      <c r="K318" s="10">
        <f t="shared" si="74"/>
        <v>2.8551815625766766E-2</v>
      </c>
      <c r="L318" s="10">
        <f t="shared" si="75"/>
        <v>0.18951437088215531</v>
      </c>
      <c r="M318" s="10">
        <f t="shared" si="76"/>
        <v>0.98840727096560899</v>
      </c>
      <c r="N318" s="10">
        <f t="shared" si="77"/>
        <v>0.97727029958512779</v>
      </c>
      <c r="O318" s="10">
        <f t="shared" si="83"/>
        <v>2.2504629501168039E-2</v>
      </c>
      <c r="P318" s="10">
        <f t="shared" si="84"/>
        <v>0.20707964934866857</v>
      </c>
      <c r="Q318" s="10">
        <f t="shared" si="78"/>
        <v>0.27507376620155066</v>
      </c>
      <c r="S318" s="5">
        <f t="shared" si="79"/>
        <v>3.5943727317162182E-3</v>
      </c>
      <c r="T318" s="5">
        <f t="shared" si="80"/>
        <v>8.2954156956195155E-3</v>
      </c>
      <c r="U318" s="5">
        <f t="shared" si="81"/>
        <v>6.0164712323936442E-2</v>
      </c>
    </row>
    <row r="319" spans="1:21">
      <c r="A319" s="19">
        <f t="shared" si="82"/>
        <v>25.416666666666575</v>
      </c>
      <c r="B319" s="10">
        <f t="shared" si="68"/>
        <v>3.9993038693054039E-2</v>
      </c>
      <c r="C319" s="10">
        <f t="shared" si="70"/>
        <v>0.28936010186396882</v>
      </c>
      <c r="D319" s="10">
        <f t="shared" si="71"/>
        <v>1.1572389750071764E-2</v>
      </c>
      <c r="H319" s="19">
        <f t="shared" si="69"/>
        <v>25.416666666666575</v>
      </c>
      <c r="I319" s="10">
        <f t="shared" si="72"/>
        <v>0.29982640657965043</v>
      </c>
      <c r="J319" s="10">
        <f t="shared" si="73"/>
        <v>1.1990969079539312E-2</v>
      </c>
      <c r="K319" s="10">
        <f t="shared" si="74"/>
        <v>2.8002069613514726E-2</v>
      </c>
      <c r="L319" s="10">
        <f t="shared" si="75"/>
        <v>0.1873173821323954</v>
      </c>
      <c r="M319" s="10">
        <f t="shared" si="76"/>
        <v>0.98834035170801549</v>
      </c>
      <c r="N319" s="10">
        <f t="shared" si="77"/>
        <v>0.97713453253618066</v>
      </c>
      <c r="O319" s="10">
        <f t="shared" si="83"/>
        <v>2.2637761911278254E-2</v>
      </c>
      <c r="P319" s="10">
        <f t="shared" si="84"/>
        <v>0.20495744475498215</v>
      </c>
      <c r="Q319" s="10">
        <f t="shared" si="78"/>
        <v>0.27673596035204362</v>
      </c>
      <c r="S319" s="5">
        <f t="shared" si="79"/>
        <v>3.4697080343031954E-3</v>
      </c>
      <c r="T319" s="5">
        <f t="shared" si="80"/>
        <v>8.1026817157685664E-3</v>
      </c>
      <c r="U319" s="5">
        <f t="shared" si="81"/>
        <v>5.93065070920804E-2</v>
      </c>
    </row>
    <row r="320" spans="1:21">
      <c r="A320" s="19">
        <f t="shared" si="82"/>
        <v>25.499999999999908</v>
      </c>
      <c r="B320" s="10">
        <f t="shared" si="68"/>
        <v>3.9078579168038745E-2</v>
      </c>
      <c r="C320" s="10">
        <f t="shared" si="70"/>
        <v>0.28818599644175114</v>
      </c>
      <c r="D320" s="10">
        <f t="shared" si="71"/>
        <v>1.1261899277069104E-2</v>
      </c>
      <c r="H320" s="19">
        <f t="shared" si="69"/>
        <v>25.499999999999908</v>
      </c>
      <c r="I320" s="10">
        <f t="shared" si="72"/>
        <v>0.29735179121846583</v>
      </c>
      <c r="J320" s="10">
        <f t="shared" si="73"/>
        <v>1.1620085513888946E-2</v>
      </c>
      <c r="K320" s="10">
        <f t="shared" si="74"/>
        <v>2.7458493654149801E-2</v>
      </c>
      <c r="L320" s="10">
        <f t="shared" si="75"/>
        <v>0.18513332733775642</v>
      </c>
      <c r="M320" s="10">
        <f t="shared" si="76"/>
        <v>0.98827304817595851</v>
      </c>
      <c r="N320" s="10">
        <f t="shared" si="77"/>
        <v>0.97699796381918469</v>
      </c>
      <c r="O320" s="10">
        <f t="shared" si="83"/>
        <v>2.2771665297280724E-2</v>
      </c>
      <c r="P320" s="10">
        <f t="shared" si="84"/>
        <v>0.20283916173742331</v>
      </c>
      <c r="Q320" s="10">
        <f t="shared" si="78"/>
        <v>0.27840820233157887</v>
      </c>
      <c r="S320" s="5">
        <f t="shared" si="79"/>
        <v>3.3487459225584435E-3</v>
      </c>
      <c r="T320" s="5">
        <f t="shared" si="80"/>
        <v>7.9131533545106613E-3</v>
      </c>
      <c r="U320" s="5">
        <f t="shared" si="81"/>
        <v>5.8455405942708857E-2</v>
      </c>
    </row>
    <row r="321" spans="1:21">
      <c r="A321" s="19">
        <f t="shared" si="82"/>
        <v>25.58333333333324</v>
      </c>
      <c r="B321" s="10">
        <f t="shared" si="68"/>
        <v>3.8179692276120662E-2</v>
      </c>
      <c r="C321" s="10">
        <f t="shared" si="70"/>
        <v>0.28701665506106366</v>
      </c>
      <c r="D321" s="10">
        <f t="shared" si="71"/>
        <v>1.0958207568352881E-2</v>
      </c>
      <c r="H321" s="19">
        <f t="shared" si="69"/>
        <v>25.58333333333324</v>
      </c>
      <c r="I321" s="10">
        <f t="shared" si="72"/>
        <v>0.29488379536656145</v>
      </c>
      <c r="J321" s="10">
        <f t="shared" si="73"/>
        <v>1.1258572564309852E-2</v>
      </c>
      <c r="K321" s="10">
        <f t="shared" si="74"/>
        <v>2.6921119711810809E-2</v>
      </c>
      <c r="L321" s="10">
        <f t="shared" si="75"/>
        <v>0.18296227772704204</v>
      </c>
      <c r="M321" s="10">
        <f t="shared" si="76"/>
        <v>0.98820535818950495</v>
      </c>
      <c r="N321" s="10">
        <f t="shared" si="77"/>
        <v>0.97686058881622762</v>
      </c>
      <c r="O321" s="10">
        <f t="shared" si="83"/>
        <v>2.2906343922273989E-2</v>
      </c>
      <c r="P321" s="10">
        <f t="shared" si="84"/>
        <v>0.20072508535774763</v>
      </c>
      <c r="Q321" s="10">
        <f t="shared" si="78"/>
        <v>0.28009055287846957</v>
      </c>
      <c r="S321" s="5">
        <f t="shared" si="79"/>
        <v>3.2313978381704757E-3</v>
      </c>
      <c r="T321" s="5">
        <f t="shared" si="80"/>
        <v>7.7268097301824044E-3</v>
      </c>
      <c r="U321" s="5">
        <f t="shared" si="81"/>
        <v>5.7611442586227211E-2</v>
      </c>
    </row>
    <row r="322" spans="1:21">
      <c r="A322" s="19">
        <f t="shared" si="82"/>
        <v>25.666666666666572</v>
      </c>
      <c r="B322" s="10">
        <f t="shared" si="68"/>
        <v>3.7296236677673608E-2</v>
      </c>
      <c r="C322" s="10">
        <f t="shared" si="70"/>
        <v>0.28585205839136663</v>
      </c>
      <c r="D322" s="10">
        <f t="shared" si="71"/>
        <v>1.0661206024564586E-2</v>
      </c>
      <c r="H322" s="19">
        <f t="shared" si="69"/>
        <v>25.666666666666572</v>
      </c>
      <c r="I322" s="10">
        <f t="shared" si="72"/>
        <v>0.29242251678615833</v>
      </c>
      <c r="J322" s="10">
        <f t="shared" si="73"/>
        <v>1.0906259395937545E-2</v>
      </c>
      <c r="K322" s="10">
        <f t="shared" si="74"/>
        <v>2.6389977281736067E-2</v>
      </c>
      <c r="L322" s="10">
        <f t="shared" si="75"/>
        <v>0.18080430319641927</v>
      </c>
      <c r="M322" s="10">
        <f t="shared" si="76"/>
        <v>0.98813727955666397</v>
      </c>
      <c r="N322" s="10">
        <f t="shared" si="77"/>
        <v>0.97672240288419965</v>
      </c>
      <c r="O322" s="10">
        <f t="shared" si="83"/>
        <v>2.3041802070501567E-2</v>
      </c>
      <c r="P322" s="10">
        <f t="shared" si="84"/>
        <v>0.19861549760880393</v>
      </c>
      <c r="Q322" s="10">
        <f t="shared" si="78"/>
        <v>0.28178307309818634</v>
      </c>
      <c r="S322" s="5">
        <f t="shared" si="79"/>
        <v>3.1175766976789298E-3</v>
      </c>
      <c r="T322" s="5">
        <f t="shared" si="80"/>
        <v>7.543629326885657E-3</v>
      </c>
      <c r="U322" s="5">
        <f t="shared" si="81"/>
        <v>5.6774648819902157E-2</v>
      </c>
    </row>
    <row r="323" spans="1:21">
      <c r="A323" s="19">
        <f t="shared" si="82"/>
        <v>25.749999999999904</v>
      </c>
      <c r="B323" s="10">
        <f t="shared" si="68"/>
        <v>3.6428069906355186E-2</v>
      </c>
      <c r="C323" s="10">
        <f t="shared" si="70"/>
        <v>0.28469218718055544</v>
      </c>
      <c r="D323" s="10">
        <f t="shared" si="71"/>
        <v>1.037078689640643E-2</v>
      </c>
      <c r="H323" s="19">
        <f t="shared" si="69"/>
        <v>25.749999999999904</v>
      </c>
      <c r="I323" s="10">
        <f t="shared" si="72"/>
        <v>0.28996805299593764</v>
      </c>
      <c r="J323" s="10">
        <f t="shared" si="73"/>
        <v>1.0562976505145722E-2</v>
      </c>
      <c r="K323" s="10">
        <f t="shared" si="74"/>
        <v>2.5865093401209464E-2</v>
      </c>
      <c r="L323" s="10">
        <f t="shared" si="75"/>
        <v>0.17865947229264798</v>
      </c>
      <c r="M323" s="10">
        <f t="shared" si="76"/>
        <v>0.98806881007332847</v>
      </c>
      <c r="N323" s="10">
        <f t="shared" si="77"/>
        <v>0.97658340135467403</v>
      </c>
      <c r="O323" s="10">
        <f t="shared" si="83"/>
        <v>2.3178044047426811E-2</v>
      </c>
      <c r="P323" s="10">
        <f t="shared" si="84"/>
        <v>0.19651067735528735</v>
      </c>
      <c r="Q323" s="10">
        <f t="shared" si="78"/>
        <v>0.28348582446557857</v>
      </c>
      <c r="S323" s="5">
        <f t="shared" si="79"/>
        <v>3.0071968843867554E-3</v>
      </c>
      <c r="T323" s="5">
        <f t="shared" si="80"/>
        <v>7.363590012019674E-3</v>
      </c>
      <c r="U323" s="5">
        <f t="shared" si="81"/>
        <v>5.5945054540609204E-2</v>
      </c>
    </row>
    <row r="324" spans="1:21">
      <c r="A324" s="19">
        <f t="shared" si="82"/>
        <v>25.833333333333236</v>
      </c>
      <c r="B324" s="10">
        <f t="shared" si="68"/>
        <v>3.557504841393419E-2</v>
      </c>
      <c r="C324" s="10">
        <f t="shared" si="70"/>
        <v>0.283537022254643</v>
      </c>
      <c r="D324" s="10">
        <f t="shared" si="71"/>
        <v>1.0086843293851662E-2</v>
      </c>
      <c r="H324" s="19">
        <f t="shared" si="69"/>
        <v>25.833333333333236</v>
      </c>
      <c r="I324" s="10">
        <f t="shared" si="72"/>
        <v>0.28752050125621287</v>
      </c>
      <c r="J324" s="10">
        <f t="shared" si="73"/>
        <v>1.0228555752188399E-2</v>
      </c>
      <c r="K324" s="10">
        <f t="shared" si="74"/>
        <v>2.5346492661745792E-2</v>
      </c>
      <c r="L324" s="10">
        <f t="shared" si="75"/>
        <v>0.17652785219652548</v>
      </c>
      <c r="M324" s="10">
        <f t="shared" si="76"/>
        <v>0.98799994752320863</v>
      </c>
      <c r="N324" s="10">
        <f t="shared" si="77"/>
        <v>0.97644357953378502</v>
      </c>
      <c r="O324" s="10">
        <f t="shared" si="83"/>
        <v>2.3315074179807622E-2</v>
      </c>
      <c r="P324" s="10">
        <f t="shared" si="84"/>
        <v>0.19441090027585073</v>
      </c>
      <c r="Q324" s="10">
        <f t="shared" si="78"/>
        <v>0.28519886882710488</v>
      </c>
      <c r="S324" s="5">
        <f t="shared" si="79"/>
        <v>2.9001742399410988E-3</v>
      </c>
      <c r="T324" s="5">
        <f t="shared" si="80"/>
        <v>7.1866690539105623E-3</v>
      </c>
      <c r="U324" s="5">
        <f t="shared" si="81"/>
        <v>5.512268775805907E-2</v>
      </c>
    </row>
    <row r="325" spans="1:21">
      <c r="A325" s="19">
        <f t="shared" si="82"/>
        <v>25.916666666666568</v>
      </c>
      <c r="B325" s="10">
        <f t="shared" si="68"/>
        <v>3.4737027615389604E-2</v>
      </c>
      <c r="C325" s="10">
        <f t="shared" si="70"/>
        <v>0.28238654451744227</v>
      </c>
      <c r="D325" s="10">
        <f t="shared" si="71"/>
        <v>9.8092691951168383E-3</v>
      </c>
      <c r="H325" s="19">
        <f t="shared" si="69"/>
        <v>25.916666666666568</v>
      </c>
      <c r="I325" s="10">
        <f t="shared" si="72"/>
        <v>0.2850799585540163</v>
      </c>
      <c r="J325" s="10">
        <f t="shared" si="73"/>
        <v>9.9028303928849881E-3</v>
      </c>
      <c r="K325" s="10">
        <f t="shared" si="74"/>
        <v>2.4834197222504618E-2</v>
      </c>
      <c r="L325" s="10">
        <f t="shared" si="75"/>
        <v>0.17440950870655189</v>
      </c>
      <c r="M325" s="10">
        <f t="shared" si="76"/>
        <v>0.98793068967777076</v>
      </c>
      <c r="N325" s="10">
        <f t="shared" si="77"/>
        <v>0.97630293270210466</v>
      </c>
      <c r="O325" s="10">
        <f t="shared" si="83"/>
        <v>2.3452896815770931E-2</v>
      </c>
      <c r="P325" s="10">
        <f t="shared" si="84"/>
        <v>0.19231643880659485</v>
      </c>
      <c r="Q325" s="10">
        <f t="shared" si="78"/>
        <v>0.28692226840308221</v>
      </c>
      <c r="S325" s="5">
        <f t="shared" si="79"/>
        <v>2.796426055589097E-3</v>
      </c>
      <c r="T325" s="5">
        <f t="shared" si="80"/>
        <v>7.0128431395277413E-3</v>
      </c>
      <c r="U325" s="5">
        <f t="shared" si="81"/>
        <v>5.430757460849446E-2</v>
      </c>
    </row>
    <row r="326" spans="1:21">
      <c r="A326" s="19">
        <f t="shared" si="82"/>
        <v>25.999999999999901</v>
      </c>
      <c r="B326" s="10">
        <f t="shared" si="68"/>
        <v>3.3913861934258868E-2</v>
      </c>
      <c r="C326" s="10">
        <f t="shared" si="70"/>
        <v>0.28124073495025076</v>
      </c>
      <c r="D326" s="10">
        <f t="shared" si="71"/>
        <v>9.5379594553922972E-3</v>
      </c>
      <c r="H326" s="19">
        <f t="shared" si="69"/>
        <v>25.999999999999901</v>
      </c>
      <c r="I326" s="10">
        <f t="shared" si="72"/>
        <v>0.28264652158810216</v>
      </c>
      <c r="J326" s="10">
        <f t="shared" si="73"/>
        <v>9.5856351093374162E-3</v>
      </c>
      <c r="K326" s="10">
        <f t="shared" si="74"/>
        <v>2.4328226824921452E-2</v>
      </c>
      <c r="L326" s="10">
        <f t="shared" si="75"/>
        <v>0.17230450622282498</v>
      </c>
      <c r="M326" s="10">
        <f t="shared" si="76"/>
        <v>0.98786103429617145</v>
      </c>
      <c r="N326" s="10">
        <f t="shared" si="77"/>
        <v>0.9761614561145302</v>
      </c>
      <c r="O326" s="10">
        <f t="shared" si="83"/>
        <v>2.3591516324887225E-2</v>
      </c>
      <c r="P326" s="10">
        <f t="shared" si="84"/>
        <v>0.19022756208596045</v>
      </c>
      <c r="Q326" s="10">
        <f t="shared" si="78"/>
        <v>0.28865608578994228</v>
      </c>
      <c r="S326" s="5">
        <f t="shared" si="79"/>
        <v>2.6958710631149823E-3</v>
      </c>
      <c r="T326" s="5">
        <f t="shared" si="80"/>
        <v>6.8420883922773144E-3</v>
      </c>
      <c r="U326" s="5">
        <f t="shared" si="81"/>
        <v>5.3499739368849976E-2</v>
      </c>
    </row>
    <row r="327" spans="1:21">
      <c r="A327" s="19">
        <f t="shared" si="82"/>
        <v>26.083333333333233</v>
      </c>
      <c r="B327" s="10">
        <f t="shared" si="68"/>
        <v>3.3105404848213275E-2</v>
      </c>
      <c r="C327" s="10">
        <f t="shared" si="70"/>
        <v>0.28009957461153612</v>
      </c>
      <c r="D327" s="10">
        <f t="shared" si="71"/>
        <v>9.2728098153272241E-3</v>
      </c>
      <c r="H327" s="19">
        <f t="shared" si="69"/>
        <v>26.083333333333233</v>
      </c>
      <c r="I327" s="10">
        <f t="shared" si="72"/>
        <v>0.2802202867538694</v>
      </c>
      <c r="J327" s="10">
        <f t="shared" si="73"/>
        <v>9.276806039669263E-3</v>
      </c>
      <c r="K327" s="10">
        <f t="shared" si="74"/>
        <v>2.3828598808544012E-2</v>
      </c>
      <c r="L327" s="10">
        <f t="shared" si="75"/>
        <v>0.17021290773117098</v>
      </c>
      <c r="M327" s="10">
        <f t="shared" si="76"/>
        <v>0.98779097912519342</v>
      </c>
      <c r="N327" s="10">
        <f t="shared" si="77"/>
        <v>0.97601914500015097</v>
      </c>
      <c r="O327" s="10">
        <f t="shared" si="83"/>
        <v>2.373093709824467E-2</v>
      </c>
      <c r="P327" s="10">
        <f t="shared" si="84"/>
        <v>0.18814453590104241</v>
      </c>
      <c r="Q327" s="10">
        <f t="shared" si="78"/>
        <v>0.29040038396250911</v>
      </c>
      <c r="S327" s="5">
        <f t="shared" si="79"/>
        <v>2.5984294254650896E-3</v>
      </c>
      <c r="T327" s="5">
        <f t="shared" si="80"/>
        <v>6.6743803898621345E-3</v>
      </c>
      <c r="U327" s="5">
        <f t="shared" si="81"/>
        <v>5.2699204471366862E-2</v>
      </c>
    </row>
    <row r="328" spans="1:21">
      <c r="A328" s="19">
        <f t="shared" si="82"/>
        <v>26.166666666666565</v>
      </c>
      <c r="B328" s="10">
        <f t="shared" si="68"/>
        <v>3.2311508934836974E-2</v>
      </c>
      <c r="C328" s="10">
        <f t="shared" si="70"/>
        <v>0.27896304463662314</v>
      </c>
      <c r="D328" s="10">
        <f t="shared" si="71"/>
        <v>9.013716909265574E-3</v>
      </c>
      <c r="H328" s="19">
        <f t="shared" si="69"/>
        <v>26.166666666666565</v>
      </c>
      <c r="I328" s="10">
        <f t="shared" si="72"/>
        <v>0.27780135012820728</v>
      </c>
      <c r="J328" s="10">
        <f t="shared" si="73"/>
        <v>8.9761808067773449E-3</v>
      </c>
      <c r="K328" s="10">
        <f t="shared" si="74"/>
        <v>2.3335328128059631E-2</v>
      </c>
      <c r="L328" s="10">
        <f t="shared" si="75"/>
        <v>0.16813477478751959</v>
      </c>
      <c r="M328" s="10">
        <f t="shared" si="76"/>
        <v>0.98772052189918358</v>
      </c>
      <c r="N328" s="10">
        <f t="shared" si="77"/>
        <v>0.97587599456213614</v>
      </c>
      <c r="O328" s="10">
        <f t="shared" si="83"/>
        <v>2.3871163548523273E-2</v>
      </c>
      <c r="P328" s="10">
        <f t="shared" si="84"/>
        <v>0.18606762263534582</v>
      </c>
      <c r="Q328" s="10">
        <f t="shared" si="78"/>
        <v>0.29215522627628332</v>
      </c>
      <c r="S328" s="5">
        <f t="shared" si="79"/>
        <v>2.5040227270674282E-3</v>
      </c>
      <c r="T328" s="5">
        <f t="shared" si="80"/>
        <v>6.5096941821981462E-3</v>
      </c>
      <c r="U328" s="5">
        <f t="shared" si="81"/>
        <v>5.1905990518654327E-2</v>
      </c>
    </row>
    <row r="329" spans="1:21">
      <c r="A329" s="19">
        <f t="shared" si="82"/>
        <v>26.249999999999897</v>
      </c>
      <c r="B329" s="10">
        <f t="shared" si="68"/>
        <v>3.1532025917587379E-2</v>
      </c>
      <c r="C329" s="10">
        <f t="shared" si="70"/>
        <v>0.27783112623738165</v>
      </c>
      <c r="D329" s="10">
        <f t="shared" si="71"/>
        <v>8.7605782732296088E-3</v>
      </c>
      <c r="H329" s="19">
        <f t="shared" si="69"/>
        <v>26.249999999999897</v>
      </c>
      <c r="I329" s="10">
        <f t="shared" si="72"/>
        <v>0.27538980745426667</v>
      </c>
      <c r="J329" s="10">
        <f t="shared" si="73"/>
        <v>8.683598546087334E-3</v>
      </c>
      <c r="K329" s="10">
        <f t="shared" si="74"/>
        <v>2.2848427371500044E-2</v>
      </c>
      <c r="L329" s="10">
        <f t="shared" si="75"/>
        <v>0.16607016750253054</v>
      </c>
      <c r="M329" s="10">
        <f t="shared" si="76"/>
        <v>0.98764966033998514</v>
      </c>
      <c r="N329" s="10">
        <f t="shared" si="77"/>
        <v>0.97573199997760585</v>
      </c>
      <c r="O329" s="10">
        <f t="shared" si="83"/>
        <v>2.4012200110068677E-2</v>
      </c>
      <c r="P329" s="10">
        <f t="shared" si="84"/>
        <v>0.18399708121800382</v>
      </c>
      <c r="Q329" s="10">
        <f t="shared" si="78"/>
        <v>0.29392067646974468</v>
      </c>
      <c r="S329" s="5">
        <f t="shared" si="79"/>
        <v>2.4125739638527341E-3</v>
      </c>
      <c r="T329" s="5">
        <f t="shared" si="80"/>
        <v>6.3480043093768748E-3</v>
      </c>
      <c r="U329" s="5">
        <f t="shared" si="81"/>
        <v>5.1120116299188986E-2</v>
      </c>
    </row>
    <row r="330" spans="1:21">
      <c r="A330" s="19">
        <f t="shared" si="82"/>
        <v>26.333333333333229</v>
      </c>
      <c r="B330" s="10">
        <f t="shared" si="68"/>
        <v>3.0766806711913237E-2</v>
      </c>
      <c r="C330" s="10">
        <f t="shared" si="70"/>
        <v>0.27670380070191614</v>
      </c>
      <c r="D330" s="10">
        <f t="shared" si="71"/>
        <v>8.5132923526476164E-3</v>
      </c>
      <c r="H330" s="19">
        <f t="shared" si="69"/>
        <v>26.333333333333229</v>
      </c>
      <c r="I330" s="10">
        <f t="shared" si="72"/>
        <v>0.27298575412615955</v>
      </c>
      <c r="J330" s="10">
        <f t="shared" si="73"/>
        <v>8.3988999323054217E-3</v>
      </c>
      <c r="K330" s="10">
        <f t="shared" si="74"/>
        <v>2.2367906779607816E-2</v>
      </c>
      <c r="L330" s="10">
        <f t="shared" si="75"/>
        <v>0.16401914452647873</v>
      </c>
      <c r="M330" s="10">
        <f t="shared" si="76"/>
        <v>0.98757839215687437</v>
      </c>
      <c r="N330" s="10">
        <f t="shared" si="77"/>
        <v>0.97558715639751137</v>
      </c>
      <c r="O330" s="10">
        <f t="shared" si="83"/>
        <v>2.4154051238965975E-2</v>
      </c>
      <c r="P330" s="10">
        <f t="shared" si="84"/>
        <v>0.18193316707447427</v>
      </c>
      <c r="Q330" s="10">
        <f t="shared" si="78"/>
        <v>0.2956967986666667</v>
      </c>
      <c r="S330" s="5">
        <f t="shared" si="79"/>
        <v>2.3240075329839763E-3</v>
      </c>
      <c r="T330" s="5">
        <f t="shared" si="80"/>
        <v>6.1892848196636397E-3</v>
      </c>
      <c r="U330" s="5">
        <f t="shared" si="81"/>
        <v>5.0341598803243737E-2</v>
      </c>
    </row>
    <row r="331" spans="1:21">
      <c r="A331" s="19">
        <f t="shared" si="82"/>
        <v>26.416666666666561</v>
      </c>
      <c r="B331" s="10">
        <f t="shared" si="68"/>
        <v>3.0015701471507301E-2</v>
      </c>
      <c r="C331" s="10">
        <f t="shared" si="70"/>
        <v>0.27558104939425626</v>
      </c>
      <c r="D331" s="10">
        <f t="shared" si="71"/>
        <v>8.2717585098227037E-3</v>
      </c>
      <c r="H331" s="19">
        <f t="shared" si="69"/>
        <v>26.416666666666561</v>
      </c>
      <c r="I331" s="10">
        <f t="shared" si="72"/>
        <v>0.2705892851735921</v>
      </c>
      <c r="J331" s="10">
        <f t="shared" si="73"/>
        <v>8.1219272051590973E-3</v>
      </c>
      <c r="K331" s="10">
        <f t="shared" si="74"/>
        <v>2.1893774266348205E-2</v>
      </c>
      <c r="L331" s="10">
        <f t="shared" si="75"/>
        <v>0.16198176303440587</v>
      </c>
      <c r="M331" s="10">
        <f t="shared" si="76"/>
        <v>0.98750671504649534</v>
      </c>
      <c r="N331" s="10">
        <f t="shared" si="77"/>
        <v>0.97544145894651257</v>
      </c>
      <c r="O331" s="10">
        <f t="shared" si="83"/>
        <v>2.4296721413113176E-2</v>
      </c>
      <c r="P331" s="10">
        <f t="shared" si="84"/>
        <v>0.17987613207873315</v>
      </c>
      <c r="Q331" s="10">
        <f t="shared" si="78"/>
        <v>0.29748365737844662</v>
      </c>
      <c r="S331" s="5">
        <f t="shared" si="79"/>
        <v>2.238249222301503E-3</v>
      </c>
      <c r="T331" s="5">
        <f t="shared" si="80"/>
        <v>6.0335092875212016E-3</v>
      </c>
      <c r="U331" s="5">
        <f t="shared" si="81"/>
        <v>4.9570453239237124E-2</v>
      </c>
    </row>
    <row r="332" spans="1:21">
      <c r="A332" s="19">
        <f t="shared" si="82"/>
        <v>26.499999999999893</v>
      </c>
      <c r="B332" s="10">
        <f t="shared" si="68"/>
        <v>2.9278559634670066E-2</v>
      </c>
      <c r="C332" s="10">
        <f t="shared" si="70"/>
        <v>0.27446285375404889</v>
      </c>
      <c r="D332" s="10">
        <f t="shared" si="71"/>
        <v>8.0358770311396484E-3</v>
      </c>
      <c r="H332" s="19">
        <f t="shared" si="69"/>
        <v>26.499999999999893</v>
      </c>
      <c r="I332" s="10">
        <f t="shared" si="72"/>
        <v>0.26820049524643114</v>
      </c>
      <c r="J332" s="10">
        <f t="shared" si="73"/>
        <v>7.8525241941206792E-3</v>
      </c>
      <c r="K332" s="10">
        <f t="shared" si="74"/>
        <v>2.1426035440549385E-2</v>
      </c>
      <c r="L332" s="10">
        <f t="shared" si="75"/>
        <v>0.15995807871154596</v>
      </c>
      <c r="M332" s="10">
        <f t="shared" si="76"/>
        <v>0.98743462669279214</v>
      </c>
      <c r="N332" s="10">
        <f t="shared" si="77"/>
        <v>0.97529490272285424</v>
      </c>
      <c r="O332" s="10">
        <f t="shared" si="83"/>
        <v>2.4440215132294552E-2</v>
      </c>
      <c r="P332" s="10">
        <f t="shared" si="84"/>
        <v>0.17782622450698063</v>
      </c>
      <c r="Q332" s="10">
        <f t="shared" si="78"/>
        <v>0.29928131750644682</v>
      </c>
      <c r="S332" s="5">
        <f t="shared" si="79"/>
        <v>2.1552261994910744E-3</v>
      </c>
      <c r="T332" s="5">
        <f t="shared" si="80"/>
        <v>5.8806508316485741E-3</v>
      </c>
      <c r="U332" s="5">
        <f t="shared" si="81"/>
        <v>4.8806693050494086E-2</v>
      </c>
    </row>
    <row r="333" spans="1:21">
      <c r="A333" s="19">
        <f t="shared" si="82"/>
        <v>26.583333333333226</v>
      </c>
      <c r="B333" s="10">
        <f t="shared" si="68"/>
        <v>2.8555229970760827E-2</v>
      </c>
      <c r="C333" s="10">
        <f t="shared" si="70"/>
        <v>0.27334919529625135</v>
      </c>
      <c r="D333" s="10">
        <f t="shared" si="71"/>
        <v>7.8055491340068709E-3</v>
      </c>
      <c r="H333" s="19">
        <f t="shared" si="69"/>
        <v>26.583333333333226</v>
      </c>
      <c r="I333" s="10">
        <f t="shared" si="72"/>
        <v>0.26581947859921118</v>
      </c>
      <c r="J333" s="10">
        <f t="shared" si="73"/>
        <v>7.5905363421082117E-3</v>
      </c>
      <c r="K333" s="10">
        <f t="shared" si="74"/>
        <v>2.0964693628652616E-2</v>
      </c>
      <c r="L333" s="10">
        <f t="shared" si="75"/>
        <v>0.15794814573903165</v>
      </c>
      <c r="M333" s="10">
        <f t="shared" si="76"/>
        <v>0.98736212476694674</v>
      </c>
      <c r="N333" s="10">
        <f t="shared" si="77"/>
        <v>0.97514748279823626</v>
      </c>
      <c r="O333" s="10">
        <f t="shared" si="83"/>
        <v>2.458453691825362E-2</v>
      </c>
      <c r="P333" s="10">
        <f t="shared" si="84"/>
        <v>0.17578368899287494</v>
      </c>
      <c r="Q333" s="10">
        <f t="shared" si="78"/>
        <v>0.30108984434435448</v>
      </c>
      <c r="S333" s="5">
        <f t="shared" si="79"/>
        <v>2.074867000982231E-3</v>
      </c>
      <c r="T333" s="5">
        <f t="shared" si="80"/>
        <v>5.7306821330246399E-3</v>
      </c>
      <c r="U333" s="5">
        <f t="shared" si="81"/>
        <v>4.8050329932408882E-2</v>
      </c>
    </row>
    <row r="334" spans="1:21">
      <c r="A334" s="19">
        <f t="shared" si="82"/>
        <v>26.666666666666558</v>
      </c>
      <c r="B334" s="10">
        <f t="shared" ref="B334:B397" si="85">(B$9^A334)*B$10^((B$7^65)*((B$7^A334)-1))</f>
        <v>2.7845560626712174E-2</v>
      </c>
      <c r="C334" s="10">
        <f t="shared" si="70"/>
        <v>0.27224005561082554</v>
      </c>
      <c r="D334" s="10">
        <f t="shared" si="71"/>
        <v>7.5806769735307358E-3</v>
      </c>
      <c r="H334" s="19">
        <f t="shared" ref="H334:H397" si="86">A334</f>
        <v>26.666666666666558</v>
      </c>
      <c r="I334" s="10">
        <f t="shared" si="72"/>
        <v>0.2634463290755818</v>
      </c>
      <c r="J334" s="10">
        <f t="shared" si="73"/>
        <v>7.3358107281588786E-3</v>
      </c>
      <c r="K334" s="10">
        <f t="shared" si="74"/>
        <v>2.0509749898553295E-2</v>
      </c>
      <c r="L334" s="10">
        <f t="shared" si="75"/>
        <v>0.15595201677988965</v>
      </c>
      <c r="M334" s="10">
        <f t="shared" si="76"/>
        <v>0.9872892069273097</v>
      </c>
      <c r="N334" s="10">
        <f t="shared" si="77"/>
        <v>0.97499919421770675</v>
      </c>
      <c r="O334" s="10">
        <f t="shared" si="83"/>
        <v>2.472969131476635E-2</v>
      </c>
      <c r="P334" s="10">
        <f t="shared" si="84"/>
        <v>0.17374876648430906</v>
      </c>
      <c r="Q334" s="10">
        <f t="shared" si="78"/>
        <v>0.30290930358055002</v>
      </c>
      <c r="S334" s="5">
        <f t="shared" si="79"/>
        <v>1.9971015205844638E-3</v>
      </c>
      <c r="T334" s="5">
        <f t="shared" si="80"/>
        <v>5.5835754529462728E-3</v>
      </c>
      <c r="U334" s="5">
        <f t="shared" si="81"/>
        <v>4.730137385000064E-2</v>
      </c>
    </row>
    <row r="335" spans="1:21">
      <c r="A335" s="19">
        <f t="shared" si="82"/>
        <v>26.74999999999989</v>
      </c>
      <c r="B335" s="10">
        <f t="shared" si="85"/>
        <v>2.7149399173584672E-2</v>
      </c>
      <c r="C335" s="10">
        <f t="shared" ref="C335:C398" si="87">(1+B$8)^-A335</f>
        <v>0.27113541636243393</v>
      </c>
      <c r="D335" s="10">
        <f t="shared" ref="D335:D398" si="88">B335*C335</f>
        <v>7.3611636489197994E-3</v>
      </c>
      <c r="H335" s="19">
        <f t="shared" si="86"/>
        <v>26.74999999999989</v>
      </c>
      <c r="I335" s="10">
        <f t="shared" ref="I335:I398" si="89">(C$9^H335)*C$10^((C$7^63)*((C$7^H335)-1))</f>
        <v>0.26108114009270206</v>
      </c>
      <c r="J335" s="10">
        <f t="shared" ref="J335:J398" si="90">B335*I335</f>
        <v>7.088196089071349E-3</v>
      </c>
      <c r="K335" s="10">
        <f t="shared" ref="K335:K398" si="91">B335*(1-I335)</f>
        <v>2.0061203084513323E-2</v>
      </c>
      <c r="L335" s="10">
        <f t="shared" ref="L335:L398" si="92">(D$9^H335)*D$10^((D$7^63)*((D$7^H335)-1))</f>
        <v>0.15396974296533175</v>
      </c>
      <c r="M335" s="10">
        <f t="shared" ref="M335:M398" si="93">L336/L335</f>
        <v>0.98721587081933471</v>
      </c>
      <c r="N335" s="10">
        <f t="shared" ref="N335:N398" si="94">B336/B335</f>
        <v>0.9748500319995117</v>
      </c>
      <c r="O335" s="10">
        <f t="shared" si="83"/>
        <v>2.487568288771342E-2</v>
      </c>
      <c r="P335" s="10">
        <f t="shared" si="84"/>
        <v>0.17172169420174274</v>
      </c>
      <c r="Q335" s="10">
        <f t="shared" ref="Q335:Q398" si="95">0.0001+0.0004*(1.075^(65+H335))</f>
        <v>0.30473976130049668</v>
      </c>
      <c r="S335" s="5">
        <f t="shared" ref="S335:S398" si="96">C335*J335</f>
        <v>1.921860997868936E-3</v>
      </c>
      <c r="T335" s="5">
        <f t="shared" ref="T335:T398" si="97">C335*K335</f>
        <v>5.4393026510508634E-3</v>
      </c>
      <c r="U335" s="5">
        <f t="shared" ref="U335:U398" si="98">C335*P335</f>
        <v>4.6559833055852075E-2</v>
      </c>
    </row>
    <row r="336" spans="1:21">
      <c r="A336" s="19">
        <f t="shared" ref="A336:A399" si="99">A335+1/12</f>
        <v>26.833333333333222</v>
      </c>
      <c r="B336" s="10">
        <f t="shared" si="85"/>
        <v>2.6466592653136535E-2</v>
      </c>
      <c r="C336" s="10">
        <f t="shared" si="87"/>
        <v>0.27003525929013644</v>
      </c>
      <c r="D336" s="10">
        <f t="shared" si="88"/>
        <v>7.1469132096161443E-3</v>
      </c>
      <c r="H336" s="19">
        <f t="shared" si="86"/>
        <v>26.833333333333222</v>
      </c>
      <c r="I336" s="10">
        <f t="shared" si="89"/>
        <v>0.25872400462558287</v>
      </c>
      <c r="J336" s="10">
        <f t="shared" si="90"/>
        <v>6.8475428400135143E-3</v>
      </c>
      <c r="K336" s="10">
        <f t="shared" si="91"/>
        <v>1.961904981312302E-2</v>
      </c>
      <c r="L336" s="10">
        <f t="shared" si="92"/>
        <v>0.15200137388134913</v>
      </c>
      <c r="M336" s="10">
        <f t="shared" si="93"/>
        <v>0.98714211407551289</v>
      </c>
      <c r="N336" s="10">
        <f t="shared" si="94"/>
        <v>0.97469999113499661</v>
      </c>
      <c r="O336" s="10">
        <f t="shared" ref="O336:O399" si="100">(1/24)*(Q336*M336+(J337/J336)*Q337)</f>
        <v>2.5022516225153058E-2</v>
      </c>
      <c r="P336" s="10">
        <f t="shared" ref="P336:P399" si="101">P335*M335+J335*O335</f>
        <v>0.16970270559810263</v>
      </c>
      <c r="Q336" s="10">
        <f t="shared" si="95"/>
        <v>0.30658128398913775</v>
      </c>
      <c r="S336" s="5">
        <f t="shared" si="96"/>
        <v>1.8490780063033666E-3</v>
      </c>
      <c r="T336" s="5">
        <f t="shared" si="97"/>
        <v>5.2978352033127779E-3</v>
      </c>
      <c r="U336" s="5">
        <f t="shared" si="98"/>
        <v>4.5825714108421331E-2</v>
      </c>
    </row>
    <row r="337" spans="1:21">
      <c r="A337" s="19">
        <f t="shared" si="99"/>
        <v>26.916666666666554</v>
      </c>
      <c r="B337" s="10">
        <f t="shared" si="85"/>
        <v>2.5796987624385748E-2</v>
      </c>
      <c r="C337" s="10">
        <f t="shared" si="87"/>
        <v>0.26893956620708809</v>
      </c>
      <c r="D337" s="10">
        <f t="shared" si="88"/>
        <v>6.937830661151923E-3</v>
      </c>
      <c r="H337" s="19">
        <f t="shared" si="86"/>
        <v>26.916666666666554</v>
      </c>
      <c r="I337" s="10">
        <f t="shared" si="89"/>
        <v>0.25637501519138289</v>
      </c>
      <c r="J337" s="10">
        <f t="shared" si="90"/>
        <v>6.6137030940938129E-3</v>
      </c>
      <c r="K337" s="10">
        <f t="shared" si="91"/>
        <v>1.9183284530291937E-2</v>
      </c>
      <c r="L337" s="10">
        <f t="shared" si="92"/>
        <v>0.15004695755561742</v>
      </c>
      <c r="M337" s="10">
        <f t="shared" si="93"/>
        <v>0.98706793431530171</v>
      </c>
      <c r="N337" s="10">
        <f t="shared" si="94"/>
        <v>0.97454906658846352</v>
      </c>
      <c r="O337" s="10">
        <f t="shared" si="100"/>
        <v>2.5170195937392909E-2</v>
      </c>
      <c r="P337" s="10">
        <f t="shared" si="101"/>
        <v>0.16769203032026206</v>
      </c>
      <c r="Q337" s="10">
        <f t="shared" si="95"/>
        <v>0.30843393853331313</v>
      </c>
      <c r="S337" s="5">
        <f t="shared" si="96"/>
        <v>1.7786864411480662E-3</v>
      </c>
      <c r="T337" s="5">
        <f t="shared" si="97"/>
        <v>5.1591442200038572E-3</v>
      </c>
      <c r="U337" s="5">
        <f t="shared" si="98"/>
        <v>4.5099021890717142E-2</v>
      </c>
    </row>
    <row r="338" spans="1:21">
      <c r="A338" s="19">
        <f t="shared" si="99"/>
        <v>26.999999999999886</v>
      </c>
      <c r="B338" s="10">
        <f t="shared" si="85"/>
        <v>2.5140430210139276E-2</v>
      </c>
      <c r="C338" s="10">
        <f t="shared" si="87"/>
        <v>0.26784831900023892</v>
      </c>
      <c r="D338" s="10">
        <f t="shared" si="88"/>
        <v>6.7338219707286286E-3</v>
      </c>
      <c r="H338" s="19">
        <f t="shared" si="86"/>
        <v>26.999999999999886</v>
      </c>
      <c r="I338" s="10">
        <f t="shared" si="89"/>
        <v>0.25403426383366023</v>
      </c>
      <c r="J338" s="10">
        <f t="shared" si="90"/>
        <v>6.3865306808942434E-3</v>
      </c>
      <c r="K338" s="10">
        <f t="shared" si="91"/>
        <v>1.8753899529245034E-2</v>
      </c>
      <c r="L338" s="10">
        <f t="shared" si="92"/>
        <v>0.14810654044471905</v>
      </c>
      <c r="M338" s="10">
        <f t="shared" si="93"/>
        <v>0.98699332914506421</v>
      </c>
      <c r="N338" s="10">
        <f t="shared" si="94"/>
        <v>0.97439725329705473</v>
      </c>
      <c r="O338" s="10">
        <f t="shared" si="100"/>
        <v>2.5318726657062217E-2</v>
      </c>
      <c r="P338" s="10">
        <f t="shared" si="101"/>
        <v>0.16568989417211008</v>
      </c>
      <c r="Q338" s="10">
        <f t="shared" si="95"/>
        <v>0.31029779222418769</v>
      </c>
      <c r="S338" s="5">
        <f t="shared" si="96"/>
        <v>1.7106215071209744E-3</v>
      </c>
      <c r="T338" s="5">
        <f t="shared" si="97"/>
        <v>5.0232004636076542E-3</v>
      </c>
      <c r="U338" s="5">
        <f t="shared" si="98"/>
        <v>4.4379759629327171E-2</v>
      </c>
    </row>
    <row r="339" spans="1:21">
      <c r="A339" s="19">
        <f t="shared" si="99"/>
        <v>27.083333333333218</v>
      </c>
      <c r="B339" s="10">
        <f t="shared" si="85"/>
        <v>2.4496766143466006E-2</v>
      </c>
      <c r="C339" s="10">
        <f t="shared" si="87"/>
        <v>0.26676149963003454</v>
      </c>
      <c r="D339" s="10">
        <f t="shared" si="88"/>
        <v>6.5347940725172492E-3</v>
      </c>
      <c r="H339" s="19">
        <f t="shared" si="86"/>
        <v>27.083333333333218</v>
      </c>
      <c r="I339" s="10">
        <f t="shared" si="89"/>
        <v>0.25170184210658442</v>
      </c>
      <c r="J339" s="10">
        <f t="shared" si="90"/>
        <v>6.1658811639646038E-3</v>
      </c>
      <c r="K339" s="10">
        <f t="shared" si="91"/>
        <v>1.8330884979501402E-2</v>
      </c>
      <c r="L339" s="10">
        <f t="shared" si="92"/>
        <v>0.14618016742169135</v>
      </c>
      <c r="M339" s="10">
        <f t="shared" si="93"/>
        <v>0.98691829615799398</v>
      </c>
      <c r="N339" s="10">
        <f t="shared" si="94"/>
        <v>0.97424454617061973</v>
      </c>
      <c r="O339" s="10">
        <f t="shared" si="100"/>
        <v>2.5468113039183383E-2</v>
      </c>
      <c r="P339" s="10">
        <f t="shared" si="101"/>
        <v>0.16369651907922078</v>
      </c>
      <c r="Q339" s="10">
        <f t="shared" si="95"/>
        <v>0.31217291275969672</v>
      </c>
      <c r="S339" s="5">
        <f t="shared" si="96"/>
        <v>1.6448197058397806E-3</v>
      </c>
      <c r="T339" s="5">
        <f t="shared" si="97"/>
        <v>4.8899743666774688E-3</v>
      </c>
      <c r="U339" s="5">
        <f t="shared" si="98"/>
        <v>4.3667928913789497E-2</v>
      </c>
    </row>
    <row r="340" spans="1:21">
      <c r="A340" s="19">
        <f t="shared" si="99"/>
        <v>27.166666666666551</v>
      </c>
      <c r="B340" s="10">
        <f t="shared" si="85"/>
        <v>2.3865840814088841E-2</v>
      </c>
      <c r="C340" s="10">
        <f t="shared" si="87"/>
        <v>0.26567909013011742</v>
      </c>
      <c r="D340" s="10">
        <f t="shared" si="88"/>
        <v>6.3406548726773438E-3</v>
      </c>
      <c r="H340" s="19">
        <f t="shared" si="86"/>
        <v>27.166666666666551</v>
      </c>
      <c r="I340" s="10">
        <f t="shared" si="89"/>
        <v>0.24937784105911281</v>
      </c>
      <c r="J340" s="10">
        <f t="shared" si="90"/>
        <v>5.9516118572779343E-3</v>
      </c>
      <c r="K340" s="10">
        <f t="shared" si="91"/>
        <v>1.7914228956810909E-2</v>
      </c>
      <c r="L340" s="10">
        <f t="shared" si="92"/>
        <v>0.14426788176390593</v>
      </c>
      <c r="M340" s="10">
        <f t="shared" si="93"/>
        <v>0.98684283293405473</v>
      </c>
      <c r="N340" s="10">
        <f t="shared" si="94"/>
        <v>0.97409094009160113</v>
      </c>
      <c r="O340" s="10">
        <f t="shared" si="100"/>
        <v>2.5618359761243541E-2</v>
      </c>
      <c r="P340" s="10">
        <f t="shared" si="101"/>
        <v>0.16171212305512916</v>
      </c>
      <c r="Q340" s="10">
        <f t="shared" si="95"/>
        <v>0.31405936824700403</v>
      </c>
      <c r="S340" s="5">
        <f t="shared" si="96"/>
        <v>1.5812188230492198E-3</v>
      </c>
      <c r="T340" s="5">
        <f t="shared" si="97"/>
        <v>4.7594360496281251E-3</v>
      </c>
      <c r="U340" s="5">
        <f t="shared" si="98"/>
        <v>4.29635297162963E-2</v>
      </c>
    </row>
    <row r="341" spans="1:21">
      <c r="A341" s="19">
        <f t="shared" si="99"/>
        <v>27.249999999999883</v>
      </c>
      <c r="B341" s="10">
        <f t="shared" si="85"/>
        <v>2.3247499314672303E-2</v>
      </c>
      <c r="C341" s="10">
        <f t="shared" si="87"/>
        <v>0.26460107260703031</v>
      </c>
      <c r="D341" s="10">
        <f t="shared" si="88"/>
        <v>6.1513132540934939E-3</v>
      </c>
      <c r="H341" s="19">
        <f t="shared" si="86"/>
        <v>27.249999999999883</v>
      </c>
      <c r="I341" s="10">
        <f t="shared" si="89"/>
        <v>0.24706235121913447</v>
      </c>
      <c r="J341" s="10">
        <f t="shared" si="90"/>
        <v>5.7435818406481563E-3</v>
      </c>
      <c r="K341" s="10">
        <f t="shared" si="91"/>
        <v>1.7503917474024147E-2</v>
      </c>
      <c r="L341" s="10">
        <f t="shared" si="92"/>
        <v>0.14236972514128818</v>
      </c>
      <c r="M341" s="10">
        <f t="shared" si="93"/>
        <v>0.98676693703990326</v>
      </c>
      <c r="N341" s="10">
        <f t="shared" si="94"/>
        <v>0.97393642991489515</v>
      </c>
      <c r="O341" s="10">
        <f t="shared" si="100"/>
        <v>2.5769471523265437E-2</v>
      </c>
      <c r="P341" s="10">
        <f t="shared" si="101"/>
        <v>0.15973692016922317</v>
      </c>
      <c r="Q341" s="10">
        <f t="shared" si="95"/>
        <v>0.31595722720497499</v>
      </c>
      <c r="S341" s="5">
        <f t="shared" si="96"/>
        <v>1.5197579156417636E-3</v>
      </c>
      <c r="T341" s="5">
        <f t="shared" si="97"/>
        <v>4.6315553384517301E-3</v>
      </c>
      <c r="U341" s="5">
        <f t="shared" si="98"/>
        <v>4.2266560411720021E-2</v>
      </c>
    </row>
    <row r="342" spans="1:21">
      <c r="A342" s="19">
        <f t="shared" si="99"/>
        <v>27.333333333333215</v>
      </c>
      <c r="B342" s="10">
        <f t="shared" si="85"/>
        <v>2.2641586486980916E-2</v>
      </c>
      <c r="C342" s="10">
        <f t="shared" si="87"/>
        <v>0.26352742923992023</v>
      </c>
      <c r="D342" s="10">
        <f t="shared" si="88"/>
        <v>5.9666790808273976E-3</v>
      </c>
      <c r="H342" s="19">
        <f t="shared" si="86"/>
        <v>27.333333333333215</v>
      </c>
      <c r="I342" s="10">
        <f t="shared" si="89"/>
        <v>0.24475546257758587</v>
      </c>
      <c r="J342" s="10">
        <f t="shared" si="90"/>
        <v>5.5416519741114311E-3</v>
      </c>
      <c r="K342" s="10">
        <f t="shared" si="91"/>
        <v>1.7099934512869484E-2</v>
      </c>
      <c r="L342" s="10">
        <f t="shared" si="92"/>
        <v>0.14048573760488184</v>
      </c>
      <c r="M342" s="10">
        <f t="shared" si="93"/>
        <v>0.98669060602883096</v>
      </c>
      <c r="N342" s="10">
        <f t="shared" si="94"/>
        <v>0.97378101046773291</v>
      </c>
      <c r="O342" s="10">
        <f t="shared" si="100"/>
        <v>2.5921453047878552E-2</v>
      </c>
      <c r="P342" s="10">
        <f t="shared" si="101"/>
        <v>0.157771120516256</v>
      </c>
      <c r="Q342" s="10">
        <f t="shared" si="95"/>
        <v>0.3178665585666664</v>
      </c>
      <c r="S342" s="5">
        <f t="shared" si="96"/>
        <v>1.4603772984799145E-3</v>
      </c>
      <c r="T342" s="5">
        <f t="shared" si="97"/>
        <v>4.5063017823474827E-3</v>
      </c>
      <c r="U342" s="5">
        <f t="shared" si="98"/>
        <v>4.1577017797950581E-2</v>
      </c>
    </row>
    <row r="343" spans="1:21">
      <c r="A343" s="19">
        <f t="shared" si="99"/>
        <v>27.416666666666547</v>
      </c>
      <c r="B343" s="10">
        <f t="shared" si="85"/>
        <v>2.2047946967884844E-2</v>
      </c>
      <c r="C343" s="10">
        <f t="shared" si="87"/>
        <v>0.26245814228024417</v>
      </c>
      <c r="D343" s="10">
        <f t="shared" si="88"/>
        <v>5.7866632022843985E-3</v>
      </c>
      <c r="H343" s="19">
        <f t="shared" si="86"/>
        <v>27.416666666666547</v>
      </c>
      <c r="I343" s="10">
        <f t="shared" si="89"/>
        <v>0.24245726457254235</v>
      </c>
      <c r="J343" s="10">
        <f t="shared" si="90"/>
        <v>5.3456849112738384E-3</v>
      </c>
      <c r="K343" s="10">
        <f t="shared" si="91"/>
        <v>1.6702262056611007E-2</v>
      </c>
      <c r="L343" s="10">
        <f t="shared" si="92"/>
        <v>0.13861595757576819</v>
      </c>
      <c r="M343" s="10">
        <f t="shared" si="93"/>
        <v>0.98661383744068576</v>
      </c>
      <c r="N343" s="10">
        <f t="shared" si="94"/>
        <v>0.97362467654955243</v>
      </c>
      <c r="O343" s="10">
        <f t="shared" si="100"/>
        <v>2.6074309080389574E-2</v>
      </c>
      <c r="P343" s="10">
        <f t="shared" si="101"/>
        <v>0.15581493018748696</v>
      </c>
      <c r="Q343" s="10">
        <f t="shared" si="95"/>
        <v>0.31978743168182949</v>
      </c>
      <c r="S343" s="5">
        <f t="shared" si="96"/>
        <v>1.4030185310284634E-3</v>
      </c>
      <c r="T343" s="5">
        <f t="shared" si="97"/>
        <v>4.3836446712559353E-3</v>
      </c>
      <c r="U343" s="5">
        <f t="shared" si="98"/>
        <v>4.0894897116533761E-2</v>
      </c>
    </row>
    <row r="344" spans="1:21">
      <c r="A344" s="19">
        <f t="shared" si="99"/>
        <v>27.499999999999879</v>
      </c>
      <c r="B344" s="10">
        <f t="shared" si="85"/>
        <v>2.1466425235188567E-2</v>
      </c>
      <c r="C344" s="10">
        <f t="shared" si="87"/>
        <v>0.26139319405147526</v>
      </c>
      <c r="D344" s="10">
        <f t="shared" si="88"/>
        <v>5.6111774570931309E-3</v>
      </c>
      <c r="H344" s="19">
        <f t="shared" si="86"/>
        <v>27.499999999999879</v>
      </c>
      <c r="I344" s="10">
        <f t="shared" si="89"/>
        <v>0.24016784607328998</v>
      </c>
      <c r="J344" s="10">
        <f t="shared" si="90"/>
        <v>5.1555451116285555E-3</v>
      </c>
      <c r="K344" s="10">
        <f t="shared" si="91"/>
        <v>1.6310880123560013E-2</v>
      </c>
      <c r="L344" s="10">
        <f t="shared" si="92"/>
        <v>0.13676042183434395</v>
      </c>
      <c r="M344" s="10">
        <f t="shared" si="93"/>
        <v>0.98653662880180926</v>
      </c>
      <c r="N344" s="10">
        <f t="shared" si="94"/>
        <v>0.97346742293186861</v>
      </c>
      <c r="O344" s="10">
        <f t="shared" si="100"/>
        <v>2.6228044388852612E-2</v>
      </c>
      <c r="P344" s="10">
        <f t="shared" si="101"/>
        <v>0.153868551243452</v>
      </c>
      <c r="Q344" s="10">
        <f t="shared" si="95"/>
        <v>0.32171991631943031</v>
      </c>
      <c r="S344" s="5">
        <f t="shared" si="96"/>
        <v>1.3476244038050577E-3</v>
      </c>
      <c r="T344" s="5">
        <f t="shared" si="97"/>
        <v>4.2635530532880734E-3</v>
      </c>
      <c r="U344" s="5">
        <f t="shared" si="98"/>
        <v>4.0220192073599018E-2</v>
      </c>
    </row>
    <row r="345" spans="1:21">
      <c r="A345" s="19">
        <f t="shared" si="99"/>
        <v>27.583333333333211</v>
      </c>
      <c r="B345" s="10">
        <f t="shared" si="85"/>
        <v>2.0896865653258646E-2</v>
      </c>
      <c r="C345" s="10">
        <f t="shared" si="87"/>
        <v>0.26033256694881091</v>
      </c>
      <c r="D345" s="10">
        <f t="shared" si="88"/>
        <v>5.4401346766972634E-3</v>
      </c>
      <c r="H345" s="19">
        <f t="shared" si="86"/>
        <v>27.583333333333211</v>
      </c>
      <c r="I345" s="10">
        <f t="shared" si="89"/>
        <v>0.23788729536438116</v>
      </c>
      <c r="J345" s="10">
        <f t="shared" si="90"/>
        <v>4.971098851846531E-3</v>
      </c>
      <c r="K345" s="10">
        <f t="shared" si="91"/>
        <v>1.5925766801412115E-2</v>
      </c>
      <c r="L345" s="10">
        <f t="shared" si="92"/>
        <v>0.13491916550996702</v>
      </c>
      <c r="M345" s="10">
        <f t="shared" si="93"/>
        <v>0.98645897762496282</v>
      </c>
      <c r="N345" s="10">
        <f t="shared" si="94"/>
        <v>0.97330924435815125</v>
      </c>
      <c r="O345" s="10">
        <f t="shared" si="100"/>
        <v>2.6382663764139214E-2</v>
      </c>
      <c r="P345" s="10">
        <f t="shared" si="101"/>
        <v>0.15193218168837008</v>
      </c>
      <c r="Q345" s="10">
        <f t="shared" si="95"/>
        <v>0.32366408267018049</v>
      </c>
      <c r="S345" s="5">
        <f t="shared" si="96"/>
        <v>1.294138924657494E-3</v>
      </c>
      <c r="T345" s="5">
        <f t="shared" si="97"/>
        <v>4.1459957520397694E-3</v>
      </c>
      <c r="U345" s="5">
        <f t="shared" si="98"/>
        <v>3.9552894861066508E-2</v>
      </c>
    </row>
    <row r="346" spans="1:21">
      <c r="A346" s="19">
        <f t="shared" si="99"/>
        <v>27.666666666666544</v>
      </c>
      <c r="B346" s="10">
        <f t="shared" si="85"/>
        <v>2.0339112518426978E-2</v>
      </c>
      <c r="C346" s="10">
        <f t="shared" si="87"/>
        <v>0.25927624343888156</v>
      </c>
      <c r="D346" s="10">
        <f t="shared" si="88"/>
        <v>5.2734486886584766E-3</v>
      </c>
      <c r="H346" s="19">
        <f t="shared" si="86"/>
        <v>27.666666666666544</v>
      </c>
      <c r="I346" s="10">
        <f t="shared" si="89"/>
        <v>0.23561570012967842</v>
      </c>
      <c r="J346" s="10">
        <f t="shared" si="90"/>
        <v>4.7922142360454795E-3</v>
      </c>
      <c r="K346" s="10">
        <f t="shared" si="91"/>
        <v>1.55468982823815E-2</v>
      </c>
      <c r="L346" s="10">
        <f t="shared" si="92"/>
        <v>0.13309222207097521</v>
      </c>
      <c r="M346" s="10">
        <f t="shared" si="93"/>
        <v>0.9863808814092625</v>
      </c>
      <c r="N346" s="10">
        <f t="shared" si="94"/>
        <v>0.97315013554369212</v>
      </c>
      <c r="O346" s="10">
        <f t="shared" si="100"/>
        <v>2.6538172020008001E-2</v>
      </c>
      <c r="P346" s="10">
        <f t="shared" si="101"/>
        <v>0.15000601544618622</v>
      </c>
      <c r="Q346" s="10">
        <f t="shared" si="95"/>
        <v>0.32562000134909097</v>
      </c>
      <c r="S346" s="5">
        <f t="shared" si="96"/>
        <v>1.2425073048762017E-3</v>
      </c>
      <c r="T346" s="5">
        <f t="shared" si="97"/>
        <v>4.0309413837822756E-3</v>
      </c>
      <c r="U346" s="5">
        <f t="shared" si="98"/>
        <v>3.8892996178122002E-2</v>
      </c>
    </row>
    <row r="347" spans="1:21">
      <c r="A347" s="19">
        <f t="shared" si="99"/>
        <v>27.749999999999876</v>
      </c>
      <c r="B347" s="10">
        <f t="shared" si="85"/>
        <v>1.9793010104145619E-2</v>
      </c>
      <c r="C347" s="10">
        <f t="shared" si="87"/>
        <v>0.25822420605946106</v>
      </c>
      <c r="D347" s="10">
        <f t="shared" si="88"/>
        <v>5.1110343196698934E-3</v>
      </c>
      <c r="H347" s="19">
        <f t="shared" si="86"/>
        <v>27.749999999999876</v>
      </c>
      <c r="I347" s="10">
        <f t="shared" si="89"/>
        <v>0.23335314743639127</v>
      </c>
      <c r="J347" s="10">
        <f t="shared" si="90"/>
        <v>4.6187612050426746E-3</v>
      </c>
      <c r="K347" s="10">
        <f t="shared" si="91"/>
        <v>1.5174248899102944E-2</v>
      </c>
      <c r="L347" s="10">
        <f t="shared" si="92"/>
        <v>0.13127962331508583</v>
      </c>
      <c r="M347" s="10">
        <f t="shared" si="93"/>
        <v>0.98630233764010344</v>
      </c>
      <c r="N347" s="10">
        <f t="shared" si="94"/>
        <v>0.97299009117547475</v>
      </c>
      <c r="O347" s="10">
        <f t="shared" si="100"/>
        <v>2.6694573993173813E-2</v>
      </c>
      <c r="P347" s="10">
        <f t="shared" si="101"/>
        <v>0.14809024233825352</v>
      </c>
      <c r="Q347" s="10">
        <f t="shared" si="95"/>
        <v>0.32758774339803337</v>
      </c>
      <c r="S347" s="5">
        <f t="shared" si="96"/>
        <v>1.1926759451503842E-3</v>
      </c>
      <c r="T347" s="5">
        <f t="shared" si="97"/>
        <v>3.9183583745195085E-3</v>
      </c>
      <c r="U347" s="5">
        <f t="shared" si="98"/>
        <v>3.8240485252948701E-2</v>
      </c>
    </row>
    <row r="348" spans="1:21">
      <c r="A348" s="19">
        <f t="shared" si="99"/>
        <v>27.833333333333208</v>
      </c>
      <c r="B348" s="10">
        <f t="shared" si="85"/>
        <v>1.9258402705869739E-2</v>
      </c>
      <c r="C348" s="10">
        <f t="shared" si="87"/>
        <v>0.25717643741917767</v>
      </c>
      <c r="D348" s="10">
        <f t="shared" si="88"/>
        <v>4.9528073982794312E-3</v>
      </c>
      <c r="H348" s="19">
        <f t="shared" si="86"/>
        <v>27.833333333333208</v>
      </c>
      <c r="I348" s="10">
        <f t="shared" si="89"/>
        <v>0.23109972371910964</v>
      </c>
      <c r="J348" s="10">
        <f t="shared" si="90"/>
        <v>4.4506115445978505E-3</v>
      </c>
      <c r="K348" s="10">
        <f t="shared" si="91"/>
        <v>1.4807791161271887E-2</v>
      </c>
      <c r="L348" s="10">
        <f t="shared" si="92"/>
        <v>0.12948139936018138</v>
      </c>
      <c r="M348" s="10">
        <f t="shared" si="93"/>
        <v>0.9862233437890946</v>
      </c>
      <c r="N348" s="10">
        <f t="shared" si="94"/>
        <v>0.97282910591206273</v>
      </c>
      <c r="O348" s="10">
        <f t="shared" si="100"/>
        <v>2.6851874543377008E-2</v>
      </c>
      <c r="P348" s="10">
        <f t="shared" si="101"/>
        <v>0.14618504806265367</v>
      </c>
      <c r="Q348" s="10">
        <f t="shared" si="95"/>
        <v>0.3295673802883225</v>
      </c>
      <c r="S348" s="5">
        <f t="shared" si="96"/>
        <v>1.1445924213763388E-3</v>
      </c>
      <c r="T348" s="5">
        <f t="shared" si="97"/>
        <v>3.8082149769030917E-3</v>
      </c>
      <c r="U348" s="5">
        <f t="shared" si="98"/>
        <v>3.759534986470453E-2</v>
      </c>
    </row>
    <row r="349" spans="1:21">
      <c r="A349" s="19">
        <f t="shared" si="99"/>
        <v>27.91666666666654</v>
      </c>
      <c r="B349" s="10">
        <f t="shared" si="85"/>
        <v>1.8735134685645707E-2</v>
      </c>
      <c r="C349" s="10">
        <f t="shared" si="87"/>
        <v>0.25613292019722689</v>
      </c>
      <c r="D349" s="10">
        <f t="shared" si="88"/>
        <v>4.7986847573227897E-3</v>
      </c>
      <c r="H349" s="19">
        <f t="shared" si="86"/>
        <v>27.91666666666654</v>
      </c>
      <c r="I349" s="10">
        <f t="shared" si="89"/>
        <v>0.22885551476383897</v>
      </c>
      <c r="J349" s="10">
        <f t="shared" si="90"/>
        <v>4.2876388926533027E-3</v>
      </c>
      <c r="K349" s="10">
        <f t="shared" si="91"/>
        <v>1.4447495792992406E-2</v>
      </c>
      <c r="L349" s="10">
        <f t="shared" si="92"/>
        <v>0.12769757863548922</v>
      </c>
      <c r="M349" s="10">
        <f t="shared" si="93"/>
        <v>0.98614389731398711</v>
      </c>
      <c r="N349" s="10">
        <f t="shared" si="94"/>
        <v>0.97266717438344152</v>
      </c>
      <c r="O349" s="10">
        <f t="shared" si="100"/>
        <v>2.7010078553451573E-2</v>
      </c>
      <c r="P349" s="10">
        <f t="shared" si="101"/>
        <v>0.14429061417515665</v>
      </c>
      <c r="Q349" s="10">
        <f t="shared" si="95"/>
        <v>0.33155898392331101</v>
      </c>
      <c r="S349" s="5">
        <f t="shared" si="96"/>
        <v>1.0982054703264946E-3</v>
      </c>
      <c r="T349" s="5">
        <f t="shared" si="97"/>
        <v>3.7004792869962948E-3</v>
      </c>
      <c r="U349" s="5">
        <f t="shared" si="98"/>
        <v>3.6957576365734254E-2</v>
      </c>
    </row>
    <row r="350" spans="1:21">
      <c r="A350" s="19">
        <f t="shared" si="99"/>
        <v>27.999999999999872</v>
      </c>
      <c r="B350" s="10">
        <f t="shared" si="85"/>
        <v>1.8223050516380217E-2</v>
      </c>
      <c r="C350" s="10">
        <f t="shared" si="87"/>
        <v>0.25509363714308492</v>
      </c>
      <c r="D350" s="10">
        <f t="shared" si="88"/>
        <v>4.6485842360656018E-3</v>
      </c>
      <c r="H350" s="19">
        <f t="shared" si="86"/>
        <v>27.999999999999872</v>
      </c>
      <c r="I350" s="10">
        <f t="shared" si="89"/>
        <v>0.22662060569204079</v>
      </c>
      <c r="J350" s="10">
        <f t="shared" si="90"/>
        <v>4.1297187455787412E-3</v>
      </c>
      <c r="K350" s="10">
        <f t="shared" si="91"/>
        <v>1.4093331770801475E-2</v>
      </c>
      <c r="L350" s="10">
        <f t="shared" si="92"/>
        <v>0.12592818787316068</v>
      </c>
      <c r="M350" s="10">
        <f t="shared" si="93"/>
        <v>0.98606399565859637</v>
      </c>
      <c r="N350" s="10">
        <f t="shared" si="94"/>
        <v>0.97250429119092108</v>
      </c>
      <c r="O350" s="10">
        <f t="shared" si="100"/>
        <v>2.7169190929393718E-2</v>
      </c>
      <c r="P350" s="10">
        <f t="shared" si="101"/>
        <v>0.14240711807181722</v>
      </c>
      <c r="Q350" s="10">
        <f t="shared" si="95"/>
        <v>0.3335626266410015</v>
      </c>
      <c r="S350" s="5">
        <f t="shared" si="96"/>
        <v>1.0534649751876592E-3</v>
      </c>
      <c r="T350" s="5">
        <f t="shared" si="97"/>
        <v>3.595119260877942E-3</v>
      </c>
      <c r="U350" s="5">
        <f t="shared" si="98"/>
        <v>3.6327149704004594E-2</v>
      </c>
    </row>
    <row r="351" spans="1:21">
      <c r="A351" s="19">
        <f t="shared" si="99"/>
        <v>28.083333333333204</v>
      </c>
      <c r="B351" s="10">
        <f t="shared" si="85"/>
        <v>1.7721994825768691E-2</v>
      </c>
      <c r="C351" s="10">
        <f t="shared" si="87"/>
        <v>0.25405857107622354</v>
      </c>
      <c r="D351" s="10">
        <f t="shared" si="88"/>
        <v>4.5024246820550206E-3</v>
      </c>
      <c r="H351" s="19">
        <f t="shared" si="86"/>
        <v>28.083333333333204</v>
      </c>
      <c r="I351" s="10">
        <f t="shared" si="89"/>
        <v>0.22439508094468405</v>
      </c>
      <c r="J351" s="10">
        <f t="shared" si="90"/>
        <v>3.9767284634296372E-3</v>
      </c>
      <c r="K351" s="10">
        <f t="shared" si="91"/>
        <v>1.3745266362339054E-2</v>
      </c>
      <c r="L351" s="10">
        <f t="shared" si="92"/>
        <v>0.12417325210025522</v>
      </c>
      <c r="M351" s="10">
        <f t="shared" si="93"/>
        <v>0.98598363625274221</v>
      </c>
      <c r="N351" s="10">
        <f t="shared" si="94"/>
        <v>0.9723404509069814</v>
      </c>
      <c r="O351" s="10">
        <f t="shared" si="100"/>
        <v>2.7329216600429616E-2</v>
      </c>
      <c r="P351" s="10">
        <f t="shared" si="101"/>
        <v>0.14053473297320493</v>
      </c>
      <c r="Q351" s="10">
        <f t="shared" si="95"/>
        <v>0.33557838121667372</v>
      </c>
      <c r="S351" s="5">
        <f t="shared" si="96"/>
        <v>1.0103219509770796E-3</v>
      </c>
      <c r="T351" s="5">
        <f t="shared" si="97"/>
        <v>3.4921027310779412E-3</v>
      </c>
      <c r="U351" s="5">
        <f t="shared" si="98"/>
        <v>3.5704053445751081E-2</v>
      </c>
    </row>
    <row r="352" spans="1:21">
      <c r="A352" s="19">
        <f t="shared" si="99"/>
        <v>28.166666666666536</v>
      </c>
      <c r="B352" s="10">
        <f t="shared" si="85"/>
        <v>1.723181243985912E-2</v>
      </c>
      <c r="C352" s="10">
        <f t="shared" si="87"/>
        <v>0.25302770488582627</v>
      </c>
      <c r="D352" s="10">
        <f t="shared" si="88"/>
        <v>4.3601259526805831E-3</v>
      </c>
      <c r="H352" s="19">
        <f t="shared" si="86"/>
        <v>28.166666666666536</v>
      </c>
      <c r="I352" s="10">
        <f t="shared" si="89"/>
        <v>0.22217902426631128</v>
      </c>
      <c r="J352" s="10">
        <f t="shared" si="90"/>
        <v>3.8285472742279839E-3</v>
      </c>
      <c r="K352" s="10">
        <f t="shared" si="91"/>
        <v>1.3403265165631137E-2</v>
      </c>
      <c r="L352" s="10">
        <f t="shared" si="92"/>
        <v>0.1224327946311381</v>
      </c>
      <c r="M352" s="10">
        <f t="shared" si="93"/>
        <v>0.98590281651217171</v>
      </c>
      <c r="N352" s="10">
        <f t="shared" si="94"/>
        <v>0.9721756480751661</v>
      </c>
      <c r="O352" s="10">
        <f t="shared" si="100"/>
        <v>2.749016051908303E-2</v>
      </c>
      <c r="P352" s="10">
        <f t="shared" si="101"/>
        <v>0.13867362791026691</v>
      </c>
      <c r="Q352" s="10">
        <f t="shared" si="95"/>
        <v>0.33760632086552933</v>
      </c>
      <c r="S352" s="5">
        <f t="shared" si="96"/>
        <v>9.687285298447929E-4</v>
      </c>
      <c r="T352" s="5">
        <f t="shared" si="97"/>
        <v>3.3913974228357907E-3</v>
      </c>
      <c r="U352" s="5">
        <f t="shared" si="98"/>
        <v>3.5088269798325897E-2</v>
      </c>
    </row>
    <row r="353" spans="1:21">
      <c r="A353" s="19">
        <f t="shared" si="99"/>
        <v>28.249999999999869</v>
      </c>
      <c r="B353" s="10">
        <f t="shared" si="85"/>
        <v>1.675234842622975E-2</v>
      </c>
      <c r="C353" s="10">
        <f t="shared" si="87"/>
        <v>0.25200102153050519</v>
      </c>
      <c r="D353" s="10">
        <f t="shared" si="88"/>
        <v>4.2216089164448479E-3</v>
      </c>
      <c r="H353" s="19">
        <f t="shared" si="86"/>
        <v>28.249999999999869</v>
      </c>
      <c r="I353" s="10">
        <f t="shared" si="89"/>
        <v>0.21997251868912462</v>
      </c>
      <c r="J353" s="10">
        <f t="shared" si="90"/>
        <v>3.685056277275551E-3</v>
      </c>
      <c r="K353" s="10">
        <f t="shared" si="91"/>
        <v>1.3067292148954199E-2</v>
      </c>
      <c r="L353" s="10">
        <f t="shared" si="92"/>
        <v>0.12070683706029535</v>
      </c>
      <c r="M353" s="10">
        <f t="shared" si="93"/>
        <v>0.9858215338384817</v>
      </c>
      <c r="N353" s="10">
        <f t="shared" si="94"/>
        <v>0.97200987720992393</v>
      </c>
      <c r="O353" s="10">
        <f t="shared" si="100"/>
        <v>2.7652027661241897E-2</v>
      </c>
      <c r="P353" s="10">
        <f t="shared" si="101"/>
        <v>0.13682396771181649</v>
      </c>
      <c r="Q353" s="10">
        <f t="shared" si="95"/>
        <v>0.33964651924534783</v>
      </c>
      <c r="S353" s="5">
        <f t="shared" si="96"/>
        <v>9.2863794627083942E-4</v>
      </c>
      <c r="T353" s="5">
        <f t="shared" si="97"/>
        <v>3.2929709701740085E-3</v>
      </c>
      <c r="U353" s="5">
        <f t="shared" si="98"/>
        <v>3.4479779633234613E-2</v>
      </c>
    </row>
    <row r="354" spans="1:21">
      <c r="A354" s="19">
        <f t="shared" si="99"/>
        <v>28.333333333333201</v>
      </c>
      <c r="B354" s="10">
        <f t="shared" si="85"/>
        <v>1.6283448136757441E-2</v>
      </c>
      <c r="C354" s="10">
        <f t="shared" si="87"/>
        <v>0.25097850403801947</v>
      </c>
      <c r="D354" s="10">
        <f t="shared" si="88"/>
        <v>4.0867954539440584E-3</v>
      </c>
      <c r="H354" s="19">
        <f t="shared" si="86"/>
        <v>28.333333333333201</v>
      </c>
      <c r="I354" s="10">
        <f t="shared" si="89"/>
        <v>0.21777564651709536</v>
      </c>
      <c r="J354" s="10">
        <f t="shared" si="90"/>
        <v>3.5461384455099435E-3</v>
      </c>
      <c r="K354" s="10">
        <f t="shared" si="91"/>
        <v>1.2737309691247497E-2</v>
      </c>
      <c r="L354" s="10">
        <f t="shared" si="92"/>
        <v>0.11899539925557205</v>
      </c>
      <c r="M354" s="10">
        <f t="shared" si="93"/>
        <v>0.9857397856190574</v>
      </c>
      <c r="N354" s="10">
        <f t="shared" si="94"/>
        <v>0.97184313279651635</v>
      </c>
      <c r="O354" s="10">
        <f t="shared" si="100"/>
        <v>2.7814823026225816E-2</v>
      </c>
      <c r="P354" s="10">
        <f t="shared" si="101"/>
        <v>0.13498591299364229</v>
      </c>
      <c r="Q354" s="10">
        <f t="shared" si="95"/>
        <v>0.3416990504591661</v>
      </c>
      <c r="S354" s="5">
        <f t="shared" si="96"/>
        <v>8.9000452216579347E-4</v>
      </c>
      <c r="T354" s="5">
        <f t="shared" si="97"/>
        <v>3.1967909317782645E-3</v>
      </c>
      <c r="U354" s="5">
        <f t="shared" si="98"/>
        <v>3.3878562509350597E-2</v>
      </c>
    </row>
    <row r="355" spans="1:21">
      <c r="A355" s="19">
        <f t="shared" si="99"/>
        <v>28.416666666666533</v>
      </c>
      <c r="B355" s="10">
        <f t="shared" si="85"/>
        <v>1.5824957249955949E-2</v>
      </c>
      <c r="C355" s="10">
        <f t="shared" si="87"/>
        <v>0.24996013550499466</v>
      </c>
      <c r="D355" s="10">
        <f t="shared" si="88"/>
        <v>3.9556084585597364E-3</v>
      </c>
      <c r="H355" s="19">
        <f t="shared" si="86"/>
        <v>28.416666666666533</v>
      </c>
      <c r="I355" s="10">
        <f t="shared" si="89"/>
        <v>0.21558848931010374</v>
      </c>
      <c r="J355" s="10">
        <f t="shared" si="90"/>
        <v>3.411678626914977E-3</v>
      </c>
      <c r="K355" s="10">
        <f t="shared" si="91"/>
        <v>1.2413278623040971E-2</v>
      </c>
      <c r="L355" s="10">
        <f t="shared" si="92"/>
        <v>0.11729849935184174</v>
      </c>
      <c r="M355" s="10">
        <f t="shared" si="93"/>
        <v>0.98565756922699288</v>
      </c>
      <c r="N355" s="10">
        <f t="shared" si="94"/>
        <v>0.97167540929084562</v>
      </c>
      <c r="O355" s="10">
        <f t="shared" si="100"/>
        <v>2.7978551636851496E-2</v>
      </c>
      <c r="P355" s="10">
        <f t="shared" si="101"/>
        <v>0.13315962014923402</v>
      </c>
      <c r="Q355" s="10">
        <f t="shared" si="95"/>
        <v>0.3437639890579664</v>
      </c>
      <c r="S355" s="5">
        <f t="shared" si="96"/>
        <v>8.5278365188316179E-4</v>
      </c>
      <c r="T355" s="5">
        <f t="shared" si="97"/>
        <v>3.1028248066765746E-3</v>
      </c>
      <c r="U355" s="5">
        <f t="shared" si="98"/>
        <v>3.3284596696296152E-2</v>
      </c>
    </row>
    <row r="356" spans="1:21">
      <c r="A356" s="19">
        <f t="shared" si="99"/>
        <v>28.499999999999865</v>
      </c>
      <c r="B356" s="10">
        <f t="shared" si="85"/>
        <v>1.5376721812861082E-2</v>
      </c>
      <c r="C356" s="10">
        <f t="shared" si="87"/>
        <v>0.2489458990966433</v>
      </c>
      <c r="D356" s="10">
        <f t="shared" si="88"/>
        <v>3.8279718368616688E-3</v>
      </c>
      <c r="H356" s="19">
        <f t="shared" si="86"/>
        <v>28.499999999999865</v>
      </c>
      <c r="I356" s="10">
        <f t="shared" si="89"/>
        <v>0.21341112786811231</v>
      </c>
      <c r="J356" s="10">
        <f t="shared" si="90"/>
        <v>3.2815635449968878E-3</v>
      </c>
      <c r="K356" s="10">
        <f t="shared" si="91"/>
        <v>1.2095158267864193E-2</v>
      </c>
      <c r="L356" s="10">
        <f t="shared" si="92"/>
        <v>0.11561615374511032</v>
      </c>
      <c r="M356" s="10">
        <f t="shared" si="93"/>
        <v>0.98557488202101895</v>
      </c>
      <c r="N356" s="10">
        <f t="shared" si="94"/>
        <v>0.97150670111935722</v>
      </c>
      <c r="O356" s="10">
        <f t="shared" si="100"/>
        <v>2.8143218539499137E-2</v>
      </c>
      <c r="P356" s="10">
        <f t="shared" si="101"/>
        <v>0.1313452413421152</v>
      </c>
      <c r="Q356" s="10">
        <f t="shared" si="95"/>
        <v>0.34584141004338692</v>
      </c>
      <c r="S356" s="5">
        <f t="shared" si="96"/>
        <v>8.1693178715201828E-4</v>
      </c>
      <c r="T356" s="5">
        <f t="shared" si="97"/>
        <v>3.0110400497096504E-3</v>
      </c>
      <c r="U356" s="5">
        <f t="shared" si="98"/>
        <v>3.269785919797847E-2</v>
      </c>
    </row>
    <row r="357" spans="1:21">
      <c r="A357" s="19">
        <f t="shared" si="99"/>
        <v>28.583333333333197</v>
      </c>
      <c r="B357" s="10">
        <f t="shared" si="85"/>
        <v>1.4938588282442732E-2</v>
      </c>
      <c r="C357" s="10">
        <f t="shared" si="87"/>
        <v>0.24793577804648675</v>
      </c>
      <c r="D357" s="10">
        <f t="shared" si="88"/>
        <v>3.703810508723569E-3</v>
      </c>
      <c r="H357" s="19">
        <f t="shared" si="86"/>
        <v>28.583333333333197</v>
      </c>
      <c r="I357" s="10">
        <f t="shared" si="89"/>
        <v>0.21124364221537759</v>
      </c>
      <c r="J357" s="10">
        <f t="shared" si="90"/>
        <v>3.1556817983391643E-3</v>
      </c>
      <c r="K357" s="10">
        <f t="shared" si="91"/>
        <v>1.1782906484103567E-2</v>
      </c>
      <c r="L357" s="10">
        <f t="shared" si="92"/>
        <v>0.1139483770870611</v>
      </c>
      <c r="M357" s="10">
        <f t="shared" si="93"/>
        <v>0.98549172134543161</v>
      </c>
      <c r="N357" s="10">
        <f t="shared" si="94"/>
        <v>0.97133700267890033</v>
      </c>
      <c r="O357" s="10">
        <f t="shared" si="100"/>
        <v>2.8308828804177601E-2</v>
      </c>
      <c r="P357" s="10">
        <f t="shared" si="101"/>
        <v>0.12954292449977556</v>
      </c>
      <c r="Q357" s="10">
        <f t="shared" si="95"/>
        <v>0.34793138887044373</v>
      </c>
      <c r="S357" s="5">
        <f t="shared" si="96"/>
        <v>7.8240642193835722E-4</v>
      </c>
      <c r="T357" s="5">
        <f t="shared" si="97"/>
        <v>2.9214040867852117E-3</v>
      </c>
      <c r="U357" s="5">
        <f t="shared" si="98"/>
        <v>3.2118325776269142E-2</v>
      </c>
    </row>
    <row r="358" spans="1:21">
      <c r="A358" s="19">
        <f t="shared" si="99"/>
        <v>28.666666666666529</v>
      </c>
      <c r="B358" s="10">
        <f t="shared" si="85"/>
        <v>1.4510403566522065E-2</v>
      </c>
      <c r="C358" s="10">
        <f t="shared" si="87"/>
        <v>0.24692975565607789</v>
      </c>
      <c r="D358" s="10">
        <f t="shared" si="88"/>
        <v>3.5830504071523747E-3</v>
      </c>
      <c r="H358" s="19">
        <f t="shared" si="86"/>
        <v>28.666666666666529</v>
      </c>
      <c r="I358" s="10">
        <f t="shared" si="89"/>
        <v>0.2090861115847058</v>
      </c>
      <c r="J358" s="10">
        <f t="shared" si="90"/>
        <v>3.0339238592489454E-3</v>
      </c>
      <c r="K358" s="10">
        <f t="shared" si="91"/>
        <v>1.147647970727312E-2</v>
      </c>
      <c r="L358" s="10">
        <f t="shared" si="92"/>
        <v>0.11229518228004617</v>
      </c>
      <c r="M358" s="10">
        <f t="shared" si="93"/>
        <v>0.9854080845300186</v>
      </c>
      <c r="N358" s="10">
        <f t="shared" si="94"/>
        <v>0.97116630833657946</v>
      </c>
      <c r="O358" s="10">
        <f t="shared" si="100"/>
        <v>2.8475387524589287E-2</v>
      </c>
      <c r="P358" s="10">
        <f t="shared" si="101"/>
        <v>0.12775281330919475</v>
      </c>
      <c r="Q358" s="10">
        <f t="shared" si="95"/>
        <v>0.35003400145027252</v>
      </c>
      <c r="S358" s="5">
        <f t="shared" si="96"/>
        <v>7.4916607724348689E-4</v>
      </c>
      <c r="T358" s="5">
        <f t="shared" si="97"/>
        <v>2.8338843299088876E-3</v>
      </c>
      <c r="U358" s="5">
        <f t="shared" si="98"/>
        <v>3.1545970974815991E-2</v>
      </c>
    </row>
    <row r="359" spans="1:21">
      <c r="A359" s="19">
        <f t="shared" si="99"/>
        <v>28.749999999999861</v>
      </c>
      <c r="B359" s="10">
        <f t="shared" si="85"/>
        <v>1.409201506417317E-2</v>
      </c>
      <c r="C359" s="10">
        <f t="shared" si="87"/>
        <v>0.24592781529472502</v>
      </c>
      <c r="D359" s="10">
        <f t="shared" si="88"/>
        <v>3.4656184778324617E-3</v>
      </c>
      <c r="H359" s="19">
        <f t="shared" si="86"/>
        <v>28.749999999999861</v>
      </c>
      <c r="I359" s="10">
        <f t="shared" si="89"/>
        <v>0.20693861440175831</v>
      </c>
      <c r="J359" s="10">
        <f t="shared" si="90"/>
        <v>2.9161820715087011E-3</v>
      </c>
      <c r="K359" s="10">
        <f t="shared" si="91"/>
        <v>1.1175832992664468E-2</v>
      </c>
      <c r="L359" s="10">
        <f t="shared" si="92"/>
        <v>0.11065658047252959</v>
      </c>
      <c r="M359" s="10">
        <f t="shared" si="93"/>
        <v>0.98532396888998464</v>
      </c>
      <c r="N359" s="10">
        <f t="shared" si="94"/>
        <v>0.97099461242965412</v>
      </c>
      <c r="O359" s="10">
        <f t="shared" si="100"/>
        <v>2.86428998181949E-2</v>
      </c>
      <c r="P359" s="10">
        <f t="shared" si="101"/>
        <v>0.12597504721394689</v>
      </c>
      <c r="Q359" s="10">
        <f t="shared" si="95"/>
        <v>0.35214932415288552</v>
      </c>
      <c r="S359" s="5">
        <f t="shared" si="96"/>
        <v>7.1717028584778039E-4</v>
      </c>
      <c r="T359" s="5">
        <f t="shared" si="97"/>
        <v>2.7484481919846813E-3</v>
      </c>
      <c r="U359" s="5">
        <f t="shared" si="98"/>
        <v>3.0980768142975797E-2</v>
      </c>
    </row>
    <row r="360" spans="1:21">
      <c r="A360" s="19">
        <f t="shared" si="99"/>
        <v>28.833333333333194</v>
      </c>
      <c r="B360" s="10">
        <f t="shared" si="85"/>
        <v>1.3683270705589674E-2</v>
      </c>
      <c r="C360" s="10">
        <f t="shared" si="87"/>
        <v>0.24492994039921698</v>
      </c>
      <c r="D360" s="10">
        <f t="shared" si="88"/>
        <v>3.3514426783864304E-3</v>
      </c>
      <c r="H360" s="19">
        <f t="shared" si="86"/>
        <v>28.833333333333194</v>
      </c>
      <c r="I360" s="10">
        <f t="shared" si="89"/>
        <v>0.20480122826940891</v>
      </c>
      <c r="J360" s="10">
        <f t="shared" si="90"/>
        <v>2.802350647247587E-3</v>
      </c>
      <c r="K360" s="10">
        <f t="shared" si="91"/>
        <v>1.0880920058342087E-2</v>
      </c>
      <c r="L360" s="10">
        <f t="shared" si="92"/>
        <v>0.10903258105498682</v>
      </c>
      <c r="M360" s="10">
        <f t="shared" si="93"/>
        <v>0.98523937172587694</v>
      </c>
      <c r="N360" s="10">
        <f t="shared" si="94"/>
        <v>0.97082190926537637</v>
      </c>
      <c r="O360" s="10">
        <f t="shared" si="100"/>
        <v>2.8811370826277057E-2</v>
      </c>
      <c r="P360" s="10">
        <f t="shared" si="101"/>
        <v>0.12420976141287519</v>
      </c>
      <c r="Q360" s="10">
        <f t="shared" si="95"/>
        <v>0.3542774338099467</v>
      </c>
      <c r="S360" s="5">
        <f t="shared" si="96"/>
        <v>6.8637957700805861E-4</v>
      </c>
      <c r="T360" s="5">
        <f t="shared" si="97"/>
        <v>2.6650631013783719E-3</v>
      </c>
      <c r="U360" s="5">
        <f t="shared" si="98"/>
        <v>3.0422689459856482E-2</v>
      </c>
    </row>
    <row r="361" spans="1:21">
      <c r="A361" s="19">
        <f t="shared" si="99"/>
        <v>28.916666666666526</v>
      </c>
      <c r="B361" s="10">
        <f t="shared" si="85"/>
        <v>1.3284018991395561E-2</v>
      </c>
      <c r="C361" s="10">
        <f t="shared" si="87"/>
        <v>0.2439361144735496</v>
      </c>
      <c r="D361" s="10">
        <f t="shared" si="88"/>
        <v>3.2404519773538746E-3</v>
      </c>
      <c r="H361" s="19">
        <f t="shared" si="86"/>
        <v>28.916666666666526</v>
      </c>
      <c r="I361" s="10">
        <f t="shared" si="89"/>
        <v>0.20267402995216161</v>
      </c>
      <c r="J361" s="10">
        <f t="shared" si="90"/>
        <v>2.6923256629471874E-3</v>
      </c>
      <c r="K361" s="10">
        <f t="shared" si="91"/>
        <v>1.0591693328448372E-2</v>
      </c>
      <c r="L361" s="10">
        <f t="shared" si="92"/>
        <v>0.10742319165626597</v>
      </c>
      <c r="M361" s="10">
        <f t="shared" si="93"/>
        <v>0.98515429032351565</v>
      </c>
      <c r="N361" s="10">
        <f t="shared" si="94"/>
        <v>0.97064819312088646</v>
      </c>
      <c r="O361" s="10">
        <f t="shared" si="100"/>
        <v>2.8980805714004288E-2</v>
      </c>
      <c r="P361" s="10">
        <f t="shared" si="101"/>
        <v>0.12245708686032535</v>
      </c>
      <c r="Q361" s="10">
        <f t="shared" si="95"/>
        <v>0.356418407717559</v>
      </c>
      <c r="S361" s="5">
        <f t="shared" si="96"/>
        <v>6.5675546111676041E-4</v>
      </c>
      <c r="T361" s="5">
        <f t="shared" si="97"/>
        <v>2.5836965162371137E-3</v>
      </c>
      <c r="U361" s="5">
        <f t="shared" si="98"/>
        <v>2.9871705958457728E-2</v>
      </c>
    </row>
    <row r="362" spans="1:21">
      <c r="A362" s="19">
        <f t="shared" si="99"/>
        <v>28.999999999999858</v>
      </c>
      <c r="B362" s="10">
        <f t="shared" si="85"/>
        <v>1.2894109031381641E-2</v>
      </c>
      <c r="C362" s="10">
        <f t="shared" si="87"/>
        <v>0.24294632108865244</v>
      </c>
      <c r="D362" s="10">
        <f t="shared" si="88"/>
        <v>3.1325763528901374E-3</v>
      </c>
      <c r="H362" s="19">
        <f t="shared" si="86"/>
        <v>28.999999999999858</v>
      </c>
      <c r="I362" s="10">
        <f t="shared" si="89"/>
        <v>0.2005570953606319</v>
      </c>
      <c r="J362" s="10">
        <f t="shared" si="90"/>
        <v>2.5860050545971928E-3</v>
      </c>
      <c r="K362" s="10">
        <f t="shared" si="91"/>
        <v>1.0308103976784447E-2</v>
      </c>
      <c r="L362" s="10">
        <f t="shared" si="92"/>
        <v>0.10582841814041571</v>
      </c>
      <c r="M362" s="10">
        <f t="shared" si="93"/>
        <v>0.98506872195390793</v>
      </c>
      <c r="N362" s="10">
        <f t="shared" si="94"/>
        <v>0.97047345824305287</v>
      </c>
      <c r="O362" s="10">
        <f t="shared" si="100"/>
        <v>2.9151209670493457E-2</v>
      </c>
      <c r="P362" s="10">
        <f t="shared" si="101"/>
        <v>0.12071715026792564</v>
      </c>
      <c r="Q362" s="10">
        <f t="shared" si="95"/>
        <v>0.35857232363907632</v>
      </c>
      <c r="S362" s="5">
        <f t="shared" si="96"/>
        <v>6.2826041433104783E-4</v>
      </c>
      <c r="T362" s="5">
        <f t="shared" si="97"/>
        <v>2.5043159385590894E-3</v>
      </c>
      <c r="U362" s="5">
        <f t="shared" si="98"/>
        <v>2.9327787549898569E-2</v>
      </c>
    </row>
    <row r="363" spans="1:21">
      <c r="A363" s="19">
        <f t="shared" si="99"/>
        <v>29.08333333333319</v>
      </c>
      <c r="B363" s="10">
        <f t="shared" si="85"/>
        <v>1.2513390582647922E-2</v>
      </c>
      <c r="C363" s="10">
        <f t="shared" si="87"/>
        <v>0.24196054388211785</v>
      </c>
      <c r="D363" s="10">
        <f t="shared" si="88"/>
        <v>3.027746791186863E-3</v>
      </c>
      <c r="H363" s="19">
        <f t="shared" si="86"/>
        <v>29.08333333333319</v>
      </c>
      <c r="I363" s="10">
        <f t="shared" si="89"/>
        <v>0.19845049953609695</v>
      </c>
      <c r="J363" s="10">
        <f t="shared" si="90"/>
        <v>2.4832886120167712E-3</v>
      </c>
      <c r="K363" s="10">
        <f t="shared" si="91"/>
        <v>1.0030101970631151E-2</v>
      </c>
      <c r="L363" s="10">
        <f t="shared" si="92"/>
        <v>0.10424826460398308</v>
      </c>
      <c r="M363" s="10">
        <f t="shared" si="93"/>
        <v>0.984982663873189</v>
      </c>
      <c r="N363" s="10">
        <f t="shared" si="94"/>
        <v>0.97029769884837513</v>
      </c>
      <c r="O363" s="10">
        <f t="shared" si="100"/>
        <v>2.9322587908873061E-2</v>
      </c>
      <c r="P363" s="10">
        <f t="shared" si="101"/>
        <v>0.11899007410789887</v>
      </c>
      <c r="Q363" s="10">
        <f t="shared" si="95"/>
        <v>0.36073925980792393</v>
      </c>
      <c r="S363" s="5">
        <f t="shared" si="96"/>
        <v>6.0085786317984747E-4</v>
      </c>
      <c r="T363" s="5">
        <f t="shared" si="97"/>
        <v>2.4268889280070153E-3</v>
      </c>
      <c r="U363" s="5">
        <f t="shared" si="98"/>
        <v>2.8790903047720719E-2</v>
      </c>
    </row>
    <row r="364" spans="1:21">
      <c r="A364" s="19">
        <f t="shared" si="99"/>
        <v>29.166666666666522</v>
      </c>
      <c r="B364" s="10">
        <f t="shared" si="85"/>
        <v>1.2141714087134207E-2</v>
      </c>
      <c r="C364" s="10">
        <f t="shared" si="87"/>
        <v>0.24097876655792999</v>
      </c>
      <c r="D364" s="10">
        <f t="shared" si="88"/>
        <v>2.925895284616644E-3</v>
      </c>
      <c r="H364" s="19">
        <f t="shared" si="86"/>
        <v>29.166666666666522</v>
      </c>
      <c r="I364" s="10">
        <f t="shared" si="89"/>
        <v>0.19635431663512068</v>
      </c>
      <c r="J364" s="10">
        <f t="shared" si="90"/>
        <v>2.3840779723582556E-3</v>
      </c>
      <c r="K364" s="10">
        <f t="shared" si="91"/>
        <v>9.757636114775951E-3</v>
      </c>
      <c r="L364" s="10">
        <f t="shared" si="92"/>
        <v>0.10268273337378833</v>
      </c>
      <c r="M364" s="10">
        <f t="shared" si="93"/>
        <v>0.98489611332253113</v>
      </c>
      <c r="N364" s="10">
        <f t="shared" si="94"/>
        <v>0.97012090912281068</v>
      </c>
      <c r="O364" s="10">
        <f t="shared" si="100"/>
        <v>2.9494945666344405E-2</v>
      </c>
      <c r="P364" s="10">
        <f t="shared" si="101"/>
        <v>0.11727597661789538</v>
      </c>
      <c r="Q364" s="10">
        <f t="shared" si="95"/>
        <v>0.36291929493044306</v>
      </c>
      <c r="S364" s="5">
        <f t="shared" si="96"/>
        <v>5.745121691568231E-4</v>
      </c>
      <c r="T364" s="5">
        <f t="shared" si="97"/>
        <v>2.3513831154598208E-3</v>
      </c>
      <c r="U364" s="5">
        <f t="shared" si="98"/>
        <v>2.8261020192257066E-2</v>
      </c>
    </row>
    <row r="365" spans="1:21">
      <c r="A365" s="19">
        <f t="shared" si="99"/>
        <v>29.249999999999854</v>
      </c>
      <c r="B365" s="10">
        <f t="shared" si="85"/>
        <v>1.1778930708519875E-2</v>
      </c>
      <c r="C365" s="10">
        <f t="shared" si="87"/>
        <v>0.2400009728861956</v>
      </c>
      <c r="D365" s="10">
        <f t="shared" si="88"/>
        <v>2.8269548296038552E-3</v>
      </c>
      <c r="H365" s="19">
        <f t="shared" si="86"/>
        <v>29.249999999999854</v>
      </c>
      <c r="I365" s="10">
        <f t="shared" si="89"/>
        <v>0.19426861991425806</v>
      </c>
      <c r="J365" s="10">
        <f t="shared" si="90"/>
        <v>2.2882766128098299E-3</v>
      </c>
      <c r="K365" s="10">
        <f t="shared" si="91"/>
        <v>9.4906540957100452E-3</v>
      </c>
      <c r="L365" s="10">
        <f t="shared" si="92"/>
        <v>0.10113182500517788</v>
      </c>
      <c r="M365" s="10">
        <f t="shared" si="93"/>
        <v>0.98480906752807951</v>
      </c>
      <c r="N365" s="10">
        <f t="shared" si="94"/>
        <v>0.96994308322168399</v>
      </c>
      <c r="O365" s="10">
        <f t="shared" si="100"/>
        <v>2.9668288204243776E-2</v>
      </c>
      <c r="P365" s="10">
        <f t="shared" si="101"/>
        <v>0.11557497180732823</v>
      </c>
      <c r="Q365" s="10">
        <f t="shared" si="95"/>
        <v>0.36511250818874857</v>
      </c>
      <c r="S365" s="5">
        <f t="shared" si="96"/>
        <v>5.4918861330708745E-4</v>
      </c>
      <c r="T365" s="5">
        <f t="shared" si="97"/>
        <v>2.2777662162967679E-3</v>
      </c>
      <c r="U365" s="5">
        <f t="shared" si="98"/>
        <v>2.7738105675053405E-2</v>
      </c>
    </row>
    <row r="366" spans="1:21">
      <c r="A366" s="19">
        <f t="shared" si="99"/>
        <v>29.333333333333186</v>
      </c>
      <c r="B366" s="10">
        <f t="shared" si="85"/>
        <v>1.1424892368476342E-2</v>
      </c>
      <c r="C366" s="10">
        <f t="shared" si="87"/>
        <v>0.23902714670287581</v>
      </c>
      <c r="D366" s="10">
        <f t="shared" si="88"/>
        <v>2.7308594242243609E-3</v>
      </c>
      <c r="H366" s="19">
        <f t="shared" si="86"/>
        <v>29.333333333333186</v>
      </c>
      <c r="I366" s="10">
        <f t="shared" si="89"/>
        <v>0.19219348171484468</v>
      </c>
      <c r="J366" s="10">
        <f t="shared" si="90"/>
        <v>2.1957898425148266E-3</v>
      </c>
      <c r="K366" s="10">
        <f t="shared" si="91"/>
        <v>9.2291025259615151E-3</v>
      </c>
      <c r="L366" s="10">
        <f t="shared" si="92"/>
        <v>9.9595538280762147E-2</v>
      </c>
      <c r="M366" s="10">
        <f t="shared" si="93"/>
        <v>0.98472152370087063</v>
      </c>
      <c r="N366" s="10">
        <f t="shared" si="94"/>
        <v>0.96976421526951218</v>
      </c>
      <c r="O366" s="10">
        <f t="shared" si="100"/>
        <v>2.984262080810271E-2</v>
      </c>
      <c r="P366" s="10">
        <f t="shared" si="101"/>
        <v>0.11388716946519888</v>
      </c>
      <c r="Q366" s="10">
        <f t="shared" si="95"/>
        <v>0.36731897924360291</v>
      </c>
      <c r="S366" s="5">
        <f t="shared" si="96"/>
        <v>5.2485338081547609E-4</v>
      </c>
      <c r="T366" s="5">
        <f t="shared" si="97"/>
        <v>2.2060060434088849E-3</v>
      </c>
      <c r="U366" s="5">
        <f t="shared" si="98"/>
        <v>2.7222125163333371E-2</v>
      </c>
    </row>
    <row r="367" spans="1:21">
      <c r="A367" s="19">
        <f t="shared" si="99"/>
        <v>29.416666666666519</v>
      </c>
      <c r="B367" s="10">
        <f t="shared" si="85"/>
        <v>1.1079451782254099E-2</v>
      </c>
      <c r="C367" s="10">
        <f t="shared" si="87"/>
        <v>0.23805727190951886</v>
      </c>
      <c r="D367" s="10">
        <f t="shared" si="88"/>
        <v>2.6375440655364672E-3</v>
      </c>
      <c r="H367" s="19">
        <f t="shared" si="86"/>
        <v>29.416666666666519</v>
      </c>
      <c r="I367" s="10">
        <f t="shared" si="89"/>
        <v>0.19012897344787646</v>
      </c>
      <c r="J367" s="10">
        <f t="shared" si="90"/>
        <v>2.1065247937252173E-3</v>
      </c>
      <c r="K367" s="10">
        <f t="shared" si="91"/>
        <v>8.9729269885288811E-3</v>
      </c>
      <c r="L367" s="10">
        <f t="shared" si="92"/>
        <v>9.8073870209640493E-2</v>
      </c>
      <c r="M367" s="10">
        <f t="shared" si="93"/>
        <v>0.98463347903675702</v>
      </c>
      <c r="N367" s="10">
        <f t="shared" si="94"/>
        <v>0.96958429935991419</v>
      </c>
      <c r="O367" s="10">
        <f t="shared" si="100"/>
        <v>3.001794878770906E-2</v>
      </c>
      <c r="P367" s="10">
        <f t="shared" si="101"/>
        <v>0.11221267516939436</v>
      </c>
      <c r="Q367" s="10">
        <f t="shared" si="95"/>
        <v>0.36953878823731362</v>
      </c>
      <c r="S367" s="5">
        <f t="shared" si="96"/>
        <v>5.0147354560398723E-4</v>
      </c>
      <c r="T367" s="5">
        <f t="shared" si="97"/>
        <v>2.1360705199324802E-3</v>
      </c>
      <c r="U367" s="5">
        <f t="shared" si="98"/>
        <v>2.6713043324495027E-2</v>
      </c>
    </row>
    <row r="368" spans="1:21">
      <c r="A368" s="19">
        <f t="shared" si="99"/>
        <v>29.499999999999851</v>
      </c>
      <c r="B368" s="10">
        <f t="shared" si="85"/>
        <v>1.0742462493588793E-2</v>
      </c>
      <c r="C368" s="10">
        <f t="shared" si="87"/>
        <v>0.2370913324729938</v>
      </c>
      <c r="D368" s="10">
        <f t="shared" si="88"/>
        <v>2.5469447466461266E-3</v>
      </c>
      <c r="H368" s="19">
        <f t="shared" si="86"/>
        <v>29.499999999999851</v>
      </c>
      <c r="I368" s="10">
        <f t="shared" si="89"/>
        <v>0.1880751655789854</v>
      </c>
      <c r="J368" s="10">
        <f t="shared" si="90"/>
        <v>2.0203904122077527E-3</v>
      </c>
      <c r="K368" s="10">
        <f t="shared" si="91"/>
        <v>8.7220720813810399E-3</v>
      </c>
      <c r="L368" s="10">
        <f t="shared" si="92"/>
        <v>9.6566816027117683E-2</v>
      </c>
      <c r="M368" s="10">
        <f t="shared" si="93"/>
        <v>0.98454493071633054</v>
      </c>
      <c r="N368" s="10">
        <f t="shared" si="94"/>
        <v>0.96940332955544029</v>
      </c>
      <c r="O368" s="10">
        <f t="shared" si="100"/>
        <v>3.0194277477166055E-2</v>
      </c>
      <c r="P368" s="10">
        <f t="shared" si="101"/>
        <v>0.11055159029744037</v>
      </c>
      <c r="Q368" s="10">
        <f t="shared" si="95"/>
        <v>0.37177201579664099</v>
      </c>
      <c r="S368" s="5">
        <f t="shared" si="96"/>
        <v>4.7901705494599728E-4</v>
      </c>
      <c r="T368" s="5">
        <f t="shared" si="97"/>
        <v>2.0679276917001293E-3</v>
      </c>
      <c r="U368" s="5">
        <f t="shared" si="98"/>
        <v>2.6210823850628631E-2</v>
      </c>
    </row>
    <row r="369" spans="1:21">
      <c r="A369" s="19">
        <f t="shared" si="99"/>
        <v>29.583333333333183</v>
      </c>
      <c r="B369" s="10">
        <f t="shared" si="85"/>
        <v>1.0413778908909413E-2</v>
      </c>
      <c r="C369" s="10">
        <f t="shared" si="87"/>
        <v>0.23612931242522567</v>
      </c>
      <c r="D369" s="10">
        <f t="shared" si="88"/>
        <v>2.4589984535090966E-3</v>
      </c>
      <c r="H369" s="19">
        <f t="shared" si="86"/>
        <v>29.583333333333183</v>
      </c>
      <c r="I369" s="10">
        <f t="shared" si="89"/>
        <v>0.18603212761351592</v>
      </c>
      <c r="J369" s="10">
        <f t="shared" si="90"/>
        <v>1.9372974469211766E-3</v>
      </c>
      <c r="K369" s="10">
        <f t="shared" si="91"/>
        <v>8.4764814619882368E-3</v>
      </c>
      <c r="L369" s="10">
        <f t="shared" si="92"/>
        <v>9.5074369194915215E-2</v>
      </c>
      <c r="M369" s="10">
        <f t="shared" si="93"/>
        <v>0.98445587590484884</v>
      </c>
      <c r="N369" s="10">
        <f t="shared" si="94"/>
        <v>0.96922129988746197</v>
      </c>
      <c r="O369" s="10">
        <f t="shared" si="100"/>
        <v>3.0371612234952057E-2</v>
      </c>
      <c r="P369" s="10">
        <f t="shared" si="101"/>
        <v>0.108904012038692</v>
      </c>
      <c r="Q369" s="10">
        <f t="shared" si="95"/>
        <v>0.37401874303572669</v>
      </c>
      <c r="S369" s="5">
        <f t="shared" si="96"/>
        <v>4.5745271410464256E-4</v>
      </c>
      <c r="T369" s="5">
        <f t="shared" si="97"/>
        <v>2.0015457394044539E-3</v>
      </c>
      <c r="U369" s="5">
        <f t="shared" si="98"/>
        <v>2.5715429483044842E-2</v>
      </c>
    </row>
    <row r="370" spans="1:21">
      <c r="A370" s="19">
        <f t="shared" si="99"/>
        <v>29.666666666666515</v>
      </c>
      <c r="B370" s="10">
        <f t="shared" si="85"/>
        <v>1.0093256330833817E-2</v>
      </c>
      <c r="C370" s="10">
        <f t="shared" si="87"/>
        <v>0.23517119586293145</v>
      </c>
      <c r="D370" s="10">
        <f t="shared" si="88"/>
        <v>2.3736431614732926E-3</v>
      </c>
      <c r="H370" s="19">
        <f t="shared" si="86"/>
        <v>29.666666666666515</v>
      </c>
      <c r="I370" s="10">
        <f t="shared" si="89"/>
        <v>0.18399992808170851</v>
      </c>
      <c r="J370" s="10">
        <f t="shared" si="90"/>
        <v>1.8571584389836715E-3</v>
      </c>
      <c r="K370" s="10">
        <f t="shared" si="91"/>
        <v>8.2360978918501453E-3</v>
      </c>
      <c r="L370" s="10">
        <f t="shared" si="92"/>
        <v>9.3596521401881239E-2</v>
      </c>
      <c r="M370" s="10">
        <f t="shared" si="93"/>
        <v>0.98436631175215294</v>
      </c>
      <c r="N370" s="10">
        <f t="shared" si="94"/>
        <v>0.96903820435603927</v>
      </c>
      <c r="O370" s="10">
        <f t="shared" si="100"/>
        <v>3.0549958443979029E-2</v>
      </c>
      <c r="P370" s="10">
        <f t="shared" si="101"/>
        <v>0.1072700334079444</v>
      </c>
      <c r="Q370" s="10">
        <f t="shared" si="95"/>
        <v>0.37627905155904234</v>
      </c>
      <c r="S370" s="5">
        <f t="shared" si="96"/>
        <v>4.3675017100272502E-4</v>
      </c>
      <c r="T370" s="5">
        <f t="shared" si="97"/>
        <v>1.9368929904705673E-3</v>
      </c>
      <c r="U370" s="5">
        <f t="shared" si="98"/>
        <v>2.5226822036802894E-2</v>
      </c>
    </row>
    <row r="371" spans="1:21">
      <c r="A371" s="19">
        <f t="shared" si="99"/>
        <v>29.749999999999847</v>
      </c>
      <c r="B371" s="10">
        <f t="shared" si="85"/>
        <v>9.7807509909364279E-3</v>
      </c>
      <c r="C371" s="10">
        <f t="shared" si="87"/>
        <v>0.23421696694735727</v>
      </c>
      <c r="D371" s="10">
        <f t="shared" si="88"/>
        <v>2.2908178315644893E-3</v>
      </c>
      <c r="H371" s="19">
        <f t="shared" si="86"/>
        <v>29.749999999999847</v>
      </c>
      <c r="I371" s="10">
        <f t="shared" si="89"/>
        <v>0.18197863452399435</v>
      </c>
      <c r="J371" s="10">
        <f t="shared" si="90"/>
        <v>1.7798877099498157E-3</v>
      </c>
      <c r="K371" s="10">
        <f t="shared" si="91"/>
        <v>8.0008632809866129E-3</v>
      </c>
      <c r="L371" s="10">
        <f t="shared" si="92"/>
        <v>9.2133262565201282E-2</v>
      </c>
      <c r="M371" s="10">
        <f t="shared" si="93"/>
        <v>0.98427623539259201</v>
      </c>
      <c r="N371" s="10">
        <f t="shared" si="94"/>
        <v>0.96885403692976124</v>
      </c>
      <c r="O371" s="10">
        <f t="shared" si="100"/>
        <v>3.0729321511650216E-2</v>
      </c>
      <c r="P371" s="10">
        <f t="shared" si="101"/>
        <v>0.1056497432604433</v>
      </c>
      <c r="Q371" s="10">
        <f t="shared" si="95"/>
        <v>0.37855302346435166</v>
      </c>
      <c r="S371" s="5">
        <f t="shared" si="96"/>
        <v>4.168799009313234E-4</v>
      </c>
      <c r="T371" s="5">
        <f t="shared" si="97"/>
        <v>1.873937930633166E-3</v>
      </c>
      <c r="U371" s="5">
        <f t="shared" si="98"/>
        <v>2.4744962425228029E-2</v>
      </c>
    </row>
    <row r="372" spans="1:21">
      <c r="A372" s="19">
        <f t="shared" si="99"/>
        <v>29.833333333333179</v>
      </c>
      <c r="B372" s="10">
        <f t="shared" si="85"/>
        <v>9.4761200817735213E-3</v>
      </c>
      <c r="C372" s="10">
        <f t="shared" si="87"/>
        <v>0.23326660990401629</v>
      </c>
      <c r="D372" s="10">
        <f t="shared" si="88"/>
        <v>2.2104624065186788E-3</v>
      </c>
      <c r="H372" s="19">
        <f t="shared" si="86"/>
        <v>29.833333333333179</v>
      </c>
      <c r="I372" s="10">
        <f t="shared" si="89"/>
        <v>0.17996831347640926</v>
      </c>
      <c r="J372" s="10">
        <f t="shared" si="90"/>
        <v>1.7054013494167141E-3</v>
      </c>
      <c r="K372" s="10">
        <f t="shared" si="91"/>
        <v>7.7707187323568074E-3</v>
      </c>
      <c r="L372" s="10">
        <f t="shared" si="92"/>
        <v>9.0684580832113545E-2</v>
      </c>
      <c r="M372" s="10">
        <f t="shared" si="93"/>
        <v>0.98418564394495034</v>
      </c>
      <c r="N372" s="10">
        <f t="shared" si="94"/>
        <v>0.96866879154565022</v>
      </c>
      <c r="O372" s="10">
        <f t="shared" si="100"/>
        <v>3.0909706869918063E-2</v>
      </c>
      <c r="P372" s="10">
        <f t="shared" si="101"/>
        <v>0.10404322630827668</v>
      </c>
      <c r="Q372" s="10">
        <f t="shared" si="95"/>
        <v>0.38084074134569174</v>
      </c>
      <c r="S372" s="5">
        <f t="shared" si="96"/>
        <v>3.9781319130417162E-4</v>
      </c>
      <c r="T372" s="5">
        <f t="shared" si="97"/>
        <v>1.8126492152145074E-3</v>
      </c>
      <c r="U372" s="5">
        <f t="shared" si="98"/>
        <v>2.4269810684408061E-2</v>
      </c>
    </row>
    <row r="373" spans="1:21">
      <c r="A373" s="19">
        <f t="shared" si="99"/>
        <v>29.916666666666512</v>
      </c>
      <c r="B373" s="10">
        <f t="shared" si="85"/>
        <v>9.179221788153025E-3</v>
      </c>
      <c r="C373" s="10">
        <f t="shared" si="87"/>
        <v>0.23232010902242831</v>
      </c>
      <c r="D373" s="10">
        <f t="shared" si="88"/>
        <v>2.1325178065647603E-3</v>
      </c>
      <c r="H373" s="19">
        <f t="shared" si="86"/>
        <v>29.916666666666512</v>
      </c>
      <c r="I373" s="10">
        <f t="shared" si="89"/>
        <v>0.17796903045612864</v>
      </c>
      <c r="J373" s="10">
        <f t="shared" si="90"/>
        <v>1.6336172019793653E-3</v>
      </c>
      <c r="K373" s="10">
        <f t="shared" si="91"/>
        <v>7.5456045861736591E-3</v>
      </c>
      <c r="L373" s="10">
        <f t="shared" si="92"/>
        <v>8.9250462582131568E-2</v>
      </c>
      <c r="M373" s="10">
        <f t="shared" si="93"/>
        <v>0.98409453451235818</v>
      </c>
      <c r="N373" s="10">
        <f t="shared" si="94"/>
        <v>0.96848246210899125</v>
      </c>
      <c r="O373" s="10">
        <f t="shared" si="100"/>
        <v>3.1091119975340344E-2</v>
      </c>
      <c r="P373" s="10">
        <f t="shared" si="101"/>
        <v>0.10245056313812752</v>
      </c>
      <c r="Q373" s="10">
        <f t="shared" si="95"/>
        <v>0.38314228829637564</v>
      </c>
      <c r="S373" s="5">
        <f t="shared" si="96"/>
        <v>3.7952212646476041E-4</v>
      </c>
      <c r="T373" s="5">
        <f t="shared" si="97"/>
        <v>1.7529956800999996E-3</v>
      </c>
      <c r="U373" s="5">
        <f t="shared" si="98"/>
        <v>2.3801325997658961E-2</v>
      </c>
    </row>
    <row r="374" spans="1:21">
      <c r="A374" s="19">
        <f t="shared" si="99"/>
        <v>29.999999999999844</v>
      </c>
      <c r="B374" s="10">
        <f t="shared" si="85"/>
        <v>8.8899153176349392E-3</v>
      </c>
      <c r="C374" s="10">
        <f t="shared" si="87"/>
        <v>0.23137744865585963</v>
      </c>
      <c r="D374" s="10">
        <f t="shared" si="88"/>
        <v>2.0569259249610182E-3</v>
      </c>
      <c r="H374" s="19">
        <f t="shared" si="86"/>
        <v>29.999999999999844</v>
      </c>
      <c r="I374" s="10">
        <f t="shared" si="89"/>
        <v>0.17598084994713328</v>
      </c>
      <c r="J374" s="10">
        <f t="shared" si="90"/>
        <v>1.564454853555436E-3</v>
      </c>
      <c r="K374" s="10">
        <f t="shared" si="91"/>
        <v>7.3254604640795038E-3</v>
      </c>
      <c r="L374" s="10">
        <f t="shared" si="92"/>
        <v>8.7830892429775403E-2</v>
      </c>
      <c r="M374" s="10">
        <f t="shared" si="93"/>
        <v>0.98400290418222403</v>
      </c>
      <c r="N374" s="10">
        <f t="shared" si="94"/>
        <v>0.96829504249323106</v>
      </c>
      <c r="O374" s="10">
        <f t="shared" si="100"/>
        <v>3.1273566309136747E-2</v>
      </c>
      <c r="P374" s="10">
        <f t="shared" si="101"/>
        <v>0.10087183023036508</v>
      </c>
      <c r="Q374" s="10">
        <f t="shared" si="95"/>
        <v>0.38545774791200632</v>
      </c>
      <c r="S374" s="5">
        <f t="shared" si="96"/>
        <v>3.619795725529333E-4</v>
      </c>
      <c r="T374" s="5">
        <f t="shared" si="97"/>
        <v>1.694946352408085E-3</v>
      </c>
      <c r="U374" s="5">
        <f t="shared" si="98"/>
        <v>2.3339466719948885E-2</v>
      </c>
    </row>
    <row r="375" spans="1:21">
      <c r="A375" s="19">
        <f t="shared" si="99"/>
        <v>30.083333333333176</v>
      </c>
      <c r="B375" s="10">
        <f t="shared" si="85"/>
        <v>8.6080609302505492E-3</v>
      </c>
      <c r="C375" s="10">
        <f t="shared" si="87"/>
        <v>0.23043861322106476</v>
      </c>
      <c r="D375" s="10">
        <f t="shared" si="88"/>
        <v>1.9836296232893652E-3</v>
      </c>
      <c r="H375" s="19">
        <f t="shared" si="86"/>
        <v>30.083333333333176</v>
      </c>
      <c r="I375" s="10">
        <f t="shared" si="89"/>
        <v>0.17400383538600703</v>
      </c>
      <c r="J375" s="10">
        <f t="shared" si="90"/>
        <v>1.497835617100035E-3</v>
      </c>
      <c r="K375" s="10">
        <f t="shared" si="91"/>
        <v>7.1102253131505137E-3</v>
      </c>
      <c r="L375" s="10">
        <f t="shared" si="92"/>
        <v>8.6425853227815513E-2</v>
      </c>
      <c r="M375" s="10">
        <f t="shared" si="93"/>
        <v>0.98391075002615347</v>
      </c>
      <c r="N375" s="10">
        <f t="shared" si="94"/>
        <v>0.96810652653980811</v>
      </c>
      <c r="O375" s="10">
        <f t="shared" si="100"/>
        <v>3.1457051377243979E-2</v>
      </c>
      <c r="P375" s="10">
        <f t="shared" si="101"/>
        <v>9.9307099979455818E-2</v>
      </c>
      <c r="Q375" s="10">
        <f t="shared" si="95"/>
        <v>0.38778720429351787</v>
      </c>
      <c r="S375" s="5">
        <f t="shared" si="96"/>
        <v>3.451591624376498E-4</v>
      </c>
      <c r="T375" s="5">
        <f t="shared" si="97"/>
        <v>1.6384704608517152E-3</v>
      </c>
      <c r="U375" s="5">
        <f t="shared" si="98"/>
        <v>2.2884190402271427E-2</v>
      </c>
    </row>
    <row r="376" spans="1:21">
      <c r="A376" s="19">
        <f t="shared" si="99"/>
        <v>30.166666666666508</v>
      </c>
      <c r="B376" s="10">
        <f t="shared" si="85"/>
        <v>8.3335199674278888E-3</v>
      </c>
      <c r="C376" s="10">
        <f t="shared" si="87"/>
        <v>0.22950358719802866</v>
      </c>
      <c r="D376" s="10">
        <f t="shared" si="88"/>
        <v>1.9125727265110995E-3</v>
      </c>
      <c r="H376" s="19">
        <f t="shared" si="86"/>
        <v>30.166666666666508</v>
      </c>
      <c r="I376" s="10">
        <f t="shared" si="89"/>
        <v>0.17203804914787757</v>
      </c>
      <c r="J376" s="10">
        <f t="shared" si="90"/>
        <v>1.4336825177311782E-3</v>
      </c>
      <c r="K376" s="10">
        <f t="shared" si="91"/>
        <v>6.8998374496967102E-3</v>
      </c>
      <c r="L376" s="10">
        <f t="shared" si="92"/>
        <v>8.5035326071030218E-2</v>
      </c>
      <c r="M376" s="10">
        <f t="shared" si="93"/>
        <v>0.98381806909986402</v>
      </c>
      <c r="N376" s="10">
        <f t="shared" si="94"/>
        <v>0.96791690805806208</v>
      </c>
      <c r="O376" s="10">
        <f t="shared" si="100"/>
        <v>3.1641580710370709E-2</v>
      </c>
      <c r="P376" s="10">
        <f t="shared" si="101"/>
        <v>9.7756440715670356E-2</v>
      </c>
      <c r="Q376" s="10">
        <f t="shared" si="95"/>
        <v>0.3901307420502263</v>
      </c>
      <c r="S376" s="5">
        <f t="shared" si="96"/>
        <v>3.2903528072240673E-4</v>
      </c>
      <c r="T376" s="5">
        <f t="shared" si="97"/>
        <v>1.5835374457886925E-3</v>
      </c>
      <c r="U376" s="5">
        <f t="shared" si="98"/>
        <v>2.2435453815957771E-2</v>
      </c>
    </row>
    <row r="377" spans="1:21">
      <c r="A377" s="19">
        <f t="shared" si="99"/>
        <v>30.24999999999984</v>
      </c>
      <c r="B377" s="10">
        <f t="shared" si="85"/>
        <v>8.0661548801129242E-3</v>
      </c>
      <c r="C377" s="10">
        <f t="shared" si="87"/>
        <v>0.22857235512971022</v>
      </c>
      <c r="D377" s="10">
        <f t="shared" si="88"/>
        <v>1.8437000177884166E-3</v>
      </c>
      <c r="H377" s="19">
        <f t="shared" si="86"/>
        <v>30.24999999999984</v>
      </c>
      <c r="I377" s="10">
        <f t="shared" si="89"/>
        <v>0.17008355253249893</v>
      </c>
      <c r="J377" s="10">
        <f t="shared" si="90"/>
        <v>1.3719202772869592E-3</v>
      </c>
      <c r="K377" s="10">
        <f t="shared" si="91"/>
        <v>6.6942346028259648E-3</v>
      </c>
      <c r="L377" s="10">
        <f t="shared" si="92"/>
        <v>8.3659290300478278E-2</v>
      </c>
      <c r="M377" s="10">
        <f t="shared" si="93"/>
        <v>0.98372485844311597</v>
      </c>
      <c r="N377" s="10">
        <f t="shared" si="94"/>
        <v>0.96772618082504669</v>
      </c>
      <c r="O377" s="10">
        <f t="shared" si="100"/>
        <v>3.1827159864051241E-2</v>
      </c>
      <c r="P377" s="10">
        <f t="shared" si="101"/>
        <v>9.6219916728063973E-2</v>
      </c>
      <c r="Q377" s="10">
        <f t="shared" si="95"/>
        <v>0.39248844630290436</v>
      </c>
      <c r="S377" s="5">
        <f t="shared" si="96"/>
        <v>3.1358304882968534E-4</v>
      </c>
      <c r="T377" s="5">
        <f t="shared" si="97"/>
        <v>1.5301169689587312E-3</v>
      </c>
      <c r="U377" s="5">
        <f t="shared" si="98"/>
        <v>2.1993212976918183E-2</v>
      </c>
    </row>
    <row r="378" spans="1:21">
      <c r="A378" s="19">
        <f t="shared" si="99"/>
        <v>30.333333333333172</v>
      </c>
      <c r="B378" s="10">
        <f t="shared" si="85"/>
        <v>7.8058292560749922E-3</v>
      </c>
      <c r="C378" s="10">
        <f t="shared" si="87"/>
        <v>0.22764490162178663</v>
      </c>
      <c r="D378" s="10">
        <f t="shared" si="88"/>
        <v>1.7769572330756556E-3</v>
      </c>
      <c r="H378" s="19">
        <f t="shared" si="86"/>
        <v>30.333333333333172</v>
      </c>
      <c r="I378" s="10">
        <f t="shared" si="89"/>
        <v>0.16814040575048889</v>
      </c>
      <c r="J378" s="10">
        <f t="shared" si="90"/>
        <v>1.3124752983354861E-3</v>
      </c>
      <c r="K378" s="10">
        <f t="shared" si="91"/>
        <v>6.4933539577395061E-3</v>
      </c>
      <c r="L378" s="10">
        <f t="shared" si="92"/>
        <v>8.2297723508289539E-2</v>
      </c>
      <c r="M378" s="10">
        <f t="shared" si="93"/>
        <v>0.98363111507962064</v>
      </c>
      <c r="N378" s="10">
        <f t="shared" si="94"/>
        <v>0.96753433858545135</v>
      </c>
      <c r="O378" s="10">
        <f t="shared" si="100"/>
        <v>3.2013794418699379E-2</v>
      </c>
      <c r="P378" s="10">
        <f t="shared" si="101"/>
        <v>9.4697588288709084E-2</v>
      </c>
      <c r="Q378" s="10">
        <f t="shared" si="95"/>
        <v>0.39486040268687278</v>
      </c>
      <c r="S378" s="5">
        <f t="shared" si="96"/>
        <v>2.9877831017060679E-4</v>
      </c>
      <c r="T378" s="5">
        <f t="shared" si="97"/>
        <v>1.4781789229050487E-3</v>
      </c>
      <c r="U378" s="5">
        <f t="shared" si="98"/>
        <v>2.1557423169803632E-2</v>
      </c>
    </row>
    <row r="379" spans="1:21">
      <c r="A379" s="19">
        <f t="shared" si="99"/>
        <v>30.416666666666504</v>
      </c>
      <c r="B379" s="10">
        <f t="shared" si="85"/>
        <v>7.5524078463874832E-3</v>
      </c>
      <c r="C379" s="10">
        <f t="shared" si="87"/>
        <v>0.22672121134239903</v>
      </c>
      <c r="D379" s="10">
        <f t="shared" si="88"/>
        <v>1.7122910554848094E-3</v>
      </c>
      <c r="H379" s="19">
        <f t="shared" si="86"/>
        <v>30.416666666666504</v>
      </c>
      <c r="I379" s="10">
        <f t="shared" si="89"/>
        <v>0.16620866790972014</v>
      </c>
      <c r="J379" s="10">
        <f t="shared" si="90"/>
        <v>1.2552756476589819E-3</v>
      </c>
      <c r="K379" s="10">
        <f t="shared" si="91"/>
        <v>6.297132198728502E-3</v>
      </c>
      <c r="L379" s="10">
        <f t="shared" si="92"/>
        <v>8.095060154297315E-2</v>
      </c>
      <c r="M379" s="10">
        <f t="shared" si="93"/>
        <v>0.98353683601697151</v>
      </c>
      <c r="N379" s="10">
        <f t="shared" si="94"/>
        <v>0.96734137505141082</v>
      </c>
      <c r="O379" s="10">
        <f t="shared" si="100"/>
        <v>3.2201489979660443E-2</v>
      </c>
      <c r="P379" s="10">
        <f t="shared" si="101"/>
        <v>9.3189511678154272E-2</v>
      </c>
      <c r="Q379" s="10">
        <f t="shared" si="95"/>
        <v>0.39724669735511176</v>
      </c>
      <c r="S379" s="5">
        <f t="shared" si="96"/>
        <v>2.8459761540585885E-4</v>
      </c>
      <c r="T379" s="5">
        <f t="shared" si="97"/>
        <v>1.4276934400789506E-3</v>
      </c>
      <c r="U379" s="5">
        <f t="shared" si="98"/>
        <v>2.1128038972077778E-2</v>
      </c>
    </row>
    <row r="380" spans="1:21">
      <c r="A380" s="19">
        <f t="shared" si="99"/>
        <v>30.499999999999837</v>
      </c>
      <c r="B380" s="10">
        <f t="shared" si="85"/>
        <v>7.3057565910735322E-3</v>
      </c>
      <c r="C380" s="10">
        <f t="shared" si="87"/>
        <v>0.22580126902189895</v>
      </c>
      <c r="D380" s="10">
        <f t="shared" si="88"/>
        <v>1.649649109429506E-3</v>
      </c>
      <c r="H380" s="19">
        <f t="shared" si="86"/>
        <v>30.499999999999837</v>
      </c>
      <c r="I380" s="10">
        <f t="shared" si="89"/>
        <v>0.16428839700187656</v>
      </c>
      <c r="J380" s="10">
        <f t="shared" si="90"/>
        <v>1.2002510392333649E-3</v>
      </c>
      <c r="K380" s="10">
        <f t="shared" si="91"/>
        <v>6.1055055518401671E-3</v>
      </c>
      <c r="L380" s="10">
        <f t="shared" si="92"/>
        <v>7.961789851524638E-2</v>
      </c>
      <c r="M380" s="10">
        <f t="shared" si="93"/>
        <v>0.9834420182465603</v>
      </c>
      <c r="N380" s="10">
        <f t="shared" si="94"/>
        <v>0.96714728390242377</v>
      </c>
      <c r="O380" s="10">
        <f t="shared" si="100"/>
        <v>3.2390252177263726E-2</v>
      </c>
      <c r="P380" s="10">
        <f t="shared" si="101"/>
        <v>9.1695739212088276E-2</v>
      </c>
      <c r="Q380" s="10">
        <f t="shared" si="95"/>
        <v>0.399647416981388</v>
      </c>
      <c r="S380" s="5">
        <f t="shared" si="96"/>
        <v>2.710182078037468E-4</v>
      </c>
      <c r="T380" s="5">
        <f t="shared" si="97"/>
        <v>1.3786309016257591E-3</v>
      </c>
      <c r="U380" s="5">
        <f t="shared" si="98"/>
        <v>2.0705014277990635E-2</v>
      </c>
    </row>
    <row r="381" spans="1:21">
      <c r="A381" s="19">
        <f t="shared" si="99"/>
        <v>30.583333333333169</v>
      </c>
      <c r="B381" s="10">
        <f t="shared" si="85"/>
        <v>7.0657426439089972E-3</v>
      </c>
      <c r="C381" s="10">
        <f t="shared" si="87"/>
        <v>0.22488505945259599</v>
      </c>
      <c r="D381" s="10">
        <f t="shared" si="88"/>
        <v>1.5889799545522176E-3</v>
      </c>
      <c r="H381" s="19">
        <f t="shared" si="86"/>
        <v>30.583333333333169</v>
      </c>
      <c r="I381" s="10">
        <f t="shared" si="89"/>
        <v>0.16237964988917528</v>
      </c>
      <c r="J381" s="10">
        <f t="shared" si="90"/>
        <v>1.1473328167249585E-3</v>
      </c>
      <c r="K381" s="10">
        <f t="shared" si="91"/>
        <v>5.9184098271840386E-3</v>
      </c>
      <c r="L381" s="10">
        <f t="shared" si="92"/>
        <v>7.8299586804383717E-2</v>
      </c>
      <c r="M381" s="10">
        <f t="shared" si="93"/>
        <v>0.98334665874348881</v>
      </c>
      <c r="N381" s="10">
        <f t="shared" si="94"/>
        <v>0.96695205878516566</v>
      </c>
      <c r="O381" s="10">
        <f t="shared" si="100"/>
        <v>3.2580086666872871E-2</v>
      </c>
      <c r="P381" s="10">
        <f t="shared" si="101"/>
        <v>9.0216319269183151E-2</v>
      </c>
      <c r="Q381" s="10">
        <f t="shared" si="95"/>
        <v>0.40206264876340586</v>
      </c>
      <c r="S381" s="5">
        <f t="shared" si="96"/>
        <v>2.5801800870110672E-4</v>
      </c>
      <c r="T381" s="5">
        <f t="shared" si="97"/>
        <v>1.3309619458511108E-3</v>
      </c>
      <c r="U381" s="5">
        <f t="shared" si="98"/>
        <v>2.0288302322444635E-2</v>
      </c>
    </row>
    <row r="382" spans="1:21">
      <c r="A382" s="19">
        <f t="shared" si="99"/>
        <v>30.666666666666501</v>
      </c>
      <c r="B382" s="10">
        <f t="shared" si="85"/>
        <v>6.8322343963739445E-3</v>
      </c>
      <c r="C382" s="10">
        <f t="shared" si="87"/>
        <v>0.22397256748850627</v>
      </c>
      <c r="D382" s="10">
        <f t="shared" si="88"/>
        <v>1.5302330794391573E-3</v>
      </c>
      <c r="H382" s="19">
        <f t="shared" si="86"/>
        <v>30.666666666666501</v>
      </c>
      <c r="I382" s="10">
        <f t="shared" si="89"/>
        <v>0.16048248229126508</v>
      </c>
      <c r="J382" s="10">
        <f t="shared" si="90"/>
        <v>1.0964539355258537E-3</v>
      </c>
      <c r="K382" s="10">
        <f t="shared" si="91"/>
        <v>5.7357804608480908E-3</v>
      </c>
      <c r="L382" s="10">
        <f t="shared" si="92"/>
        <v>7.6995637065086497E-2</v>
      </c>
      <c r="M382" s="10">
        <f t="shared" si="93"/>
        <v>0.98325075446650245</v>
      </c>
      <c r="N382" s="10">
        <f t="shared" si="94"/>
        <v>0.96675569331340239</v>
      </c>
      <c r="O382" s="10">
        <f t="shared" si="100"/>
        <v>3.2770999128937002E-2</v>
      </c>
      <c r="P382" s="10">
        <f t="shared" si="101"/>
        <v>8.8751296320091724E-2</v>
      </c>
      <c r="Q382" s="10">
        <f t="shared" si="95"/>
        <v>0.40449248042597014</v>
      </c>
      <c r="S382" s="5">
        <f t="shared" si="96"/>
        <v>2.4557560307260259E-4</v>
      </c>
      <c r="T382" s="5">
        <f t="shared" si="97"/>
        <v>1.2846574763665547E-3</v>
      </c>
      <c r="U382" s="5">
        <f t="shared" si="98"/>
        <v>1.9877855704744162E-2</v>
      </c>
    </row>
    <row r="383" spans="1:21">
      <c r="A383" s="19">
        <f t="shared" si="99"/>
        <v>30.749999999999833</v>
      </c>
      <c r="B383" s="10">
        <f t="shared" si="85"/>
        <v>6.605101500746168E-3</v>
      </c>
      <c r="C383" s="10">
        <f t="shared" si="87"/>
        <v>0.22306377804510233</v>
      </c>
      <c r="D383" s="10">
        <f t="shared" si="88"/>
        <v>1.4733588951278155E-3</v>
      </c>
      <c r="H383" s="19">
        <f t="shared" si="86"/>
        <v>30.749999999999833</v>
      </c>
      <c r="I383" s="10">
        <f t="shared" si="89"/>
        <v>0.15859694877230202</v>
      </c>
      <c r="J383" s="10">
        <f t="shared" si="90"/>
        <v>1.0475489443496952E-3</v>
      </c>
      <c r="K383" s="10">
        <f t="shared" si="91"/>
        <v>5.5575525563964726E-3</v>
      </c>
      <c r="L383" s="10">
        <f t="shared" si="92"/>
        <v>7.57060182348753E-2</v>
      </c>
      <c r="M383" s="10">
        <f t="shared" si="93"/>
        <v>0.98315430235789736</v>
      </c>
      <c r="N383" s="10">
        <f t="shared" si="94"/>
        <v>0.96655818106781688</v>
      </c>
      <c r="O383" s="10">
        <f t="shared" si="100"/>
        <v>3.2962995269039681E-2</v>
      </c>
      <c r="P383" s="10">
        <f t="shared" si="101"/>
        <v>8.7300710957576355E-2</v>
      </c>
      <c r="Q383" s="10">
        <f t="shared" si="95"/>
        <v>0.40693700022417767</v>
      </c>
      <c r="S383" s="5">
        <f t="shared" si="96"/>
        <v>2.3367022521380166E-4</v>
      </c>
      <c r="T383" s="5">
        <f t="shared" si="97"/>
        <v>1.2396886699140139E-3</v>
      </c>
      <c r="U383" s="5">
        <f t="shared" si="98"/>
        <v>1.9473626412220446E-2</v>
      </c>
    </row>
    <row r="384" spans="1:21">
      <c r="A384" s="19">
        <f t="shared" si="99"/>
        <v>30.833333333333165</v>
      </c>
      <c r="B384" s="10">
        <f t="shared" si="85"/>
        <v>6.3842148923295237E-3</v>
      </c>
      <c r="C384" s="10">
        <f t="shared" si="87"/>
        <v>0.22215867609906331</v>
      </c>
      <c r="D384" s="10">
        <f t="shared" si="88"/>
        <v>1.4183087284118511E-3</v>
      </c>
      <c r="H384" s="19">
        <f t="shared" si="86"/>
        <v>30.833333333333165</v>
      </c>
      <c r="I384" s="10">
        <f t="shared" si="89"/>
        <v>0.15672310272821235</v>
      </c>
      <c r="J384" s="10">
        <f t="shared" si="90"/>
        <v>1.000553966409543E-3</v>
      </c>
      <c r="K384" s="10">
        <f t="shared" si="91"/>
        <v>5.3836609259199806E-3</v>
      </c>
      <c r="L384" s="10">
        <f t="shared" si="92"/>
        <v>7.4430697542003085E-2</v>
      </c>
      <c r="M384" s="10">
        <f t="shared" si="93"/>
        <v>0.98305729934344066</v>
      </c>
      <c r="N384" s="10">
        <f t="shared" si="94"/>
        <v>0.96635951559588917</v>
      </c>
      <c r="O384" s="10">
        <f t="shared" si="100"/>
        <v>3.3156080817947735E-2</v>
      </c>
      <c r="P384" s="10">
        <f t="shared" si="101"/>
        <v>8.586459992774112E-2</v>
      </c>
      <c r="Q384" s="10">
        <f t="shared" si="95"/>
        <v>0.40939629694661861</v>
      </c>
      <c r="S384" s="5">
        <f t="shared" si="96"/>
        <v>2.2228174454321076E-4</v>
      </c>
      <c r="T384" s="5">
        <f t="shared" si="97"/>
        <v>1.1960269838686402E-3</v>
      </c>
      <c r="U384" s="5">
        <f t="shared" si="98"/>
        <v>1.9075565843722695E-2</v>
      </c>
    </row>
    <row r="385" spans="1:21">
      <c r="A385" s="19">
        <f t="shared" si="99"/>
        <v>30.916666666666497</v>
      </c>
      <c r="B385" s="10">
        <f t="shared" si="85"/>
        <v>6.1694468108116204E-3</v>
      </c>
      <c r="C385" s="10">
        <f t="shared" si="87"/>
        <v>0.2212572466880271</v>
      </c>
      <c r="D385" s="10">
        <f t="shared" si="88"/>
        <v>1.3650348149484087E-3</v>
      </c>
      <c r="H385" s="19">
        <f t="shared" si="86"/>
        <v>30.916666666666497</v>
      </c>
      <c r="I385" s="10">
        <f t="shared" si="89"/>
        <v>0.15486099637414491</v>
      </c>
      <c r="J385" s="10">
        <f t="shared" si="90"/>
        <v>9.554066801995782E-4</v>
      </c>
      <c r="K385" s="10">
        <f t="shared" si="91"/>
        <v>5.2140401306120417E-3</v>
      </c>
      <c r="L385" s="10">
        <f t="shared" si="92"/>
        <v>7.3169640513890022E-2</v>
      </c>
      <c r="M385" s="10">
        <f t="shared" si="93"/>
        <v>0.98295974233229588</v>
      </c>
      <c r="N385" s="10">
        <f t="shared" si="94"/>
        <v>0.96615969041177607</v>
      </c>
      <c r="O385" s="10">
        <f t="shared" si="100"/>
        <v>3.3350261531659722E-2</v>
      </c>
      <c r="P385" s="10">
        <f t="shared" si="101"/>
        <v>8.4442996162343173E-2</v>
      </c>
      <c r="Q385" s="10">
        <f t="shared" si="95"/>
        <v>0.41187045991860344</v>
      </c>
      <c r="S385" s="5">
        <f t="shared" si="96"/>
        <v>2.113906515283071E-4</v>
      </c>
      <c r="T385" s="5">
        <f t="shared" si="97"/>
        <v>1.1536441634201016E-3</v>
      </c>
      <c r="U385" s="5">
        <f t="shared" si="98"/>
        <v>1.8683624832967687E-2</v>
      </c>
    </row>
    <row r="386" spans="1:21">
      <c r="A386" s="19">
        <f t="shared" si="99"/>
        <v>30.999999999999829</v>
      </c>
      <c r="B386" s="10">
        <f t="shared" si="85"/>
        <v>5.9606708207456741E-3</v>
      </c>
      <c r="C386" s="10">
        <f t="shared" si="87"/>
        <v>0.22035947491034263</v>
      </c>
      <c r="D386" s="10">
        <f t="shared" si="88"/>
        <v>1.3134902921729179E-3</v>
      </c>
      <c r="H386" s="19">
        <f t="shared" si="86"/>
        <v>30.999999999999829</v>
      </c>
      <c r="I386" s="10">
        <f t="shared" si="89"/>
        <v>0.15301068073212162</v>
      </c>
      <c r="J386" s="10">
        <f t="shared" si="90"/>
        <v>9.1204629990238972E-4</v>
      </c>
      <c r="K386" s="10">
        <f t="shared" si="91"/>
        <v>5.0486245208432841E-3</v>
      </c>
      <c r="L386" s="10">
        <f t="shared" si="92"/>
        <v>7.1922810986080055E-2</v>
      </c>
      <c r="M386" s="10">
        <f t="shared" si="93"/>
        <v>0.98286162821693179</v>
      </c>
      <c r="N386" s="10">
        <f t="shared" si="94"/>
        <v>0.96595869899613651</v>
      </c>
      <c r="O386" s="10">
        <f t="shared" si="100"/>
        <v>3.3545543191452087E-2</v>
      </c>
      <c r="P386" s="10">
        <f t="shared" si="101"/>
        <v>8.3035928812157642E-2</v>
      </c>
      <c r="Q386" s="10">
        <f t="shared" si="95"/>
        <v>0.41435957900540643</v>
      </c>
      <c r="S386" s="5">
        <f t="shared" si="96"/>
        <v>2.0097804374041148E-4</v>
      </c>
      <c r="T386" s="5">
        <f t="shared" si="97"/>
        <v>1.1125122484325063E-3</v>
      </c>
      <c r="U386" s="5">
        <f t="shared" si="98"/>
        <v>1.829775367173965E-2</v>
      </c>
    </row>
    <row r="387" spans="1:21">
      <c r="A387" s="19">
        <f t="shared" si="99"/>
        <v>31.083333333333162</v>
      </c>
      <c r="B387" s="10">
        <f t="shared" si="85"/>
        <v>5.7577618311517248E-3</v>
      </c>
      <c r="C387" s="10">
        <f t="shared" si="87"/>
        <v>0.21946534592482372</v>
      </c>
      <c r="D387" s="10">
        <f t="shared" si="88"/>
        <v>1.2636291920264597E-3</v>
      </c>
      <c r="H387" s="19">
        <f t="shared" si="86"/>
        <v>31.083333333333162</v>
      </c>
      <c r="I387" s="10">
        <f t="shared" si="89"/>
        <v>0.15117220561888878</v>
      </c>
      <c r="J387" s="10">
        <f t="shared" si="90"/>
        <v>8.7041355544345816E-4</v>
      </c>
      <c r="K387" s="10">
        <f t="shared" si="91"/>
        <v>4.8873482757082667E-3</v>
      </c>
      <c r="L387" s="10">
        <f t="shared" si="92"/>
        <v>7.069017111171727E-2</v>
      </c>
      <c r="M387" s="10">
        <f t="shared" si="93"/>
        <v>0.98276295387304191</v>
      </c>
      <c r="N387" s="10">
        <f t="shared" si="94"/>
        <v>0.9657565347960444</v>
      </c>
      <c r="O387" s="10">
        <f t="shared" si="100"/>
        <v>3.3741931603926356E-2</v>
      </c>
      <c r="P387" s="10">
        <f t="shared" si="101"/>
        <v>8.1643423281368477E-2</v>
      </c>
      <c r="Q387" s="10">
        <f t="shared" si="95"/>
        <v>0.41686374461553133</v>
      </c>
      <c r="S387" s="5">
        <f t="shared" si="96"/>
        <v>1.9102561204305428E-4</v>
      </c>
      <c r="T387" s="5">
        <f t="shared" si="97"/>
        <v>1.0726035799834056E-3</v>
      </c>
      <c r="U387" s="5">
        <f t="shared" si="98"/>
        <v>1.7917902132932338E-2</v>
      </c>
    </row>
    <row r="388" spans="1:21">
      <c r="A388" s="19">
        <f t="shared" si="99"/>
        <v>31.166666666666494</v>
      </c>
      <c r="B388" s="10">
        <f t="shared" si="85"/>
        <v>5.5605961142340173E-3</v>
      </c>
      <c r="C388" s="10">
        <f t="shared" si="87"/>
        <v>0.21857484495050364</v>
      </c>
      <c r="D388" s="10">
        <f t="shared" si="88"/>
        <v>1.2154064335010734E-3</v>
      </c>
      <c r="H388" s="19">
        <f t="shared" si="86"/>
        <v>31.166666666666494</v>
      </c>
      <c r="I388" s="10">
        <f t="shared" si="89"/>
        <v>0.14934561963397766</v>
      </c>
      <c r="J388" s="10">
        <f t="shared" si="90"/>
        <v>8.3045067221456769E-4</v>
      </c>
      <c r="K388" s="10">
        <f t="shared" si="91"/>
        <v>4.7301454420194495E-3</v>
      </c>
      <c r="L388" s="10">
        <f t="shared" si="92"/>
        <v>6.9471681371542041E-2</v>
      </c>
      <c r="M388" s="10">
        <f t="shared" si="93"/>
        <v>0.9826637161594699</v>
      </c>
      <c r="N388" s="10">
        <f t="shared" si="94"/>
        <v>0.96555319122480232</v>
      </c>
      <c r="O388" s="10">
        <f t="shared" si="100"/>
        <v>3.3939432601053726E-2</v>
      </c>
      <c r="P388" s="10">
        <f t="shared" si="101"/>
        <v>8.0265501262959657E-2</v>
      </c>
      <c r="Q388" s="10">
        <f t="shared" si="95"/>
        <v>0.41938304770399254</v>
      </c>
      <c r="S388" s="5">
        <f t="shared" si="96"/>
        <v>1.8151562691834066E-4</v>
      </c>
      <c r="T388" s="5">
        <f t="shared" si="97"/>
        <v>1.0338908065827327E-3</v>
      </c>
      <c r="U388" s="5">
        <f t="shared" si="98"/>
        <v>1.754401949342586E-2</v>
      </c>
    </row>
    <row r="389" spans="1:21">
      <c r="A389" s="19">
        <f t="shared" si="99"/>
        <v>31.249999999999826</v>
      </c>
      <c r="B389" s="10">
        <f t="shared" si="85"/>
        <v>5.3690513232108909E-3</v>
      </c>
      <c r="C389" s="10">
        <f t="shared" si="87"/>
        <v>0.21768795726639084</v>
      </c>
      <c r="D389" s="10">
        <f t="shared" si="88"/>
        <v>1.1687778150081915E-3</v>
      </c>
      <c r="H389" s="19">
        <f t="shared" si="86"/>
        <v>31.249999999999826</v>
      </c>
      <c r="I389" s="10">
        <f t="shared" si="89"/>
        <v>0.14753097014797806</v>
      </c>
      <c r="J389" s="10">
        <f t="shared" si="90"/>
        <v>7.9210135048758809E-4</v>
      </c>
      <c r="K389" s="10">
        <f t="shared" si="91"/>
        <v>4.5769499727233024E-3</v>
      </c>
      <c r="L389" s="10">
        <f t="shared" si="92"/>
        <v>6.8267300584406124E-2</v>
      </c>
      <c r="M389" s="10">
        <f t="shared" si="93"/>
        <v>0.98256391191811276</v>
      </c>
      <c r="N389" s="10">
        <f t="shared" si="94"/>
        <v>0.96534866166185729</v>
      </c>
      <c r="O389" s="10">
        <f t="shared" si="100"/>
        <v>3.4138052040220135E-2</v>
      </c>
      <c r="P389" s="10">
        <f t="shared" si="101"/>
        <v>7.8902180775080683E-2</v>
      </c>
      <c r="Q389" s="10">
        <f t="shared" si="95"/>
        <v>0.42191757977562183</v>
      </c>
      <c r="S389" s="5">
        <f t="shared" si="96"/>
        <v>1.7243092493559255E-4</v>
      </c>
      <c r="T389" s="5">
        <f t="shared" si="97"/>
        <v>9.9634689007259891E-4</v>
      </c>
      <c r="U389" s="5">
        <f t="shared" si="98"/>
        <v>1.7176054556790808E-2</v>
      </c>
    </row>
    <row r="390" spans="1:21">
      <c r="A390" s="19">
        <f t="shared" si="99"/>
        <v>31.333333333333158</v>
      </c>
      <c r="B390" s="10">
        <f t="shared" si="85"/>
        <v>5.1830065092554577E-3</v>
      </c>
      <c r="C390" s="10">
        <f t="shared" si="87"/>
        <v>0.21680466821122554</v>
      </c>
      <c r="D390" s="10">
        <f t="shared" si="88"/>
        <v>1.1237000065757517E-3</v>
      </c>
      <c r="H390" s="19">
        <f t="shared" si="86"/>
        <v>31.333333333333158</v>
      </c>
      <c r="I390" s="10">
        <f t="shared" si="89"/>
        <v>0.14572830329103101</v>
      </c>
      <c r="J390" s="10">
        <f t="shared" si="90"/>
        <v>7.5531074454016729E-4</v>
      </c>
      <c r="K390" s="10">
        <f t="shared" si="91"/>
        <v>4.4276957647152899E-3</v>
      </c>
      <c r="L390" s="10">
        <f t="shared" si="92"/>
        <v>6.7076985918303744E-2</v>
      </c>
      <c r="M390" s="10">
        <f t="shared" si="93"/>
        <v>0.98246353797385166</v>
      </c>
      <c r="N390" s="10">
        <f t="shared" si="94"/>
        <v>0.9651429394526182</v>
      </c>
      <c r="O390" s="10">
        <f t="shared" si="100"/>
        <v>3.4337795804269544E-2</v>
      </c>
      <c r="P390" s="10">
        <f t="shared" si="101"/>
        <v>7.7553476198357452E-2</v>
      </c>
      <c r="Q390" s="10">
        <f t="shared" si="95"/>
        <v>0.4244674328883879</v>
      </c>
      <c r="S390" s="5">
        <f t="shared" si="96"/>
        <v>1.6375489536640469E-4</v>
      </c>
      <c r="T390" s="5">
        <f t="shared" si="97"/>
        <v>9.5994511120934699E-4</v>
      </c>
      <c r="U390" s="5">
        <f t="shared" si="98"/>
        <v>1.6813955675812065E-2</v>
      </c>
    </row>
    <row r="391" spans="1:21">
      <c r="A391" s="19">
        <f t="shared" si="99"/>
        <v>31.41666666666649</v>
      </c>
      <c r="B391" s="10">
        <f t="shared" si="85"/>
        <v>5.002342137544866E-3</v>
      </c>
      <c r="C391" s="10">
        <f t="shared" si="87"/>
        <v>0.21592496318323731</v>
      </c>
      <c r="D391" s="10">
        <f t="shared" si="88"/>
        <v>1.0801305418793319E-3</v>
      </c>
      <c r="H391" s="19">
        <f t="shared" si="86"/>
        <v>31.41666666666649</v>
      </c>
      <c r="I391" s="10">
        <f t="shared" si="89"/>
        <v>0.14393766394154822</v>
      </c>
      <c r="J391" s="10">
        <f t="shared" si="90"/>
        <v>7.2002544151457892E-4</v>
      </c>
      <c r="K391" s="10">
        <f t="shared" si="91"/>
        <v>4.2823166960302876E-3</v>
      </c>
      <c r="L391" s="10">
        <f t="shared" si="92"/>
        <v>6.5900692901918925E-2</v>
      </c>
      <c r="M391" s="10">
        <f t="shared" si="93"/>
        <v>0.98236259113445235</v>
      </c>
      <c r="N391" s="10">
        <f t="shared" si="94"/>
        <v>0.96493601790835792</v>
      </c>
      <c r="O391" s="10">
        <f t="shared" si="100"/>
        <v>3.4538669801546726E-2</v>
      </c>
      <c r="P391" s="10">
        <f t="shared" si="101"/>
        <v>7.6219398314123957E-2</v>
      </c>
      <c r="Q391" s="10">
        <f t="shared" si="95"/>
        <v>0.42703269965674434</v>
      </c>
      <c r="S391" s="5">
        <f t="shared" si="96"/>
        <v>1.5547146695002963E-4</v>
      </c>
      <c r="T391" s="5">
        <f t="shared" si="97"/>
        <v>9.2465907492930233E-4</v>
      </c>
      <c r="U391" s="5">
        <f t="shared" si="98"/>
        <v>1.6457670774825715E-2</v>
      </c>
    </row>
    <row r="392" spans="1:21">
      <c r="A392" s="19">
        <f t="shared" si="99"/>
        <v>31.499999999999822</v>
      </c>
      <c r="B392" s="10">
        <f t="shared" si="85"/>
        <v>4.8269401024177263E-3</v>
      </c>
      <c r="C392" s="10">
        <f t="shared" si="87"/>
        <v>0.21504882763990391</v>
      </c>
      <c r="D392" s="10">
        <f t="shared" si="88"/>
        <v>1.0380278101129697E-3</v>
      </c>
      <c r="H392" s="19">
        <f t="shared" si="86"/>
        <v>31.499999999999822</v>
      </c>
      <c r="I392" s="10">
        <f t="shared" si="89"/>
        <v>0.14215909571515892</v>
      </c>
      <c r="J392" s="10">
        <f t="shared" si="90"/>
        <v>6.8619344003094049E-4</v>
      </c>
      <c r="K392" s="10">
        <f t="shared" si="91"/>
        <v>4.1407466623867859E-3</v>
      </c>
      <c r="L392" s="10">
        <f t="shared" si="92"/>
        <v>6.4738375436684883E-2</v>
      </c>
      <c r="M392" s="10">
        <f t="shared" si="93"/>
        <v>0.98226106819049808</v>
      </c>
      <c r="N392" s="10">
        <f t="shared" si="94"/>
        <v>0.96472789030604689</v>
      </c>
      <c r="O392" s="10">
        <f t="shared" si="100"/>
        <v>3.474067996593895E-2</v>
      </c>
      <c r="P392" s="10">
        <f t="shared" si="101"/>
        <v>7.4899954343544906E-2</v>
      </c>
      <c r="Q392" s="10">
        <f t="shared" si="95"/>
        <v>0.42961347325499211</v>
      </c>
      <c r="S392" s="5">
        <f t="shared" si="96"/>
        <v>1.4756509481284646E-4</v>
      </c>
      <c r="T392" s="5">
        <f t="shared" si="97"/>
        <v>8.9046271530012324E-4</v>
      </c>
      <c r="U392" s="5">
        <f t="shared" si="98"/>
        <v>1.6107147371861662E-2</v>
      </c>
    </row>
    <row r="393" spans="1:21">
      <c r="A393" s="19">
        <f t="shared" si="99"/>
        <v>31.583333333333155</v>
      </c>
      <c r="B393" s="10">
        <f t="shared" si="85"/>
        <v>4.6566837416391069E-3</v>
      </c>
      <c r="C393" s="10">
        <f t="shared" si="87"/>
        <v>0.21417624709771063</v>
      </c>
      <c r="D393" s="10">
        <f t="shared" si="88"/>
        <v>9.9735104770518903E-4</v>
      </c>
      <c r="H393" s="19">
        <f t="shared" si="86"/>
        <v>31.583333333333155</v>
      </c>
      <c r="I393" s="10">
        <f t="shared" si="89"/>
        <v>0.14039264095389614</v>
      </c>
      <c r="J393" s="10">
        <f t="shared" si="90"/>
        <v>6.5376412857578482E-4</v>
      </c>
      <c r="K393" s="10">
        <f t="shared" si="91"/>
        <v>4.0029196130633221E-3</v>
      </c>
      <c r="L393" s="10">
        <f t="shared" si="92"/>
        <v>6.3589985809355598E-2</v>
      </c>
      <c r="M393" s="10">
        <f t="shared" si="93"/>
        <v>0.98215896591529517</v>
      </c>
      <c r="N393" s="10">
        <f t="shared" si="94"/>
        <v>0.96451854988824337</v>
      </c>
      <c r="O393" s="10">
        <f t="shared" si="100"/>
        <v>3.4943832256916808E-2</v>
      </c>
      <c r="P393" s="10">
        <f t="shared" si="101"/>
        <v>7.3595147987604789E-2</v>
      </c>
      <c r="Q393" s="10">
        <f t="shared" si="95"/>
        <v>0.43220984742066088</v>
      </c>
      <c r="S393" s="5">
        <f t="shared" si="96"/>
        <v>1.4002074754546675E-4</v>
      </c>
      <c r="T393" s="5">
        <f t="shared" si="97"/>
        <v>8.5733030015972228E-4</v>
      </c>
      <c r="U393" s="5">
        <f t="shared" si="98"/>
        <v>1.5762332600585825E-2</v>
      </c>
    </row>
    <row r="394" spans="1:21">
      <c r="A394" s="19">
        <f t="shared" si="99"/>
        <v>31.666666666666487</v>
      </c>
      <c r="B394" s="10">
        <f t="shared" si="85"/>
        <v>4.4914578497739109E-3</v>
      </c>
      <c r="C394" s="10">
        <f t="shared" si="87"/>
        <v>0.2133072071319109</v>
      </c>
      <c r="D394" s="10">
        <f t="shared" si="88"/>
        <v>9.580603298859707E-4</v>
      </c>
      <c r="H394" s="19">
        <f t="shared" si="86"/>
        <v>31.666666666666487</v>
      </c>
      <c r="I394" s="10">
        <f t="shared" si="89"/>
        <v>0.13863834071562187</v>
      </c>
      <c r="J394" s="10">
        <f t="shared" si="90"/>
        <v>6.2268826368680984E-4</v>
      </c>
      <c r="K394" s="10">
        <f t="shared" si="91"/>
        <v>3.8687695860871009E-3</v>
      </c>
      <c r="L394" s="10">
        <f t="shared" si="92"/>
        <v>6.2455474705084987E-2</v>
      </c>
      <c r="M394" s="10">
        <f t="shared" si="93"/>
        <v>0.98205628106478515</v>
      </c>
      <c r="N394" s="10">
        <f t="shared" si="94"/>
        <v>0.9643079898629322</v>
      </c>
      <c r="O394" s="10">
        <f t="shared" si="100"/>
        <v>3.5148132659573873E-2</v>
      </c>
      <c r="P394" s="10">
        <f t="shared" si="101"/>
        <v>7.2304979467933572E-2</v>
      </c>
      <c r="Q394" s="10">
        <f t="shared" si="95"/>
        <v>0.43482191645791757</v>
      </c>
      <c r="S394" s="5">
        <f t="shared" si="96"/>
        <v>1.3282389444085229E-4</v>
      </c>
      <c r="T394" s="5">
        <f t="shared" si="97"/>
        <v>8.2523643544511846E-4</v>
      </c>
      <c r="U394" s="5">
        <f t="shared" si="98"/>
        <v>1.5423173232035072E-2</v>
      </c>
    </row>
    <row r="395" spans="1:21">
      <c r="A395" s="19">
        <f t="shared" si="99"/>
        <v>31.749999999999819</v>
      </c>
      <c r="B395" s="10">
        <f t="shared" si="85"/>
        <v>4.3311486906695675E-3</v>
      </c>
      <c r="C395" s="10">
        <f t="shared" si="87"/>
        <v>0.21244169337628807</v>
      </c>
      <c r="D395" s="10">
        <f t="shared" si="88"/>
        <v>9.2011656211033583E-4</v>
      </c>
      <c r="H395" s="19">
        <f t="shared" si="86"/>
        <v>31.749999999999819</v>
      </c>
      <c r="I395" s="10">
        <f t="shared" si="89"/>
        <v>0.13689623476370169</v>
      </c>
      <c r="J395" s="10">
        <f t="shared" si="90"/>
        <v>5.9291794795440029E-4</v>
      </c>
      <c r="K395" s="10">
        <f t="shared" si="91"/>
        <v>3.7382307427151671E-3</v>
      </c>
      <c r="L395" s="10">
        <f t="shared" si="92"/>
        <v>6.1334791221011521E-2</v>
      </c>
      <c r="M395" s="10">
        <f t="shared" si="93"/>
        <v>0.98195301037747118</v>
      </c>
      <c r="N395" s="10">
        <f t="shared" si="94"/>
        <v>0.96409620340342139</v>
      </c>
      <c r="O395" s="10">
        <f t="shared" si="100"/>
        <v>3.5353587184666045E-2</v>
      </c>
      <c r="P395" s="10">
        <f t="shared" si="101"/>
        <v>7.1029445568442123E-2</v>
      </c>
      <c r="Q395" s="10">
        <f t="shared" si="95"/>
        <v>0.43744977524099021</v>
      </c>
      <c r="S395" s="5">
        <f t="shared" si="96"/>
        <v>1.2596049289662664E-4</v>
      </c>
      <c r="T395" s="5">
        <f t="shared" si="97"/>
        <v>7.9415606921370916E-4</v>
      </c>
      <c r="U395" s="5">
        <f t="shared" si="98"/>
        <v>1.5089615696138725E-2</v>
      </c>
    </row>
    <row r="396" spans="1:21">
      <c r="A396" s="19">
        <f t="shared" si="99"/>
        <v>31.833333333333151</v>
      </c>
      <c r="B396" s="10">
        <f t="shared" si="85"/>
        <v>4.1756440090502294E-3</v>
      </c>
      <c r="C396" s="10">
        <f t="shared" si="87"/>
        <v>0.21157969152291758</v>
      </c>
      <c r="D396" s="10">
        <f t="shared" si="88"/>
        <v>8.834814713443664E-4</v>
      </c>
      <c r="H396" s="19">
        <f t="shared" si="86"/>
        <v>31.833333333333151</v>
      </c>
      <c r="I396" s="10">
        <f t="shared" si="89"/>
        <v>0.13516636155693035</v>
      </c>
      <c r="J396" s="10">
        <f t="shared" si="90"/>
        <v>5.6440660786031345E-4</v>
      </c>
      <c r="K396" s="10">
        <f t="shared" si="91"/>
        <v>3.6112374011899161E-3</v>
      </c>
      <c r="L396" s="10">
        <f t="shared" si="92"/>
        <v>6.0227882880345952E-2</v>
      </c>
      <c r="M396" s="10">
        <f t="shared" si="93"/>
        <v>0.98184915057432387</v>
      </c>
      <c r="N396" s="10">
        <f t="shared" si="94"/>
        <v>0.96388318364816616</v>
      </c>
      <c r="O396" s="10">
        <f t="shared" si="100"/>
        <v>3.5560201868648639E-2</v>
      </c>
      <c r="P396" s="10">
        <f t="shared" si="101"/>
        <v>6.9768539677740826E-2</v>
      </c>
      <c r="Q396" s="10">
        <f t="shared" si="95"/>
        <v>0.4400935192176143</v>
      </c>
      <c r="S396" s="5">
        <f t="shared" si="96"/>
        <v>1.1941697598458143E-4</v>
      </c>
      <c r="T396" s="5">
        <f t="shared" si="97"/>
        <v>7.6406449535978505E-4</v>
      </c>
      <c r="U396" s="5">
        <f t="shared" si="98"/>
        <v>1.476160610302084E-2</v>
      </c>
    </row>
    <row r="397" spans="1:21">
      <c r="A397" s="19">
        <f t="shared" si="99"/>
        <v>31.916666666666483</v>
      </c>
      <c r="B397" s="10">
        <f t="shared" si="85"/>
        <v>4.024833041224727E-3</v>
      </c>
      <c r="C397" s="10">
        <f t="shared" si="87"/>
        <v>0.21072118732193071</v>
      </c>
      <c r="D397" s="10">
        <f t="shared" si="88"/>
        <v>8.4811759721941174E-4</v>
      </c>
      <c r="H397" s="19">
        <f t="shared" si="86"/>
        <v>31.916666666666483</v>
      </c>
      <c r="I397" s="10">
        <f t="shared" si="89"/>
        <v>0.1334487582397168</v>
      </c>
      <c r="J397" s="10">
        <f t="shared" si="90"/>
        <v>5.3710897147362269E-4</v>
      </c>
      <c r="K397" s="10">
        <f t="shared" si="91"/>
        <v>3.4877240697511044E-3</v>
      </c>
      <c r="L397" s="10">
        <f t="shared" si="92"/>
        <v>5.9134695646957537E-2</v>
      </c>
      <c r="M397" s="10">
        <f t="shared" si="93"/>
        <v>0.98174469835869693</v>
      </c>
      <c r="N397" s="10">
        <f t="shared" si="94"/>
        <v>0.96366892370066326</v>
      </c>
      <c r="O397" s="10">
        <f t="shared" si="100"/>
        <v>3.5767982773713555E-2</v>
      </c>
      <c r="P397" s="10">
        <f t="shared" si="101"/>
        <v>6.852225183231235E-2</v>
      </c>
      <c r="Q397" s="10">
        <f t="shared" si="95"/>
        <v>0.44275324441249786</v>
      </c>
      <c r="S397" s="5">
        <f t="shared" si="96"/>
        <v>1.1318024019018279E-4</v>
      </c>
      <c r="T397" s="5">
        <f t="shared" si="97"/>
        <v>7.3493735702922895E-4</v>
      </c>
      <c r="U397" s="5">
        <f t="shared" si="98"/>
        <v>1.4439090264077201E-2</v>
      </c>
    </row>
    <row r="398" spans="1:21">
      <c r="A398" s="19">
        <f t="shared" si="99"/>
        <v>31.999999999999815</v>
      </c>
      <c r="B398" s="10">
        <f t="shared" ref="B398:B461" si="102">(B$9^A398)*B$10^((B$7^65)*((B$7^A398)-1))</f>
        <v>3.8786065249118997E-3</v>
      </c>
      <c r="C398" s="10">
        <f t="shared" si="87"/>
        <v>0.20986616658127885</v>
      </c>
      <c r="D398" s="10">
        <f t="shared" si="88"/>
        <v>8.1398828306039584E-4</v>
      </c>
      <c r="H398" s="19">
        <f t="shared" ref="H398:H461" si="103">A398</f>
        <v>31.999999999999815</v>
      </c>
      <c r="I398" s="10">
        <f t="shared" si="89"/>
        <v>0.1317434606325312</v>
      </c>
      <c r="J398" s="10">
        <f t="shared" si="90"/>
        <v>5.1098104602380953E-4</v>
      </c>
      <c r="K398" s="10">
        <f t="shared" si="91"/>
        <v>3.3676254788880902E-3</v>
      </c>
      <c r="L398" s="10">
        <f t="shared" si="92"/>
        <v>5.8055173940455673E-2</v>
      </c>
      <c r="M398" s="10">
        <f t="shared" si="93"/>
        <v>0.98163965041624113</v>
      </c>
      <c r="N398" s="10">
        <f t="shared" si="94"/>
        <v>0.96345341662931516</v>
      </c>
      <c r="O398" s="10">
        <f t="shared" si="100"/>
        <v>3.5976935987825344E-2</v>
      </c>
      <c r="P398" s="10">
        <f t="shared" si="101"/>
        <v>6.7290568760411423E-2</v>
      </c>
      <c r="Q398" s="10">
        <f t="shared" si="95"/>
        <v>0.44542904743081152</v>
      </c>
      <c r="S398" s="5">
        <f t="shared" si="96"/>
        <v>1.0723763332470892E-4</v>
      </c>
      <c r="T398" s="5">
        <f t="shared" si="97"/>
        <v>7.0675064973568693E-4</v>
      </c>
      <c r="U398" s="5">
        <f t="shared" si="98"/>
        <v>1.4122013712821502E-2</v>
      </c>
    </row>
    <row r="399" spans="1:21">
      <c r="A399" s="19">
        <f t="shared" si="99"/>
        <v>32.083333333333151</v>
      </c>
      <c r="B399" s="10">
        <f t="shared" si="102"/>
        <v>3.7368567081871246E-3</v>
      </c>
      <c r="C399" s="10">
        <f t="shared" ref="C399:C462" si="104">(1+B$8)^-A399</f>
        <v>0.20901461516649888</v>
      </c>
      <c r="D399" s="10">
        <f t="shared" ref="D399:D462" si="105">B399*C399</f>
        <v>7.8105766679408169E-4</v>
      </c>
      <c r="H399" s="19">
        <f t="shared" si="103"/>
        <v>32.083333333333151</v>
      </c>
      <c r="I399" s="10">
        <f t="shared" ref="I399:I462" si="106">(C$9^H399)*C$10^((C$7^63)*((C$7^H399)-1))</f>
        <v>0.13005050322262315</v>
      </c>
      <c r="J399" s="10">
        <f t="shared" ref="J399:J462" si="107">B399*I399</f>
        <v>4.859800953705706E-4</v>
      </c>
      <c r="K399" s="10">
        <f t="shared" ref="K399:K462" si="108">B399*(1-I399)</f>
        <v>3.2508766128165542E-3</v>
      </c>
      <c r="L399" s="10">
        <f t="shared" ref="L399:L462" si="109">(D$9^H399)*D$10^((D$7^63)*((D$7^H399)-1))</f>
        <v>5.6989260651762977E-2</v>
      </c>
      <c r="M399" s="10">
        <f t="shared" ref="M399:M462" si="110">L400/L399</f>
        <v>0.98153400341482655</v>
      </c>
      <c r="N399" s="10">
        <f t="shared" ref="N399:N462" si="111">B400/B399</f>
        <v>0.96323665546727122</v>
      </c>
      <c r="O399" s="10">
        <f t="shared" si="100"/>
        <v>3.6187067624755348E-2</v>
      </c>
      <c r="P399" s="10">
        <f t="shared" si="101"/>
        <v>6.6073473926664086E-2</v>
      </c>
      <c r="Q399" s="10">
        <f t="shared" ref="Q399:Q462" si="112">0.0001+0.0004*(1.075^(65+H399))</f>
        <v>0.44812102546169547</v>
      </c>
      <c r="S399" s="5">
        <f t="shared" ref="S399:S462" si="113">C399*J399</f>
        <v>1.0157694261245824E-4</v>
      </c>
      <c r="T399" s="5">
        <f t="shared" ref="T399:T462" si="114">C399*K399</f>
        <v>6.7948072418162352E-4</v>
      </c>
      <c r="U399" s="5">
        <f t="shared" ref="U399:U462" si="115">C399*P399</f>
        <v>1.3810321725495392E-2</v>
      </c>
    </row>
    <row r="400" spans="1:21">
      <c r="A400" s="19">
        <f t="shared" ref="A400:A463" si="116">A399+1/12</f>
        <v>32.166666666666487</v>
      </c>
      <c r="B400" s="10">
        <f t="shared" si="102"/>
        <v>3.5994773575546025E-3</v>
      </c>
      <c r="C400" s="10">
        <f t="shared" si="104"/>
        <v>0.20816651900047975</v>
      </c>
      <c r="D400" s="10">
        <f t="shared" si="105"/>
        <v>7.492906717431868E-4</v>
      </c>
      <c r="H400" s="19">
        <f t="shared" si="103"/>
        <v>32.166666666666487</v>
      </c>
      <c r="I400" s="10">
        <f t="shared" si="106"/>
        <v>0.12836991915501156</v>
      </c>
      <c r="J400" s="10">
        <f t="shared" si="107"/>
        <v>4.6206461738957895E-4</v>
      </c>
      <c r="K400" s="10">
        <f t="shared" si="108"/>
        <v>3.1374127401650235E-3</v>
      </c>
      <c r="L400" s="10">
        <f t="shared" si="109"/>
        <v>5.5936897159175963E-2</v>
      </c>
      <c r="M400" s="10">
        <f t="shared" si="110"/>
        <v>0.98142775400443982</v>
      </c>
      <c r="N400" s="10">
        <f t="shared" si="111"/>
        <v>0.96301863321231218</v>
      </c>
      <c r="O400" s="10">
        <f t="shared" ref="O400:O463" si="117">(1/24)*(Q400*M400+(J401/J400)*Q401)</f>
        <v>3.6398383824115525E-2</v>
      </c>
      <c r="P400" s="10">
        <f t="shared" ref="P400:P463" si="118">P399*M399+J399*O399</f>
        <v>6.4870947577339216E-2</v>
      </c>
      <c r="Q400" s="10">
        <f t="shared" si="112"/>
        <v>0.45082927628179198</v>
      </c>
      <c r="S400" s="5">
        <f t="shared" si="113"/>
        <v>9.6186382955277194E-5</v>
      </c>
      <c r="T400" s="5">
        <f t="shared" si="114"/>
        <v>6.5310428878790955E-4</v>
      </c>
      <c r="U400" s="5">
        <f t="shared" si="115"/>
        <v>1.350395934143731E-2</v>
      </c>
    </row>
    <row r="401" spans="1:21">
      <c r="A401" s="19">
        <f t="shared" si="116"/>
        <v>32.249999999999822</v>
      </c>
      <c r="B401" s="10">
        <f t="shared" si="102"/>
        <v>3.4663637651508985E-3</v>
      </c>
      <c r="C401" s="10">
        <f t="shared" si="104"/>
        <v>0.20732186406322939</v>
      </c>
      <c r="D401" s="10">
        <f t="shared" si="105"/>
        <v>7.1865299731231852E-4</v>
      </c>
      <c r="H401" s="19">
        <f t="shared" si="103"/>
        <v>32.249999999999822</v>
      </c>
      <c r="I401" s="10">
        <f t="shared" si="106"/>
        <v>0.12670174022375538</v>
      </c>
      <c r="J401" s="10">
        <f t="shared" si="107"/>
        <v>4.3919432129318776E-4</v>
      </c>
      <c r="K401" s="10">
        <f t="shared" si="108"/>
        <v>3.0271694438577107E-3</v>
      </c>
      <c r="L401" s="10">
        <f t="shared" si="109"/>
        <v>5.4898023344907398E-2</v>
      </c>
      <c r="M401" s="10">
        <f t="shared" si="110"/>
        <v>0.98132089881711304</v>
      </c>
      <c r="N401" s="10">
        <f t="shared" si="111"/>
        <v>0.96279934282671098</v>
      </c>
      <c r="O401" s="10">
        <f t="shared" si="117"/>
        <v>3.6610890751391123E-2</v>
      </c>
      <c r="P401" s="10">
        <f t="shared" si="118"/>
        <v>6.3682966786263076E-2</v>
      </c>
      <c r="Q401" s="10">
        <f t="shared" si="112"/>
        <v>0.4535538982587935</v>
      </c>
      <c r="S401" s="5">
        <f t="shared" si="113"/>
        <v>9.105458537648856E-5</v>
      </c>
      <c r="T401" s="5">
        <f t="shared" si="114"/>
        <v>6.2759841193583E-4</v>
      </c>
      <c r="U401" s="5">
        <f t="shared" si="115"/>
        <v>1.3202871383204785E-2</v>
      </c>
    </row>
    <row r="402" spans="1:21">
      <c r="A402" s="19">
        <f t="shared" si="116"/>
        <v>32.333333333333158</v>
      </c>
      <c r="B402" s="10">
        <f t="shared" si="102"/>
        <v>3.3374127550856087E-3</v>
      </c>
      <c r="C402" s="10">
        <f t="shared" si="104"/>
        <v>0.20648063639164332</v>
      </c>
      <c r="D402" s="10">
        <f t="shared" si="105"/>
        <v>6.891111095716642E-4</v>
      </c>
      <c r="H402" s="19">
        <f t="shared" si="103"/>
        <v>32.333333333333158</v>
      </c>
      <c r="I402" s="10">
        <f t="shared" si="106"/>
        <v>0.12504599686350906</v>
      </c>
      <c r="J402" s="10">
        <f t="shared" si="107"/>
        <v>4.1733010490467017E-4</v>
      </c>
      <c r="K402" s="10">
        <f t="shared" si="108"/>
        <v>2.9200826501809387E-3</v>
      </c>
      <c r="L402" s="10">
        <f t="shared" si="109"/>
        <v>5.3872577612107383E-2</v>
      </c>
      <c r="M402" s="10">
        <f t="shared" si="110"/>
        <v>0.98121343446682152</v>
      </c>
      <c r="N402" s="10">
        <f t="shared" si="111"/>
        <v>0.9625787772370874</v>
      </c>
      <c r="O402" s="10">
        <f t="shared" si="117"/>
        <v>3.6824594597971695E-2</v>
      </c>
      <c r="P402" s="10">
        <f t="shared" si="118"/>
        <v>6.2509505501351537E-2</v>
      </c>
      <c r="Q402" s="10">
        <f t="shared" si="112"/>
        <v>0.45629499035501697</v>
      </c>
      <c r="S402" s="5">
        <f t="shared" si="113"/>
        <v>8.6170585646107561E-5</v>
      </c>
      <c r="T402" s="5">
        <f t="shared" si="114"/>
        <v>6.0294052392555664E-4</v>
      </c>
      <c r="U402" s="5">
        <f t="shared" si="115"/>
        <v>1.2907002476445995E-2</v>
      </c>
    </row>
    <row r="403" spans="1:21">
      <c r="A403" s="19">
        <f t="shared" si="116"/>
        <v>32.416666666666494</v>
      </c>
      <c r="B403" s="10">
        <f t="shared" si="102"/>
        <v>3.2125226889257643E-3</v>
      </c>
      <c r="C403" s="10">
        <f t="shared" si="104"/>
        <v>0.20564282207927362</v>
      </c>
      <c r="D403" s="10">
        <f t="shared" si="105"/>
        <v>6.6063223174439058E-4</v>
      </c>
      <c r="H403" s="19">
        <f t="shared" si="103"/>
        <v>32.416666666666494</v>
      </c>
      <c r="I403" s="10">
        <f t="shared" si="106"/>
        <v>0.12340271814136741</v>
      </c>
      <c r="J403" s="10">
        <f t="shared" si="107"/>
        <v>3.9643403190425385E-4</v>
      </c>
      <c r="K403" s="10">
        <f t="shared" si="108"/>
        <v>2.8160886570215106E-3</v>
      </c>
      <c r="L403" s="10">
        <f t="shared" si="109"/>
        <v>5.2860496902356287E-2</v>
      </c>
      <c r="M403" s="10">
        <f t="shared" si="110"/>
        <v>0.98110535754941697</v>
      </c>
      <c r="N403" s="10">
        <f t="shared" si="111"/>
        <v>0.9623569293342884</v>
      </c>
      <c r="O403" s="10">
        <f t="shared" si="117"/>
        <v>3.703950158118198E-2</v>
      </c>
      <c r="P403" s="10">
        <f t="shared" si="118"/>
        <v>6.1350534591730455E-2</v>
      </c>
      <c r="Q403" s="10">
        <f t="shared" si="112"/>
        <v>0.45905265213100022</v>
      </c>
      <c r="S403" s="5">
        <f t="shared" si="113"/>
        <v>8.1523813089055556E-5</v>
      </c>
      <c r="T403" s="5">
        <f t="shared" si="114"/>
        <v>5.7910841865533506E-4</v>
      </c>
      <c r="U403" s="5">
        <f t="shared" si="115"/>
        <v>1.2616297069515548E-2</v>
      </c>
    </row>
    <row r="404" spans="1:21">
      <c r="A404" s="19">
        <f t="shared" si="116"/>
        <v>32.499999999999829</v>
      </c>
      <c r="B404" s="10">
        <f t="shared" si="102"/>
        <v>3.09159347033133E-3</v>
      </c>
      <c r="C404" s="10">
        <f t="shared" si="104"/>
        <v>0.20480840727609892</v>
      </c>
      <c r="D404" s="10">
        <f t="shared" si="105"/>
        <v>6.3318433460374712E-4</v>
      </c>
      <c r="H404" s="19">
        <f t="shared" si="103"/>
        <v>32.499999999999829</v>
      </c>
      <c r="I404" s="10">
        <f t="shared" si="106"/>
        <v>0.12177193174900493</v>
      </c>
      <c r="J404" s="10">
        <f t="shared" si="107"/>
        <v>3.76469309064856E-4</v>
      </c>
      <c r="K404" s="10">
        <f t="shared" si="108"/>
        <v>2.7151241612664739E-3</v>
      </c>
      <c r="L404" s="10">
        <f t="shared" si="109"/>
        <v>5.1861716713626112E-2</v>
      </c>
      <c r="M404" s="10">
        <f t="shared" si="110"/>
        <v>0.98099666464251201</v>
      </c>
      <c r="N404" s="10">
        <f t="shared" si="111"/>
        <v>0.96213379197323545</v>
      </c>
      <c r="O404" s="10">
        <f t="shared" si="117"/>
        <v>3.7255617944310232E-2</v>
      </c>
      <c r="P404" s="10">
        <f t="shared" si="118"/>
        <v>6.0206021895419133E-2</v>
      </c>
      <c r="Q404" s="10">
        <f t="shared" si="112"/>
        <v>0.46182698374911652</v>
      </c>
      <c r="S404" s="5">
        <f t="shared" si="113"/>
        <v>7.7104079577906587E-5</v>
      </c>
      <c r="T404" s="5">
        <f t="shared" si="114"/>
        <v>5.5608025502584043E-4</v>
      </c>
      <c r="U404" s="5">
        <f t="shared" si="115"/>
        <v>1.233069945283073E-2</v>
      </c>
    </row>
    <row r="405" spans="1:21">
      <c r="A405" s="19">
        <f t="shared" si="116"/>
        <v>32.583333333333165</v>
      </c>
      <c r="B405" s="10">
        <f t="shared" si="102"/>
        <v>2.9745265488495768E-3</v>
      </c>
      <c r="C405" s="10">
        <f t="shared" si="104"/>
        <v>0.20397737818829573</v>
      </c>
      <c r="D405" s="10">
        <f t="shared" si="105"/>
        <v>6.0673612678581619E-4</v>
      </c>
      <c r="H405" s="19">
        <f t="shared" si="103"/>
        <v>32.583333333333165</v>
      </c>
      <c r="I405" s="10">
        <f t="shared" si="106"/>
        <v>0.12015366399511641</v>
      </c>
      <c r="J405" s="10">
        <f t="shared" si="107"/>
        <v>3.5740026349502529E-4</v>
      </c>
      <c r="K405" s="10">
        <f t="shared" si="108"/>
        <v>2.6171262853545516E-3</v>
      </c>
      <c r="L405" s="10">
        <f t="shared" si="109"/>
        <v>5.0876171118702032E-2</v>
      </c>
      <c r="M405" s="10">
        <f t="shared" si="110"/>
        <v>0.98088735230542157</v>
      </c>
      <c r="N405" s="10">
        <f t="shared" si="111"/>
        <v>0.96190935797280608</v>
      </c>
      <c r="O405" s="10">
        <f t="shared" si="117"/>
        <v>3.7472949956636782E-2</v>
      </c>
      <c r="P405" s="10">
        <f t="shared" si="118"/>
        <v>5.9075932267546497E-2</v>
      </c>
      <c r="Q405" s="10">
        <f t="shared" si="112"/>
        <v>0.46461808597721083</v>
      </c>
      <c r="S405" s="5">
        <f t="shared" si="113"/>
        <v>7.2901568711521316E-5</v>
      </c>
      <c r="T405" s="5">
        <f t="shared" si="114"/>
        <v>5.3383455807429496E-4</v>
      </c>
      <c r="U405" s="5">
        <f t="shared" si="115"/>
        <v>1.2050153777963474E-2</v>
      </c>
    </row>
    <row r="406" spans="1:21">
      <c r="A406" s="19">
        <f t="shared" si="116"/>
        <v>32.666666666666501</v>
      </c>
      <c r="B406" s="10">
        <f t="shared" si="102"/>
        <v>2.8612249228769631E-3</v>
      </c>
      <c r="C406" s="10">
        <f t="shared" si="104"/>
        <v>0.20314972107801024</v>
      </c>
      <c r="D406" s="10">
        <f t="shared" si="105"/>
        <v>5.8125704502390643E-4</v>
      </c>
      <c r="H406" s="19">
        <f t="shared" si="103"/>
        <v>32.666666666666501</v>
      </c>
      <c r="I406" s="10">
        <f t="shared" si="106"/>
        <v>0.11854793979816096</v>
      </c>
      <c r="J406" s="10">
        <f t="shared" si="107"/>
        <v>3.3919231990621598E-4</v>
      </c>
      <c r="K406" s="10">
        <f t="shared" si="108"/>
        <v>2.5220326029707471E-3</v>
      </c>
      <c r="L406" s="10">
        <f t="shared" si="109"/>
        <v>4.9903792784061193E-2</v>
      </c>
      <c r="M406" s="10">
        <f t="shared" si="110"/>
        <v>0.98077741707904553</v>
      </c>
      <c r="N406" s="10">
        <f t="shared" si="111"/>
        <v>0.9616836201156862</v>
      </c>
      <c r="O406" s="10">
        <f t="shared" si="117"/>
        <v>3.7691503913460198E-2</v>
      </c>
      <c r="P406" s="10">
        <f t="shared" si="118"/>
        <v>5.7960227629076537E-2</v>
      </c>
      <c r="Q406" s="10">
        <f t="shared" si="112"/>
        <v>0.46742606019226179</v>
      </c>
      <c r="S406" s="5">
        <f t="shared" si="113"/>
        <v>6.8906825180750994E-5</v>
      </c>
      <c r="T406" s="5">
        <f t="shared" si="114"/>
        <v>5.1235021984315547E-4</v>
      </c>
      <c r="U406" s="5">
        <f t="shared" si="115"/>
        <v>1.1774604076464881E-2</v>
      </c>
    </row>
    <row r="407" spans="1:21">
      <c r="A407" s="19">
        <f t="shared" si="116"/>
        <v>32.749999999999837</v>
      </c>
      <c r="B407" s="10">
        <f t="shared" si="102"/>
        <v>2.751593141797543E-3</v>
      </c>
      <c r="C407" s="10">
        <f t="shared" si="104"/>
        <v>0.2023254222631313</v>
      </c>
      <c r="D407" s="10">
        <f t="shared" si="105"/>
        <v>5.5671724431052404E-4</v>
      </c>
      <c r="H407" s="19">
        <f t="shared" si="103"/>
        <v>32.749999999999837</v>
      </c>
      <c r="I407" s="10">
        <f t="shared" si="106"/>
        <v>0.11695478267941639</v>
      </c>
      <c r="J407" s="10">
        <f t="shared" si="107"/>
        <v>3.218119779211042E-4</v>
      </c>
      <c r="K407" s="10">
        <f t="shared" si="108"/>
        <v>2.4297811638764387E-3</v>
      </c>
      <c r="L407" s="10">
        <f t="shared" si="109"/>
        <v>4.8944512989199447E-2</v>
      </c>
      <c r="M407" s="10">
        <f t="shared" si="110"/>
        <v>0.98066685548581245</v>
      </c>
      <c r="N407" s="10">
        <f t="shared" si="111"/>
        <v>0.96145657114823868</v>
      </c>
      <c r="O407" s="10">
        <f t="shared" si="117"/>
        <v>3.7911286136123497E-2</v>
      </c>
      <c r="P407" s="10">
        <f t="shared" si="118"/>
        <v>5.6858867016012379E-2</v>
      </c>
      <c r="Q407" s="10">
        <f t="shared" si="112"/>
        <v>0.47025100838406536</v>
      </c>
      <c r="S407" s="5">
        <f t="shared" si="113"/>
        <v>6.5110744322220888E-5</v>
      </c>
      <c r="T407" s="5">
        <f t="shared" si="114"/>
        <v>4.9160649998830305E-4</v>
      </c>
      <c r="U407" s="5">
        <f t="shared" si="115"/>
        <v>1.1503994278417933E-2</v>
      </c>
    </row>
    <row r="408" spans="1:21">
      <c r="A408" s="19">
        <f t="shared" si="116"/>
        <v>32.833333333333172</v>
      </c>
      <c r="B408" s="10">
        <f t="shared" si="102"/>
        <v>2.6455373073076749E-3</v>
      </c>
      <c r="C408" s="10">
        <f t="shared" si="104"/>
        <v>0.20150446811706413</v>
      </c>
      <c r="D408" s="10">
        <f t="shared" si="105"/>
        <v>5.3308758799288302E-4</v>
      </c>
      <c r="H408" s="19">
        <f t="shared" si="103"/>
        <v>32.833333333333172</v>
      </c>
      <c r="I408" s="10">
        <f t="shared" si="106"/>
        <v>0.11537421475634849</v>
      </c>
      <c r="J408" s="10">
        <f t="shared" si="107"/>
        <v>3.0522678943924756E-4</v>
      </c>
      <c r="K408" s="10">
        <f t="shared" si="108"/>
        <v>2.3403105178684274E-3</v>
      </c>
      <c r="L408" s="10">
        <f t="shared" si="109"/>
        <v>4.7998261646402723E-2</v>
      </c>
      <c r="M408" s="10">
        <f t="shared" si="110"/>
        <v>0.98055566402955019</v>
      </c>
      <c r="N408" s="10">
        <f t="shared" si="111"/>
        <v>0.96122820378037122</v>
      </c>
      <c r="O408" s="10">
        <f t="shared" si="117"/>
        <v>3.8132302972037457E-2</v>
      </c>
      <c r="P408" s="10">
        <f t="shared" si="118"/>
        <v>5.5771806629055835E-2</v>
      </c>
      <c r="Q408" s="10">
        <f t="shared" si="112"/>
        <v>0.47309303315893614</v>
      </c>
      <c r="S408" s="5">
        <f t="shared" si="113"/>
        <v>6.1504561861034707E-5</v>
      </c>
      <c r="T408" s="5">
        <f t="shared" si="114"/>
        <v>4.7158302613184834E-4</v>
      </c>
      <c r="U408" s="5">
        <f t="shared" si="115"/>
        <v>1.1238268230715647E-2</v>
      </c>
    </row>
    <row r="409" spans="1:21">
      <c r="A409" s="19">
        <f t="shared" si="116"/>
        <v>32.916666666666508</v>
      </c>
      <c r="B409" s="10">
        <f t="shared" si="102"/>
        <v>2.5429650739373162E-3</v>
      </c>
      <c r="C409" s="10">
        <f t="shared" si="104"/>
        <v>0.2006868450685052</v>
      </c>
      <c r="D409" s="10">
        <f t="shared" si="105"/>
        <v>5.1033963780787808E-4</v>
      </c>
      <c r="H409" s="19">
        <f t="shared" si="103"/>
        <v>32.916666666666508</v>
      </c>
      <c r="I409" s="10">
        <f t="shared" si="106"/>
        <v>0.11380625673629872</v>
      </c>
      <c r="J409" s="10">
        <f t="shared" si="107"/>
        <v>2.894053360759511E-4</v>
      </c>
      <c r="K409" s="10">
        <f t="shared" si="108"/>
        <v>2.2535597378613649E-3</v>
      </c>
      <c r="L409" s="10">
        <f t="shared" si="109"/>
        <v>4.7064967320952514E-2</v>
      </c>
      <c r="M409" s="10">
        <f t="shared" si="110"/>
        <v>0.9804438391954412</v>
      </c>
      <c r="N409" s="10">
        <f t="shared" si="111"/>
        <v>0.96099851068539877</v>
      </c>
      <c r="O409" s="10">
        <f t="shared" si="117"/>
        <v>3.8354560794704604E-2</v>
      </c>
      <c r="P409" s="10">
        <f t="shared" si="118"/>
        <v>5.4698999883691597E-2</v>
      </c>
      <c r="Q409" s="10">
        <f t="shared" si="112"/>
        <v>0.47595223774343648</v>
      </c>
      <c r="S409" s="5">
        <f t="shared" si="113"/>
        <v>5.8079843843073079E-5</v>
      </c>
      <c r="T409" s="5">
        <f t="shared" si="114"/>
        <v>4.5225979396480492E-4</v>
      </c>
      <c r="U409" s="5">
        <f t="shared" si="115"/>
        <v>1.09773697150606E-2</v>
      </c>
    </row>
    <row r="410" spans="1:21">
      <c r="A410" s="19">
        <f t="shared" si="116"/>
        <v>32.999999999999844</v>
      </c>
      <c r="B410" s="10">
        <f t="shared" si="102"/>
        <v>2.443785648778746E-3</v>
      </c>
      <c r="C410" s="10">
        <f t="shared" si="104"/>
        <v>0.19987253960121765</v>
      </c>
      <c r="D410" s="10">
        <f t="shared" si="105"/>
        <v>4.8844564386241727E-4</v>
      </c>
      <c r="H410" s="19">
        <f t="shared" si="103"/>
        <v>32.999999999999844</v>
      </c>
      <c r="I410" s="10">
        <f t="shared" si="106"/>
        <v>0.1122509279104969</v>
      </c>
      <c r="J410" s="10">
        <f t="shared" si="107"/>
        <v>2.743172066897699E-4</v>
      </c>
      <c r="K410" s="10">
        <f t="shared" si="108"/>
        <v>2.169468442088976E-3</v>
      </c>
      <c r="L410" s="10">
        <f t="shared" si="109"/>
        <v>4.6144557251762662E-2</v>
      </c>
      <c r="M410" s="10">
        <f t="shared" si="110"/>
        <v>0.98033137744989207</v>
      </c>
      <c r="N410" s="10">
        <f t="shared" si="111"/>
        <v>0.96076748449990623</v>
      </c>
      <c r="O410" s="10">
        <f t="shared" si="117"/>
        <v>3.8578066003739961E-2</v>
      </c>
      <c r="P410" s="10">
        <f t="shared" si="118"/>
        <v>5.3640397460674415E-2</v>
      </c>
      <c r="Q410" s="10">
        <f t="shared" si="112"/>
        <v>0.47882872598812332</v>
      </c>
      <c r="S410" s="5">
        <f t="shared" si="113"/>
        <v>5.4828476757396437E-5</v>
      </c>
      <c r="T410" s="5">
        <f t="shared" si="114"/>
        <v>4.3361716710502081E-4</v>
      </c>
      <c r="U410" s="5">
        <f t="shared" si="115"/>
        <v>1.0721242465683702E-2</v>
      </c>
    </row>
    <row r="411" spans="1:21">
      <c r="A411" s="19">
        <f t="shared" si="116"/>
        <v>33.083333333333179</v>
      </c>
      <c r="B411" s="10">
        <f t="shared" si="102"/>
        <v>2.347909790434127E-3</v>
      </c>
      <c r="C411" s="10">
        <f t="shared" si="104"/>
        <v>0.19906153825380818</v>
      </c>
      <c r="D411" s="10">
        <f t="shared" si="105"/>
        <v>4.6737853456499373E-4</v>
      </c>
      <c r="H411" s="19">
        <f t="shared" si="103"/>
        <v>33.083333333333179</v>
      </c>
      <c r="I411" s="10">
        <f t="shared" si="106"/>
        <v>0.11070824614840129</v>
      </c>
      <c r="J411" s="10">
        <f t="shared" si="107"/>
        <v>2.5993297501362262E-4</v>
      </c>
      <c r="K411" s="10">
        <f t="shared" si="108"/>
        <v>2.0879768154205046E-3</v>
      </c>
      <c r="L411" s="10">
        <f t="shared" si="109"/>
        <v>4.5236957372435896E-2</v>
      </c>
      <c r="M411" s="10">
        <f t="shared" si="110"/>
        <v>0.980218275240475</v>
      </c>
      <c r="N411" s="10">
        <f t="shared" si="111"/>
        <v>0.96053511782362444</v>
      </c>
      <c r="O411" s="10">
        <f t="shared" si="117"/>
        <v>3.8802825024892407E-2</v>
      </c>
      <c r="P411" s="10">
        <f t="shared" si="118"/>
        <v>5.259594735688828E-2</v>
      </c>
      <c r="Q411" s="10">
        <f t="shared" si="112"/>
        <v>0.48172260237132386</v>
      </c>
      <c r="S411" s="5">
        <f t="shared" si="113"/>
        <v>5.1742657849100403E-5</v>
      </c>
      <c r="T411" s="5">
        <f t="shared" si="114"/>
        <v>4.1563587671589338E-4</v>
      </c>
      <c r="U411" s="5">
        <f t="shared" si="115"/>
        <v>1.0469830186778498E-2</v>
      </c>
    </row>
    <row r="412" spans="1:21">
      <c r="A412" s="19">
        <f t="shared" si="116"/>
        <v>33.166666666666515</v>
      </c>
      <c r="B412" s="10">
        <f t="shared" si="102"/>
        <v>2.2552498071938855E-3</v>
      </c>
      <c r="C412" s="10">
        <f t="shared" si="104"/>
        <v>0.19825382761950419</v>
      </c>
      <c r="D412" s="10">
        <f t="shared" si="105"/>
        <v>4.4711190651433661E-4</v>
      </c>
      <c r="H412" s="19">
        <f t="shared" si="103"/>
        <v>33.166666666666515</v>
      </c>
      <c r="I412" s="10">
        <f t="shared" si="106"/>
        <v>0.10917822789237225</v>
      </c>
      <c r="J412" s="10">
        <f t="shared" si="107"/>
        <v>2.4622417740404259E-4</v>
      </c>
      <c r="K412" s="10">
        <f t="shared" si="108"/>
        <v>2.0090256297898429E-3</v>
      </c>
      <c r="L412" s="10">
        <f t="shared" si="109"/>
        <v>4.4342092332736005E-2</v>
      </c>
      <c r="M412" s="10">
        <f t="shared" si="110"/>
        <v>0.98010452899581391</v>
      </c>
      <c r="N412" s="10">
        <f t="shared" si="111"/>
        <v>0.96030140321928525</v>
      </c>
      <c r="O412" s="10">
        <f t="shared" si="117"/>
        <v>3.9028844310062941E-2</v>
      </c>
      <c r="P412" s="10">
        <f t="shared" si="118"/>
        <v>5.1565594936555499E-2</v>
      </c>
      <c r="Q412" s="10">
        <f t="shared" si="112"/>
        <v>0.48463397200292724</v>
      </c>
      <c r="S412" s="5">
        <f t="shared" si="113"/>
        <v>4.8814885622815281E-5</v>
      </c>
      <c r="T412" s="5">
        <f t="shared" si="114"/>
        <v>3.9829702089152135E-4</v>
      </c>
      <c r="U412" s="5">
        <f t="shared" si="115"/>
        <v>1.0223076569649053E-2</v>
      </c>
    </row>
    <row r="413" spans="1:21">
      <c r="A413" s="19">
        <f t="shared" si="116"/>
        <v>33.249999999999851</v>
      </c>
      <c r="B413" s="10">
        <f t="shared" si="102"/>
        <v>2.1657195544583108E-3</v>
      </c>
      <c r="C413" s="10">
        <f t="shared" si="104"/>
        <v>0.19744939434593245</v>
      </c>
      <c r="D413" s="10">
        <f t="shared" si="105"/>
        <v>4.2762001435093616E-4</v>
      </c>
      <c r="H413" s="19">
        <f t="shared" si="103"/>
        <v>33.249999999999851</v>
      </c>
      <c r="I413" s="10">
        <f t="shared" si="106"/>
        <v>0.10766088815268314</v>
      </c>
      <c r="J413" s="10">
        <f t="shared" si="107"/>
        <v>2.3316329072261497E-4</v>
      </c>
      <c r="K413" s="10">
        <f t="shared" si="108"/>
        <v>1.9325562637356958E-3</v>
      </c>
      <c r="L413" s="10">
        <f t="shared" si="109"/>
        <v>4.3459885520465112E-2</v>
      </c>
      <c r="M413" s="10">
        <f t="shared" si="110"/>
        <v>0.97999013512551558</v>
      </c>
      <c r="N413" s="10">
        <f t="shared" si="111"/>
        <v>0.96006633321248636</v>
      </c>
      <c r="O413" s="10">
        <f t="shared" si="117"/>
        <v>3.9256130337322906E-2</v>
      </c>
      <c r="P413" s="10">
        <f t="shared" si="118"/>
        <v>5.0549282982766924E-2</v>
      </c>
      <c r="Q413" s="10">
        <f t="shared" si="112"/>
        <v>0.48756294062820388</v>
      </c>
      <c r="S413" s="5">
        <f t="shared" si="113"/>
        <v>4.6037950536884893E-5</v>
      </c>
      <c r="T413" s="5">
        <f t="shared" si="114"/>
        <v>3.8158206381405126E-4</v>
      </c>
      <c r="U413" s="5">
        <f t="shared" si="115"/>
        <v>9.9809253095684784E-3</v>
      </c>
    </row>
    <row r="414" spans="1:21">
      <c r="A414" s="19">
        <f t="shared" si="116"/>
        <v>33.333333333333186</v>
      </c>
      <c r="B414" s="10">
        <f t="shared" si="102"/>
        <v>2.0792344314153701E-3</v>
      </c>
      <c r="C414" s="10">
        <f t="shared" si="104"/>
        <v>0.19664822513489813</v>
      </c>
      <c r="D414" s="10">
        <f t="shared" si="105"/>
        <v>4.0887776057720162E-4</v>
      </c>
      <c r="H414" s="19">
        <f t="shared" si="103"/>
        <v>33.333333333333186</v>
      </c>
      <c r="I414" s="10">
        <f t="shared" si="106"/>
        <v>0.10615624050287285</v>
      </c>
      <c r="J414" s="10">
        <f t="shared" si="107"/>
        <v>2.2072371036318411E-4</v>
      </c>
      <c r="K414" s="10">
        <f t="shared" si="108"/>
        <v>1.8585107210521859E-3</v>
      </c>
      <c r="L414" s="10">
        <f t="shared" si="109"/>
        <v>4.2590259083740041E-2</v>
      </c>
      <c r="M414" s="10">
        <f t="shared" si="110"/>
        <v>0.97987509002005313</v>
      </c>
      <c r="N414" s="10">
        <f t="shared" si="111"/>
        <v>0.95982990029156356</v>
      </c>
      <c r="O414" s="10">
        <f t="shared" si="117"/>
        <v>3.9484689610929852E-2</v>
      </c>
      <c r="P414" s="10">
        <f t="shared" si="118"/>
        <v>4.9546951749310168E-2</v>
      </c>
      <c r="Q414" s="10">
        <f t="shared" si="112"/>
        <v>0.49050961463164416</v>
      </c>
      <c r="S414" s="5">
        <f t="shared" si="113"/>
        <v>4.3404925888109475E-5</v>
      </c>
      <c r="T414" s="5">
        <f t="shared" si="114"/>
        <v>3.6547283468909214E-4</v>
      </c>
      <c r="U414" s="5">
        <f t="shared" si="115"/>
        <v>9.7433201223462804E-3</v>
      </c>
    </row>
    <row r="415" spans="1:21">
      <c r="A415" s="19">
        <f t="shared" si="116"/>
        <v>33.416666666666522</v>
      </c>
      <c r="B415" s="10">
        <f t="shared" si="102"/>
        <v>1.9957113769882005E-3</v>
      </c>
      <c r="C415" s="10">
        <f t="shared" si="104"/>
        <v>0.19585030674216505</v>
      </c>
      <c r="D415" s="10">
        <f t="shared" si="105"/>
        <v>3.9086068535196765E-4</v>
      </c>
      <c r="H415" s="19">
        <f t="shared" si="103"/>
        <v>33.416666666666522</v>
      </c>
      <c r="I415" s="10">
        <f t="shared" si="106"/>
        <v>0.10466429707544352</v>
      </c>
      <c r="J415" s="10">
        <f t="shared" si="107"/>
        <v>2.0887972843793546E-4</v>
      </c>
      <c r="K415" s="10">
        <f t="shared" si="108"/>
        <v>1.7868316485502649E-3</v>
      </c>
      <c r="L415" s="10">
        <f t="shared" si="109"/>
        <v>4.1733133953657159E-2</v>
      </c>
      <c r="M415" s="10">
        <f t="shared" si="110"/>
        <v>0.97975939005070312</v>
      </c>
      <c r="N415" s="10">
        <f t="shared" si="111"/>
        <v>0.95959209690746139</v>
      </c>
      <c r="O415" s="10">
        <f t="shared" si="117"/>
        <v>3.9714528661343347E-2</v>
      </c>
      <c r="P415" s="10">
        <f t="shared" si="118"/>
        <v>4.8558539012767993E-2</v>
      </c>
      <c r="Q415" s="10">
        <f t="shared" si="112"/>
        <v>0.49347410104082656</v>
      </c>
      <c r="S415" s="5">
        <f t="shared" si="113"/>
        <v>4.0909158886789797E-5</v>
      </c>
      <c r="T415" s="5">
        <f t="shared" si="114"/>
        <v>3.4995152646517786E-4</v>
      </c>
      <c r="U415" s="5">
        <f t="shared" si="115"/>
        <v>9.5102047606019993E-3</v>
      </c>
    </row>
    <row r="416" spans="1:21">
      <c r="A416" s="19">
        <f t="shared" si="116"/>
        <v>33.499999999999858</v>
      </c>
      <c r="B416" s="10">
        <f t="shared" si="102"/>
        <v>1.9150688650661845E-3</v>
      </c>
      <c r="C416" s="10">
        <f t="shared" si="104"/>
        <v>0.19505562597723675</v>
      </c>
      <c r="D416" s="10">
        <f t="shared" si="105"/>
        <v>3.7354495626500095E-4</v>
      </c>
      <c r="H416" s="19">
        <f t="shared" si="103"/>
        <v>33.499999999999858</v>
      </c>
      <c r="I416" s="10">
        <f t="shared" si="106"/>
        <v>0.10318506855790903</v>
      </c>
      <c r="J416" s="10">
        <f t="shared" si="107"/>
        <v>1.9760651213497128E-4</v>
      </c>
      <c r="K416" s="10">
        <f t="shared" si="108"/>
        <v>1.7174623529312132E-3</v>
      </c>
      <c r="L416" s="10">
        <f t="shared" si="109"/>
        <v>4.0888429867339426E-2</v>
      </c>
      <c r="M416" s="10">
        <f t="shared" si="110"/>
        <v>0.97964303156942989</v>
      </c>
      <c r="N416" s="10">
        <f t="shared" si="111"/>
        <v>0.95935291547358803</v>
      </c>
      <c r="O416" s="10">
        <f t="shared" si="117"/>
        <v>3.9945654045237672E-2</v>
      </c>
      <c r="P416" s="10">
        <f t="shared" si="118"/>
        <v>4.7583980124864665E-2</v>
      </c>
      <c r="Q416" s="10">
        <f t="shared" si="112"/>
        <v>0.49645650753030113</v>
      </c>
      <c r="S416" s="5">
        <f t="shared" si="113"/>
        <v>3.8544261921665254E-5</v>
      </c>
      <c r="T416" s="5">
        <f t="shared" si="114"/>
        <v>3.3500069434333571E-4</v>
      </c>
      <c r="U416" s="5">
        <f t="shared" si="115"/>
        <v>9.2815230297438687E-3</v>
      </c>
    </row>
    <row r="417" spans="1:21">
      <c r="A417" s="19">
        <f t="shared" si="116"/>
        <v>33.583333333333194</v>
      </c>
      <c r="B417" s="10">
        <f t="shared" si="102"/>
        <v>1.8372268990339395E-3</v>
      </c>
      <c r="C417" s="10">
        <f t="shared" si="104"/>
        <v>0.19426416970313848</v>
      </c>
      <c r="D417" s="10">
        <f t="shared" si="105"/>
        <v>3.569073580971001E-4</v>
      </c>
      <c r="H417" s="19">
        <f t="shared" si="103"/>
        <v>33.583333333333194</v>
      </c>
      <c r="I417" s="10">
        <f t="shared" si="106"/>
        <v>0.10171856418919667</v>
      </c>
      <c r="J417" s="10">
        <f t="shared" si="107"/>
        <v>1.8688008225950251E-4</v>
      </c>
      <c r="K417" s="10">
        <f t="shared" si="108"/>
        <v>1.6503468167744369E-3</v>
      </c>
      <c r="L417" s="10">
        <f t="shared" si="109"/>
        <v>4.0056065391354416E-2</v>
      </c>
      <c r="M417" s="10">
        <f t="shared" si="110"/>
        <v>0.97952601090880953</v>
      </c>
      <c r="N417" s="10">
        <f t="shared" si="111"/>
        <v>0.95911234836568648</v>
      </c>
      <c r="O417" s="10">
        <f t="shared" si="117"/>
        <v>4.0178072345514251E-2</v>
      </c>
      <c r="P417" s="10">
        <f t="shared" si="118"/>
        <v>4.6623208065032749E-2</v>
      </c>
      <c r="Q417" s="10">
        <f t="shared" si="112"/>
        <v>0.49945694242550265</v>
      </c>
      <c r="S417" s="5">
        <f t="shared" si="113"/>
        <v>3.6304104014196477E-5</v>
      </c>
      <c r="T417" s="5">
        <f t="shared" si="114"/>
        <v>3.2060325408290362E-4</v>
      </c>
      <c r="U417" s="5">
        <f t="shared" si="115"/>
        <v>9.0572188036502563E-3</v>
      </c>
    </row>
    <row r="418" spans="1:21">
      <c r="A418" s="19">
        <f t="shared" si="116"/>
        <v>33.666666666666529</v>
      </c>
      <c r="B418" s="10">
        <f t="shared" si="102"/>
        <v>1.7621070056130497E-3</v>
      </c>
      <c r="C418" s="10">
        <f t="shared" si="104"/>
        <v>0.19347592483619994</v>
      </c>
      <c r="D418" s="10">
        <f t="shared" si="105"/>
        <v>3.4092528257133174E-4</v>
      </c>
      <c r="H418" s="19">
        <f t="shared" si="103"/>
        <v>33.666666666666529</v>
      </c>
      <c r="I418" s="10">
        <f t="shared" si="106"/>
        <v>0.10026479175640649</v>
      </c>
      <c r="J418" s="10">
        <f t="shared" si="107"/>
        <v>1.7667729197029742E-4</v>
      </c>
      <c r="K418" s="10">
        <f t="shared" si="108"/>
        <v>1.5854297136427523E-3</v>
      </c>
      <c r="L418" s="10">
        <f t="shared" si="109"/>
        <v>3.9235957945495815E-2</v>
      </c>
      <c r="M418" s="10">
        <f t="shared" si="110"/>
        <v>0.97940832438192515</v>
      </c>
      <c r="N418" s="10">
        <f t="shared" si="111"/>
        <v>0.95887038792170676</v>
      </c>
      <c r="O418" s="10">
        <f t="shared" si="117"/>
        <v>4.041179017131228E-2</v>
      </c>
      <c r="P418" s="10">
        <f t="shared" si="118"/>
        <v>4.5676153493177919E-2</v>
      </c>
      <c r="Q418" s="10">
        <f t="shared" si="112"/>
        <v>0.50247551470668228</v>
      </c>
      <c r="S418" s="5">
        <f t="shared" si="113"/>
        <v>3.4182802461508611E-5</v>
      </c>
      <c r="T418" s="5">
        <f t="shared" si="114"/>
        <v>3.0674248010982314E-4</v>
      </c>
      <c r="U418" s="5">
        <f t="shared" si="115"/>
        <v>8.8372360400528222E-3</v>
      </c>
    </row>
    <row r="419" spans="1:21">
      <c r="A419" s="19">
        <f t="shared" si="116"/>
        <v>33.749999999999865</v>
      </c>
      <c r="B419" s="10">
        <f t="shared" si="102"/>
        <v>1.6896322280317421E-3</v>
      </c>
      <c r="C419" s="10">
        <f t="shared" si="104"/>
        <v>0.19269087834583906</v>
      </c>
      <c r="D419" s="10">
        <f t="shared" si="105"/>
        <v>3.2557671810087342E-4</v>
      </c>
      <c r="H419" s="19">
        <f t="shared" si="103"/>
        <v>33.749999999999865</v>
      </c>
      <c r="I419" s="10">
        <f t="shared" si="106"/>
        <v>9.8823757591932002E-2</v>
      </c>
      <c r="J419" s="10">
        <f t="shared" si="107"/>
        <v>1.6697580572252487E-4</v>
      </c>
      <c r="K419" s="10">
        <f t="shared" si="108"/>
        <v>1.5226564223092174E-3</v>
      </c>
      <c r="L419" s="10">
        <f t="shared" si="109"/>
        <v>3.8428023826917741E-2</v>
      </c>
      <c r="M419" s="10">
        <f t="shared" si="110"/>
        <v>0.97928996828229375</v>
      </c>
      <c r="N419" s="10">
        <f t="shared" si="111"/>
        <v>0.95862702644166176</v>
      </c>
      <c r="O419" s="10">
        <f t="shared" si="117"/>
        <v>4.0646814158018144E-2</v>
      </c>
      <c r="P419" s="10">
        <f t="shared" si="118"/>
        <v>4.4742744802616148E-2</v>
      </c>
      <c r="Q419" s="10">
        <f t="shared" si="112"/>
        <v>0.5055123340128711</v>
      </c>
      <c r="S419" s="5">
        <f t="shared" si="113"/>
        <v>3.2174714667177495E-5</v>
      </c>
      <c r="T419" s="5">
        <f t="shared" si="114"/>
        <v>2.9340200343369593E-4</v>
      </c>
      <c r="U419" s="5">
        <f t="shared" si="115"/>
        <v>8.6215187956198303E-3</v>
      </c>
    </row>
    <row r="420" spans="1:21">
      <c r="A420" s="19">
        <f t="shared" si="116"/>
        <v>33.833333333333201</v>
      </c>
      <c r="B420" s="10">
        <f t="shared" si="102"/>
        <v>1.6197271185380687E-3</v>
      </c>
      <c r="C420" s="10">
        <f t="shared" si="104"/>
        <v>0.19190901725434653</v>
      </c>
      <c r="D420" s="10">
        <f t="shared" si="105"/>
        <v>3.1084023953885522E-4</v>
      </c>
      <c r="H420" s="19">
        <f t="shared" si="103"/>
        <v>33.833333333333201</v>
      </c>
      <c r="I420" s="10">
        <f t="shared" si="106"/>
        <v>9.7395466570946554E-2</v>
      </c>
      <c r="J420" s="10">
        <f t="shared" si="107"/>
        <v>1.5775407842763005E-4</v>
      </c>
      <c r="K420" s="10">
        <f t="shared" si="108"/>
        <v>1.4619730401104387E-3</v>
      </c>
      <c r="L420" s="10">
        <f t="shared" si="109"/>
        <v>3.7632178234613504E-2</v>
      </c>
      <c r="M420" s="10">
        <f t="shared" si="110"/>
        <v>0.97917093888374274</v>
      </c>
      <c r="N420" s="10">
        <f t="shared" si="111"/>
        <v>0.95838225618751038</v>
      </c>
      <c r="O420" s="10">
        <f t="shared" si="117"/>
        <v>4.0883150967272477E-2</v>
      </c>
      <c r="P420" s="10">
        <f t="shared" si="118"/>
        <v>4.382290817316082E-2</v>
      </c>
      <c r="Q420" s="10">
        <f t="shared" si="112"/>
        <v>0.50856751064585726</v>
      </c>
      <c r="S420" s="5">
        <f t="shared" si="113"/>
        <v>3.0274430158911592E-5</v>
      </c>
      <c r="T420" s="5">
        <f t="shared" si="114"/>
        <v>2.8056580937994364E-4</v>
      </c>
      <c r="U420" s="5">
        <f t="shared" si="115"/>
        <v>8.4100112407387642E-3</v>
      </c>
    </row>
    <row r="421" spans="1:21">
      <c r="A421" s="19">
        <f t="shared" si="116"/>
        <v>33.916666666666536</v>
      </c>
      <c r="B421" s="10">
        <f t="shared" si="102"/>
        <v>1.5523177302726094E-3</v>
      </c>
      <c r="C421" s="10">
        <f t="shared" si="104"/>
        <v>0.19113032863667134</v>
      </c>
      <c r="D421" s="10">
        <f t="shared" si="105"/>
        <v>2.966949979355356E-4</v>
      </c>
      <c r="H421" s="19">
        <f t="shared" si="103"/>
        <v>33.916666666666536</v>
      </c>
      <c r="I421" s="10">
        <f t="shared" si="106"/>
        <v>9.5979922109257043E-2</v>
      </c>
      <c r="J421" s="10">
        <f t="shared" si="107"/>
        <v>1.4899133484038373E-4</v>
      </c>
      <c r="K421" s="10">
        <f t="shared" si="108"/>
        <v>1.4033263954322257E-3</v>
      </c>
      <c r="L421" s="10">
        <f t="shared" si="109"/>
        <v>3.6848335294226854E-2</v>
      </c>
      <c r="M421" s="10">
        <f t="shared" si="110"/>
        <v>0.9790512324403523</v>
      </c>
      <c r="N421" s="10">
        <f t="shared" si="111"/>
        <v>0.95813606938301321</v>
      </c>
      <c r="O421" s="10">
        <f t="shared" si="117"/>
        <v>4.1120807286976896E-2</v>
      </c>
      <c r="P421" s="10">
        <f t="shared" si="118"/>
        <v>4.2916567624333983E-2</v>
      </c>
      <c r="Q421" s="10">
        <f t="shared" si="112"/>
        <v>0.51164115557419521</v>
      </c>
      <c r="S421" s="5">
        <f t="shared" si="113"/>
        <v>2.8476762792058884E-5</v>
      </c>
      <c r="T421" s="5">
        <f t="shared" si="114"/>
        <v>2.6821823514347671E-4</v>
      </c>
      <c r="U421" s="5">
        <f t="shared" si="115"/>
        <v>8.202657673996883E-3</v>
      </c>
    </row>
    <row r="422" spans="1:21">
      <c r="A422" s="19">
        <f t="shared" si="116"/>
        <v>33.999999999999872</v>
      </c>
      <c r="B422" s="10">
        <f t="shared" si="102"/>
        <v>1.4873316085169586E-3</v>
      </c>
      <c r="C422" s="10">
        <f t="shared" si="104"/>
        <v>0.19035479962020702</v>
      </c>
      <c r="D422" s="10">
        <f t="shared" si="105"/>
        <v>2.8312071030804582E-4</v>
      </c>
      <c r="H422" s="19">
        <f t="shared" si="103"/>
        <v>33.999999999999872</v>
      </c>
      <c r="I422" s="10">
        <f t="shared" si="106"/>
        <v>9.4577126161530314E-2</v>
      </c>
      <c r="J422" s="10">
        <f t="shared" si="107"/>
        <v>1.4066754918274019E-4</v>
      </c>
      <c r="K422" s="10">
        <f t="shared" si="108"/>
        <v>1.3466640593342183E-3</v>
      </c>
      <c r="L422" s="10">
        <f t="shared" si="109"/>
        <v>3.6076408083188134E-2</v>
      </c>
      <c r="M422" s="10">
        <f t="shared" si="110"/>
        <v>0.97893084518633078</v>
      </c>
      <c r="N422" s="10">
        <f t="shared" si="111"/>
        <v>0.95788845821360136</v>
      </c>
      <c r="O422" s="10">
        <f t="shared" si="117"/>
        <v>4.1359789831298094E-2</v>
      </c>
      <c r="P422" s="10">
        <f t="shared" si="118"/>
        <v>4.2023645068681309E-2</v>
      </c>
      <c r="Q422" s="10">
        <f t="shared" si="112"/>
        <v>0.51473338043723349</v>
      </c>
      <c r="S422" s="5">
        <f t="shared" si="113"/>
        <v>2.6776743137746126E-5</v>
      </c>
      <c r="T422" s="5">
        <f t="shared" si="114"/>
        <v>2.5634396717029971E-4</v>
      </c>
      <c r="U422" s="5">
        <f t="shared" si="115"/>
        <v>7.9994025363595306E-3</v>
      </c>
    </row>
    <row r="423" spans="1:21">
      <c r="A423" s="19">
        <f t="shared" si="116"/>
        <v>34.083333333333208</v>
      </c>
      <c r="B423" s="10">
        <f t="shared" si="102"/>
        <v>1.4246977813346651E-3</v>
      </c>
      <c r="C423" s="10">
        <f t="shared" si="104"/>
        <v>0.18958241738457893</v>
      </c>
      <c r="D423" s="10">
        <f t="shared" si="105"/>
        <v>2.7009764942787206E-4</v>
      </c>
      <c r="H423" s="19">
        <f t="shared" si="103"/>
        <v>34.083333333333208</v>
      </c>
      <c r="I423" s="10">
        <f t="shared" si="106"/>
        <v>9.3187079219895136E-2</v>
      </c>
      <c r="J423" s="10">
        <f t="shared" si="107"/>
        <v>1.3276342501364227E-4</v>
      </c>
      <c r="K423" s="10">
        <f t="shared" si="108"/>
        <v>1.2919343563210228E-3</v>
      </c>
      <c r="L423" s="10">
        <f t="shared" si="109"/>
        <v>3.5316308656162337E-2</v>
      </c>
      <c r="M423" s="10">
        <f t="shared" si="110"/>
        <v>0.97880977333594898</v>
      </c>
      <c r="N423" s="10">
        <f t="shared" si="111"/>
        <v>0.9576394148262497</v>
      </c>
      <c r="O423" s="10">
        <f t="shared" si="117"/>
        <v>4.1600105340671087E-2</v>
      </c>
      <c r="P423" s="10">
        <f t="shared" si="118"/>
        <v>4.1144060365164853E-2</v>
      </c>
      <c r="Q423" s="10">
        <f t="shared" si="112"/>
        <v>0.51784429754917416</v>
      </c>
      <c r="S423" s="5">
        <f t="shared" si="113"/>
        <v>2.5169611054342575E-5</v>
      </c>
      <c r="T423" s="5">
        <f t="shared" si="114"/>
        <v>2.4492803837352945E-4</v>
      </c>
      <c r="U423" s="5">
        <f t="shared" si="115"/>
        <v>7.8001904250449942E-3</v>
      </c>
    </row>
    <row r="424" spans="1:21">
      <c r="A424" s="19">
        <f t="shared" si="116"/>
        <v>34.166666666666544</v>
      </c>
      <c r="B424" s="10">
        <f t="shared" si="102"/>
        <v>1.3643467496215849E-3</v>
      </c>
      <c r="C424" s="10">
        <f t="shared" si="104"/>
        <v>0.18881316916143231</v>
      </c>
      <c r="D424" s="10">
        <f t="shared" si="105"/>
        <v>2.5760663363115065E-4</v>
      </c>
      <c r="H424" s="19">
        <f t="shared" si="103"/>
        <v>34.166666666666544</v>
      </c>
      <c r="I424" s="10">
        <f t="shared" si="106"/>
        <v>9.1809780312920447E-2</v>
      </c>
      <c r="J424" s="10">
        <f t="shared" si="107"/>
        <v>1.2526037535340477E-4</v>
      </c>
      <c r="K424" s="10">
        <f t="shared" si="108"/>
        <v>1.2390863742681802E-3</v>
      </c>
      <c r="L424" s="10">
        <f t="shared" si="109"/>
        <v>3.4567948070800672E-2</v>
      </c>
      <c r="M424" s="10">
        <f t="shared" si="110"/>
        <v>0.97868801308341558</v>
      </c>
      <c r="N424" s="10">
        <f t="shared" si="111"/>
        <v>0.95738893132934766</v>
      </c>
      <c r="O424" s="10">
        <f t="shared" si="117"/>
        <v>4.1841760581800454E-2</v>
      </c>
      <c r="P424" s="10">
        <f t="shared" si="118"/>
        <v>4.0277731372613569E-2</v>
      </c>
      <c r="Q424" s="10">
        <f t="shared" si="112"/>
        <v>0.52097401990314773</v>
      </c>
      <c r="S424" s="5">
        <f t="shared" si="113"/>
        <v>2.3650808440826923E-5</v>
      </c>
      <c r="T424" s="5">
        <f t="shared" si="114"/>
        <v>2.3395582519032372E-4</v>
      </c>
      <c r="U424" s="5">
        <f t="shared" si="115"/>
        <v>7.6049661070960155E-3</v>
      </c>
    </row>
    <row r="425" spans="1:21">
      <c r="A425" s="19">
        <f t="shared" si="116"/>
        <v>34.249999999999879</v>
      </c>
      <c r="B425" s="10">
        <f t="shared" si="102"/>
        <v>1.3062104765828781E-3</v>
      </c>
      <c r="C425" s="10">
        <f t="shared" si="104"/>
        <v>0.18804704223422114</v>
      </c>
      <c r="D425" s="10">
        <f t="shared" si="105"/>
        <v>2.4562901665676259E-4</v>
      </c>
      <c r="H425" s="19">
        <f t="shared" si="103"/>
        <v>34.249999999999879</v>
      </c>
      <c r="I425" s="10">
        <f t="shared" si="106"/>
        <v>9.0445227004977174E-2</v>
      </c>
      <c r="J425" s="10">
        <f t="shared" si="107"/>
        <v>1.1814050307081784E-4</v>
      </c>
      <c r="K425" s="10">
        <f t="shared" si="108"/>
        <v>1.1880699735120604E-3</v>
      </c>
      <c r="L425" s="10">
        <f t="shared" si="109"/>
        <v>3.3831236413782599E-2</v>
      </c>
      <c r="M425" s="10">
        <f t="shared" si="110"/>
        <v>0.97856556060281419</v>
      </c>
      <c r="N425" s="10">
        <f t="shared" si="111"/>
        <v>0.95713699979255418</v>
      </c>
      <c r="O425" s="10">
        <f t="shared" si="117"/>
        <v>4.2084762347660037E-2</v>
      </c>
      <c r="P425" s="10">
        <f t="shared" si="118"/>
        <v>3.9424574003206647E-2</v>
      </c>
      <c r="Q425" s="10">
        <f t="shared" si="112"/>
        <v>0.52412266117532014</v>
      </c>
      <c r="S425" s="5">
        <f t="shared" si="113"/>
        <v>2.2215972170530215E-5</v>
      </c>
      <c r="T425" s="5">
        <f t="shared" si="114"/>
        <v>2.234130444862324E-4</v>
      </c>
      <c r="U425" s="5">
        <f t="shared" si="115"/>
        <v>7.4136745326471775E-3</v>
      </c>
    </row>
    <row r="426" spans="1:21">
      <c r="A426" s="19">
        <f t="shared" si="116"/>
        <v>34.333333333333215</v>
      </c>
      <c r="B426" s="10">
        <f t="shared" si="102"/>
        <v>1.2502223766541383E-3</v>
      </c>
      <c r="C426" s="10">
        <f t="shared" si="104"/>
        <v>0.18728402393799798</v>
      </c>
      <c r="D426" s="10">
        <f t="shared" si="105"/>
        <v>2.3414667751711437E-4</v>
      </c>
      <c r="H426" s="19">
        <f t="shared" si="103"/>
        <v>34.333333333333215</v>
      </c>
      <c r="I426" s="10">
        <f t="shared" si="106"/>
        <v>8.9093415395982603E-2</v>
      </c>
      <c r="J426" s="10">
        <f t="shared" si="107"/>
        <v>1.1138658154059977E-4</v>
      </c>
      <c r="K426" s="10">
        <f t="shared" si="108"/>
        <v>1.1388357951135385E-3</v>
      </c>
      <c r="L426" s="10">
        <f t="shared" si="109"/>
        <v>3.3106082827139512E-2</v>
      </c>
      <c r="M426" s="10">
        <f t="shared" si="110"/>
        <v>0.97844241204798132</v>
      </c>
      <c r="N426" s="10">
        <f t="shared" si="111"/>
        <v>0.95688361224668961</v>
      </c>
      <c r="O426" s="10">
        <f t="shared" si="117"/>
        <v>4.2329117457491086E-2</v>
      </c>
      <c r="P426" s="10">
        <f t="shared" si="118"/>
        <v>3.858450227597042E-2</v>
      </c>
      <c r="Q426" s="10">
        <f t="shared" si="112"/>
        <v>0.5272903357290184</v>
      </c>
      <c r="S426" s="5">
        <f t="shared" si="113"/>
        <v>2.0860927203621451E-5</v>
      </c>
      <c r="T426" s="5">
        <f t="shared" si="114"/>
        <v>2.1328575031349291E-4</v>
      </c>
      <c r="U426" s="5">
        <f t="shared" si="115"/>
        <v>7.2262608478885814E-3</v>
      </c>
    </row>
    <row r="427" spans="1:21">
      <c r="A427" s="19">
        <f t="shared" si="116"/>
        <v>34.416666666666551</v>
      </c>
      <c r="B427" s="10">
        <f t="shared" si="102"/>
        <v>1.1963173038844531E-3</v>
      </c>
      <c r="C427" s="10">
        <f t="shared" si="104"/>
        <v>0.18652410165920455</v>
      </c>
      <c r="D427" s="10">
        <f t="shared" si="105"/>
        <v>2.2314201040640923E-4</v>
      </c>
      <c r="H427" s="19">
        <f t="shared" si="103"/>
        <v>34.416666666666551</v>
      </c>
      <c r="I427" s="10">
        <f t="shared" si="106"/>
        <v>8.7754340121531701E-2</v>
      </c>
      <c r="J427" s="10">
        <f t="shared" si="107"/>
        <v>1.049820355783501E-4</v>
      </c>
      <c r="K427" s="10">
        <f t="shared" si="108"/>
        <v>1.0913352683061029E-3</v>
      </c>
      <c r="L427" s="10">
        <f t="shared" si="109"/>
        <v>3.2392395534846637E-2</v>
      </c>
      <c r="M427" s="10">
        <f t="shared" si="110"/>
        <v>0.97831856355243918</v>
      </c>
      <c r="N427" s="10">
        <f t="shared" si="111"/>
        <v>0.95662876068358116</v>
      </c>
      <c r="O427" s="10">
        <f t="shared" si="117"/>
        <v>4.2574832756798853E-2</v>
      </c>
      <c r="P427" s="10">
        <f t="shared" si="118"/>
        <v>3.7757428370264544E-2</v>
      </c>
      <c r="Q427" s="10">
        <f t="shared" si="112"/>
        <v>0.53047715861888944</v>
      </c>
      <c r="S427" s="5">
        <f t="shared" si="113"/>
        <v>1.9581679876606403E-5</v>
      </c>
      <c r="T427" s="5">
        <f t="shared" si="114"/>
        <v>2.0356033052980281E-4</v>
      </c>
      <c r="U427" s="5">
        <f t="shared" si="115"/>
        <v>7.0426704077253578E-3</v>
      </c>
    </row>
    <row r="428" spans="1:21">
      <c r="A428" s="19">
        <f t="shared" si="116"/>
        <v>34.499999999999886</v>
      </c>
      <c r="B428" s="10">
        <f t="shared" si="102"/>
        <v>1.1444315397993075E-3</v>
      </c>
      <c r="C428" s="10">
        <f t="shared" si="104"/>
        <v>0.1857672628354633</v>
      </c>
      <c r="D428" s="10">
        <f t="shared" si="105"/>
        <v>2.1259791465109192E-4</v>
      </c>
      <c r="H428" s="19">
        <f t="shared" si="103"/>
        <v>34.499999999999886</v>
      </c>
      <c r="I428" s="10">
        <f t="shared" si="106"/>
        <v>8.6427994353418275E-2</v>
      </c>
      <c r="J428" s="10">
        <f t="shared" si="107"/>
        <v>9.8910922659648323E-5</v>
      </c>
      <c r="K428" s="10">
        <f t="shared" si="108"/>
        <v>1.0455206171396591E-3</v>
      </c>
      <c r="L428" s="10">
        <f t="shared" si="109"/>
        <v>3.1690081869673606E-2</v>
      </c>
      <c r="M428" s="10">
        <f t="shared" si="110"/>
        <v>0.97819401122926641</v>
      </c>
      <c r="N428" s="10">
        <f t="shared" si="111"/>
        <v>0.95637243705595287</v>
      </c>
      <c r="O428" s="10">
        <f t="shared" si="117"/>
        <v>4.2821915117346607E-2</v>
      </c>
      <c r="P428" s="10">
        <f t="shared" si="118"/>
        <v>3.6943262679238538E-2</v>
      </c>
      <c r="Q428" s="10">
        <f t="shared" si="112"/>
        <v>0.53368324559507518</v>
      </c>
      <c r="S428" s="5">
        <f t="shared" si="113"/>
        <v>1.8374411367013072E-5</v>
      </c>
      <c r="T428" s="5">
        <f t="shared" si="114"/>
        <v>1.9422350328407884E-4</v>
      </c>
      <c r="U428" s="5">
        <f t="shared" si="115"/>
        <v>6.8628487881336672E-3</v>
      </c>
    </row>
    <row r="429" spans="1:21">
      <c r="A429" s="19">
        <f t="shared" si="116"/>
        <v>34.583333333333222</v>
      </c>
      <c r="B429" s="10">
        <f t="shared" si="102"/>
        <v>1.0945027807615605E-3</v>
      </c>
      <c r="C429" s="10">
        <f t="shared" si="104"/>
        <v>0.1850134949553697</v>
      </c>
      <c r="D429" s="10">
        <f t="shared" si="105"/>
        <v>2.0249778470706706E-4</v>
      </c>
      <c r="H429" s="19">
        <f t="shared" si="103"/>
        <v>34.583333333333222</v>
      </c>
      <c r="I429" s="10">
        <f t="shared" si="106"/>
        <v>8.5114369800546916E-2</v>
      </c>
      <c r="J429" s="10">
        <f t="shared" si="107"/>
        <v>9.3157914429466382E-5</v>
      </c>
      <c r="K429" s="10">
        <f t="shared" si="108"/>
        <v>1.0013448663320941E-3</v>
      </c>
      <c r="L429" s="10">
        <f t="shared" si="109"/>
        <v>3.0999048300279875E-2</v>
      </c>
      <c r="M429" s="10">
        <f t="shared" si="110"/>
        <v>0.97806875117103942</v>
      </c>
      <c r="N429" s="10">
        <f t="shared" si="111"/>
        <v>0.95611463327728463</v>
      </c>
      <c r="O429" s="10">
        <f t="shared" si="117"/>
        <v>4.3070371437149424E-2</v>
      </c>
      <c r="P429" s="10">
        <f t="shared" si="118"/>
        <v>3.6141913863235113E-2</v>
      </c>
      <c r="Q429" s="10">
        <f t="shared" si="112"/>
        <v>0.53690871310741628</v>
      </c>
      <c r="S429" s="5">
        <f t="shared" si="113"/>
        <v>1.7235471331348842E-5</v>
      </c>
      <c r="T429" s="5">
        <f t="shared" si="114"/>
        <v>1.8526231337571823E-4</v>
      </c>
      <c r="U429" s="5">
        <f t="shared" si="115"/>
        <v>6.6867417982130559E-3</v>
      </c>
    </row>
    <row r="430" spans="1:21">
      <c r="A430" s="19">
        <f t="shared" si="116"/>
        <v>34.666666666666558</v>
      </c>
      <c r="B430" s="10">
        <f t="shared" si="102"/>
        <v>1.0464701248488076E-3</v>
      </c>
      <c r="C430" s="10">
        <f t="shared" si="104"/>
        <v>0.1842627855582854</v>
      </c>
      <c r="D430" s="10">
        <f t="shared" si="105"/>
        <v>1.9282550020816797E-4</v>
      </c>
      <c r="H430" s="19">
        <f t="shared" si="103"/>
        <v>34.666666666666558</v>
      </c>
      <c r="I430" s="10">
        <f t="shared" si="106"/>
        <v>8.381345671023975E-2</v>
      </c>
      <c r="J430" s="10">
        <f t="shared" si="107"/>
        <v>8.7708278507574717E-5</v>
      </c>
      <c r="K430" s="10">
        <f t="shared" si="108"/>
        <v>9.5876184634123281E-4</v>
      </c>
      <c r="L430" s="10">
        <f t="shared" si="109"/>
        <v>3.031920045854547E-2</v>
      </c>
      <c r="M430" s="10">
        <f t="shared" si="110"/>
        <v>0.97794277944970587</v>
      </c>
      <c r="N430" s="10">
        <f t="shared" si="111"/>
        <v>0.95585534122168681</v>
      </c>
      <c r="O430" s="10">
        <f t="shared" si="117"/>
        <v>4.3320208640464632E-2</v>
      </c>
      <c r="P430" s="10">
        <f t="shared" si="118"/>
        <v>3.5353288903122428E-2</v>
      </c>
      <c r="Q430" s="10">
        <f t="shared" si="112"/>
        <v>0.54015367830968486</v>
      </c>
      <c r="S430" s="5">
        <f t="shared" si="113"/>
        <v>1.6161371714327613E-5</v>
      </c>
      <c r="T430" s="5">
        <f t="shared" si="114"/>
        <v>1.7666412849384037E-4</v>
      </c>
      <c r="U430" s="5">
        <f t="shared" si="115"/>
        <v>6.5142954919361592E-3</v>
      </c>
    </row>
    <row r="431" spans="1:21">
      <c r="A431" s="19">
        <f t="shared" si="116"/>
        <v>34.749999999999893</v>
      </c>
      <c r="B431" s="10">
        <f t="shared" si="102"/>
        <v>1.0002740582656581E-3</v>
      </c>
      <c r="C431" s="10">
        <f t="shared" si="104"/>
        <v>0.18351512223413219</v>
      </c>
      <c r="D431" s="10">
        <f t="shared" si="105"/>
        <v>1.8356541607025373E-4</v>
      </c>
      <c r="H431" s="19">
        <f t="shared" si="103"/>
        <v>34.749999999999893</v>
      </c>
      <c r="I431" s="10">
        <f t="shared" si="106"/>
        <v>8.2525243869938328E-2</v>
      </c>
      <c r="J431" s="10">
        <f t="shared" si="107"/>
        <v>8.2547860595146342E-5</v>
      </c>
      <c r="K431" s="10">
        <f t="shared" si="108"/>
        <v>9.177261976705118E-4</v>
      </c>
      <c r="L431" s="10">
        <f t="shared" si="109"/>
        <v>2.9650443167122755E-2</v>
      </c>
      <c r="M431" s="10">
        <f t="shared" si="110"/>
        <v>0.97781609211651255</v>
      </c>
      <c r="N431" s="10">
        <f t="shared" si="111"/>
        <v>0.95559455272377447</v>
      </c>
      <c r="O431" s="10">
        <f t="shared" si="117"/>
        <v>4.3571433677781948E-2</v>
      </c>
      <c r="P431" s="10">
        <f t="shared" si="118"/>
        <v>3.4577293153532432E-2</v>
      </c>
      <c r="Q431" s="10">
        <f t="shared" si="112"/>
        <v>0.54341825906383734</v>
      </c>
      <c r="S431" s="5">
        <f t="shared" si="113"/>
        <v>1.5148780727284384E-5</v>
      </c>
      <c r="T431" s="5">
        <f t="shared" si="114"/>
        <v>1.6841663534296932E-4</v>
      </c>
      <c r="U431" s="5">
        <f t="shared" si="115"/>
        <v>6.345456179595926E-3</v>
      </c>
    </row>
    <row r="432" spans="1:21">
      <c r="A432" s="19">
        <f t="shared" si="116"/>
        <v>34.833333333333229</v>
      </c>
      <c r="B432" s="10">
        <f t="shared" si="102"/>
        <v>9.558564413095663E-4</v>
      </c>
      <c r="C432" s="10">
        <f t="shared" si="104"/>
        <v>0.1827704926231869</v>
      </c>
      <c r="D432" s="10">
        <f t="shared" si="105"/>
        <v>1.7470235265519576E-4</v>
      </c>
      <c r="H432" s="19">
        <f t="shared" si="103"/>
        <v>34.833333333333229</v>
      </c>
      <c r="I432" s="10">
        <f t="shared" si="106"/>
        <v>8.12497186093043E-2</v>
      </c>
      <c r="J432" s="10">
        <f t="shared" si="107"/>
        <v>7.7663066887293249E-5</v>
      </c>
      <c r="K432" s="10">
        <f t="shared" si="108"/>
        <v>8.7819337442227301E-4</v>
      </c>
      <c r="L432" s="10">
        <f t="shared" si="109"/>
        <v>2.8992680467198724E-2</v>
      </c>
      <c r="M432" s="10">
        <f t="shared" si="110"/>
        <v>0.97768868520188357</v>
      </c>
      <c r="N432" s="10">
        <f t="shared" si="111"/>
        <v>0.95533225957853374</v>
      </c>
      <c r="O432" s="10">
        <f t="shared" si="117"/>
        <v>4.3824053525810161E-2</v>
      </c>
      <c r="P432" s="10">
        <f t="shared" si="118"/>
        <v>3.3813830395987288E-2</v>
      </c>
      <c r="Q432" s="10">
        <f t="shared" si="112"/>
        <v>0.546702573944298</v>
      </c>
      <c r="S432" s="5">
        <f t="shared" si="113"/>
        <v>1.4194516993618101E-5</v>
      </c>
      <c r="T432" s="5">
        <f t="shared" si="114"/>
        <v>1.6050783566157767E-4</v>
      </c>
      <c r="U432" s="5">
        <f t="shared" si="115"/>
        <v>6.1801704389514876E-3</v>
      </c>
    </row>
    <row r="433" spans="1:21">
      <c r="A433" s="19">
        <f t="shared" si="116"/>
        <v>34.916666666666565</v>
      </c>
      <c r="B433" s="10">
        <f t="shared" si="102"/>
        <v>9.1316049390896407E-4</v>
      </c>
      <c r="C433" s="10">
        <f t="shared" si="104"/>
        <v>0.1820288844158772</v>
      </c>
      <c r="D433" s="10">
        <f t="shared" si="105"/>
        <v>1.6622158599890015E-4</v>
      </c>
      <c r="H433" s="19">
        <f t="shared" si="103"/>
        <v>34.916666666666565</v>
      </c>
      <c r="I433" s="10">
        <f t="shared" si="106"/>
        <v>7.9986866802718937E-2</v>
      </c>
      <c r="J433" s="10">
        <f t="shared" si="107"/>
        <v>7.3040846795801345E-5</v>
      </c>
      <c r="K433" s="10">
        <f t="shared" si="108"/>
        <v>8.4011964711316271E-4</v>
      </c>
      <c r="L433" s="10">
        <f t="shared" si="109"/>
        <v>2.8345815646453852E-2</v>
      </c>
      <c r="M433" s="10">
        <f t="shared" si="110"/>
        <v>0.97756055471535541</v>
      </c>
      <c r="N433" s="10">
        <f t="shared" si="111"/>
        <v>0.95506845354119374</v>
      </c>
      <c r="O433" s="10">
        <f t="shared" si="117"/>
        <v>4.4078075187463574E-2</v>
      </c>
      <c r="P433" s="10">
        <f t="shared" si="118"/>
        <v>3.3062802891892548E-2</v>
      </c>
      <c r="Q433" s="10">
        <f t="shared" si="112"/>
        <v>0.55000674224226076</v>
      </c>
      <c r="S433" s="5">
        <f t="shared" si="113"/>
        <v>1.3295543859030718E-5</v>
      </c>
      <c r="T433" s="5">
        <f t="shared" si="114"/>
        <v>1.5292604213986943E-4</v>
      </c>
      <c r="U433" s="5">
        <f t="shared" si="115"/>
        <v>6.0183851260732389E-3</v>
      </c>
    </row>
    <row r="434" spans="1:21">
      <c r="A434" s="19">
        <f t="shared" si="116"/>
        <v>34.999999999999901</v>
      </c>
      <c r="B434" s="10">
        <f t="shared" si="102"/>
        <v>8.7213078075254696E-4</v>
      </c>
      <c r="C434" s="10">
        <f t="shared" si="104"/>
        <v>0.18129028535257782</v>
      </c>
      <c r="D434" s="10">
        <f t="shared" si="105"/>
        <v>1.5810883810739572E-4</v>
      </c>
      <c r="H434" s="19">
        <f t="shared" si="103"/>
        <v>34.999999999999901</v>
      </c>
      <c r="I434" s="10">
        <f t="shared" si="106"/>
        <v>7.8736672872184471E-2</v>
      </c>
      <c r="J434" s="10">
        <f t="shared" si="107"/>
        <v>6.8668675985876122E-5</v>
      </c>
      <c r="K434" s="10">
        <f t="shared" si="108"/>
        <v>8.0346210476667083E-4</v>
      </c>
      <c r="L434" s="10">
        <f t="shared" si="109"/>
        <v>2.770975126720663E-2</v>
      </c>
      <c r="M434" s="10">
        <f t="shared" si="110"/>
        <v>0.97743169664544804</v>
      </c>
      <c r="N434" s="10">
        <f t="shared" si="111"/>
        <v>0.95480312632710929</v>
      </c>
      <c r="O434" s="10">
        <f t="shared" si="117"/>
        <v>4.4333505691845632E-2</v>
      </c>
      <c r="P434" s="10">
        <f t="shared" si="118"/>
        <v>3.2324111435379756E-2</v>
      </c>
      <c r="Q434" s="10">
        <f t="shared" si="112"/>
        <v>0.55333088397002739</v>
      </c>
      <c r="S434" s="5">
        <f t="shared" si="113"/>
        <v>1.2448963864263191E-5</v>
      </c>
      <c r="T434" s="5">
        <f t="shared" si="114"/>
        <v>1.4565987424313253E-4</v>
      </c>
      <c r="U434" s="5">
        <f t="shared" si="115"/>
        <v>5.8600473858885201E-3</v>
      </c>
    </row>
    <row r="435" spans="1:21">
      <c r="A435" s="19">
        <f t="shared" si="116"/>
        <v>35.083333333333236</v>
      </c>
      <c r="B435" s="10">
        <f t="shared" si="102"/>
        <v>8.3271319602863452E-4</v>
      </c>
      <c r="C435" s="10">
        <f t="shared" si="104"/>
        <v>0.18055468322340829</v>
      </c>
      <c r="D435" s="10">
        <f t="shared" si="105"/>
        <v>1.5035026732490198E-4</v>
      </c>
      <c r="H435" s="19">
        <f t="shared" si="103"/>
        <v>35.083333333333236</v>
      </c>
      <c r="I435" s="10">
        <f t="shared" si="106"/>
        <v>7.7499119790628415E-2</v>
      </c>
      <c r="J435" s="10">
        <f t="shared" si="107"/>
        <v>6.4534539730260189E-5</v>
      </c>
      <c r="K435" s="10">
        <f t="shared" si="108"/>
        <v>7.6817865629837437E-4</v>
      </c>
      <c r="L435" s="10">
        <f t="shared" si="109"/>
        <v>2.7084389194729129E-2</v>
      </c>
      <c r="M435" s="10">
        <f t="shared" si="110"/>
        <v>0.97730210695959274</v>
      </c>
      <c r="N435" s="10">
        <f t="shared" si="111"/>
        <v>0.95453626961161708</v>
      </c>
      <c r="O435" s="10">
        <f t="shared" si="117"/>
        <v>4.4590352094230734E-2</v>
      </c>
      <c r="P435" s="10">
        <f t="shared" si="118"/>
        <v>3.1597655405977434E-2</v>
      </c>
      <c r="Q435" s="10">
        <f t="shared" si="112"/>
        <v>0.55667511986536311</v>
      </c>
      <c r="S435" s="5">
        <f t="shared" si="113"/>
        <v>1.1652013377965585E-5</v>
      </c>
      <c r="T435" s="5">
        <f t="shared" si="114"/>
        <v>1.386982539469364E-4</v>
      </c>
      <c r="U435" s="5">
        <f t="shared" si="115"/>
        <v>5.70510466242867E-3</v>
      </c>
    </row>
    <row r="436" spans="1:21">
      <c r="A436" s="19">
        <f t="shared" si="116"/>
        <v>35.166666666666572</v>
      </c>
      <c r="B436" s="10">
        <f t="shared" si="102"/>
        <v>7.9485494779354005E-4</v>
      </c>
      <c r="C436" s="10">
        <f t="shared" si="104"/>
        <v>0.17982206586803051</v>
      </c>
      <c r="D436" s="10">
        <f t="shared" si="105"/>
        <v>1.4293245877765992E-4</v>
      </c>
      <c r="H436" s="19">
        <f t="shared" si="103"/>
        <v>35.166666666666572</v>
      </c>
      <c r="I436" s="10">
        <f t="shared" si="106"/>
        <v>7.6274189085610913E-2</v>
      </c>
      <c r="J436" s="10">
        <f t="shared" si="107"/>
        <v>6.0626916583637865E-5</v>
      </c>
      <c r="K436" s="10">
        <f t="shared" si="108"/>
        <v>7.3422803120990225E-4</v>
      </c>
      <c r="L436" s="10">
        <f t="shared" si="109"/>
        <v>2.6469630625722405E-2</v>
      </c>
      <c r="M436" s="10">
        <f t="shared" si="110"/>
        <v>0.97717178160401497</v>
      </c>
      <c r="N436" s="10">
        <f t="shared" si="111"/>
        <v>0.95426787502993837</v>
      </c>
      <c r="O436" s="10">
        <f t="shared" si="117"/>
        <v>4.4848621476044695E-2</v>
      </c>
      <c r="P436" s="10">
        <f t="shared" si="118"/>
        <v>3.0883332821093724E-2</v>
      </c>
      <c r="Q436" s="10">
        <f t="shared" si="112"/>
        <v>0.56003957139588534</v>
      </c>
      <c r="S436" s="5">
        <f t="shared" si="113"/>
        <v>1.090205738727852E-5</v>
      </c>
      <c r="T436" s="5">
        <f t="shared" si="114"/>
        <v>1.320304013903814E-4</v>
      </c>
      <c r="U436" s="5">
        <f t="shared" si="115"/>
        <v>5.5535047087790241E-3</v>
      </c>
    </row>
    <row r="437" spans="1:21">
      <c r="A437" s="19">
        <f t="shared" si="116"/>
        <v>35.249999999999908</v>
      </c>
      <c r="B437" s="10">
        <f t="shared" si="102"/>
        <v>7.5850454198797405E-4</v>
      </c>
      <c r="C437" s="10">
        <f t="shared" si="104"/>
        <v>0.17909242117544844</v>
      </c>
      <c r="D437" s="10">
        <f t="shared" si="105"/>
        <v>1.3584241489720086E-4</v>
      </c>
      <c r="H437" s="19">
        <f t="shared" si="103"/>
        <v>35.249999999999908</v>
      </c>
      <c r="I437" s="10">
        <f t="shared" si="106"/>
        <v>7.5061860843438202E-2</v>
      </c>
      <c r="J437" s="10">
        <f t="shared" si="107"/>
        <v>5.6934762379817134E-5</v>
      </c>
      <c r="K437" s="10">
        <f t="shared" si="108"/>
        <v>7.0156977960815687E-4</v>
      </c>
      <c r="L437" s="10">
        <f t="shared" si="109"/>
        <v>2.5865376116937362E-2</v>
      </c>
      <c r="M437" s="10">
        <f t="shared" si="110"/>
        <v>0.97704071650365587</v>
      </c>
      <c r="N437" s="10">
        <f t="shared" si="111"/>
        <v>0.95399793417700851</v>
      </c>
      <c r="O437" s="10">
        <f t="shared" si="117"/>
        <v>4.5108320944842129E-2</v>
      </c>
      <c r="P437" s="10">
        <f t="shared" si="118"/>
        <v>3.0181040388291024E-2</v>
      </c>
      <c r="Q437" s="10">
        <f t="shared" si="112"/>
        <v>0.56342436076347013</v>
      </c>
      <c r="S437" s="5">
        <f t="shared" si="113"/>
        <v>1.0196584443650287E-5</v>
      </c>
      <c r="T437" s="5">
        <f t="shared" si="114"/>
        <v>1.2564583045355057E-4</v>
      </c>
      <c r="U437" s="5">
        <f t="shared" si="115"/>
        <v>5.405195596733036E-3</v>
      </c>
    </row>
    <row r="438" spans="1:21">
      <c r="A438" s="19">
        <f t="shared" si="116"/>
        <v>35.333333333333243</v>
      </c>
      <c r="B438" s="10">
        <f t="shared" si="102"/>
        <v>7.2361176612040527E-4</v>
      </c>
      <c r="C438" s="10">
        <f t="shared" si="104"/>
        <v>0.17836573708380732</v>
      </c>
      <c r="D438" s="10">
        <f t="shared" si="105"/>
        <v>1.2906754602658169E-4</v>
      </c>
      <c r="H438" s="19">
        <f t="shared" si="103"/>
        <v>35.333333333333243</v>
      </c>
      <c r="I438" s="10">
        <f t="shared" si="106"/>
        <v>7.3862113713681482E-2</v>
      </c>
      <c r="J438" s="10">
        <f t="shared" si="107"/>
        <v>5.3447494553743266E-5</v>
      </c>
      <c r="K438" s="10">
        <f t="shared" si="108"/>
        <v>6.7016427156666206E-4</v>
      </c>
      <c r="L438" s="10">
        <f t="shared" si="109"/>
        <v>2.5271525613929029E-2</v>
      </c>
      <c r="M438" s="10">
        <f t="shared" si="110"/>
        <v>0.97690890756205462</v>
      </c>
      <c r="N438" s="10">
        <f t="shared" si="111"/>
        <v>0.95372643860740014</v>
      </c>
      <c r="O438" s="10">
        <f t="shared" si="117"/>
        <v>4.5369457634283253E-2</v>
      </c>
      <c r="P438" s="10">
        <f t="shared" si="118"/>
        <v>2.9490673557335985E-2</v>
      </c>
      <c r="Q438" s="10">
        <f t="shared" si="112"/>
        <v>0.56682961090869621</v>
      </c>
      <c r="S438" s="5">
        <f t="shared" si="113"/>
        <v>9.5332017613611956E-6</v>
      </c>
      <c r="T438" s="5">
        <f t="shared" si="114"/>
        <v>1.195343442652205E-4</v>
      </c>
      <c r="U438" s="5">
        <f t="shared" si="115"/>
        <v>5.2601257261521792E-3</v>
      </c>
    </row>
    <row r="439" spans="1:21">
      <c r="A439" s="19">
        <f t="shared" si="116"/>
        <v>35.416666666666579</v>
      </c>
      <c r="B439" s="10">
        <f t="shared" si="102"/>
        <v>6.9012767263642509E-4</v>
      </c>
      <c r="C439" s="10">
        <f t="shared" si="104"/>
        <v>0.17764200158019453</v>
      </c>
      <c r="D439" s="10">
        <f t="shared" si="105"/>
        <v>1.2259566111301579E-4</v>
      </c>
      <c r="H439" s="19">
        <f t="shared" si="103"/>
        <v>35.416666666666579</v>
      </c>
      <c r="I439" s="10">
        <f t="shared" si="106"/>
        <v>7.267492491410292E-2</v>
      </c>
      <c r="J439" s="10">
        <f t="shared" si="107"/>
        <v>5.0154976789996796E-5</v>
      </c>
      <c r="K439" s="10">
        <f t="shared" si="108"/>
        <v>6.3997269584642837E-4</v>
      </c>
      <c r="L439" s="10">
        <f t="shared" si="109"/>
        <v>2.468797847992989E-2</v>
      </c>
      <c r="M439" s="10">
        <f t="shared" si="110"/>
        <v>0.97677635066126856</v>
      </c>
      <c r="N439" s="10">
        <f t="shared" si="111"/>
        <v>0.95345337983515899</v>
      </c>
      <c r="O439" s="10">
        <f t="shared" si="117"/>
        <v>4.5632038704107494E-2</v>
      </c>
      <c r="P439" s="10">
        <f t="shared" si="118"/>
        <v>2.8812126572006082E-2</v>
      </c>
      <c r="Q439" s="10">
        <f t="shared" si="112"/>
        <v>0.57025544551530727</v>
      </c>
      <c r="S439" s="5">
        <f t="shared" si="113"/>
        <v>8.9096304661832297E-6</v>
      </c>
      <c r="T439" s="5">
        <f t="shared" si="114"/>
        <v>1.1368603064683257E-4</v>
      </c>
      <c r="U439" s="5">
        <f t="shared" si="115"/>
        <v>5.1182438340330689E-3</v>
      </c>
    </row>
    <row r="440" spans="1:21">
      <c r="A440" s="19">
        <f t="shared" si="116"/>
        <v>35.499999999999915</v>
      </c>
      <c r="B440" s="10">
        <f t="shared" si="102"/>
        <v>6.580045619929717E-4</v>
      </c>
      <c r="C440" s="10">
        <f t="shared" si="104"/>
        <v>0.17692120270044095</v>
      </c>
      <c r="D440" s="10">
        <f t="shared" si="105"/>
        <v>1.1641495849017341E-4</v>
      </c>
      <c r="H440" s="19">
        <f t="shared" si="103"/>
        <v>35.499999999999915</v>
      </c>
      <c r="I440" s="10">
        <f t="shared" si="106"/>
        <v>7.1500270235988331E-2</v>
      </c>
      <c r="J440" s="10">
        <f t="shared" si="107"/>
        <v>4.7047503999010615E-5</v>
      </c>
      <c r="K440" s="10">
        <f t="shared" si="108"/>
        <v>6.1095705799396106E-4</v>
      </c>
      <c r="L440" s="10">
        <f t="shared" si="109"/>
        <v>2.411463352482985E-2</v>
      </c>
      <c r="M440" s="10">
        <f t="shared" si="110"/>
        <v>0.9766430416617552</v>
      </c>
      <c r="N440" s="10">
        <f t="shared" si="111"/>
        <v>0.95317874933371183</v>
      </c>
      <c r="O440" s="10">
        <f t="shared" si="117"/>
        <v>4.5896071340105794E-2</v>
      </c>
      <c r="P440" s="10">
        <f t="shared" si="118"/>
        <v>2.8145292521636753E-2</v>
      </c>
      <c r="Q440" s="10">
        <f t="shared" si="112"/>
        <v>0.57370198901470681</v>
      </c>
      <c r="S440" s="5">
        <f t="shared" si="113"/>
        <v>8.3237009915587634E-6</v>
      </c>
      <c r="T440" s="5">
        <f t="shared" si="114"/>
        <v>1.0809125749861464E-4</v>
      </c>
      <c r="U440" s="5">
        <f t="shared" si="115"/>
        <v>4.9794990032837006E-3</v>
      </c>
    </row>
    <row r="441" spans="1:21">
      <c r="A441" s="19">
        <f t="shared" si="116"/>
        <v>35.58333333333325</v>
      </c>
      <c r="B441" s="10">
        <f t="shared" si="102"/>
        <v>6.2719596545633759E-4</v>
      </c>
      <c r="C441" s="10">
        <f t="shared" si="104"/>
        <v>0.17620332852892331</v>
      </c>
      <c r="D441" s="10">
        <f t="shared" si="105"/>
        <v>1.1051401675331829E-4</v>
      </c>
      <c r="H441" s="19">
        <f t="shared" si="103"/>
        <v>35.58333333333325</v>
      </c>
      <c r="I441" s="10">
        <f t="shared" si="106"/>
        <v>7.033812404988829E-2</v>
      </c>
      <c r="J441" s="10">
        <f t="shared" si="107"/>
        <v>4.4115787621857322E-5</v>
      </c>
      <c r="K441" s="10">
        <f t="shared" si="108"/>
        <v>5.8308017783448025E-4</v>
      </c>
      <c r="L441" s="10">
        <f t="shared" si="109"/>
        <v>2.3551389034248357E-2</v>
      </c>
      <c r="M441" s="10">
        <f t="shared" si="110"/>
        <v>0.97650897640229672</v>
      </c>
      <c r="N441" s="10">
        <f t="shared" si="111"/>
        <v>0.95290253853571893</v>
      </c>
      <c r="O441" s="10">
        <f t="shared" si="117"/>
        <v>4.6161562754090529E-2</v>
      </c>
      <c r="P441" s="10">
        <f t="shared" si="118"/>
        <v>2.7490063392391084E-2</v>
      </c>
      <c r="Q441" s="10">
        <f t="shared" si="112"/>
        <v>0.57716936659047358</v>
      </c>
      <c r="S441" s="5">
        <f t="shared" si="113"/>
        <v>7.7733486196463345E-6</v>
      </c>
      <c r="T441" s="5">
        <f t="shared" si="114"/>
        <v>1.0274066813367196E-4</v>
      </c>
      <c r="U441" s="5">
        <f t="shared" si="115"/>
        <v>4.8438406712104139E-3</v>
      </c>
    </row>
    <row r="442" spans="1:21">
      <c r="A442" s="19">
        <f t="shared" si="116"/>
        <v>35.666666666666586</v>
      </c>
      <c r="B442" s="10">
        <f t="shared" si="102"/>
        <v>5.9765662764270518E-4</v>
      </c>
      <c r="C442" s="10">
        <f t="shared" si="104"/>
        <v>0.1754883671983668</v>
      </c>
      <c r="D442" s="10">
        <f t="shared" si="105"/>
        <v>1.0488178573030062E-4</v>
      </c>
      <c r="H442" s="19">
        <f t="shared" si="103"/>
        <v>35.666666666666586</v>
      </c>
      <c r="I442" s="10">
        <f t="shared" si="106"/>
        <v>6.918845931176662E-2</v>
      </c>
      <c r="J442" s="10">
        <f t="shared" si="107"/>
        <v>4.1350941264064964E-5</v>
      </c>
      <c r="K442" s="10">
        <f t="shared" si="108"/>
        <v>5.5630568637864022E-4</v>
      </c>
      <c r="L442" s="10">
        <f t="shared" si="109"/>
        <v>2.2998142798686137E-2</v>
      </c>
      <c r="M442" s="10">
        <f t="shared" si="110"/>
        <v>0.97637415069987321</v>
      </c>
      <c r="N442" s="10">
        <f t="shared" si="111"/>
        <v>0.95262473883296372</v>
      </c>
      <c r="O442" s="10">
        <f t="shared" si="117"/>
        <v>4.6428520183863044E-2</v>
      </c>
      <c r="P442" s="10">
        <f t="shared" si="118"/>
        <v>2.6846330118236818E-2</v>
      </c>
      <c r="Q442" s="10">
        <f t="shared" si="112"/>
        <v>0.58065770418291229</v>
      </c>
      <c r="S442" s="5">
        <f t="shared" si="113"/>
        <v>7.2566091645463302E-6</v>
      </c>
      <c r="T442" s="5">
        <f t="shared" si="114"/>
        <v>9.7625176565754301E-5</v>
      </c>
      <c r="U442" s="5">
        <f t="shared" si="115"/>
        <v>4.7112186377177168E-3</v>
      </c>
    </row>
    <row r="443" spans="1:21">
      <c r="A443" s="19">
        <f t="shared" si="116"/>
        <v>35.749999999999922</v>
      </c>
      <c r="B443" s="10">
        <f t="shared" si="102"/>
        <v>5.6934248881992185E-4</v>
      </c>
      <c r="C443" s="10">
        <f t="shared" si="104"/>
        <v>0.17477630688964943</v>
      </c>
      <c r="D443" s="10">
        <f t="shared" si="105"/>
        <v>9.950757755130746E-5</v>
      </c>
      <c r="H443" s="19">
        <f t="shared" si="103"/>
        <v>35.749999999999922</v>
      </c>
      <c r="I443" s="10">
        <f t="shared" si="106"/>
        <v>6.8051247569556786E-2</v>
      </c>
      <c r="J443" s="10">
        <f t="shared" si="107"/>
        <v>3.874446665855212E-5</v>
      </c>
      <c r="K443" s="10">
        <f t="shared" si="108"/>
        <v>5.3059802216136971E-4</v>
      </c>
      <c r="L443" s="10">
        <f t="shared" si="109"/>
        <v>2.2454792142741584E-2</v>
      </c>
      <c r="M443" s="10">
        <f t="shared" si="110"/>
        <v>0.97623856034959178</v>
      </c>
      <c r="N443" s="10">
        <f t="shared" si="111"/>
        <v>0.9523453415762253</v>
      </c>
      <c r="O443" s="10">
        <f t="shared" si="117"/>
        <v>4.6696950893180059E-2</v>
      </c>
      <c r="P443" s="10">
        <f t="shared" si="118"/>
        <v>2.6213982631612998E-2</v>
      </c>
      <c r="Q443" s="10">
        <f t="shared" si="112"/>
        <v>0.58416712849362629</v>
      </c>
      <c r="S443" s="5">
        <f t="shared" si="113"/>
        <v>6.7716147949908953E-6</v>
      </c>
      <c r="T443" s="5">
        <f t="shared" si="114"/>
        <v>9.2735962756316563E-5</v>
      </c>
      <c r="U443" s="5">
        <f t="shared" si="115"/>
        <v>4.5815830732227336E-3</v>
      </c>
    </row>
    <row r="444" spans="1:21">
      <c r="A444" s="19">
        <f t="shared" si="116"/>
        <v>35.833333333333258</v>
      </c>
      <c r="B444" s="10">
        <f t="shared" si="102"/>
        <v>5.4221066698906673E-4</v>
      </c>
      <c r="C444" s="10">
        <f t="shared" si="104"/>
        <v>0.17406713583160632</v>
      </c>
      <c r="D444" s="10">
        <f t="shared" si="105"/>
        <v>9.4381057820131742E-5</v>
      </c>
      <c r="H444" s="19">
        <f t="shared" si="103"/>
        <v>35.833333333333258</v>
      </c>
      <c r="I444" s="10">
        <f t="shared" si="106"/>
        <v>6.6926458970126126E-2</v>
      </c>
      <c r="J444" s="10">
        <f t="shared" si="107"/>
        <v>3.6288239957408499E-5</v>
      </c>
      <c r="K444" s="10">
        <f t="shared" si="108"/>
        <v>5.059224270316582E-4</v>
      </c>
      <c r="L444" s="10">
        <f t="shared" si="109"/>
        <v>2.1921233954379369E-2</v>
      </c>
      <c r="M444" s="10">
        <f t="shared" si="110"/>
        <v>0.97610220112455937</v>
      </c>
      <c r="N444" s="10">
        <f t="shared" si="111"/>
        <v>0.95206433807516155</v>
      </c>
      <c r="O444" s="10">
        <f t="shared" si="117"/>
        <v>4.6966862171716431E-2</v>
      </c>
      <c r="P444" s="10">
        <f t="shared" si="118"/>
        <v>2.5592909913772013E-2</v>
      </c>
      <c r="Q444" s="10">
        <f t="shared" si="112"/>
        <v>0.58769776699012144</v>
      </c>
      <c r="S444" s="5">
        <f t="shared" si="113"/>
        <v>6.3165899937561491E-6</v>
      </c>
      <c r="T444" s="5">
        <f t="shared" si="114"/>
        <v>8.8064467826375582E-5</v>
      </c>
      <c r="U444" s="5">
        <f t="shared" si="115"/>
        <v>4.4548845262866168E-3</v>
      </c>
    </row>
    <row r="445" spans="1:21">
      <c r="A445" s="19">
        <f t="shared" si="116"/>
        <v>35.916666666666593</v>
      </c>
      <c r="B445" s="10">
        <f t="shared" si="102"/>
        <v>5.1621943976423766E-4</v>
      </c>
      <c r="C445" s="10">
        <f t="shared" si="104"/>
        <v>0.17336084230083515</v>
      </c>
      <c r="D445" s="10">
        <f t="shared" si="105"/>
        <v>8.9492236889593475E-5</v>
      </c>
      <c r="H445" s="19">
        <f t="shared" si="103"/>
        <v>35.916666666666593</v>
      </c>
      <c r="I445" s="10">
        <f t="shared" si="106"/>
        <v>6.5814062266646989E-2</v>
      </c>
      <c r="J445" s="10">
        <f t="shared" si="107"/>
        <v>3.3974498351897161E-5</v>
      </c>
      <c r="K445" s="10">
        <f t="shared" si="108"/>
        <v>4.822449414123405E-4</v>
      </c>
      <c r="L445" s="10">
        <f t="shared" si="109"/>
        <v>2.1397364714236131E-2</v>
      </c>
      <c r="M445" s="10">
        <f t="shared" si="110"/>
        <v>0.97596506877580991</v>
      </c>
      <c r="N445" s="10">
        <f t="shared" si="111"/>
        <v>0.95178171959818481</v>
      </c>
      <c r="O445" s="10">
        <f t="shared" si="117"/>
        <v>4.7238261335027378E-2</v>
      </c>
      <c r="P445" s="10">
        <f t="shared" si="118"/>
        <v>2.4983000044779952E-2</v>
      </c>
      <c r="Q445" s="10">
        <f t="shared" si="112"/>
        <v>0.59124974791043139</v>
      </c>
      <c r="S445" s="5">
        <f t="shared" si="113"/>
        <v>5.8898476510332275E-6</v>
      </c>
      <c r="T445" s="5">
        <f t="shared" si="114"/>
        <v>8.3602389238560251E-5</v>
      </c>
      <c r="U445" s="5">
        <f t="shared" si="115"/>
        <v>4.3310739309648551E-3</v>
      </c>
    </row>
    <row r="446" spans="1:21">
      <c r="A446" s="19">
        <f t="shared" si="116"/>
        <v>35.999999999999929</v>
      </c>
      <c r="B446" s="10">
        <f t="shared" si="102"/>
        <v>4.9132822606881771E-4</v>
      </c>
      <c r="C446" s="10">
        <f t="shared" si="104"/>
        <v>0.17265741462150247</v>
      </c>
      <c r="D446" s="10">
        <f t="shared" si="105"/>
        <v>8.4831461243611164E-5</v>
      </c>
      <c r="H446" s="19">
        <f t="shared" si="103"/>
        <v>35.999999999999929</v>
      </c>
      <c r="I446" s="10">
        <f t="shared" si="106"/>
        <v>6.4714024826375116E-2</v>
      </c>
      <c r="J446" s="10">
        <f t="shared" si="107"/>
        <v>3.1795827019716317E-5</v>
      </c>
      <c r="K446" s="10">
        <f t="shared" si="108"/>
        <v>4.595323990491014E-4</v>
      </c>
      <c r="L446" s="10">
        <f t="shared" si="109"/>
        <v>2.0883080524950554E-2</v>
      </c>
      <c r="M446" s="10">
        <f t="shared" si="110"/>
        <v>0.97582715903217621</v>
      </c>
      <c r="N446" s="10">
        <f t="shared" si="111"/>
        <v>0.95149747737234291</v>
      </c>
      <c r="O446" s="10">
        <f t="shared" si="117"/>
        <v>4.7511155724506732E-2</v>
      </c>
      <c r="P446" s="10">
        <f t="shared" si="118"/>
        <v>2.4384140253161601E-2</v>
      </c>
      <c r="Q446" s="10">
        <f t="shared" si="112"/>
        <v>0.59482320026778057</v>
      </c>
      <c r="S446" s="5">
        <f t="shared" si="113"/>
        <v>5.489785288976731E-6</v>
      </c>
      <c r="T446" s="5">
        <f t="shared" si="114"/>
        <v>7.9341675954634427E-5</v>
      </c>
      <c r="U446" s="5">
        <f t="shared" si="115"/>
        <v>4.2101026138789905E-3</v>
      </c>
    </row>
    <row r="447" spans="1:21">
      <c r="A447" s="19">
        <f t="shared" si="116"/>
        <v>36.083333333333265</v>
      </c>
      <c r="B447" s="10">
        <f t="shared" si="102"/>
        <v>4.6749756766630826E-4</v>
      </c>
      <c r="C447" s="10">
        <f t="shared" si="104"/>
        <v>0.17195684116515048</v>
      </c>
      <c r="D447" s="10">
        <f t="shared" si="105"/>
        <v>8.038940498828956E-5</v>
      </c>
      <c r="H447" s="19">
        <f t="shared" si="103"/>
        <v>36.083333333333265</v>
      </c>
      <c r="I447" s="10">
        <f t="shared" si="106"/>
        <v>6.3626312638833352E-2</v>
      </c>
      <c r="J447" s="10">
        <f t="shared" si="107"/>
        <v>2.974514639823068E-5</v>
      </c>
      <c r="K447" s="10">
        <f t="shared" si="108"/>
        <v>4.3775242126807757E-4</v>
      </c>
      <c r="L447" s="10">
        <f t="shared" si="109"/>
        <v>2.0378277140502665E-2</v>
      </c>
      <c r="M447" s="10">
        <f t="shared" si="110"/>
        <v>0.97568846760021721</v>
      </c>
      <c r="N447" s="10">
        <f t="shared" si="111"/>
        <v>0.95121160258319337</v>
      </c>
      <c r="O447" s="10">
        <f t="shared" si="117"/>
        <v>4.7785552707344643E-2</v>
      </c>
      <c r="P447" s="10">
        <f t="shared" si="118"/>
        <v>2.3796216965173738E-2</v>
      </c>
      <c r="Q447" s="10">
        <f t="shared" si="112"/>
        <v>0.59841825385526648</v>
      </c>
      <c r="S447" s="5">
        <f t="shared" si="113"/>
        <v>5.1148814146347009E-6</v>
      </c>
      <c r="T447" s="5">
        <f t="shared" si="114"/>
        <v>7.5274523573654848E-5</v>
      </c>
      <c r="U447" s="5">
        <f t="shared" si="115"/>
        <v>4.0919223010118392E-3</v>
      </c>
    </row>
    <row r="448" spans="1:21">
      <c r="A448" s="19">
        <f t="shared" si="116"/>
        <v>36.1666666666666</v>
      </c>
      <c r="B448" s="10">
        <f t="shared" si="102"/>
        <v>4.4468911054361399E-4</v>
      </c>
      <c r="C448" s="10">
        <f t="shared" si="104"/>
        <v>0.17125911035050501</v>
      </c>
      <c r="D448" s="10">
        <f t="shared" si="105"/>
        <v>7.6157061454256705E-5</v>
      </c>
      <c r="H448" s="19">
        <f t="shared" si="103"/>
        <v>36.1666666666666</v>
      </c>
      <c r="I448" s="10">
        <f t="shared" si="106"/>
        <v>6.2550890324400699E-2</v>
      </c>
      <c r="J448" s="10">
        <f t="shared" si="107"/>
        <v>2.7815699782068897E-5</v>
      </c>
      <c r="K448" s="10">
        <f t="shared" si="108"/>
        <v>4.1687341076154506E-4</v>
      </c>
      <c r="L448" s="10">
        <f t="shared" si="109"/>
        <v>1.9882849995549581E-2</v>
      </c>
      <c r="M448" s="10">
        <f t="shared" si="110"/>
        <v>0.9755489901640898</v>
      </c>
      <c r="N448" s="10">
        <f t="shared" si="111"/>
        <v>0.95092408637470349</v>
      </c>
      <c r="O448" s="10">
        <f t="shared" si="117"/>
        <v>4.8061459676481746E-2</v>
      </c>
      <c r="P448" s="10">
        <f t="shared" si="118"/>
        <v>2.3219115853693656E-2</v>
      </c>
      <c r="Q448" s="10">
        <f t="shared" si="112"/>
        <v>0.60203503925057777</v>
      </c>
      <c r="S448" s="5">
        <f t="shared" si="113"/>
        <v>4.7636919984538553E-6</v>
      </c>
      <c r="T448" s="5">
        <f t="shared" si="114"/>
        <v>7.1393369455802851E-5</v>
      </c>
      <c r="U448" s="5">
        <f t="shared" si="115"/>
        <v>3.9764851242288825E-3</v>
      </c>
    </row>
    <row r="449" spans="1:21">
      <c r="A449" s="19">
        <f t="shared" si="116"/>
        <v>36.249999999999936</v>
      </c>
      <c r="B449" s="10">
        <f t="shared" si="102"/>
        <v>4.2286558616446568E-4</v>
      </c>
      <c r="C449" s="10">
        <f t="shared" si="104"/>
        <v>0.17056421064328398</v>
      </c>
      <c r="D449" s="10">
        <f t="shared" si="105"/>
        <v>7.2125734912351669E-5</v>
      </c>
      <c r="H449" s="19">
        <f t="shared" si="103"/>
        <v>36.249999999999936</v>
      </c>
      <c r="I449" s="10">
        <f t="shared" si="106"/>
        <v>6.1487721143304849E-2</v>
      </c>
      <c r="J449" s="10">
        <f t="shared" si="107"/>
        <v>2.6001041243180814E-5</v>
      </c>
      <c r="K449" s="10">
        <f t="shared" si="108"/>
        <v>3.9686454492128488E-4</v>
      </c>
      <c r="L449" s="10">
        <f t="shared" si="109"/>
        <v>1.9396694234742471E-2</v>
      </c>
      <c r="M449" s="10">
        <f t="shared" si="110"/>
        <v>0.97540872238547316</v>
      </c>
      <c r="N449" s="10">
        <f t="shared" si="111"/>
        <v>0.95063491984910697</v>
      </c>
      <c r="O449" s="10">
        <f t="shared" si="117"/>
        <v>4.8338884050561443E-2</v>
      </c>
      <c r="P449" s="10">
        <f t="shared" si="118"/>
        <v>2.2652721886707302E-2</v>
      </c>
      <c r="Q449" s="10">
        <f t="shared" si="112"/>
        <v>0.60567368782073205</v>
      </c>
      <c r="S449" s="5">
        <f t="shared" si="113"/>
        <v>4.4348470755466065E-6</v>
      </c>
      <c r="T449" s="5">
        <f t="shared" si="114"/>
        <v>6.7690887836805076E-5</v>
      </c>
      <c r="U449" s="5">
        <f t="shared" si="115"/>
        <v>3.8637436275280736E-3</v>
      </c>
    </row>
    <row r="450" spans="1:21">
      <c r="A450" s="19">
        <f t="shared" si="116"/>
        <v>36.333333333333272</v>
      </c>
      <c r="B450" s="10">
        <f t="shared" si="102"/>
        <v>4.0199079261040246E-4</v>
      </c>
      <c r="C450" s="10">
        <f t="shared" si="104"/>
        <v>0.16987213055600672</v>
      </c>
      <c r="D450" s="10">
        <f t="shared" si="105"/>
        <v>6.8287032404626907E-5</v>
      </c>
      <c r="H450" s="19">
        <f t="shared" si="103"/>
        <v>36.333333333333272</v>
      </c>
      <c r="I450" s="10">
        <f t="shared" si="106"/>
        <v>6.0436767005017267E-2</v>
      </c>
      <c r="J450" s="10">
        <f t="shared" si="107"/>
        <v>2.429502387115711E-5</v>
      </c>
      <c r="K450" s="10">
        <f t="shared" si="108"/>
        <v>3.7769576873924538E-4</v>
      </c>
      <c r="L450" s="10">
        <f t="shared" si="109"/>
        <v>1.8919704742011826E-2</v>
      </c>
      <c r="M450" s="10">
        <f t="shared" si="110"/>
        <v>0.97526765990344522</v>
      </c>
      <c r="N450" s="10">
        <f t="shared" si="111"/>
        <v>0.95034409406680354</v>
      </c>
      <c r="O450" s="10">
        <f t="shared" si="117"/>
        <v>4.8617833273879904E-2</v>
      </c>
      <c r="P450" s="10">
        <f t="shared" si="118"/>
        <v>2.2096919375384463E-2</v>
      </c>
      <c r="Q450" s="10">
        <f t="shared" si="112"/>
        <v>0.60933433172684959</v>
      </c>
      <c r="S450" s="5">
        <f t="shared" si="113"/>
        <v>4.1270474669025005E-6</v>
      </c>
      <c r="T450" s="5">
        <f t="shared" si="114"/>
        <v>6.4159984937724418E-5</v>
      </c>
      <c r="U450" s="5">
        <f t="shared" si="115"/>
        <v>3.7536507730208638E-3</v>
      </c>
    </row>
    <row r="451" spans="1:21">
      <c r="A451" s="19">
        <f t="shared" si="116"/>
        <v>36.416666666666607</v>
      </c>
      <c r="B451" s="10">
        <f t="shared" si="102"/>
        <v>3.8202957562652923E-4</v>
      </c>
      <c r="C451" s="10">
        <f t="shared" si="104"/>
        <v>0.16918285864780408</v>
      </c>
      <c r="D451" s="10">
        <f t="shared" si="105"/>
        <v>6.4632855692503671E-5</v>
      </c>
      <c r="H451" s="19">
        <f t="shared" si="103"/>
        <v>36.416666666666607</v>
      </c>
      <c r="I451" s="10">
        <f t="shared" si="106"/>
        <v>5.9397988478049078E-2</v>
      </c>
      <c r="J451" s="10">
        <f t="shared" si="107"/>
        <v>2.2691788331338563E-5</v>
      </c>
      <c r="K451" s="10">
        <f t="shared" si="108"/>
        <v>3.5933778729519068E-4</v>
      </c>
      <c r="L451" s="10">
        <f t="shared" si="109"/>
        <v>1.8451776169805988E-2</v>
      </c>
      <c r="M451" s="10">
        <f t="shared" si="110"/>
        <v>0.97512579833440194</v>
      </c>
      <c r="N451" s="10">
        <f t="shared" si="111"/>
        <v>0.95005160004623934</v>
      </c>
      <c r="O451" s="10">
        <f t="shared" si="117"/>
        <v>4.8898314816333978E-2</v>
      </c>
      <c r="P451" s="10">
        <f t="shared" si="118"/>
        <v>2.1551592021726258E-2</v>
      </c>
      <c r="Q451" s="10">
        <f t="shared" si="112"/>
        <v>0.61301710392895636</v>
      </c>
      <c r="S451" s="5">
        <f t="shared" si="113"/>
        <v>3.8390616177267418E-6</v>
      </c>
      <c r="T451" s="5">
        <f t="shared" si="114"/>
        <v>6.0793794074776933E-5</v>
      </c>
      <c r="U451" s="5">
        <f t="shared" si="115"/>
        <v>3.6461599466468555E-3</v>
      </c>
    </row>
    <row r="452" spans="1:21">
      <c r="A452" s="19">
        <f t="shared" si="116"/>
        <v>36.499999999999943</v>
      </c>
      <c r="B452" s="10">
        <f t="shared" si="102"/>
        <v>3.6294780958896989E-4</v>
      </c>
      <c r="C452" s="10">
        <f t="shared" si="104"/>
        <v>0.16849638352422927</v>
      </c>
      <c r="D452" s="10">
        <f t="shared" si="105"/>
        <v>6.1155393323782012E-5</v>
      </c>
      <c r="H452" s="19">
        <f t="shared" si="103"/>
        <v>36.499999999999943</v>
      </c>
      <c r="I452" s="10">
        <f t="shared" si="106"/>
        <v>5.8371344800145684E-2</v>
      </c>
      <c r="J452" s="10">
        <f t="shared" si="107"/>
        <v>2.1185751737975384E-5</v>
      </c>
      <c r="K452" s="10">
        <f t="shared" si="108"/>
        <v>3.4176205785099451E-4</v>
      </c>
      <c r="L452" s="10">
        <f t="shared" si="109"/>
        <v>1.7992802968269758E-2</v>
      </c>
      <c r="M452" s="10">
        <f t="shared" si="110"/>
        <v>0.97498313327193342</v>
      </c>
      <c r="N452" s="10">
        <f t="shared" si="111"/>
        <v>0.94975742876378999</v>
      </c>
      <c r="O452" s="10">
        <f t="shared" si="117"/>
        <v>4.9180336173365688E-2</v>
      </c>
      <c r="P452" s="10">
        <f t="shared" si="118"/>
        <v>2.1016622965772717E-2</v>
      </c>
      <c r="Q452" s="10">
        <f t="shared" si="112"/>
        <v>0.61672213819081101</v>
      </c>
      <c r="S452" s="5">
        <f t="shared" si="113"/>
        <v>3.5697225500910071E-6</v>
      </c>
      <c r="T452" s="5">
        <f t="shared" si="114"/>
        <v>5.7585670773691005E-5</v>
      </c>
      <c r="U452" s="5">
        <f t="shared" si="115"/>
        <v>3.5412249636249645E-3</v>
      </c>
    </row>
    <row r="453" spans="1:21">
      <c r="A453" s="19">
        <f t="shared" si="116"/>
        <v>36.583333333333279</v>
      </c>
      <c r="B453" s="10">
        <f t="shared" si="102"/>
        <v>3.4471237841066966E-4</v>
      </c>
      <c r="C453" s="10">
        <f t="shared" si="104"/>
        <v>0.16781269383706957</v>
      </c>
      <c r="D453" s="10">
        <f t="shared" si="105"/>
        <v>5.7847112820077774E-5</v>
      </c>
      <c r="H453" s="19">
        <f t="shared" si="103"/>
        <v>36.583333333333279</v>
      </c>
      <c r="I453" s="10">
        <f t="shared" si="106"/>
        <v>5.73567938888788E-2</v>
      </c>
      <c r="J453" s="10">
        <f t="shared" si="107"/>
        <v>1.9771596839445973E-5</v>
      </c>
      <c r="K453" s="10">
        <f t="shared" si="108"/>
        <v>3.2494078157122366E-4</v>
      </c>
      <c r="L453" s="10">
        <f t="shared" si="109"/>
        <v>1.7542679414348193E-2</v>
      </c>
      <c r="M453" s="10">
        <f t="shared" si="110"/>
        <v>0.97483966028674474</v>
      </c>
      <c r="N453" s="10">
        <f t="shared" si="111"/>
        <v>0.9494615711536375</v>
      </c>
      <c r="O453" s="10">
        <f t="shared" si="117"/>
        <v>4.9463904865905246E-2</v>
      </c>
      <c r="P453" s="10">
        <f t="shared" si="118"/>
        <v>2.0491894832356517E-2</v>
      </c>
      <c r="Q453" s="10">
        <f t="shared" si="112"/>
        <v>0.62044956908476068</v>
      </c>
      <c r="S453" s="5">
        <f t="shared" si="113"/>
        <v>3.3179249270879194E-6</v>
      </c>
      <c r="T453" s="5">
        <f t="shared" si="114"/>
        <v>5.4529187892989856E-5</v>
      </c>
      <c r="U453" s="5">
        <f t="shared" si="115"/>
        <v>3.438800073643672E-3</v>
      </c>
    </row>
    <row r="454" spans="1:21">
      <c r="A454" s="19">
        <f t="shared" si="116"/>
        <v>36.666666666666615</v>
      </c>
      <c r="B454" s="10">
        <f t="shared" si="102"/>
        <v>3.2729115640190164E-4</v>
      </c>
      <c r="C454" s="10">
        <f t="shared" si="104"/>
        <v>0.16713177828415859</v>
      </c>
      <c r="D454" s="10">
        <f t="shared" si="105"/>
        <v>5.4700752986128495E-5</v>
      </c>
      <c r="H454" s="19">
        <f t="shared" si="103"/>
        <v>36.666666666666615</v>
      </c>
      <c r="I454" s="10">
        <f t="shared" si="106"/>
        <v>5.6354292352632999E-2</v>
      </c>
      <c r="J454" s="10">
        <f t="shared" si="107"/>
        <v>1.8444261512304096E-5</v>
      </c>
      <c r="K454" s="10">
        <f t="shared" si="108"/>
        <v>3.0884689488959753E-4</v>
      </c>
      <c r="L454" s="10">
        <f t="shared" si="109"/>
        <v>1.7101299640802464E-2</v>
      </c>
      <c r="M454" s="10">
        <f t="shared" si="110"/>
        <v>0.97469537492652902</v>
      </c>
      <c r="N454" s="10">
        <f t="shared" si="111"/>
        <v>0.94916401810767836</v>
      </c>
      <c r="O454" s="10">
        <f t="shared" si="117"/>
        <v>4.9749028440311295E-2</v>
      </c>
      <c r="P454" s="10">
        <f t="shared" si="118"/>
        <v>1.997728977739124E-2</v>
      </c>
      <c r="Q454" s="10">
        <f t="shared" si="112"/>
        <v>0.62419953199663192</v>
      </c>
      <c r="S454" s="5">
        <f t="shared" si="113"/>
        <v>3.0826222256894479E-6</v>
      </c>
      <c r="T454" s="5">
        <f t="shared" si="114"/>
        <v>5.161813076043905E-5</v>
      </c>
      <c r="U454" s="5">
        <f t="shared" si="115"/>
        <v>3.3388399657933408E-3</v>
      </c>
    </row>
    <row r="455" spans="1:21">
      <c r="A455" s="19">
        <f t="shared" si="116"/>
        <v>36.74999999999995</v>
      </c>
      <c r="B455" s="10">
        <f t="shared" si="102"/>
        <v>3.1065298910153756E-4</v>
      </c>
      <c r="C455" s="10">
        <f t="shared" si="104"/>
        <v>0.16645362560918969</v>
      </c>
      <c r="D455" s="10">
        <f t="shared" si="105"/>
        <v>5.1709316342283019E-5</v>
      </c>
      <c r="H455" s="19">
        <f t="shared" si="103"/>
        <v>36.74999999999995</v>
      </c>
      <c r="I455" s="10">
        <f t="shared" si="106"/>
        <v>5.5363795501984753E-2</v>
      </c>
      <c r="J455" s="10">
        <f t="shared" si="107"/>
        <v>1.7198928560697822E-5</v>
      </c>
      <c r="K455" s="10">
        <f t="shared" si="108"/>
        <v>2.9345406054083972E-4</v>
      </c>
      <c r="L455" s="10">
        <f t="shared" si="109"/>
        <v>1.6668557665122874E-2</v>
      </c>
      <c r="M455" s="10">
        <f t="shared" si="110"/>
        <v>0.97455027271589167</v>
      </c>
      <c r="N455" s="10">
        <f t="shared" si="111"/>
        <v>0.94886476047538082</v>
      </c>
      <c r="O455" s="10">
        <f t="shared" si="117"/>
        <v>5.0035714468308526E-2</v>
      </c>
      <c r="P455" s="10">
        <f t="shared" si="118"/>
        <v>1.9472689533680806E-2</v>
      </c>
      <c r="Q455" s="10">
        <f t="shared" si="112"/>
        <v>0.62797216313064996</v>
      </c>
      <c r="S455" s="5">
        <f t="shared" si="113"/>
        <v>2.8628240155215952E-6</v>
      </c>
      <c r="T455" s="5">
        <f t="shared" si="114"/>
        <v>4.8846492326761423E-5</v>
      </c>
      <c r="U455" s="5">
        <f t="shared" si="115"/>
        <v>3.2412997732432914E-3</v>
      </c>
    </row>
    <row r="456" spans="1:21">
      <c r="A456" s="19">
        <f t="shared" si="116"/>
        <v>36.833333333333286</v>
      </c>
      <c r="B456" s="10">
        <f t="shared" si="102"/>
        <v>2.9476767409479152E-4</v>
      </c>
      <c r="C456" s="10">
        <f t="shared" si="104"/>
        <v>0.16577822460152958</v>
      </c>
      <c r="D456" s="10">
        <f t="shared" si="105"/>
        <v>4.8866061681356823E-5</v>
      </c>
      <c r="H456" s="19">
        <f t="shared" si="103"/>
        <v>36.833333333333286</v>
      </c>
      <c r="I456" s="10">
        <f t="shared" si="106"/>
        <v>5.4385257361471137E-2</v>
      </c>
      <c r="J456" s="10">
        <f t="shared" si="107"/>
        <v>1.6031015817487487E-5</v>
      </c>
      <c r="K456" s="10">
        <f t="shared" si="108"/>
        <v>2.7873665827730405E-4</v>
      </c>
      <c r="L456" s="10">
        <f t="shared" si="109"/>
        <v>1.6244347418326064E-2</v>
      </c>
      <c r="M456" s="10">
        <f t="shared" si="110"/>
        <v>0.97440434915622109</v>
      </c>
      <c r="N456" s="10">
        <f t="shared" si="111"/>
        <v>0.94856378906370453</v>
      </c>
      <c r="O456" s="10">
        <f t="shared" si="117"/>
        <v>5.0323970546922961E-2</v>
      </c>
      <c r="P456" s="10">
        <f t="shared" si="118"/>
        <v>1.8977975456239141E-2</v>
      </c>
      <c r="Q456" s="10">
        <f t="shared" si="112"/>
        <v>0.63176759951438166</v>
      </c>
      <c r="S456" s="5">
        <f t="shared" si="113"/>
        <v>2.657593340782114E-6</v>
      </c>
      <c r="T456" s="5">
        <f t="shared" si="114"/>
        <v>4.6208468340574712E-5</v>
      </c>
      <c r="U456" s="5">
        <f t="shared" si="115"/>
        <v>3.1461350776667281E-3</v>
      </c>
    </row>
    <row r="457" spans="1:21">
      <c r="A457" s="19">
        <f t="shared" si="116"/>
        <v>36.916666666666622</v>
      </c>
      <c r="B457" s="10">
        <f t="shared" si="102"/>
        <v>2.7960594183285063E-4</v>
      </c>
      <c r="C457" s="10">
        <f t="shared" si="104"/>
        <v>0.16510556409603327</v>
      </c>
      <c r="D457" s="10">
        <f t="shared" si="105"/>
        <v>4.6164496750915474E-5</v>
      </c>
      <c r="H457" s="19">
        <f t="shared" si="103"/>
        <v>36.916666666666622</v>
      </c>
      <c r="I457" s="10">
        <f t="shared" si="106"/>
        <v>5.3418630681745891E-2</v>
      </c>
      <c r="J457" s="10">
        <f t="shared" si="107"/>
        <v>1.4936166543190772E-5</v>
      </c>
      <c r="K457" s="10">
        <f t="shared" si="108"/>
        <v>2.6466977528965987E-4</v>
      </c>
      <c r="L457" s="10">
        <f t="shared" si="109"/>
        <v>1.582856277362155E-2</v>
      </c>
      <c r="M457" s="10">
        <f t="shared" si="110"/>
        <v>0.97425759972560666</v>
      </c>
      <c r="N457" s="10">
        <f t="shared" si="111"/>
        <v>0.94826109463695607</v>
      </c>
      <c r="O457" s="10">
        <f t="shared" si="117"/>
        <v>5.0613804298413945E-2</v>
      </c>
      <c r="P457" s="10">
        <f t="shared" si="118"/>
        <v>1.8493028567107276E-2</v>
      </c>
      <c r="Q457" s="10">
        <f t="shared" si="112"/>
        <v>0.6355859790037155</v>
      </c>
      <c r="S457" s="5">
        <f t="shared" si="113"/>
        <v>2.4660442025458117E-6</v>
      </c>
      <c r="T457" s="5">
        <f t="shared" si="114"/>
        <v>4.3698452548369662E-5</v>
      </c>
      <c r="U457" s="5">
        <f t="shared" si="115"/>
        <v>3.0533019134163049E-3</v>
      </c>
    </row>
    <row r="458" spans="1:21">
      <c r="A458" s="19">
        <f t="shared" si="116"/>
        <v>36.999999999999957</v>
      </c>
      <c r="B458" s="10">
        <f t="shared" si="102"/>
        <v>2.6513943646941601E-4</v>
      </c>
      <c r="C458" s="10">
        <f t="shared" si="104"/>
        <v>0.16443563297285926</v>
      </c>
      <c r="D458" s="10">
        <f t="shared" si="105"/>
        <v>4.3598371061915628E-5</v>
      </c>
      <c r="H458" s="19">
        <f t="shared" si="103"/>
        <v>36.999999999999957</v>
      </c>
      <c r="I458" s="10">
        <f t="shared" si="106"/>
        <v>5.2463866952118778E-2</v>
      </c>
      <c r="J458" s="10">
        <f t="shared" si="107"/>
        <v>1.391024011869119E-5</v>
      </c>
      <c r="K458" s="10">
        <f t="shared" si="108"/>
        <v>2.512291963507248E-4</v>
      </c>
      <c r="L458" s="10">
        <f t="shared" si="109"/>
        <v>1.5421097574934622E-2</v>
      </c>
      <c r="M458" s="10">
        <f t="shared" si="110"/>
        <v>0.97411001987872115</v>
      </c>
      <c r="N458" s="10">
        <f t="shared" si="111"/>
        <v>0.9479566679167083</v>
      </c>
      <c r="O458" s="10">
        <f t="shared" si="117"/>
        <v>5.0905223370204866E-2</v>
      </c>
      <c r="P458" s="10">
        <f t="shared" si="118"/>
        <v>1.8017729599657396E-2</v>
      </c>
      <c r="Q458" s="10">
        <f t="shared" si="112"/>
        <v>0.63942744028786525</v>
      </c>
      <c r="S458" s="5">
        <f t="shared" si="113"/>
        <v>2.2873391387214467E-6</v>
      </c>
      <c r="T458" s="5">
        <f t="shared" si="114"/>
        <v>4.1311031923194175E-5</v>
      </c>
      <c r="U458" s="5">
        <f t="shared" si="115"/>
        <v>2.9627567714534861E-3</v>
      </c>
    </row>
    <row r="459" spans="1:21">
      <c r="A459" s="19">
        <f t="shared" si="116"/>
        <v>37.083333333333293</v>
      </c>
      <c r="B459" s="10">
        <f t="shared" si="102"/>
        <v>2.5134069672886136E-4</v>
      </c>
      <c r="C459" s="10">
        <f t="shared" si="104"/>
        <v>0.16376842015728593</v>
      </c>
      <c r="D459" s="10">
        <f t="shared" si="105"/>
        <v>4.1161668824517146E-5</v>
      </c>
      <c r="H459" s="19">
        <f t="shared" si="103"/>
        <v>37.083333333333293</v>
      </c>
      <c r="I459" s="10">
        <f t="shared" si="106"/>
        <v>5.1520916413476309E-2</v>
      </c>
      <c r="J459" s="10">
        <f t="shared" si="107"/>
        <v>1.2949303027472565E-5</v>
      </c>
      <c r="K459" s="10">
        <f t="shared" si="108"/>
        <v>2.3839139370138878E-4</v>
      </c>
      <c r="L459" s="10">
        <f t="shared" si="109"/>
        <v>1.5021845665271264E-2</v>
      </c>
      <c r="M459" s="10">
        <f t="shared" si="110"/>
        <v>0.97396160504672713</v>
      </c>
      <c r="N459" s="10">
        <f t="shared" si="111"/>
        <v>0.94765049958165803</v>
      </c>
      <c r="O459" s="10">
        <f t="shared" si="117"/>
        <v>5.1198235434809461E-2</v>
      </c>
      <c r="P459" s="10">
        <f t="shared" si="118"/>
        <v>1.7551959042372063E-2</v>
      </c>
      <c r="Q459" s="10">
        <f t="shared" si="112"/>
        <v>0.64329212289441318</v>
      </c>
      <c r="S459" s="5">
        <f t="shared" si="113"/>
        <v>2.1206868989471416E-6</v>
      </c>
      <c r="T459" s="5">
        <f t="shared" si="114"/>
        <v>3.9040981925570007E-5</v>
      </c>
      <c r="U459" s="5">
        <f t="shared" si="115"/>
        <v>2.8744566030346622E-3</v>
      </c>
    </row>
    <row r="460" spans="1:21">
      <c r="A460" s="19">
        <f t="shared" si="116"/>
        <v>37.166666666666629</v>
      </c>
      <c r="B460" s="10">
        <f t="shared" si="102"/>
        <v>2.3818313682030746E-4</v>
      </c>
      <c r="C460" s="10">
        <f t="shared" si="104"/>
        <v>0.16310391461952833</v>
      </c>
      <c r="D460" s="10">
        <f t="shared" si="105"/>
        <v>3.8848602011750866E-5</v>
      </c>
      <c r="H460" s="19">
        <f t="shared" si="103"/>
        <v>37.166666666666629</v>
      </c>
      <c r="I460" s="10">
        <f t="shared" si="106"/>
        <v>5.0589728071578993E-2</v>
      </c>
      <c r="J460" s="10">
        <f t="shared" si="107"/>
        <v>1.2049620122975049E-5</v>
      </c>
      <c r="K460" s="10">
        <f t="shared" si="108"/>
        <v>2.2613351669733241E-4</v>
      </c>
      <c r="L460" s="10">
        <f t="shared" si="109"/>
        <v>1.4630700914911822E-2</v>
      </c>
      <c r="M460" s="10">
        <f t="shared" si="110"/>
        <v>0.97381235063716198</v>
      </c>
      <c r="N460" s="10">
        <f t="shared" si="111"/>
        <v>0.94734258026757323</v>
      </c>
      <c r="O460" s="10">
        <f t="shared" si="117"/>
        <v>5.1492848189757801E-2</v>
      </c>
      <c r="P460" s="10">
        <f t="shared" si="118"/>
        <v>1.7095597182088227E-2</v>
      </c>
      <c r="Q460" s="10">
        <f t="shared" si="112"/>
        <v>0.64718016719437232</v>
      </c>
      <c r="S460" s="5">
        <f t="shared" si="113"/>
        <v>1.9653402117354727E-6</v>
      </c>
      <c r="T460" s="5">
        <f t="shared" si="114"/>
        <v>3.6883261800015388E-5</v>
      </c>
      <c r="U460" s="5">
        <f t="shared" si="115"/>
        <v>2.7883588231571673E-3</v>
      </c>
    </row>
    <row r="461" spans="1:21">
      <c r="A461" s="19">
        <f t="shared" si="116"/>
        <v>37.249999999999964</v>
      </c>
      <c r="B461" s="10">
        <f t="shared" si="102"/>
        <v>2.2564102741157451E-4</v>
      </c>
      <c r="C461" s="10">
        <f t="shared" si="104"/>
        <v>0.16244210537455592</v>
      </c>
      <c r="D461" s="10">
        <f t="shared" si="105"/>
        <v>3.6653603551614045E-5</v>
      </c>
      <c r="H461" s="19">
        <f t="shared" si="103"/>
        <v>37.249999999999964</v>
      </c>
      <c r="I461" s="10">
        <f t="shared" si="106"/>
        <v>4.9670249710732681E-2</v>
      </c>
      <c r="J461" s="10">
        <f t="shared" si="107"/>
        <v>1.1207646176519183E-5</v>
      </c>
      <c r="K461" s="10">
        <f t="shared" si="108"/>
        <v>2.1443338123505534E-4</v>
      </c>
      <c r="L461" s="10">
        <f t="shared" si="109"/>
        <v>1.4247557249419557E-2</v>
      </c>
      <c r="M461" s="10">
        <f t="shared" si="110"/>
        <v>0.97366225203384904</v>
      </c>
      <c r="N461" s="10">
        <f t="shared" si="111"/>
        <v>0.94703290056711087</v>
      </c>
      <c r="O461" s="10">
        <f t="shared" si="117"/>
        <v>5.1789069357516405E-2</v>
      </c>
      <c r="P461" s="10">
        <f t="shared" si="118"/>
        <v>1.6648524146695112E-2</v>
      </c>
      <c r="Q461" s="10">
        <f t="shared" si="112"/>
        <v>0.65109171440728808</v>
      </c>
      <c r="S461" s="5">
        <f t="shared" si="113"/>
        <v>1.8205936412068678E-6</v>
      </c>
      <c r="T461" s="5">
        <f t="shared" si="114"/>
        <v>3.4833009910407181E-5</v>
      </c>
      <c r="U461" s="5">
        <f t="shared" si="115"/>
        <v>2.7044213137682859E-3</v>
      </c>
    </row>
    <row r="462" spans="1:21">
      <c r="A462" s="19">
        <f t="shared" si="116"/>
        <v>37.3333333333333</v>
      </c>
      <c r="B462" s="10">
        <f t="shared" ref="B462:B525" si="119">(B$9^A462)*B$10^((B$7^65)*((B$7^A462)-1))</f>
        <v>2.1368947667652638E-4</v>
      </c>
      <c r="C462" s="10">
        <f t="shared" si="104"/>
        <v>0.16178298148191095</v>
      </c>
      <c r="D462" s="10">
        <f t="shared" si="105"/>
        <v>3.4571320648037708E-5</v>
      </c>
      <c r="H462" s="19">
        <f t="shared" ref="H462:H525" si="120">A462</f>
        <v>37.3333333333333</v>
      </c>
      <c r="I462" s="10">
        <f t="shared" si="106"/>
        <v>4.8762427907829364E-2</v>
      </c>
      <c r="J462" s="10">
        <f t="shared" si="107"/>
        <v>1.0420017701100902E-5</v>
      </c>
      <c r="K462" s="10">
        <f t="shared" si="108"/>
        <v>2.0326945897542549E-4</v>
      </c>
      <c r="L462" s="10">
        <f t="shared" si="109"/>
        <v>1.3872308677451038E-2</v>
      </c>
      <c r="M462" s="10">
        <f t="shared" si="110"/>
        <v>0.97351130459677437</v>
      </c>
      <c r="N462" s="10">
        <f t="shared" si="111"/>
        <v>0.94672145102976835</v>
      </c>
      <c r="O462" s="10">
        <f t="shared" si="117"/>
        <v>5.2086906685408371E-2</v>
      </c>
      <c r="P462" s="10">
        <f t="shared" si="118"/>
        <v>1.621061994727625E-2</v>
      </c>
      <c r="Q462" s="10">
        <f t="shared" si="112"/>
        <v>0.65502690660636442</v>
      </c>
      <c r="S462" s="5">
        <f t="shared" si="113"/>
        <v>1.6857815307783915E-6</v>
      </c>
      <c r="T462" s="5">
        <f t="shared" si="114"/>
        <v>3.288553911725932E-5</v>
      </c>
      <c r="U462" s="5">
        <f t="shared" si="115"/>
        <v>2.6226024267404897E-3</v>
      </c>
    </row>
    <row r="463" spans="1:21">
      <c r="A463" s="19">
        <f t="shared" si="116"/>
        <v>37.416666666666636</v>
      </c>
      <c r="B463" s="10">
        <f t="shared" si="119"/>
        <v>2.0230441142899289E-4</v>
      </c>
      <c r="C463" s="10">
        <f t="shared" ref="C463:C526" si="121">(1+B$8)^-A463</f>
        <v>0.16112653204552749</v>
      </c>
      <c r="D463" s="10">
        <f t="shared" ref="D463:D526" si="122">B463*C463</f>
        <v>3.2596608231065202E-5</v>
      </c>
      <c r="H463" s="19">
        <f t="shared" si="120"/>
        <v>37.416666666666636</v>
      </c>
      <c r="I463" s="10">
        <f t="shared" ref="I463:I526" si="123">(C$9^H463)*C$10^((C$7^63)*((C$7^H463)-1))</f>
        <v>4.7866208046753483E-2</v>
      </c>
      <c r="J463" s="10">
        <f t="shared" ref="J463:J526" si="124">B463*I463</f>
        <v>9.6835450462361874E-6</v>
      </c>
      <c r="K463" s="10">
        <f t="shared" ref="K463:K526" si="125">B463*(1-I463)</f>
        <v>1.926208663827567E-4</v>
      </c>
      <c r="L463" s="10">
        <f t="shared" ref="L463:L526" si="126">(D$9^H463)*D$10^((D$7^63)*((D$7^H463)-1))</f>
        <v>1.3504849318354514E-2</v>
      </c>
      <c r="M463" s="10">
        <f t="shared" ref="M463:M526" si="127">L464/L463</f>
        <v>0.97335950366200308</v>
      </c>
      <c r="N463" s="10">
        <f t="shared" ref="N463:N526" si="128">B464/B463</f>
        <v>0.94640822216175158</v>
      </c>
      <c r="O463" s="10">
        <f t="shared" si="117"/>
        <v>5.2386367945529685E-2</v>
      </c>
      <c r="P463" s="10">
        <f t="shared" si="118"/>
        <v>1.5781764519685052E-2</v>
      </c>
      <c r="Q463" s="10">
        <f t="shared" ref="Q463:Q526" si="129">0.0001+0.0004*(1.075^(65+H463))</f>
        <v>0.6589858867236299</v>
      </c>
      <c r="S463" s="5">
        <f t="shared" ref="S463:S526" si="130">C463*J463</f>
        <v>1.560276031206684E-6</v>
      </c>
      <c r="T463" s="5">
        <f t="shared" ref="T463:T526" si="131">C463*K463</f>
        <v>3.1036332199858515E-5</v>
      </c>
      <c r="U463" s="5">
        <f t="shared" ref="U463:U526" si="132">C463*P463</f>
        <v>2.5428609866160021E-3</v>
      </c>
    </row>
    <row r="464" spans="1:21">
      <c r="A464" s="19">
        <f t="shared" ref="A464:A527" si="133">A463+1/12</f>
        <v>37.499999999999972</v>
      </c>
      <c r="B464" s="10">
        <f t="shared" si="119"/>
        <v>1.914625583559927E-4</v>
      </c>
      <c r="C464" s="10">
        <f t="shared" si="121"/>
        <v>0.16047274621355145</v>
      </c>
      <c r="D464" s="10">
        <f t="shared" si="122"/>
        <v>3.0724522536458499E-5</v>
      </c>
      <c r="H464" s="19">
        <f t="shared" si="120"/>
        <v>37.499999999999972</v>
      </c>
      <c r="I464" s="10">
        <f t="shared" si="123"/>
        <v>4.6981534333149673E-2</v>
      </c>
      <c r="J464" s="10">
        <f t="shared" si="124"/>
        <v>8.9952047589147435E-6</v>
      </c>
      <c r="K464" s="10">
        <f t="shared" si="125"/>
        <v>1.8246735359707795E-4</v>
      </c>
      <c r="L464" s="10">
        <f t="shared" si="126"/>
        <v>1.3145073429543691E-2</v>
      </c>
      <c r="M464" s="10">
        <f t="shared" si="127"/>
        <v>0.97320684454155182</v>
      </c>
      <c r="N464" s="10">
        <f t="shared" si="128"/>
        <v>0.94609320442588862</v>
      </c>
      <c r="O464" s="10">
        <f t="shared" ref="O464:O527" si="134">(1/24)*(Q464*M464+(J465/J464)*Q465)</f>
        <v>5.268746093466229E-2</v>
      </c>
      <c r="P464" s="10">
        <f t="shared" ref="P464:P527" si="135">P463*M463+J463*O463</f>
        <v>1.5361837765545063E-2</v>
      </c>
      <c r="Q464" s="10">
        <f t="shared" si="129"/>
        <v>0.66296879855512303</v>
      </c>
      <c r="S464" s="5">
        <f t="shared" si="130"/>
        <v>1.4434852104162559E-6</v>
      </c>
      <c r="T464" s="5">
        <f t="shared" si="131"/>
        <v>2.9281037326042247E-5</v>
      </c>
      <c r="U464" s="5">
        <f t="shared" si="132"/>
        <v>2.4651562931240632E-3</v>
      </c>
    </row>
    <row r="465" spans="1:21">
      <c r="A465" s="19">
        <f t="shared" si="133"/>
        <v>37.583333333333307</v>
      </c>
      <c r="B465" s="10">
        <f t="shared" si="119"/>
        <v>1.8114142536259983E-4</v>
      </c>
      <c r="C465" s="10">
        <f t="shared" si="121"/>
        <v>0.15982161317816126</v>
      </c>
      <c r="D465" s="10">
        <f t="shared" si="122"/>
        <v>2.89503148148422E-5</v>
      </c>
      <c r="H465" s="19">
        <f t="shared" si="120"/>
        <v>37.583333333333307</v>
      </c>
      <c r="I465" s="10">
        <f t="shared" si="123"/>
        <v>4.6108349809547207E-2</v>
      </c>
      <c r="J465" s="10">
        <f t="shared" si="124"/>
        <v>8.3521322056187388E-6</v>
      </c>
      <c r="K465" s="10">
        <f t="shared" si="125"/>
        <v>1.7278929315698107E-4</v>
      </c>
      <c r="L465" s="10">
        <f t="shared" si="126"/>
        <v>1.279287543363321E-2</v>
      </c>
      <c r="M465" s="10">
        <f t="shared" si="127"/>
        <v>0.97305332252330801</v>
      </c>
      <c r="N465" s="10">
        <f t="shared" si="128"/>
        <v>0.94577638824149723</v>
      </c>
      <c r="O465" s="10">
        <f t="shared" si="134"/>
        <v>5.2990193474184585E-2</v>
      </c>
      <c r="P465" s="10">
        <f t="shared" si="135"/>
        <v>1.4950719592664688E-2</v>
      </c>
      <c r="Q465" s="10">
        <f t="shared" si="129"/>
        <v>0.66697578676611891</v>
      </c>
      <c r="S465" s="5">
        <f t="shared" si="130"/>
        <v>1.3348512425792609E-6</v>
      </c>
      <c r="T465" s="5">
        <f t="shared" si="131"/>
        <v>2.7615463572262936E-5</v>
      </c>
      <c r="U465" s="5">
        <f t="shared" si="132"/>
        <v>2.3894481234740124E-3</v>
      </c>
    </row>
    <row r="466" spans="1:21">
      <c r="A466" s="19">
        <f t="shared" si="133"/>
        <v>37.666666666666643</v>
      </c>
      <c r="B466" s="10">
        <f t="shared" si="119"/>
        <v>1.7131928304035642E-4</v>
      </c>
      <c r="C466" s="10">
        <f t="shared" si="121"/>
        <v>0.15917312217538893</v>
      </c>
      <c r="D466" s="10">
        <f t="shared" si="122"/>
        <v>2.7269425170382688E-5</v>
      </c>
      <c r="H466" s="19">
        <f t="shared" si="120"/>
        <v>37.666666666666643</v>
      </c>
      <c r="I466" s="10">
        <f t="shared" si="123"/>
        <v>4.5246596370836528E-2</v>
      </c>
      <c r="J466" s="10">
        <f t="shared" si="124"/>
        <v>7.7516144502681073E-6</v>
      </c>
      <c r="K466" s="10">
        <f t="shared" si="125"/>
        <v>1.6356766859008831E-4</v>
      </c>
      <c r="L466" s="10">
        <f t="shared" si="126"/>
        <v>1.2448149945323599E-2</v>
      </c>
      <c r="M466" s="10">
        <f t="shared" si="127"/>
        <v>0.97289893287090212</v>
      </c>
      <c r="N466" s="10">
        <f t="shared" si="128"/>
        <v>0.94545776398431436</v>
      </c>
      <c r="O466" s="10">
        <f t="shared" si="134"/>
        <v>5.3294573409979375E-2</v>
      </c>
      <c r="P466" s="10">
        <f t="shared" si="135"/>
        <v>1.4548289954858191E-2</v>
      </c>
      <c r="Q466" s="10">
        <f t="shared" si="129"/>
        <v>0.67100699689638044</v>
      </c>
      <c r="S466" s="5">
        <f t="shared" si="130"/>
        <v>1.2338486739490356E-6</v>
      </c>
      <c r="T466" s="5">
        <f t="shared" si="131"/>
        <v>2.6035576496433653E-5</v>
      </c>
      <c r="U466" s="5">
        <f t="shared" si="132"/>
        <v>2.3156967344276263E-3</v>
      </c>
    </row>
    <row r="467" spans="1:21">
      <c r="A467" s="19">
        <f t="shared" si="133"/>
        <v>37.749999999999979</v>
      </c>
      <c r="B467" s="10">
        <f t="shared" si="119"/>
        <v>1.6197514627073125E-4</v>
      </c>
      <c r="C467" s="10">
        <f t="shared" si="121"/>
        <v>0.15852726248494237</v>
      </c>
      <c r="D467" s="10">
        <f t="shared" si="122"/>
        <v>2.5677476528897147E-5</v>
      </c>
      <c r="H467" s="19">
        <f t="shared" si="120"/>
        <v>37.749999999999979</v>
      </c>
      <c r="I467" s="10">
        <f t="shared" si="123"/>
        <v>4.4396214780092903E-2</v>
      </c>
      <c r="J467" s="10">
        <f t="shared" si="124"/>
        <v>7.1910833828723488E-6</v>
      </c>
      <c r="K467" s="10">
        <f t="shared" si="125"/>
        <v>1.5478406288785889E-4</v>
      </c>
      <c r="L467" s="10">
        <f t="shared" si="126"/>
        <v>1.2110791798022309E-2</v>
      </c>
      <c r="M467" s="10">
        <f t="shared" si="127"/>
        <v>0.9727436708236179</v>
      </c>
      <c r="N467" s="10">
        <f t="shared" si="128"/>
        <v>0.94513732198637823</v>
      </c>
      <c r="O467" s="10">
        <f t="shared" si="134"/>
        <v>5.3600608612338549E-2</v>
      </c>
      <c r="P467" s="10">
        <f t="shared" si="135"/>
        <v>1.4154428891163365E-2</v>
      </c>
      <c r="Q467" s="10">
        <f t="shared" si="129"/>
        <v>0.67506257536544989</v>
      </c>
      <c r="S467" s="5">
        <f t="shared" si="130"/>
        <v>1.1399827629877122E-6</v>
      </c>
      <c r="T467" s="5">
        <f t="shared" si="131"/>
        <v>2.4537493765909432E-5</v>
      </c>
      <c r="U467" s="5">
        <f t="shared" si="132"/>
        <v>2.2438628641539065E-3</v>
      </c>
    </row>
    <row r="468" spans="1:21">
      <c r="A468" s="19">
        <f t="shared" si="133"/>
        <v>37.833333333333314</v>
      </c>
      <c r="B468" s="10">
        <f t="shared" si="119"/>
        <v>1.5308875597467084E-4</v>
      </c>
      <c r="C468" s="10">
        <f t="shared" si="121"/>
        <v>0.15788402343002797</v>
      </c>
      <c r="D468" s="10">
        <f t="shared" si="122"/>
        <v>2.4170268735178764E-5</v>
      </c>
      <c r="H468" s="19">
        <f t="shared" si="120"/>
        <v>37.833333333333314</v>
      </c>
      <c r="I468" s="10">
        <f t="shared" si="123"/>
        <v>4.3557144684741998E-2</v>
      </c>
      <c r="J468" s="10">
        <f t="shared" si="124"/>
        <v>6.6681090935958991E-6</v>
      </c>
      <c r="K468" s="10">
        <f t="shared" si="125"/>
        <v>1.4642064688107494E-4</v>
      </c>
      <c r="L468" s="10">
        <f t="shared" si="126"/>
        <v>1.1780696070188784E-2</v>
      </c>
      <c r="M468" s="10">
        <f t="shared" si="127"/>
        <v>0.97258753159627365</v>
      </c>
      <c r="N468" s="10">
        <f t="shared" si="128"/>
        <v>0.94481505253592812</v>
      </c>
      <c r="O468" s="10">
        <f t="shared" si="134"/>
        <v>5.3908306975864351E-2</v>
      </c>
      <c r="P468" s="10">
        <f t="shared" si="135"/>
        <v>1.3769016564448028E-2</v>
      </c>
      <c r="Q468" s="10">
        <f t="shared" si="129"/>
        <v>0.67914266947796154</v>
      </c>
      <c r="S468" s="5">
        <f t="shared" si="130"/>
        <v>1.0527878923672775E-6</v>
      </c>
      <c r="T468" s="5">
        <f t="shared" si="131"/>
        <v>2.3117480842811486E-5</v>
      </c>
      <c r="U468" s="5">
        <f t="shared" si="132"/>
        <v>2.1739077338697559E-3</v>
      </c>
    </row>
    <row r="469" spans="1:21">
      <c r="A469" s="19">
        <f t="shared" si="133"/>
        <v>37.91666666666665</v>
      </c>
      <c r="B469" s="10">
        <f t="shared" si="119"/>
        <v>1.4464056101886851E-4</v>
      </c>
      <c r="C469" s="10">
        <f t="shared" si="121"/>
        <v>0.15724339437717433</v>
      </c>
      <c r="D469" s="10">
        <f t="shared" si="122"/>
        <v>2.2743772779225691E-5</v>
      </c>
      <c r="H469" s="19">
        <f t="shared" si="120"/>
        <v>37.91666666666665</v>
      </c>
      <c r="I469" s="10">
        <f t="shared" si="123"/>
        <v>4.2729324633062324E-2</v>
      </c>
      <c r="J469" s="10">
        <f t="shared" si="124"/>
        <v>6.1803934868834922E-6</v>
      </c>
      <c r="K469" s="10">
        <f t="shared" si="125"/>
        <v>1.3846016753198503E-4</v>
      </c>
      <c r="L469" s="10">
        <f t="shared" si="126"/>
        <v>1.1457758111390831E-2</v>
      </c>
      <c r="M469" s="10">
        <f t="shared" si="127"/>
        <v>0.97243051037913986</v>
      </c>
      <c r="N469" s="10">
        <f t="shared" si="128"/>
        <v>0.94449094587730942</v>
      </c>
      <c r="O469" s="10">
        <f t="shared" si="134"/>
        <v>5.4217676419368727E-2</v>
      </c>
      <c r="P469" s="10">
        <f t="shared" si="135"/>
        <v>1.3391933299396678E-2</v>
      </c>
      <c r="Q469" s="10">
        <f t="shared" si="129"/>
        <v>0.68324742742899536</v>
      </c>
      <c r="S469" s="5">
        <f t="shared" si="130"/>
        <v>9.718260504641406E-7</v>
      </c>
      <c r="T469" s="5">
        <f t="shared" si="131"/>
        <v>2.177194672876155E-5</v>
      </c>
      <c r="U469" s="5">
        <f t="shared" si="132"/>
        <v>2.105793049269845E-3</v>
      </c>
    </row>
    <row r="470" spans="1:21">
      <c r="A470" s="19">
        <f t="shared" si="133"/>
        <v>37.999999999999986</v>
      </c>
      <c r="B470" s="10">
        <f t="shared" si="119"/>
        <v>1.366117002889358E-4</v>
      </c>
      <c r="C470" s="10">
        <f t="shared" si="121"/>
        <v>0.15660536473605621</v>
      </c>
      <c r="D470" s="10">
        <f t="shared" si="122"/>
        <v>2.1394125150961587E-5</v>
      </c>
      <c r="H470" s="19">
        <f t="shared" si="120"/>
        <v>37.999999999999986</v>
      </c>
      <c r="I470" s="10">
        <f t="shared" si="123"/>
        <v>4.1912692091018534E-2</v>
      </c>
      <c r="J470" s="10">
        <f t="shared" si="124"/>
        <v>5.7257641302406738E-6</v>
      </c>
      <c r="K470" s="10">
        <f t="shared" si="125"/>
        <v>1.3088593615869512E-4</v>
      </c>
      <c r="L470" s="10">
        <f t="shared" si="126"/>
        <v>1.1141873568060515E-2</v>
      </c>
      <c r="M470" s="10">
        <f t="shared" si="127"/>
        <v>0.97227260233779245</v>
      </c>
      <c r="N470" s="10">
        <f t="shared" si="128"/>
        <v>0.94416499221087924</v>
      </c>
      <c r="O470" s="10">
        <f t="shared" si="134"/>
        <v>5.4528724885768112E-2</v>
      </c>
      <c r="P470" s="10">
        <f t="shared" si="135"/>
        <v>1.3023059619869925E-2</v>
      </c>
      <c r="Q470" s="10">
        <f t="shared" si="129"/>
        <v>0.68737699830945631</v>
      </c>
      <c r="S470" s="5">
        <f t="shared" si="130"/>
        <v>8.9668538000896843E-7</v>
      </c>
      <c r="T470" s="5">
        <f t="shared" si="131"/>
        <v>2.0497439770952619E-5</v>
      </c>
      <c r="U470" s="5">
        <f t="shared" si="132"/>
        <v>2.0394810017491352E-3</v>
      </c>
    </row>
    <row r="471" spans="1:21">
      <c r="A471" s="19">
        <f t="shared" si="133"/>
        <v>38.083333333333321</v>
      </c>
      <c r="B471" s="10">
        <f t="shared" si="119"/>
        <v>1.2898398493921804E-4</v>
      </c>
      <c r="C471" s="10">
        <f t="shared" si="121"/>
        <v>0.15596992395931969</v>
      </c>
      <c r="D471" s="10">
        <f t="shared" si="122"/>
        <v>2.0117622322939875E-5</v>
      </c>
      <c r="H471" s="19">
        <f t="shared" si="120"/>
        <v>38.083333333333321</v>
      </c>
      <c r="I471" s="10">
        <f t="shared" si="123"/>
        <v>4.1107183459420361E-2</v>
      </c>
      <c r="J471" s="10">
        <f t="shared" si="124"/>
        <v>5.3021683322235487E-6</v>
      </c>
      <c r="K471" s="10">
        <f t="shared" si="125"/>
        <v>1.2368181660699451E-4</v>
      </c>
      <c r="L471" s="10">
        <f t="shared" si="126"/>
        <v>1.0832938408936862E-2</v>
      </c>
      <c r="M471" s="10">
        <f t="shared" si="127"/>
        <v>0.97211380261305314</v>
      </c>
      <c r="N471" s="10">
        <f t="shared" si="128"/>
        <v>0.94383718169289976</v>
      </c>
      <c r="O471" s="10">
        <f t="shared" si="134"/>
        <v>5.4841460341976879E-2</v>
      </c>
      <c r="P471" s="10">
        <f t="shared" si="135"/>
        <v>1.2662276285628172E-2</v>
      </c>
      <c r="Q471" s="10">
        <f t="shared" si="129"/>
        <v>0.69153153211149543</v>
      </c>
      <c r="S471" s="5">
        <f t="shared" si="130"/>
        <v>8.2697879159641974E-7</v>
      </c>
      <c r="T471" s="5">
        <f t="shared" si="131"/>
        <v>1.9290643531343455E-5</v>
      </c>
      <c r="U471" s="5">
        <f t="shared" si="132"/>
        <v>1.9749342694213232E-3</v>
      </c>
    </row>
    <row r="472" spans="1:21">
      <c r="A472" s="19">
        <f t="shared" si="133"/>
        <v>38.166666666666657</v>
      </c>
      <c r="B472" s="10">
        <f t="shared" si="119"/>
        <v>1.2173988082855099E-4</v>
      </c>
      <c r="C472" s="10">
        <f t="shared" si="121"/>
        <v>0.15533706154240773</v>
      </c>
      <c r="D472" s="10">
        <f t="shared" si="122"/>
        <v>1.8910715360430008E-5</v>
      </c>
      <c r="H472" s="19">
        <f t="shared" si="120"/>
        <v>38.166666666666657</v>
      </c>
      <c r="I472" s="10">
        <f t="shared" si="123"/>
        <v>4.0312734091400793E-2</v>
      </c>
      <c r="J472" s="10">
        <f t="shared" si="124"/>
        <v>4.9076674441601973E-6</v>
      </c>
      <c r="K472" s="10">
        <f t="shared" si="125"/>
        <v>1.1683221338439079E-4</v>
      </c>
      <c r="L472" s="10">
        <f t="shared" si="126"/>
        <v>1.053084895018461E-2</v>
      </c>
      <c r="M472" s="10">
        <f t="shared" si="127"/>
        <v>0.97195410632084667</v>
      </c>
      <c r="N472" s="10">
        <f t="shared" si="128"/>
        <v>0.9435075044354575</v>
      </c>
      <c r="O472" s="10">
        <f t="shared" si="134"/>
        <v>5.5155890778795971E-2</v>
      </c>
      <c r="P472" s="10">
        <f t="shared" si="135"/>
        <v>1.2309464328413407E-2</v>
      </c>
      <c r="Q472" s="10">
        <f t="shared" si="129"/>
        <v>0.69571117973395147</v>
      </c>
      <c r="S472" s="5">
        <f t="shared" si="130"/>
        <v>7.623426398031834E-7</v>
      </c>
      <c r="T472" s="5">
        <f t="shared" si="131"/>
        <v>1.8148372720626823E-5</v>
      </c>
      <c r="U472" s="5">
        <f t="shared" si="132"/>
        <v>1.912116017936826E-3</v>
      </c>
    </row>
    <row r="473" spans="1:21">
      <c r="A473" s="19">
        <f t="shared" si="133"/>
        <v>38.249999999999993</v>
      </c>
      <c r="B473" s="10">
        <f t="shared" si="119"/>
        <v>1.1486249115081614E-4</v>
      </c>
      <c r="C473" s="10">
        <f t="shared" si="121"/>
        <v>0.1547067670233864</v>
      </c>
      <c r="D473" s="10">
        <f t="shared" si="122"/>
        <v>1.7770004658195095E-5</v>
      </c>
      <c r="H473" s="19">
        <f t="shared" si="120"/>
        <v>38.249999999999993</v>
      </c>
      <c r="I473" s="10">
        <f t="shared" si="123"/>
        <v>3.9529278310207701E-2</v>
      </c>
      <c r="J473" s="10">
        <f t="shared" si="124"/>
        <v>4.5404313801043804E-6</v>
      </c>
      <c r="K473" s="10">
        <f t="shared" si="125"/>
        <v>1.1032205977071177E-4</v>
      </c>
      <c r="L473" s="10">
        <f t="shared" si="126"/>
        <v>1.0235501880176509E-2</v>
      </c>
      <c r="M473" s="10">
        <f t="shared" si="127"/>
        <v>0.97179350855211488</v>
      </c>
      <c r="N473" s="10">
        <f t="shared" si="128"/>
        <v>0.94317595050635672</v>
      </c>
      <c r="O473" s="10">
        <f t="shared" si="134"/>
        <v>5.5472024210799276E-2</v>
      </c>
      <c r="P473" s="10">
        <f t="shared" si="135"/>
        <v>1.1964505087380922E-2</v>
      </c>
      <c r="Q473" s="10">
        <f t="shared" si="129"/>
        <v>0.69991609298783586</v>
      </c>
      <c r="S473" s="5">
        <f t="shared" si="130"/>
        <v>7.0243545970748112E-7</v>
      </c>
      <c r="T473" s="5">
        <f t="shared" si="131"/>
        <v>1.7067569198487613E-5</v>
      </c>
      <c r="U473" s="5">
        <f t="shared" si="132"/>
        <v>1.8509899011035617E-3</v>
      </c>
    </row>
    <row r="474" spans="1:21">
      <c r="A474" s="19">
        <f t="shared" si="133"/>
        <v>38.333333333333329</v>
      </c>
      <c r="B474" s="10">
        <f t="shared" si="119"/>
        <v>1.08335539268699E-4</v>
      </c>
      <c r="C474" s="10">
        <f t="shared" si="121"/>
        <v>0.15407902998277209</v>
      </c>
      <c r="D474" s="10">
        <f t="shared" si="122"/>
        <v>1.6692234803181657E-5</v>
      </c>
      <c r="H474" s="19">
        <f t="shared" si="120"/>
        <v>38.333333333333329</v>
      </c>
      <c r="I474" s="10">
        <f t="shared" si="123"/>
        <v>3.8756749427302131E-2</v>
      </c>
      <c r="J474" s="10">
        <f t="shared" si="124"/>
        <v>4.1987333495086178E-6</v>
      </c>
      <c r="K474" s="10">
        <f t="shared" si="125"/>
        <v>1.0413680591919039E-4</v>
      </c>
      <c r="L474" s="10">
        <f t="shared" si="126"/>
        <v>9.9467942839284989E-3</v>
      </c>
      <c r="M474" s="10">
        <f t="shared" si="127"/>
        <v>0.97163200437269504</v>
      </c>
      <c r="N474" s="10">
        <f t="shared" si="128"/>
        <v>0.94284250992903362</v>
      </c>
      <c r="O474" s="10">
        <f t="shared" si="134"/>
        <v>5.5789868676216582E-2</v>
      </c>
      <c r="P474" s="10">
        <f t="shared" si="135"/>
        <v>1.1627280243874978E-2</v>
      </c>
      <c r="Q474" s="10">
        <f t="shared" si="129"/>
        <v>0.70414642460184307</v>
      </c>
      <c r="S474" s="5">
        <f t="shared" si="130"/>
        <v>6.4693676164860346E-7</v>
      </c>
      <c r="T474" s="5">
        <f t="shared" si="131"/>
        <v>1.6045298041533053E-5</v>
      </c>
      <c r="U474" s="5">
        <f t="shared" si="132"/>
        <v>1.7915200613141064E-3</v>
      </c>
    </row>
    <row r="475" spans="1:21">
      <c r="A475" s="19">
        <f t="shared" si="133"/>
        <v>38.416666666666664</v>
      </c>
      <c r="B475" s="10">
        <f t="shared" si="119"/>
        <v>1.0214335175861555E-4</v>
      </c>
      <c r="C475" s="10">
        <f t="shared" si="121"/>
        <v>0.15345384004335927</v>
      </c>
      <c r="D475" s="10">
        <f t="shared" si="122"/>
        <v>1.5674289562259169E-5</v>
      </c>
      <c r="H475" s="19">
        <f t="shared" si="120"/>
        <v>38.416666666666664</v>
      </c>
      <c r="I475" s="10">
        <f t="shared" si="123"/>
        <v>3.799507976075741E-2</v>
      </c>
      <c r="J475" s="10">
        <f t="shared" si="124"/>
        <v>3.8809447970996985E-6</v>
      </c>
      <c r="K475" s="10">
        <f t="shared" si="125"/>
        <v>9.8262406961515853E-5</v>
      </c>
      <c r="L475" s="10">
        <f t="shared" si="126"/>
        <v>9.6646236671763131E-3</v>
      </c>
      <c r="M475" s="10">
        <f t="shared" si="127"/>
        <v>0.97146958882323198</v>
      </c>
      <c r="N475" s="10">
        <f t="shared" si="128"/>
        <v>0.94250717268245809</v>
      </c>
      <c r="O475" s="10">
        <f t="shared" si="134"/>
        <v>5.6109432236813368E-2</v>
      </c>
      <c r="P475" s="10">
        <f t="shared" si="135"/>
        <v>1.1297671855541459E-2</v>
      </c>
      <c r="Q475" s="10">
        <f t="shared" si="129"/>
        <v>0.70840232822790339</v>
      </c>
      <c r="S475" s="5">
        <f t="shared" si="130"/>
        <v>5.9554588211124449E-7</v>
      </c>
      <c r="T475" s="5">
        <f t="shared" si="131"/>
        <v>1.5078743680147925E-5</v>
      </c>
      <c r="U475" s="5">
        <f t="shared" si="132"/>
        <v>1.7336711297826211E-3</v>
      </c>
    </row>
    <row r="476" spans="1:21">
      <c r="A476" s="19">
        <f t="shared" si="133"/>
        <v>38.5</v>
      </c>
      <c r="B476" s="10">
        <f t="shared" si="119"/>
        <v>9.6270841674322521E-5</v>
      </c>
      <c r="C476" s="10">
        <f t="shared" si="121"/>
        <v>0.15283118687004879</v>
      </c>
      <c r="D476" s="10">
        <f t="shared" si="122"/>
        <v>1.4713186994065266E-5</v>
      </c>
      <c r="H476" s="19">
        <f t="shared" si="120"/>
        <v>38.5</v>
      </c>
      <c r="I476" s="10">
        <f t="shared" si="123"/>
        <v>3.7244200653951461E-2</v>
      </c>
      <c r="J476" s="10">
        <f t="shared" si="124"/>
        <v>3.5855305444432605E-6</v>
      </c>
      <c r="K476" s="10">
        <f t="shared" si="125"/>
        <v>9.268531112987925E-5</v>
      </c>
      <c r="L476" s="10">
        <f t="shared" si="126"/>
        <v>9.3888879800830497E-3</v>
      </c>
      <c r="M476" s="10">
        <f t="shared" si="127"/>
        <v>0.97130625691904426</v>
      </c>
      <c r="N476" s="10">
        <f t="shared" si="128"/>
        <v>0.94216992870106808</v>
      </c>
      <c r="O476" s="10">
        <f t="shared" si="134"/>
        <v>5.6430722977767328E-2</v>
      </c>
      <c r="P476" s="10">
        <f t="shared" si="135"/>
        <v>1.097556238977177E-2</v>
      </c>
      <c r="Q476" s="10">
        <f t="shared" si="129"/>
        <v>0.71268395844675914</v>
      </c>
      <c r="S476" s="5">
        <f t="shared" si="130"/>
        <v>5.4798088866607569E-7</v>
      </c>
      <c r="T476" s="5">
        <f t="shared" si="131"/>
        <v>1.4165206105399189E-5</v>
      </c>
      <c r="U476" s="5">
        <f t="shared" si="132"/>
        <v>1.6774082265950886E-3</v>
      </c>
    </row>
    <row r="477" spans="1:21">
      <c r="A477" s="19">
        <f t="shared" si="133"/>
        <v>38.583333333333336</v>
      </c>
      <c r="B477" s="10">
        <f t="shared" si="119"/>
        <v>9.0703492036288262E-5</v>
      </c>
      <c r="C477" s="10">
        <f t="shared" si="121"/>
        <v>0.15221106016967714</v>
      </c>
      <c r="D477" s="10">
        <f t="shared" si="122"/>
        <v>1.3806074683935304E-5</v>
      </c>
      <c r="H477" s="19">
        <f t="shared" si="120"/>
        <v>38.583333333333336</v>
      </c>
      <c r="I477" s="10">
        <f t="shared" si="123"/>
        <v>3.6504042494546418E-2</v>
      </c>
      <c r="J477" s="10">
        <f t="shared" si="124"/>
        <v>3.3110441276964193E-6</v>
      </c>
      <c r="K477" s="10">
        <f t="shared" si="125"/>
        <v>8.7392447908591841E-5</v>
      </c>
      <c r="L477" s="10">
        <f t="shared" si="126"/>
        <v>9.1194856405666727E-3</v>
      </c>
      <c r="M477" s="10">
        <f t="shared" si="127"/>
        <v>0.97114200365004621</v>
      </c>
      <c r="N477" s="10">
        <f t="shared" si="128"/>
        <v>0.94183076787463327</v>
      </c>
      <c r="O477" s="10">
        <f t="shared" si="134"/>
        <v>5.6753749007540391E-2</v>
      </c>
      <c r="P477" s="10">
        <f t="shared" si="135"/>
        <v>1.0660834756471541E-2</v>
      </c>
      <c r="Q477" s="10">
        <f t="shared" si="129"/>
        <v>0.71699147077357916</v>
      </c>
      <c r="S477" s="5">
        <f t="shared" si="130"/>
        <v>5.0397753694525584E-7</v>
      </c>
      <c r="T477" s="5">
        <f t="shared" si="131"/>
        <v>1.3302097146990048E-5</v>
      </c>
      <c r="U477" s="5">
        <f t="shared" si="132"/>
        <v>1.6226969605762751E-3</v>
      </c>
    </row>
    <row r="478" spans="1:21">
      <c r="A478" s="19">
        <f t="shared" si="133"/>
        <v>38.666666666666671</v>
      </c>
      <c r="B478" s="10">
        <f t="shared" si="119"/>
        <v>8.5427339553448056E-5</v>
      </c>
      <c r="C478" s="10">
        <f t="shared" si="121"/>
        <v>0.15159344969084637</v>
      </c>
      <c r="D478" s="10">
        <f t="shared" si="122"/>
        <v>1.2950225100818478E-5</v>
      </c>
      <c r="H478" s="19">
        <f t="shared" si="120"/>
        <v>38.666666666666671</v>
      </c>
      <c r="I478" s="10">
        <f t="shared" si="123"/>
        <v>3.5774534733747164E-2</v>
      </c>
      <c r="J478" s="10">
        <f t="shared" si="124"/>
        <v>3.0561233260664404E-6</v>
      </c>
      <c r="K478" s="10">
        <f t="shared" si="125"/>
        <v>8.2371216227381623E-5</v>
      </c>
      <c r="L478" s="10">
        <f t="shared" si="126"/>
        <v>8.8563155572377438E-3</v>
      </c>
      <c r="M478" s="10">
        <f t="shared" si="127"/>
        <v>0.97097682398060892</v>
      </c>
      <c r="N478" s="10">
        <f t="shared" si="128"/>
        <v>0.94148968004822542</v>
      </c>
      <c r="O478" s="10">
        <f t="shared" si="134"/>
        <v>5.7078518457749819E-2</v>
      </c>
      <c r="P478" s="10">
        <f t="shared" si="135"/>
        <v>1.03533723401492E-2</v>
      </c>
      <c r="Q478" s="10">
        <f t="shared" si="129"/>
        <v>0.7213250216636109</v>
      </c>
      <c r="S478" s="5">
        <f t="shared" si="130"/>
        <v>4.6328827767907501E-7</v>
      </c>
      <c r="T478" s="5">
        <f t="shared" si="131"/>
        <v>1.2486936823139404E-5</v>
      </c>
      <c r="U478" s="5">
        <f t="shared" si="132"/>
        <v>1.5695034289770081E-3</v>
      </c>
    </row>
    <row r="479" spans="1:21">
      <c r="A479" s="19">
        <f t="shared" si="133"/>
        <v>38.750000000000007</v>
      </c>
      <c r="B479" s="10">
        <f t="shared" si="119"/>
        <v>8.0428958583546927E-5</v>
      </c>
      <c r="C479" s="10">
        <f t="shared" si="121"/>
        <v>0.15097834522375442</v>
      </c>
      <c r="D479" s="10">
        <f t="shared" si="122"/>
        <v>1.2143031075013794E-5</v>
      </c>
      <c r="H479" s="19">
        <f t="shared" si="120"/>
        <v>38.750000000000007</v>
      </c>
      <c r="I479" s="10">
        <f t="shared" si="123"/>
        <v>3.5055605905832996E-2</v>
      </c>
      <c r="J479" s="10">
        <f t="shared" si="124"/>
        <v>2.8194858755213852E-6</v>
      </c>
      <c r="K479" s="10">
        <f t="shared" si="125"/>
        <v>7.7609472708025536E-5</v>
      </c>
      <c r="L479" s="10">
        <f t="shared" si="126"/>
        <v>8.5992771519367607E-3</v>
      </c>
      <c r="M479" s="10">
        <f t="shared" si="127"/>
        <v>0.97081071284948939</v>
      </c>
      <c r="N479" s="10">
        <f t="shared" si="128"/>
        <v>0.94114665502209383</v>
      </c>
      <c r="O479" s="10">
        <f t="shared" si="134"/>
        <v>5.7405039483033785E-2</v>
      </c>
      <c r="P479" s="10">
        <f t="shared" si="135"/>
        <v>1.0053059031318432E-2</v>
      </c>
      <c r="Q479" s="10">
        <f t="shared" si="129"/>
        <v>0.7256847685178599</v>
      </c>
      <c r="S479" s="5">
        <f t="shared" si="130"/>
        <v>4.2568131186796718E-7</v>
      </c>
      <c r="T479" s="5">
        <f t="shared" si="131"/>
        <v>1.1717349763145826E-5</v>
      </c>
      <c r="U479" s="5">
        <f t="shared" si="132"/>
        <v>1.5177942169851764E-3</v>
      </c>
    </row>
    <row r="480" spans="1:21">
      <c r="A480" s="19">
        <f t="shared" si="133"/>
        <v>38.833333333333343</v>
      </c>
      <c r="B480" s="10">
        <f t="shared" si="119"/>
        <v>7.569544533781571E-5</v>
      </c>
      <c r="C480" s="10">
        <f t="shared" si="121"/>
        <v>0.15036573660002642</v>
      </c>
      <c r="D480" s="10">
        <f t="shared" si="122"/>
        <v>1.1382001395487694E-5</v>
      </c>
      <c r="H480" s="19">
        <f t="shared" si="120"/>
        <v>38.833333333333343</v>
      </c>
      <c r="I480" s="10">
        <f t="shared" si="123"/>
        <v>3.4347183647953604E-2</v>
      </c>
      <c r="J480" s="10">
        <f t="shared" si="124"/>
        <v>2.5999253623315894E-6</v>
      </c>
      <c r="K480" s="10">
        <f t="shared" si="125"/>
        <v>7.3095519975484115E-5</v>
      </c>
      <c r="L480" s="10">
        <f t="shared" si="126"/>
        <v>8.3482703818620538E-3</v>
      </c>
      <c r="M480" s="10">
        <f t="shared" si="127"/>
        <v>0.97064366516967615</v>
      </c>
      <c r="N480" s="10">
        <f t="shared" si="128"/>
        <v>0.94080168255158136</v>
      </c>
      <c r="O480" s="10">
        <f t="shared" si="134"/>
        <v>5.773332026091299E-2</v>
      </c>
      <c r="P480" s="10">
        <f t="shared" si="135"/>
        <v>9.759779257210251E-3</v>
      </c>
      <c r="Q480" s="10">
        <f t="shared" si="129"/>
        <v>0.73007086968881063</v>
      </c>
      <c r="S480" s="5">
        <f t="shared" si="130"/>
        <v>3.9093969221208003E-7</v>
      </c>
      <c r="T480" s="5">
        <f t="shared" si="131"/>
        <v>1.0991061703275614E-5</v>
      </c>
      <c r="U480" s="5">
        <f t="shared" si="132"/>
        <v>1.467536397064078E-3</v>
      </c>
    </row>
    <row r="481" spans="1:21">
      <c r="A481" s="19">
        <f t="shared" si="133"/>
        <v>38.916666666666679</v>
      </c>
      <c r="B481" s="10">
        <f t="shared" si="119"/>
        <v>7.1214402335308271E-5</v>
      </c>
      <c r="C481" s="10">
        <f t="shared" si="121"/>
        <v>0.14975561369254675</v>
      </c>
      <c r="D481" s="10">
        <f t="shared" si="122"/>
        <v>1.0664756525472025E-5</v>
      </c>
      <c r="H481" s="19">
        <f t="shared" si="120"/>
        <v>38.916666666666679</v>
      </c>
      <c r="I481" s="10">
        <f t="shared" si="123"/>
        <v>3.364919472018247E-2</v>
      </c>
      <c r="J481" s="10">
        <f t="shared" si="124"/>
        <v>2.3963072910622054E-6</v>
      </c>
      <c r="K481" s="10">
        <f t="shared" si="125"/>
        <v>6.8818095044246064E-5</v>
      </c>
      <c r="L481" s="10">
        <f t="shared" si="126"/>
        <v>8.1031957612780359E-3</v>
      </c>
      <c r="M481" s="10">
        <f t="shared" si="127"/>
        <v>0.97047567582833316</v>
      </c>
      <c r="N481" s="10">
        <f t="shared" si="128"/>
        <v>0.94045475234707709</v>
      </c>
      <c r="O481" s="10">
        <f t="shared" si="134"/>
        <v>5.8063368991652223E-2</v>
      </c>
      <c r="P481" s="10">
        <f t="shared" si="135"/>
        <v>9.4734180117891365E-3</v>
      </c>
      <c r="Q481" s="10">
        <f t="shared" si="129"/>
        <v>0.7344834844861714</v>
      </c>
      <c r="S481" s="5">
        <f t="shared" si="130"/>
        <v>3.5886046896894484E-7</v>
      </c>
      <c r="T481" s="5">
        <f t="shared" si="131"/>
        <v>1.0305896056503079E-5</v>
      </c>
      <c r="U481" s="5">
        <f t="shared" si="132"/>
        <v>1.4186975281215081E-3</v>
      </c>
    </row>
    <row r="482" spans="1:21">
      <c r="A482" s="19">
        <f t="shared" si="133"/>
        <v>39.000000000000014</v>
      </c>
      <c r="B482" s="10">
        <f t="shared" si="119"/>
        <v>6.6973923111797448E-5</v>
      </c>
      <c r="C482" s="10">
        <f t="shared" si="121"/>
        <v>0.14914796641529141</v>
      </c>
      <c r="D482" s="10">
        <f t="shared" si="122"/>
        <v>9.9890244349786753E-6</v>
      </c>
      <c r="H482" s="19">
        <f t="shared" si="120"/>
        <v>39.000000000000014</v>
      </c>
      <c r="I482" s="10">
        <f t="shared" si="123"/>
        <v>3.2961565025819657E-2</v>
      </c>
      <c r="J482" s="10">
        <f t="shared" si="124"/>
        <v>2.2075653216837577E-6</v>
      </c>
      <c r="K482" s="10">
        <f t="shared" si="125"/>
        <v>6.4766357790113681E-5</v>
      </c>
      <c r="L482" s="10">
        <f t="shared" si="126"/>
        <v>7.8639543827955863E-3</v>
      </c>
      <c r="M482" s="10">
        <f t="shared" si="127"/>
        <v>0.97030673968664027</v>
      </c>
      <c r="N482" s="10">
        <f t="shared" si="128"/>
        <v>0.94010585407389247</v>
      </c>
      <c r="O482" s="10">
        <f t="shared" si="134"/>
        <v>5.8395193898113498E-2</v>
      </c>
      <c r="P482" s="10">
        <f t="shared" si="135"/>
        <v>9.1938608850698246E-3</v>
      </c>
      <c r="Q482" s="10">
        <f t="shared" si="129"/>
        <v>0.73892277318266752</v>
      </c>
      <c r="S482" s="5">
        <f t="shared" si="130"/>
        <v>3.2925387845805106E-7</v>
      </c>
      <c r="T482" s="5">
        <f t="shared" si="131"/>
        <v>9.6597705565206226E-6</v>
      </c>
      <c r="U482" s="5">
        <f t="shared" si="132"/>
        <v>1.3712456545132555E-3</v>
      </c>
    </row>
    <row r="483" spans="1:21">
      <c r="A483" s="19">
        <f t="shared" si="133"/>
        <v>39.08333333333335</v>
      </c>
      <c r="B483" s="10">
        <f t="shared" si="119"/>
        <v>6.2962577187695545E-5</v>
      </c>
      <c r="C483" s="10">
        <f t="shared" si="121"/>
        <v>0.14854278472316143</v>
      </c>
      <c r="D483" s="10">
        <f t="shared" si="122"/>
        <v>9.3526365488072945E-6</v>
      </c>
      <c r="H483" s="19">
        <f t="shared" si="120"/>
        <v>39.08333333333335</v>
      </c>
      <c r="I483" s="10">
        <f t="shared" si="123"/>
        <v>3.2284219631935979E-2</v>
      </c>
      <c r="J483" s="10">
        <f t="shared" si="124"/>
        <v>2.0326976705202847E-6</v>
      </c>
      <c r="K483" s="10">
        <f t="shared" si="125"/>
        <v>6.0929879517175261E-5</v>
      </c>
      <c r="L483" s="10">
        <f t="shared" si="126"/>
        <v>7.6304479382148507E-3</v>
      </c>
      <c r="M483" s="10">
        <f t="shared" si="127"/>
        <v>0.97013685157972818</v>
      </c>
      <c r="N483" s="10">
        <f t="shared" si="128"/>
        <v>0.93975497735220914</v>
      </c>
      <c r="O483" s="10">
        <f t="shared" si="134"/>
        <v>5.8728803225610145E-2</v>
      </c>
      <c r="P483" s="10">
        <f t="shared" si="135"/>
        <v>8.9209940917296324E-3</v>
      </c>
      <c r="Q483" s="10">
        <f t="shared" si="129"/>
        <v>0.74338889701985889</v>
      </c>
      <c r="S483" s="5">
        <f t="shared" si="130"/>
        <v>3.0194257247936636E-7</v>
      </c>
      <c r="T483" s="5">
        <f t="shared" si="131"/>
        <v>9.0506939763279277E-6</v>
      </c>
      <c r="U483" s="5">
        <f t="shared" si="132"/>
        <v>1.3251493048843897E-3</v>
      </c>
    </row>
    <row r="484" spans="1:21">
      <c r="A484" s="19">
        <f t="shared" si="133"/>
        <v>39.166666666666686</v>
      </c>
      <c r="B484" s="10">
        <f t="shared" si="119"/>
        <v>5.9169395299059547E-5</v>
      </c>
      <c r="C484" s="10">
        <f t="shared" si="121"/>
        <v>0.14794005861181667</v>
      </c>
      <c r="D484" s="10">
        <f t="shared" si="122"/>
        <v>8.7535238085686184E-6</v>
      </c>
      <c r="H484" s="19">
        <f t="shared" si="120"/>
        <v>39.166666666666686</v>
      </c>
      <c r="I484" s="10">
        <f t="shared" si="123"/>
        <v>3.1617082790150443E-2</v>
      </c>
      <c r="J484" s="10">
        <f t="shared" si="124"/>
        <v>1.8707636698135042E-6</v>
      </c>
      <c r="K484" s="10">
        <f t="shared" si="125"/>
        <v>5.7298631629246044E-5</v>
      </c>
      <c r="L484" s="10">
        <f t="shared" si="126"/>
        <v>7.4025787389227831E-3</v>
      </c>
      <c r="M484" s="10">
        <f t="shared" si="127"/>
        <v>0.96996600631653618</v>
      </c>
      <c r="N484" s="10">
        <f t="shared" si="128"/>
        <v>0.9394021117569985</v>
      </c>
      <c r="O484" s="10">
        <f t="shared" si="134"/>
        <v>5.9064205241753875E-2</v>
      </c>
      <c r="P484" s="10">
        <f t="shared" si="135"/>
        <v>8.6547044990134513E-3</v>
      </c>
      <c r="Q484" s="10">
        <f t="shared" si="129"/>
        <v>0.7478820182139998</v>
      </c>
      <c r="S484" s="5">
        <f t="shared" si="130"/>
        <v>2.7676088696106707E-7</v>
      </c>
      <c r="T484" s="5">
        <f t="shared" si="131"/>
        <v>8.4767629216075517E-6</v>
      </c>
      <c r="U484" s="5">
        <f t="shared" si="132"/>
        <v>1.2803774908520034E-3</v>
      </c>
    </row>
    <row r="485" spans="1:21">
      <c r="A485" s="19">
        <f t="shared" si="133"/>
        <v>39.250000000000021</v>
      </c>
      <c r="B485" s="10">
        <f t="shared" si="119"/>
        <v>5.558385489532116E-5</v>
      </c>
      <c r="C485" s="10">
        <f t="shared" si="121"/>
        <v>0.14733977811751064</v>
      </c>
      <c r="D485" s="10">
        <f t="shared" si="122"/>
        <v>8.1897128471925283E-6</v>
      </c>
      <c r="H485" s="19">
        <f t="shared" si="120"/>
        <v>39.250000000000021</v>
      </c>
      <c r="I485" s="10">
        <f t="shared" si="123"/>
        <v>3.0960077957632396E-2</v>
      </c>
      <c r="J485" s="10">
        <f t="shared" si="124"/>
        <v>1.7208804807448702E-6</v>
      </c>
      <c r="K485" s="10">
        <f t="shared" si="125"/>
        <v>5.386297441457629E-5</v>
      </c>
      <c r="L485" s="10">
        <f t="shared" si="126"/>
        <v>7.1802497358366326E-3</v>
      </c>
      <c r="M485" s="10">
        <f t="shared" si="127"/>
        <v>0.96979419867972949</v>
      </c>
      <c r="N485" s="10">
        <f t="shared" si="128"/>
        <v>0.93904724681792506</v>
      </c>
      <c r="O485" s="10">
        <f t="shared" si="134"/>
        <v>5.9401408236299899E-2</v>
      </c>
      <c r="P485" s="10">
        <f t="shared" si="135"/>
        <v>8.3948796539271876E-3</v>
      </c>
      <c r="Q485" s="10">
        <f t="shared" si="129"/>
        <v>0.75240229996192498</v>
      </c>
      <c r="S485" s="5">
        <f t="shared" si="130"/>
        <v>2.5355414819970422E-7</v>
      </c>
      <c r="T485" s="5">
        <f t="shared" si="131"/>
        <v>7.9361586989928237E-6</v>
      </c>
      <c r="U485" s="5">
        <f t="shared" si="132"/>
        <v>1.2368997055328364E-3</v>
      </c>
    </row>
    <row r="486" spans="1:21">
      <c r="A486" s="19">
        <f t="shared" si="133"/>
        <v>39.333333333333357</v>
      </c>
      <c r="B486" s="10">
        <f t="shared" si="119"/>
        <v>5.2195865906978381E-5</v>
      </c>
      <c r="C486" s="10">
        <f t="shared" si="121"/>
        <v>0.14674193331692562</v>
      </c>
      <c r="D486" s="10">
        <f t="shared" si="122"/>
        <v>7.6593222743410136E-6</v>
      </c>
      <c r="H486" s="19">
        <f t="shared" si="120"/>
        <v>39.333333333333357</v>
      </c>
      <c r="I486" s="10">
        <f t="shared" si="123"/>
        <v>3.031312781832033E-2</v>
      </c>
      <c r="J486" s="10">
        <f t="shared" si="124"/>
        <v>1.5822199548261441E-6</v>
      </c>
      <c r="K486" s="10">
        <f t="shared" si="125"/>
        <v>5.0613645952152239E-5</v>
      </c>
      <c r="L486" s="10">
        <f t="shared" si="126"/>
        <v>6.9633645388860266E-3</v>
      </c>
      <c r="M486" s="10">
        <f t="shared" si="127"/>
        <v>0.96962142342556501</v>
      </c>
      <c r="N486" s="10">
        <f t="shared" si="128"/>
        <v>0.93869037201929606</v>
      </c>
      <c r="O486" s="10">
        <f t="shared" si="134"/>
        <v>5.9740420520987804E-2</v>
      </c>
      <c r="P486" s="10">
        <f t="shared" si="135"/>
        <v>8.141407809717045E-3</v>
      </c>
      <c r="Q486" s="10">
        <f t="shared" si="129"/>
        <v>0.75694990644698334</v>
      </c>
      <c r="S486" s="5">
        <f t="shared" si="130"/>
        <v>2.3217801510380709E-7</v>
      </c>
      <c r="T486" s="5">
        <f t="shared" si="131"/>
        <v>7.4271442592372058E-6</v>
      </c>
      <c r="U486" s="5">
        <f t="shared" si="132"/>
        <v>1.1946859219193961E-3</v>
      </c>
    </row>
    <row r="487" spans="1:21">
      <c r="A487" s="19">
        <f t="shared" si="133"/>
        <v>39.416666666666693</v>
      </c>
      <c r="B487" s="10">
        <f t="shared" si="119"/>
        <v>4.8995756786090826E-5</v>
      </c>
      <c r="C487" s="10">
        <f t="shared" si="121"/>
        <v>0.14614651432700862</v>
      </c>
      <c r="D487" s="10">
        <f t="shared" si="122"/>
        <v>7.1605590711010527E-6</v>
      </c>
      <c r="H487" s="19">
        <f t="shared" si="120"/>
        <v>39.416666666666693</v>
      </c>
      <c r="I487" s="10">
        <f t="shared" si="123"/>
        <v>2.96761543043483E-2</v>
      </c>
      <c r="J487" s="10">
        <f t="shared" si="124"/>
        <v>1.4540056386423518E-6</v>
      </c>
      <c r="K487" s="10">
        <f t="shared" si="125"/>
        <v>4.7541751147448472E-5</v>
      </c>
      <c r="L487" s="10">
        <f t="shared" si="126"/>
        <v>6.7518274360257721E-3</v>
      </c>
      <c r="M487" s="10">
        <f t="shared" si="127"/>
        <v>0.96944767528380815</v>
      </c>
      <c r="N487" s="10">
        <f t="shared" si="128"/>
        <v>0.93833147679998974</v>
      </c>
      <c r="O487" s="10">
        <f t="shared" si="134"/>
        <v>6.0081250429379465E-2</v>
      </c>
      <c r="P487" s="10">
        <f t="shared" si="135"/>
        <v>7.8941779516313107E-3</v>
      </c>
      <c r="Q487" s="10">
        <f t="shared" si="129"/>
        <v>0.76152500284499747</v>
      </c>
      <c r="S487" s="5">
        <f t="shared" si="130"/>
        <v>2.1249785589939579E-7</v>
      </c>
      <c r="T487" s="5">
        <f t="shared" si="131"/>
        <v>6.9480612152016566E-6</v>
      </c>
      <c r="U487" s="5">
        <f t="shared" si="132"/>
        <v>1.153706591108041E-3</v>
      </c>
    </row>
    <row r="488" spans="1:21">
      <c r="A488" s="19">
        <f t="shared" si="133"/>
        <v>39.500000000000028</v>
      </c>
      <c r="B488" s="10">
        <f t="shared" si="119"/>
        <v>4.5974260822025724E-5</v>
      </c>
      <c r="C488" s="10">
        <f t="shared" si="121"/>
        <v>0.14555351130480818</v>
      </c>
      <c r="D488" s="10">
        <f t="shared" si="122"/>
        <v>6.6917150922889212E-6</v>
      </c>
      <c r="H488" s="19">
        <f t="shared" si="120"/>
        <v>39.500000000000028</v>
      </c>
      <c r="I488" s="10">
        <f t="shared" si="123"/>
        <v>2.9049078617671191E-2</v>
      </c>
      <c r="J488" s="10">
        <f t="shared" si="124"/>
        <v>1.3355099170083459E-6</v>
      </c>
      <c r="K488" s="10">
        <f t="shared" si="125"/>
        <v>4.4638750905017381E-5</v>
      </c>
      <c r="L488" s="10">
        <f t="shared" si="126"/>
        <v>6.5455434117726195E-3</v>
      </c>
      <c r="M488" s="10">
        <f t="shared" si="127"/>
        <v>0.9692729489575983</v>
      </c>
      <c r="N488" s="10">
        <f t="shared" si="128"/>
        <v>0.93797055055335032</v>
      </c>
      <c r="O488" s="10">
        <f t="shared" si="134"/>
        <v>6.0423906316690847E-2</v>
      </c>
      <c r="P488" s="10">
        <f t="shared" si="135"/>
        <v>7.6530798219625702E-3</v>
      </c>
      <c r="Q488" s="10">
        <f t="shared" si="129"/>
        <v>0.76612775533026733</v>
      </c>
      <c r="S488" s="5">
        <f t="shared" si="130"/>
        <v>1.9438815780295769E-7</v>
      </c>
      <c r="T488" s="5">
        <f t="shared" si="131"/>
        <v>6.4973269344859632E-6</v>
      </c>
      <c r="U488" s="5">
        <f t="shared" si="132"/>
        <v>1.1139326403826282E-3</v>
      </c>
    </row>
    <row r="489" spans="1:21">
      <c r="A489" s="19">
        <f t="shared" si="133"/>
        <v>39.583333333333364</v>
      </c>
      <c r="B489" s="10">
        <f t="shared" si="119"/>
        <v>4.3122502734518794E-5</v>
      </c>
      <c r="C489" s="10">
        <f t="shared" si="121"/>
        <v>0.14496291444731138</v>
      </c>
      <c r="D489" s="10">
        <f t="shared" si="122"/>
        <v>6.2511636746579986E-6</v>
      </c>
      <c r="H489" s="19">
        <f t="shared" si="120"/>
        <v>39.583333333333364</v>
      </c>
      <c r="I489" s="10">
        <f t="shared" si="123"/>
        <v>2.8431821251880349E-2</v>
      </c>
      <c r="J489" s="10">
        <f t="shared" si="124"/>
        <v>1.22605128968156E-6</v>
      </c>
      <c r="K489" s="10">
        <f t="shared" si="125"/>
        <v>4.1896451444837235E-5</v>
      </c>
      <c r="L489" s="10">
        <f t="shared" si="126"/>
        <v>6.3444181652588258E-3</v>
      </c>
      <c r="M489" s="10">
        <f t="shared" si="127"/>
        <v>0.96909723912336532</v>
      </c>
      <c r="N489" s="10">
        <f t="shared" si="128"/>
        <v>0.93760758262716726</v>
      </c>
      <c r="O489" s="10">
        <f t="shared" si="134"/>
        <v>6.0768396559623267E-2</v>
      </c>
      <c r="P489" s="10">
        <f t="shared" si="135"/>
        <v>7.4180039443676625E-3</v>
      </c>
      <c r="Q489" s="10">
        <f t="shared" si="129"/>
        <v>0.77075833108159886</v>
      </c>
      <c r="S489" s="5">
        <f t="shared" si="130"/>
        <v>1.7773196821412377E-7</v>
      </c>
      <c r="T489" s="5">
        <f t="shared" si="131"/>
        <v>6.0734317064438755E-6</v>
      </c>
      <c r="U489" s="5">
        <f t="shared" si="132"/>
        <v>1.0753354711571879E-3</v>
      </c>
    </row>
    <row r="490" spans="1:21">
      <c r="A490" s="19">
        <f t="shared" si="133"/>
        <v>39.6666666666667</v>
      </c>
      <c r="B490" s="10">
        <f t="shared" si="119"/>
        <v>4.0431985545745578E-5</v>
      </c>
      <c r="C490" s="10">
        <f t="shared" si="121"/>
        <v>0.14437471399128207</v>
      </c>
      <c r="D490" s="10">
        <f t="shared" si="122"/>
        <v>5.837356349266669E-6</v>
      </c>
      <c r="H490" s="19">
        <f t="shared" si="120"/>
        <v>39.6666666666667</v>
      </c>
      <c r="I490" s="10">
        <f t="shared" si="123"/>
        <v>2.7824302014199682E-2</v>
      </c>
      <c r="J490" s="10">
        <f t="shared" si="124"/>
        <v>1.124991776858581E-6</v>
      </c>
      <c r="K490" s="10">
        <f t="shared" si="125"/>
        <v>3.9306993768886998E-5</v>
      </c>
      <c r="L490" s="10">
        <f t="shared" si="126"/>
        <v>6.1483581277964553E-3</v>
      </c>
      <c r="M490" s="10">
        <f t="shared" si="127"/>
        <v>0.96892054043068443</v>
      </c>
      <c r="N490" s="10">
        <f t="shared" si="128"/>
        <v>0.93724256232357073</v>
      </c>
      <c r="O490" s="10">
        <f t="shared" si="134"/>
        <v>6.1114729556187332E-2</v>
      </c>
      <c r="P490" s="10">
        <f t="shared" si="135"/>
        <v>7.1888416474639094E-3</v>
      </c>
      <c r="Q490" s="10">
        <f t="shared" si="129"/>
        <v>0.77541689828838312</v>
      </c>
      <c r="S490" s="5">
        <f t="shared" si="130"/>
        <v>1.6242036602650186E-7</v>
      </c>
      <c r="T490" s="5">
        <f t="shared" si="131"/>
        <v>5.6749359832401671E-6</v>
      </c>
      <c r="U490" s="5">
        <f t="shared" si="132"/>
        <v>1.0378869567812189E-3</v>
      </c>
    </row>
    <row r="491" spans="1:21">
      <c r="A491" s="19">
        <f t="shared" si="133"/>
        <v>39.750000000000036</v>
      </c>
      <c r="B491" s="10">
        <f t="shared" si="119"/>
        <v>3.7894577732724162E-5</v>
      </c>
      <c r="C491" s="10">
        <f t="shared" si="121"/>
        <v>0.1437889002130992</v>
      </c>
      <c r="D491" s="10">
        <f t="shared" si="122"/>
        <v>5.4488196562282055E-6</v>
      </c>
      <c r="H491" s="19">
        <f t="shared" si="120"/>
        <v>39.750000000000036</v>
      </c>
      <c r="I491" s="10">
        <f t="shared" si="123"/>
        <v>2.722644004765391E-2</v>
      </c>
      <c r="J491" s="10">
        <f t="shared" si="124"/>
        <v>1.0317344487711752E-6</v>
      </c>
      <c r="K491" s="10">
        <f t="shared" si="125"/>
        <v>3.6862843283952982E-5</v>
      </c>
      <c r="L491" s="10">
        <f t="shared" si="126"/>
        <v>5.9572704799459326E-3</v>
      </c>
      <c r="M491" s="10">
        <f t="shared" si="127"/>
        <v>0.96874284750221329</v>
      </c>
      <c r="N491" s="10">
        <f t="shared" si="128"/>
        <v>0.9368754788989806</v>
      </c>
      <c r="O491" s="10">
        <f t="shared" si="134"/>
        <v>6.1462913725526036E-2</v>
      </c>
      <c r="P491" s="10">
        <f t="shared" si="135"/>
        <v>6.9654850876995382E-3</v>
      </c>
      <c r="Q491" s="10">
        <f t="shared" si="129"/>
        <v>0.78010362615670081</v>
      </c>
      <c r="S491" s="5">
        <f t="shared" si="130"/>
        <v>1.4835196170077542E-7</v>
      </c>
      <c r="T491" s="5">
        <f t="shared" si="131"/>
        <v>5.3004676945274299E-6</v>
      </c>
      <c r="U491" s="5">
        <f t="shared" si="132"/>
        <v>1.0015594402110594E-3</v>
      </c>
    </row>
    <row r="492" spans="1:21">
      <c r="A492" s="19">
        <f t="shared" si="133"/>
        <v>39.833333333333371</v>
      </c>
      <c r="B492" s="10">
        <f t="shared" si="119"/>
        <v>3.5502500661020596E-5</v>
      </c>
      <c r="C492" s="10">
        <f t="shared" si="121"/>
        <v>0.14320546342859639</v>
      </c>
      <c r="D492" s="10">
        <f t="shared" si="122"/>
        <v>5.0841520600355039E-6</v>
      </c>
      <c r="H492" s="19">
        <f t="shared" si="120"/>
        <v>39.833333333333371</v>
      </c>
      <c r="I492" s="10">
        <f t="shared" si="123"/>
        <v>2.6638153853398825E-2</v>
      </c>
      <c r="J492" s="10">
        <f t="shared" si="124"/>
        <v>9.457210747886601E-7</v>
      </c>
      <c r="K492" s="10">
        <f t="shared" si="125"/>
        <v>3.4556779586231933E-5</v>
      </c>
      <c r="L492" s="10">
        <f t="shared" si="126"/>
        <v>5.7710631680836996E-3</v>
      </c>
      <c r="M492" s="10">
        <f t="shared" si="127"/>
        <v>0.96856415493353509</v>
      </c>
      <c r="N492" s="10">
        <f t="shared" si="128"/>
        <v>0.93650632156404101</v>
      </c>
      <c r="O492" s="10">
        <f t="shared" si="134"/>
        <v>6.1812957507730977E-2</v>
      </c>
      <c r="P492" s="10">
        <f t="shared" si="135"/>
        <v>6.7478272714976669E-3</v>
      </c>
      <c r="Q492" s="10">
        <f t="shared" si="129"/>
        <v>0.7848186849154728</v>
      </c>
      <c r="S492" s="5">
        <f t="shared" si="130"/>
        <v>1.3543242478930034E-7</v>
      </c>
      <c r="T492" s="5">
        <f t="shared" si="131"/>
        <v>4.9487196352462036E-6</v>
      </c>
      <c r="U492" s="5">
        <f t="shared" si="132"/>
        <v>9.6632573155094447E-4</v>
      </c>
    </row>
    <row r="493" spans="1:21">
      <c r="A493" s="19">
        <f t="shared" si="133"/>
        <v>39.916666666666707</v>
      </c>
      <c r="B493" s="10">
        <f t="shared" si="119"/>
        <v>3.3248316300377333E-5</v>
      </c>
      <c r="C493" s="10">
        <f t="shared" si="121"/>
        <v>0.14262439399290144</v>
      </c>
      <c r="D493" s="10">
        <f t="shared" si="122"/>
        <v>4.742020963625624E-6</v>
      </c>
      <c r="H493" s="19">
        <f t="shared" si="120"/>
        <v>39.916666666666707</v>
      </c>
      <c r="I493" s="10">
        <f t="shared" si="123"/>
        <v>2.6059361313204656E-2</v>
      </c>
      <c r="J493" s="10">
        <f t="shared" si="124"/>
        <v>8.6642988752724484E-7</v>
      </c>
      <c r="K493" s="10">
        <f t="shared" si="125"/>
        <v>3.238188641285009E-5</v>
      </c>
      <c r="L493" s="10">
        <f t="shared" si="126"/>
        <v>5.5896449204630386E-3</v>
      </c>
      <c r="M493" s="10">
        <f t="shared" si="127"/>
        <v>0.96838445729308553</v>
      </c>
      <c r="N493" s="10">
        <f t="shared" si="128"/>
        <v>0.93613507948355612</v>
      </c>
      <c r="O493" s="10">
        <f t="shared" si="134"/>
        <v>6.2164869363656866E-2</v>
      </c>
      <c r="P493" s="10">
        <f t="shared" si="135"/>
        <v>6.5357620766722099E-3</v>
      </c>
      <c r="Q493" s="10">
        <f t="shared" si="129"/>
        <v>0.78956224582263557</v>
      </c>
      <c r="S493" s="5">
        <f t="shared" si="130"/>
        <v>1.2357403764591106E-7</v>
      </c>
      <c r="T493" s="5">
        <f t="shared" si="131"/>
        <v>4.6184469259797134E-6</v>
      </c>
      <c r="U493" s="5">
        <f t="shared" si="132"/>
        <v>9.3215910546716105E-4</v>
      </c>
    </row>
    <row r="494" spans="1:21">
      <c r="A494" s="19">
        <f t="shared" si="133"/>
        <v>40.000000000000043</v>
      </c>
      <c r="B494" s="10">
        <f t="shared" si="119"/>
        <v>3.1124915222548148E-5</v>
      </c>
      <c r="C494" s="10">
        <f t="shared" si="121"/>
        <v>0.14204568230027734</v>
      </c>
      <c r="D494" s="10">
        <f t="shared" si="122"/>
        <v>4.4211598193251397E-6</v>
      </c>
      <c r="H494" s="19">
        <f t="shared" si="120"/>
        <v>40.000000000000043</v>
      </c>
      <c r="I494" s="10">
        <f t="shared" si="123"/>
        <v>2.5489979712082597E-2</v>
      </c>
      <c r="J494" s="10">
        <f t="shared" si="124"/>
        <v>7.9337345756304309E-7</v>
      </c>
      <c r="K494" s="10">
        <f t="shared" si="125"/>
        <v>3.0331541764985106E-5</v>
      </c>
      <c r="L494" s="10">
        <f t="shared" si="126"/>
        <v>5.4129252627636518E-3</v>
      </c>
      <c r="M494" s="10">
        <f t="shared" si="127"/>
        <v>0.9682037491220109</v>
      </c>
      <c r="N494" s="10">
        <f t="shared" si="128"/>
        <v>0.93576174177643645</v>
      </c>
      <c r="O494" s="10">
        <f t="shared" si="134"/>
        <v>6.251865777473023E-2</v>
      </c>
      <c r="P494" s="10">
        <f t="shared" si="135"/>
        <v>6.3291842731157183E-3</v>
      </c>
      <c r="Q494" s="10">
        <f t="shared" si="129"/>
        <v>0.79433448117136907</v>
      </c>
      <c r="S494" s="5">
        <f t="shared" si="130"/>
        <v>1.1269527409847259E-7</v>
      </c>
      <c r="T494" s="5">
        <f t="shared" si="131"/>
        <v>4.3084645452266677E-6</v>
      </c>
      <c r="U494" s="5">
        <f t="shared" si="132"/>
        <v>8.990332984789071E-4</v>
      </c>
    </row>
    <row r="495" spans="1:21">
      <c r="A495" s="19">
        <f t="shared" si="133"/>
        <v>40.083333333333378</v>
      </c>
      <c r="B495" s="10">
        <f t="shared" si="119"/>
        <v>2.9125504881295574E-5</v>
      </c>
      <c r="C495" s="10">
        <f t="shared" si="121"/>
        <v>0.14146931878396307</v>
      </c>
      <c r="D495" s="10">
        <f t="shared" si="122"/>
        <v>4.1203653347958758E-6</v>
      </c>
      <c r="H495" s="19">
        <f t="shared" si="120"/>
        <v>40.083333333333378</v>
      </c>
      <c r="I495" s="10">
        <f t="shared" si="123"/>
        <v>2.4929925761044927E-2</v>
      </c>
      <c r="J495" s="10">
        <f t="shared" si="124"/>
        <v>7.2609667444365026E-7</v>
      </c>
      <c r="K495" s="10">
        <f t="shared" si="125"/>
        <v>2.8399408206851924E-5</v>
      </c>
      <c r="L495" s="10">
        <f t="shared" si="126"/>
        <v>5.2408145331250136E-3</v>
      </c>
      <c r="M495" s="10">
        <f t="shared" si="127"/>
        <v>0.96802202493409051</v>
      </c>
      <c r="N495" s="10">
        <f t="shared" si="128"/>
        <v>0.93538629751563307</v>
      </c>
      <c r="O495" s="10">
        <f t="shared" si="134"/>
        <v>6.287433124275571E-2</v>
      </c>
      <c r="P495" s="10">
        <f t="shared" si="135"/>
        <v>6.1279895427583889E-3</v>
      </c>
      <c r="Q495" s="10">
        <f t="shared" si="129"/>
        <v>0.79913556429634969</v>
      </c>
      <c r="S495" s="5">
        <f t="shared" si="130"/>
        <v>1.0272040190484421E-7</v>
      </c>
      <c r="T495" s="5">
        <f t="shared" si="131"/>
        <v>4.0176449328910315E-6</v>
      </c>
      <c r="U495" s="5">
        <f t="shared" si="132"/>
        <v>8.6692250612927858E-4</v>
      </c>
    </row>
    <row r="496" spans="1:21">
      <c r="A496" s="19">
        <f t="shared" si="133"/>
        <v>40.166666666666714</v>
      </c>
      <c r="B496" s="10">
        <f t="shared" si="119"/>
        <v>2.7243598174188564E-5</v>
      </c>
      <c r="C496" s="10">
        <f t="shared" si="121"/>
        <v>0.14089529391601568</v>
      </c>
      <c r="D496" s="10">
        <f t="shared" si="122"/>
        <v>3.8384947720821256E-6</v>
      </c>
      <c r="H496" s="19">
        <f t="shared" si="120"/>
        <v>40.166666666666714</v>
      </c>
      <c r="I496" s="10">
        <f t="shared" si="123"/>
        <v>2.4379115619989008E-2</v>
      </c>
      <c r="J496" s="10">
        <f t="shared" si="124"/>
        <v>6.6417482979306445E-7</v>
      </c>
      <c r="K496" s="10">
        <f t="shared" si="125"/>
        <v>2.65794233443955E-5</v>
      </c>
      <c r="L496" s="10">
        <f t="shared" si="126"/>
        <v>5.0732238966596857E-3</v>
      </c>
      <c r="M496" s="10">
        <f t="shared" si="127"/>
        <v>0.96783927921559421</v>
      </c>
      <c r="N496" s="10">
        <f t="shared" si="128"/>
        <v>0.93500873572808829</v>
      </c>
      <c r="O496" s="10">
        <f t="shared" si="134"/>
        <v>6.3231898289715677E-2</v>
      </c>
      <c r="P496" s="10">
        <f t="shared" si="135"/>
        <v>5.9320744987987296E-3</v>
      </c>
      <c r="Q496" s="10">
        <f t="shared" si="129"/>
        <v>0.80396566958005122</v>
      </c>
      <c r="S496" s="5">
        <f t="shared" si="130"/>
        <v>9.35791078553135E-8</v>
      </c>
      <c r="T496" s="5">
        <f t="shared" si="131"/>
        <v>3.7449156642268125E-6</v>
      </c>
      <c r="U496" s="5">
        <f t="shared" si="132"/>
        <v>8.3580138003994846E-4</v>
      </c>
    </row>
    <row r="497" spans="1:21">
      <c r="A497" s="19">
        <f t="shared" si="133"/>
        <v>40.25000000000005</v>
      </c>
      <c r="B497" s="10">
        <f t="shared" si="119"/>
        <v>2.5473002285532103E-5</v>
      </c>
      <c r="C497" s="10">
        <f t="shared" si="121"/>
        <v>0.14032359820715279</v>
      </c>
      <c r="D497" s="10">
        <f t="shared" si="122"/>
        <v>3.5744633378448914E-6</v>
      </c>
      <c r="H497" s="19">
        <f t="shared" si="120"/>
        <v>40.25000000000005</v>
      </c>
      <c r="I497" s="10">
        <f t="shared" si="123"/>
        <v>2.3837464920694714E-2</v>
      </c>
      <c r="J497" s="10">
        <f t="shared" si="124"/>
        <v>6.0721179840614775E-7</v>
      </c>
      <c r="K497" s="10">
        <f t="shared" si="125"/>
        <v>2.4865790487125955E-5</v>
      </c>
      <c r="L497" s="10">
        <f t="shared" si="126"/>
        <v>4.9100653594424384E-3</v>
      </c>
      <c r="M497" s="10">
        <f t="shared" si="127"/>
        <v>0.96765550642520082</v>
      </c>
      <c r="N497" s="10">
        <f t="shared" si="128"/>
        <v>0.93462904539467018</v>
      </c>
      <c r="O497" s="10">
        <f t="shared" si="134"/>
        <v>6.3591367457568215E-2</v>
      </c>
      <c r="P497" s="10">
        <f t="shared" si="135"/>
        <v>5.7413367042058539E-3</v>
      </c>
      <c r="Q497" s="10">
        <f t="shared" si="129"/>
        <v>0.80882497245907148</v>
      </c>
      <c r="S497" s="5">
        <f t="shared" si="130"/>
        <v>8.5206144426186939E-8</v>
      </c>
      <c r="T497" s="5">
        <f t="shared" si="131"/>
        <v>3.4892571934187047E-6</v>
      </c>
      <c r="U497" s="5">
        <f t="shared" si="132"/>
        <v>8.0564502485296107E-4</v>
      </c>
    </row>
    <row r="498" spans="1:21">
      <c r="A498" s="19">
        <f t="shared" si="133"/>
        <v>40.333333333333385</v>
      </c>
      <c r="B498" s="10">
        <f t="shared" si="119"/>
        <v>2.3807807809463121E-5</v>
      </c>
      <c r="C498" s="10">
        <f t="shared" si="121"/>
        <v>0.13975422220659561</v>
      </c>
      <c r="D498" s="10">
        <f t="shared" si="122"/>
        <v>3.3272416628556314E-6</v>
      </c>
      <c r="H498" s="19">
        <f t="shared" si="120"/>
        <v>40.333333333333385</v>
      </c>
      <c r="I498" s="10">
        <f t="shared" si="123"/>
        <v>2.3304888789926145E-2</v>
      </c>
      <c r="J498" s="10">
        <f t="shared" si="124"/>
        <v>5.5483831333147325E-7</v>
      </c>
      <c r="K498" s="10">
        <f t="shared" si="125"/>
        <v>2.325296949613165E-5</v>
      </c>
      <c r="L498" s="10">
        <f t="shared" si="126"/>
        <v>4.7512517819721083E-3</v>
      </c>
      <c r="M498" s="10">
        <f t="shared" si="127"/>
        <v>0.96747070099385957</v>
      </c>
      <c r="N498" s="10">
        <f t="shared" si="128"/>
        <v>0.93424721545013789</v>
      </c>
      <c r="O498" s="10">
        <f t="shared" si="134"/>
        <v>6.3952747308038918E-2</v>
      </c>
      <c r="P498" s="10">
        <f t="shared" si="135"/>
        <v>5.5556746894945058E-3</v>
      </c>
      <c r="Q498" s="10">
        <f t="shared" si="129"/>
        <v>0.8137136494305085</v>
      </c>
      <c r="S498" s="5">
        <f t="shared" si="130"/>
        <v>7.7540996930059439E-8</v>
      </c>
      <c r="T498" s="5">
        <f t="shared" si="131"/>
        <v>3.2497006659255721E-6</v>
      </c>
      <c r="U498" s="5">
        <f t="shared" si="132"/>
        <v>7.7642899506317423E-4</v>
      </c>
    </row>
    <row r="499" spans="1:21">
      <c r="A499" s="19">
        <f t="shared" si="133"/>
        <v>40.416666666666721</v>
      </c>
      <c r="B499" s="10">
        <f t="shared" si="119"/>
        <v>2.2242378151962968E-5</v>
      </c>
      <c r="C499" s="10">
        <f t="shared" si="121"/>
        <v>0.1391871565019128</v>
      </c>
      <c r="D499" s="10">
        <f t="shared" si="122"/>
        <v>3.0958533688119955E-6</v>
      </c>
      <c r="H499" s="19">
        <f t="shared" si="120"/>
        <v>40.416666666666721</v>
      </c>
      <c r="I499" s="10">
        <f t="shared" si="123"/>
        <v>2.2781301872626641E-2</v>
      </c>
      <c r="J499" s="10">
        <f t="shared" si="124"/>
        <v>5.0671033104498385E-7</v>
      </c>
      <c r="K499" s="10">
        <f t="shared" si="125"/>
        <v>2.1735667820917985E-5</v>
      </c>
      <c r="L499" s="10">
        <f t="shared" si="126"/>
        <v>4.5966968921028802E-3</v>
      </c>
      <c r="M499" s="10">
        <f t="shared" si="127"/>
        <v>0.96728485732470693</v>
      </c>
      <c r="N499" s="10">
        <f t="shared" si="128"/>
        <v>0.93386323478307964</v>
      </c>
      <c r="O499" s="10">
        <f t="shared" si="134"/>
        <v>6.4316046422409984E-2</v>
      </c>
      <c r="P499" s="10">
        <f t="shared" si="135"/>
        <v>5.3749879697735422E-3</v>
      </c>
      <c r="Q499" s="10">
        <f t="shared" si="129"/>
        <v>0.81863187805837379</v>
      </c>
      <c r="S499" s="5">
        <f t="shared" si="130"/>
        <v>7.052757014829421E-8</v>
      </c>
      <c r="T499" s="5">
        <f t="shared" si="131"/>
        <v>3.0253257986637014E-6</v>
      </c>
      <c r="U499" s="5">
        <f t="shared" si="132"/>
        <v>7.4812929174476858E-4</v>
      </c>
    </row>
    <row r="500" spans="1:21">
      <c r="A500" s="19">
        <f t="shared" si="133"/>
        <v>40.500000000000057</v>
      </c>
      <c r="B500" s="10">
        <f t="shared" si="119"/>
        <v>2.0771339210260634E-5</v>
      </c>
      <c r="C500" s="10">
        <f t="shared" si="121"/>
        <v>0.13862239171886473</v>
      </c>
      <c r="D500" s="10">
        <f t="shared" si="122"/>
        <v>2.8793727205301639E-6</v>
      </c>
      <c r="H500" s="19">
        <f t="shared" si="120"/>
        <v>40.500000000000057</v>
      </c>
      <c r="I500" s="10">
        <f t="shared" si="123"/>
        <v>2.2266618355197467E-2</v>
      </c>
      <c r="J500" s="10">
        <f t="shared" si="124"/>
        <v>4.6250748292122229E-7</v>
      </c>
      <c r="K500" s="10">
        <f t="shared" si="125"/>
        <v>2.0308831727339412E-5</v>
      </c>
      <c r="L500" s="10">
        <f t="shared" si="126"/>
        <v>4.4463152974426583E-3</v>
      </c>
      <c r="M500" s="10">
        <f t="shared" si="127"/>
        <v>0.96709796979293039</v>
      </c>
      <c r="N500" s="10">
        <f t="shared" si="128"/>
        <v>0.93347709223586128</v>
      </c>
      <c r="O500" s="10">
        <f t="shared" si="134"/>
        <v>6.4681273401302447E-2</v>
      </c>
      <c r="P500" s="10">
        <f t="shared" si="135"/>
        <v>5.1991770610695914E-3</v>
      </c>
      <c r="Q500" s="10">
        <f t="shared" si="129"/>
        <v>0.82357983698003889</v>
      </c>
      <c r="S500" s="5">
        <f t="shared" si="130"/>
        <v>6.4113893470411814E-8</v>
      </c>
      <c r="T500" s="5">
        <f t="shared" si="131"/>
        <v>2.815258827059752E-6</v>
      </c>
      <c r="U500" s="5">
        <f t="shared" si="132"/>
        <v>7.2072235917532482E-4</v>
      </c>
    </row>
    <row r="501" spans="1:21">
      <c r="A501" s="19">
        <f t="shared" si="133"/>
        <v>40.583333333333393</v>
      </c>
      <c r="B501" s="10">
        <f t="shared" si="119"/>
        <v>1.9389569327838827E-5</v>
      </c>
      <c r="C501" s="10">
        <f t="shared" si="121"/>
        <v>0.13805991852124874</v>
      </c>
      <c r="D501" s="10">
        <f t="shared" si="122"/>
        <v>2.6769223615635321E-6</v>
      </c>
      <c r="H501" s="19">
        <f t="shared" si="120"/>
        <v>40.583333333333393</v>
      </c>
      <c r="I501" s="10">
        <f t="shared" si="123"/>
        <v>2.1760751988849532E-2</v>
      </c>
      <c r="J501" s="10">
        <f t="shared" si="124"/>
        <v>4.2193160931370461E-7</v>
      </c>
      <c r="K501" s="10">
        <f t="shared" si="125"/>
        <v>1.8967637718525122E-5</v>
      </c>
      <c r="L501" s="10">
        <f t="shared" si="126"/>
        <v>4.3000224972160441E-3</v>
      </c>
      <c r="M501" s="10">
        <f t="shared" si="127"/>
        <v>0.96691003274568177</v>
      </c>
      <c r="N501" s="10">
        <f t="shared" si="128"/>
        <v>0.93308877660459733</v>
      </c>
      <c r="O501" s="10">
        <f t="shared" si="134"/>
        <v>6.5048436864457271E-2</v>
      </c>
      <c r="P501" s="10">
        <f t="shared" si="135"/>
        <v>5.0281434959273293E-3</v>
      </c>
      <c r="Q501" s="10">
        <f t="shared" si="129"/>
        <v>0.82855770591272104</v>
      </c>
      <c r="S501" s="5">
        <f t="shared" si="130"/>
        <v>5.8251843603389416E-8</v>
      </c>
      <c r="T501" s="5">
        <f t="shared" si="131"/>
        <v>2.6186705179601429E-6</v>
      </c>
      <c r="U501" s="5">
        <f t="shared" si="132"/>
        <v>6.9418508136087393E-4</v>
      </c>
    </row>
    <row r="502" spans="1:21">
      <c r="A502" s="19">
        <f t="shared" si="133"/>
        <v>40.666666666666728</v>
      </c>
      <c r="B502" s="10">
        <f t="shared" si="119"/>
        <v>1.8092189523003156E-5</v>
      </c>
      <c r="C502" s="10">
        <f t="shared" si="121"/>
        <v>0.13749972761074464</v>
      </c>
      <c r="D502" s="10">
        <f t="shared" si="122"/>
        <v>2.4876711312949021E-6</v>
      </c>
      <c r="H502" s="19">
        <f t="shared" si="120"/>
        <v>40.666666666666728</v>
      </c>
      <c r="I502" s="10">
        <f t="shared" si="123"/>
        <v>2.1263616113018188E-2</v>
      </c>
      <c r="J502" s="10">
        <f t="shared" si="124"/>
        <v>3.8470537266110874E-7</v>
      </c>
      <c r="K502" s="10">
        <f t="shared" si="125"/>
        <v>1.7707484150342045E-5</v>
      </c>
      <c r="L502" s="10">
        <f t="shared" si="126"/>
        <v>4.1577348935903334E-3</v>
      </c>
      <c r="M502" s="10">
        <f t="shared" si="127"/>
        <v>0.96672104050193597</v>
      </c>
      <c r="N502" s="10">
        <f t="shared" si="128"/>
        <v>0.93269827663909333</v>
      </c>
      <c r="O502" s="10">
        <f t="shared" si="134"/>
        <v>6.5417545450508444E-2</v>
      </c>
      <c r="P502" s="10">
        <f t="shared" si="135"/>
        <v>4.8617898382887301E-3</v>
      </c>
      <c r="Q502" s="10">
        <f t="shared" si="129"/>
        <v>0.83356566566001333</v>
      </c>
      <c r="S502" s="5">
        <f t="shared" si="130"/>
        <v>5.2896883951292459E-8</v>
      </c>
      <c r="T502" s="5">
        <f t="shared" si="131"/>
        <v>2.4347742473436093E-6</v>
      </c>
      <c r="U502" s="5">
        <f t="shared" si="132"/>
        <v>6.6849477846538661E-4</v>
      </c>
    </row>
    <row r="503" spans="1:21">
      <c r="A503" s="19">
        <f t="shared" si="133"/>
        <v>40.750000000000064</v>
      </c>
      <c r="B503" s="10">
        <f t="shared" si="119"/>
        <v>1.6874553988732903E-5</v>
      </c>
      <c r="C503" s="10">
        <f t="shared" si="121"/>
        <v>0.13694180972676095</v>
      </c>
      <c r="D503" s="10">
        <f t="shared" si="122"/>
        <v>2.3108319615490164E-6</v>
      </c>
      <c r="H503" s="19">
        <f t="shared" si="120"/>
        <v>40.750000000000064</v>
      </c>
      <c r="I503" s="10">
        <f t="shared" si="123"/>
        <v>2.0775123678830151E-2</v>
      </c>
      <c r="J503" s="10">
        <f t="shared" si="124"/>
        <v>3.5057094614102271E-7</v>
      </c>
      <c r="K503" s="10">
        <f t="shared" si="125"/>
        <v>1.6523983042591879E-5</v>
      </c>
      <c r="L503" s="10">
        <f t="shared" si="126"/>
        <v>4.0193698024628532E-3</v>
      </c>
      <c r="M503" s="10">
        <f t="shared" si="127"/>
        <v>0.96653098735242093</v>
      </c>
      <c r="N503" s="10">
        <f t="shared" si="128"/>
        <v>0.93230558104280703</v>
      </c>
      <c r="O503" s="10">
        <f t="shared" si="134"/>
        <v>6.5788607816754913E-2</v>
      </c>
      <c r="P503" s="10">
        <f t="shared" si="135"/>
        <v>4.7000196976534209E-3</v>
      </c>
      <c r="Q503" s="10">
        <f t="shared" si="129"/>
        <v>0.83860389811845559</v>
      </c>
      <c r="S503" s="5">
        <f t="shared" si="130"/>
        <v>4.8007819802174493E-8</v>
      </c>
      <c r="T503" s="5">
        <f t="shared" si="131"/>
        <v>2.2628241417468416E-6</v>
      </c>
      <c r="U503" s="5">
        <f t="shared" si="132"/>
        <v>6.4362920314808326E-4</v>
      </c>
    </row>
    <row r="504" spans="1:21">
      <c r="A504" s="19">
        <f t="shared" si="133"/>
        <v>40.8333333333334</v>
      </c>
      <c r="B504" s="10">
        <f t="shared" si="119"/>
        <v>1.5732240861303847E-5</v>
      </c>
      <c r="C504" s="10">
        <f t="shared" si="121"/>
        <v>0.13638615564628209</v>
      </c>
      <c r="D504" s="10">
        <f t="shared" si="122"/>
        <v>2.1456598507745857E-6</v>
      </c>
      <c r="H504" s="19">
        <f t="shared" si="120"/>
        <v>40.8333333333334</v>
      </c>
      <c r="I504" s="10">
        <f t="shared" si="123"/>
        <v>2.029518727261256E-2</v>
      </c>
      <c r="J504" s="10">
        <f t="shared" si="124"/>
        <v>3.192887744980091E-7</v>
      </c>
      <c r="K504" s="10">
        <f t="shared" si="125"/>
        <v>1.5412952086805839E-5</v>
      </c>
      <c r="L504" s="10">
        <f t="shared" si="126"/>
        <v>3.8848454637089268E-3</v>
      </c>
      <c r="M504" s="10">
        <f t="shared" si="127"/>
        <v>0.96633986755946</v>
      </c>
      <c r="N504" s="10">
        <f t="shared" si="128"/>
        <v>0.93191067847281173</v>
      </c>
      <c r="O504" s="10">
        <f t="shared" si="134"/>
        <v>6.6161632638924675E-2</v>
      </c>
      <c r="P504" s="10">
        <f t="shared" si="135"/>
        <v>4.5427377425232753E-3</v>
      </c>
      <c r="Q504" s="10">
        <f t="shared" si="129"/>
        <v>0.84367258628413477</v>
      </c>
      <c r="S504" s="5">
        <f t="shared" si="130"/>
        <v>4.3546568494796136E-8</v>
      </c>
      <c r="T504" s="5">
        <f t="shared" si="131"/>
        <v>2.1021132822797897E-6</v>
      </c>
      <c r="U504" s="5">
        <f t="shared" si="132"/>
        <v>6.1956653681201953E-4</v>
      </c>
    </row>
    <row r="505" spans="1:21">
      <c r="A505" s="19">
        <f t="shared" si="133"/>
        <v>40.916666666666735</v>
      </c>
      <c r="B505" s="10">
        <f t="shared" si="119"/>
        <v>1.466104325495536E-5</v>
      </c>
      <c r="C505" s="10">
        <f t="shared" si="121"/>
        <v>0.13583275618371549</v>
      </c>
      <c r="D505" s="10">
        <f t="shared" si="122"/>
        <v>1.9914499138492579E-6</v>
      </c>
      <c r="H505" s="19">
        <f t="shared" si="120"/>
        <v>40.916666666666735</v>
      </c>
      <c r="I505" s="10">
        <f t="shared" si="123"/>
        <v>1.9823719139433472E-2</v>
      </c>
      <c r="J505" s="10">
        <f t="shared" si="124"/>
        <v>2.9063640377732059E-7</v>
      </c>
      <c r="K505" s="10">
        <f t="shared" si="125"/>
        <v>1.4370406851178039E-5</v>
      </c>
      <c r="L505" s="10">
        <f t="shared" si="126"/>
        <v>3.7540810508894531E-3</v>
      </c>
      <c r="M505" s="10">
        <f t="shared" si="127"/>
        <v>0.96614767535690504</v>
      </c>
      <c r="N505" s="10">
        <f t="shared" si="128"/>
        <v>0.93151355753976373</v>
      </c>
      <c r="O505" s="10">
        <f t="shared" si="134"/>
        <v>6.6536628610937149E-2</v>
      </c>
      <c r="P505" s="10">
        <f t="shared" si="135"/>
        <v>4.3898497131339056E-3</v>
      </c>
      <c r="Q505" s="10">
        <f t="shared" si="129"/>
        <v>0.84877191425933562</v>
      </c>
      <c r="S505" s="5">
        <f t="shared" si="130"/>
        <v>3.9477943772396675E-8</v>
      </c>
      <c r="T505" s="5">
        <f t="shared" si="131"/>
        <v>1.9519719700768613E-6</v>
      </c>
      <c r="U505" s="5">
        <f t="shared" si="132"/>
        <v>5.9628538576727121E-4</v>
      </c>
    </row>
    <row r="506" spans="1:21">
      <c r="A506" s="19">
        <f t="shared" si="133"/>
        <v>41.000000000000071</v>
      </c>
      <c r="B506" s="10">
        <f t="shared" si="119"/>
        <v>1.3656960559667825E-5</v>
      </c>
      <c r="C506" s="10">
        <f t="shared" si="121"/>
        <v>0.13528160219074009</v>
      </c>
      <c r="D506" s="10">
        <f t="shared" si="122"/>
        <v>1.8475355055676099E-6</v>
      </c>
      <c r="H506" s="19">
        <f t="shared" si="120"/>
        <v>41.000000000000071</v>
      </c>
      <c r="I506" s="10">
        <f t="shared" si="123"/>
        <v>1.9360631206663006E-2</v>
      </c>
      <c r="J506" s="10">
        <f t="shared" si="124"/>
        <v>2.6440737679967076E-7</v>
      </c>
      <c r="K506" s="10">
        <f t="shared" si="125"/>
        <v>1.3392553182868155E-5</v>
      </c>
      <c r="L506" s="10">
        <f t="shared" si="126"/>
        <v>3.6269966804182521E-3</v>
      </c>
      <c r="M506" s="10">
        <f t="shared" si="127"/>
        <v>0.96595440494998153</v>
      </c>
      <c r="N506" s="10">
        <f t="shared" si="128"/>
        <v>0.93111420680785661</v>
      </c>
      <c r="O506" s="10">
        <f t="shared" si="134"/>
        <v>6.6913604444658006E-2</v>
      </c>
      <c r="P506" s="10">
        <f t="shared" si="135"/>
        <v>4.2412624334769583E-3</v>
      </c>
      <c r="Q506" s="10">
        <f t="shared" si="129"/>
        <v>0.85390206725922324</v>
      </c>
      <c r="S506" s="5">
        <f t="shared" si="130"/>
        <v>3.576945356451018E-8</v>
      </c>
      <c r="T506" s="5">
        <f t="shared" si="131"/>
        <v>1.8117660520030998E-6</v>
      </c>
      <c r="U506" s="5">
        <f t="shared" si="132"/>
        <v>5.737647773121601E-4</v>
      </c>
    </row>
    <row r="507" spans="1:21">
      <c r="A507" s="19">
        <f t="shared" si="133"/>
        <v>41.083333333333407</v>
      </c>
      <c r="B507" s="10">
        <f t="shared" si="119"/>
        <v>1.2716189998921288E-5</v>
      </c>
      <c r="C507" s="10">
        <f t="shared" si="121"/>
        <v>0.13473268455615511</v>
      </c>
      <c r="D507" s="10">
        <f t="shared" si="122"/>
        <v>1.7132864158807962E-6</v>
      </c>
      <c r="H507" s="19">
        <f t="shared" si="120"/>
        <v>41.083333333333407</v>
      </c>
      <c r="I507" s="10">
        <f t="shared" si="123"/>
        <v>1.890583510754492E-2</v>
      </c>
      <c r="J507" s="10">
        <f t="shared" si="124"/>
        <v>2.4041019131581769E-7</v>
      </c>
      <c r="K507" s="10">
        <f t="shared" si="125"/>
        <v>1.247577980760547E-5</v>
      </c>
      <c r="L507" s="10">
        <f t="shared" si="126"/>
        <v>3.5035134201889711E-3</v>
      </c>
      <c r="M507" s="10">
        <f t="shared" si="127"/>
        <v>0.9657600505152254</v>
      </c>
      <c r="N507" s="10">
        <f t="shared" si="128"/>
        <v>0.93071261479480338</v>
      </c>
      <c r="O507" s="10">
        <f t="shared" si="134"/>
        <v>6.7292568869652847E-2</v>
      </c>
      <c r="P507" s="10">
        <f t="shared" si="135"/>
        <v>4.0968838226165694E-3</v>
      </c>
      <c r="Q507" s="10">
        <f t="shared" si="129"/>
        <v>0.85906323161857823</v>
      </c>
      <c r="S507" s="5">
        <f t="shared" si="130"/>
        <v>3.2391110470638965E-8</v>
      </c>
      <c r="T507" s="5">
        <f t="shared" si="131"/>
        <v>1.6808953054101574E-6</v>
      </c>
      <c r="U507" s="5">
        <f t="shared" si="132"/>
        <v>5.5198415573581318E-4</v>
      </c>
    </row>
    <row r="508" spans="1:21">
      <c r="A508" s="19">
        <f t="shared" si="133"/>
        <v>41.166666666666742</v>
      </c>
      <c r="B508" s="10">
        <f t="shared" si="119"/>
        <v>1.1835118444123559E-5</v>
      </c>
      <c r="C508" s="10">
        <f t="shared" si="121"/>
        <v>0.13418599420572905</v>
      </c>
      <c r="D508" s="10">
        <f t="shared" si="122"/>
        <v>1.5881071349672808E-6</v>
      </c>
      <c r="H508" s="19">
        <f t="shared" si="120"/>
        <v>41.166666666666742</v>
      </c>
      <c r="I508" s="10">
        <f t="shared" si="123"/>
        <v>1.8459242204767738E-2</v>
      </c>
      <c r="J508" s="10">
        <f t="shared" si="124"/>
        <v>2.184673178821907E-7</v>
      </c>
      <c r="K508" s="10">
        <f t="shared" si="125"/>
        <v>1.161665112624137E-5</v>
      </c>
      <c r="L508" s="10">
        <f t="shared" si="126"/>
        <v>3.3835532976624707E-3</v>
      </c>
      <c r="M508" s="10">
        <f t="shared" si="127"/>
        <v>0.96556460620032047</v>
      </c>
      <c r="N508" s="10">
        <f t="shared" si="128"/>
        <v>0.9303087699717969</v>
      </c>
      <c r="O508" s="10">
        <f t="shared" si="134"/>
        <v>6.7673530632931328E-2</v>
      </c>
      <c r="P508" s="10">
        <f t="shared" si="135"/>
        <v>3.9566229053045439E-3</v>
      </c>
      <c r="Q508" s="10">
        <f t="shared" si="129"/>
        <v>0.86425559479855663</v>
      </c>
      <c r="S508" s="5">
        <f t="shared" si="130"/>
        <v>2.9315254251480806E-8</v>
      </c>
      <c r="T508" s="5">
        <f t="shared" si="131"/>
        <v>1.5587918807158002E-6</v>
      </c>
      <c r="U508" s="5">
        <f t="shared" si="132"/>
        <v>5.3092337824545035E-4</v>
      </c>
    </row>
    <row r="509" spans="1:21">
      <c r="A509" s="19">
        <f t="shared" si="133"/>
        <v>41.250000000000078</v>
      </c>
      <c r="B509" s="10">
        <f t="shared" si="119"/>
        <v>1.1010314482223114E-5</v>
      </c>
      <c r="C509" s="10">
        <f t="shared" si="121"/>
        <v>0.1336415221020501</v>
      </c>
      <c r="D509" s="10">
        <f t="shared" si="122"/>
        <v>1.4714351862265427E-6</v>
      </c>
      <c r="H509" s="19">
        <f t="shared" si="120"/>
        <v>41.250000000000078</v>
      </c>
      <c r="I509" s="10">
        <f t="shared" si="123"/>
        <v>1.8020763614024628E-2</v>
      </c>
      <c r="J509" s="10">
        <f t="shared" si="124"/>
        <v>1.9841427460021473E-7</v>
      </c>
      <c r="K509" s="10">
        <f t="shared" si="125"/>
        <v>1.0811900207622901E-5</v>
      </c>
      <c r="L509" s="10">
        <f t="shared" si="126"/>
        <v>3.2670393074152593E-3</v>
      </c>
      <c r="M509" s="10">
        <f t="shared" si="127"/>
        <v>0.9653680661240327</v>
      </c>
      <c r="N509" s="10">
        <f t="shared" si="128"/>
        <v>0.92990266076349437</v>
      </c>
      <c r="O509" s="10">
        <f t="shared" si="134"/>
        <v>6.8056498498691553E-2</v>
      </c>
      <c r="P509" s="10">
        <f t="shared" si="135"/>
        <v>3.820389821898279E-3</v>
      </c>
      <c r="Q509" s="10">
        <f t="shared" si="129"/>
        <v>0.86947934539350336</v>
      </c>
      <c r="S509" s="5">
        <f t="shared" si="130"/>
        <v>2.6516385664346834E-8</v>
      </c>
      <c r="T509" s="5">
        <f t="shared" si="131"/>
        <v>1.444918800562196E-6</v>
      </c>
      <c r="U509" s="5">
        <f t="shared" si="132"/>
        <v>5.1056271082166606E-4</v>
      </c>
    </row>
    <row r="510" spans="1:21">
      <c r="A510" s="19">
        <f t="shared" si="133"/>
        <v>41.333333333333414</v>
      </c>
      <c r="B510" s="10">
        <f t="shared" si="119"/>
        <v>1.023852073286211E-5</v>
      </c>
      <c r="C510" s="10">
        <f t="shared" si="121"/>
        <v>0.1330992592443766</v>
      </c>
      <c r="D510" s="10">
        <f t="shared" si="122"/>
        <v>1.3627395253021386E-6</v>
      </c>
      <c r="H510" s="19">
        <f t="shared" si="120"/>
        <v>41.333333333333414</v>
      </c>
      <c r="I510" s="10">
        <f t="shared" si="123"/>
        <v>1.7590310227551732E-2</v>
      </c>
      <c r="J510" s="10">
        <f t="shared" si="124"/>
        <v>1.8009875596226483E-7</v>
      </c>
      <c r="K510" s="10">
        <f t="shared" si="125"/>
        <v>1.0058421976899845E-5</v>
      </c>
      <c r="L510" s="10">
        <f t="shared" si="126"/>
        <v>3.153895418150668E-3</v>
      </c>
      <c r="M510" s="10">
        <f t="shared" si="127"/>
        <v>0.96517042437606471</v>
      </c>
      <c r="N510" s="10">
        <f t="shared" si="128"/>
        <v>0.92949427554796038</v>
      </c>
      <c r="O510" s="10">
        <f t="shared" si="134"/>
        <v>6.8441481248054534E-2</v>
      </c>
      <c r="P510" s="10">
        <f t="shared" si="135"/>
        <v>3.6880958375866608E-3</v>
      </c>
      <c r="Q510" s="10">
        <f t="shared" si="129"/>
        <v>0.87473467313779818</v>
      </c>
      <c r="S510" s="5">
        <f t="shared" si="130"/>
        <v>2.3971011009411201E-8</v>
      </c>
      <c r="T510" s="5">
        <f t="shared" si="131"/>
        <v>1.3387685142927275E-6</v>
      </c>
      <c r="U510" s="5">
        <f t="shared" si="132"/>
        <v>4.908828240050532E-4</v>
      </c>
    </row>
    <row r="511" spans="1:21">
      <c r="A511" s="19">
        <f t="shared" si="133"/>
        <v>41.41666666666675</v>
      </c>
      <c r="B511" s="10">
        <f t="shared" si="119"/>
        <v>9.5166464112744391E-6</v>
      </c>
      <c r="C511" s="10">
        <f t="shared" si="121"/>
        <v>0.13255919666848817</v>
      </c>
      <c r="D511" s="10">
        <f t="shared" si="122"/>
        <v>1.2615190032565905E-6</v>
      </c>
      <c r="H511" s="19">
        <f t="shared" si="120"/>
        <v>41.41666666666675</v>
      </c>
      <c r="I511" s="10">
        <f t="shared" si="123"/>
        <v>1.7167792737634004E-2</v>
      </c>
      <c r="J511" s="10">
        <f t="shared" si="124"/>
        <v>1.6337981314610803E-7</v>
      </c>
      <c r="K511" s="10">
        <f t="shared" si="125"/>
        <v>9.3532665981283306E-6</v>
      </c>
      <c r="L511" s="10">
        <f t="shared" si="126"/>
        <v>3.0440465791742063E-3</v>
      </c>
      <c r="M511" s="10">
        <f t="shared" si="127"/>
        <v>0.96497167501697012</v>
      </c>
      <c r="N511" s="10">
        <f t="shared" si="128"/>
        <v>0.92908360265670575</v>
      </c>
      <c r="O511" s="10">
        <f t="shared" si="134"/>
        <v>6.8828487678799052E-2</v>
      </c>
      <c r="P511" s="10">
        <f t="shared" si="135"/>
        <v>3.5596533509287443E-3</v>
      </c>
      <c r="Q511" s="10">
        <f t="shared" si="129"/>
        <v>0.88002176891275419</v>
      </c>
      <c r="S511" s="5">
        <f t="shared" si="130"/>
        <v>2.1657496782495782E-8</v>
      </c>
      <c r="T511" s="5">
        <f t="shared" si="131"/>
        <v>1.2398615064740946E-6</v>
      </c>
      <c r="U511" s="5">
        <f t="shared" si="132"/>
        <v>4.7186478861740636E-4</v>
      </c>
    </row>
    <row r="512" spans="1:21">
      <c r="A512" s="19">
        <f t="shared" si="133"/>
        <v>41.500000000000085</v>
      </c>
      <c r="B512" s="10">
        <f t="shared" si="119"/>
        <v>8.8417601329968659E-6</v>
      </c>
      <c r="C512" s="10">
        <f t="shared" si="121"/>
        <v>0.13202132544653764</v>
      </c>
      <c r="D512" s="10">
        <f t="shared" si="122"/>
        <v>1.1673008920386011E-6</v>
      </c>
      <c r="H512" s="19">
        <f t="shared" si="120"/>
        <v>41.500000000000085</v>
      </c>
      <c r="I512" s="10">
        <f t="shared" si="123"/>
        <v>1.6753121660067705E-2</v>
      </c>
      <c r="J512" s="10">
        <f t="shared" si="124"/>
        <v>1.4812708319723292E-7</v>
      </c>
      <c r="K512" s="10">
        <f t="shared" si="125"/>
        <v>8.693633049799633E-6</v>
      </c>
      <c r="L512" s="10">
        <f t="shared" si="126"/>
        <v>2.9374187263354118E-3</v>
      </c>
      <c r="M512" s="10">
        <f t="shared" si="127"/>
        <v>0.96477181207801599</v>
      </c>
      <c r="N512" s="10">
        <f t="shared" si="128"/>
        <v>0.92867063037460684</v>
      </c>
      <c r="O512" s="10">
        <f t="shared" si="134"/>
        <v>6.9217526605085955E-2</v>
      </c>
      <c r="P512" s="10">
        <f t="shared" si="135"/>
        <v>3.4349759017109371E-3</v>
      </c>
      <c r="Q512" s="10">
        <f t="shared" si="129"/>
        <v>0.88534082475354337</v>
      </c>
      <c r="S512" s="5">
        <f t="shared" si="130"/>
        <v>1.9555933858228243E-8</v>
      </c>
      <c r="T512" s="5">
        <f t="shared" si="131"/>
        <v>1.1477449581803728E-6</v>
      </c>
      <c r="U512" s="5">
        <f t="shared" si="132"/>
        <v>4.5349007142079367E-4</v>
      </c>
    </row>
    <row r="513" spans="1:21">
      <c r="A513" s="19">
        <f t="shared" si="133"/>
        <v>41.583333333333421</v>
      </c>
      <c r="B513" s="10">
        <f t="shared" si="119"/>
        <v>8.2110829563312674E-6</v>
      </c>
      <c r="C513" s="10">
        <f t="shared" si="121"/>
        <v>0.13148563668690336</v>
      </c>
      <c r="D513" s="10">
        <f t="shared" si="122"/>
        <v>1.0796394704021973E-6</v>
      </c>
      <c r="H513" s="19">
        <f t="shared" si="120"/>
        <v>41.583333333333421</v>
      </c>
      <c r="I513" s="10">
        <f t="shared" si="123"/>
        <v>1.634620735756941E-2</v>
      </c>
      <c r="J513" s="10">
        <f t="shared" si="124"/>
        <v>1.3422006463439495E-7</v>
      </c>
      <c r="K513" s="10">
        <f t="shared" si="125"/>
        <v>8.0768628916968725E-6</v>
      </c>
      <c r="L513" s="10">
        <f t="shared" si="126"/>
        <v>2.8339387874385131E-3</v>
      </c>
      <c r="M513" s="10">
        <f t="shared" si="127"/>
        <v>0.96457082956110285</v>
      </c>
      <c r="N513" s="10">
        <f t="shared" si="128"/>
        <v>0.92825534693991729</v>
      </c>
      <c r="O513" s="10">
        <f t="shared" si="134"/>
        <v>6.9608606857181565E-2</v>
      </c>
      <c r="P513" s="10">
        <f t="shared" si="135"/>
        <v>3.3139781781282998E-3</v>
      </c>
      <c r="Q513" s="10">
        <f t="shared" si="129"/>
        <v>0.89069203385617679</v>
      </c>
      <c r="S513" s="5">
        <f t="shared" si="130"/>
        <v>1.7648010654610739E-8</v>
      </c>
      <c r="T513" s="5">
        <f t="shared" si="131"/>
        <v>1.0619914597475866E-6</v>
      </c>
      <c r="U513" s="5">
        <f t="shared" si="132"/>
        <v>4.3574053071770351E-4</v>
      </c>
    </row>
    <row r="514" spans="1:21">
      <c r="A514" s="19">
        <f t="shared" si="133"/>
        <v>41.666666666666757</v>
      </c>
      <c r="B514" s="10">
        <f t="shared" si="119"/>
        <v>7.6219816583817224E-6</v>
      </c>
      <c r="C514" s="10">
        <f t="shared" si="121"/>
        <v>0.13095212153404229</v>
      </c>
      <c r="D514" s="10">
        <f t="shared" si="122"/>
        <v>9.9811466845864449E-7</v>
      </c>
      <c r="H514" s="19">
        <f t="shared" si="120"/>
        <v>41.666666666666757</v>
      </c>
      <c r="I514" s="10">
        <f t="shared" si="123"/>
        <v>1.5946960063120161E-2</v>
      </c>
      <c r="J514" s="10">
        <f t="shared" si="124"/>
        <v>1.215474371080477E-7</v>
      </c>
      <c r="K514" s="10">
        <f t="shared" si="125"/>
        <v>7.5004342212736752E-6</v>
      </c>
      <c r="L514" s="10">
        <f t="shared" si="126"/>
        <v>2.7335346871249526E-3</v>
      </c>
      <c r="M514" s="10">
        <f t="shared" si="127"/>
        <v>0.9643687214386143</v>
      </c>
      <c r="N514" s="10">
        <f t="shared" si="128"/>
        <v>0.92783774054426438</v>
      </c>
      <c r="O514" s="10">
        <f t="shared" si="134"/>
        <v>7.0001737281173981E-2</v>
      </c>
      <c r="P514" s="10">
        <f t="shared" si="135"/>
        <v>3.196576023296318E-3</v>
      </c>
      <c r="Q514" s="10">
        <f t="shared" si="129"/>
        <v>0.89607559058451591</v>
      </c>
      <c r="S514" s="5">
        <f t="shared" si="130"/>
        <v>1.5916894756324423E-8</v>
      </c>
      <c r="T514" s="5">
        <f t="shared" si="131"/>
        <v>9.8219777370232008E-7</v>
      </c>
      <c r="U514" s="5">
        <f t="shared" si="132"/>
        <v>4.1859841189550501E-4</v>
      </c>
    </row>
    <row r="515" spans="1:21">
      <c r="A515" s="19">
        <f t="shared" si="133"/>
        <v>41.750000000000092</v>
      </c>
      <c r="B515" s="10">
        <f t="shared" si="119"/>
        <v>7.0719622403827221E-6</v>
      </c>
      <c r="C515" s="10">
        <f t="shared" si="121"/>
        <v>0.13042077116834358</v>
      </c>
      <c r="D515" s="10">
        <f t="shared" si="122"/>
        <v>9.2233076906412141E-7</v>
      </c>
      <c r="H515" s="19">
        <f t="shared" si="120"/>
        <v>41.750000000000092</v>
      </c>
      <c r="I515" s="10">
        <f t="shared" si="123"/>
        <v>1.5555289903234742E-2</v>
      </c>
      <c r="J515" s="10">
        <f t="shared" si="124"/>
        <v>1.100064228338827E-7</v>
      </c>
      <c r="K515" s="10">
        <f t="shared" si="125"/>
        <v>6.9619558175488398E-6</v>
      </c>
      <c r="L515" s="10">
        <f t="shared" si="126"/>
        <v>2.6361353512307931E-3</v>
      </c>
      <c r="M515" s="10">
        <f t="shared" si="127"/>
        <v>0.96416548165335048</v>
      </c>
      <c r="N515" s="10">
        <f t="shared" si="128"/>
        <v>0.92741779933261215</v>
      </c>
      <c r="O515" s="10">
        <f t="shared" si="134"/>
        <v>7.0396926738685223E-2</v>
      </c>
      <c r="P515" s="10">
        <f t="shared" si="135"/>
        <v>3.08268644109936E-3</v>
      </c>
      <c r="Q515" s="10">
        <f t="shared" si="129"/>
        <v>0.90149169047734146</v>
      </c>
      <c r="S515" s="5">
        <f t="shared" si="130"/>
        <v>1.4347122499465862E-8</v>
      </c>
      <c r="T515" s="5">
        <f t="shared" si="131"/>
        <v>9.0798364656465556E-7</v>
      </c>
      <c r="U515" s="5">
        <f t="shared" si="132"/>
        <v>4.020463429183751E-4</v>
      </c>
    </row>
    <row r="516" spans="1:21">
      <c r="A516" s="19">
        <f t="shared" si="133"/>
        <v>41.833333333333428</v>
      </c>
      <c r="B516" s="10">
        <f t="shared" si="119"/>
        <v>6.5586636579390734E-6</v>
      </c>
      <c r="C516" s="10">
        <f t="shared" si="121"/>
        <v>0.12989157680598271</v>
      </c>
      <c r="D516" s="10">
        <f t="shared" si="122"/>
        <v>8.5191516426980064E-7</v>
      </c>
      <c r="H516" s="19">
        <f t="shared" si="120"/>
        <v>41.833333333333428</v>
      </c>
      <c r="I516" s="10">
        <f t="shared" si="123"/>
        <v>1.5171106921145053E-2</v>
      </c>
      <c r="J516" s="10">
        <f t="shared" si="124"/>
        <v>9.9502187614422007E-8</v>
      </c>
      <c r="K516" s="10">
        <f t="shared" si="125"/>
        <v>6.4591614703246509E-6</v>
      </c>
      <c r="L516" s="10">
        <f t="shared" si="126"/>
        <v>2.541670710622862E-3</v>
      </c>
      <c r="M516" s="10">
        <f t="shared" si="127"/>
        <v>0.96396110411836999</v>
      </c>
      <c r="N516" s="10">
        <f t="shared" si="128"/>
        <v>0.92699551140326863</v>
      </c>
      <c r="O516" s="10">
        <f t="shared" si="134"/>
        <v>7.0794184106576397E-2</v>
      </c>
      <c r="P516" s="10">
        <f t="shared" si="135"/>
        <v>2.9722276013829066E-3</v>
      </c>
      <c r="Q516" s="10">
        <f t="shared" si="129"/>
        <v>0.90694053025544641</v>
      </c>
      <c r="S516" s="5">
        <f t="shared" si="130"/>
        <v>1.2924496044881998E-8</v>
      </c>
      <c r="T516" s="5">
        <f t="shared" si="131"/>
        <v>8.3899066822491855E-7</v>
      </c>
      <c r="U516" s="5">
        <f t="shared" si="132"/>
        <v>3.8606732976988954E-4</v>
      </c>
    </row>
    <row r="517" spans="1:21">
      <c r="A517" s="19">
        <f t="shared" si="133"/>
        <v>41.916666666666764</v>
      </c>
      <c r="B517" s="10">
        <f t="shared" si="119"/>
        <v>6.0798517717132641E-6</v>
      </c>
      <c r="C517" s="10">
        <f t="shared" si="121"/>
        <v>0.12936452969877643</v>
      </c>
      <c r="D517" s="10">
        <f t="shared" si="122"/>
        <v>7.8651716508595904E-7</v>
      </c>
      <c r="H517" s="19">
        <f t="shared" si="120"/>
        <v>41.916666666666764</v>
      </c>
      <c r="I517" s="10">
        <f t="shared" si="123"/>
        <v>1.4794321099887202E-2</v>
      </c>
      <c r="J517" s="10">
        <f t="shared" si="124"/>
        <v>8.994727935044413E-8</v>
      </c>
      <c r="K517" s="10">
        <f t="shared" si="125"/>
        <v>5.9899044923628196E-6</v>
      </c>
      <c r="L517" s="10">
        <f t="shared" si="126"/>
        <v>2.4500717045173362E-3</v>
      </c>
      <c r="M517" s="10">
        <f t="shared" si="127"/>
        <v>0.96375558271692219</v>
      </c>
      <c r="N517" s="10">
        <f t="shared" si="128"/>
        <v>0.92657086480788109</v>
      </c>
      <c r="O517" s="10">
        <f t="shared" si="134"/>
        <v>7.1193518276649936E-2</v>
      </c>
      <c r="P517" s="10">
        <f t="shared" si="135"/>
        <v>2.8651188444963503E-3</v>
      </c>
      <c r="Q517" s="10">
        <f t="shared" si="129"/>
        <v>0.9124223078287873</v>
      </c>
      <c r="S517" s="5">
        <f t="shared" si="130"/>
        <v>1.163598749085467E-8</v>
      </c>
      <c r="T517" s="5">
        <f t="shared" si="131"/>
        <v>7.7488117759510438E-7</v>
      </c>
      <c r="U517" s="5">
        <f t="shared" si="132"/>
        <v>3.7064475184937215E-4</v>
      </c>
    </row>
    <row r="518" spans="1:21">
      <c r="A518" s="19">
        <f t="shared" si="133"/>
        <v>42.000000000000099</v>
      </c>
      <c r="B518" s="10">
        <f t="shared" si="119"/>
        <v>5.6334135140200872E-6</v>
      </c>
      <c r="C518" s="10">
        <f t="shared" si="121"/>
        <v>0.12883962113403805</v>
      </c>
      <c r="D518" s="10">
        <f t="shared" si="122"/>
        <v>7.2580686283771793E-7</v>
      </c>
      <c r="H518" s="19">
        <f t="shared" si="120"/>
        <v>42.000000000000099</v>
      </c>
      <c r="I518" s="10">
        <f t="shared" si="123"/>
        <v>1.4424842385281514E-2</v>
      </c>
      <c r="J518" s="10">
        <f t="shared" si="124"/>
        <v>8.1261102030854633E-8</v>
      </c>
      <c r="K518" s="10">
        <f t="shared" si="125"/>
        <v>5.5521524119892322E-6</v>
      </c>
      <c r="L518" s="10">
        <f t="shared" si="126"/>
        <v>2.3612702832853483E-3</v>
      </c>
      <c r="M518" s="10">
        <f t="shared" si="127"/>
        <v>0.96354891130229747</v>
      </c>
      <c r="N518" s="10">
        <f t="shared" si="128"/>
        <v>0.92614384755143075</v>
      </c>
      <c r="O518" s="10">
        <f t="shared" si="134"/>
        <v>7.159493815534454E-2</v>
      </c>
      <c r="P518" s="10">
        <f t="shared" si="135"/>
        <v>2.7612806851940912E-3</v>
      </c>
      <c r="Q518" s="10">
        <f t="shared" si="129"/>
        <v>0.91793722230366659</v>
      </c>
      <c r="S518" s="5">
        <f t="shared" si="130"/>
        <v>1.0469649598589721E-8</v>
      </c>
      <c r="T518" s="5">
        <f t="shared" si="131"/>
        <v>7.1533721323912815E-7</v>
      </c>
      <c r="U518" s="5">
        <f t="shared" si="132"/>
        <v>3.5576235732514368E-4</v>
      </c>
    </row>
    <row r="519" spans="1:21">
      <c r="A519" s="19">
        <f t="shared" si="133"/>
        <v>42.083333333333435</v>
      </c>
      <c r="B519" s="10">
        <f t="shared" si="119"/>
        <v>5.2173512667227896E-6</v>
      </c>
      <c r="C519" s="10">
        <f t="shared" si="121"/>
        <v>0.12831684243443325</v>
      </c>
      <c r="D519" s="10">
        <f t="shared" si="122"/>
        <v>6.6947404041715892E-7</v>
      </c>
      <c r="H519" s="19">
        <f t="shared" si="120"/>
        <v>42.083333333333435</v>
      </c>
      <c r="I519" s="10">
        <f t="shared" si="123"/>
        <v>1.4062580708795425E-2</v>
      </c>
      <c r="J519" s="10">
        <f t="shared" si="124"/>
        <v>7.336942327442528E-8</v>
      </c>
      <c r="K519" s="10">
        <f t="shared" si="125"/>
        <v>5.1439818434483647E-6</v>
      </c>
      <c r="L519" s="10">
        <f t="shared" si="126"/>
        <v>2.2751994107500649E-3</v>
      </c>
      <c r="M519" s="10">
        <f t="shared" si="127"/>
        <v>0.96334108369774751</v>
      </c>
      <c r="N519" s="10">
        <f t="shared" si="128"/>
        <v>0.92571444759221766</v>
      </c>
      <c r="O519" s="10">
        <f t="shared" si="134"/>
        <v>7.1998452663425777E-2</v>
      </c>
      <c r="P519" s="10">
        <f t="shared" si="135"/>
        <v>2.6606348159024028E-3</v>
      </c>
      <c r="Q519" s="10">
        <f t="shared" si="129"/>
        <v>0.92348547398997327</v>
      </c>
      <c r="S519" s="5">
        <f t="shared" si="130"/>
        <v>9.4145327258096682E-9</v>
      </c>
      <c r="T519" s="5">
        <f t="shared" si="131"/>
        <v>6.6005950769134936E-7</v>
      </c>
      <c r="U519" s="5">
        <f t="shared" si="132"/>
        <v>3.4140425844771593E-4</v>
      </c>
    </row>
    <row r="520" spans="1:21">
      <c r="A520" s="19">
        <f t="shared" si="133"/>
        <v>42.166666666666771</v>
      </c>
      <c r="B520" s="10">
        <f t="shared" si="119"/>
        <v>4.8297774457688443E-6</v>
      </c>
      <c r="C520" s="10">
        <f t="shared" si="121"/>
        <v>0.12779618495783698</v>
      </c>
      <c r="D520" s="10">
        <f t="shared" si="122"/>
        <v>6.1722713176466476E-7</v>
      </c>
      <c r="H520" s="19">
        <f t="shared" si="120"/>
        <v>42.166666666666771</v>
      </c>
      <c r="I520" s="10">
        <f t="shared" si="123"/>
        <v>1.3707446010278434E-2</v>
      </c>
      <c r="J520" s="10">
        <f t="shared" si="124"/>
        <v>6.6203913579536916E-8</v>
      </c>
      <c r="K520" s="10">
        <f t="shared" si="125"/>
        <v>4.7635735321893073E-6</v>
      </c>
      <c r="L520" s="10">
        <f t="shared" si="126"/>
        <v>2.1917930659804442E-3</v>
      </c>
      <c r="M520" s="10">
        <f t="shared" si="127"/>
        <v>0.96313209369634412</v>
      </c>
      <c r="N520" s="10">
        <f t="shared" si="128"/>
        <v>0.92528265284189726</v>
      </c>
      <c r="O520" s="10">
        <f t="shared" si="134"/>
        <v>7.2404070735670789E-2</v>
      </c>
      <c r="P520" s="10">
        <f t="shared" si="135"/>
        <v>2.5631041093603264E-3</v>
      </c>
      <c r="Q520" s="10">
        <f t="shared" si="129"/>
        <v>0.92906726440845</v>
      </c>
      <c r="S520" s="5">
        <f t="shared" si="130"/>
        <v>8.460607584743156E-9</v>
      </c>
      <c r="T520" s="5">
        <f t="shared" si="131"/>
        <v>6.0876652417992156E-7</v>
      </c>
      <c r="U520" s="5">
        <f t="shared" si="132"/>
        <v>3.2755492682600432E-4</v>
      </c>
    </row>
    <row r="521" spans="1:21">
      <c r="A521" s="19">
        <f t="shared" si="133"/>
        <v>42.250000000000107</v>
      </c>
      <c r="B521" s="10">
        <f t="shared" si="119"/>
        <v>4.4689092876569588E-6</v>
      </c>
      <c r="C521" s="10">
        <f t="shared" si="121"/>
        <v>0.12727764009719039</v>
      </c>
      <c r="D521" s="10">
        <f t="shared" si="122"/>
        <v>5.6879222794139393E-7</v>
      </c>
      <c r="H521" s="19">
        <f t="shared" si="120"/>
        <v>42.250000000000107</v>
      </c>
      <c r="I521" s="10">
        <f t="shared" si="123"/>
        <v>1.3359348260558868E-2</v>
      </c>
      <c r="J521" s="10">
        <f t="shared" si="124"/>
        <v>5.9701715518655359E-8</v>
      </c>
      <c r="K521" s="10">
        <f t="shared" si="125"/>
        <v>4.4092075721383035E-6</v>
      </c>
      <c r="L521" s="10">
        <f t="shared" si="126"/>
        <v>2.1109862445868747E-3</v>
      </c>
      <c r="M521" s="10">
        <f t="shared" si="127"/>
        <v>0.96292193506089974</v>
      </c>
      <c r="N521" s="10">
        <f t="shared" si="128"/>
        <v>0.924848451165457</v>
      </c>
      <c r="O521" s="10">
        <f t="shared" si="134"/>
        <v>7.2811801320547848E-2</v>
      </c>
      <c r="P521" s="10">
        <f t="shared" si="135"/>
        <v>2.4686126206427562E-3</v>
      </c>
      <c r="Q521" s="10">
        <f t="shared" si="129"/>
        <v>0.93468279629801787</v>
      </c>
      <c r="S521" s="5">
        <f t="shared" si="130"/>
        <v>7.5986934609682625E-9</v>
      </c>
      <c r="T521" s="5">
        <f t="shared" si="131"/>
        <v>5.6119353448042562E-7</v>
      </c>
      <c r="U521" s="5">
        <f t="shared" si="132"/>
        <v>3.1419918866955072E-4</v>
      </c>
    </row>
    <row r="522" spans="1:21">
      <c r="A522" s="19">
        <f t="shared" si="133"/>
        <v>42.333333333333442</v>
      </c>
      <c r="B522" s="10">
        <f t="shared" si="119"/>
        <v>4.133063833088464E-6</v>
      </c>
      <c r="C522" s="10">
        <f t="shared" si="121"/>
        <v>0.12676119928035848</v>
      </c>
      <c r="D522" s="10">
        <f t="shared" si="122"/>
        <v>5.2391212818456904E-7</v>
      </c>
      <c r="H522" s="19">
        <f t="shared" si="120"/>
        <v>42.333333333333442</v>
      </c>
      <c r="I522" s="10">
        <f t="shared" si="123"/>
        <v>1.3018197483892265E-2</v>
      </c>
      <c r="J522" s="10">
        <f t="shared" si="124"/>
        <v>5.3805041192678364E-8</v>
      </c>
      <c r="K522" s="10">
        <f t="shared" si="125"/>
        <v>4.0792587918957858E-6</v>
      </c>
      <c r="L522" s="10">
        <f t="shared" si="126"/>
        <v>2.032714959524535E-3</v>
      </c>
      <c r="M522" s="10">
        <f t="shared" si="127"/>
        <v>0.96271060152382415</v>
      </c>
      <c r="N522" s="10">
        <f t="shared" si="128"/>
        <v>0.92441183038123187</v>
      </c>
      <c r="O522" s="10">
        <f t="shared" si="134"/>
        <v>7.3221653379889007E-2</v>
      </c>
      <c r="P522" s="10">
        <f t="shared" si="135"/>
        <v>2.3770855885745304E-3</v>
      </c>
      <c r="Q522" s="10">
        <f t="shared" si="129"/>
        <v>0.94033227362313487</v>
      </c>
      <c r="S522" s="5">
        <f t="shared" si="130"/>
        <v>6.8203915489129986E-9</v>
      </c>
      <c r="T522" s="5">
        <f t="shared" si="131"/>
        <v>5.1709173663565606E-7</v>
      </c>
      <c r="U522" s="5">
        <f t="shared" si="132"/>
        <v>3.0132221999976425E-4</v>
      </c>
    </row>
    <row r="523" spans="1:21">
      <c r="A523" s="19">
        <f t="shared" si="133"/>
        <v>42.416666666666778</v>
      </c>
      <c r="B523" s="10">
        <f t="shared" si="119"/>
        <v>3.8206531030277771E-6</v>
      </c>
      <c r="C523" s="10">
        <f t="shared" si="121"/>
        <v>0.12624685396998855</v>
      </c>
      <c r="D523" s="10">
        <f t="shared" si="122"/>
        <v>4.823454343679314E-7</v>
      </c>
      <c r="H523" s="19">
        <f t="shared" si="120"/>
        <v>42.416666666666778</v>
      </c>
      <c r="I523" s="10">
        <f t="shared" si="123"/>
        <v>1.2683903780251034E-2</v>
      </c>
      <c r="J523" s="10">
        <f t="shared" si="124"/>
        <v>4.8460796336521863E-8</v>
      </c>
      <c r="K523" s="10">
        <f t="shared" si="125"/>
        <v>3.772192306691255E-6</v>
      </c>
      <c r="L523" s="10">
        <f t="shared" si="126"/>
        <v>1.9569162414103409E-3</v>
      </c>
      <c r="M523" s="10">
        <f t="shared" si="127"/>
        <v>0.96249808678704485</v>
      </c>
      <c r="N523" s="10">
        <f t="shared" si="128"/>
        <v>0.92397277826092949</v>
      </c>
      <c r="O523" s="10">
        <f t="shared" si="134"/>
        <v>7.3633635888560381E-2</v>
      </c>
      <c r="P523" s="10">
        <f t="shared" si="135"/>
        <v>2.2884494365442761E-3</v>
      </c>
      <c r="Q523" s="10">
        <f t="shared" si="129"/>
        <v>0.9460159015812124</v>
      </c>
      <c r="S523" s="5">
        <f t="shared" si="130"/>
        <v>6.1180230783662323E-9</v>
      </c>
      <c r="T523" s="5">
        <f t="shared" si="131"/>
        <v>4.7622741128956515E-7</v>
      </c>
      <c r="U523" s="5">
        <f t="shared" si="132"/>
        <v>2.8890954183310779E-4</v>
      </c>
    </row>
    <row r="524" spans="1:21">
      <c r="A524" s="19">
        <f t="shared" si="133"/>
        <v>42.500000000000114</v>
      </c>
      <c r="B524" s="10">
        <f t="shared" si="119"/>
        <v>3.5301794623758166E-6</v>
      </c>
      <c r="C524" s="10">
        <f t="shared" si="121"/>
        <v>0.125734595663369</v>
      </c>
      <c r="D524" s="10">
        <f t="shared" si="122"/>
        <v>4.4386568732095268E-7</v>
      </c>
      <c r="H524" s="19">
        <f t="shared" si="120"/>
        <v>42.500000000000114</v>
      </c>
      <c r="I524" s="10">
        <f t="shared" si="123"/>
        <v>1.2356377347445529E-2</v>
      </c>
      <c r="J524" s="10">
        <f t="shared" si="124"/>
        <v>4.3620229541317978E-8</v>
      </c>
      <c r="K524" s="10">
        <f t="shared" si="125"/>
        <v>3.4865592328344987E-6</v>
      </c>
      <c r="L524" s="10">
        <f t="shared" si="126"/>
        <v>1.8835281383599478E-3</v>
      </c>
      <c r="M524" s="10">
        <f t="shared" si="127"/>
        <v>0.96228438452186205</v>
      </c>
      <c r="N524" s="10">
        <f t="shared" si="128"/>
        <v>0.92353128252963301</v>
      </c>
      <c r="O524" s="10">
        <f t="shared" si="134"/>
        <v>7.4047757834121736E-2</v>
      </c>
      <c r="P524" s="10">
        <f t="shared" si="135"/>
        <v>2.2026317727273891E-3</v>
      </c>
      <c r="Q524" s="10">
        <f t="shared" si="129"/>
        <v>0.95173388661006175</v>
      </c>
      <c r="S524" s="5">
        <f t="shared" si="130"/>
        <v>5.4845719241209597E-9</v>
      </c>
      <c r="T524" s="5">
        <f t="shared" si="131"/>
        <v>4.3838111539683171E-7</v>
      </c>
      <c r="U524" s="5">
        <f t="shared" si="132"/>
        <v>2.7694701533916797E-4</v>
      </c>
    </row>
    <row r="525" spans="1:21">
      <c r="A525" s="19">
        <f t="shared" si="133"/>
        <v>42.583333333333449</v>
      </c>
      <c r="B525" s="10">
        <f t="shared" si="119"/>
        <v>3.2602311664477081E-6</v>
      </c>
      <c r="C525" s="10">
        <f t="shared" si="121"/>
        <v>0.12522441589228872</v>
      </c>
      <c r="D525" s="10">
        <f t="shared" si="122"/>
        <v>4.0826054349224937E-7</v>
      </c>
      <c r="H525" s="19">
        <f t="shared" si="120"/>
        <v>42.583333333333449</v>
      </c>
      <c r="I525" s="10">
        <f t="shared" si="123"/>
        <v>1.2035528503066108E-2</v>
      </c>
      <c r="J525" s="10">
        <f t="shared" si="124"/>
        <v>3.9238605130365856E-8</v>
      </c>
      <c r="K525" s="10">
        <f t="shared" si="125"/>
        <v>3.2209925613173423E-6</v>
      </c>
      <c r="L525" s="10">
        <f t="shared" si="126"/>
        <v>1.812489715351311E-3</v>
      </c>
      <c r="M525" s="10">
        <f t="shared" si="127"/>
        <v>0.96206948836887163</v>
      </c>
      <c r="N525" s="10">
        <f t="shared" si="128"/>
        <v>0.92308733086581551</v>
      </c>
      <c r="O525" s="10">
        <f t="shared" si="134"/>
        <v>7.446402821648529E-2</v>
      </c>
      <c r="P525" s="10">
        <f t="shared" si="135"/>
        <v>2.1195613897274676E-3</v>
      </c>
      <c r="Q525" s="10">
        <f t="shared" si="129"/>
        <v>0.95748643639539177</v>
      </c>
      <c r="S525" s="5">
        <f t="shared" si="130"/>
        <v>4.913631407878228E-9</v>
      </c>
      <c r="T525" s="5">
        <f t="shared" si="131"/>
        <v>4.0334691208437114E-7</v>
      </c>
      <c r="U525" s="5">
        <f t="shared" si="132"/>
        <v>2.6542083697646984E-4</v>
      </c>
    </row>
    <row r="526" spans="1:21">
      <c r="A526" s="19">
        <f t="shared" si="133"/>
        <v>42.666666666666785</v>
      </c>
      <c r="B526" s="10">
        <f t="shared" ref="B526:B589" si="136">(B$9^A526)*B$10^((B$7^65)*((B$7^A526)-1))</f>
        <v>3.0094780854417592E-6</v>
      </c>
      <c r="C526" s="10">
        <f t="shared" si="121"/>
        <v>0.12471630622289724</v>
      </c>
      <c r="D526" s="10">
        <f t="shared" si="122"/>
        <v>3.7533099047505293E-7</v>
      </c>
      <c r="H526" s="19">
        <f t="shared" ref="H526:H589" si="137">A526</f>
        <v>42.666666666666785</v>
      </c>
      <c r="I526" s="10">
        <f t="shared" si="123"/>
        <v>1.1721267706236833E-2</v>
      </c>
      <c r="J526" s="10">
        <f t="shared" si="124"/>
        <v>3.5274898295515949E-8</v>
      </c>
      <c r="K526" s="10">
        <f t="shared" si="125"/>
        <v>2.9742031871462433E-6</v>
      </c>
      <c r="L526" s="10">
        <f t="shared" si="126"/>
        <v>1.7437410531218776E-3</v>
      </c>
      <c r="M526" s="10">
        <f t="shared" si="127"/>
        <v>0.96185339193782049</v>
      </c>
      <c r="N526" s="10">
        <f t="shared" si="128"/>
        <v>0.92264091090137901</v>
      </c>
      <c r="O526" s="10">
        <f t="shared" si="134"/>
        <v>7.488245604756491E-2</v>
      </c>
      <c r="P526" s="10">
        <f t="shared" si="135"/>
        <v>2.0391682636461189E-3</v>
      </c>
      <c r="Q526" s="10">
        <f t="shared" si="129"/>
        <v>0.96327375987835717</v>
      </c>
      <c r="S526" s="5">
        <f t="shared" si="130"/>
        <v>4.3993550178051231E-9</v>
      </c>
      <c r="T526" s="5">
        <f t="shared" si="131"/>
        <v>3.7093163545724782E-7</v>
      </c>
      <c r="U526" s="5">
        <f t="shared" si="132"/>
        <v>2.5431753360890299E-4</v>
      </c>
    </row>
    <row r="527" spans="1:21">
      <c r="A527" s="19">
        <f t="shared" si="133"/>
        <v>42.750000000000121</v>
      </c>
      <c r="B527" s="10">
        <f t="shared" si="136"/>
        <v>2.7766676020897228E-6</v>
      </c>
      <c r="C527" s="10">
        <f t="shared" ref="C527:C590" si="138">(1+B$8)^-A527</f>
        <v>0.12421025825556514</v>
      </c>
      <c r="D527" s="10">
        <f t="shared" ref="D527:D590" si="139">B527*C527</f>
        <v>3.4489059994542526E-7</v>
      </c>
      <c r="H527" s="19">
        <f t="shared" si="137"/>
        <v>42.750000000000121</v>
      </c>
      <c r="I527" s="10">
        <f t="shared" ref="I527:I590" si="140">(C$9^H527)*C$10^((C$7^63)*((C$7^H527)-1))</f>
        <v>1.1413505579170395E-2</v>
      </c>
      <c r="J527" s="10">
        <f t="shared" ref="J527:J590" si="141">B527*I527</f>
        <v>3.1691511167952733E-8</v>
      </c>
      <c r="K527" s="10">
        <f t="shared" ref="K527:K590" si="142">B527*(1-I527)</f>
        <v>2.7449760909217699E-6</v>
      </c>
      <c r="L527" s="10">
        <f t="shared" ref="L527:L590" si="143">(D$9^H527)*D$10^((D$7^63)*((D$7^H527)-1))</f>
        <v>1.6772232466065052E-3</v>
      </c>
      <c r="M527" s="10">
        <f t="shared" ref="M527:M590" si="144">L528/L527</f>
        <v>0.9616360888075296</v>
      </c>
      <c r="N527" s="10">
        <f t="shared" ref="N527:N590" si="145">B528/B527</f>
        <v>0.92219201022166331</v>
      </c>
      <c r="O527" s="10">
        <f t="shared" si="134"/>
        <v>7.5303050350922995E-2</v>
      </c>
      <c r="P527" s="10">
        <f t="shared" si="135"/>
        <v>1.9613835525909965E-3</v>
      </c>
      <c r="Q527" s="10">
        <f t="shared" ref="Q527:Q590" si="146">0.0001+0.0004*(1.075^(65+H527))</f>
        <v>0.96909606726314379</v>
      </c>
      <c r="S527" s="5">
        <f t="shared" ref="S527:S590" si="147">C527*J527</f>
        <v>3.9364107866805358E-9</v>
      </c>
      <c r="T527" s="5">
        <f t="shared" ref="T527:T590" si="148">C527*K527</f>
        <v>3.4095418915874472E-7</v>
      </c>
      <c r="U527" s="5">
        <f t="shared" ref="U527:U590" si="149">C527*P527</f>
        <v>2.4362395760554553E-4</v>
      </c>
    </row>
    <row r="528" spans="1:21">
      <c r="A528" s="19">
        <f t="shared" ref="A528:A591" si="150">A527+1/12</f>
        <v>42.833333333333456</v>
      </c>
      <c r="B528" s="10">
        <f t="shared" si="136"/>
        <v>2.5606206776884871E-6</v>
      </c>
      <c r="C528" s="10">
        <f t="shared" si="138"/>
        <v>0.12370626362474531</v>
      </c>
      <c r="D528" s="10">
        <f t="shared" si="139"/>
        <v>3.1676481659710596E-7</v>
      </c>
      <c r="H528" s="19">
        <f t="shared" si="137"/>
        <v>42.833333333333456</v>
      </c>
      <c r="I528" s="10">
        <f t="shared" si="140"/>
        <v>1.1112152928515312E-2</v>
      </c>
      <c r="J528" s="10">
        <f t="shared" si="141"/>
        <v>2.8454008562392982E-8</v>
      </c>
      <c r="K528" s="10">
        <f t="shared" si="142"/>
        <v>2.5321666691260942E-6</v>
      </c>
      <c r="L528" s="10">
        <f t="shared" si="143"/>
        <v>1.6128784029237463E-3</v>
      </c>
      <c r="M528" s="10">
        <f t="shared" si="144"/>
        <v>0.961417572525751</v>
      </c>
      <c r="N528" s="10">
        <f t="shared" si="145"/>
        <v>0.92174061636548599</v>
      </c>
      <c r="O528" s="10">
        <f t="shared" ref="O528:O591" si="151">(1/24)*(Q528*M528+(J529/J528)*Q529)</f>
        <v>7.5725820161407303E-2</v>
      </c>
      <c r="P528" s="10">
        <f t="shared" ref="P528:P591" si="152">P527*M527+J527*O527</f>
        <v>1.8861395946324845E-3</v>
      </c>
      <c r="Q528" s="10">
        <f t="shared" si="146"/>
        <v>0.97495357002460759</v>
      </c>
      <c r="S528" s="5">
        <f t="shared" si="147"/>
        <v>3.5199390844001465E-9</v>
      </c>
      <c r="T528" s="5">
        <f t="shared" si="148"/>
        <v>3.1324487751270584E-7</v>
      </c>
      <c r="U528" s="5">
        <f t="shared" si="149"/>
        <v>2.3332728192667639E-4</v>
      </c>
    </row>
    <row r="529" spans="1:21">
      <c r="A529" s="19">
        <f t="shared" si="150"/>
        <v>42.916666666666792</v>
      </c>
      <c r="B529" s="10">
        <f t="shared" si="136"/>
        <v>2.3602280817307946E-6</v>
      </c>
      <c r="C529" s="10">
        <f t="shared" si="138"/>
        <v>0.12320431399883457</v>
      </c>
      <c r="D529" s="10">
        <f t="shared" si="139"/>
        <v>2.9079028169042782E-7</v>
      </c>
      <c r="H529" s="19">
        <f t="shared" si="137"/>
        <v>42.916666666666792</v>
      </c>
      <c r="I529" s="10">
        <f t="shared" si="140"/>
        <v>1.081712076648513E-2</v>
      </c>
      <c r="J529" s="10">
        <f t="shared" si="141"/>
        <v>2.553087219653154E-8</v>
      </c>
      <c r="K529" s="10">
        <f t="shared" si="142"/>
        <v>2.3346972095342633E-6</v>
      </c>
      <c r="L529" s="10">
        <f t="shared" si="143"/>
        <v>1.5506496389181583E-3</v>
      </c>
      <c r="M529" s="10">
        <f t="shared" si="144"/>
        <v>0.9611978366090872</v>
      </c>
      <c r="N529" s="10">
        <f t="shared" si="145"/>
        <v>0.92128671682516117</v>
      </c>
      <c r="O529" s="10">
        <f t="shared" si="151"/>
        <v>7.6150774524785386E-2</v>
      </c>
      <c r="P529" s="10">
        <f t="shared" si="152"/>
        <v>1.8133699052194027E-3</v>
      </c>
      <c r="Q529" s="10">
        <f t="shared" si="146"/>
        <v>0.98084648091594817</v>
      </c>
      <c r="S529" s="5">
        <f t="shared" si="147"/>
        <v>3.1455135947655872E-9</v>
      </c>
      <c r="T529" s="5">
        <f t="shared" si="148"/>
        <v>2.8764476809566224E-7</v>
      </c>
      <c r="U529" s="5">
        <f t="shared" si="149"/>
        <v>2.2341499519868817E-4</v>
      </c>
    </row>
    <row r="530" spans="1:21">
      <c r="A530" s="19">
        <f t="shared" si="150"/>
        <v>43.000000000000128</v>
      </c>
      <c r="B530" s="10">
        <f t="shared" si="136"/>
        <v>2.1744467803763119E-6</v>
      </c>
      <c r="C530" s="10">
        <f t="shared" si="138"/>
        <v>0.12270440108003607</v>
      </c>
      <c r="D530" s="10">
        <f t="shared" si="139"/>
        <v>2.6681418986648807E-7</v>
      </c>
      <c r="H530" s="19">
        <f t="shared" si="137"/>
        <v>43.000000000000128</v>
      </c>
      <c r="I530" s="10">
        <f t="shared" si="140"/>
        <v>1.0528320331760783E-2</v>
      </c>
      <c r="J530" s="10">
        <f t="shared" si="141"/>
        <v>2.2893272248167699E-8</v>
      </c>
      <c r="K530" s="10">
        <f t="shared" si="142"/>
        <v>2.1515535081281444E-6</v>
      </c>
      <c r="L530" s="10">
        <f t="shared" si="143"/>
        <v>1.4904810782667959E-3</v>
      </c>
      <c r="M530" s="10">
        <f t="shared" si="144"/>
        <v>0.9609768745428463</v>
      </c>
      <c r="N530" s="10">
        <f t="shared" si="145"/>
        <v>0.92083029904655056</v>
      </c>
      <c r="O530" s="10">
        <f t="shared" si="151"/>
        <v>7.6577922497370721E-2</v>
      </c>
      <c r="P530" s="10">
        <f t="shared" si="152"/>
        <v>1.7430091740646074E-3</v>
      </c>
      <c r="Q530" s="10">
        <f t="shared" si="146"/>
        <v>0.98677501397644429</v>
      </c>
      <c r="S530" s="5">
        <f t="shared" si="147"/>
        <v>2.8091052599736283E-9</v>
      </c>
      <c r="T530" s="5">
        <f t="shared" si="148"/>
        <v>2.6400508460651445E-7</v>
      </c>
      <c r="U530" s="5">
        <f t="shared" si="149"/>
        <v>2.1387489678060598E-4</v>
      </c>
    </row>
    <row r="531" spans="1:21">
      <c r="A531" s="19">
        <f t="shared" si="150"/>
        <v>43.083333333333464</v>
      </c>
      <c r="B531" s="10">
        <f t="shared" si="136"/>
        <v>2.0022964790347283E-6</v>
      </c>
      <c r="C531" s="10">
        <f t="shared" si="138"/>
        <v>0.12220651660422197</v>
      </c>
      <c r="D531" s="10">
        <f t="shared" si="139"/>
        <v>2.4469367791173271E-7</v>
      </c>
      <c r="H531" s="19">
        <f t="shared" si="137"/>
        <v>43.083333333333464</v>
      </c>
      <c r="I531" s="10">
        <f t="shared" si="140"/>
        <v>1.0245663110156638E-2</v>
      </c>
      <c r="J531" s="10">
        <f t="shared" si="141"/>
        <v>2.051485517084264E-8</v>
      </c>
      <c r="K531" s="10">
        <f t="shared" si="142"/>
        <v>1.9817816238638857E-6</v>
      </c>
      <c r="L531" s="10">
        <f t="shared" si="143"/>
        <v>1.432317848158077E-3</v>
      </c>
      <c r="M531" s="10">
        <f t="shared" si="144"/>
        <v>0.96075467978097573</v>
      </c>
      <c r="N531" s="10">
        <f t="shared" si="145"/>
        <v>0.92037135042907814</v>
      </c>
      <c r="O531" s="10">
        <f t="shared" si="151"/>
        <v>7.7007273145644622E-2</v>
      </c>
      <c r="P531" s="10">
        <f t="shared" si="152"/>
        <v>1.6749932615113421E-3</v>
      </c>
      <c r="Q531" s="10">
        <f t="shared" si="146"/>
        <v>0.99273938453922295</v>
      </c>
      <c r="S531" s="5">
        <f t="shared" si="147"/>
        <v>2.50704898906879E-9</v>
      </c>
      <c r="T531" s="5">
        <f t="shared" si="148"/>
        <v>2.4218662892266391E-7</v>
      </c>
      <c r="U531" s="5">
        <f t="shared" si="149"/>
        <v>2.0469509182484573E-4</v>
      </c>
    </row>
    <row r="532" spans="1:21">
      <c r="A532" s="19">
        <f t="shared" si="150"/>
        <v>43.166666666666799</v>
      </c>
      <c r="B532" s="10">
        <f t="shared" si="136"/>
        <v>1.8428563143685812E-6</v>
      </c>
      <c r="C532" s="10">
        <f t="shared" si="138"/>
        <v>0.12171065234079696</v>
      </c>
      <c r="D532" s="10">
        <f t="shared" si="139"/>
        <v>2.2429524419215683E-7</v>
      </c>
      <c r="H532" s="19">
        <f t="shared" si="137"/>
        <v>43.166666666666799</v>
      </c>
      <c r="I532" s="10">
        <f t="shared" si="140"/>
        <v>9.9690608550411664E-3</v>
      </c>
      <c r="J532" s="10">
        <f t="shared" si="141"/>
        <v>1.8371546745037261E-8</v>
      </c>
      <c r="K532" s="10">
        <f t="shared" si="142"/>
        <v>1.8244847676235439E-6</v>
      </c>
      <c r="L532" s="10">
        <f t="shared" si="143"/>
        <v>1.3761060755516895E-3</v>
      </c>
      <c r="M532" s="10">
        <f t="shared" si="144"/>
        <v>0.96053124574589599</v>
      </c>
      <c r="N532" s="10">
        <f t="shared" si="145"/>
        <v>0.91990985832581429</v>
      </c>
      <c r="O532" s="10">
        <f t="shared" si="151"/>
        <v>7.7438835545869528E-2</v>
      </c>
      <c r="P532" s="10">
        <f t="shared" si="152"/>
        <v>1.6092591943916773E-3</v>
      </c>
      <c r="Q532" s="10">
        <f t="shared" si="146"/>
        <v>0.99873980923908645</v>
      </c>
      <c r="S532" s="5">
        <f t="shared" si="147"/>
        <v>2.23601293884793E-9</v>
      </c>
      <c r="T532" s="5">
        <f t="shared" si="148"/>
        <v>2.2205923125330889E-7</v>
      </c>
      <c r="U532" s="5">
        <f t="shared" si="149"/>
        <v>1.9586398633483643E-4</v>
      </c>
    </row>
    <row r="533" spans="1:21">
      <c r="A533" s="19">
        <f t="shared" si="150"/>
        <v>43.250000000000135</v>
      </c>
      <c r="B533" s="10">
        <f t="shared" si="136"/>
        <v>1.6952616910656338E-6</v>
      </c>
      <c r="C533" s="10">
        <f t="shared" si="138"/>
        <v>0.1212168000925621</v>
      </c>
      <c r="D533" s="10">
        <f t="shared" si="139"/>
        <v>2.0549419751048169E-7</v>
      </c>
      <c r="H533" s="19">
        <f t="shared" si="137"/>
        <v>43.250000000000135</v>
      </c>
      <c r="I533" s="10">
        <f t="shared" si="140"/>
        <v>9.6984256075031521E-3</v>
      </c>
      <c r="J533" s="10">
        <f t="shared" si="141"/>
        <v>1.6441369396050041E-8</v>
      </c>
      <c r="K533" s="10">
        <f t="shared" si="142"/>
        <v>1.6788203216695838E-6</v>
      </c>
      <c r="L533" s="10">
        <f t="shared" si="143"/>
        <v>1.3217928830281604E-3</v>
      </c>
      <c r="M533" s="10">
        <f t="shared" si="144"/>
        <v>0.96030656582845064</v>
      </c>
      <c r="N533" s="10">
        <f t="shared" si="145"/>
        <v>0.91944581004346593</v>
      </c>
      <c r="O533" s="10">
        <f t="shared" si="151"/>
        <v>7.7872618783698389E-2</v>
      </c>
      <c r="P533" s="10">
        <f t="shared" si="152"/>
        <v>1.5457451613882618E-3</v>
      </c>
      <c r="Q533" s="10">
        <f t="shared" si="146"/>
        <v>1.0047765060203711</v>
      </c>
      <c r="S533" s="5">
        <f t="shared" si="147"/>
        <v>1.9929701873289662E-9</v>
      </c>
      <c r="T533" s="5">
        <f t="shared" si="148"/>
        <v>2.0350122732315275E-7</v>
      </c>
      <c r="U533" s="5">
        <f t="shared" si="149"/>
        <v>1.8737028222204607E-4</v>
      </c>
    </row>
    <row r="534" spans="1:21">
      <c r="A534" s="19">
        <f t="shared" si="150"/>
        <v>43.333333333333471</v>
      </c>
      <c r="B534" s="10">
        <f t="shared" si="136"/>
        <v>1.5587012587774976E-6</v>
      </c>
      <c r="C534" s="10">
        <f t="shared" si="138"/>
        <v>0.12072495169557933</v>
      </c>
      <c r="D534" s="10">
        <f t="shared" si="139"/>
        <v>1.8817413417375209E-7</v>
      </c>
      <c r="H534" s="19">
        <f t="shared" si="137"/>
        <v>43.333333333333471</v>
      </c>
      <c r="I534" s="10">
        <f t="shared" si="140"/>
        <v>9.4336697162549568E-3</v>
      </c>
      <c r="J534" s="10">
        <f t="shared" si="141"/>
        <v>1.4704272861617759E-8</v>
      </c>
      <c r="K534" s="10">
        <f t="shared" si="142"/>
        <v>1.5439969859158799E-6</v>
      </c>
      <c r="L534" s="10">
        <f t="shared" si="143"/>
        <v>1.2693263842372597E-3</v>
      </c>
      <c r="M534" s="10">
        <f t="shared" si="144"/>
        <v>0.9600806333877413</v>
      </c>
      <c r="N534" s="10">
        <f t="shared" si="145"/>
        <v>0.91897919284247265</v>
      </c>
      <c r="O534" s="10">
        <f t="shared" si="151"/>
        <v>7.8308631953776076E-2</v>
      </c>
      <c r="P534" s="10">
        <f t="shared" si="152"/>
        <v>1.4843905079111972E-3</v>
      </c>
      <c r="Q534" s="10">
        <f t="shared" si="146"/>
        <v>1.0108496941448726</v>
      </c>
      <c r="S534" s="5">
        <f t="shared" si="147"/>
        <v>1.775172630937422E-9</v>
      </c>
      <c r="T534" s="5">
        <f t="shared" si="148"/>
        <v>1.8639896154281468E-7</v>
      </c>
      <c r="U534" s="5">
        <f t="shared" si="149"/>
        <v>1.7920297236495575E-4</v>
      </c>
    </row>
    <row r="535" spans="1:21">
      <c r="A535" s="19">
        <f t="shared" si="150"/>
        <v>43.416666666666806</v>
      </c>
      <c r="B535" s="10">
        <f t="shared" si="136"/>
        <v>1.4324140246738908E-6</v>
      </c>
      <c r="C535" s="10">
        <f t="shared" si="138"/>
        <v>0.12023509901903653</v>
      </c>
      <c r="D535" s="10">
        <f t="shared" si="139"/>
        <v>1.7222644209292191E-7</v>
      </c>
      <c r="H535" s="19">
        <f t="shared" si="137"/>
        <v>43.416666666666806</v>
      </c>
      <c r="I535" s="10">
        <f t="shared" si="140"/>
        <v>9.1747058572639716E-3</v>
      </c>
      <c r="J535" s="10">
        <f t="shared" si="141"/>
        <v>1.3141977342202605E-8</v>
      </c>
      <c r="K535" s="10">
        <f t="shared" si="142"/>
        <v>1.4192720473316882E-6</v>
      </c>
      <c r="L535" s="10">
        <f t="shared" si="143"/>
        <v>1.2186556789542799E-3</v>
      </c>
      <c r="M535" s="10">
        <f t="shared" si="144"/>
        <v>0.95985344175107012</v>
      </c>
      <c r="N535" s="10">
        <f t="shared" si="145"/>
        <v>0.91850999393702637</v>
      </c>
      <c r="O535" s="10">
        <f t="shared" si="151"/>
        <v>7.8746884159336422E-2</v>
      </c>
      <c r="P535" s="10">
        <f t="shared" si="152"/>
        <v>1.425135730501625E-3</v>
      </c>
      <c r="Q535" s="10">
        <f t="shared" si="146"/>
        <v>1.0169595941998053</v>
      </c>
      <c r="S535" s="5">
        <f t="shared" si="147"/>
        <v>1.5801269470456647E-9</v>
      </c>
      <c r="T535" s="5">
        <f t="shared" si="148"/>
        <v>1.7064631514587624E-7</v>
      </c>
      <c r="U535" s="5">
        <f t="shared" si="149"/>
        <v>1.7135133567242985E-4</v>
      </c>
    </row>
    <row r="536" spans="1:21">
      <c r="A536" s="19">
        <f t="shared" si="150"/>
        <v>43.500000000000142</v>
      </c>
      <c r="B536" s="10">
        <f t="shared" si="136"/>
        <v>1.3156865971185269E-6</v>
      </c>
      <c r="C536" s="10">
        <f t="shared" si="138"/>
        <v>0.11974723396511315</v>
      </c>
      <c r="D536" s="10">
        <f t="shared" si="139"/>
        <v>1.5754983076991581E-7</v>
      </c>
      <c r="H536" s="19">
        <f t="shared" si="137"/>
        <v>43.500000000000142</v>
      </c>
      <c r="I536" s="10">
        <f t="shared" si="140"/>
        <v>8.921447053104041E-3</v>
      </c>
      <c r="J536" s="10">
        <f t="shared" si="141"/>
        <v>1.1737828314671566E-8</v>
      </c>
      <c r="K536" s="10">
        <f t="shared" si="142"/>
        <v>1.3039487688038554E-6</v>
      </c>
      <c r="L536" s="10">
        <f t="shared" si="143"/>
        <v>1.1697308477537527E-3</v>
      </c>
      <c r="M536" s="10">
        <f t="shared" si="144"/>
        <v>0.95962498421376363</v>
      </c>
      <c r="N536" s="10">
        <f t="shared" si="145"/>
        <v>0.91803820049516571</v>
      </c>
      <c r="O536" s="10">
        <f t="shared" si="151"/>
        <v>7.9187384511789707E-2</v>
      </c>
      <c r="P536" s="10">
        <f t="shared" si="152"/>
        <v>1.3679224707741778E-3</v>
      </c>
      <c r="Q536" s="10">
        <f t="shared" si="146"/>
        <v>1.0231064281058182</v>
      </c>
      <c r="S536" s="5">
        <f t="shared" si="147"/>
        <v>1.4055724734393057E-9</v>
      </c>
      <c r="T536" s="5">
        <f t="shared" si="148"/>
        <v>1.5614425829647652E-7</v>
      </c>
      <c r="U536" s="5">
        <f t="shared" si="149"/>
        <v>1.6380493215393112E-4</v>
      </c>
    </row>
    <row r="537" spans="1:21">
      <c r="A537" s="19">
        <f t="shared" si="150"/>
        <v>43.583333333333478</v>
      </c>
      <c r="B537" s="10">
        <f t="shared" si="136"/>
        <v>1.2078505560343005E-6</v>
      </c>
      <c r="C537" s="10">
        <f t="shared" si="138"/>
        <v>0.11926134846884624</v>
      </c>
      <c r="D537" s="10">
        <f t="shared" si="139"/>
        <v>1.440498860614964E-7</v>
      </c>
      <c r="H537" s="19">
        <f t="shared" si="137"/>
        <v>43.583333333333478</v>
      </c>
      <c r="I537" s="10">
        <f t="shared" si="140"/>
        <v>8.6738066920183862E-3</v>
      </c>
      <c r="J537" s="10">
        <f t="shared" si="141"/>
        <v>1.0476662235888445E-8</v>
      </c>
      <c r="K537" s="10">
        <f t="shared" si="142"/>
        <v>1.1973738937984122E-6</v>
      </c>
      <c r="L537" s="10">
        <f t="shared" si="143"/>
        <v>1.1225029463100473E-3</v>
      </c>
      <c r="M537" s="10">
        <f t="shared" si="144"/>
        <v>0.95939525403915016</v>
      </c>
      <c r="N537" s="10">
        <f t="shared" si="145"/>
        <v>0.91756379963879242</v>
      </c>
      <c r="O537" s="10">
        <f t="shared" si="151"/>
        <v>7.9630142130307724E-2</v>
      </c>
      <c r="P537" s="10">
        <f t="shared" si="152"/>
        <v>1.312693508910247E-3</v>
      </c>
      <c r="Q537" s="10">
        <f t="shared" si="146"/>
        <v>1.0292904191250478</v>
      </c>
      <c r="S537" s="5">
        <f t="shared" si="147"/>
        <v>1.2494608657046937E-9</v>
      </c>
      <c r="T537" s="5">
        <f t="shared" si="148"/>
        <v>1.4280042519579173E-7</v>
      </c>
      <c r="U537" s="5">
        <f t="shared" si="149"/>
        <v>1.5655359799893748E-4</v>
      </c>
    </row>
    <row r="538" spans="1:21">
      <c r="A538" s="19">
        <f t="shared" si="150"/>
        <v>43.666666666666814</v>
      </c>
      <c r="B538" s="10">
        <f t="shared" si="136"/>
        <v>1.1082799455906609E-6</v>
      </c>
      <c r="C538" s="10">
        <f t="shared" si="138"/>
        <v>0.11877743449799719</v>
      </c>
      <c r="D538" s="10">
        <f t="shared" si="139"/>
        <v>1.3163864864283861E-7</v>
      </c>
      <c r="H538" s="19">
        <f t="shared" si="137"/>
        <v>43.666666666666814</v>
      </c>
      <c r="I538" s="10">
        <f t="shared" si="140"/>
        <v>8.4316985466862272E-3</v>
      </c>
      <c r="J538" s="10">
        <f t="shared" si="141"/>
        <v>9.3446824065582667E-9</v>
      </c>
      <c r="K538" s="10">
        <f t="shared" si="142"/>
        <v>1.0989352631841027E-6</v>
      </c>
      <c r="L538" s="10">
        <f t="shared" si="143"/>
        <v>1.0769239993348224E-3</v>
      </c>
      <c r="M538" s="10">
        <f t="shared" si="144"/>
        <v>0.95916424445835791</v>
      </c>
      <c r="N538" s="10">
        <f t="shared" si="145"/>
        <v>0.91708677844375996</v>
      </c>
      <c r="O538" s="10">
        <f t="shared" si="151"/>
        <v>8.0075166141397314E-2</v>
      </c>
      <c r="P538" s="10">
        <f t="shared" si="152"/>
        <v>1.2593927567145927E-3</v>
      </c>
      <c r="Q538" s="10">
        <f t="shared" si="146"/>
        <v>1.0355117918692358</v>
      </c>
      <c r="S538" s="5">
        <f t="shared" si="147"/>
        <v>1.1099374024495612E-9</v>
      </c>
      <c r="T538" s="5">
        <f t="shared" si="148"/>
        <v>1.3052871124038906E-7</v>
      </c>
      <c r="U538" s="5">
        <f t="shared" si="149"/>
        <v>1.4958744066791965E-4</v>
      </c>
    </row>
    <row r="539" spans="1:21">
      <c r="A539" s="19">
        <f t="shared" si="150"/>
        <v>43.750000000000149</v>
      </c>
      <c r="B539" s="10">
        <f t="shared" si="136"/>
        <v>1.0163888849155647E-6</v>
      </c>
      <c r="C539" s="10">
        <f t="shared" si="138"/>
        <v>0.11829548405291904</v>
      </c>
      <c r="D539" s="10">
        <f t="shared" si="139"/>
        <v>1.2023421512709335E-7</v>
      </c>
      <c r="H539" s="19">
        <f t="shared" si="137"/>
        <v>43.750000000000149</v>
      </c>
      <c r="I539" s="10">
        <f t="shared" si="140"/>
        <v>8.1950367926851495E-3</v>
      </c>
      <c r="J539" s="10">
        <f t="shared" si="141"/>
        <v>8.3293443075592846E-9</v>
      </c>
      <c r="K539" s="10">
        <f t="shared" si="142"/>
        <v>1.0080595406080055E-6</v>
      </c>
      <c r="L539" s="10">
        <f t="shared" si="143"/>
        <v>1.032946994161058E-3</v>
      </c>
      <c r="M539" s="10">
        <f t="shared" si="144"/>
        <v>0.95893194867028564</v>
      </c>
      <c r="N539" s="10">
        <f t="shared" si="145"/>
        <v>0.91660712393995503</v>
      </c>
      <c r="O539" s="10">
        <f t="shared" si="151"/>
        <v>8.0522465678473848E-2</v>
      </c>
      <c r="P539" s="10">
        <f t="shared" si="152"/>
        <v>1.2079652502474769E-3</v>
      </c>
      <c r="Q539" s="10">
        <f t="shared" si="146"/>
        <v>1.0417707723078813</v>
      </c>
      <c r="S539" s="5">
        <f t="shared" si="147"/>
        <v>9.8532381670615121E-10</v>
      </c>
      <c r="T539" s="5">
        <f t="shared" si="148"/>
        <v>1.1924889131038719E-7</v>
      </c>
      <c r="U539" s="5">
        <f t="shared" si="149"/>
        <v>1.4289683399713076E-4</v>
      </c>
    </row>
    <row r="540" spans="1:21">
      <c r="A540" s="19">
        <f t="shared" si="150"/>
        <v>43.833333333333485</v>
      </c>
      <c r="B540" s="10">
        <f t="shared" si="136"/>
        <v>9.3162929260699372E-7</v>
      </c>
      <c r="C540" s="10">
        <f t="shared" si="138"/>
        <v>0.11781548916642394</v>
      </c>
      <c r="D540" s="10">
        <f t="shared" si="139"/>
        <v>1.0976036083026247E-7</v>
      </c>
      <c r="H540" s="19">
        <f t="shared" si="137"/>
        <v>43.833333333333485</v>
      </c>
      <c r="I540" s="10">
        <f t="shared" si="140"/>
        <v>7.9637360266415162E-3</v>
      </c>
      <c r="J540" s="10">
        <f t="shared" si="141"/>
        <v>7.4192497610088669E-9</v>
      </c>
      <c r="K540" s="10">
        <f t="shared" si="142"/>
        <v>9.2421004284598494E-7</v>
      </c>
      <c r="L540" s="10">
        <f t="shared" si="143"/>
        <v>9.9052587398397755E-4</v>
      </c>
      <c r="M540" s="10">
        <f t="shared" si="144"/>
        <v>0.95869835984142604</v>
      </c>
      <c r="N540" s="10">
        <f t="shared" si="145"/>
        <v>0.9161248231113357</v>
      </c>
      <c r="O540" s="10">
        <f t="shared" si="151"/>
        <v>8.0972049881420011E-2</v>
      </c>
      <c r="P540" s="10">
        <f t="shared" si="152"/>
        <v>1.1583571420451433E-3</v>
      </c>
      <c r="Q540" s="10">
        <f t="shared" si="146"/>
        <v>1.0480675877764551</v>
      </c>
      <c r="S540" s="5">
        <f t="shared" si="147"/>
        <v>8.7410253984113361E-10</v>
      </c>
      <c r="T540" s="5">
        <f t="shared" si="148"/>
        <v>1.0888625829042135E-7</v>
      </c>
      <c r="U540" s="5">
        <f t="shared" si="149"/>
        <v>1.3647241331946937E-4</v>
      </c>
    </row>
    <row r="541" spans="1:21">
      <c r="A541" s="19">
        <f t="shared" si="150"/>
        <v>43.916666666666821</v>
      </c>
      <c r="B541" s="10">
        <f t="shared" si="136"/>
        <v>8.5348872089492092E-7</v>
      </c>
      <c r="C541" s="10">
        <f t="shared" si="138"/>
        <v>0.11733744190365179</v>
      </c>
      <c r="D541" s="10">
        <f t="shared" si="139"/>
        <v>1.0014618320342987E-7</v>
      </c>
      <c r="H541" s="19">
        <f t="shared" si="137"/>
        <v>43.916666666666821</v>
      </c>
      <c r="I541" s="10">
        <f t="shared" si="140"/>
        <v>7.7377112840616652E-3</v>
      </c>
      <c r="J541" s="10">
        <f t="shared" si="141"/>
        <v>6.6040493064879869E-9</v>
      </c>
      <c r="K541" s="10">
        <f t="shared" si="142"/>
        <v>8.4688467158843292E-7</v>
      </c>
      <c r="L541" s="10">
        <f t="shared" si="143"/>
        <v>9.4961553076893435E-4</v>
      </c>
      <c r="M541" s="10">
        <f t="shared" si="144"/>
        <v>0.95846347110582031</v>
      </c>
      <c r="N541" s="10">
        <f t="shared" si="145"/>
        <v>0.91563986289602661</v>
      </c>
      <c r="O541" s="10">
        <f t="shared" si="151"/>
        <v>8.1423927896145387E-2</v>
      </c>
      <c r="P541" s="10">
        <f t="shared" si="152"/>
        <v>1.1105156929411423E-3</v>
      </c>
      <c r="Q541" s="10">
        <f t="shared" si="146"/>
        <v>1.0544024669846461</v>
      </c>
      <c r="S541" s="5">
        <f t="shared" si="147"/>
        <v>7.7490225182888607E-10</v>
      </c>
      <c r="T541" s="5">
        <f t="shared" si="148"/>
        <v>9.9371280951600971E-8</v>
      </c>
      <c r="U541" s="5">
        <f t="shared" si="149"/>
        <v>1.303050706035749E-4</v>
      </c>
    </row>
    <row r="542" spans="1:21">
      <c r="A542" s="19">
        <f t="shared" si="150"/>
        <v>44.000000000000156</v>
      </c>
      <c r="B542" s="10">
        <f t="shared" si="136"/>
        <v>7.8148829538353054E-7</v>
      </c>
      <c r="C542" s="10">
        <f t="shared" si="138"/>
        <v>0.11686133436193892</v>
      </c>
      <c r="D542" s="10">
        <f t="shared" si="139"/>
        <v>9.1325764986756456E-8</v>
      </c>
      <c r="H542" s="19">
        <f t="shared" si="137"/>
        <v>44.000000000000156</v>
      </c>
      <c r="I542" s="10">
        <f t="shared" si="140"/>
        <v>7.5168780568364967E-3</v>
      </c>
      <c r="J542" s="10">
        <f t="shared" si="141"/>
        <v>5.8743522192430194E-9</v>
      </c>
      <c r="K542" s="10">
        <f t="shared" si="142"/>
        <v>7.7561394316428744E-7</v>
      </c>
      <c r="L542" s="10">
        <f t="shared" si="143"/>
        <v>9.101717978367887E-4</v>
      </c>
      <c r="M542" s="10">
        <f t="shared" si="144"/>
        <v>0.9582272755648884</v>
      </c>
      <c r="N542" s="10">
        <f t="shared" si="145"/>
        <v>0.91515223018641112</v>
      </c>
      <c r="O542" s="10">
        <f t="shared" si="151"/>
        <v>8.1878108874134672E-2</v>
      </c>
      <c r="P542" s="10">
        <f t="shared" si="152"/>
        <v>1.0643892635014871E-3</v>
      </c>
      <c r="Q542" s="10">
        <f t="shared" si="146"/>
        <v>1.0607756400246795</v>
      </c>
      <c r="S542" s="5">
        <f t="shared" si="147"/>
        <v>6.8648463885275641E-10</v>
      </c>
      <c r="T542" s="5">
        <f t="shared" si="148"/>
        <v>9.0639280347903687E-8</v>
      </c>
      <c r="U542" s="5">
        <f t="shared" si="149"/>
        <v>1.243859496133052E-4</v>
      </c>
    </row>
    <row r="543" spans="1:21">
      <c r="A543" s="19">
        <f t="shared" si="150"/>
        <v>44.083333333333492</v>
      </c>
      <c r="B543" s="10">
        <f t="shared" si="136"/>
        <v>7.1518075638481482E-7</v>
      </c>
      <c r="C543" s="10">
        <f t="shared" si="138"/>
        <v>0.11638715867068741</v>
      </c>
      <c r="D543" s="10">
        <f t="shared" si="139"/>
        <v>8.3237856171581678E-8</v>
      </c>
      <c r="H543" s="19">
        <f t="shared" si="137"/>
        <v>44.083333333333492</v>
      </c>
      <c r="I543" s="10">
        <f t="shared" si="140"/>
        <v>7.3011523104127354E-3</v>
      </c>
      <c r="J543" s="10">
        <f t="shared" si="141"/>
        <v>5.2216436318417181E-9</v>
      </c>
      <c r="K543" s="10">
        <f t="shared" si="142"/>
        <v>7.0995911275297311E-7</v>
      </c>
      <c r="L543" s="10">
        <f t="shared" si="143"/>
        <v>8.7215144213714237E-4</v>
      </c>
      <c r="M543" s="10">
        <f t="shared" si="144"/>
        <v>0.95798976628737664</v>
      </c>
      <c r="N543" s="10">
        <f t="shared" si="145"/>
        <v>0.91466191182918288</v>
      </c>
      <c r="O543" s="10">
        <f t="shared" si="151"/>
        <v>8.2334601971990343E-2</v>
      </c>
      <c r="P543" s="10">
        <f t="shared" si="152"/>
        <v>1.0199273050863988E-3</v>
      </c>
      <c r="Q543" s="10">
        <f t="shared" si="146"/>
        <v>1.0671873383796666</v>
      </c>
      <c r="S543" s="5">
        <f t="shared" si="147"/>
        <v>6.077322659009465E-10</v>
      </c>
      <c r="T543" s="5">
        <f t="shared" si="148"/>
        <v>8.2630123905680743E-8</v>
      </c>
      <c r="U543" s="5">
        <f t="shared" si="149"/>
        <v>1.187064410896573E-4</v>
      </c>
    </row>
    <row r="544" spans="1:21">
      <c r="A544" s="19">
        <f t="shared" si="150"/>
        <v>44.166666666666828</v>
      </c>
      <c r="B544" s="10">
        <f t="shared" si="136"/>
        <v>6.5414859793837583E-7</v>
      </c>
      <c r="C544" s="10">
        <f t="shared" si="138"/>
        <v>0.11591490699123502</v>
      </c>
      <c r="D544" s="10">
        <f t="shared" si="139"/>
        <v>7.582557388847363E-8</v>
      </c>
      <c r="H544" s="19">
        <f t="shared" si="137"/>
        <v>44.166666666666828</v>
      </c>
      <c r="I544" s="10">
        <f t="shared" si="140"/>
        <v>7.0904505006237437E-3</v>
      </c>
      <c r="J544" s="10">
        <f t="shared" si="141"/>
        <v>4.6382082537344766E-9</v>
      </c>
      <c r="K544" s="10">
        <f t="shared" si="142"/>
        <v>6.4951038968464136E-7</v>
      </c>
      <c r="L544" s="10">
        <f t="shared" si="143"/>
        <v>8.3551215622015948E-4</v>
      </c>
      <c r="M544" s="10">
        <f t="shared" si="144"/>
        <v>0.95775093630920227</v>
      </c>
      <c r="N544" s="10">
        <f t="shared" si="145"/>
        <v>0.91416889462546891</v>
      </c>
      <c r="O544" s="10">
        <f t="shared" si="151"/>
        <v>8.2793416350968527E-2</v>
      </c>
      <c r="P544" s="10">
        <f t="shared" si="152"/>
        <v>9.7708035055178309E-4</v>
      </c>
      <c r="Q544" s="10">
        <f t="shared" si="146"/>
        <v>1.0736377949320199</v>
      </c>
      <c r="S544" s="5">
        <f t="shared" si="147"/>
        <v>5.3763747833761043E-10</v>
      </c>
      <c r="T544" s="5">
        <f t="shared" si="148"/>
        <v>7.5287936410136025E-8</v>
      </c>
      <c r="U544" s="5">
        <f t="shared" si="149"/>
        <v>1.1325817795717325E-4</v>
      </c>
    </row>
    <row r="545" spans="1:21">
      <c r="A545" s="19">
        <f t="shared" si="150"/>
        <v>44.250000000000163</v>
      </c>
      <c r="B545" s="10">
        <f t="shared" si="136"/>
        <v>5.9800230069812531E-7</v>
      </c>
      <c r="C545" s="10">
        <f t="shared" si="138"/>
        <v>0.11544457151672563</v>
      </c>
      <c r="D545" s="10">
        <f t="shared" si="139"/>
        <v>6.9036119370111197E-8</v>
      </c>
      <c r="H545" s="19">
        <f t="shared" si="137"/>
        <v>44.250000000000163</v>
      </c>
      <c r="I545" s="10">
        <f t="shared" si="140"/>
        <v>6.8846895901737365E-3</v>
      </c>
      <c r="J545" s="10">
        <f t="shared" si="141"/>
        <v>4.1170602145163281E-9</v>
      </c>
      <c r="K545" s="10">
        <f t="shared" si="142"/>
        <v>5.9388524048360899E-7</v>
      </c>
      <c r="L545" s="10">
        <f t="shared" si="143"/>
        <v>8.0021254991757818E-4</v>
      </c>
      <c r="M545" s="10">
        <f t="shared" si="144"/>
        <v>0.95751077863338385</v>
      </c>
      <c r="N545" s="10">
        <f t="shared" si="145"/>
        <v>0.91367316533090204</v>
      </c>
      <c r="O545" s="10">
        <f t="shared" si="151"/>
        <v>8.3254561176508049E-2</v>
      </c>
      <c r="P545" s="10">
        <f t="shared" si="152"/>
        <v>9.3580000460340097E-4</v>
      </c>
      <c r="Q545" s="10">
        <f t="shared" si="146"/>
        <v>1.0801272439719016</v>
      </c>
      <c r="S545" s="5">
        <f t="shared" si="147"/>
        <v>4.7529225237339605E-10</v>
      </c>
      <c r="T545" s="5">
        <f t="shared" si="148"/>
        <v>6.85608271177378E-8</v>
      </c>
      <c r="U545" s="5">
        <f t="shared" si="149"/>
        <v>1.0803303055678949E-4</v>
      </c>
    </row>
    <row r="546" spans="1:21">
      <c r="A546" s="19">
        <f t="shared" si="150"/>
        <v>44.333333333333499</v>
      </c>
      <c r="B546" s="10">
        <f t="shared" si="136"/>
        <v>5.4637865495401801E-7</v>
      </c>
      <c r="C546" s="10">
        <f t="shared" si="138"/>
        <v>0.11497614447198014</v>
      </c>
      <c r="D546" s="10">
        <f t="shared" si="139"/>
        <v>6.2820511168399365E-8</v>
      </c>
      <c r="H546" s="19">
        <f t="shared" si="137"/>
        <v>44.333333333333499</v>
      </c>
      <c r="I546" s="10">
        <f t="shared" si="140"/>
        <v>6.6837870647689116E-3</v>
      </c>
      <c r="J546" s="10">
        <f t="shared" si="141"/>
        <v>3.6518785864475022E-9</v>
      </c>
      <c r="K546" s="10">
        <f t="shared" si="142"/>
        <v>5.4272677636757052E-7</v>
      </c>
      <c r="L546" s="10">
        <f t="shared" si="143"/>
        <v>7.6621214174378582E-4</v>
      </c>
      <c r="M546" s="10">
        <f t="shared" si="144"/>
        <v>0.95726928622989482</v>
      </c>
      <c r="N546" s="10">
        <f t="shared" si="145"/>
        <v>0.91317471065571887</v>
      </c>
      <c r="O546" s="10">
        <f t="shared" si="151"/>
        <v>8.3718045617751036E-2</v>
      </c>
      <c r="P546" s="10">
        <f t="shared" si="152"/>
        <v>8.9603893381696824E-4</v>
      </c>
      <c r="Q546" s="10">
        <f t="shared" si="146"/>
        <v>1.0866559212057401</v>
      </c>
      <c r="S546" s="5">
        <f t="shared" si="147"/>
        <v>4.1987891994951861E-10</v>
      </c>
      <c r="T546" s="5">
        <f t="shared" si="148"/>
        <v>6.2400632248449844E-8</v>
      </c>
      <c r="U546" s="5">
        <f t="shared" si="149"/>
        <v>1.0302310190705879E-4</v>
      </c>
    </row>
    <row r="547" spans="1:21">
      <c r="A547" s="19">
        <f t="shared" si="150"/>
        <v>44.416666666666835</v>
      </c>
      <c r="B547" s="10">
        <f t="shared" si="136"/>
        <v>4.9893917014609624E-7</v>
      </c>
      <c r="C547" s="10">
        <f t="shared" si="138"/>
        <v>0.11450961811336795</v>
      </c>
      <c r="D547" s="10">
        <f t="shared" si="139"/>
        <v>5.7133333835230195E-8</v>
      </c>
      <c r="H547" s="19">
        <f t="shared" si="137"/>
        <v>44.416666666666835</v>
      </c>
      <c r="I547" s="10">
        <f t="shared" si="140"/>
        <v>6.4876609488895487E-3</v>
      </c>
      <c r="J547" s="10">
        <f t="shared" si="141"/>
        <v>3.2369481700281866E-9</v>
      </c>
      <c r="K547" s="10">
        <f t="shared" si="142"/>
        <v>4.9570222197606802E-7</v>
      </c>
      <c r="L547" s="10">
        <f t="shared" si="143"/>
        <v>7.3347135002775285E-4</v>
      </c>
      <c r="M547" s="10">
        <f t="shared" si="144"/>
        <v>0.95702645203560677</v>
      </c>
      <c r="N547" s="10">
        <f t="shared" si="145"/>
        <v>0.91267351726486212</v>
      </c>
      <c r="O547" s="10">
        <f t="shared" si="151"/>
        <v>8.4183878847059246E-2</v>
      </c>
      <c r="P547" s="10">
        <f t="shared" si="152"/>
        <v>8.5775085633730327E-4</v>
      </c>
      <c r="Q547" s="10">
        <f t="shared" si="146"/>
        <v>1.0932240637647925</v>
      </c>
      <c r="S547" s="5">
        <f t="shared" si="147"/>
        <v>3.7066169880269289E-10</v>
      </c>
      <c r="T547" s="5">
        <f t="shared" si="148"/>
        <v>5.6762672136427499E-8</v>
      </c>
      <c r="U547" s="5">
        <f t="shared" si="149"/>
        <v>9.8220722995598928E-5</v>
      </c>
    </row>
    <row r="548" spans="1:21">
      <c r="A548" s="19">
        <f t="shared" si="150"/>
        <v>44.500000000000171</v>
      </c>
      <c r="B548" s="10">
        <f t="shared" si="136"/>
        <v>4.5536856731844915E-7</v>
      </c>
      <c r="C548" s="10">
        <f t="shared" si="138"/>
        <v>0.11404498472867902</v>
      </c>
      <c r="D548" s="10">
        <f t="shared" si="139"/>
        <v>5.1932501305752976E-8</v>
      </c>
      <c r="H548" s="19">
        <f t="shared" si="137"/>
        <v>44.500000000000171</v>
      </c>
      <c r="I548" s="10">
        <f t="shared" si="140"/>
        <v>6.2962298211972035E-3</v>
      </c>
      <c r="J548" s="10">
        <f t="shared" si="141"/>
        <v>2.867105153186266E-9</v>
      </c>
      <c r="K548" s="10">
        <f t="shared" si="142"/>
        <v>4.5250146216526292E-7</v>
      </c>
      <c r="L548" s="10">
        <f t="shared" si="143"/>
        <v>7.0195148378682693E-4</v>
      </c>
      <c r="M548" s="10">
        <f t="shared" si="144"/>
        <v>0.95678226895411933</v>
      </c>
      <c r="N548" s="10">
        <f t="shared" si="145"/>
        <v>0.91216957177809721</v>
      </c>
      <c r="O548" s="10">
        <f t="shared" si="151"/>
        <v>8.4652070039519384E-2</v>
      </c>
      <c r="P548" s="10">
        <f t="shared" si="152"/>
        <v>8.208905312698454E-4</v>
      </c>
      <c r="Q548" s="10">
        <f t="shared" si="146"/>
        <v>1.0998319102137564</v>
      </c>
      <c r="S548" s="5">
        <f t="shared" si="147"/>
        <v>3.2697896341064461E-10</v>
      </c>
      <c r="T548" s="5">
        <f t="shared" si="148"/>
        <v>5.1605522342342341E-8</v>
      </c>
      <c r="U548" s="5">
        <f t="shared" si="149"/>
        <v>9.3618448102586731E-5</v>
      </c>
    </row>
    <row r="549" spans="1:21">
      <c r="A549" s="19">
        <f t="shared" si="150"/>
        <v>44.583333333333506</v>
      </c>
      <c r="B549" s="10">
        <f t="shared" si="136"/>
        <v>4.153733510520754E-7</v>
      </c>
      <c r="C549" s="10">
        <f t="shared" si="138"/>
        <v>0.11358223663699624</v>
      </c>
      <c r="D549" s="10">
        <f t="shared" si="139"/>
        <v>4.7179034251898936E-8</v>
      </c>
      <c r="H549" s="19">
        <f t="shared" si="137"/>
        <v>44.583333333333506</v>
      </c>
      <c r="I549" s="10">
        <f t="shared" si="140"/>
        <v>6.1094128295716248E-3</v>
      </c>
      <c r="J549" s="10">
        <f t="shared" si="141"/>
        <v>2.5376872799797076E-9</v>
      </c>
      <c r="K549" s="10">
        <f t="shared" si="142"/>
        <v>4.1283566377209565E-7</v>
      </c>
      <c r="L549" s="10">
        <f t="shared" si="143"/>
        <v>6.7161473335327097E-4</v>
      </c>
      <c r="M549" s="10">
        <f t="shared" si="144"/>
        <v>0.95653672985572025</v>
      </c>
      <c r="N549" s="10">
        <f t="shared" si="145"/>
        <v>0.91166286077010827</v>
      </c>
      <c r="O549" s="10">
        <f t="shared" si="151"/>
        <v>8.5122628372445663E-2</v>
      </c>
      <c r="P549" s="10">
        <f t="shared" si="152"/>
        <v>7.8541374777770141E-4</v>
      </c>
      <c r="Q549" s="10">
        <f t="shared" si="146"/>
        <v>1.1064797005594296</v>
      </c>
      <c r="S549" s="5">
        <f t="shared" si="147"/>
        <v>2.882361971453505E-10</v>
      </c>
      <c r="T549" s="5">
        <f t="shared" si="148"/>
        <v>4.6890798054753581E-8</v>
      </c>
      <c r="U549" s="5">
        <f t="shared" si="149"/>
        <v>8.9209050158036964E-5</v>
      </c>
    </row>
    <row r="550" spans="1:21">
      <c r="A550" s="19">
        <f t="shared" si="150"/>
        <v>44.666666666666842</v>
      </c>
      <c r="B550" s="10">
        <f t="shared" si="136"/>
        <v>3.7868045750780151E-7</v>
      </c>
      <c r="C550" s="10">
        <f t="shared" si="138"/>
        <v>0.11312136618856865</v>
      </c>
      <c r="D550" s="10">
        <f t="shared" si="139"/>
        <v>4.2836850702194727E-8</v>
      </c>
      <c r="H550" s="19">
        <f t="shared" si="137"/>
        <v>44.666666666666842</v>
      </c>
      <c r="I550" s="10">
        <f t="shared" si="140"/>
        <v>5.9271297057720395E-3</v>
      </c>
      <c r="J550" s="10">
        <f t="shared" si="141"/>
        <v>2.2444881886898369E-9</v>
      </c>
      <c r="K550" s="10">
        <f t="shared" si="142"/>
        <v>3.7643596931911166E-7</v>
      </c>
      <c r="L550" s="10">
        <f t="shared" si="143"/>
        <v>6.4242416076465934E-4</v>
      </c>
      <c r="M550" s="10">
        <f t="shared" si="144"/>
        <v>0.95628982757722025</v>
      </c>
      <c r="N550" s="10">
        <f t="shared" si="145"/>
        <v>0.91115337077061775</v>
      </c>
      <c r="O550" s="10">
        <f t="shared" si="151"/>
        <v>8.5595563024869786E-2</v>
      </c>
      <c r="P550" s="10">
        <f t="shared" si="152"/>
        <v>7.5127731389761923E-4</v>
      </c>
      <c r="Q550" s="10">
        <f t="shared" si="146"/>
        <v>1.1131676762594305</v>
      </c>
      <c r="S550" s="5">
        <f t="shared" si="147"/>
        <v>2.5389957029870021E-10</v>
      </c>
      <c r="T550" s="5">
        <f t="shared" si="148"/>
        <v>4.2582951131896026E-8</v>
      </c>
      <c r="U550" s="5">
        <f t="shared" si="149"/>
        <v>8.4985516134576824E-5</v>
      </c>
    </row>
    <row r="551" spans="1:21">
      <c r="A551" s="19">
        <f t="shared" si="150"/>
        <v>44.750000000000178</v>
      </c>
      <c r="B551" s="10">
        <f t="shared" si="136"/>
        <v>3.4503597530319304E-7</v>
      </c>
      <c r="C551" s="10">
        <f t="shared" si="138"/>
        <v>0.11266236576468464</v>
      </c>
      <c r="D551" s="10">
        <f t="shared" si="139"/>
        <v>3.8872569251583031E-8</v>
      </c>
      <c r="H551" s="19">
        <f t="shared" si="137"/>
        <v>44.750000000000178</v>
      </c>
      <c r="I551" s="10">
        <f t="shared" si="140"/>
        <v>5.749300779717745E-3</v>
      </c>
      <c r="J551" s="10">
        <f t="shared" si="141"/>
        <v>1.9837156018413203E-9</v>
      </c>
      <c r="K551" s="10">
        <f t="shared" si="142"/>
        <v>3.4305225970135173E-7</v>
      </c>
      <c r="L551" s="10">
        <f t="shared" si="143"/>
        <v>6.1434368992907649E-4</v>
      </c>
      <c r="M551" s="10">
        <f t="shared" si="144"/>
        <v>0.95604155492188869</v>
      </c>
      <c r="N551" s="10">
        <f t="shared" si="145"/>
        <v>0.91064108826451451</v>
      </c>
      <c r="O551" s="10">
        <f t="shared" si="151"/>
        <v>8.6070883177029434E-2</v>
      </c>
      <c r="P551" s="10">
        <f t="shared" si="152"/>
        <v>7.1843904508806162E-4</v>
      </c>
      <c r="Q551" s="10">
        <f t="shared" si="146"/>
        <v>1.1198960802309756</v>
      </c>
      <c r="S551" s="5">
        <f t="shared" si="147"/>
        <v>2.2349009270775835E-10</v>
      </c>
      <c r="T551" s="5">
        <f t="shared" si="148"/>
        <v>3.864907915887527E-8</v>
      </c>
      <c r="U551" s="5">
        <f t="shared" si="149"/>
        <v>8.0941042477341953E-5</v>
      </c>
    </row>
    <row r="552" spans="1:21">
      <c r="A552" s="19">
        <f t="shared" si="150"/>
        <v>44.833333333333513</v>
      </c>
      <c r="B552" s="10">
        <f t="shared" si="136"/>
        <v>3.1420393604050785E-7</v>
      </c>
      <c r="C552" s="10">
        <f t="shared" si="138"/>
        <v>0.11220522777754643</v>
      </c>
      <c r="D552" s="10">
        <f t="shared" si="139"/>
        <v>3.5255324212026817E-8</v>
      </c>
      <c r="H552" s="19">
        <f t="shared" si="137"/>
        <v>44.833333333333513</v>
      </c>
      <c r="I552" s="10">
        <f t="shared" si="140"/>
        <v>5.5758469933834178E-3</v>
      </c>
      <c r="J552" s="10">
        <f t="shared" si="141"/>
        <v>1.7519530720807014E-9</v>
      </c>
      <c r="K552" s="10">
        <f t="shared" si="142"/>
        <v>3.1245198296842713E-7</v>
      </c>
      <c r="L552" s="10">
        <f t="shared" si="143"/>
        <v>5.8733809657624491E-4</v>
      </c>
      <c r="M552" s="10">
        <f t="shared" si="144"/>
        <v>0.95579190465931552</v>
      </c>
      <c r="N552" s="10">
        <f t="shared" si="145"/>
        <v>0.91012599969194441</v>
      </c>
      <c r="O552" s="10">
        <f t="shared" si="151"/>
        <v>8.6548598009842603E-2</v>
      </c>
      <c r="P552" s="10">
        <f t="shared" si="152"/>
        <v>6.8685775252274109E-4</v>
      </c>
      <c r="Q552" s="10">
        <f t="shared" si="146"/>
        <v>1.1266651568596913</v>
      </c>
      <c r="S552" s="5">
        <f t="shared" si="147"/>
        <v>1.9657829350838732E-10</v>
      </c>
      <c r="T552" s="5">
        <f t="shared" si="148"/>
        <v>3.5058745918518423E-8</v>
      </c>
      <c r="U552" s="5">
        <f t="shared" si="149"/>
        <v>7.7069030572587786E-5</v>
      </c>
    </row>
    <row r="553" spans="1:21">
      <c r="A553" s="19">
        <f t="shared" si="150"/>
        <v>44.916666666666849</v>
      </c>
      <c r="B553" s="10">
        <f t="shared" si="136"/>
        <v>2.8596517139601095E-7</v>
      </c>
      <c r="C553" s="10">
        <f t="shared" si="138"/>
        <v>0.1117499446701444</v>
      </c>
      <c r="D553" s="10">
        <f t="shared" si="139"/>
        <v>3.1956592081092587E-8</v>
      </c>
      <c r="H553" s="19">
        <f t="shared" si="137"/>
        <v>44.916666666666849</v>
      </c>
      <c r="I553" s="10">
        <f t="shared" si="140"/>
        <v>5.4066899143045835E-3</v>
      </c>
      <c r="J553" s="10">
        <f t="shared" si="141"/>
        <v>1.546125008029194E-9</v>
      </c>
      <c r="K553" s="10">
        <f t="shared" si="142"/>
        <v>2.8441904638798173E-7</v>
      </c>
      <c r="L553" s="10">
        <f t="shared" si="143"/>
        <v>5.6137299800558614E-4</v>
      </c>
      <c r="M553" s="10">
        <f t="shared" si="144"/>
        <v>0.95554086952534478</v>
      </c>
      <c r="N553" s="10">
        <f t="shared" si="145"/>
        <v>0.90960809144849963</v>
      </c>
      <c r="O553" s="10">
        <f t="shared" si="151"/>
        <v>8.7028716704382697E-2</v>
      </c>
      <c r="P553" s="10">
        <f t="shared" si="152"/>
        <v>6.5649323114280961E-4</v>
      </c>
      <c r="Q553" s="10">
        <f t="shared" si="146"/>
        <v>1.1334751520084976</v>
      </c>
      <c r="S553" s="5">
        <f t="shared" si="147"/>
        <v>1.7277938410038899E-10</v>
      </c>
      <c r="T553" s="5">
        <f t="shared" si="148"/>
        <v>3.1783812696992193E-8</v>
      </c>
      <c r="U553" s="5">
        <f t="shared" si="149"/>
        <v>7.3363082256533299E-5</v>
      </c>
    </row>
    <row r="554" spans="1:21">
      <c r="A554" s="19">
        <f t="shared" si="150"/>
        <v>45.000000000000185</v>
      </c>
      <c r="B554" s="10">
        <f t="shared" si="136"/>
        <v>2.601162337742686E-7</v>
      </c>
      <c r="C554" s="10">
        <f t="shared" si="138"/>
        <v>0.11129650891613216</v>
      </c>
      <c r="D554" s="10">
        <f t="shared" si="139"/>
        <v>2.8950028731488604E-8</v>
      </c>
      <c r="H554" s="19">
        <f t="shared" si="137"/>
        <v>45.000000000000185</v>
      </c>
      <c r="I554" s="10">
        <f t="shared" si="140"/>
        <v>5.2417517486890433E-3</v>
      </c>
      <c r="J554" s="10">
        <f t="shared" si="141"/>
        <v>1.3634647232486804E-9</v>
      </c>
      <c r="K554" s="10">
        <f t="shared" si="142"/>
        <v>2.5875276905101991E-7</v>
      </c>
      <c r="L554" s="10">
        <f t="shared" si="143"/>
        <v>5.3641484264230742E-4</v>
      </c>
      <c r="M554" s="10">
        <f t="shared" si="144"/>
        <v>0.95528844222192211</v>
      </c>
      <c r="N554" s="10">
        <f t="shared" si="145"/>
        <v>0.90908734988527951</v>
      </c>
      <c r="O554" s="10">
        <f t="shared" si="151"/>
        <v>8.7511248441336467E-2</v>
      </c>
      <c r="P554" s="10">
        <f t="shared" si="152"/>
        <v>6.2730624748097874E-4</v>
      </c>
      <c r="Q554" s="10">
        <f t="shared" si="146"/>
        <v>1.1403263130265324</v>
      </c>
      <c r="S554" s="5">
        <f t="shared" si="147"/>
        <v>1.5174886372787842E-10</v>
      </c>
      <c r="T554" s="5">
        <f t="shared" si="148"/>
        <v>2.8798279867760724E-8</v>
      </c>
      <c r="U554" s="5">
        <f t="shared" si="149"/>
        <v>6.9816995365912154E-5</v>
      </c>
    </row>
    <row r="555" spans="1:21">
      <c r="A555" s="19">
        <f t="shared" si="150"/>
        <v>45.08333333333352</v>
      </c>
      <c r="B555" s="10">
        <f t="shared" si="136"/>
        <v>2.3646837762398968E-7</v>
      </c>
      <c r="C555" s="10">
        <f t="shared" si="138"/>
        <v>0.11084491301970212</v>
      </c>
      <c r="D555" s="10">
        <f t="shared" si="139"/>
        <v>2.6211316749641212E-8</v>
      </c>
      <c r="H555" s="19">
        <f t="shared" si="137"/>
        <v>45.08333333333352</v>
      </c>
      <c r="I555" s="10">
        <f t="shared" si="140"/>
        <v>5.0809553541304566E-3</v>
      </c>
      <c r="J555" s="10">
        <f t="shared" si="141"/>
        <v>1.2014852693711531E-9</v>
      </c>
      <c r="K555" s="10">
        <f t="shared" si="142"/>
        <v>2.3526689235461854E-7</v>
      </c>
      <c r="L555" s="10">
        <f t="shared" si="143"/>
        <v>5.1243089941248733E-4</v>
      </c>
      <c r="M555" s="10">
        <f t="shared" si="144"/>
        <v>0.95503461541703261</v>
      </c>
      <c r="N555" s="10">
        <f t="shared" si="145"/>
        <v>0.90856376130910532</v>
      </c>
      <c r="O555" s="10">
        <f t="shared" si="151"/>
        <v>8.799620240046431E-2</v>
      </c>
      <c r="P555" s="10">
        <f t="shared" si="152"/>
        <v>5.992585272706839E-4</v>
      </c>
      <c r="Q555" s="10">
        <f t="shared" si="146"/>
        <v>1.1472188887581447</v>
      </c>
      <c r="S555" s="5">
        <f t="shared" si="147"/>
        <v>1.3317853017789883E-10</v>
      </c>
      <c r="T555" s="5">
        <f t="shared" si="148"/>
        <v>2.6078138219463313E-8</v>
      </c>
      <c r="U555" s="5">
        <f t="shared" si="149"/>
        <v>6.6424759331633744E-5</v>
      </c>
    </row>
    <row r="556" spans="1:21">
      <c r="A556" s="19">
        <f t="shared" si="150"/>
        <v>45.166666666666856</v>
      </c>
      <c r="B556" s="10">
        <f t="shared" si="136"/>
        <v>2.1484659860471394E-7</v>
      </c>
      <c r="C556" s="10">
        <f t="shared" si="138"/>
        <v>0.11039514951546175</v>
      </c>
      <c r="D556" s="10">
        <f t="shared" si="139"/>
        <v>2.3718022375855791E-8</v>
      </c>
      <c r="H556" s="19">
        <f t="shared" si="137"/>
        <v>45.166666666666856</v>
      </c>
      <c r="I556" s="10">
        <f t="shared" si="140"/>
        <v>4.9242242519203202E-3</v>
      </c>
      <c r="J556" s="10">
        <f t="shared" si="141"/>
        <v>1.0579528312919228E-9</v>
      </c>
      <c r="K556" s="10">
        <f t="shared" si="142"/>
        <v>2.1378864577342202E-7</v>
      </c>
      <c r="L556" s="10">
        <f t="shared" si="143"/>
        <v>4.8938924694820897E-4</v>
      </c>
      <c r="M556" s="10">
        <f t="shared" si="144"/>
        <v>0.95477938174456389</v>
      </c>
      <c r="N556" s="10">
        <f t="shared" si="145"/>
        <v>0.90803731198257365</v>
      </c>
      <c r="O556" s="10">
        <f t="shared" si="151"/>
        <v>8.8483587760042129E-2</v>
      </c>
      <c r="P556" s="10">
        <f t="shared" si="152"/>
        <v>5.7231274285347595E-4</v>
      </c>
      <c r="Q556" s="10">
        <f t="shared" si="146"/>
        <v>1.1541531295519234</v>
      </c>
      <c r="S556" s="5">
        <f t="shared" si="147"/>
        <v>1.167928609907779E-10</v>
      </c>
      <c r="T556" s="5">
        <f t="shared" si="148"/>
        <v>2.3601229514865014E-8</v>
      </c>
      <c r="U556" s="5">
        <f t="shared" si="149"/>
        <v>6.3180550816913499E-5</v>
      </c>
    </row>
    <row r="557" spans="1:21">
      <c r="A557" s="19">
        <f t="shared" si="150"/>
        <v>45.250000000000192</v>
      </c>
      <c r="B557" s="10">
        <f t="shared" si="136"/>
        <v>1.9508872788562339E-7</v>
      </c>
      <c r="C557" s="10">
        <f t="shared" si="138"/>
        <v>0.10994721096830996</v>
      </c>
      <c r="D557" s="10">
        <f t="shared" si="139"/>
        <v>2.144946152237985E-8</v>
      </c>
      <c r="H557" s="19">
        <f t="shared" si="137"/>
        <v>45.250000000000192</v>
      </c>
      <c r="I557" s="10">
        <f t="shared" si="140"/>
        <v>4.7714826389550716E-3</v>
      </c>
      <c r="J557" s="10">
        <f t="shared" si="141"/>
        <v>9.3086247816208214E-10</v>
      </c>
      <c r="K557" s="10">
        <f t="shared" si="142"/>
        <v>1.9415786540746131E-7</v>
      </c>
      <c r="L557" s="10">
        <f t="shared" si="143"/>
        <v>4.6725876263364863E-4</v>
      </c>
      <c r="M557" s="10">
        <f t="shared" si="144"/>
        <v>0.95452273380423314</v>
      </c>
      <c r="N557" s="10">
        <f t="shared" si="145"/>
        <v>0.90750798812429556</v>
      </c>
      <c r="O557" s="10">
        <f t="shared" si="151"/>
        <v>8.8973413696306958E-2</v>
      </c>
      <c r="P557" s="10">
        <f t="shared" si="152"/>
        <v>5.4643250039763957E-4</v>
      </c>
      <c r="Q557" s="10">
        <f t="shared" si="146"/>
        <v>1.1611292872697963</v>
      </c>
      <c r="S557" s="5">
        <f t="shared" si="147"/>
        <v>1.0234573326897027E-10</v>
      </c>
      <c r="T557" s="5">
        <f t="shared" si="148"/>
        <v>2.1347115789110878E-8</v>
      </c>
      <c r="U557" s="5">
        <f t="shared" si="149"/>
        <v>6.0078729401160398E-5</v>
      </c>
    </row>
    <row r="558" spans="1:21">
      <c r="A558" s="19">
        <f t="shared" si="150"/>
        <v>45.333333333333528</v>
      </c>
      <c r="B558" s="10">
        <f t="shared" si="136"/>
        <v>1.7704457894921025E-7</v>
      </c>
      <c r="C558" s="10">
        <f t="shared" si="138"/>
        <v>0.10950108997331426</v>
      </c>
      <c r="D558" s="10">
        <f t="shared" si="139"/>
        <v>1.9386574368805011E-8</v>
      </c>
      <c r="H558" s="19">
        <f t="shared" si="137"/>
        <v>45.333333333333528</v>
      </c>
      <c r="I558" s="10">
        <f t="shared" si="140"/>
        <v>4.6226553992352488E-3</v>
      </c>
      <c r="J558" s="10">
        <f t="shared" si="141"/>
        <v>8.1841607878489801E-10</v>
      </c>
      <c r="K558" s="10">
        <f t="shared" si="142"/>
        <v>1.7622616287042536E-7</v>
      </c>
      <c r="L558" s="10">
        <f t="shared" si="143"/>
        <v>4.4600911150305357E-4</v>
      </c>
      <c r="M558" s="10">
        <f t="shared" si="144"/>
        <v>0.95426466416144529</v>
      </c>
      <c r="N558" s="10">
        <f t="shared" si="145"/>
        <v>0.90697577590898437</v>
      </c>
      <c r="O558" s="10">
        <f t="shared" si="151"/>
        <v>8.9465689382883878E-2</v>
      </c>
      <c r="P558" s="10">
        <f t="shared" si="152"/>
        <v>5.2158232694105001E-4</v>
      </c>
      <c r="Q558" s="10">
        <f t="shared" si="146"/>
        <v>1.1681476152961725</v>
      </c>
      <c r="S558" s="5">
        <f t="shared" si="147"/>
        <v>8.961745267863217E-11</v>
      </c>
      <c r="T558" s="5">
        <f t="shared" si="148"/>
        <v>1.9296956916126381E-8</v>
      </c>
      <c r="U558" s="5">
        <f t="shared" si="149"/>
        <v>5.7113833310862527E-5</v>
      </c>
    </row>
    <row r="559" spans="1:21">
      <c r="A559" s="19">
        <f t="shared" si="150"/>
        <v>45.416666666666863</v>
      </c>
      <c r="B559" s="10">
        <f t="shared" si="136"/>
        <v>1.6057514436293942E-7</v>
      </c>
      <c r="C559" s="10">
        <f t="shared" si="138"/>
        <v>0.10905677915558838</v>
      </c>
      <c r="D559" s="10">
        <f t="shared" si="139"/>
        <v>1.7511808056665806E-8</v>
      </c>
      <c r="H559" s="19">
        <f t="shared" si="137"/>
        <v>45.416666666666863</v>
      </c>
      <c r="I559" s="10">
        <f t="shared" si="140"/>
        <v>4.4776681149539151E-3</v>
      </c>
      <c r="J559" s="10">
        <f t="shared" si="141"/>
        <v>7.1900220396805568E-10</v>
      </c>
      <c r="K559" s="10">
        <f t="shared" si="142"/>
        <v>1.5985614215897137E-7</v>
      </c>
      <c r="L559" s="10">
        <f t="shared" si="143"/>
        <v>4.2561073500140602E-4</v>
      </c>
      <c r="M559" s="10">
        <f t="shared" si="144"/>
        <v>0.95400516534723301</v>
      </c>
      <c r="N559" s="10">
        <f t="shared" si="145"/>
        <v>0.90644066146763957</v>
      </c>
      <c r="O559" s="10">
        <f t="shared" si="151"/>
        <v>8.9960423990213589E-2</v>
      </c>
      <c r="P559" s="10">
        <f t="shared" si="152"/>
        <v>4.9772765727110495E-4</v>
      </c>
      <c r="Q559" s="10">
        <f t="shared" si="146"/>
        <v>1.175208368547155</v>
      </c>
      <c r="S559" s="5">
        <f t="shared" si="147"/>
        <v>7.8412064570525564E-11</v>
      </c>
      <c r="T559" s="5">
        <f t="shared" si="148"/>
        <v>1.7433395992095282E-8</v>
      </c>
      <c r="U559" s="5">
        <f t="shared" si="149"/>
        <v>5.4280575198643275E-5</v>
      </c>
    </row>
    <row r="560" spans="1:21">
      <c r="A560" s="19">
        <f t="shared" si="150"/>
        <v>45.500000000000199</v>
      </c>
      <c r="B560" s="10">
        <f t="shared" si="136"/>
        <v>1.4555184007160452E-7</v>
      </c>
      <c r="C560" s="10">
        <f t="shared" si="138"/>
        <v>0.10861427117017038</v>
      </c>
      <c r="D560" s="10">
        <f t="shared" si="139"/>
        <v>1.5809007026854523E-8</v>
      </c>
      <c r="H560" s="19">
        <f t="shared" si="137"/>
        <v>45.500000000000199</v>
      </c>
      <c r="I560" s="10">
        <f t="shared" si="140"/>
        <v>4.3364470771718906E-3</v>
      </c>
      <c r="J560" s="10">
        <f t="shared" si="141"/>
        <v>6.311778514554999E-10</v>
      </c>
      <c r="K560" s="10">
        <f t="shared" si="142"/>
        <v>1.4492066222014902E-7</v>
      </c>
      <c r="L560" s="10">
        <f t="shared" si="143"/>
        <v>4.0603483961857372E-4</v>
      </c>
      <c r="M560" s="10">
        <f t="shared" si="144"/>
        <v>0.95374422985811458</v>
      </c>
      <c r="N560" s="10">
        <f t="shared" si="145"/>
        <v>0.90590263088771972</v>
      </c>
      <c r="O560" s="10">
        <f t="shared" si="151"/>
        <v>9.0457626684966597E-2</v>
      </c>
      <c r="P560" s="10">
        <f t="shared" si="152"/>
        <v>4.7483482065455455E-4</v>
      </c>
      <c r="Q560" s="10">
        <f t="shared" si="146"/>
        <v>1.1823118034797904</v>
      </c>
      <c r="S560" s="5">
        <f t="shared" si="147"/>
        <v>6.8554922314593185E-11</v>
      </c>
      <c r="T560" s="5">
        <f t="shared" si="148"/>
        <v>1.5740452104539932E-8</v>
      </c>
      <c r="U560" s="5">
        <f t="shared" si="149"/>
        <v>5.1573837971613007E-5</v>
      </c>
    </row>
    <row r="561" spans="1:21">
      <c r="A561" s="19">
        <f t="shared" si="150"/>
        <v>45.583333333333535</v>
      </c>
      <c r="B561" s="10">
        <f t="shared" si="136"/>
        <v>1.3185579485141516E-7</v>
      </c>
      <c r="C561" s="10">
        <f t="shared" si="138"/>
        <v>0.10817355870190107</v>
      </c>
      <c r="D561" s="10">
        <f t="shared" si="139"/>
        <v>1.4263310564545383E-8</v>
      </c>
      <c r="H561" s="19">
        <f t="shared" si="137"/>
        <v>45.583333333333535</v>
      </c>
      <c r="I561" s="10">
        <f t="shared" si="140"/>
        <v>4.1989192960775693E-3</v>
      </c>
      <c r="J561" s="10">
        <f t="shared" si="141"/>
        <v>5.5365184130125248E-10</v>
      </c>
      <c r="K561" s="10">
        <f t="shared" si="142"/>
        <v>1.313021430101139E-7</v>
      </c>
      <c r="L561" s="10">
        <f t="shared" si="143"/>
        <v>3.8725338540757966E-4</v>
      </c>
      <c r="M561" s="10">
        <f t="shared" si="144"/>
        <v>0.95348185015602471</v>
      </c>
      <c r="N561" s="10">
        <f t="shared" si="145"/>
        <v>0.90536167021327951</v>
      </c>
      <c r="O561" s="10">
        <f t="shared" si="151"/>
        <v>9.0957306629451506E-2</v>
      </c>
      <c r="P561" s="10">
        <f t="shared" si="152"/>
        <v>4.5287102742984451E-4</v>
      </c>
      <c r="Q561" s="10">
        <f t="shared" si="146"/>
        <v>1.1894581781013887</v>
      </c>
      <c r="S561" s="5">
        <f t="shared" si="147"/>
        <v>5.9890489955416643E-11</v>
      </c>
      <c r="T561" s="5">
        <f t="shared" si="148"/>
        <v>1.4203420074589964E-8</v>
      </c>
      <c r="U561" s="5">
        <f t="shared" si="149"/>
        <v>4.8988670670072537E-5</v>
      </c>
    </row>
    <row r="562" spans="1:21">
      <c r="A562" s="19">
        <f t="shared" si="150"/>
        <v>45.66666666666687</v>
      </c>
      <c r="B562" s="10">
        <f t="shared" si="136"/>
        <v>1.1937718265397677E-7</v>
      </c>
      <c r="C562" s="10">
        <f t="shared" si="138"/>
        <v>0.10773463446530332</v>
      </c>
      <c r="D562" s="10">
        <f t="shared" si="139"/>
        <v>1.2861057136723936E-8</v>
      </c>
      <c r="H562" s="19">
        <f t="shared" si="137"/>
        <v>45.66666666666687</v>
      </c>
      <c r="I562" s="10">
        <f t="shared" si="140"/>
        <v>4.0650125108294428E-3</v>
      </c>
      <c r="J562" s="10">
        <f t="shared" si="141"/>
        <v>4.8526974099598708E-10</v>
      </c>
      <c r="K562" s="10">
        <f t="shared" si="142"/>
        <v>1.1889191291298078E-7</v>
      </c>
      <c r="L562" s="10">
        <f t="shared" si="143"/>
        <v>3.6923907439760314E-4</v>
      </c>
      <c r="M562" s="10">
        <f t="shared" si="144"/>
        <v>0.95321801866817601</v>
      </c>
      <c r="N562" s="10">
        <f t="shared" si="145"/>
        <v>0.90481776544517689</v>
      </c>
      <c r="O562" s="10">
        <f t="shared" si="151"/>
        <v>9.1459472981014533E-2</v>
      </c>
      <c r="P562" s="10">
        <f t="shared" si="152"/>
        <v>4.3180435547454822E-4</v>
      </c>
      <c r="Q562" s="10">
        <f t="shared" si="146"/>
        <v>1.1966477519788901</v>
      </c>
      <c r="S562" s="5">
        <f t="shared" si="147"/>
        <v>5.2280358163275087E-11</v>
      </c>
      <c r="T562" s="5">
        <f t="shared" si="148"/>
        <v>1.2808776778560659E-8</v>
      </c>
      <c r="U562" s="5">
        <f t="shared" si="149"/>
        <v>4.6520284397576346E-5</v>
      </c>
    </row>
    <row r="563" spans="1:21">
      <c r="A563" s="19">
        <f t="shared" si="150"/>
        <v>45.750000000000206</v>
      </c>
      <c r="B563" s="10">
        <f t="shared" si="136"/>
        <v>1.0801459565411199E-7</v>
      </c>
      <c r="C563" s="10">
        <f t="shared" si="138"/>
        <v>0.1072974912044614</v>
      </c>
      <c r="D563" s="10">
        <f t="shared" si="139"/>
        <v>1.1589695127150536E-8</v>
      </c>
      <c r="H563" s="19">
        <f t="shared" si="137"/>
        <v>45.750000000000206</v>
      </c>
      <c r="I563" s="10">
        <f t="shared" si="140"/>
        <v>3.9346551989797073E-3</v>
      </c>
      <c r="J563" s="10">
        <f t="shared" si="141"/>
        <v>4.2500019035614261E-10</v>
      </c>
      <c r="K563" s="10">
        <f t="shared" si="142"/>
        <v>1.0758959546375585E-7</v>
      </c>
      <c r="L563" s="10">
        <f t="shared" si="143"/>
        <v>3.5196533891215451E-4</v>
      </c>
      <c r="M563" s="10">
        <f t="shared" si="144"/>
        <v>0.95295272778700979</v>
      </c>
      <c r="N563" s="10">
        <f t="shared" si="145"/>
        <v>0.90427090254122122</v>
      </c>
      <c r="O563" s="10">
        <f t="shared" si="151"/>
        <v>9.1964134891432528E-2</v>
      </c>
      <c r="P563" s="10">
        <f t="shared" si="152"/>
        <v>4.1160373656025237E-4</v>
      </c>
      <c r="Q563" s="10">
        <f t="shared" si="146"/>
        <v>1.2038807862482999</v>
      </c>
      <c r="S563" s="5">
        <f t="shared" si="147"/>
        <v>4.5601454186632634E-11</v>
      </c>
      <c r="T563" s="5">
        <f t="shared" si="148"/>
        <v>1.1544093672963904E-8</v>
      </c>
      <c r="U563" s="5">
        <f t="shared" si="149"/>
        <v>4.4164048303297125E-5</v>
      </c>
    </row>
    <row r="564" spans="1:21">
      <c r="A564" s="19">
        <f t="shared" si="150"/>
        <v>45.833333333333542</v>
      </c>
      <c r="B564" s="10">
        <f t="shared" si="136"/>
        <v>9.7674455899768915E-8</v>
      </c>
      <c r="C564" s="10">
        <f t="shared" si="138"/>
        <v>0.10686212169290121</v>
      </c>
      <c r="D564" s="10">
        <f t="shared" si="139"/>
        <v>1.0437699592649019E-8</v>
      </c>
      <c r="H564" s="19">
        <f t="shared" si="137"/>
        <v>45.833333333333542</v>
      </c>
      <c r="I564" s="10">
        <f t="shared" si="140"/>
        <v>3.8077765854776552E-3</v>
      </c>
      <c r="J564" s="10">
        <f t="shared" si="141"/>
        <v>3.7192250617440987E-10</v>
      </c>
      <c r="K564" s="10">
        <f t="shared" si="142"/>
        <v>9.73025333935945E-8</v>
      </c>
      <c r="L564" s="10">
        <f t="shared" si="143"/>
        <v>3.3540632980281701E-4</v>
      </c>
      <c r="M564" s="10">
        <f t="shared" si="144"/>
        <v>0.9526859698700253</v>
      </c>
      <c r="N564" s="10">
        <f t="shared" si="145"/>
        <v>0.90372106741640557</v>
      </c>
      <c r="O564" s="10">
        <f t="shared" si="151"/>
        <v>9.2471301506295039E-2</v>
      </c>
      <c r="P564" s="10">
        <f t="shared" si="152"/>
        <v>3.9223894260719314E-4</v>
      </c>
      <c r="Q564" s="10">
        <f t="shared" si="146"/>
        <v>1.2111575436241702</v>
      </c>
      <c r="S564" s="5">
        <f t="shared" si="147"/>
        <v>3.9744428115138591E-11</v>
      </c>
      <c r="T564" s="5">
        <f t="shared" si="148"/>
        <v>1.0397955164533879E-8</v>
      </c>
      <c r="U564" s="5">
        <f t="shared" si="149"/>
        <v>4.1915485617584767E-5</v>
      </c>
    </row>
    <row r="565" spans="1:21">
      <c r="A565" s="19">
        <f t="shared" si="150"/>
        <v>45.916666666666877</v>
      </c>
      <c r="B565" s="10">
        <f t="shared" si="136"/>
        <v>8.8270463545055796E-8</v>
      </c>
      <c r="C565" s="10">
        <f t="shared" si="138"/>
        <v>0.1064285187334707</v>
      </c>
      <c r="D565" s="10">
        <f t="shared" si="139"/>
        <v>9.3944946830171136E-9</v>
      </c>
      <c r="H565" s="19">
        <f t="shared" si="137"/>
        <v>45.916666666666877</v>
      </c>
      <c r="I565" s="10">
        <f t="shared" si="140"/>
        <v>3.6843066512518342E-3</v>
      </c>
      <c r="J565" s="10">
        <f t="shared" si="141"/>
        <v>3.2521545594813164E-10</v>
      </c>
      <c r="K565" s="10">
        <f t="shared" si="142"/>
        <v>8.7945248089107665E-8</v>
      </c>
      <c r="L565" s="10">
        <f t="shared" si="143"/>
        <v>3.1953690460874228E-4</v>
      </c>
      <c r="M565" s="10">
        <f t="shared" si="144"/>
        <v>0.95241773723976098</v>
      </c>
      <c r="N565" s="10">
        <f t="shared" si="145"/>
        <v>0.90316824594301048</v>
      </c>
      <c r="O565" s="10">
        <f t="shared" si="151"/>
        <v>9.2980981964379122E-2</v>
      </c>
      <c r="P565" s="10">
        <f t="shared" si="152"/>
        <v>3.7368057185068523E-4</v>
      </c>
      <c r="Q565" s="10">
        <f t="shared" si="146"/>
        <v>1.2184782884091372</v>
      </c>
      <c r="S565" s="5">
        <f t="shared" si="147"/>
        <v>3.4612199245789947E-11</v>
      </c>
      <c r="T565" s="5">
        <f t="shared" si="148"/>
        <v>9.3598824837713232E-9</v>
      </c>
      <c r="U565" s="5">
        <f t="shared" si="149"/>
        <v>3.9770269741544693E-5</v>
      </c>
    </row>
    <row r="566" spans="1:21">
      <c r="A566" s="19">
        <f t="shared" si="150"/>
        <v>46.000000000000213</v>
      </c>
      <c r="B566" s="10">
        <f t="shared" si="136"/>
        <v>7.9723079728564498E-8</v>
      </c>
      <c r="C566" s="10">
        <f t="shared" si="138"/>
        <v>0.10599667515822093</v>
      </c>
      <c r="D566" s="10">
        <f t="shared" si="139"/>
        <v>8.4503813846015998E-9</v>
      </c>
      <c r="H566" s="19">
        <f t="shared" si="137"/>
        <v>46.000000000000213</v>
      </c>
      <c r="I566" s="10">
        <f t="shared" si="140"/>
        <v>3.5641761413702355E-3</v>
      </c>
      <c r="J566" s="10">
        <f t="shared" si="141"/>
        <v>2.8414709868510667E-10</v>
      </c>
      <c r="K566" s="10">
        <f t="shared" si="142"/>
        <v>7.9438932629879394E-8</v>
      </c>
      <c r="L566" s="10">
        <f t="shared" si="143"/>
        <v>3.0433261565205569E-4</v>
      </c>
      <c r="M566" s="10">
        <f t="shared" si="144"/>
        <v>0.95214802218360617</v>
      </c>
      <c r="N566" s="10">
        <f t="shared" si="145"/>
        <v>0.90261242395091512</v>
      </c>
      <c r="O566" s="10">
        <f t="shared" si="151"/>
        <v>9.3493185397017148E-2</v>
      </c>
      <c r="P566" s="10">
        <f t="shared" si="152"/>
        <v>3.5590003493134198E-4</v>
      </c>
      <c r="Q566" s="10">
        <f t="shared" si="146"/>
        <v>1.2258432865035247</v>
      </c>
      <c r="S566" s="5">
        <f t="shared" si="147"/>
        <v>3.0118647716476197E-11</v>
      </c>
      <c r="T566" s="5">
        <f t="shared" si="148"/>
        <v>8.420262736885123E-9</v>
      </c>
      <c r="U566" s="5">
        <f t="shared" si="149"/>
        <v>3.7724220391416942E-5</v>
      </c>
    </row>
    <row r="567" spans="1:21">
      <c r="A567" s="19">
        <f t="shared" si="150"/>
        <v>46.083333333333549</v>
      </c>
      <c r="B567" s="10">
        <f t="shared" si="136"/>
        <v>7.1959042238631664E-8</v>
      </c>
      <c r="C567" s="10">
        <f t="shared" si="138"/>
        <v>0.1055665838282876</v>
      </c>
      <c r="D567" s="10">
        <f t="shared" si="139"/>
        <v>7.596470264687797E-9</v>
      </c>
      <c r="H567" s="19">
        <f t="shared" si="137"/>
        <v>46.083333333333549</v>
      </c>
      <c r="I567" s="10">
        <f t="shared" si="140"/>
        <v>3.4473165727780617E-3</v>
      </c>
      <c r="J567" s="10">
        <f t="shared" si="141"/>
        <v>2.4806559887047148E-10</v>
      </c>
      <c r="K567" s="10">
        <f t="shared" si="142"/>
        <v>7.1710976639761184E-8</v>
      </c>
      <c r="L567" s="10">
        <f t="shared" si="143"/>
        <v>2.897696980790684E-4</v>
      </c>
      <c r="M567" s="10">
        <f t="shared" si="144"/>
        <v>0.95187681695379311</v>
      </c>
      <c r="N567" s="10">
        <f t="shared" si="145"/>
        <v>0.90205358722768803</v>
      </c>
      <c r="O567" s="10">
        <f t="shared" si="151"/>
        <v>9.400792092745569E-2</v>
      </c>
      <c r="P567" s="10">
        <f t="shared" si="152"/>
        <v>3.3886954092077095E-4</v>
      </c>
      <c r="Q567" s="10">
        <f t="shared" si="146"/>
        <v>1.2332528054150067</v>
      </c>
      <c r="S567" s="5">
        <f t="shared" si="147"/>
        <v>2.6187437838073992E-11</v>
      </c>
      <c r="T567" s="5">
        <f t="shared" si="148"/>
        <v>7.570282826849722E-9</v>
      </c>
      <c r="U567" s="5">
        <f t="shared" si="149"/>
        <v>3.5773299798465903E-5</v>
      </c>
    </row>
    <row r="568" spans="1:21">
      <c r="A568" s="19">
        <f t="shared" si="150"/>
        <v>46.166666666666885</v>
      </c>
      <c r="B568" s="10">
        <f t="shared" si="136"/>
        <v>6.4910912184826417E-8</v>
      </c>
      <c r="C568" s="10">
        <f t="shared" si="138"/>
        <v>0.10513823763377295</v>
      </c>
      <c r="D568" s="10">
        <f t="shared" si="139"/>
        <v>6.8246189103132474E-9</v>
      </c>
      <c r="H568" s="19">
        <f t="shared" si="137"/>
        <v>46.166666666666885</v>
      </c>
      <c r="I568" s="10">
        <f t="shared" si="140"/>
        <v>3.3336602416130499E-3</v>
      </c>
      <c r="J568" s="10">
        <f t="shared" si="141"/>
        <v>2.1639092719739191E-10</v>
      </c>
      <c r="K568" s="10">
        <f t="shared" si="142"/>
        <v>6.4694521257629022E-8</v>
      </c>
      <c r="L568" s="10">
        <f t="shared" si="143"/>
        <v>2.7582505785716529E-4</v>
      </c>
      <c r="M568" s="10">
        <f t="shared" si="144"/>
        <v>0.95160411376720977</v>
      </c>
      <c r="N568" s="10">
        <f t="shared" si="145"/>
        <v>0.90149172151886148</v>
      </c>
      <c r="O568" s="10">
        <f t="shared" si="151"/>
        <v>9.45251976702014E-2</v>
      </c>
      <c r="P568" s="10">
        <f t="shared" si="152"/>
        <v>3.225620832943878E-4</v>
      </c>
      <c r="Q568" s="10">
        <f t="shared" si="146"/>
        <v>1.2407071142683199</v>
      </c>
      <c r="S568" s="5">
        <f t="shared" si="147"/>
        <v>2.2750960725471852E-11</v>
      </c>
      <c r="T568" s="5">
        <f t="shared" si="148"/>
        <v>6.8018679495877758E-9</v>
      </c>
      <c r="U568" s="5">
        <f t="shared" si="149"/>
        <v>3.3913608965050206E-5</v>
      </c>
    </row>
    <row r="569" spans="1:21">
      <c r="A569" s="19">
        <f t="shared" si="150"/>
        <v>46.25000000000022</v>
      </c>
      <c r="B569" s="10">
        <f t="shared" si="136"/>
        <v>5.8516649970858806E-8</v>
      </c>
      <c r="C569" s="10">
        <f t="shared" si="138"/>
        <v>0.10471162949362839</v>
      </c>
      <c r="D569" s="10">
        <f t="shared" si="139"/>
        <v>6.1273737709569079E-9</v>
      </c>
      <c r="H569" s="19">
        <f t="shared" si="137"/>
        <v>46.25000000000022</v>
      </c>
      <c r="I569" s="10">
        <f t="shared" si="140"/>
        <v>3.2231402300982727E-3</v>
      </c>
      <c r="J569" s="10">
        <f t="shared" si="141"/>
        <v>1.8860736865165393E-10</v>
      </c>
      <c r="K569" s="10">
        <f t="shared" si="142"/>
        <v>5.8328042602207151E-8</v>
      </c>
      <c r="L569" s="10">
        <f t="shared" si="143"/>
        <v>2.6247625973695713E-4</v>
      </c>
      <c r="M569" s="10">
        <f t="shared" si="144"/>
        <v>0.95132990480538016</v>
      </c>
      <c r="N569" s="10">
        <f t="shared" si="145"/>
        <v>0.90092681252813578</v>
      </c>
      <c r="O569" s="10">
        <f t="shared" si="151"/>
        <v>9.5045024730368022E-2</v>
      </c>
      <c r="P569" s="10">
        <f t="shared" si="152"/>
        <v>3.0695142586265598E-4</v>
      </c>
      <c r="Q569" s="10">
        <f t="shared" si="146"/>
        <v>1.2482064838150333</v>
      </c>
      <c r="S569" s="5">
        <f t="shared" si="147"/>
        <v>1.9749384906020169E-11</v>
      </c>
      <c r="T569" s="5">
        <f t="shared" si="148"/>
        <v>6.1076243860508871E-9</v>
      </c>
      <c r="U569" s="5">
        <f t="shared" si="149"/>
        <v>3.2141383977471376E-5</v>
      </c>
    </row>
    <row r="570" spans="1:21">
      <c r="A570" s="19">
        <f t="shared" si="150"/>
        <v>46.333333333333556</v>
      </c>
      <c r="B570" s="10">
        <f t="shared" si="136"/>
        <v>5.2719218938070454E-8</v>
      </c>
      <c r="C570" s="10">
        <f t="shared" si="138"/>
        <v>0.10428675235553722</v>
      </c>
      <c r="D570" s="10">
        <f t="shared" si="139"/>
        <v>5.4979161297719015E-9</v>
      </c>
      <c r="H570" s="19">
        <f t="shared" si="137"/>
        <v>46.333333333333556</v>
      </c>
      <c r="I570" s="10">
        <f t="shared" si="140"/>
        <v>3.1156904130131566E-3</v>
      </c>
      <c r="J570" s="10">
        <f t="shared" si="141"/>
        <v>1.6425676502688776E-10</v>
      </c>
      <c r="K570" s="10">
        <f t="shared" si="142"/>
        <v>5.2554962173043568E-8</v>
      </c>
      <c r="L570" s="10">
        <f t="shared" si="143"/>
        <v>2.4970151518923168E-4</v>
      </c>
      <c r="M570" s="10">
        <f t="shared" si="144"/>
        <v>0.95105418221429294</v>
      </c>
      <c r="N570" s="10">
        <f t="shared" si="145"/>
        <v>0.90035884591756266</v>
      </c>
      <c r="O570" s="10">
        <f t="shared" si="151"/>
        <v>9.5567411203002273E-2</v>
      </c>
      <c r="P570" s="10">
        <f t="shared" si="152"/>
        <v>2.9201208867198823E-4</v>
      </c>
      <c r="Q570" s="10">
        <f t="shared" si="146"/>
        <v>1.2557511864433877</v>
      </c>
      <c r="S570" s="5">
        <f t="shared" si="147"/>
        <v>1.7129804577080712E-11</v>
      </c>
      <c r="T570" s="5">
        <f t="shared" si="148"/>
        <v>5.4807863251948206E-9</v>
      </c>
      <c r="U570" s="5">
        <f t="shared" si="149"/>
        <v>3.0452992376158814E-5</v>
      </c>
    </row>
    <row r="571" spans="1:21">
      <c r="A571" s="19">
        <f t="shared" si="150"/>
        <v>46.416666666666892</v>
      </c>
      <c r="B571" s="10">
        <f t="shared" si="136"/>
        <v>4.7466215120756427E-8</v>
      </c>
      <c r="C571" s="10">
        <f t="shared" si="138"/>
        <v>0.10386359919579834</v>
      </c>
      <c r="D571" s="10">
        <f t="shared" si="139"/>
        <v>4.9300119426437883E-9</v>
      </c>
      <c r="H571" s="19">
        <f t="shared" si="137"/>
        <v>46.416666666666892</v>
      </c>
      <c r="I571" s="10">
        <f t="shared" si="140"/>
        <v>3.0112454637432327E-3</v>
      </c>
      <c r="J571" s="10">
        <f t="shared" si="141"/>
        <v>1.4293242496343822E-10</v>
      </c>
      <c r="K571" s="10">
        <f t="shared" si="142"/>
        <v>4.7323282695792988E-8</v>
      </c>
      <c r="L571" s="10">
        <f t="shared" si="143"/>
        <v>2.3747967032596457E-4</v>
      </c>
      <c r="M571" s="10">
        <f t="shared" si="144"/>
        <v>0.9507769381043899</v>
      </c>
      <c r="N571" s="10">
        <f t="shared" si="145"/>
        <v>0.89978780730781083</v>
      </c>
      <c r="O571" s="10">
        <f t="shared" si="151"/>
        <v>9.6092366172414401E-2</v>
      </c>
      <c r="P571" s="10">
        <f t="shared" si="152"/>
        <v>2.7771933388621918E-4</v>
      </c>
      <c r="Q571" s="10">
        <f t="shared" si="146"/>
        <v>1.2633414961881928</v>
      </c>
      <c r="S571" s="5">
        <f t="shared" si="147"/>
        <v>1.4845476098486067E-11</v>
      </c>
      <c r="T571" s="5">
        <f t="shared" si="148"/>
        <v>4.915166466545302E-9</v>
      </c>
      <c r="U571" s="5">
        <f t="shared" si="149"/>
        <v>2.8844929583682366E-5</v>
      </c>
    </row>
    <row r="572" spans="1:21">
      <c r="A572" s="19">
        <f t="shared" si="150"/>
        <v>46.500000000000227</v>
      </c>
      <c r="B572" s="10">
        <f t="shared" si="136"/>
        <v>4.270952162470628E-8</v>
      </c>
      <c r="C572" s="10">
        <f t="shared" si="138"/>
        <v>0.10344216301920973</v>
      </c>
      <c r="D572" s="10">
        <f t="shared" si="139"/>
        <v>4.4179652983753304E-9</v>
      </c>
      <c r="H572" s="19">
        <f t="shared" si="137"/>
        <v>46.500000000000227</v>
      </c>
      <c r="I572" s="10">
        <f t="shared" si="140"/>
        <v>2.9097408599097303E-3</v>
      </c>
      <c r="J572" s="10">
        <f t="shared" si="141"/>
        <v>1.2427364017860606E-10</v>
      </c>
      <c r="K572" s="10">
        <f t="shared" si="142"/>
        <v>4.2585247984527673E-8</v>
      </c>
      <c r="L572" s="10">
        <f t="shared" si="143"/>
        <v>2.2579019381456053E-4</v>
      </c>
      <c r="M572" s="10">
        <f t="shared" si="144"/>
        <v>0.9504981645503654</v>
      </c>
      <c r="N572" s="10">
        <f t="shared" si="145"/>
        <v>0.8992136822783795</v>
      </c>
      <c r="O572" s="10">
        <f t="shared" si="151"/>
        <v>9.6619898711486962E-2</v>
      </c>
      <c r="P572" s="10">
        <f t="shared" si="152"/>
        <v>2.6404915165944513E-4</v>
      </c>
      <c r="Q572" s="10">
        <f t="shared" si="146"/>
        <v>1.2709776887407769</v>
      </c>
      <c r="S572" s="5">
        <f t="shared" si="147"/>
        <v>1.2855134146345982E-11</v>
      </c>
      <c r="T572" s="5">
        <f t="shared" si="148"/>
        <v>4.4051101642289847E-9</v>
      </c>
      <c r="U572" s="5">
        <f t="shared" si="149"/>
        <v>2.7313815391040357E-5</v>
      </c>
    </row>
    <row r="573" spans="1:21">
      <c r="A573" s="19">
        <f t="shared" si="150"/>
        <v>46.583333333333563</v>
      </c>
      <c r="B573" s="10">
        <f t="shared" si="136"/>
        <v>3.8404986208500212E-8</v>
      </c>
      <c r="C573" s="10">
        <f t="shared" si="138"/>
        <v>0.10302243685895324</v>
      </c>
      <c r="D573" s="10">
        <f t="shared" si="139"/>
        <v>3.9565752667341828E-9</v>
      </c>
      <c r="H573" s="19">
        <f t="shared" si="137"/>
        <v>46.583333333333563</v>
      </c>
      <c r="I573" s="10">
        <f t="shared" si="140"/>
        <v>2.8111128885803657E-3</v>
      </c>
      <c r="J573" s="10">
        <f t="shared" si="141"/>
        <v>1.0796075171646614E-10</v>
      </c>
      <c r="K573" s="10">
        <f t="shared" si="142"/>
        <v>3.8297025456783746E-8</v>
      </c>
      <c r="L573" s="10">
        <f t="shared" si="143"/>
        <v>2.1461316479421105E-4</v>
      </c>
      <c r="M573" s="10">
        <f t="shared" si="144"/>
        <v>0.95021785359117639</v>
      </c>
      <c r="N573" s="10">
        <f t="shared" si="145"/>
        <v>0.89863645636781653</v>
      </c>
      <c r="O573" s="10">
        <f t="shared" si="151"/>
        <v>9.7150017880984277E-2</v>
      </c>
      <c r="P573" s="10">
        <f t="shared" si="152"/>
        <v>2.5097824601069023E-4</v>
      </c>
      <c r="Q573" s="10">
        <f t="shared" si="146"/>
        <v>1.2786600414589953</v>
      </c>
      <c r="S573" s="5">
        <f t="shared" si="147"/>
        <v>1.1122379726954761E-11</v>
      </c>
      <c r="T573" s="5">
        <f t="shared" si="148"/>
        <v>3.945452887007228E-9</v>
      </c>
      <c r="U573" s="5">
        <f t="shared" si="149"/>
        <v>2.5856390502607167E-5</v>
      </c>
    </row>
    <row r="574" spans="1:21">
      <c r="A574" s="19">
        <f t="shared" si="150"/>
        <v>46.666666666666899</v>
      </c>
      <c r="B574" s="10">
        <f t="shared" si="136"/>
        <v>3.4512120713261494E-8</v>
      </c>
      <c r="C574" s="10">
        <f t="shared" si="138"/>
        <v>0.10260441377647918</v>
      </c>
      <c r="D574" s="10">
        <f t="shared" si="139"/>
        <v>3.5410959139672801E-9</v>
      </c>
      <c r="H574" s="19">
        <f t="shared" si="137"/>
        <v>46.666666666666899</v>
      </c>
      <c r="I574" s="10">
        <f t="shared" si="140"/>
        <v>2.715298651062801E-3</v>
      </c>
      <c r="J574" s="10">
        <f t="shared" si="141"/>
        <v>9.3710714818035488E-11</v>
      </c>
      <c r="K574" s="10">
        <f t="shared" si="142"/>
        <v>3.441840999844346E-8</v>
      </c>
      <c r="L574" s="10">
        <f t="shared" si="143"/>
        <v>2.0392926080316465E-4</v>
      </c>
      <c r="M574" s="10">
        <f t="shared" si="144"/>
        <v>0.94993599722985467</v>
      </c>
      <c r="N574" s="10">
        <f t="shared" si="145"/>
        <v>0.89805611507399608</v>
      </c>
      <c r="O574" s="10">
        <f t="shared" si="151"/>
        <v>9.7682732728848642E-2</v>
      </c>
      <c r="P574" s="10">
        <f t="shared" si="152"/>
        <v>2.3848402071074525E-4</v>
      </c>
      <c r="Q574" s="10">
        <f t="shared" si="146"/>
        <v>1.286388833377309</v>
      </c>
      <c r="S574" s="5">
        <f t="shared" si="147"/>
        <v>9.6151329584793523E-12</v>
      </c>
      <c r="T574" s="5">
        <f t="shared" si="148"/>
        <v>3.531480781008801E-9</v>
      </c>
      <c r="U574" s="5">
        <f t="shared" si="149"/>
        <v>2.4469513140083738E-5</v>
      </c>
    </row>
    <row r="575" spans="1:21">
      <c r="A575" s="19">
        <f t="shared" si="150"/>
        <v>46.750000000000234</v>
      </c>
      <c r="B575" s="10">
        <f t="shared" si="136"/>
        <v>3.0993821050716407E-8</v>
      </c>
      <c r="C575" s="10">
        <f t="shared" si="138"/>
        <v>0.10218808686139165</v>
      </c>
      <c r="D575" s="10">
        <f t="shared" si="139"/>
        <v>3.1671992776970374E-9</v>
      </c>
      <c r="H575" s="19">
        <f t="shared" si="137"/>
        <v>46.750000000000234</v>
      </c>
      <c r="I575" s="10">
        <f t="shared" si="140"/>
        <v>2.6222360672828382E-3</v>
      </c>
      <c r="J575" s="10">
        <f t="shared" si="141"/>
        <v>8.1273115422098637E-11</v>
      </c>
      <c r="K575" s="10">
        <f t="shared" si="142"/>
        <v>3.0912547935294308E-8</v>
      </c>
      <c r="L575" s="10">
        <f t="shared" si="143"/>
        <v>1.9371974572540132E-4</v>
      </c>
      <c r="M575" s="10">
        <f t="shared" si="144"/>
        <v>0.94965258743349268</v>
      </c>
      <c r="N575" s="10">
        <f t="shared" si="145"/>
        <v>0.89747264385434589</v>
      </c>
      <c r="O575" s="10">
        <f t="shared" si="151"/>
        <v>9.8218052289489571E-2</v>
      </c>
      <c r="P575" s="10">
        <f t="shared" si="152"/>
        <v>2.2654456519116581E-4</v>
      </c>
      <c r="Q575" s="10">
        <f t="shared" si="146"/>
        <v>1.2941643452169269</v>
      </c>
      <c r="S575" s="5">
        <f t="shared" si="147"/>
        <v>8.3051441782493245E-12</v>
      </c>
      <c r="T575" s="5">
        <f t="shared" si="148"/>
        <v>3.1588941335187879E-9</v>
      </c>
      <c r="U575" s="5">
        <f t="shared" si="149"/>
        <v>2.3150155705731054E-5</v>
      </c>
    </row>
    <row r="576" spans="1:21">
      <c r="A576" s="19">
        <f t="shared" si="150"/>
        <v>46.83333333333357</v>
      </c>
      <c r="B576" s="10">
        <f t="shared" si="136"/>
        <v>2.7816106521534934E-8</v>
      </c>
      <c r="C576" s="10">
        <f t="shared" si="138"/>
        <v>0.10177344923133433</v>
      </c>
      <c r="D576" s="10">
        <f t="shared" si="139"/>
        <v>2.8309411048828233E-9</v>
      </c>
      <c r="H576" s="19">
        <f t="shared" si="137"/>
        <v>46.83333333333357</v>
      </c>
      <c r="I576" s="10">
        <f t="shared" si="140"/>
        <v>2.5318638797493043E-3</v>
      </c>
      <c r="J576" s="10">
        <f t="shared" si="141"/>
        <v>7.0426595377133369E-11</v>
      </c>
      <c r="K576" s="10">
        <f t="shared" si="142"/>
        <v>2.7745679926157798E-8</v>
      </c>
      <c r="L576" s="10">
        <f t="shared" si="143"/>
        <v>1.8396645776508564E-4</v>
      </c>
      <c r="M576" s="10">
        <f t="shared" si="144"/>
        <v>0.94936761613307696</v>
      </c>
      <c r="N576" s="10">
        <f t="shared" si="145"/>
        <v>0.89688602812608686</v>
      </c>
      <c r="O576" s="10">
        <f t="shared" si="151"/>
        <v>9.8755985583059161E-2</v>
      </c>
      <c r="P576" s="10">
        <f t="shared" si="152"/>
        <v>2.1513864048527327E-4</v>
      </c>
      <c r="Q576" s="10">
        <f t="shared" si="146"/>
        <v>1.3019868593959854</v>
      </c>
      <c r="S576" s="5">
        <f t="shared" si="147"/>
        <v>7.1675575291504078E-12</v>
      </c>
      <c r="T576" s="5">
        <f t="shared" si="148"/>
        <v>2.8237735473536726E-9</v>
      </c>
      <c r="U576" s="5">
        <f t="shared" si="149"/>
        <v>2.1895401505126248E-5</v>
      </c>
    </row>
    <row r="577" spans="1:21">
      <c r="A577" s="19">
        <f t="shared" si="150"/>
        <v>46.916666666666906</v>
      </c>
      <c r="B577" s="10">
        <f t="shared" si="136"/>
        <v>2.4947877296031609E-8</v>
      </c>
      <c r="C577" s="10">
        <f t="shared" si="138"/>
        <v>0.10136049403187671</v>
      </c>
      <c r="D577" s="10">
        <f t="shared" si="139"/>
        <v>2.5287291677724043E-9</v>
      </c>
      <c r="H577" s="19">
        <f t="shared" si="137"/>
        <v>46.916666666666906</v>
      </c>
      <c r="I577" s="10">
        <f t="shared" si="140"/>
        <v>2.4441216571082169E-3</v>
      </c>
      <c r="J577" s="10">
        <f t="shared" si="141"/>
        <v>6.0975647198109233E-11</v>
      </c>
      <c r="K577" s="10">
        <f t="shared" si="142"/>
        <v>2.4886901648833502E-8</v>
      </c>
      <c r="L577" s="10">
        <f t="shared" si="143"/>
        <v>1.7465179745688574E-4</v>
      </c>
      <c r="M577" s="10">
        <f t="shared" si="144"/>
        <v>0.94908107522345553</v>
      </c>
      <c r="N577" s="10">
        <f t="shared" si="145"/>
        <v>0.8962962532665546</v>
      </c>
      <c r="O577" s="10">
        <f t="shared" si="151"/>
        <v>9.9296541614728367E-2</v>
      </c>
      <c r="P577" s="10">
        <f t="shared" si="152"/>
        <v>2.0424566521066279E-4</v>
      </c>
      <c r="Q577" s="10">
        <f t="shared" si="146"/>
        <v>1.3098566600398249</v>
      </c>
      <c r="S577" s="5">
        <f t="shared" si="147"/>
        <v>6.1805217239137703E-12</v>
      </c>
      <c r="T577" s="5">
        <f t="shared" si="148"/>
        <v>2.5225486460484909E-9</v>
      </c>
      <c r="U577" s="5">
        <f t="shared" si="149"/>
        <v>2.0702441529622074E-5</v>
      </c>
    </row>
    <row r="578" spans="1:21">
      <c r="A578" s="19">
        <f t="shared" si="150"/>
        <v>47.000000000000242</v>
      </c>
      <c r="B578" s="10">
        <f t="shared" si="136"/>
        <v>2.2360688947386874E-8</v>
      </c>
      <c r="C578" s="10">
        <f t="shared" si="138"/>
        <v>0.10094921443640074</v>
      </c>
      <c r="D578" s="10">
        <f t="shared" si="139"/>
        <v>2.2572939834954135E-9</v>
      </c>
      <c r="H578" s="19">
        <f t="shared" si="137"/>
        <v>47.000000000000242</v>
      </c>
      <c r="I578" s="10">
        <f t="shared" si="140"/>
        <v>2.3589497972888803E-3</v>
      </c>
      <c r="J578" s="10">
        <f t="shared" si="141"/>
        <v>5.2747742659677974E-11</v>
      </c>
      <c r="K578" s="10">
        <f t="shared" si="142"/>
        <v>2.2307941204727196E-8</v>
      </c>
      <c r="L578" s="10">
        <f t="shared" si="143"/>
        <v>1.657587157200903E-4</v>
      </c>
      <c r="M578" s="10">
        <f t="shared" si="144"/>
        <v>0.94879295656319762</v>
      </c>
      <c r="N578" s="10">
        <f t="shared" si="145"/>
        <v>0.89570330461336467</v>
      </c>
      <c r="O578" s="10">
        <f t="shared" si="151"/>
        <v>9.9839729373939146E-2</v>
      </c>
      <c r="P578" s="10">
        <f t="shared" si="152"/>
        <v>1.9384570160253667E-4</v>
      </c>
      <c r="Q578" s="10">
        <f t="shared" si="146"/>
        <v>1.3177740329912913</v>
      </c>
      <c r="S578" s="5">
        <f t="shared" si="147"/>
        <v>5.3248431847879151E-12</v>
      </c>
      <c r="T578" s="5">
        <f t="shared" si="148"/>
        <v>2.2519691403106257E-9</v>
      </c>
      <c r="U578" s="5">
        <f t="shared" si="149"/>
        <v>1.9568571298649026E-5</v>
      </c>
    </row>
    <row r="579" spans="1:21">
      <c r="A579" s="19">
        <f t="shared" si="150"/>
        <v>47.083333333333577</v>
      </c>
      <c r="B579" s="10">
        <f t="shared" si="136"/>
        <v>2.0028542983605962E-8</v>
      </c>
      <c r="C579" s="10">
        <f t="shared" si="138"/>
        <v>0.10053960364598805</v>
      </c>
      <c r="D579" s="10">
        <f t="shared" si="139"/>
        <v>2.0136617731783783E-9</v>
      </c>
      <c r="H579" s="19">
        <f t="shared" si="137"/>
        <v>47.083333333333577</v>
      </c>
      <c r="I579" s="10">
        <f t="shared" si="140"/>
        <v>2.2762895302448627E-3</v>
      </c>
      <c r="J579" s="10">
        <f t="shared" si="141"/>
        <v>4.5590762699641455E-11</v>
      </c>
      <c r="K579" s="10">
        <f t="shared" si="142"/>
        <v>1.9982952220906321E-8</v>
      </c>
      <c r="L579" s="10">
        <f t="shared" si="143"/>
        <v>1.5727070196418306E-4</v>
      </c>
      <c r="M579" s="10">
        <f t="shared" si="144"/>
        <v>0.94850325197454</v>
      </c>
      <c r="N579" s="10">
        <f t="shared" si="145"/>
        <v>0.89510716746481889</v>
      </c>
      <c r="O579" s="10">
        <f t="shared" si="151"/>
        <v>0.10038555783366543</v>
      </c>
      <c r="P579" s="10">
        <f t="shared" si="152"/>
        <v>1.8391944160685847E-4</v>
      </c>
      <c r="Q579" s="10">
        <f t="shared" si="146"/>
        <v>1.3257392658211369</v>
      </c>
      <c r="S579" s="5">
        <f t="shared" si="147"/>
        <v>4.5836772117402481E-12</v>
      </c>
      <c r="T579" s="5">
        <f t="shared" si="148"/>
        <v>2.009078095966638E-9</v>
      </c>
      <c r="U579" s="5">
        <f t="shared" si="149"/>
        <v>1.8491187761944992E-5</v>
      </c>
    </row>
    <row r="580" spans="1:21">
      <c r="A580" s="19">
        <f t="shared" si="150"/>
        <v>47.166666666666913</v>
      </c>
      <c r="B580" s="10">
        <f t="shared" si="136"/>
        <v>1.7927692378502904E-8</v>
      </c>
      <c r="C580" s="10">
        <f t="shared" si="138"/>
        <v>0.10013165488930743</v>
      </c>
      <c r="D580" s="10">
        <f t="shared" si="139"/>
        <v>1.7951295062059199E-9</v>
      </c>
      <c r="H580" s="19">
        <f t="shared" si="137"/>
        <v>47.166666666666913</v>
      </c>
      <c r="I580" s="10">
        <f t="shared" si="140"/>
        <v>2.1960829202931549E-3</v>
      </c>
      <c r="J580" s="10">
        <f t="shared" si="141"/>
        <v>3.9370699032699993E-11</v>
      </c>
      <c r="K580" s="10">
        <f t="shared" si="142"/>
        <v>1.7888321679470204E-8</v>
      </c>
      <c r="L580" s="10">
        <f t="shared" si="143"/>
        <v>1.4917177225334631E-4</v>
      </c>
      <c r="M580" s="10">
        <f t="shared" si="144"/>
        <v>0.94821195324325802</v>
      </c>
      <c r="N580" s="10">
        <f t="shared" si="145"/>
        <v>0.89450782708005028</v>
      </c>
      <c r="O580" s="10">
        <f t="shared" si="151"/>
        <v>0.10093403594964581</v>
      </c>
      <c r="P580" s="10">
        <f t="shared" si="152"/>
        <v>1.7444819304210092E-4</v>
      </c>
      <c r="Q580" s="10">
        <f t="shared" si="146"/>
        <v>1.3337526478384463</v>
      </c>
      <c r="S580" s="5">
        <f t="shared" si="147"/>
        <v>3.9422532482931055E-12</v>
      </c>
      <c r="T580" s="5">
        <f t="shared" si="148"/>
        <v>1.7911872529576267E-9</v>
      </c>
      <c r="U580" s="5">
        <f t="shared" si="149"/>
        <v>1.7467786261754933E-5</v>
      </c>
    </row>
    <row r="581" spans="1:21">
      <c r="A581" s="19">
        <f t="shared" si="150"/>
        <v>47.250000000000249</v>
      </c>
      <c r="B581" s="10">
        <f t="shared" si="136"/>
        <v>1.603646115405421E-8</v>
      </c>
      <c r="C581" s="10">
        <f t="shared" si="138"/>
        <v>9.9725361422503073E-2</v>
      </c>
      <c r="D581" s="10">
        <f t="shared" si="139"/>
        <v>1.5992418845259868E-9</v>
      </c>
      <c r="H581" s="19">
        <f t="shared" si="137"/>
        <v>47.250000000000249</v>
      </c>
      <c r="I581" s="10">
        <f t="shared" si="140"/>
        <v>2.1182728680549769E-3</v>
      </c>
      <c r="J581" s="10">
        <f t="shared" si="141"/>
        <v>3.3969600562250639E-11</v>
      </c>
      <c r="K581" s="10">
        <f t="shared" si="142"/>
        <v>1.600249155349196E-8</v>
      </c>
      <c r="L581" s="10">
        <f t="shared" si="143"/>
        <v>1.4144645753710395E-4</v>
      </c>
      <c r="M581" s="10">
        <f t="shared" si="144"/>
        <v>0.94791905211862859</v>
      </c>
      <c r="N581" s="10">
        <f t="shared" si="145"/>
        <v>0.89390526867940434</v>
      </c>
      <c r="O581" s="10">
        <f t="shared" si="151"/>
        <v>0.1014851726596237</v>
      </c>
      <c r="P581" s="10">
        <f t="shared" si="152"/>
        <v>1.6541386583805099E-4</v>
      </c>
      <c r="Q581" s="10">
        <f t="shared" si="146"/>
        <v>1.3418144701011632</v>
      </c>
      <c r="S581" s="5">
        <f t="shared" si="147"/>
        <v>3.3876306934485084E-12</v>
      </c>
      <c r="T581" s="5">
        <f t="shared" si="148"/>
        <v>1.5958542538325384E-9</v>
      </c>
      <c r="U581" s="5">
        <f t="shared" si="149"/>
        <v>1.6495957554993068E-5</v>
      </c>
    </row>
    <row r="582" spans="1:21">
      <c r="A582" s="19">
        <f t="shared" si="150"/>
        <v>47.333333333333584</v>
      </c>
      <c r="B582" s="10">
        <f t="shared" si="136"/>
        <v>1.433507711658166E-8</v>
      </c>
      <c r="C582" s="10">
        <f t="shared" si="138"/>
        <v>9.9320716529082961E-2</v>
      </c>
      <c r="D582" s="10">
        <f t="shared" si="139"/>
        <v>1.423770130718551E-9</v>
      </c>
      <c r="H582" s="19">
        <f t="shared" si="137"/>
        <v>47.333333333333584</v>
      </c>
      <c r="I582" s="10">
        <f t="shared" si="140"/>
        <v>2.0428031120019847E-3</v>
      </c>
      <c r="J582" s="10">
        <f t="shared" si="141"/>
        <v>2.9283740144541452E-11</v>
      </c>
      <c r="K582" s="10">
        <f t="shared" si="142"/>
        <v>1.4305793376437118E-8</v>
      </c>
      <c r="L582" s="10">
        <f t="shared" si="143"/>
        <v>1.3407979195410942E-4</v>
      </c>
      <c r="M582" s="10">
        <f t="shared" si="144"/>
        <v>0.94762454031326238</v>
      </c>
      <c r="N582" s="10">
        <f t="shared" si="145"/>
        <v>0.89329947744470317</v>
      </c>
      <c r="O582" s="10">
        <f t="shared" si="151"/>
        <v>0.10203897688256498</v>
      </c>
      <c r="P582" s="10">
        <f t="shared" si="152"/>
        <v>1.5679895835989409E-4</v>
      </c>
      <c r="Q582" s="10">
        <f t="shared" si="146"/>
        <v>1.3499250254266444</v>
      </c>
      <c r="S582" s="5">
        <f t="shared" si="147"/>
        <v>2.9084820538073283E-12</v>
      </c>
      <c r="T582" s="5">
        <f t="shared" si="148"/>
        <v>1.4208616486647437E-9</v>
      </c>
      <c r="U582" s="5">
        <f t="shared" si="149"/>
        <v>1.5573384895318523E-5</v>
      </c>
    </row>
    <row r="583" spans="1:21">
      <c r="A583" s="19">
        <f t="shared" si="150"/>
        <v>47.41666666666692</v>
      </c>
      <c r="B583" s="10">
        <f t="shared" si="136"/>
        <v>1.2805516897371919E-8</v>
      </c>
      <c r="C583" s="10">
        <f t="shared" si="138"/>
        <v>9.8917713519807798E-2</v>
      </c>
      <c r="D583" s="10">
        <f t="shared" si="139"/>
        <v>1.2666924519272935E-9</v>
      </c>
      <c r="H583" s="19">
        <f t="shared" si="137"/>
        <v>47.41666666666692</v>
      </c>
      <c r="I583" s="10">
        <f t="shared" si="140"/>
        <v>1.9696182296119226E-3</v>
      </c>
      <c r="J583" s="10">
        <f t="shared" si="141"/>
        <v>2.5221979520667237E-11</v>
      </c>
      <c r="K583" s="10">
        <f t="shared" si="142"/>
        <v>1.2780294917851251E-8</v>
      </c>
      <c r="L583" s="10">
        <f t="shared" si="143"/>
        <v>1.2705730121581078E-4</v>
      </c>
      <c r="M583" s="10">
        <f t="shared" si="144"/>
        <v>0.94732840950309616</v>
      </c>
      <c r="N583" s="10">
        <f t="shared" si="145"/>
        <v>0.89269043851954055</v>
      </c>
      <c r="O583" s="10">
        <f t="shared" si="151"/>
        <v>0.10259545751787549</v>
      </c>
      <c r="P583" s="10">
        <f t="shared" si="152"/>
        <v>1.4858654382547587E-4</v>
      </c>
      <c r="Q583" s="10">
        <f t="shared" si="146"/>
        <v>1.3580846084023122</v>
      </c>
      <c r="S583" s="5">
        <f t="shared" si="147"/>
        <v>2.4949005446278211E-12</v>
      </c>
      <c r="T583" s="5">
        <f t="shared" si="148"/>
        <v>1.2641975513826656E-9</v>
      </c>
      <c r="U583" s="5">
        <f t="shared" si="149"/>
        <v>1.4697841175026788E-5</v>
      </c>
    </row>
    <row r="584" spans="1:21">
      <c r="A584" s="19">
        <f t="shared" si="150"/>
        <v>47.500000000000256</v>
      </c>
      <c r="B584" s="10">
        <f t="shared" si="136"/>
        <v>1.1431362494584324E-8</v>
      </c>
      <c r="C584" s="10">
        <f t="shared" si="138"/>
        <v>9.8516345732580557E-2</v>
      </c>
      <c r="D584" s="10">
        <f t="shared" si="139"/>
        <v>1.1261760597109239E-9</v>
      </c>
      <c r="H584" s="19">
        <f t="shared" si="137"/>
        <v>47.500000000000256</v>
      </c>
      <c r="I584" s="10">
        <f t="shared" si="140"/>
        <v>1.8986636381379419E-3</v>
      </c>
      <c r="J584" s="10">
        <f t="shared" si="141"/>
        <v>2.1704312302841092E-11</v>
      </c>
      <c r="K584" s="10">
        <f t="shared" si="142"/>
        <v>1.1409658182281483E-8</v>
      </c>
      <c r="L584" s="10">
        <f t="shared" si="143"/>
        <v>1.2036499107652983E-4</v>
      </c>
      <c r="M584" s="10">
        <f t="shared" si="144"/>
        <v>0.9470306513272484</v>
      </c>
      <c r="N584" s="10">
        <f t="shared" si="145"/>
        <v>0.89207813700959804</v>
      </c>
      <c r="O584" s="10">
        <f t="shared" si="151"/>
        <v>0.10315462344460247</v>
      </c>
      <c r="P584" s="10">
        <f t="shared" si="152"/>
        <v>1.4076025682341068E-4</v>
      </c>
      <c r="Q584" s="10">
        <f t="shared" si="146"/>
        <v>1.3662935153963376</v>
      </c>
      <c r="S584" s="5">
        <f t="shared" si="147"/>
        <v>2.1382295347145949E-12</v>
      </c>
      <c r="T584" s="5">
        <f t="shared" si="148"/>
        <v>1.1240378301762091E-9</v>
      </c>
      <c r="U584" s="5">
        <f t="shared" si="149"/>
        <v>1.3867186126621957E-5</v>
      </c>
    </row>
    <row r="585" spans="1:21">
      <c r="A585" s="19">
        <f t="shared" si="150"/>
        <v>47.583333333333591</v>
      </c>
      <c r="B585" s="10">
        <f t="shared" si="136"/>
        <v>1.0197668557650176E-8</v>
      </c>
      <c r="C585" s="10">
        <f t="shared" si="138"/>
        <v>9.8116606532336281E-2</v>
      </c>
      <c r="D585" s="10">
        <f t="shared" si="139"/>
        <v>1.0005606334181394E-9</v>
      </c>
      <c r="H585" s="19">
        <f t="shared" si="137"/>
        <v>47.583333333333591</v>
      </c>
      <c r="I585" s="10">
        <f t="shared" si="140"/>
        <v>1.8298855949961121E-3</v>
      </c>
      <c r="J585" s="10">
        <f t="shared" si="141"/>
        <v>1.8660566796188837E-11</v>
      </c>
      <c r="K585" s="10">
        <f t="shared" si="142"/>
        <v>1.0179007990853987E-8</v>
      </c>
      <c r="L585" s="10">
        <f t="shared" si="143"/>
        <v>1.1398933589620448E-4</v>
      </c>
      <c r="M585" s="10">
        <f t="shared" si="144"/>
        <v>0.94673125738796782</v>
      </c>
      <c r="N585" s="10">
        <f t="shared" si="145"/>
        <v>0.89146255798295904</v>
      </c>
      <c r="O585" s="10">
        <f t="shared" si="151"/>
        <v>0.10371648352063037</v>
      </c>
      <c r="P585" s="10">
        <f t="shared" si="152"/>
        <v>1.3330427993936555E-4</v>
      </c>
      <c r="Q585" s="10">
        <f t="shared" si="146"/>
        <v>1.3745520445684225</v>
      </c>
      <c r="S585" s="5">
        <f t="shared" si="147"/>
        <v>1.8309114900120392E-12</v>
      </c>
      <c r="T585" s="5">
        <f t="shared" si="148"/>
        <v>9.9872972192812752E-10</v>
      </c>
      <c r="U585" s="5">
        <f t="shared" si="149"/>
        <v>1.3079363583887138E-5</v>
      </c>
    </row>
    <row r="586" spans="1:21">
      <c r="A586" s="19">
        <f t="shared" si="150"/>
        <v>47.666666666666927</v>
      </c>
      <c r="B586" s="10">
        <f t="shared" si="136"/>
        <v>9.0908396978652176E-9</v>
      </c>
      <c r="C586" s="10">
        <f t="shared" si="138"/>
        <v>9.771848931093241E-2</v>
      </c>
      <c r="D586" s="10">
        <f t="shared" si="139"/>
        <v>8.8834312184324233E-10</v>
      </c>
      <c r="H586" s="19">
        <f t="shared" si="137"/>
        <v>47.666666666666927</v>
      </c>
      <c r="I586" s="10">
        <f t="shared" si="140"/>
        <v>1.7632311977758336E-3</v>
      </c>
      <c r="J586" s="10">
        <f t="shared" si="141"/>
        <v>1.6029252169254986E-11</v>
      </c>
      <c r="K586" s="10">
        <f t="shared" si="142"/>
        <v>9.0748104456959627E-9</v>
      </c>
      <c r="L586" s="10">
        <f t="shared" si="143"/>
        <v>1.0791726730183308E-4</v>
      </c>
      <c r="M586" s="10">
        <f t="shared" si="144"/>
        <v>0.94643021925050452</v>
      </c>
      <c r="N586" s="10">
        <f t="shared" si="145"/>
        <v>0.89084368647041112</v>
      </c>
      <c r="O586" s="10">
        <f t="shared" si="151"/>
        <v>0.10428104658186262</v>
      </c>
      <c r="P586" s="10">
        <f t="shared" si="152"/>
        <v>1.2620333049760159E-4</v>
      </c>
      <c r="Q586" s="10">
        <f t="shared" si="146"/>
        <v>1.3828604958806097</v>
      </c>
      <c r="S586" s="5">
        <f t="shared" si="147"/>
        <v>1.5663543067635834E-12</v>
      </c>
      <c r="T586" s="5">
        <f t="shared" si="148"/>
        <v>8.867767675364787E-10</v>
      </c>
      <c r="U586" s="5">
        <f t="shared" si="149"/>
        <v>1.2332398802233951E-5</v>
      </c>
    </row>
    <row r="587" spans="1:21">
      <c r="A587" s="19">
        <f t="shared" si="150"/>
        <v>47.750000000000263</v>
      </c>
      <c r="B587" s="10">
        <f t="shared" si="136"/>
        <v>8.0985171495578085E-9</v>
      </c>
      <c r="C587" s="10">
        <f t="shared" si="138"/>
        <v>9.7321987487039519E-2</v>
      </c>
      <c r="D587" s="10">
        <f t="shared" si="139"/>
        <v>7.8816378469284003E-10</v>
      </c>
      <c r="H587" s="19">
        <f t="shared" si="137"/>
        <v>47.750000000000263</v>
      </c>
      <c r="I587" s="10">
        <f t="shared" si="140"/>
        <v>1.6986483838781507E-3</v>
      </c>
      <c r="J587" s="10">
        <f t="shared" si="141"/>
        <v>1.3756533067905859E-11</v>
      </c>
      <c r="K587" s="10">
        <f t="shared" si="142"/>
        <v>8.0847606164899025E-9</v>
      </c>
      <c r="L587" s="10">
        <f t="shared" si="143"/>
        <v>1.0213616295338918E-4</v>
      </c>
      <c r="M587" s="10">
        <f t="shared" si="144"/>
        <v>0.9461275284430799</v>
      </c>
      <c r="N587" s="10">
        <f t="shared" si="145"/>
        <v>0.89022150746581974</v>
      </c>
      <c r="O587" s="10">
        <f t="shared" si="151"/>
        <v>0.1048483214414009</v>
      </c>
      <c r="P587" s="10">
        <f t="shared" si="152"/>
        <v>1.1944264742453614E-4</v>
      </c>
      <c r="Q587" s="10">
        <f t="shared" si="146"/>
        <v>1.3912191711081989</v>
      </c>
      <c r="S587" s="5">
        <f t="shared" si="147"/>
        <v>1.3388131390997794E-12</v>
      </c>
      <c r="T587" s="5">
        <f t="shared" si="148"/>
        <v>7.8682497155374017E-10</v>
      </c>
      <c r="U587" s="5">
        <f t="shared" si="149"/>
        <v>1.162439583806958E-5</v>
      </c>
    </row>
    <row r="588" spans="1:21">
      <c r="A588" s="19">
        <f t="shared" si="150"/>
        <v>47.833333333333599</v>
      </c>
      <c r="B588" s="10">
        <f t="shared" si="136"/>
        <v>7.2094741451171454E-9</v>
      </c>
      <c r="C588" s="10">
        <f t="shared" si="138"/>
        <v>9.6927094506032568E-2</v>
      </c>
      <c r="D588" s="10">
        <f t="shared" si="139"/>
        <v>6.9879338180256788E-10</v>
      </c>
      <c r="H588" s="19">
        <f t="shared" si="137"/>
        <v>47.833333333333599</v>
      </c>
      <c r="I588" s="10">
        <f t="shared" si="140"/>
        <v>1.6360859297871076E-3</v>
      </c>
      <c r="J588" s="10">
        <f t="shared" si="141"/>
        <v>1.1795319209990098E-11</v>
      </c>
      <c r="K588" s="10">
        <f t="shared" si="142"/>
        <v>7.1976788259071549E-9</v>
      </c>
      <c r="L588" s="10">
        <f t="shared" si="143"/>
        <v>9.6633835419749771E-5</v>
      </c>
      <c r="M588" s="10">
        <f t="shared" si="144"/>
        <v>0.94582317645674652</v>
      </c>
      <c r="N588" s="10">
        <f t="shared" si="145"/>
        <v>0.88959600592642152</v>
      </c>
      <c r="O588" s="10">
        <f t="shared" si="151"/>
        <v>0.10541831688870529</v>
      </c>
      <c r="P588" s="10">
        <f t="shared" si="152"/>
        <v>1.1300797824082398E-4</v>
      </c>
      <c r="Q588" s="10">
        <f t="shared" si="146"/>
        <v>1.3996283738506865</v>
      </c>
      <c r="S588" s="5">
        <f t="shared" si="147"/>
        <v>1.1432860197955316E-12</v>
      </c>
      <c r="T588" s="5">
        <f t="shared" si="148"/>
        <v>6.9765009578277236E-10</v>
      </c>
      <c r="U588" s="5">
        <f t="shared" si="149"/>
        <v>1.0953534986884019E-5</v>
      </c>
    </row>
    <row r="589" spans="1:21">
      <c r="A589" s="19">
        <f t="shared" si="150"/>
        <v>47.916666666666934</v>
      </c>
      <c r="B589" s="10">
        <f t="shared" si="136"/>
        <v>6.413519404326015E-9</v>
      </c>
      <c r="C589" s="10">
        <f t="shared" si="138"/>
        <v>9.6533803839882443E-2</v>
      </c>
      <c r="D589" s="10">
        <f t="shared" si="139"/>
        <v>6.1912142410048727E-10</v>
      </c>
      <c r="H589" s="19">
        <f t="shared" si="137"/>
        <v>47.916666666666934</v>
      </c>
      <c r="I589" s="10">
        <f t="shared" si="140"/>
        <v>1.5754934499796049E-3</v>
      </c>
      <c r="J589" s="10">
        <f t="shared" si="141"/>
        <v>1.0104457812832734E-11</v>
      </c>
      <c r="K589" s="10">
        <f t="shared" si="142"/>
        <v>6.4034149465131817E-9</v>
      </c>
      <c r="L589" s="10">
        <f t="shared" si="143"/>
        <v>9.139852116990619E-5</v>
      </c>
      <c r="M589" s="10">
        <f t="shared" si="144"/>
        <v>0.94551715474534981</v>
      </c>
      <c r="N589" s="10">
        <f t="shared" si="145"/>
        <v>0.88896716677318188</v>
      </c>
      <c r="O589" s="10">
        <f t="shared" si="151"/>
        <v>0.10599104168875204</v>
      </c>
      <c r="P589" s="10">
        <f t="shared" si="152"/>
        <v>1.0688556618813373E-4</v>
      </c>
      <c r="Q589" s="10">
        <f t="shared" si="146"/>
        <v>1.4080884095428141</v>
      </c>
      <c r="S589" s="5">
        <f t="shared" si="147"/>
        <v>9.7542174841236262E-13</v>
      </c>
      <c r="T589" s="5">
        <f t="shared" si="148"/>
        <v>6.1814600235207478E-10</v>
      </c>
      <c r="U589" s="5">
        <f t="shared" si="149"/>
        <v>1.0318070279720073E-5</v>
      </c>
    </row>
    <row r="590" spans="1:21">
      <c r="A590" s="19">
        <f t="shared" si="150"/>
        <v>48.00000000000027</v>
      </c>
      <c r="B590" s="10">
        <f t="shared" ref="B590:B653" si="153">(B$9^A590)*B$10^((B$7^65)*((B$7^A590)-1))</f>
        <v>5.7014081739085227E-9</v>
      </c>
      <c r="C590" s="10">
        <f t="shared" si="138"/>
        <v>9.6142108987048183E-2</v>
      </c>
      <c r="D590" s="10">
        <f t="shared" si="139"/>
        <v>5.4814540603556056E-10</v>
      </c>
      <c r="H590" s="19">
        <f t="shared" ref="H590:H653" si="154">A590</f>
        <v>48.00000000000027</v>
      </c>
      <c r="I590" s="10">
        <f t="shared" si="140"/>
        <v>1.5168213954793366E-3</v>
      </c>
      <c r="J590" s="10">
        <f t="shared" si="141"/>
        <v>8.648017902545222E-12</v>
      </c>
      <c r="K590" s="10">
        <f t="shared" si="142"/>
        <v>5.692760156005977E-9</v>
      </c>
      <c r="L590" s="10">
        <f t="shared" si="143"/>
        <v>8.6418869684502323E-5</v>
      </c>
      <c r="M590" s="10">
        <f t="shared" si="144"/>
        <v>0.94520945472540085</v>
      </c>
      <c r="N590" s="10">
        <f t="shared" si="145"/>
        <v>0.88833497489115254</v>
      </c>
      <c r="O590" s="10">
        <f t="shared" si="151"/>
        <v>0.10656650458117589</v>
      </c>
      <c r="P590" s="10">
        <f t="shared" si="152"/>
        <v>1.0106213749653198E-4</v>
      </c>
      <c r="Q590" s="10">
        <f t="shared" si="146"/>
        <v>1.4165995854656408</v>
      </c>
      <c r="S590" s="5">
        <f t="shared" si="147"/>
        <v>8.3143867970844653E-13</v>
      </c>
      <c r="T590" s="5">
        <f t="shared" si="148"/>
        <v>5.4731396735585208E-10</v>
      </c>
      <c r="U590" s="5">
        <f t="shared" si="149"/>
        <v>9.7163270376556266E-6</v>
      </c>
    </row>
    <row r="591" spans="1:21">
      <c r="A591" s="19">
        <f t="shared" si="150"/>
        <v>48.083333333333606</v>
      </c>
      <c r="B591" s="10">
        <f t="shared" si="153"/>
        <v>5.0647602870132394E-9</v>
      </c>
      <c r="C591" s="10">
        <f t="shared" ref="C591:C654" si="155">(1+B$8)^-A591</f>
        <v>9.5752003472369424E-2</v>
      </c>
      <c r="D591" s="10">
        <f t="shared" ref="D591:D654" si="156">B591*C591</f>
        <v>4.849609445888105E-10</v>
      </c>
      <c r="H591" s="19">
        <f t="shared" si="154"/>
        <v>48.083333333333606</v>
      </c>
      <c r="I591" s="10">
        <f t="shared" ref="I591:I654" si="157">(C$9^H591)*C$10^((C$7^63)*((C$7^H591)-1))</f>
        <v>1.4600210520606418E-3</v>
      </c>
      <c r="J591" s="10">
        <f t="shared" ref="J591:J654" si="158">B591*I591</f>
        <v>7.3946566426800279E-12</v>
      </c>
      <c r="K591" s="10">
        <f t="shared" ref="K591:K654" si="159">B591*(1-I591)</f>
        <v>5.0573656303705592E-9</v>
      </c>
      <c r="L591" s="10">
        <f t="shared" ref="L591:L654" si="160">(D$9^H591)*D$10^((D$7^63)*((D$7^H591)-1))</f>
        <v>8.168393269247391E-5</v>
      </c>
      <c r="M591" s="10">
        <f t="shared" ref="M591:M654" si="161">L592/L591</f>
        <v>0.94490006777604918</v>
      </c>
      <c r="N591" s="10">
        <f t="shared" ref="N591:N654" si="162">B592/B591</f>
        <v>0.88769941512981432</v>
      </c>
      <c r="O591" s="10">
        <f t="shared" si="151"/>
        <v>0.10714471427940778</v>
      </c>
      <c r="P591" s="10">
        <f t="shared" si="152"/>
        <v>9.5524888798069528E-5</v>
      </c>
      <c r="Q591" s="10">
        <f t="shared" ref="Q591:Q654" si="163">0.0001+0.0004*(1.075^(65+H591))</f>
        <v>1.4251622107577246</v>
      </c>
      <c r="S591" s="5">
        <f t="shared" ref="S591:S654" si="164">C591*J591</f>
        <v>7.080531885268777E-13</v>
      </c>
      <c r="T591" s="5">
        <f t="shared" ref="T591:T654" si="165">C591*K591</f>
        <v>4.8425289140028361E-10</v>
      </c>
      <c r="U591" s="5">
        <f t="shared" ref="U591:U654" si="166">C591*P591</f>
        <v>9.1466994838904569E-6</v>
      </c>
    </row>
    <row r="592" spans="1:21">
      <c r="A592" s="19">
        <f t="shared" ref="A592:A655" si="167">A591+1/12</f>
        <v>48.166666666666941</v>
      </c>
      <c r="B592" s="10">
        <f t="shared" si="153"/>
        <v>4.4959847445543634E-9</v>
      </c>
      <c r="C592" s="10">
        <f t="shared" si="155"/>
        <v>9.536348084695935E-2</v>
      </c>
      <c r="D592" s="10">
        <f t="shared" si="156"/>
        <v>4.2875275507553148E-10</v>
      </c>
      <c r="H592" s="19">
        <f t="shared" si="154"/>
        <v>48.166666666666941</v>
      </c>
      <c r="I592" s="10">
        <f t="shared" si="157"/>
        <v>1.405044538108311E-3</v>
      </c>
      <c r="J592" s="10">
        <f t="shared" si="158"/>
        <v>6.317058808754398E-12</v>
      </c>
      <c r="K592" s="10">
        <f t="shared" si="159"/>
        <v>4.4896676857456092E-9</v>
      </c>
      <c r="L592" s="10">
        <f t="shared" si="160"/>
        <v>7.7183153537332841E-5</v>
      </c>
      <c r="M592" s="10">
        <f t="shared" si="161"/>
        <v>0.94458898523893819</v>
      </c>
      <c r="N592" s="10">
        <f t="shared" si="162"/>
        <v>0.88706047230346563</v>
      </c>
      <c r="O592" s="10">
        <f t="shared" ref="O592:O655" si="168">(1/24)*(Q592*M592+(J593/J592)*Q593)</f>
        <v>0.10772567946979612</v>
      </c>
      <c r="P592" s="10">
        <f t="shared" ref="P592:P655" si="169">P591*M591+J591*O591</f>
        <v>9.0261474691893834E-5</v>
      </c>
      <c r="Q592" s="10">
        <f t="shared" si="163"/>
        <v>1.4337765964263323</v>
      </c>
      <c r="S592" s="5">
        <f t="shared" si="164"/>
        <v>6.0241671671776586E-13</v>
      </c>
      <c r="T592" s="5">
        <f t="shared" si="165"/>
        <v>4.2815033835881373E-10</v>
      </c>
      <c r="U592" s="5">
        <f t="shared" si="166"/>
        <v>8.6076484129987232E-6</v>
      </c>
    </row>
    <row r="593" spans="1:21">
      <c r="A593" s="19">
        <f t="shared" si="167"/>
        <v>48.250000000000277</v>
      </c>
      <c r="B593" s="10">
        <f t="shared" si="153"/>
        <v>3.98821035097357E-9</v>
      </c>
      <c r="C593" s="10">
        <f t="shared" si="155"/>
        <v>9.4976534688098052E-2</v>
      </c>
      <c r="D593" s="10">
        <f t="shared" si="156"/>
        <v>3.7878639874267299E-10</v>
      </c>
      <c r="H593" s="19">
        <f t="shared" si="154"/>
        <v>48.250000000000277</v>
      </c>
      <c r="I593" s="10">
        <f t="shared" si="157"/>
        <v>1.3518448021395265E-3</v>
      </c>
      <c r="J593" s="10">
        <f t="shared" si="158"/>
        <v>5.3914414328026771E-12</v>
      </c>
      <c r="K593" s="10">
        <f t="shared" si="159"/>
        <v>3.9828189095407675E-9</v>
      </c>
      <c r="L593" s="10">
        <f t="shared" si="160"/>
        <v>7.2906356677370388E-5</v>
      </c>
      <c r="M593" s="10">
        <f t="shared" si="161"/>
        <v>0.944276198418182</v>
      </c>
      <c r="N593" s="10">
        <f t="shared" si="162"/>
        <v>0.8864181311915682</v>
      </c>
      <c r="O593" s="10">
        <f t="shared" si="168"/>
        <v>0.10830940881072354</v>
      </c>
      <c r="P593" s="10">
        <f t="shared" si="169"/>
        <v>8.5259995465895551E-5</v>
      </c>
      <c r="Q593" s="10">
        <f t="shared" si="163"/>
        <v>1.4424430553587531</v>
      </c>
      <c r="S593" s="5">
        <f t="shared" si="164"/>
        <v>5.1206042426143251E-13</v>
      </c>
      <c r="T593" s="5">
        <f t="shared" si="165"/>
        <v>3.7827433831841158E-10</v>
      </c>
      <c r="U593" s="5">
        <f t="shared" si="166"/>
        <v>8.0976989168737122E-6</v>
      </c>
    </row>
    <row r="594" spans="1:21">
      <c r="A594" s="19">
        <f t="shared" si="167"/>
        <v>48.333333333333613</v>
      </c>
      <c r="B594" s="10">
        <f t="shared" si="153"/>
        <v>3.5352219661088601E-9</v>
      </c>
      <c r="C594" s="10">
        <f t="shared" si="155"/>
        <v>9.4591158599126493E-2</v>
      </c>
      <c r="D594" s="10">
        <f t="shared" si="156"/>
        <v>3.3440074167931896E-10</v>
      </c>
      <c r="H594" s="19">
        <f t="shared" si="154"/>
        <v>48.333333333333613</v>
      </c>
      <c r="I594" s="10">
        <f t="shared" si="157"/>
        <v>1.3003756199943706E-3</v>
      </c>
      <c r="J594" s="10">
        <f t="shared" si="158"/>
        <v>4.5971164559965272E-12</v>
      </c>
      <c r="K594" s="10">
        <f t="shared" si="159"/>
        <v>3.5306248496528636E-9</v>
      </c>
      <c r="L594" s="10">
        <f t="shared" si="160"/>
        <v>6.8843737323827351E-5</v>
      </c>
      <c r="M594" s="10">
        <f t="shared" si="161"/>
        <v>0.94396169858023593</v>
      </c>
      <c r="N594" s="10">
        <f t="shared" si="162"/>
        <v>0.88577237653916874</v>
      </c>
      <c r="O594" s="10">
        <f t="shared" si="168"/>
        <v>0.10889591093170939</v>
      </c>
      <c r="P594" s="10">
        <f t="shared" si="169"/>
        <v>8.0508984979631124E-5</v>
      </c>
      <c r="Q594" s="10">
        <f t="shared" si="163"/>
        <v>1.4511619023336477</v>
      </c>
      <c r="S594" s="5">
        <f t="shared" si="164"/>
        <v>4.3484657178782181E-13</v>
      </c>
      <c r="T594" s="5">
        <f t="shared" si="165"/>
        <v>3.3396589510753115E-10</v>
      </c>
      <c r="U594" s="5">
        <f t="shared" si="166"/>
        <v>7.6154381668629806E-6</v>
      </c>
    </row>
    <row r="595" spans="1:21">
      <c r="A595" s="19">
        <f t="shared" si="167"/>
        <v>48.416666666666949</v>
      </c>
      <c r="B595" s="10">
        <f t="shared" si="153"/>
        <v>3.1314019625137177E-9</v>
      </c>
      <c r="C595" s="10">
        <f t="shared" si="155"/>
        <v>9.4207346209340612E-2</v>
      </c>
      <c r="D595" s="10">
        <f t="shared" si="156"/>
        <v>2.9500106880313844E-10</v>
      </c>
      <c r="H595" s="19">
        <f t="shared" si="154"/>
        <v>48.416666666666949</v>
      </c>
      <c r="I595" s="10">
        <f t="shared" si="157"/>
        <v>1.2505915917014436E-3</v>
      </c>
      <c r="J595" s="10">
        <f t="shared" si="158"/>
        <v>3.9161049645570547E-12</v>
      </c>
      <c r="K595" s="10">
        <f t="shared" si="159"/>
        <v>3.1274858575491607E-9</v>
      </c>
      <c r="L595" s="10">
        <f t="shared" si="160"/>
        <v>6.4985851220811654E-5</v>
      </c>
      <c r="M595" s="10">
        <f t="shared" si="161"/>
        <v>0.94364547695387824</v>
      </c>
      <c r="N595" s="10">
        <f t="shared" si="162"/>
        <v>0.88512319305722853</v>
      </c>
      <c r="O595" s="10">
        <f t="shared" si="168"/>
        <v>0.10948519443250443</v>
      </c>
      <c r="P595" s="10">
        <f t="shared" si="169"/>
        <v>7.5997398712950471E-5</v>
      </c>
      <c r="Q595" s="10">
        <f t="shared" si="163"/>
        <v>1.4599334540324882</v>
      </c>
      <c r="S595" s="5">
        <f t="shared" si="164"/>
        <v>3.6892585618814402E-13</v>
      </c>
      <c r="T595" s="5">
        <f t="shared" si="165"/>
        <v>2.9463214294695032E-10</v>
      </c>
      <c r="U595" s="5">
        <f t="shared" si="166"/>
        <v>7.1595132515602214E-6</v>
      </c>
    </row>
    <row r="596" spans="1:21">
      <c r="A596" s="19">
        <f t="shared" si="167"/>
        <v>48.500000000000284</v>
      </c>
      <c r="B596" s="10">
        <f t="shared" si="153"/>
        <v>2.7716765038058135E-9</v>
      </c>
      <c r="C596" s="10">
        <f t="shared" si="155"/>
        <v>9.3825091173886099E-2</v>
      </c>
      <c r="D596" s="10">
        <f t="shared" si="156"/>
        <v>2.6005280067409834E-10</v>
      </c>
      <c r="H596" s="19">
        <f t="shared" si="154"/>
        <v>48.500000000000284</v>
      </c>
      <c r="I596" s="10">
        <f t="shared" si="157"/>
        <v>1.2024481380253612E-3</v>
      </c>
      <c r="J596" s="10">
        <f t="shared" si="158"/>
        <v>3.3327972512099432E-12</v>
      </c>
      <c r="K596" s="10">
        <f t="shared" si="159"/>
        <v>2.7683437065546035E-9</v>
      </c>
      <c r="L596" s="10">
        <f t="shared" si="160"/>
        <v>6.1323604570516583E-5</v>
      </c>
      <c r="M596" s="10">
        <f t="shared" si="161"/>
        <v>0.9433275247300521</v>
      </c>
      <c r="N596" s="10">
        <f t="shared" si="162"/>
        <v>0.88447056542306624</v>
      </c>
      <c r="O596" s="10">
        <f t="shared" si="168"/>
        <v>0.11007726788217122</v>
      </c>
      <c r="P596" s="10">
        <f t="shared" si="169"/>
        <v>7.1714601984491713E-5</v>
      </c>
      <c r="Q596" s="10">
        <f t="shared" si="163"/>
        <v>1.4687580290510682</v>
      </c>
      <c r="S596" s="5">
        <f t="shared" si="164"/>
        <v>3.1270000595884992E-13</v>
      </c>
      <c r="T596" s="5">
        <f t="shared" si="165"/>
        <v>2.5974010066813948E-10</v>
      </c>
      <c r="U596" s="5">
        <f t="shared" si="166"/>
        <v>6.7286290696938883E-6</v>
      </c>
    </row>
    <row r="597" spans="1:21">
      <c r="A597" s="19">
        <f t="shared" si="167"/>
        <v>48.58333333333362</v>
      </c>
      <c r="B597" s="10">
        <f t="shared" si="153"/>
        <v>2.4514662844909554E-9</v>
      </c>
      <c r="C597" s="10">
        <f t="shared" si="155"/>
        <v>9.3444387173653456E-2</v>
      </c>
      <c r="D597" s="10">
        <f t="shared" si="156"/>
        <v>2.2907576463113052E-10</v>
      </c>
      <c r="H597" s="19">
        <f t="shared" si="154"/>
        <v>48.58333333333362</v>
      </c>
      <c r="I597" s="10">
        <f t="shared" si="157"/>
        <v>1.1559014967030198E-3</v>
      </c>
      <c r="J597" s="10">
        <f t="shared" si="158"/>
        <v>2.8336535473600864E-12</v>
      </c>
      <c r="K597" s="10">
        <f t="shared" si="159"/>
        <v>2.4486326309435955E-9</v>
      </c>
      <c r="L597" s="10">
        <f t="shared" si="160"/>
        <v>5.7848244107029918E-5</v>
      </c>
      <c r="M597" s="10">
        <f t="shared" si="161"/>
        <v>0.94300783306187808</v>
      </c>
      <c r="N597" s="10">
        <f t="shared" si="162"/>
        <v>0.88381447828076831</v>
      </c>
      <c r="O597" s="10">
        <f t="shared" si="168"/>
        <v>0.11067213981816243</v>
      </c>
      <c r="P597" s="10">
        <f t="shared" si="169"/>
        <v>6.7650358343896661E-5</v>
      </c>
      <c r="Q597" s="10">
        <f t="shared" si="163"/>
        <v>1.4776359479110566</v>
      </c>
      <c r="S597" s="5">
        <f t="shared" si="164"/>
        <v>2.6478901919551245E-13</v>
      </c>
      <c r="T597" s="5">
        <f t="shared" si="165"/>
        <v>2.2881097561193504E-10</v>
      </c>
      <c r="U597" s="5">
        <f t="shared" si="166"/>
        <v>6.321546277523477E-6</v>
      </c>
    </row>
    <row r="598" spans="1:21">
      <c r="A598" s="19">
        <f t="shared" si="167"/>
        <v>48.666666666666956</v>
      </c>
      <c r="B598" s="10">
        <f t="shared" si="153"/>
        <v>2.1666413952502672E-9</v>
      </c>
      <c r="C598" s="10">
        <f t="shared" si="155"/>
        <v>9.306522791517359E-2</v>
      </c>
      <c r="D598" s="10">
        <f t="shared" si="156"/>
        <v>2.0163897525941583E-10</v>
      </c>
      <c r="H598" s="19">
        <f t="shared" si="154"/>
        <v>48.666666666666956</v>
      </c>
      <c r="I598" s="10">
        <f t="shared" si="157"/>
        <v>1.1109087183756947E-3</v>
      </c>
      <c r="J598" s="10">
        <f t="shared" si="158"/>
        <v>2.4069408155772014E-12</v>
      </c>
      <c r="K598" s="10">
        <f t="shared" si="159"/>
        <v>2.1642344544346901E-9</v>
      </c>
      <c r="L598" s="10">
        <f t="shared" si="160"/>
        <v>5.4551347321804841E-5</v>
      </c>
      <c r="M598" s="10">
        <f t="shared" si="161"/>
        <v>0.94268639306450119</v>
      </c>
      <c r="N598" s="10">
        <f t="shared" si="162"/>
        <v>0.88315491624156151</v>
      </c>
      <c r="O598" s="10">
        <f t="shared" si="168"/>
        <v>0.11126981874537634</v>
      </c>
      <c r="P598" s="10">
        <f t="shared" si="169"/>
        <v>6.3794818141344026E-5</v>
      </c>
      <c r="Q598" s="10">
        <f t="shared" si="163"/>
        <v>1.4865675330716606</v>
      </c>
      <c r="S598" s="5">
        <f t="shared" si="164"/>
        <v>2.2400249558002606E-13</v>
      </c>
      <c r="T598" s="5">
        <f t="shared" si="165"/>
        <v>2.014149727638358E-10</v>
      </c>
      <c r="U598" s="5">
        <f t="shared" si="166"/>
        <v>5.9370792901312329E-6</v>
      </c>
    </row>
    <row r="599" spans="1:21">
      <c r="A599" s="19">
        <f t="shared" si="167"/>
        <v>48.750000000000291</v>
      </c>
      <c r="B599" s="10">
        <f t="shared" si="153"/>
        <v>1.9134799999477498E-9</v>
      </c>
      <c r="C599" s="10">
        <f t="shared" si="155"/>
        <v>9.2687607130513702E-2</v>
      </c>
      <c r="D599" s="10">
        <f t="shared" si="156"/>
        <v>1.773558824872524E-10</v>
      </c>
      <c r="H599" s="19">
        <f t="shared" si="154"/>
        <v>48.750000000000291</v>
      </c>
      <c r="I599" s="10">
        <f t="shared" si="157"/>
        <v>1.0674276622241825E-3</v>
      </c>
      <c r="J599" s="10">
        <f t="shared" si="158"/>
        <v>2.0425014830569555E-12</v>
      </c>
      <c r="K599" s="10">
        <f t="shared" si="159"/>
        <v>1.9114374984646926E-9</v>
      </c>
      <c r="L599" s="10">
        <f t="shared" si="160"/>
        <v>5.1424812843601043E-5</v>
      </c>
      <c r="M599" s="10">
        <f t="shared" si="161"/>
        <v>0.9423631958150821</v>
      </c>
      <c r="N599" s="10">
        <f t="shared" si="162"/>
        <v>0.88249186388425627</v>
      </c>
      <c r="O599" s="10">
        <f t="shared" si="168"/>
        <v>0.11187031313521315</v>
      </c>
      <c r="P599" s="10">
        <f t="shared" si="169"/>
        <v>6.0138507277689275E-5</v>
      </c>
      <c r="Q599" s="10">
        <f t="shared" si="163"/>
        <v>1.4955531089413163</v>
      </c>
      <c r="S599" s="5">
        <f t="shared" si="164"/>
        <v>1.8931457502507469E-13</v>
      </c>
      <c r="T599" s="5">
        <f t="shared" si="165"/>
        <v>1.7716656791222733E-10</v>
      </c>
      <c r="U599" s="5">
        <f t="shared" si="166"/>
        <v>5.5740943359700027E-6</v>
      </c>
    </row>
    <row r="600" spans="1:21">
      <c r="A600" s="19">
        <f t="shared" si="167"/>
        <v>48.833333333333627</v>
      </c>
      <c r="B600" s="10">
        <f t="shared" si="153"/>
        <v>1.6886305316591362E-9</v>
      </c>
      <c r="C600" s="10">
        <f t="shared" si="155"/>
        <v>9.2311518577173721E-2</v>
      </c>
      <c r="D600" s="10">
        <f t="shared" si="156"/>
        <v>1.5588004869323509E-10</v>
      </c>
      <c r="H600" s="19">
        <f t="shared" si="154"/>
        <v>48.833333333333627</v>
      </c>
      <c r="I600" s="10">
        <f t="shared" si="157"/>
        <v>1.0254169913143229E-3</v>
      </c>
      <c r="J600" s="10">
        <f t="shared" si="158"/>
        <v>1.7315504392154168E-12</v>
      </c>
      <c r="K600" s="10">
        <f t="shared" si="159"/>
        <v>1.6868989812199208E-9</v>
      </c>
      <c r="L600" s="10">
        <f t="shared" si="160"/>
        <v>4.8460850975488359E-5</v>
      </c>
      <c r="M600" s="10">
        <f t="shared" si="161"/>
        <v>0.94203823235265627</v>
      </c>
      <c r="N600" s="10">
        <f t="shared" si="162"/>
        <v>0.88182530575569118</v>
      </c>
      <c r="O600" s="10">
        <f t="shared" si="168"/>
        <v>0.11247363142461293</v>
      </c>
      <c r="P600" s="10">
        <f t="shared" si="169"/>
        <v>5.667231613824712E-5</v>
      </c>
      <c r="Q600" s="10">
        <f t="shared" si="163"/>
        <v>1.5045930018894935</v>
      </c>
      <c r="S600" s="5">
        <f t="shared" si="164"/>
        <v>1.5984205053694725E-13</v>
      </c>
      <c r="T600" s="5">
        <f t="shared" si="165"/>
        <v>1.5572020664269815E-10</v>
      </c>
      <c r="U600" s="5">
        <f t="shared" si="166"/>
        <v>5.2315075640072613E-6</v>
      </c>
    </row>
    <row r="601" spans="1:21">
      <c r="A601" s="19">
        <f t="shared" si="167"/>
        <v>48.916666666666963</v>
      </c>
      <c r="B601" s="10">
        <f t="shared" si="153"/>
        <v>1.4890771348887131E-9</v>
      </c>
      <c r="C601" s="10">
        <f t="shared" si="155"/>
        <v>9.1936956037983131E-2</v>
      </c>
      <c r="D601" s="10">
        <f t="shared" si="156"/>
        <v>1.369012190874295E-10</v>
      </c>
      <c r="H601" s="19">
        <f t="shared" si="154"/>
        <v>48.916666666666963</v>
      </c>
      <c r="I601" s="10">
        <f t="shared" si="157"/>
        <v>9.848361676603795E-4</v>
      </c>
      <c r="J601" s="10">
        <f t="shared" si="158"/>
        <v>1.4664970188744983E-12</v>
      </c>
      <c r="K601" s="10">
        <f t="shared" si="159"/>
        <v>1.4876106378698386E-9</v>
      </c>
      <c r="L601" s="10">
        <f t="shared" si="160"/>
        <v>4.5651974391254552E-5</v>
      </c>
      <c r="M601" s="10">
        <f t="shared" si="161"/>
        <v>0.94171149367813767</v>
      </c>
      <c r="N601" s="10">
        <f t="shared" si="162"/>
        <v>0.88115522637113342</v>
      </c>
      <c r="O601" s="10">
        <f t="shared" si="168"/>
        <v>0.11307978201508762</v>
      </c>
      <c r="P601" s="10">
        <f t="shared" si="169"/>
        <v>5.3387488712958999E-5</v>
      </c>
      <c r="Q601" s="10">
        <f t="shared" si="163"/>
        <v>1.5136875402585279</v>
      </c>
      <c r="S601" s="5">
        <f t="shared" si="164"/>
        <v>1.3482527195409807E-13</v>
      </c>
      <c r="T601" s="5">
        <f t="shared" si="165"/>
        <v>1.367663938154754E-10</v>
      </c>
      <c r="U601" s="5">
        <f t="shared" si="166"/>
        <v>4.9082832027816318E-6</v>
      </c>
    </row>
    <row r="602" spans="1:21">
      <c r="A602" s="19">
        <f t="shared" si="167"/>
        <v>49.000000000000298</v>
      </c>
      <c r="B602" s="10">
        <f t="shared" si="153"/>
        <v>1.3121080998769428E-9</v>
      </c>
      <c r="C602" s="10">
        <f t="shared" si="155"/>
        <v>9.1563913320998128E-2</v>
      </c>
      <c r="D602" s="10">
        <f t="shared" si="156"/>
        <v>1.2014175232491193E-10</v>
      </c>
      <c r="H602" s="19">
        <f t="shared" si="154"/>
        <v>49.000000000000298</v>
      </c>
      <c r="I602" s="10">
        <f t="shared" si="157"/>
        <v>9.4564544701386934E-4</v>
      </c>
      <c r="J602" s="10">
        <f t="shared" si="158"/>
        <v>1.2407890506386503E-12</v>
      </c>
      <c r="K602" s="10">
        <f t="shared" si="159"/>
        <v>1.3108673108263041E-9</v>
      </c>
      <c r="L602" s="10">
        <f t="shared" si="160"/>
        <v>4.2990988993344414E-5</v>
      </c>
      <c r="M602" s="10">
        <f t="shared" si="161"/>
        <v>0.9413829707541761</v>
      </c>
      <c r="N602" s="10">
        <f t="shared" si="162"/>
        <v>0.88048161021477289</v>
      </c>
      <c r="O602" s="10">
        <f t="shared" si="168"/>
        <v>0.11368877327173935</v>
      </c>
      <c r="P602" s="10">
        <f t="shared" si="169"/>
        <v>5.0275611905436499E-5</v>
      </c>
      <c r="Q602" s="10">
        <f t="shared" si="163"/>
        <v>1.5228370543755692</v>
      </c>
      <c r="S602" s="5">
        <f t="shared" si="164"/>
        <v>1.1361150108232094E-13</v>
      </c>
      <c r="T602" s="5">
        <f t="shared" si="165"/>
        <v>1.2002814082382961E-10</v>
      </c>
      <c r="U602" s="5">
        <f t="shared" si="166"/>
        <v>4.6034317706695292E-6</v>
      </c>
    </row>
    <row r="603" spans="1:21">
      <c r="A603" s="19">
        <f t="shared" si="167"/>
        <v>49.083333333333634</v>
      </c>
      <c r="B603" s="10">
        <f t="shared" si="153"/>
        <v>1.1552870525554967E-9</v>
      </c>
      <c r="C603" s="10">
        <f t="shared" si="155"/>
        <v>9.1192384259399337E-2</v>
      </c>
      <c r="D603" s="10">
        <f t="shared" si="156"/>
        <v>1.0535338082654974E-10</v>
      </c>
      <c r="H603" s="19">
        <f t="shared" si="154"/>
        <v>49.083333333333634</v>
      </c>
      <c r="I603" s="10">
        <f t="shared" si="157"/>
        <v>9.0780587338556507E-4</v>
      </c>
      <c r="J603" s="10">
        <f t="shared" si="158"/>
        <v>1.0487763717561779E-12</v>
      </c>
      <c r="K603" s="10">
        <f t="shared" si="159"/>
        <v>1.1542382761837405E-9</v>
      </c>
      <c r="L603" s="10">
        <f t="shared" si="160"/>
        <v>4.0470984934214649E-5</v>
      </c>
      <c r="M603" s="10">
        <f t="shared" si="161"/>
        <v>0.94105265450514874</v>
      </c>
      <c r="N603" s="10">
        <f t="shared" si="162"/>
        <v>0.87980444174013628</v>
      </c>
      <c r="O603" s="10">
        <f t="shared" si="168"/>
        <v>0.11430061352226942</v>
      </c>
      <c r="P603" s="10">
        <f t="shared" si="169"/>
        <v>4.7328605033087621E-5</v>
      </c>
      <c r="Q603" s="10">
        <f t="shared" si="163"/>
        <v>1.5320418765645569</v>
      </c>
      <c r="S603" s="5">
        <f t="shared" si="164"/>
        <v>9.5640417895368024E-14</v>
      </c>
      <c r="T603" s="5">
        <f t="shared" si="165"/>
        <v>1.0525774040865436E-10</v>
      </c>
      <c r="U603" s="5">
        <f t="shared" si="166"/>
        <v>4.3160083366386675E-6</v>
      </c>
    </row>
    <row r="604" spans="1:21">
      <c r="A604" s="19">
        <f t="shared" si="167"/>
        <v>49.16666666666697</v>
      </c>
      <c r="B604" s="10">
        <f t="shared" si="153"/>
        <v>1.0164266803231963E-9</v>
      </c>
      <c r="C604" s="10">
        <f t="shared" si="155"/>
        <v>9.0822362711389729E-2</v>
      </c>
      <c r="D604" s="10">
        <f t="shared" si="156"/>
        <v>9.2314272629847113E-11</v>
      </c>
      <c r="H604" s="19">
        <f t="shared" si="154"/>
        <v>49.16666666666697</v>
      </c>
      <c r="I604" s="10">
        <f t="shared" si="157"/>
        <v>8.7127927330845787E-4</v>
      </c>
      <c r="J604" s="10">
        <f t="shared" si="158"/>
        <v>8.855914994033227E-13</v>
      </c>
      <c r="K604" s="10">
        <f t="shared" si="159"/>
        <v>1.0155410888237929E-9</v>
      </c>
      <c r="L604" s="10">
        <f t="shared" si="160"/>
        <v>3.8085327802780578E-5</v>
      </c>
      <c r="M604" s="10">
        <f t="shared" si="161"/>
        <v>0.94072053581702064</v>
      </c>
      <c r="N604" s="10">
        <f t="shared" si="162"/>
        <v>0.87912370537054629</v>
      </c>
      <c r="O604" s="10">
        <f t="shared" si="168"/>
        <v>0.11491531105597211</v>
      </c>
      <c r="P604" s="10">
        <f t="shared" si="169"/>
        <v>4.4538709520288632E-5</v>
      </c>
      <c r="Q604" s="10">
        <f t="shared" si="163"/>
        <v>1.5413023411583127</v>
      </c>
      <c r="S604" s="5">
        <f t="shared" si="164"/>
        <v>8.0431512372932059E-14</v>
      </c>
      <c r="T604" s="5">
        <f t="shared" si="165"/>
        <v>9.2233841117474176E-11</v>
      </c>
      <c r="U604" s="5">
        <f t="shared" si="166"/>
        <v>4.0451108307488806E-6</v>
      </c>
    </row>
    <row r="605" spans="1:21">
      <c r="A605" s="19">
        <f t="shared" si="167"/>
        <v>49.250000000000306</v>
      </c>
      <c r="B605" s="10">
        <f t="shared" si="153"/>
        <v>8.9356478944321201E-10</v>
      </c>
      <c r="C605" s="10">
        <f t="shared" si="155"/>
        <v>9.0453842560093256E-2</v>
      </c>
      <c r="D605" s="10">
        <f t="shared" si="156"/>
        <v>8.0826368781539181E-11</v>
      </c>
      <c r="H605" s="19">
        <f t="shared" si="154"/>
        <v>49.250000000000306</v>
      </c>
      <c r="I605" s="10">
        <f t="shared" si="157"/>
        <v>8.3602824984963333E-4</v>
      </c>
      <c r="J605" s="10">
        <f t="shared" si="158"/>
        <v>7.4704540704546462E-13</v>
      </c>
      <c r="K605" s="10">
        <f t="shared" si="159"/>
        <v>8.9281774403616657E-10</v>
      </c>
      <c r="L605" s="10">
        <f t="shared" si="160"/>
        <v>3.5827649977398619E-5</v>
      </c>
      <c r="M605" s="10">
        <f t="shared" si="161"/>
        <v>0.94038660553737996</v>
      </c>
      <c r="N605" s="10">
        <f t="shared" si="162"/>
        <v>0.87843938549963863</v>
      </c>
      <c r="O605" s="10">
        <f t="shared" si="168"/>
        <v>0.11553287412272861</v>
      </c>
      <c r="P605" s="10">
        <f t="shared" si="169"/>
        <v>4.1898478786292579E-5</v>
      </c>
      <c r="Q605" s="10">
        <f t="shared" si="163"/>
        <v>1.5506187845106623</v>
      </c>
      <c r="S605" s="5">
        <f t="shared" si="164"/>
        <v>6.7573127634131236E-14</v>
      </c>
      <c r="T605" s="5">
        <f t="shared" si="165"/>
        <v>8.075879565390505E-11</v>
      </c>
      <c r="U605" s="5">
        <f t="shared" si="166"/>
        <v>3.7898784036427159E-6</v>
      </c>
    </row>
    <row r="606" spans="1:21">
      <c r="A606" s="19">
        <f t="shared" si="167"/>
        <v>49.333333333333641</v>
      </c>
      <c r="B606" s="10">
        <f t="shared" si="153"/>
        <v>7.8494250454260911E-10</v>
      </c>
      <c r="C606" s="10">
        <f t="shared" si="155"/>
        <v>9.0086817713453671E-2</v>
      </c>
      <c r="D606" s="10">
        <f t="shared" si="156"/>
        <v>7.0712972322271806E-11</v>
      </c>
      <c r="H606" s="19">
        <f t="shared" si="154"/>
        <v>49.333333333333641</v>
      </c>
      <c r="I606" s="10">
        <f t="shared" si="157"/>
        <v>8.020161763790005E-4</v>
      </c>
      <c r="J606" s="10">
        <f t="shared" si="158"/>
        <v>6.2953658617061959E-13</v>
      </c>
      <c r="K606" s="10">
        <f t="shared" si="159"/>
        <v>7.8431296795643846E-10</v>
      </c>
      <c r="L606" s="10">
        <f t="shared" si="160"/>
        <v>3.3691842146627275E-5</v>
      </c>
      <c r="M606" s="10">
        <f t="shared" si="161"/>
        <v>0.94005085447525127</v>
      </c>
      <c r="N606" s="10">
        <f t="shared" si="162"/>
        <v>0.8777514664918008</v>
      </c>
      <c r="O606" s="10">
        <f t="shared" si="168"/>
        <v>0.11615331093197419</v>
      </c>
      <c r="P606" s="10">
        <f t="shared" si="169"/>
        <v>3.9400768329329903E-5</v>
      </c>
      <c r="Q606" s="10">
        <f t="shared" si="163"/>
        <v>1.5599915450086741</v>
      </c>
      <c r="S606" s="5">
        <f t="shared" si="164"/>
        <v>5.6712947682302526E-14</v>
      </c>
      <c r="T606" s="5">
        <f t="shared" si="165"/>
        <v>7.06562593745895E-11</v>
      </c>
      <c r="U606" s="5">
        <f t="shared" si="166"/>
        <v>3.5494898342543613E-6</v>
      </c>
    </row>
    <row r="607" spans="1:21">
      <c r="A607" s="19">
        <f t="shared" si="167"/>
        <v>49.416666666666977</v>
      </c>
      <c r="B607" s="10">
        <f t="shared" si="153"/>
        <v>6.8898443447402215E-10</v>
      </c>
      <c r="C607" s="10">
        <f t="shared" si="155"/>
        <v>8.9721282104133784E-2</v>
      </c>
      <c r="D607" s="10">
        <f t="shared" si="156"/>
        <v>6.1816566810800816E-11</v>
      </c>
      <c r="H607" s="19">
        <f t="shared" si="154"/>
        <v>49.416666666666977</v>
      </c>
      <c r="I607" s="10">
        <f t="shared" si="157"/>
        <v>7.6920719010302636E-4</v>
      </c>
      <c r="J607" s="10">
        <f t="shared" si="158"/>
        <v>5.2997178086648529E-13</v>
      </c>
      <c r="K607" s="10">
        <f t="shared" si="159"/>
        <v>6.8845446269315568E-10</v>
      </c>
      <c r="L607" s="10">
        <f t="shared" si="160"/>
        <v>3.1672044998782252E-5</v>
      </c>
      <c r="M607" s="10">
        <f t="shared" si="161"/>
        <v>0.93971327340114053</v>
      </c>
      <c r="N607" s="10">
        <f t="shared" si="162"/>
        <v>0.87705993268268079</v>
      </c>
      <c r="O607" s="10">
        <f t="shared" si="168"/>
        <v>0.11677662965166875</v>
      </c>
      <c r="P607" s="10">
        <f t="shared" si="169"/>
        <v>3.7038726008090756E-5</v>
      </c>
      <c r="Q607" s="10">
        <f t="shared" si="163"/>
        <v>1.5694209630849276</v>
      </c>
      <c r="S607" s="5">
        <f t="shared" si="164"/>
        <v>4.7549747658352096E-14</v>
      </c>
      <c r="T607" s="5">
        <f t="shared" si="165"/>
        <v>6.1769017063142475E-11</v>
      </c>
      <c r="U607" s="5">
        <f t="shared" si="166"/>
        <v>3.3231619849496277E-6</v>
      </c>
    </row>
    <row r="608" spans="1:21">
      <c r="A608" s="19">
        <f t="shared" si="167"/>
        <v>49.500000000000313</v>
      </c>
      <c r="B608" s="10">
        <f t="shared" si="153"/>
        <v>6.0428064171920077E-10</v>
      </c>
      <c r="C608" s="10">
        <f t="shared" si="155"/>
        <v>8.9357229689415202E-2</v>
      </c>
      <c r="D608" s="10">
        <f t="shared" si="156"/>
        <v>5.3996844098969835E-11</v>
      </c>
      <c r="H608" s="19">
        <f t="shared" si="154"/>
        <v>49.500000000000313</v>
      </c>
      <c r="I608" s="10">
        <f t="shared" si="157"/>
        <v>7.3756618537155615E-4</v>
      </c>
      <c r="J608" s="10">
        <f t="shared" si="158"/>
        <v>4.4569696780670696E-13</v>
      </c>
      <c r="K608" s="10">
        <f t="shared" si="159"/>
        <v>6.0383494475139405E-10</v>
      </c>
      <c r="L608" s="10">
        <f t="shared" si="160"/>
        <v>2.9762641081113892E-5</v>
      </c>
      <c r="M608" s="10">
        <f t="shared" si="161"/>
        <v>0.93937385304687759</v>
      </c>
      <c r="N608" s="10">
        <f t="shared" si="162"/>
        <v>0.87636476837967525</v>
      </c>
      <c r="O608" s="10">
        <f t="shared" si="168"/>
        <v>0.11740283840724478</v>
      </c>
      <c r="P608" s="10">
        <f t="shared" si="169"/>
        <v>3.4805782521559245E-5</v>
      </c>
      <c r="Q608" s="10">
        <f t="shared" si="163"/>
        <v>1.5789073812299013</v>
      </c>
      <c r="S608" s="5">
        <f t="shared" si="164"/>
        <v>3.9826246324179808E-14</v>
      </c>
      <c r="T608" s="5">
        <f t="shared" si="165"/>
        <v>5.3957017852645656E-11</v>
      </c>
      <c r="U608" s="5">
        <f t="shared" si="166"/>
        <v>3.1101483032988024E-6</v>
      </c>
    </row>
    <row r="609" spans="1:21">
      <c r="A609" s="19">
        <f t="shared" si="167"/>
        <v>49.583333333333648</v>
      </c>
      <c r="B609" s="10">
        <f t="shared" si="153"/>
        <v>5.2957026461656891E-10</v>
      </c>
      <c r="C609" s="10">
        <f t="shared" si="155"/>
        <v>8.8994654451098401E-2</v>
      </c>
      <c r="D609" s="10">
        <f t="shared" si="156"/>
        <v>4.7128922707128292E-11</v>
      </c>
      <c r="H609" s="19">
        <f t="shared" si="154"/>
        <v>49.583333333333648</v>
      </c>
      <c r="I609" s="10">
        <f t="shared" si="157"/>
        <v>7.0705880676598788E-4</v>
      </c>
      <c r="J609" s="10">
        <f t="shared" si="158"/>
        <v>3.7443731939853968E-13</v>
      </c>
      <c r="K609" s="10">
        <f t="shared" si="159"/>
        <v>5.2919582729717032E-10</v>
      </c>
      <c r="L609" s="10">
        <f t="shared" si="160"/>
        <v>2.7958246829217244E-5</v>
      </c>
      <c r="M609" s="10">
        <f t="shared" si="161"/>
        <v>0.93903258410563972</v>
      </c>
      <c r="N609" s="10">
        <f t="shared" si="162"/>
        <v>0.87566595786243651</v>
      </c>
      <c r="O609" s="10">
        <f t="shared" si="168"/>
        <v>0.11803194528055323</v>
      </c>
      <c r="P609" s="10">
        <f t="shared" si="169"/>
        <v>3.2695642087914865E-5</v>
      </c>
      <c r="Q609" s="10">
        <f t="shared" si="163"/>
        <v>1.5884511440043887</v>
      </c>
      <c r="S609" s="5">
        <f t="shared" si="164"/>
        <v>3.3322919853468602E-14</v>
      </c>
      <c r="T609" s="5">
        <f t="shared" si="165"/>
        <v>4.7095599787274819E-11</v>
      </c>
      <c r="U609" s="5">
        <f t="shared" si="166"/>
        <v>2.9097373696707728E-6</v>
      </c>
    </row>
    <row r="610" spans="1:21">
      <c r="A610" s="19">
        <f t="shared" si="167"/>
        <v>49.666666666666984</v>
      </c>
      <c r="B610" s="10">
        <f t="shared" si="153"/>
        <v>4.6372665302093176E-10</v>
      </c>
      <c r="C610" s="10">
        <f t="shared" si="155"/>
        <v>8.8633550395403285E-2</v>
      </c>
      <c r="D610" s="10">
        <f t="shared" si="156"/>
        <v>4.1101739670222446E-11</v>
      </c>
      <c r="H610" s="19">
        <f t="shared" si="154"/>
        <v>49.666666666666984</v>
      </c>
      <c r="I610" s="10">
        <f t="shared" si="157"/>
        <v>6.776514419770276E-4</v>
      </c>
      <c r="J610" s="10">
        <f t="shared" si="158"/>
        <v>3.1424503510281515E-13</v>
      </c>
      <c r="K610" s="10">
        <f t="shared" si="159"/>
        <v>4.6341240798582895E-10</v>
      </c>
      <c r="L610" s="10">
        <f t="shared" si="160"/>
        <v>2.6253704767103178E-5</v>
      </c>
      <c r="M610" s="10">
        <f t="shared" si="161"/>
        <v>0.9386894572318093</v>
      </c>
      <c r="N610" s="10">
        <f t="shared" si="162"/>
        <v>0.87496348538341473</v>
      </c>
      <c r="O610" s="10">
        <f t="shared" si="168"/>
        <v>0.11866395830879173</v>
      </c>
      <c r="P610" s="10">
        <f t="shared" si="169"/>
        <v>3.0702273323003375E-5</v>
      </c>
      <c r="Q610" s="10">
        <f t="shared" si="163"/>
        <v>1.5980525980520381</v>
      </c>
      <c r="S610" s="5">
        <f t="shared" si="164"/>
        <v>2.7852653155290641E-14</v>
      </c>
      <c r="T610" s="5">
        <f t="shared" si="165"/>
        <v>4.1073887017067161E-11</v>
      </c>
      <c r="U610" s="5">
        <f t="shared" si="166"/>
        <v>2.7212514898278656E-6</v>
      </c>
    </row>
    <row r="611" spans="1:21">
      <c r="A611" s="19">
        <f t="shared" si="167"/>
        <v>49.75000000000032</v>
      </c>
      <c r="B611" s="10">
        <f t="shared" si="153"/>
        <v>4.0574388859237987E-10</v>
      </c>
      <c r="C611" s="10">
        <f t="shared" si="155"/>
        <v>8.8273911552870052E-2</v>
      </c>
      <c r="D611" s="10">
        <f t="shared" si="156"/>
        <v>3.5816600134721298E-11</v>
      </c>
      <c r="H611" s="19">
        <f t="shared" si="154"/>
        <v>49.75000000000032</v>
      </c>
      <c r="I611" s="10">
        <f t="shared" si="157"/>
        <v>6.4931121448036822E-4</v>
      </c>
      <c r="J611" s="10">
        <f t="shared" si="158"/>
        <v>2.6345405706990539E-13</v>
      </c>
      <c r="K611" s="10">
        <f t="shared" si="159"/>
        <v>4.0548043453530994E-10</v>
      </c>
      <c r="L611" s="10">
        <f t="shared" si="160"/>
        <v>2.4644075878156246E-5</v>
      </c>
      <c r="M611" s="10">
        <f t="shared" si="161"/>
        <v>0.93834446304099906</v>
      </c>
      <c r="N611" s="10">
        <f t="shared" si="162"/>
        <v>0.87425733516834481</v>
      </c>
      <c r="O611" s="10">
        <f t="shared" si="168"/>
        <v>0.11929888548342518</v>
      </c>
      <c r="P611" s="10">
        <f t="shared" si="169"/>
        <v>2.8819900318642253E-5</v>
      </c>
      <c r="Q611" s="10">
        <f t="shared" si="163"/>
        <v>1.6077120921119181</v>
      </c>
      <c r="S611" s="5">
        <f t="shared" si="164"/>
        <v>2.3256120132033607E-14</v>
      </c>
      <c r="T611" s="5">
        <f t="shared" si="165"/>
        <v>3.5793344014589267E-11</v>
      </c>
      <c r="U611" s="5">
        <f t="shared" si="166"/>
        <v>2.5440453316903576E-6</v>
      </c>
    </row>
    <row r="612" spans="1:21">
      <c r="A612" s="19">
        <f t="shared" si="167"/>
        <v>49.833333333333655</v>
      </c>
      <c r="B612" s="10">
        <f t="shared" si="153"/>
        <v>3.547245708016158E-10</v>
      </c>
      <c r="C612" s="10">
        <f t="shared" si="155"/>
        <v>8.7915731978260567E-2</v>
      </c>
      <c r="D612" s="10">
        <f t="shared" si="156"/>
        <v>3.1185870292698369E-11</v>
      </c>
      <c r="H612" s="19">
        <f t="shared" si="154"/>
        <v>49.833333333333655</v>
      </c>
      <c r="I612" s="10">
        <f t="shared" si="157"/>
        <v>6.220059760186148E-4</v>
      </c>
      <c r="J612" s="10">
        <f t="shared" si="158"/>
        <v>2.2064080287924326E-13</v>
      </c>
      <c r="K612" s="10">
        <f t="shared" si="159"/>
        <v>3.5450392999873658E-10</v>
      </c>
      <c r="L612" s="10">
        <f t="shared" si="160"/>
        <v>2.3124632147030161E-5</v>
      </c>
      <c r="M612" s="10">
        <f t="shared" si="161"/>
        <v>0.93799759210989841</v>
      </c>
      <c r="N612" s="10">
        <f t="shared" si="162"/>
        <v>0.87354749141680199</v>
      </c>
      <c r="O612" s="10">
        <f t="shared" si="168"/>
        <v>0.11993673474909035</v>
      </c>
      <c r="P612" s="10">
        <f t="shared" si="169"/>
        <v>2.7042993920821256E-5</v>
      </c>
      <c r="Q612" s="10">
        <f t="shared" si="163"/>
        <v>1.6174299770312084</v>
      </c>
      <c r="S612" s="5">
        <f t="shared" si="164"/>
        <v>1.9397797689399773E-14</v>
      </c>
      <c r="T612" s="5">
        <f t="shared" si="165"/>
        <v>3.116647249500897E-11</v>
      </c>
      <c r="U612" s="5">
        <f t="shared" si="166"/>
        <v>2.3775046054326515E-6</v>
      </c>
    </row>
    <row r="613" spans="1:21">
      <c r="A613" s="19">
        <f t="shared" si="167"/>
        <v>49.916666666666991</v>
      </c>
      <c r="B613" s="10">
        <f t="shared" si="153"/>
        <v>3.0986875896765326E-10</v>
      </c>
      <c r="C613" s="10">
        <f t="shared" si="155"/>
        <v>8.7559005750459995E-2</v>
      </c>
      <c r="D613" s="10">
        <f t="shared" si="156"/>
        <v>2.7131800448336654E-11</v>
      </c>
      <c r="H613" s="19">
        <f t="shared" si="154"/>
        <v>49.916666666666991</v>
      </c>
      <c r="I613" s="10">
        <f t="shared" si="157"/>
        <v>5.9570429889786421E-4</v>
      </c>
      <c r="J613" s="10">
        <f t="shared" si="158"/>
        <v>1.8459015181117717E-13</v>
      </c>
      <c r="K613" s="10">
        <f t="shared" si="159"/>
        <v>3.0968416881584207E-10</v>
      </c>
      <c r="L613" s="10">
        <f t="shared" si="160"/>
        <v>2.1690849272341441E-5</v>
      </c>
      <c r="M613" s="10">
        <f t="shared" si="161"/>
        <v>0.93764883497630969</v>
      </c>
      <c r="N613" s="10">
        <f t="shared" si="162"/>
        <v>0.87283393830274458</v>
      </c>
      <c r="O613" s="10">
        <f t="shared" si="168"/>
        <v>0.12057751400249635</v>
      </c>
      <c r="P613" s="10">
        <f t="shared" si="169"/>
        <v>2.5366263207635897E-5</v>
      </c>
      <c r="Q613" s="10">
        <f t="shared" si="163"/>
        <v>1.6272066057779204</v>
      </c>
      <c r="S613" s="5">
        <f t="shared" si="164"/>
        <v>1.6162530163913144E-14</v>
      </c>
      <c r="T613" s="5">
        <f t="shared" si="165"/>
        <v>2.7115637918172739E-11</v>
      </c>
      <c r="U613" s="5">
        <f t="shared" si="166"/>
        <v>2.2210447860650733E-6</v>
      </c>
    </row>
    <row r="614" spans="1:21">
      <c r="A614" s="19">
        <f t="shared" si="167"/>
        <v>50.000000000000327</v>
      </c>
      <c r="B614" s="10">
        <f t="shared" si="153"/>
        <v>2.704639692467207E-10</v>
      </c>
      <c r="C614" s="10">
        <f t="shared" si="155"/>
        <v>8.7203726972379075E-2</v>
      </c>
      <c r="D614" s="10">
        <f t="shared" si="156"/>
        <v>2.3585466130056964E-11</v>
      </c>
      <c r="H614" s="19">
        <f t="shared" si="154"/>
        <v>50.000000000000327</v>
      </c>
      <c r="I614" s="10">
        <f t="shared" si="157"/>
        <v>5.703754681073024E-4</v>
      </c>
      <c r="J614" s="10">
        <f t="shared" si="158"/>
        <v>1.5426601306525736E-13</v>
      </c>
      <c r="K614" s="10">
        <f t="shared" si="159"/>
        <v>2.7030970323365542E-10</v>
      </c>
      <c r="L614" s="10">
        <f t="shared" si="160"/>
        <v>2.0338399549857688E-5</v>
      </c>
      <c r="M614" s="10">
        <f t="shared" si="161"/>
        <v>0.93729818213902405</v>
      </c>
      <c r="N614" s="10">
        <f t="shared" si="162"/>
        <v>0.87211665997508725</v>
      </c>
      <c r="O614" s="10">
        <f t="shared" si="168"/>
        <v>0.12122123109130739</v>
      </c>
      <c r="P614" s="10">
        <f t="shared" si="169"/>
        <v>2.3784647166599649E-5</v>
      </c>
      <c r="Q614" s="10">
        <f t="shared" si="163"/>
        <v>1.6370423334537398</v>
      </c>
      <c r="S614" s="5">
        <f t="shared" si="164"/>
        <v>1.3452571284460166E-14</v>
      </c>
      <c r="T614" s="5">
        <f t="shared" si="165"/>
        <v>2.3572013558772502E-11</v>
      </c>
      <c r="U614" s="5">
        <f t="shared" si="166"/>
        <v>2.0741098776505254E-6</v>
      </c>
    </row>
    <row r="615" spans="1:21">
      <c r="A615" s="19">
        <f t="shared" si="167"/>
        <v>50.083333333333663</v>
      </c>
      <c r="B615" s="10">
        <f t="shared" si="153"/>
        <v>2.3587613350305478E-10</v>
      </c>
      <c r="C615" s="10">
        <f t="shared" si="155"/>
        <v>8.6849889770856392E-2</v>
      </c>
      <c r="D615" s="10">
        <f t="shared" si="156"/>
        <v>2.0485816194316113E-11</v>
      </c>
      <c r="H615" s="19">
        <f t="shared" si="154"/>
        <v>50.083333333333663</v>
      </c>
      <c r="I615" s="10">
        <f t="shared" si="157"/>
        <v>5.4598947327025944E-4</v>
      </c>
      <c r="J615" s="10">
        <f t="shared" si="158"/>
        <v>1.2878588588835828E-13</v>
      </c>
      <c r="K615" s="10">
        <f t="shared" si="159"/>
        <v>2.3574734761716642E-10</v>
      </c>
      <c r="L615" s="10">
        <f t="shared" si="160"/>
        <v>1.9063144925698755E-5</v>
      </c>
      <c r="M615" s="10">
        <f t="shared" si="161"/>
        <v>0.93694562405780957</v>
      </c>
      <c r="N615" s="10">
        <f t="shared" si="162"/>
        <v>0.87139564055821372</v>
      </c>
      <c r="O615" s="10">
        <f t="shared" si="168"/>
        <v>0.12186789381301413</v>
      </c>
      <c r="P615" s="10">
        <f t="shared" si="169"/>
        <v>2.2293306570772256E-5</v>
      </c>
      <c r="Q615" s="10">
        <f t="shared" si="163"/>
        <v>1.6469375173069016</v>
      </c>
      <c r="S615" s="5">
        <f t="shared" si="164"/>
        <v>1.1185039993446006E-14</v>
      </c>
      <c r="T615" s="5">
        <f t="shared" si="165"/>
        <v>2.0474631154322669E-11</v>
      </c>
      <c r="U615" s="5">
        <f t="shared" si="166"/>
        <v>1.9361712182994789E-6</v>
      </c>
    </row>
    <row r="616" spans="1:21">
      <c r="A616" s="19">
        <f t="shared" si="167"/>
        <v>50.166666666666998</v>
      </c>
      <c r="B616" s="10">
        <f t="shared" si="153"/>
        <v>2.0554143444628915E-10</v>
      </c>
      <c r="C616" s="10">
        <f t="shared" si="155"/>
        <v>8.6497488296561509E-2</v>
      </c>
      <c r="D616" s="10">
        <f t="shared" si="156"/>
        <v>1.777881782047636E-11</v>
      </c>
      <c r="H616" s="19">
        <f t="shared" si="154"/>
        <v>50.166666666666998</v>
      </c>
      <c r="I616" s="10">
        <f t="shared" si="157"/>
        <v>5.2251700043510997E-4</v>
      </c>
      <c r="J616" s="10">
        <f t="shared" si="158"/>
        <v>1.0739889379200479E-13</v>
      </c>
      <c r="K616" s="10">
        <f t="shared" si="159"/>
        <v>2.0543403555249714E-10</v>
      </c>
      <c r="L616" s="10">
        <f t="shared" si="160"/>
        <v>1.7861130218913286E-5</v>
      </c>
      <c r="M616" s="10">
        <f t="shared" si="161"/>
        <v>0.93659115115331659</v>
      </c>
      <c r="N616" s="10">
        <f t="shared" si="162"/>
        <v>0.87067086415260031</v>
      </c>
      <c r="O616" s="10">
        <f t="shared" si="168"/>
        <v>0.12251750991379702</v>
      </c>
      <c r="P616" s="10">
        <f t="shared" si="169"/>
        <v>2.0887616052959139E-5</v>
      </c>
      <c r="Q616" s="10">
        <f t="shared" si="163"/>
        <v>1.6568925167451889</v>
      </c>
      <c r="S616" s="5">
        <f t="shared" si="164"/>
        <v>9.2897345588375878E-15</v>
      </c>
      <c r="T616" s="5">
        <f t="shared" si="165"/>
        <v>1.7769528085917521E-11</v>
      </c>
      <c r="U616" s="5">
        <f t="shared" si="166"/>
        <v>1.8067263250839034E-6</v>
      </c>
    </row>
    <row r="617" spans="1:21">
      <c r="A617" s="19">
        <f t="shared" si="167"/>
        <v>50.250000000000334</v>
      </c>
      <c r="B617" s="10">
        <f t="shared" si="153"/>
        <v>1.7895893834851564E-10</v>
      </c>
      <c r="C617" s="10">
        <f t="shared" si="155"/>
        <v>8.6146516723898212E-2</v>
      </c>
      <c r="D617" s="10">
        <f t="shared" si="156"/>
        <v>1.5416689175331473E-11</v>
      </c>
      <c r="H617" s="19">
        <f t="shared" si="154"/>
        <v>50.250000000000334</v>
      </c>
      <c r="I617" s="10">
        <f t="shared" si="157"/>
        <v>4.9992942371444675E-4</v>
      </c>
      <c r="J617" s="10">
        <f t="shared" si="158"/>
        <v>8.9466838917122631E-14</v>
      </c>
      <c r="K617" s="10">
        <f t="shared" si="159"/>
        <v>1.7886947150959851E-10</v>
      </c>
      <c r="L617" s="10">
        <f t="shared" si="160"/>
        <v>1.6728576512631284E-5</v>
      </c>
      <c r="M617" s="10">
        <f t="shared" si="161"/>
        <v>0.9362347538070942</v>
      </c>
      <c r="N617" s="10">
        <f t="shared" si="162"/>
        <v>0.86994231483538009</v>
      </c>
      <c r="O617" s="10">
        <f t="shared" si="168"/>
        <v>0.12317008708737789</v>
      </c>
      <c r="P617" s="10">
        <f t="shared" si="169"/>
        <v>1.956315637704774E-5</v>
      </c>
      <c r="Q617" s="10">
        <f t="shared" si="163"/>
        <v>1.6669076933489679</v>
      </c>
      <c r="S617" s="5">
        <f t="shared" si="164"/>
        <v>7.7072565350082124E-15</v>
      </c>
      <c r="T617" s="5">
        <f t="shared" si="165"/>
        <v>1.5408981918796463E-11</v>
      </c>
      <c r="U617" s="5">
        <f t="shared" si="166"/>
        <v>1.685297778007579E-6</v>
      </c>
    </row>
    <row r="618" spans="1:21">
      <c r="A618" s="19">
        <f t="shared" si="167"/>
        <v>50.33333333333367</v>
      </c>
      <c r="B618" s="10">
        <f t="shared" si="153"/>
        <v>1.5568395308738977E-10</v>
      </c>
      <c r="C618" s="10">
        <f t="shared" si="155"/>
        <v>8.5796969250908128E-2</v>
      </c>
      <c r="D618" s="10">
        <f t="shared" si="156"/>
        <v>1.3357211335898604E-11</v>
      </c>
      <c r="H618" s="19">
        <f t="shared" si="154"/>
        <v>50.33333333333367</v>
      </c>
      <c r="I618" s="10">
        <f t="shared" si="157"/>
        <v>4.781987967809034E-4</v>
      </c>
      <c r="J618" s="10">
        <f t="shared" si="158"/>
        <v>7.4447879044484394E-14</v>
      </c>
      <c r="K618" s="10">
        <f t="shared" si="159"/>
        <v>1.5560950520834527E-10</v>
      </c>
      <c r="L618" s="10">
        <f t="shared" si="160"/>
        <v>1.5661874712846488E-5</v>
      </c>
      <c r="M618" s="10">
        <f t="shared" si="161"/>
        <v>0.93587642236145019</v>
      </c>
      <c r="N618" s="10">
        <f t="shared" si="162"/>
        <v>0.86920997666094413</v>
      </c>
      <c r="O618" s="10">
        <f t="shared" si="168"/>
        <v>0.1238256329738531</v>
      </c>
      <c r="P618" s="10">
        <f t="shared" si="169"/>
        <v>1.8315706905374613E-5</v>
      </c>
      <c r="Q618" s="10">
        <f t="shared" si="163"/>
        <v>1.6769834108843276</v>
      </c>
      <c r="S618" s="5">
        <f t="shared" si="164"/>
        <v>6.3874023891749548E-15</v>
      </c>
      <c r="T618" s="5">
        <f t="shared" si="165"/>
        <v>1.3350823933509428E-11</v>
      </c>
      <c r="U618" s="5">
        <f t="shared" si="166"/>
        <v>1.5714321421690714E-6</v>
      </c>
    </row>
    <row r="619" spans="1:21">
      <c r="A619" s="19">
        <f t="shared" si="167"/>
        <v>50.416666666667005</v>
      </c>
      <c r="B619" s="10">
        <f t="shared" si="153"/>
        <v>1.3532204522957358E-10</v>
      </c>
      <c r="C619" s="10">
        <f t="shared" si="155"/>
        <v>8.5448840099174903E-2</v>
      </c>
      <c r="D619" s="10">
        <f t="shared" si="156"/>
        <v>1.1563111804715146E-11</v>
      </c>
      <c r="H619" s="19">
        <f t="shared" si="154"/>
        <v>50.416666666667005</v>
      </c>
      <c r="I619" s="10">
        <f t="shared" si="157"/>
        <v>4.5729784422800495E-4</v>
      </c>
      <c r="J619" s="10">
        <f t="shared" si="158"/>
        <v>6.1882479560008582E-14</v>
      </c>
      <c r="K619" s="10">
        <f t="shared" si="159"/>
        <v>1.3526016275001356E-10</v>
      </c>
      <c r="L619" s="10">
        <f t="shared" si="160"/>
        <v>1.4657579273732037E-5</v>
      </c>
      <c r="M619" s="10">
        <f t="shared" si="161"/>
        <v>0.93551614711949105</v>
      </c>
      <c r="N619" s="10">
        <f t="shared" si="162"/>
        <v>0.86847383366150999</v>
      </c>
      <c r="O619" s="10">
        <f t="shared" si="168"/>
        <v>0.1244841551585238</v>
      </c>
      <c r="P619" s="10">
        <f t="shared" si="169"/>
        <v>1.7141238260841457E-5</v>
      </c>
      <c r="Q619" s="10">
        <f t="shared" si="163"/>
        <v>1.6871200353163005</v>
      </c>
      <c r="S619" s="5">
        <f t="shared" si="164"/>
        <v>5.2877861008636329E-15</v>
      </c>
      <c r="T619" s="5">
        <f t="shared" si="165"/>
        <v>1.1557824018614282E-11</v>
      </c>
      <c r="U619" s="5">
        <f t="shared" si="166"/>
        <v>1.4646989272525005E-6</v>
      </c>
    </row>
    <row r="620" spans="1:21">
      <c r="A620" s="19">
        <f t="shared" si="167"/>
        <v>50.500000000000341</v>
      </c>
      <c r="B620" s="10">
        <f t="shared" si="153"/>
        <v>1.1752365539944401E-10</v>
      </c>
      <c r="C620" s="10">
        <f t="shared" si="155"/>
        <v>8.5102123513728631E-2</v>
      </c>
      <c r="D620" s="10">
        <f t="shared" si="156"/>
        <v>1.0001512637588365E-11</v>
      </c>
      <c r="H620" s="19">
        <f t="shared" si="154"/>
        <v>50.500000000000341</v>
      </c>
      <c r="I620" s="10">
        <f t="shared" si="157"/>
        <v>4.3719995280439245E-4</v>
      </c>
      <c r="J620" s="10">
        <f t="shared" si="158"/>
        <v>5.1381336594036606E-14</v>
      </c>
      <c r="K620" s="10">
        <f t="shared" si="159"/>
        <v>1.1747227406284997E-10</v>
      </c>
      <c r="L620" s="10">
        <f t="shared" si="160"/>
        <v>1.3712402088260303E-5</v>
      </c>
      <c r="M620" s="10">
        <f t="shared" si="161"/>
        <v>0.93515391834500949</v>
      </c>
      <c r="N620" s="10">
        <f t="shared" si="162"/>
        <v>0.867733869847786</v>
      </c>
      <c r="O620" s="10">
        <f t="shared" si="168"/>
        <v>0.1251456611707083</v>
      </c>
      <c r="P620" s="10">
        <f t="shared" si="169"/>
        <v>1.6035905182342992E-5</v>
      </c>
      <c r="Q620" s="10">
        <f t="shared" si="163"/>
        <v>1.6973179348221468</v>
      </c>
      <c r="S620" s="5">
        <f t="shared" si="164"/>
        <v>4.3726608531261684E-15</v>
      </c>
      <c r="T620" s="5">
        <f t="shared" si="165"/>
        <v>9.9971399767352395E-12</v>
      </c>
      <c r="U620" s="5">
        <f t="shared" si="166"/>
        <v>1.3646895834821943E-6</v>
      </c>
    </row>
    <row r="621" spans="1:21">
      <c r="A621" s="19">
        <f t="shared" si="167"/>
        <v>50.583333333333677</v>
      </c>
      <c r="B621" s="10">
        <f t="shared" si="153"/>
        <v>1.0197925629841721E-10</v>
      </c>
      <c r="C621" s="10">
        <f t="shared" si="155"/>
        <v>8.4756813762950731E-2</v>
      </c>
      <c r="D621" s="10">
        <f t="shared" si="156"/>
        <v>8.6434368337691674E-12</v>
      </c>
      <c r="H621" s="19">
        <f t="shared" si="154"/>
        <v>50.583333333333677</v>
      </c>
      <c r="I621" s="10">
        <f t="shared" si="157"/>
        <v>4.178791625297167E-4</v>
      </c>
      <c r="J621" s="10">
        <f t="shared" si="158"/>
        <v>4.2615006217385922E-14</v>
      </c>
      <c r="K621" s="10">
        <f t="shared" si="159"/>
        <v>1.0193664129219982E-10</v>
      </c>
      <c r="L621" s="10">
        <f t="shared" si="160"/>
        <v>1.2823206542758913E-5</v>
      </c>
      <c r="M621" s="10">
        <f t="shared" si="161"/>
        <v>0.93478972626248991</v>
      </c>
      <c r="N621" s="10">
        <f t="shared" si="162"/>
        <v>0.86699006920958244</v>
      </c>
      <c r="O621" s="10">
        <f t="shared" si="168"/>
        <v>0.12581015848254745</v>
      </c>
      <c r="P621" s="10">
        <f t="shared" si="169"/>
        <v>1.4996039571907244E-5</v>
      </c>
      <c r="Q621" s="10">
        <f t="shared" si="163"/>
        <v>1.7075774798047243</v>
      </c>
      <c r="S621" s="5">
        <f t="shared" si="164"/>
        <v>3.6119121454739661E-15</v>
      </c>
      <c r="T621" s="5">
        <f t="shared" si="165"/>
        <v>8.6398249216236946E-12</v>
      </c>
      <c r="U621" s="5">
        <f t="shared" si="166"/>
        <v>1.2710165331779817E-6</v>
      </c>
    </row>
    <row r="622" spans="1:21">
      <c r="A622" s="19">
        <f t="shared" si="167"/>
        <v>50.666666666667012</v>
      </c>
      <c r="B622" s="10">
        <f t="shared" si="153"/>
        <v>8.8415002476106485E-11</v>
      </c>
      <c r="C622" s="10">
        <f t="shared" si="155"/>
        <v>8.4412905138479197E-2</v>
      </c>
      <c r="D622" s="10">
        <f t="shared" si="156"/>
        <v>7.4633672168339796E-12</v>
      </c>
      <c r="H622" s="19">
        <f t="shared" si="154"/>
        <v>50.666666666667012</v>
      </c>
      <c r="I622" s="10">
        <f t="shared" si="157"/>
        <v>3.9931015770046781E-4</v>
      </c>
      <c r="J622" s="10">
        <f t="shared" si="158"/>
        <v>3.5305008581821331E-14</v>
      </c>
      <c r="K622" s="10">
        <f t="shared" si="159"/>
        <v>8.8379697467524662E-11</v>
      </c>
      <c r="L622" s="10">
        <f t="shared" si="160"/>
        <v>1.1987001733912974E-5</v>
      </c>
      <c r="M622" s="10">
        <f t="shared" si="161"/>
        <v>0.93442356105700597</v>
      </c>
      <c r="N622" s="10">
        <f t="shared" si="162"/>
        <v>0.86624241571640359</v>
      </c>
      <c r="O622" s="10">
        <f t="shared" si="168"/>
        <v>0.12647765450778836</v>
      </c>
      <c r="P622" s="10">
        <f t="shared" si="169"/>
        <v>1.4018143731806039E-5</v>
      </c>
      <c r="Q622" s="10">
        <f t="shared" si="163"/>
        <v>1.717899042905944</v>
      </c>
      <c r="S622" s="5">
        <f t="shared" si="164"/>
        <v>2.980198340330478E-15</v>
      </c>
      <c r="T622" s="5">
        <f t="shared" si="165"/>
        <v>7.4603870184936499E-12</v>
      </c>
      <c r="U622" s="5">
        <f t="shared" si="166"/>
        <v>1.18331223705051E-6</v>
      </c>
    </row>
    <row r="623" spans="1:21">
      <c r="A623" s="19">
        <f t="shared" si="167"/>
        <v>50.750000000000348</v>
      </c>
      <c r="B623" s="10">
        <f t="shared" si="153"/>
        <v>7.6588825330474285E-11</v>
      </c>
      <c r="C623" s="10">
        <f t="shared" si="155"/>
        <v>8.4070391955114204E-2</v>
      </c>
      <c r="D623" s="10">
        <f t="shared" si="156"/>
        <v>6.4388525649147523E-12</v>
      </c>
      <c r="H623" s="19">
        <f t="shared" si="154"/>
        <v>50.750000000000348</v>
      </c>
      <c r="I623" s="10">
        <f t="shared" si="157"/>
        <v>3.8146825779394227E-4</v>
      </c>
      <c r="J623" s="10">
        <f t="shared" si="158"/>
        <v>2.921620576530058E-14</v>
      </c>
      <c r="K623" s="10">
        <f t="shared" si="159"/>
        <v>7.6559609124708986E-11</v>
      </c>
      <c r="L623" s="10">
        <f t="shared" si="160"/>
        <v>1.1200936846599466E-5</v>
      </c>
      <c r="M623" s="10">
        <f t="shared" si="161"/>
        <v>0.93405541287426219</v>
      </c>
      <c r="N623" s="10">
        <f t="shared" si="162"/>
        <v>0.86549089331813756</v>
      </c>
      <c r="O623" s="10">
        <f t="shared" si="168"/>
        <v>0.12714815660057163</v>
      </c>
      <c r="P623" s="10">
        <f t="shared" si="169"/>
        <v>1.309888378974844E-5</v>
      </c>
      <c r="Q623" s="10">
        <f t="shared" si="163"/>
        <v>1.728282999020315</v>
      </c>
      <c r="S623" s="5">
        <f t="shared" si="164"/>
        <v>2.456217870130087E-15</v>
      </c>
      <c r="T623" s="5">
        <f t="shared" si="165"/>
        <v>6.4363963470446224E-12</v>
      </c>
      <c r="U623" s="5">
        <f t="shared" si="166"/>
        <v>1.1012282943786431E-6</v>
      </c>
    </row>
    <row r="624" spans="1:21">
      <c r="A624" s="19">
        <f t="shared" si="167"/>
        <v>50.833333333333684</v>
      </c>
      <c r="B624" s="10">
        <f t="shared" si="153"/>
        <v>6.6286930853458987E-11</v>
      </c>
      <c r="C624" s="10">
        <f t="shared" si="155"/>
        <v>8.3729268550724253E-2</v>
      </c>
      <c r="D624" s="10">
        <f t="shared" si="156"/>
        <v>5.5501562348325571E-12</v>
      </c>
      <c r="H624" s="19">
        <f t="shared" si="154"/>
        <v>50.833333333333684</v>
      </c>
      <c r="I624" s="10">
        <f t="shared" si="157"/>
        <v>3.6432940827849211E-4</v>
      </c>
      <c r="J624" s="10">
        <f t="shared" si="158"/>
        <v>2.4150278294438036E-14</v>
      </c>
      <c r="K624" s="10">
        <f t="shared" si="159"/>
        <v>6.6262780575164556E-11</v>
      </c>
      <c r="L624" s="10">
        <f t="shared" si="160"/>
        <v>1.0462295690829E-5</v>
      </c>
      <c r="M624" s="10">
        <f t="shared" si="161"/>
        <v>0.93368527182044969</v>
      </c>
      <c r="N624" s="10">
        <f t="shared" si="162"/>
        <v>0.86473548594570115</v>
      </c>
      <c r="O624" s="10">
        <f t="shared" si="168"/>
        <v>0.12782167205419007</v>
      </c>
      <c r="P624" s="10">
        <f t="shared" si="169"/>
        <v>1.2235083310140247E-5</v>
      </c>
      <c r="Q624" s="10">
        <f t="shared" si="163"/>
        <v>1.7387297253085523</v>
      </c>
      <c r="S624" s="5">
        <f t="shared" si="164"/>
        <v>2.0220851368897291E-15</v>
      </c>
      <c r="T624" s="5">
        <f t="shared" si="165"/>
        <v>5.5481341496956679E-12</v>
      </c>
      <c r="U624" s="5">
        <f t="shared" si="166"/>
        <v>1.024434576215217E-6</v>
      </c>
    </row>
    <row r="625" spans="1:21">
      <c r="A625" s="19">
        <f t="shared" si="167"/>
        <v>50.91666666666702</v>
      </c>
      <c r="B625" s="10">
        <f t="shared" si="153"/>
        <v>5.7320661363414948E-11</v>
      </c>
      <c r="C625" s="10">
        <f t="shared" si="155"/>
        <v>8.3389529286152286E-2</v>
      </c>
      <c r="D625" s="10">
        <f t="shared" si="156"/>
        <v>4.7799429694661088E-12</v>
      </c>
      <c r="H625" s="19">
        <f t="shared" si="154"/>
        <v>50.91666666666702</v>
      </c>
      <c r="I625" s="10">
        <f t="shared" si="157"/>
        <v>3.4787017133814182E-4</v>
      </c>
      <c r="J625" s="10">
        <f t="shared" si="158"/>
        <v>1.9940148289706763E-14</v>
      </c>
      <c r="K625" s="10">
        <f t="shared" si="159"/>
        <v>5.7300721215125238E-11</v>
      </c>
      <c r="L625" s="10">
        <f t="shared" si="160"/>
        <v>9.7684913959575944E-6</v>
      </c>
      <c r="M625" s="10">
        <f t="shared" si="161"/>
        <v>0.93331312796232702</v>
      </c>
      <c r="N625" s="10">
        <f t="shared" si="162"/>
        <v>0.86397617751169198</v>
      </c>
      <c r="O625" s="10">
        <f t="shared" si="168"/>
        <v>0.12849820809984963</v>
      </c>
      <c r="P625" s="10">
        <f t="shared" si="169"/>
        <v>1.1423717089261073E-5</v>
      </c>
      <c r="Q625" s="10">
        <f t="shared" si="163"/>
        <v>1.7492396012112705</v>
      </c>
      <c r="S625" s="5">
        <f t="shared" si="164"/>
        <v>1.6627995797747214E-15</v>
      </c>
      <c r="T625" s="5">
        <f t="shared" si="165"/>
        <v>4.7782801698863333E-12</v>
      </c>
      <c r="U625" s="5">
        <f t="shared" si="166"/>
        <v>9.5261839077165453E-7</v>
      </c>
    </row>
    <row r="626" spans="1:21">
      <c r="A626" s="19">
        <f t="shared" si="167"/>
        <v>51.000000000000355</v>
      </c>
      <c r="B626" s="10">
        <f t="shared" si="153"/>
        <v>4.9523685897205376E-11</v>
      </c>
      <c r="C626" s="10">
        <f t="shared" si="155"/>
        <v>8.3051168545122817E-2</v>
      </c>
      <c r="D626" s="10">
        <f t="shared" si="156"/>
        <v>4.1129999844245259E-12</v>
      </c>
      <c r="H626" s="19">
        <f t="shared" si="154"/>
        <v>51.000000000000355</v>
      </c>
      <c r="I626" s="10">
        <f t="shared" si="157"/>
        <v>3.3206771651956207E-4</v>
      </c>
      <c r="J626" s="10">
        <f t="shared" si="158"/>
        <v>1.6445217289517028E-14</v>
      </c>
      <c r="K626" s="10">
        <f t="shared" si="159"/>
        <v>4.9507240679915853E-11</v>
      </c>
      <c r="L626" s="10">
        <f t="shared" si="160"/>
        <v>9.1170612602342605E-6</v>
      </c>
      <c r="M626" s="10">
        <f t="shared" si="161"/>
        <v>0.93293897132705284</v>
      </c>
      <c r="N626" s="10">
        <f t="shared" si="162"/>
        <v>0.86321295191106984</v>
      </c>
      <c r="O626" s="10">
        <f t="shared" si="168"/>
        <v>0.12917777190540353</v>
      </c>
      <c r="P626" s="10">
        <f t="shared" si="169"/>
        <v>1.0661905132097215E-5</v>
      </c>
      <c r="Q626" s="10">
        <f t="shared" si="163"/>
        <v>1.7598130084627734</v>
      </c>
      <c r="S626" s="5">
        <f t="shared" si="164"/>
        <v>1.3657945128728465E-15</v>
      </c>
      <c r="T626" s="5">
        <f t="shared" si="165"/>
        <v>4.1116341899116519E-12</v>
      </c>
      <c r="U626" s="5">
        <f t="shared" si="166"/>
        <v>8.8548368013791572E-7</v>
      </c>
    </row>
    <row r="627" spans="1:21">
      <c r="A627" s="19">
        <f t="shared" si="167"/>
        <v>51.083333333333691</v>
      </c>
      <c r="B627" s="10">
        <f t="shared" si="153"/>
        <v>4.2749487092843271E-11</v>
      </c>
      <c r="C627" s="10">
        <f t="shared" si="155"/>
        <v>8.2714180734148809E-2</v>
      </c>
      <c r="D627" s="10">
        <f t="shared" si="156"/>
        <v>3.5359888016896003E-12</v>
      </c>
      <c r="H627" s="19">
        <f t="shared" si="154"/>
        <v>51.083333333333691</v>
      </c>
      <c r="I627" s="10">
        <f t="shared" si="157"/>
        <v>3.1689981130933318E-4</v>
      </c>
      <c r="J627" s="10">
        <f t="shared" si="158"/>
        <v>1.3547304393292807E-14</v>
      </c>
      <c r="K627" s="10">
        <f t="shared" si="159"/>
        <v>4.2735939788449981E-11</v>
      </c>
      <c r="L627" s="10">
        <f t="shared" si="160"/>
        <v>8.505661753648675E-6</v>
      </c>
      <c r="M627" s="10">
        <f t="shared" si="161"/>
        <v>0.93256279190227609</v>
      </c>
      <c r="N627" s="10">
        <f t="shared" si="162"/>
        <v>0.8624457930218925</v>
      </c>
      <c r="O627" s="10">
        <f t="shared" si="168"/>
        <v>0.129860370574094</v>
      </c>
      <c r="P627" s="10">
        <f t="shared" si="169"/>
        <v>9.9469068084497573E-6</v>
      </c>
      <c r="Q627" s="10">
        <f t="shared" si="163"/>
        <v>1.7704503311049222</v>
      </c>
      <c r="S627" s="5">
        <f t="shared" si="164"/>
        <v>1.1205541840473494E-15</v>
      </c>
      <c r="T627" s="5">
        <f t="shared" si="165"/>
        <v>3.5348682475055529E-12</v>
      </c>
      <c r="U627" s="5">
        <f t="shared" si="166"/>
        <v>8.2275024749984857E-7</v>
      </c>
    </row>
    <row r="628" spans="1:21">
      <c r="A628" s="19">
        <f t="shared" si="167"/>
        <v>51.166666666667027</v>
      </c>
      <c r="B628" s="10">
        <f t="shared" si="153"/>
        <v>3.6869115297066372E-11</v>
      </c>
      <c r="C628" s="10">
        <f t="shared" si="155"/>
        <v>8.2378560282439409E-2</v>
      </c>
      <c r="D628" s="10">
        <f t="shared" si="156"/>
        <v>3.0372246370595911E-12</v>
      </c>
      <c r="H628" s="19">
        <f t="shared" si="154"/>
        <v>51.166666666667027</v>
      </c>
      <c r="I628" s="10">
        <f t="shared" si="157"/>
        <v>3.023448116493195E-4</v>
      </c>
      <c r="J628" s="10">
        <f t="shared" si="158"/>
        <v>1.1147185720168577E-14</v>
      </c>
      <c r="K628" s="10">
        <f t="shared" si="159"/>
        <v>3.68579681113462E-11</v>
      </c>
      <c r="L628" s="10">
        <f t="shared" si="160"/>
        <v>7.9320636719590182E-6</v>
      </c>
      <c r="M628" s="10">
        <f t="shared" si="161"/>
        <v>0.93218457963601198</v>
      </c>
      <c r="N628" s="10">
        <f t="shared" si="162"/>
        <v>0.86167468470586828</v>
      </c>
      <c r="O628" s="10">
        <f t="shared" si="168"/>
        <v>0.13054601114325434</v>
      </c>
      <c r="P628" s="10">
        <f t="shared" si="169"/>
        <v>9.2761151858389221E-6</v>
      </c>
      <c r="Q628" s="10">
        <f t="shared" si="163"/>
        <v>1.7811519555010815</v>
      </c>
      <c r="S628" s="5">
        <f t="shared" si="164"/>
        <v>9.1828911082845476E-16</v>
      </c>
      <c r="T628" s="5">
        <f t="shared" si="165"/>
        <v>3.0363063479487625E-12</v>
      </c>
      <c r="U628" s="5">
        <f t="shared" si="166"/>
        <v>7.641530140234833E-7</v>
      </c>
    </row>
    <row r="629" spans="1:21">
      <c r="A629" s="19">
        <f t="shared" si="167"/>
        <v>51.250000000000362</v>
      </c>
      <c r="B629" s="10">
        <f t="shared" si="153"/>
        <v>3.1769183298983971E-11</v>
      </c>
      <c r="C629" s="10">
        <f t="shared" si="155"/>
        <v>8.2044301641807704E-2</v>
      </c>
      <c r="D629" s="10">
        <f t="shared" si="156"/>
        <v>2.6064804574957203E-12</v>
      </c>
      <c r="H629" s="19">
        <f t="shared" si="154"/>
        <v>51.250000000000362</v>
      </c>
      <c r="I629" s="10">
        <f t="shared" si="157"/>
        <v>2.8838165239790419E-4</v>
      </c>
      <c r="J629" s="10">
        <f t="shared" si="158"/>
        <v>9.1616495750928988E-15</v>
      </c>
      <c r="K629" s="10">
        <f t="shared" si="159"/>
        <v>3.1760021649408882E-11</v>
      </c>
      <c r="L629" s="10">
        <f t="shared" si="160"/>
        <v>7.3941474396911991E-6</v>
      </c>
      <c r="M629" s="10">
        <f t="shared" si="161"/>
        <v>0.93180432443666372</v>
      </c>
      <c r="N629" s="10">
        <f t="shared" si="162"/>
        <v>0.86089961080927124</v>
      </c>
      <c r="O629" s="10">
        <f t="shared" si="168"/>
        <v>0.13123470058303077</v>
      </c>
      <c r="P629" s="10">
        <f t="shared" si="169"/>
        <v>8.6470515366217045E-6</v>
      </c>
      <c r="Q629" s="10">
        <f t="shared" si="163"/>
        <v>1.7919182703501437</v>
      </c>
      <c r="S629" s="5">
        <f t="shared" si="164"/>
        <v>7.5166114127546114E-16</v>
      </c>
      <c r="T629" s="5">
        <f t="shared" si="165"/>
        <v>2.6057287963544456E-12</v>
      </c>
      <c r="U629" s="5">
        <f t="shared" si="166"/>
        <v>7.0944130458284797E-7</v>
      </c>
    </row>
    <row r="630" spans="1:21">
      <c r="A630" s="19">
        <f t="shared" si="167"/>
        <v>51.333333333333698</v>
      </c>
      <c r="B630" s="10">
        <f t="shared" si="153"/>
        <v>2.73500775378237E-11</v>
      </c>
      <c r="C630" s="10">
        <f t="shared" si="155"/>
        <v>8.1711399286579056E-2</v>
      </c>
      <c r="D630" s="10">
        <f t="shared" si="156"/>
        <v>2.2348131062120093E-12</v>
      </c>
      <c r="H630" s="19">
        <f t="shared" si="154"/>
        <v>51.333333333333698</v>
      </c>
      <c r="I630" s="10">
        <f t="shared" si="157"/>
        <v>2.7498983774470033E-4</v>
      </c>
      <c r="J630" s="10">
        <f t="shared" si="158"/>
        <v>7.5209933844311123E-15</v>
      </c>
      <c r="K630" s="10">
        <f t="shared" si="159"/>
        <v>2.7342556544439269E-11</v>
      </c>
      <c r="L630" s="10">
        <f t="shared" si="160"/>
        <v>6.8898985598265443E-6</v>
      </c>
      <c r="M630" s="10">
        <f t="shared" si="161"/>
        <v>0.93142201617294607</v>
      </c>
      <c r="N630" s="10">
        <f t="shared" si="162"/>
        <v>0.86012055516350006</v>
      </c>
      <c r="O630" s="10">
        <f t="shared" si="168"/>
        <v>0.13192644579506208</v>
      </c>
      <c r="P630" s="10">
        <f t="shared" si="169"/>
        <v>8.0573600166531276E-6</v>
      </c>
      <c r="Q630" s="10">
        <f t="shared" si="163"/>
        <v>1.8027496667006555</v>
      </c>
      <c r="S630" s="5">
        <f t="shared" si="164"/>
        <v>6.1455089346697015E-16</v>
      </c>
      <c r="T630" s="5">
        <f t="shared" si="165"/>
        <v>2.2341985553185422E-12</v>
      </c>
      <c r="U630" s="5">
        <f t="shared" si="166"/>
        <v>6.5837816151646097E-7</v>
      </c>
    </row>
    <row r="631" spans="1:21">
      <c r="A631" s="19">
        <f t="shared" si="167"/>
        <v>51.416666666667034</v>
      </c>
      <c r="B631" s="10">
        <f t="shared" si="153"/>
        <v>2.3524363875597692E-11</v>
      </c>
      <c r="C631" s="10">
        <f t="shared" si="155"/>
        <v>8.1379847713499778E-2</v>
      </c>
      <c r="D631" s="10">
        <f t="shared" si="156"/>
        <v>1.9144091497530955E-12</v>
      </c>
      <c r="H631" s="19">
        <f t="shared" si="154"/>
        <v>51.416666666667034</v>
      </c>
      <c r="I631" s="10">
        <f t="shared" si="157"/>
        <v>2.6214943158627782E-4</v>
      </c>
      <c r="J631" s="10">
        <f t="shared" si="158"/>
        <v>6.1668986184167029E-15</v>
      </c>
      <c r="K631" s="10">
        <f t="shared" si="159"/>
        <v>2.3518196976979276E-11</v>
      </c>
      <c r="L631" s="10">
        <f t="shared" si="160"/>
        <v>6.4174032078207174E-6</v>
      </c>
      <c r="M631" s="10">
        <f t="shared" si="161"/>
        <v>0.93103764467393446</v>
      </c>
      <c r="N631" s="10">
        <f t="shared" si="162"/>
        <v>0.85933750158586175</v>
      </c>
      <c r="O631" s="10">
        <f t="shared" si="168"/>
        <v>0.13262125361117028</v>
      </c>
      <c r="P631" s="10">
        <f t="shared" si="169"/>
        <v>7.5048025127345558E-6</v>
      </c>
      <c r="Q631" s="10">
        <f t="shared" si="163"/>
        <v>1.8136465379650262</v>
      </c>
      <c r="S631" s="5">
        <f t="shared" si="164"/>
        <v>5.0186127043134343E-16</v>
      </c>
      <c r="T631" s="5">
        <f t="shared" si="165"/>
        <v>1.9139072884826642E-12</v>
      </c>
      <c r="U631" s="5">
        <f t="shared" si="166"/>
        <v>6.1073968560622868E-7</v>
      </c>
    </row>
    <row r="632" spans="1:21">
      <c r="A632" s="19">
        <f t="shared" si="167"/>
        <v>51.500000000000369</v>
      </c>
      <c r="B632" s="10">
        <f t="shared" si="153"/>
        <v>2.0215368079252821E-11</v>
      </c>
      <c r="C632" s="10">
        <f t="shared" si="155"/>
        <v>8.1049641441646197E-2</v>
      </c>
      <c r="D632" s="10">
        <f t="shared" si="156"/>
        <v>1.6384483344343412E-12</v>
      </c>
      <c r="H632" s="19">
        <f t="shared" si="154"/>
        <v>51.500000000000369</v>
      </c>
      <c r="I632" s="10">
        <f t="shared" si="157"/>
        <v>2.4984104787031594E-4</v>
      </c>
      <c r="J632" s="10">
        <f t="shared" si="158"/>
        <v>5.0506287440046611E-15</v>
      </c>
      <c r="K632" s="10">
        <f t="shared" si="159"/>
        <v>2.0210317450508817E-11</v>
      </c>
      <c r="L632" s="10">
        <f t="shared" si="160"/>
        <v>5.9748439675323525E-6</v>
      </c>
      <c r="M632" s="10">
        <f t="shared" si="161"/>
        <v>0.93065119972893395</v>
      </c>
      <c r="N632" s="10">
        <f t="shared" si="162"/>
        <v>0.8585504338803438</v>
      </c>
      <c r="O632" s="10">
        <f t="shared" si="168"/>
        <v>0.13331913079202196</v>
      </c>
      <c r="P632" s="10">
        <f t="shared" si="169"/>
        <v>6.9872536560172681E-6</v>
      </c>
      <c r="Q632" s="10">
        <f t="shared" si="163"/>
        <v>1.8246092799338109</v>
      </c>
      <c r="S632" s="5">
        <f t="shared" si="164"/>
        <v>4.0935164875644966E-16</v>
      </c>
      <c r="T632" s="5">
        <f t="shared" si="165"/>
        <v>1.6380389827855848E-12</v>
      </c>
      <c r="U632" s="5">
        <f t="shared" si="166"/>
        <v>5.6631440348203102E-7</v>
      </c>
    </row>
    <row r="633" spans="1:21">
      <c r="A633" s="19">
        <f t="shared" si="167"/>
        <v>51.583333333333705</v>
      </c>
      <c r="B633" s="10">
        <f t="shared" si="153"/>
        <v>1.7355913035493362E-11</v>
      </c>
      <c r="C633" s="10">
        <f t="shared" si="155"/>
        <v>8.0720775012333906E-2</v>
      </c>
      <c r="D633" s="10">
        <f t="shared" si="156"/>
        <v>1.400982751271693E-12</v>
      </c>
      <c r="H633" s="19">
        <f t="shared" si="154"/>
        <v>51.583333333333705</v>
      </c>
      <c r="I633" s="10">
        <f t="shared" si="157"/>
        <v>2.3804584091546575E-4</v>
      </c>
      <c r="J633" s="10">
        <f t="shared" si="158"/>
        <v>4.1315029133897113E-15</v>
      </c>
      <c r="K633" s="10">
        <f t="shared" si="159"/>
        <v>1.7351781532579973E-11</v>
      </c>
      <c r="L633" s="10">
        <f t="shared" si="160"/>
        <v>5.5604957065771672E-6</v>
      </c>
      <c r="M633" s="10">
        <f t="shared" si="161"/>
        <v>0.93026267108755367</v>
      </c>
      <c r="N633" s="10">
        <f t="shared" si="162"/>
        <v>0.85775933583831043</v>
      </c>
      <c r="O633" s="10">
        <f t="shared" si="168"/>
        <v>0.13402008402578819</v>
      </c>
      <c r="P633" s="10">
        <f t="shared" si="169"/>
        <v>6.5026959984561964E-6</v>
      </c>
      <c r="Q633" s="10">
        <f t="shared" si="163"/>
        <v>1.8356382907900819</v>
      </c>
      <c r="S633" s="5">
        <f t="shared" si="164"/>
        <v>3.3349811713453296E-16</v>
      </c>
      <c r="T633" s="5">
        <f t="shared" si="165"/>
        <v>1.4006492531545583E-12</v>
      </c>
      <c r="U633" s="5">
        <f t="shared" si="166"/>
        <v>5.2490266066498657E-7</v>
      </c>
    </row>
    <row r="634" spans="1:21">
      <c r="A634" s="19">
        <f t="shared" si="167"/>
        <v>51.666666666667041</v>
      </c>
      <c r="B634" s="10">
        <f t="shared" si="153"/>
        <v>1.488719643819226E-11</v>
      </c>
      <c r="C634" s="10">
        <f t="shared" si="155"/>
        <v>8.0393242989027683E-2</v>
      </c>
      <c r="D634" s="10">
        <f t="shared" si="156"/>
        <v>1.1968300006809779E-12</v>
      </c>
      <c r="H634" s="19">
        <f t="shared" si="154"/>
        <v>51.666666666667041</v>
      </c>
      <c r="I634" s="10">
        <f t="shared" si="157"/>
        <v>2.2674549571409657E-4</v>
      </c>
      <c r="J634" s="10">
        <f t="shared" si="158"/>
        <v>3.375604736171037E-15</v>
      </c>
      <c r="K634" s="10">
        <f t="shared" si="159"/>
        <v>1.4883820833456089E-11</v>
      </c>
      <c r="L634" s="10">
        <f t="shared" si="160"/>
        <v>5.1727215885713496E-6</v>
      </c>
      <c r="M634" s="10">
        <f t="shared" si="161"/>
        <v>0.92987204845962079</v>
      </c>
      <c r="N634" s="10">
        <f t="shared" si="162"/>
        <v>0.85696419123933409</v>
      </c>
      <c r="O634" s="10">
        <f t="shared" si="168"/>
        <v>0.13472411992678687</v>
      </c>
      <c r="P634" s="10">
        <f t="shared" si="169"/>
        <v>6.049215349347913E-6</v>
      </c>
      <c r="Q634" s="10">
        <f t="shared" si="163"/>
        <v>1.8467339711238933</v>
      </c>
      <c r="S634" s="5">
        <f t="shared" si="164"/>
        <v>2.7137581178991085E-16</v>
      </c>
      <c r="T634" s="5">
        <f t="shared" si="165"/>
        <v>1.1965586248691878E-12</v>
      </c>
      <c r="U634" s="5">
        <f t="shared" si="166"/>
        <v>4.8631603947308278E-7</v>
      </c>
    </row>
    <row r="635" spans="1:21">
      <c r="A635" s="19">
        <f t="shared" si="167"/>
        <v>51.750000000000377</v>
      </c>
      <c r="B635" s="10">
        <f t="shared" si="153"/>
        <v>1.2757794255476525E-11</v>
      </c>
      <c r="C635" s="10">
        <f t="shared" si="155"/>
        <v>8.0067039957251548E-2</v>
      </c>
      <c r="D635" s="10">
        <f t="shared" si="156"/>
        <v>1.0214788224196332E-12</v>
      </c>
      <c r="H635" s="19">
        <f t="shared" si="154"/>
        <v>51.750000000000377</v>
      </c>
      <c r="I635" s="10">
        <f t="shared" si="157"/>
        <v>2.1592221822495122E-4</v>
      </c>
      <c r="J635" s="10">
        <f t="shared" si="158"/>
        <v>2.7546912353000314E-15</v>
      </c>
      <c r="K635" s="10">
        <f t="shared" si="159"/>
        <v>1.2755039564241225E-11</v>
      </c>
      <c r="L635" s="10">
        <f t="shared" si="160"/>
        <v>4.8099692196761448E-6</v>
      </c>
      <c r="M635" s="10">
        <f t="shared" si="161"/>
        <v>0.92947932151520674</v>
      </c>
      <c r="N635" s="10">
        <f t="shared" si="162"/>
        <v>0.85616498385189266</v>
      </c>
      <c r="O635" s="10">
        <f t="shared" si="168"/>
        <v>0.13543124503411366</v>
      </c>
      <c r="P635" s="10">
        <f t="shared" si="169"/>
        <v>5.6249962689262999E-6</v>
      </c>
      <c r="Q635" s="10">
        <f t="shared" si="163"/>
        <v>1.8578967239468418</v>
      </c>
      <c r="S635" s="5">
        <f t="shared" si="164"/>
        <v>2.2055997320665823E-16</v>
      </c>
      <c r="T635" s="5">
        <f t="shared" si="165"/>
        <v>1.0212582624464266E-12</v>
      </c>
      <c r="U635" s="5">
        <f t="shared" si="166"/>
        <v>4.5037680102351292E-7</v>
      </c>
    </row>
    <row r="636" spans="1:21">
      <c r="A636" s="19">
        <f t="shared" si="167"/>
        <v>51.833333333333712</v>
      </c>
      <c r="B636" s="10">
        <f t="shared" si="153"/>
        <v>1.0922776712725828E-11</v>
      </c>
      <c r="C636" s="10">
        <f t="shared" si="155"/>
        <v>7.9742160524499173E-2</v>
      </c>
      <c r="D636" s="10">
        <f t="shared" si="156"/>
        <v>8.7100581399944434E-13</v>
      </c>
      <c r="H636" s="19">
        <f t="shared" si="154"/>
        <v>51.833333333333712</v>
      </c>
      <c r="I636" s="10">
        <f t="shared" si="157"/>
        <v>2.0555872566262304E-4</v>
      </c>
      <c r="J636" s="10">
        <f t="shared" si="158"/>
        <v>2.2452720617652959E-15</v>
      </c>
      <c r="K636" s="10">
        <f t="shared" si="159"/>
        <v>1.0920531440664063E-11</v>
      </c>
      <c r="L636" s="10">
        <f t="shared" si="160"/>
        <v>4.4707669268136117E-6</v>
      </c>
      <c r="M636" s="10">
        <f t="shared" si="161"/>
        <v>0.92908447988454534</v>
      </c>
      <c r="N636" s="10">
        <f t="shared" si="162"/>
        <v>0.85536169743425527</v>
      </c>
      <c r="O636" s="10">
        <f t="shared" si="168"/>
        <v>0.13614146581025993</v>
      </c>
      <c r="P636" s="10">
        <f t="shared" si="169"/>
        <v>5.2283177159402578E-6</v>
      </c>
      <c r="Q636" s="10">
        <f t="shared" si="163"/>
        <v>1.8691269547066969</v>
      </c>
      <c r="S636" s="5">
        <f t="shared" si="164"/>
        <v>1.7904284517046145E-16</v>
      </c>
      <c r="T636" s="5">
        <f t="shared" si="165"/>
        <v>8.7082677115427385E-13</v>
      </c>
      <c r="U636" s="5">
        <f t="shared" si="166"/>
        <v>4.1691735057759089E-7</v>
      </c>
    </row>
    <row r="637" spans="1:21">
      <c r="A637" s="19">
        <f t="shared" si="167"/>
        <v>51.916666666667048</v>
      </c>
      <c r="B637" s="10">
        <f t="shared" si="153"/>
        <v>9.3429248296925192E-12</v>
      </c>
      <c r="C637" s="10">
        <f t="shared" si="155"/>
        <v>7.9418599320144917E-2</v>
      </c>
      <c r="D637" s="10">
        <f t="shared" si="156"/>
        <v>7.4200200352758333E-13</v>
      </c>
      <c r="H637" s="19">
        <f t="shared" si="154"/>
        <v>51.916666666667048</v>
      </c>
      <c r="I637" s="10">
        <f t="shared" si="157"/>
        <v>1.9563823679059612E-4</v>
      </c>
      <c r="J637" s="10">
        <f t="shared" si="158"/>
        <v>1.827833340148125E-15</v>
      </c>
      <c r="K637" s="10">
        <f t="shared" si="159"/>
        <v>9.3410969963523711E-12</v>
      </c>
      <c r="L637" s="10">
        <f t="shared" si="160"/>
        <v>4.1537201648836515E-6</v>
      </c>
      <c r="M637" s="10">
        <f t="shared" si="161"/>
        <v>0.92868751315811704</v>
      </c>
      <c r="N637" s="10">
        <f t="shared" si="162"/>
        <v>0.85455431573518448</v>
      </c>
      <c r="O637" s="10">
        <f t="shared" si="168"/>
        <v>0.13685478863972056</v>
      </c>
      <c r="P637" s="10">
        <f t="shared" si="169"/>
        <v>4.8575488460911831E-6</v>
      </c>
      <c r="Q637" s="10">
        <f t="shared" si="163"/>
        <v>1.8804250713021193</v>
      </c>
      <c r="S637" s="5">
        <f t="shared" si="164"/>
        <v>1.451639636652261E-16</v>
      </c>
      <c r="T637" s="5">
        <f t="shared" si="165"/>
        <v>7.4185683956391814E-13</v>
      </c>
      <c r="U637" s="5">
        <f t="shared" si="166"/>
        <v>3.8577972548574794E-7</v>
      </c>
    </row>
    <row r="638" spans="1:21">
      <c r="A638" s="19">
        <f t="shared" si="167"/>
        <v>52.000000000000384</v>
      </c>
      <c r="B638" s="10">
        <f t="shared" si="153"/>
        <v>7.9840367348031558E-12</v>
      </c>
      <c r="C638" s="10">
        <f t="shared" si="155"/>
        <v>7.9096350995354947E-2</v>
      </c>
      <c r="D638" s="10">
        <f t="shared" si="156"/>
        <v>6.3150817193579803E-13</v>
      </c>
      <c r="H638" s="19">
        <f t="shared" si="154"/>
        <v>52.000000000000384</v>
      </c>
      <c r="I638" s="10">
        <f t="shared" si="157"/>
        <v>1.8614446222447312E-4</v>
      </c>
      <c r="J638" s="10">
        <f t="shared" si="158"/>
        <v>1.4861842243803717E-15</v>
      </c>
      <c r="K638" s="10">
        <f t="shared" si="159"/>
        <v>7.9825505505787761E-12</v>
      </c>
      <c r="L638" s="10">
        <f t="shared" si="160"/>
        <v>3.8575080502805222E-6</v>
      </c>
      <c r="M638" s="10">
        <f t="shared" si="161"/>
        <v>0.92828841088651348</v>
      </c>
      <c r="N638" s="10">
        <f t="shared" si="162"/>
        <v>0.85374282249482303</v>
      </c>
      <c r="O638" s="10">
        <f t="shared" si="168"/>
        <v>0.13757121982758275</v>
      </c>
      <c r="P638" s="10">
        <f t="shared" si="169"/>
        <v>4.5111449581706497E-6</v>
      </c>
      <c r="Q638" s="10">
        <f t="shared" si="163"/>
        <v>1.891791484097485</v>
      </c>
      <c r="S638" s="5">
        <f t="shared" si="164"/>
        <v>1.1755174905534923E-16</v>
      </c>
      <c r="T638" s="5">
        <f t="shared" si="165"/>
        <v>6.313906201867428E-13</v>
      </c>
      <c r="U638" s="5">
        <f t="shared" si="166"/>
        <v>3.5681510500239151E-7</v>
      </c>
    </row>
    <row r="639" spans="1:21">
      <c r="A639" s="19">
        <f t="shared" si="167"/>
        <v>52.083333333333719</v>
      </c>
      <c r="B639" s="10">
        <f t="shared" si="153"/>
        <v>6.8163140568731968E-12</v>
      </c>
      <c r="C639" s="10">
        <f t="shared" si="155"/>
        <v>7.8775410222998762E-2</v>
      </c>
      <c r="D639" s="10">
        <f t="shared" si="156"/>
        <v>5.36957936038979E-13</v>
      </c>
      <c r="H639" s="19">
        <f t="shared" si="154"/>
        <v>52.083333333333719</v>
      </c>
      <c r="I639" s="10">
        <f t="shared" si="157"/>
        <v>1.7706159475184459E-4</v>
      </c>
      <c r="J639" s="10">
        <f t="shared" si="158"/>
        <v>1.2069074372393838E-15</v>
      </c>
      <c r="K639" s="10">
        <f t="shared" si="159"/>
        <v>6.8151071494359573E-12</v>
      </c>
      <c r="L639" s="10">
        <f t="shared" si="160"/>
        <v>3.5808800179768388E-6</v>
      </c>
      <c r="M639" s="10">
        <f t="shared" si="161"/>
        <v>0.92788716258054638</v>
      </c>
      <c r="N639" s="10">
        <f t="shared" si="162"/>
        <v>0.85292720144548118</v>
      </c>
      <c r="O639" s="10">
        <f t="shared" si="168"/>
        <v>0.1382907655981131</v>
      </c>
      <c r="P639" s="10">
        <f t="shared" si="169"/>
        <v>4.1876435847033957E-6</v>
      </c>
      <c r="Q639" s="10">
        <f t="shared" si="163"/>
        <v>1.9032266059377949</v>
      </c>
      <c r="S639" s="5">
        <f t="shared" si="164"/>
        <v>9.5074628469720594E-17</v>
      </c>
      <c r="T639" s="5">
        <f t="shared" si="165"/>
        <v>5.3686286141050926E-13</v>
      </c>
      <c r="U639" s="5">
        <f t="shared" si="166"/>
        <v>3.2988334125271904E-7</v>
      </c>
    </row>
    <row r="640" spans="1:21">
      <c r="A640" s="19">
        <f t="shared" si="167"/>
        <v>52.166666666667055</v>
      </c>
      <c r="B640" s="10">
        <f t="shared" si="153"/>
        <v>5.8138196727023501E-12</v>
      </c>
      <c r="C640" s="10">
        <f t="shared" si="155"/>
        <v>7.8455771697561225E-2</v>
      </c>
      <c r="D640" s="10">
        <f t="shared" si="156"/>
        <v>4.5612770893232568E-13</v>
      </c>
      <c r="H640" s="19">
        <f t="shared" si="154"/>
        <v>52.166666666667055</v>
      </c>
      <c r="I640" s="10">
        <f t="shared" si="157"/>
        <v>1.6837429967511041E-4</v>
      </c>
      <c r="J640" s="10">
        <f t="shared" si="158"/>
        <v>9.7889781582863783E-16</v>
      </c>
      <c r="K640" s="10">
        <f t="shared" si="159"/>
        <v>5.8128407748865217E-12</v>
      </c>
      <c r="L640" s="10">
        <f t="shared" si="160"/>
        <v>3.3226525994219046E-6</v>
      </c>
      <c r="M640" s="10">
        <f t="shared" si="161"/>
        <v>0.92748375771112967</v>
      </c>
      <c r="N640" s="10">
        <f t="shared" si="162"/>
        <v>0.85210743631248942</v>
      </c>
      <c r="O640" s="10">
        <f t="shared" si="168"/>
        <v>0.13901343209331954</v>
      </c>
      <c r="P640" s="10">
        <f t="shared" si="169"/>
        <v>3.8856607238759666E-6</v>
      </c>
      <c r="Q640" s="10">
        <f t="shared" si="163"/>
        <v>1.9147308521636661</v>
      </c>
      <c r="S640" s="5">
        <f t="shared" si="164"/>
        <v>7.680018355389294E-17</v>
      </c>
      <c r="T640" s="5">
        <f t="shared" si="165"/>
        <v>4.5605090874877185E-13</v>
      </c>
      <c r="U640" s="5">
        <f t="shared" si="166"/>
        <v>3.0485251064659333E-7</v>
      </c>
    </row>
    <row r="641" spans="1:21">
      <c r="A641" s="19">
        <f t="shared" si="167"/>
        <v>52.250000000000391</v>
      </c>
      <c r="B641" s="10">
        <f t="shared" si="153"/>
        <v>4.9539989764895159E-12</v>
      </c>
      <c r="C641" s="10">
        <f t="shared" si="155"/>
        <v>7.8137430135054836E-2</v>
      </c>
      <c r="D641" s="10">
        <f t="shared" si="156"/>
        <v>3.8709274891458272E-13</v>
      </c>
      <c r="H641" s="19">
        <f t="shared" si="154"/>
        <v>52.250000000000391</v>
      </c>
      <c r="I641" s="10">
        <f t="shared" si="157"/>
        <v>1.6006770518340693E-4</v>
      </c>
      <c r="J641" s="10">
        <f t="shared" si="158"/>
        <v>7.9297524764762347E-16</v>
      </c>
      <c r="K641" s="10">
        <f t="shared" si="159"/>
        <v>4.9532060012418685E-12</v>
      </c>
      <c r="L641" s="10">
        <f t="shared" si="160"/>
        <v>3.081706318480481E-6</v>
      </c>
      <c r="M641" s="10">
        <f t="shared" si="161"/>
        <v>0.92707818570937051</v>
      </c>
      <c r="N641" s="10">
        <f t="shared" si="162"/>
        <v>0.85128351081503995</v>
      </c>
      <c r="O641" s="10">
        <f t="shared" si="168"/>
        <v>0.13973922537151079</v>
      </c>
      <c r="P641" s="10">
        <f t="shared" si="169"/>
        <v>3.6038872095071097E-6</v>
      </c>
      <c r="Q641" s="10">
        <f t="shared" si="163"/>
        <v>1.9263046406264079</v>
      </c>
      <c r="S641" s="5">
        <f t="shared" si="164"/>
        <v>6.1961048011893982E-17</v>
      </c>
      <c r="T641" s="5">
        <f t="shared" si="165"/>
        <v>3.8703078786657083E-13</v>
      </c>
      <c r="U641" s="5">
        <f t="shared" si="166"/>
        <v>2.8159848504747952E-7</v>
      </c>
    </row>
    <row r="642" spans="1:21">
      <c r="A642" s="19">
        <f t="shared" si="167"/>
        <v>52.333333333333727</v>
      </c>
      <c r="B642" s="10">
        <f t="shared" si="153"/>
        <v>4.2172576412801096E-12</v>
      </c>
      <c r="C642" s="10">
        <f t="shared" si="155"/>
        <v>7.782038027293231E-2</v>
      </c>
      <c r="D642" s="10">
        <f t="shared" si="156"/>
        <v>3.281885933533477E-13</v>
      </c>
      <c r="H642" s="19">
        <f t="shared" si="154"/>
        <v>52.333333333333727</v>
      </c>
      <c r="I642" s="10">
        <f t="shared" si="157"/>
        <v>1.5212739275961617E-4</v>
      </c>
      <c r="J642" s="10">
        <f t="shared" si="158"/>
        <v>6.4156040956351176E-16</v>
      </c>
      <c r="K642" s="10">
        <f t="shared" si="159"/>
        <v>4.2166160808705461E-12</v>
      </c>
      <c r="L642" s="10">
        <f t="shared" si="160"/>
        <v>2.8569827026259879E-6</v>
      </c>
      <c r="M642" s="10">
        <f t="shared" si="161"/>
        <v>0.92667043596647358</v>
      </c>
      <c r="N642" s="10">
        <f t="shared" si="162"/>
        <v>0.85045540866704794</v>
      </c>
      <c r="O642" s="10">
        <f t="shared" si="168"/>
        <v>0.14046815140583424</v>
      </c>
      <c r="P642" s="10">
        <f t="shared" si="169"/>
        <v>3.3410852158018669E-6</v>
      </c>
      <c r="Q642" s="10">
        <f t="shared" si="163"/>
        <v>1.9379483917032081</v>
      </c>
      <c r="S642" s="5">
        <f t="shared" si="164"/>
        <v>4.9926475040290687E-17</v>
      </c>
      <c r="T642" s="5">
        <f t="shared" si="165"/>
        <v>3.2813866687830741E-13</v>
      </c>
      <c r="U642" s="5">
        <f t="shared" si="166"/>
        <v>2.6000452201797339E-7</v>
      </c>
    </row>
    <row r="643" spans="1:21">
      <c r="A643" s="19">
        <f t="shared" si="167"/>
        <v>52.416666666667062</v>
      </c>
      <c r="B643" s="10">
        <f t="shared" si="153"/>
        <v>3.5865895707691062E-12</v>
      </c>
      <c r="C643" s="10">
        <f t="shared" si="155"/>
        <v>7.7504616869999682E-2</v>
      </c>
      <c r="D643" s="10">
        <f t="shared" si="156"/>
        <v>2.7797725055239617E-13</v>
      </c>
      <c r="H643" s="19">
        <f t="shared" si="154"/>
        <v>52.416666666667062</v>
      </c>
      <c r="I643" s="10">
        <f t="shared" si="157"/>
        <v>1.4453938762829305E-4</v>
      </c>
      <c r="J643" s="10">
        <f t="shared" si="158"/>
        <v>5.1840346023298905E-16</v>
      </c>
      <c r="K643" s="10">
        <f t="shared" si="159"/>
        <v>3.5860711673088732E-12</v>
      </c>
      <c r="L643" s="10">
        <f t="shared" si="160"/>
        <v>2.6474814065910983E-6</v>
      </c>
      <c r="M643" s="10">
        <f t="shared" si="161"/>
        <v>0.92626049783382658</v>
      </c>
      <c r="N643" s="10">
        <f t="shared" si="162"/>
        <v>0.84962311357804199</v>
      </c>
      <c r="O643" s="10">
        <f t="shared" si="168"/>
        <v>0.14120021608281441</v>
      </c>
      <c r="P643" s="10">
        <f t="shared" si="169"/>
        <v>3.0960848936183743E-6</v>
      </c>
      <c r="Q643" s="10">
        <f t="shared" si="163"/>
        <v>1.9496625283124065</v>
      </c>
      <c r="S643" s="5">
        <f t="shared" si="164"/>
        <v>4.0178661569439931E-17</v>
      </c>
      <c r="T643" s="5">
        <f t="shared" si="165"/>
        <v>2.7793707189082675E-13</v>
      </c>
      <c r="U643" s="5">
        <f t="shared" si="166"/>
        <v>2.3996087347688583E-7</v>
      </c>
    </row>
    <row r="644" spans="1:21">
      <c r="A644" s="19">
        <f t="shared" si="167"/>
        <v>52.500000000000398</v>
      </c>
      <c r="B644" s="10">
        <f t="shared" si="153"/>
        <v>3.047249398243381E-12</v>
      </c>
      <c r="C644" s="10">
        <f t="shared" si="155"/>
        <v>7.71901347063296E-2</v>
      </c>
      <c r="D644" s="10">
        <f t="shared" si="156"/>
        <v>2.3521759153418837E-13</v>
      </c>
      <c r="H644" s="19">
        <f t="shared" si="154"/>
        <v>52.500000000000398</v>
      </c>
      <c r="I644" s="10">
        <f t="shared" si="157"/>
        <v>1.3729014925015936E-4</v>
      </c>
      <c r="J644" s="10">
        <f t="shared" si="158"/>
        <v>4.1835732468729208E-16</v>
      </c>
      <c r="K644" s="10">
        <f t="shared" si="159"/>
        <v>3.0468310409186939E-12</v>
      </c>
      <c r="L644" s="10">
        <f t="shared" si="160"/>
        <v>2.45225744567487E-6</v>
      </c>
      <c r="M644" s="10">
        <f t="shared" si="161"/>
        <v>0.92584836062290699</v>
      </c>
      <c r="N644" s="10">
        <f t="shared" si="162"/>
        <v>0.84878660925402394</v>
      </c>
      <c r="O644" s="10">
        <f t="shared" si="168"/>
        <v>0.14193542520085733</v>
      </c>
      <c r="P644" s="10">
        <f t="shared" si="169"/>
        <v>2.8677811349719439E-6</v>
      </c>
      <c r="Q644" s="10">
        <f t="shared" si="163"/>
        <v>1.9614474759288505</v>
      </c>
      <c r="S644" s="5">
        <f t="shared" si="164"/>
        <v>3.2293058247991748E-17</v>
      </c>
      <c r="T644" s="5">
        <f t="shared" si="165"/>
        <v>2.3518529847594041E-13</v>
      </c>
      <c r="U644" s="5">
        <f t="shared" si="166"/>
        <v>2.2136441211675514E-7</v>
      </c>
    </row>
    <row r="645" spans="1:21">
      <c r="A645" s="19">
        <f t="shared" si="167"/>
        <v>52.583333333333734</v>
      </c>
      <c r="B645" s="10">
        <f t="shared" si="153"/>
        <v>2.5864644842863642E-12</v>
      </c>
      <c r="C645" s="10">
        <f t="shared" si="155"/>
        <v>7.6876928583175075E-2</v>
      </c>
      <c r="D645" s="10">
        <f t="shared" si="156"/>
        <v>1.9883944544140156E-13</v>
      </c>
      <c r="H645" s="19">
        <f t="shared" si="154"/>
        <v>52.583333333333734</v>
      </c>
      <c r="I645" s="10">
        <f t="shared" si="157"/>
        <v>1.3036656186864309E-4</v>
      </c>
      <c r="J645" s="10">
        <f t="shared" si="158"/>
        <v>3.3718848221176634E-16</v>
      </c>
      <c r="K645" s="10">
        <f t="shared" si="159"/>
        <v>2.5861272958041527E-12</v>
      </c>
      <c r="L645" s="10">
        <f t="shared" si="160"/>
        <v>2.2704185359033957E-6</v>
      </c>
      <c r="M645" s="10">
        <f t="shared" si="161"/>
        <v>0.92543401360538391</v>
      </c>
      <c r="N645" s="10">
        <f t="shared" si="162"/>
        <v>0.84794587939836941</v>
      </c>
      <c r="O645" s="10">
        <f t="shared" si="168"/>
        <v>0.14267378446876647</v>
      </c>
      <c r="P645" s="10">
        <f t="shared" si="169"/>
        <v>2.6551304624984534E-6</v>
      </c>
      <c r="Q645" s="10">
        <f t="shared" si="163"/>
        <v>1.9733036625993414</v>
      </c>
      <c r="S645" s="5">
        <f t="shared" si="164"/>
        <v>2.592201486606316E-17</v>
      </c>
      <c r="T645" s="5">
        <f t="shared" si="165"/>
        <v>1.9881352342653552E-13</v>
      </c>
      <c r="U645" s="5">
        <f t="shared" si="166"/>
        <v>2.0411827494450621E-7</v>
      </c>
    </row>
    <row r="646" spans="1:21">
      <c r="A646" s="19">
        <f t="shared" si="167"/>
        <v>52.666666666667069</v>
      </c>
      <c r="B646" s="10">
        <f t="shared" si="153"/>
        <v>2.1931819016608511E-12</v>
      </c>
      <c r="C646" s="10">
        <f t="shared" si="155"/>
        <v>7.6564993322883426E-2</v>
      </c>
      <c r="D646" s="10">
        <f t="shared" si="156"/>
        <v>1.6792095765653183E-13</v>
      </c>
      <c r="H646" s="19">
        <f t="shared" si="154"/>
        <v>52.666666666667069</v>
      </c>
      <c r="I646" s="10">
        <f t="shared" si="157"/>
        <v>1.2375592511378597E-4</v>
      </c>
      <c r="J646" s="10">
        <f t="shared" si="158"/>
        <v>2.7141925518285102E-16</v>
      </c>
      <c r="K646" s="10">
        <f t="shared" si="159"/>
        <v>2.1929104824056681E-12</v>
      </c>
      <c r="L646" s="10">
        <f t="shared" si="160"/>
        <v>2.1011225382451389E-6</v>
      </c>
      <c r="M646" s="10">
        <f t="shared" si="161"/>
        <v>0.92501744601302416</v>
      </c>
      <c r="N646" s="10">
        <f t="shared" si="162"/>
        <v>0.84710090771280611</v>
      </c>
      <c r="O646" s="10">
        <f t="shared" si="168"/>
        <v>0.14341529950422915</v>
      </c>
      <c r="P646" s="10">
        <f t="shared" si="169"/>
        <v>2.4571480406039713E-6</v>
      </c>
      <c r="Q646" s="10">
        <f t="shared" si="163"/>
        <v>1.9852315189581886</v>
      </c>
      <c r="S646" s="5">
        <f t="shared" si="164"/>
        <v>2.0781213460776983E-17</v>
      </c>
      <c r="T646" s="5">
        <f t="shared" si="165"/>
        <v>1.6790017644307105E-13</v>
      </c>
      <c r="U646" s="5">
        <f t="shared" si="166"/>
        <v>1.8813152332217914E-7</v>
      </c>
    </row>
    <row r="647" spans="1:21">
      <c r="A647" s="19">
        <f t="shared" si="167"/>
        <v>52.750000000000405</v>
      </c>
      <c r="B647" s="10">
        <f t="shared" si="153"/>
        <v>1.8578463796762052E-12</v>
      </c>
      <c r="C647" s="10">
        <f t="shared" si="155"/>
        <v>7.6254323768810889E-2</v>
      </c>
      <c r="D647" s="10">
        <f t="shared" si="156"/>
        <v>1.4166881934854251E-13</v>
      </c>
      <c r="H647" s="19">
        <f t="shared" si="154"/>
        <v>52.750000000000405</v>
      </c>
      <c r="I647" s="10">
        <f t="shared" si="157"/>
        <v>1.1744594466864035E-4</v>
      </c>
      <c r="J647" s="10">
        <f t="shared" si="158"/>
        <v>2.1819652311028539E-16</v>
      </c>
      <c r="K647" s="10">
        <f t="shared" si="159"/>
        <v>1.857628183153095E-12</v>
      </c>
      <c r="L647" s="10">
        <f t="shared" si="160"/>
        <v>1.943575004087921E-6</v>
      </c>
      <c r="M647" s="10">
        <f t="shared" si="161"/>
        <v>0.92459864703778716</v>
      </c>
      <c r="N647" s="10">
        <f t="shared" si="162"/>
        <v>0.84625167789821243</v>
      </c>
      <c r="O647" s="10">
        <f t="shared" si="168"/>
        <v>0.14415997583229365</v>
      </c>
      <c r="P647" s="10">
        <f t="shared" si="169"/>
        <v>2.2729048050343178E-6</v>
      </c>
      <c r="Q647" s="10">
        <f t="shared" si="163"/>
        <v>1.9972314782428584</v>
      </c>
      <c r="S647" s="5">
        <f t="shared" si="164"/>
        <v>1.6638428318480528E-17</v>
      </c>
      <c r="T647" s="5">
        <f t="shared" si="165"/>
        <v>1.4165218092022404E-13</v>
      </c>
      <c r="U647" s="5">
        <f t="shared" si="166"/>
        <v>1.7331881889877286E-7</v>
      </c>
    </row>
    <row r="648" spans="1:21">
      <c r="A648" s="19">
        <f t="shared" si="167"/>
        <v>52.833333333333741</v>
      </c>
      <c r="B648" s="10">
        <f t="shared" si="153"/>
        <v>1.572205616078108E-12</v>
      </c>
      <c r="C648" s="10">
        <f t="shared" si="155"/>
        <v>7.5944914785237197E-2</v>
      </c>
      <c r="D648" s="10">
        <f t="shared" si="156"/>
        <v>1.1940102153792325E-13</v>
      </c>
      <c r="H648" s="19">
        <f t="shared" si="154"/>
        <v>52.833333333333741</v>
      </c>
      <c r="I648" s="10">
        <f t="shared" si="157"/>
        <v>1.1142472300312006E-4</v>
      </c>
      <c r="J648" s="10">
        <f t="shared" si="158"/>
        <v>1.751825752754529E-16</v>
      </c>
      <c r="K648" s="10">
        <f t="shared" si="159"/>
        <v>1.5720304335028326E-12</v>
      </c>
      <c r="L648" s="10">
        <f t="shared" si="160"/>
        <v>1.7970268191961534E-6</v>
      </c>
      <c r="M648" s="10">
        <f t="shared" si="161"/>
        <v>0.9241776058317499</v>
      </c>
      <c r="N648" s="10">
        <f t="shared" si="162"/>
        <v>0.84539817365570136</v>
      </c>
      <c r="O648" s="10">
        <f t="shared" si="168"/>
        <v>0.14490781888383911</v>
      </c>
      <c r="P648" s="10">
        <f t="shared" si="169"/>
        <v>2.1015247076118713E-6</v>
      </c>
      <c r="Q648" s="10">
        <f t="shared" si="163"/>
        <v>2.0093039763097029</v>
      </c>
      <c r="S648" s="5">
        <f t="shared" si="164"/>
        <v>1.330422575115267E-17</v>
      </c>
      <c r="T648" s="5">
        <f t="shared" si="165"/>
        <v>1.1938771731217211E-13</v>
      </c>
      <c r="U648" s="5">
        <f t="shared" si="166"/>
        <v>1.5960011483865409E-7</v>
      </c>
    </row>
    <row r="649" spans="1:21">
      <c r="A649" s="19">
        <f t="shared" si="167"/>
        <v>52.916666666667076</v>
      </c>
      <c r="B649" s="10">
        <f t="shared" si="153"/>
        <v>1.3291397564436693E-12</v>
      </c>
      <c r="C649" s="10">
        <f t="shared" si="155"/>
        <v>7.5636761257280763E-2</v>
      </c>
      <c r="D649" s="10">
        <f t="shared" si="156"/>
        <v>1.0053182643569011E-13</v>
      </c>
      <c r="H649" s="19">
        <f t="shared" si="154"/>
        <v>52.916666666667076</v>
      </c>
      <c r="I649" s="10">
        <f t="shared" si="157"/>
        <v>1.0568075018008021E-4</v>
      </c>
      <c r="J649" s="10">
        <f t="shared" si="158"/>
        <v>1.4046448655513608E-16</v>
      </c>
      <c r="K649" s="10">
        <f t="shared" si="159"/>
        <v>1.3289992919571142E-12</v>
      </c>
      <c r="L649" s="10">
        <f t="shared" si="160"/>
        <v>1.6607719433801461E-6</v>
      </c>
      <c r="M649" s="10">
        <f t="shared" si="161"/>
        <v>0.92375431150720866</v>
      </c>
      <c r="N649" s="10">
        <f t="shared" si="162"/>
        <v>0.84454037868744625</v>
      </c>
      <c r="O649" s="10">
        <f t="shared" si="168"/>
        <v>0.14565883399402563</v>
      </c>
      <c r="P649" s="10">
        <f t="shared" si="169"/>
        <v>1.9421820729023925E-6</v>
      </c>
      <c r="Q649" s="10">
        <f t="shared" si="163"/>
        <v>2.0214494516497825</v>
      </c>
      <c r="S649" s="5">
        <f t="shared" si="164"/>
        <v>1.0624278834697352E-17</v>
      </c>
      <c r="T649" s="5">
        <f t="shared" si="165"/>
        <v>1.0052120215685542E-13</v>
      </c>
      <c r="U649" s="5">
        <f t="shared" si="166"/>
        <v>1.4690036176628893E-7</v>
      </c>
    </row>
    <row r="650" spans="1:21">
      <c r="A650" s="19">
        <f t="shared" si="167"/>
        <v>53.000000000000412</v>
      </c>
      <c r="B650" s="10">
        <f t="shared" si="153"/>
        <v>1.1225121932354766E-12</v>
      </c>
      <c r="C650" s="10">
        <f t="shared" si="155"/>
        <v>7.532985809081412E-2</v>
      </c>
      <c r="D650" s="10">
        <f t="shared" si="156"/>
        <v>8.4558684221636964E-14</v>
      </c>
      <c r="H650" s="19">
        <f t="shared" si="154"/>
        <v>53.000000000000412</v>
      </c>
      <c r="I650" s="10">
        <f t="shared" si="157"/>
        <v>1.0020289473822042E-4</v>
      </c>
      <c r="J650" s="10">
        <f t="shared" si="158"/>
        <v>1.124789711411434E-16</v>
      </c>
      <c r="K650" s="10">
        <f t="shared" si="159"/>
        <v>1.1223997142643354E-12</v>
      </c>
      <c r="L650" s="10">
        <f t="shared" si="160"/>
        <v>1.5341452431276158E-6</v>
      </c>
      <c r="M650" s="10">
        <f t="shared" si="161"/>
        <v>0.92332875313659779</v>
      </c>
      <c r="N650" s="10">
        <f t="shared" si="162"/>
        <v>0.84367827669772455</v>
      </c>
      <c r="O650" s="10">
        <f t="shared" si="168"/>
        <v>0.14641302640073384</v>
      </c>
      <c r="P650" s="10">
        <f t="shared" si="169"/>
        <v>1.7940990635960528E-6</v>
      </c>
      <c r="Q650" s="10">
        <f t="shared" si="163"/>
        <v>2.0336683454047999</v>
      </c>
      <c r="S650" s="5">
        <f t="shared" si="164"/>
        <v>8.4730249342631095E-18</v>
      </c>
      <c r="T650" s="5">
        <f t="shared" si="165"/>
        <v>8.4550211196702703E-14</v>
      </c>
      <c r="U650" s="5">
        <f t="shared" si="166"/>
        <v>1.3514922786155315E-7</v>
      </c>
    </row>
    <row r="651" spans="1:21">
      <c r="A651" s="19">
        <f t="shared" si="167"/>
        <v>53.083333333333748</v>
      </c>
      <c r="B651" s="10">
        <f t="shared" si="153"/>
        <v>9.4703915276109E-13</v>
      </c>
      <c r="C651" s="10">
        <f t="shared" si="155"/>
        <v>7.5024200212379655E-2</v>
      </c>
      <c r="D651" s="10">
        <f t="shared" si="156"/>
        <v>7.105085500571042E-14</v>
      </c>
      <c r="H651" s="19">
        <f t="shared" si="154"/>
        <v>53.083333333333748</v>
      </c>
      <c r="I651" s="10">
        <f t="shared" si="157"/>
        <v>9.4980394656226429E-5</v>
      </c>
      <c r="J651" s="10">
        <f t="shared" si="158"/>
        <v>8.9950152484146641E-17</v>
      </c>
      <c r="K651" s="10">
        <f t="shared" si="159"/>
        <v>9.4694920260860581E-13</v>
      </c>
      <c r="L651" s="10">
        <f t="shared" si="160"/>
        <v>1.4165204144674642E-6</v>
      </c>
      <c r="M651" s="10">
        <f t="shared" si="161"/>
        <v>0.92290091975259703</v>
      </c>
      <c r="N651" s="10">
        <f t="shared" si="162"/>
        <v>0.84281185139389259</v>
      </c>
      <c r="O651" s="10">
        <f t="shared" si="168"/>
        <v>0.1471704012429994</v>
      </c>
      <c r="P651" s="10">
        <f t="shared" si="169"/>
        <v>1.6565432514101495E-6</v>
      </c>
      <c r="Q651" s="10">
        <f t="shared" si="163"/>
        <v>2.0459611013831336</v>
      </c>
      <c r="S651" s="5">
        <f t="shared" si="164"/>
        <v>6.7484382491046965E-18</v>
      </c>
      <c r="T651" s="5">
        <f t="shared" si="165"/>
        <v>7.104410656746131E-14</v>
      </c>
      <c r="U651" s="5">
        <f t="shared" si="166"/>
        <v>1.2428083255426141E-7</v>
      </c>
    </row>
    <row r="652" spans="1:21">
      <c r="A652" s="19">
        <f t="shared" si="167"/>
        <v>53.166666666667084</v>
      </c>
      <c r="B652" s="10">
        <f t="shared" si="153"/>
        <v>7.9817582168107769E-13</v>
      </c>
      <c r="C652" s="10">
        <f t="shared" si="155"/>
        <v>7.4719782569105817E-2</v>
      </c>
      <c r="D652" s="10">
        <f t="shared" si="156"/>
        <v>5.9639523847927506E-14</v>
      </c>
      <c r="H652" s="19">
        <f t="shared" si="154"/>
        <v>53.166666666667084</v>
      </c>
      <c r="I652" s="10">
        <f t="shared" si="157"/>
        <v>9.0002848402379257E-5</v>
      </c>
      <c r="J652" s="10">
        <f t="shared" si="158"/>
        <v>7.1838097477206539E-17</v>
      </c>
      <c r="K652" s="10">
        <f t="shared" si="159"/>
        <v>7.9810398358360048E-13</v>
      </c>
      <c r="L652" s="10">
        <f t="shared" si="160"/>
        <v>1.3073079933603526E-6</v>
      </c>
      <c r="M652" s="10">
        <f t="shared" si="161"/>
        <v>0.92247080034806772</v>
      </c>
      <c r="N652" s="10">
        <f t="shared" si="162"/>
        <v>0.84194108648729249</v>
      </c>
      <c r="O652" s="10">
        <f t="shared" si="168"/>
        <v>0.14793096355941271</v>
      </c>
      <c r="P652" s="10">
        <f t="shared" si="169"/>
        <v>1.5288252903496225E-6</v>
      </c>
      <c r="Q652" s="10">
        <f t="shared" si="163"/>
        <v>2.0583281660759449</v>
      </c>
      <c r="S652" s="5">
        <f t="shared" si="164"/>
        <v>5.3677270236751019E-18</v>
      </c>
      <c r="T652" s="5">
        <f t="shared" si="165"/>
        <v>5.963415612090383E-14</v>
      </c>
      <c r="U652" s="5">
        <f t="shared" si="166"/>
        <v>1.1423349328107386E-7</v>
      </c>
    </row>
    <row r="653" spans="1:21">
      <c r="A653" s="19">
        <f t="shared" si="167"/>
        <v>53.250000000000419</v>
      </c>
      <c r="B653" s="10">
        <f t="shared" si="153"/>
        <v>6.7201701851405399E-13</v>
      </c>
      <c r="C653" s="10">
        <f t="shared" si="155"/>
        <v>7.4416600128623542E-2</v>
      </c>
      <c r="D653" s="10">
        <f t="shared" si="156"/>
        <v>5.0009221746390162E-14</v>
      </c>
      <c r="H653" s="19">
        <f t="shared" si="154"/>
        <v>53.250000000000419</v>
      </c>
      <c r="I653" s="10">
        <f t="shared" si="157"/>
        <v>8.5260206073677552E-5</v>
      </c>
      <c r="J653" s="10">
        <f t="shared" si="158"/>
        <v>5.7296309483526627E-17</v>
      </c>
      <c r="K653" s="10">
        <f t="shared" si="159"/>
        <v>6.7195972220457042E-13</v>
      </c>
      <c r="L653" s="10">
        <f t="shared" si="160"/>
        <v>1.2059534509365509E-6</v>
      </c>
      <c r="M653" s="10">
        <f t="shared" si="161"/>
        <v>0.92203838387615644</v>
      </c>
      <c r="N653" s="10">
        <f t="shared" si="162"/>
        <v>0.84106596569438674</v>
      </c>
      <c r="O653" s="10">
        <f t="shared" si="168"/>
        <v>0.14869471828653863</v>
      </c>
      <c r="P653" s="10">
        <f t="shared" si="169"/>
        <v>1.4102966891918104E-6</v>
      </c>
      <c r="Q653" s="10">
        <f t="shared" si="163"/>
        <v>2.0707699886733923</v>
      </c>
      <c r="S653" s="5">
        <f t="shared" si="164"/>
        <v>4.2637965516814616E-18</v>
      </c>
      <c r="T653" s="5">
        <f t="shared" si="165"/>
        <v>5.0004957949838473E-14</v>
      </c>
      <c r="U653" s="5">
        <f t="shared" si="166"/>
        <v>1.0494948478230864E-7</v>
      </c>
    </row>
    <row r="654" spans="1:21">
      <c r="A654" s="19">
        <f t="shared" si="167"/>
        <v>53.333333333333755</v>
      </c>
      <c r="B654" s="10">
        <f t="shared" ref="B654:B717" si="170">(B$9^A654)*B$10^((B$7^65)*((B$7^A654)-1))</f>
        <v>5.6521064263958539E-13</v>
      </c>
      <c r="C654" s="10">
        <f t="shared" si="155"/>
        <v>7.4114647878983045E-2</v>
      </c>
      <c r="D654" s="10">
        <f t="shared" si="156"/>
        <v>4.1890387756686593E-14</v>
      </c>
      <c r="H654" s="19">
        <f t="shared" ref="H654:H717" si="171">A654</f>
        <v>53.333333333333755</v>
      </c>
      <c r="I654" s="10">
        <f t="shared" si="157"/>
        <v>8.0742760628335985E-5</v>
      </c>
      <c r="J654" s="10">
        <f t="shared" si="158"/>
        <v>4.5636667623235995E-17</v>
      </c>
      <c r="K654" s="10">
        <f t="shared" si="159"/>
        <v>5.6516500597196215E-13</v>
      </c>
      <c r="L654" s="10">
        <f t="shared" si="160"/>
        <v>1.1119353709314111E-6</v>
      </c>
      <c r="M654" s="10">
        <f t="shared" si="161"/>
        <v>0.92160365925023513</v>
      </c>
      <c r="N654" s="10">
        <f t="shared" si="162"/>
        <v>0.84018647273766178</v>
      </c>
      <c r="O654" s="10">
        <f t="shared" si="168"/>
        <v>0.14946167025728843</v>
      </c>
      <c r="P654" s="10">
        <f t="shared" si="169"/>
        <v>1.3003476800968307E-6</v>
      </c>
      <c r="Q654" s="10">
        <f t="shared" si="163"/>
        <v>2.0832870210809529</v>
      </c>
      <c r="S654" s="5">
        <f t="shared" si="164"/>
        <v>3.3823455512663217E-18</v>
      </c>
      <c r="T654" s="5">
        <f t="shared" si="165"/>
        <v>4.1887005411135322E-14</v>
      </c>
      <c r="U654" s="5">
        <f t="shared" si="166"/>
        <v>9.6374810430629102E-8</v>
      </c>
    </row>
    <row r="655" spans="1:21">
      <c r="A655" s="19">
        <f t="shared" si="167"/>
        <v>53.416666666667091</v>
      </c>
      <c r="B655" s="10">
        <f t="shared" si="170"/>
        <v>4.7488233619314029E-13</v>
      </c>
      <c r="C655" s="10">
        <f t="shared" ref="C655:C718" si="172">(1+B$8)^-A655</f>
        <v>7.3813920828571022E-2</v>
      </c>
      <c r="D655" s="10">
        <f t="shared" ref="D655:D718" si="173">B655*C655</f>
        <v>3.5052927166647304E-14</v>
      </c>
      <c r="H655" s="19">
        <f t="shared" si="171"/>
        <v>53.416666666667091</v>
      </c>
      <c r="I655" s="10">
        <f t="shared" ref="I655:I718" si="174">(C$9^H655)*C$10^((C$7^63)*((C$7^H655)-1))</f>
        <v>7.6441139215334229E-5</v>
      </c>
      <c r="J655" s="10">
        <f t="shared" ref="J655:J718" si="175">B655*I655</f>
        <v>3.6300546771842989E-17</v>
      </c>
      <c r="K655" s="10">
        <f t="shared" ref="K655:K718" si="176">B655*(1-I655)</f>
        <v>4.748460356463684E-13</v>
      </c>
      <c r="L655" s="10">
        <f t="shared" ref="L655:L718" si="177">(D$9^H655)*D$10^((D$7^63)*((D$7^H655)-1))</f>
        <v>1.0247637067001559E-6</v>
      </c>
      <c r="M655" s="10">
        <f t="shared" ref="M655:M718" si="178">L656/L655</f>
        <v>0.92116661534400945</v>
      </c>
      <c r="N655" s="10">
        <f t="shared" ref="N655:N718" si="179">B656/B655</f>
        <v>0.83930259134675134</v>
      </c>
      <c r="O655" s="10">
        <f t="shared" si="168"/>
        <v>0.15023182419931086</v>
      </c>
      <c r="P655" s="10">
        <f t="shared" si="169"/>
        <v>1.1984051802816143E-6</v>
      </c>
      <c r="Q655" s="10">
        <f t="shared" ref="Q655:Q718" si="180">0.0001+0.0004*(1.075^(65+H655))</f>
        <v>2.095879717935841</v>
      </c>
      <c r="S655" s="5">
        <f t="shared" ref="S655:S718" si="181">C655*J655</f>
        <v>2.6794856854506578E-18</v>
      </c>
      <c r="T655" s="5">
        <f t="shared" ref="T655:T718" si="182">C655*K655</f>
        <v>3.5050247680961848E-14</v>
      </c>
      <c r="U655" s="5">
        <f t="shared" ref="U655:U718" si="183">C655*P655</f>
        <v>8.8458985097856456E-8</v>
      </c>
    </row>
    <row r="656" spans="1:21">
      <c r="A656" s="19">
        <f t="shared" ref="A656:A719" si="184">A655+1/12</f>
        <v>53.500000000000426</v>
      </c>
      <c r="B656" s="10">
        <f t="shared" si="170"/>
        <v>3.9856997535170178E-13</v>
      </c>
      <c r="C656" s="10">
        <f t="shared" si="172"/>
        <v>7.3514414006028109E-2</v>
      </c>
      <c r="D656" s="10">
        <f t="shared" si="173"/>
        <v>2.9300638178377421E-14</v>
      </c>
      <c r="H656" s="19">
        <f t="shared" si="171"/>
        <v>53.500000000000426</v>
      </c>
      <c r="I656" s="10">
        <f t="shared" si="174"/>
        <v>7.2346294604510927E-5</v>
      </c>
      <c r="J656" s="10">
        <f t="shared" si="175"/>
        <v>2.8835060857306877E-17</v>
      </c>
      <c r="K656" s="10">
        <f t="shared" si="176"/>
        <v>3.9854114029084447E-13</v>
      </c>
      <c r="L656" s="10">
        <f t="shared" si="177"/>
        <v>9.439781152283639E-7</v>
      </c>
      <c r="M656" s="10">
        <f t="shared" si="178"/>
        <v>0.92072724099146674</v>
      </c>
      <c r="N656" s="10">
        <f t="shared" si="179"/>
        <v>0.83841430525940164</v>
      </c>
      <c r="O656" s="10">
        <f t="shared" ref="O656:O719" si="185">(1/24)*(Q656*M656+(J657/J656)*Q657)</f>
        <v>0.1510051847333406</v>
      </c>
      <c r="P656" s="10">
        <f t="shared" ref="P656:P719" si="186">P655*M655+J655*O655</f>
        <v>1.1039308437361954E-6</v>
      </c>
      <c r="Q656" s="10">
        <f t="shared" si="180"/>
        <v>2.1085485366235179</v>
      </c>
      <c r="S656" s="5">
        <f t="shared" si="181"/>
        <v>2.1197926017530734E-18</v>
      </c>
      <c r="T656" s="5">
        <f t="shared" si="182"/>
        <v>2.9298518385775671E-14</v>
      </c>
      <c r="U656" s="5">
        <f t="shared" si="183"/>
        <v>8.1154829080446586E-8</v>
      </c>
    </row>
    <row r="657" spans="1:21">
      <c r="A657" s="19">
        <f t="shared" si="184"/>
        <v>53.583333333333762</v>
      </c>
      <c r="B657" s="10">
        <f t="shared" si="170"/>
        <v>3.3416676898175389E-13</v>
      </c>
      <c r="C657" s="10">
        <f t="shared" si="172"/>
        <v>7.3216122460166635E-2</v>
      </c>
      <c r="D657" s="10">
        <f t="shared" si="173"/>
        <v>2.4466395079886307E-14</v>
      </c>
      <c r="H657" s="19">
        <f t="shared" si="171"/>
        <v>53.583333333333762</v>
      </c>
      <c r="I657" s="10">
        <f t="shared" si="174"/>
        <v>6.8449496720508049E-5</v>
      </c>
      <c r="J657" s="10">
        <f t="shared" si="175"/>
        <v>2.2873547157519334E-17</v>
      </c>
      <c r="K657" s="10">
        <f t="shared" si="176"/>
        <v>3.3414389543459639E-13</v>
      </c>
      <c r="L657" s="10">
        <f t="shared" si="177"/>
        <v>8.6914636559053636E-7</v>
      </c>
      <c r="M657" s="10">
        <f t="shared" si="178"/>
        <v>0.92028552498700489</v>
      </c>
      <c r="N657" s="10">
        <f t="shared" si="179"/>
        <v>0.83752159822260941</v>
      </c>
      <c r="O657" s="10">
        <f t="shared" si="185"/>
        <v>0.15178175637156216</v>
      </c>
      <c r="P657" s="10">
        <f t="shared" si="186"/>
        <v>1.0164192000029635E-6</v>
      </c>
      <c r="Q657" s="10">
        <f t="shared" si="180"/>
        <v>2.1212939372942961</v>
      </c>
      <c r="S657" s="5">
        <f t="shared" si="181"/>
        <v>1.674712429783332E-18</v>
      </c>
      <c r="T657" s="5">
        <f t="shared" si="182"/>
        <v>2.4464720367456524E-14</v>
      </c>
      <c r="U657" s="5">
        <f t="shared" si="183"/>
        <v>7.4418272618281581E-8</v>
      </c>
    </row>
    <row r="658" spans="1:21">
      <c r="A658" s="19">
        <f t="shared" si="184"/>
        <v>53.666666666667098</v>
      </c>
      <c r="B658" s="10">
        <f t="shared" si="170"/>
        <v>2.7987188643048402E-13</v>
      </c>
      <c r="C658" s="10">
        <f t="shared" si="172"/>
        <v>7.2919041259888878E-2</v>
      </c>
      <c r="D658" s="10">
        <f t="shared" si="173"/>
        <v>2.0407989634107399E-14</v>
      </c>
      <c r="H658" s="19">
        <f t="shared" si="171"/>
        <v>53.666666666667098</v>
      </c>
      <c r="I658" s="10">
        <f t="shared" si="174"/>
        <v>6.4742324283689024E-5</v>
      </c>
      <c r="J658" s="10">
        <f t="shared" si="175"/>
        <v>1.8119556429170183E-17</v>
      </c>
      <c r="K658" s="10">
        <f t="shared" si="176"/>
        <v>2.7985376687405486E-13</v>
      </c>
      <c r="L658" s="10">
        <f t="shared" si="177"/>
        <v>7.9986281934803406E-7</v>
      </c>
      <c r="M658" s="10">
        <f t="shared" si="178"/>
        <v>0.91984145608534873</v>
      </c>
      <c r="N658" s="10">
        <f t="shared" si="179"/>
        <v>0.83662445399363095</v>
      </c>
      <c r="O658" s="10">
        <f t="shared" si="185"/>
        <v>0.15256154351593412</v>
      </c>
      <c r="P658" s="10">
        <f t="shared" si="186"/>
        <v>9.3539587708507053E-7</v>
      </c>
      <c r="Q658" s="10">
        <f t="shared" si="180"/>
        <v>2.1341163828800571</v>
      </c>
      <c r="S658" s="5">
        <f t="shared" si="181"/>
        <v>1.3212606828695455E-18</v>
      </c>
      <c r="T658" s="5">
        <f t="shared" si="182"/>
        <v>2.0406668373424531E-14</v>
      </c>
      <c r="U658" s="5">
        <f t="shared" si="183"/>
        <v>6.8208170555496203E-8</v>
      </c>
    </row>
    <row r="659" spans="1:21">
      <c r="A659" s="19">
        <f t="shared" si="184"/>
        <v>53.750000000000433</v>
      </c>
      <c r="B659" s="10">
        <f t="shared" si="170"/>
        <v>2.3414766417307117E-13</v>
      </c>
      <c r="C659" s="10">
        <f t="shared" si="172"/>
        <v>7.2623165494105496E-2</v>
      </c>
      <c r="D659" s="10">
        <f t="shared" si="173"/>
        <v>1.7004544565299185E-14</v>
      </c>
      <c r="H659" s="19">
        <f t="shared" si="171"/>
        <v>53.750000000000433</v>
      </c>
      <c r="I659" s="10">
        <f t="shared" si="174"/>
        <v>6.1216656560974524E-5</v>
      </c>
      <c r="J659" s="10">
        <f t="shared" si="175"/>
        <v>1.4333737142237296E-17</v>
      </c>
      <c r="K659" s="10">
        <f t="shared" si="176"/>
        <v>2.3413333043592891E-13</v>
      </c>
      <c r="L659" s="10">
        <f t="shared" si="177"/>
        <v>7.3574698041762786E-7</v>
      </c>
      <c r="M659" s="10">
        <f t="shared" si="178"/>
        <v>0.91939502300172193</v>
      </c>
      <c r="N659" s="10">
        <f t="shared" si="179"/>
        <v>0.8357228563411121</v>
      </c>
      <c r="O659" s="10">
        <f t="shared" si="185"/>
        <v>0.15334455045652601</v>
      </c>
      <c r="P659" s="10">
        <f t="shared" si="186"/>
        <v>8.6041590559692756E-7</v>
      </c>
      <c r="Q659" s="10">
        <f t="shared" si="180"/>
        <v>2.1470163391110773</v>
      </c>
      <c r="S659" s="5">
        <f t="shared" si="181"/>
        <v>1.0409613646297059E-18</v>
      </c>
      <c r="T659" s="5">
        <f t="shared" si="182"/>
        <v>1.7003503603934551E-14</v>
      </c>
      <c r="U659" s="5">
        <f t="shared" si="183"/>
        <v>6.2486126705926326E-8</v>
      </c>
    </row>
    <row r="660" spans="1:21">
      <c r="A660" s="19">
        <f t="shared" si="184"/>
        <v>53.833333333333769</v>
      </c>
      <c r="B660" s="10">
        <f t="shared" si="170"/>
        <v>1.9568255470831852E-13</v>
      </c>
      <c r="C660" s="10">
        <f t="shared" si="172"/>
        <v>7.2328490271654361E-2</v>
      </c>
      <c r="D660" s="10">
        <f t="shared" si="173"/>
        <v>1.4153423754553088E-14</v>
      </c>
      <c r="H660" s="19">
        <f t="shared" si="171"/>
        <v>53.833333333333769</v>
      </c>
      <c r="I660" s="10">
        <f t="shared" si="174"/>
        <v>5.7864665229348454E-5</v>
      </c>
      <c r="J660" s="10">
        <f t="shared" si="175"/>
        <v>1.1323105519420516E-17</v>
      </c>
      <c r="K660" s="10">
        <f t="shared" si="176"/>
        <v>1.9567123160279909E-13</v>
      </c>
      <c r="L660" s="10">
        <f t="shared" si="177"/>
        <v>6.764421119845124E-7</v>
      </c>
      <c r="M660" s="10">
        <f t="shared" si="178"/>
        <v>0.91894621441175772</v>
      </c>
      <c r="N660" s="10">
        <f t="shared" si="179"/>
        <v>0.83481678904616397</v>
      </c>
      <c r="O660" s="10">
        <f t="shared" si="185"/>
        <v>0.15413078136981867</v>
      </c>
      <c r="P660" s="10">
        <f t="shared" si="186"/>
        <v>7.9106210131953269E-7</v>
      </c>
      <c r="Q660" s="10">
        <f t="shared" si="180"/>
        <v>2.1599942745329348</v>
      </c>
      <c r="S660" s="5">
        <f t="shared" si="181"/>
        <v>8.1898312740632254E-19</v>
      </c>
      <c r="T660" s="5">
        <f t="shared" si="182"/>
        <v>1.4152604771425681E-14</v>
      </c>
      <c r="U660" s="5">
        <f t="shared" si="183"/>
        <v>5.7216327499564279E-8</v>
      </c>
    </row>
    <row r="661" spans="1:21">
      <c r="A661" s="19">
        <f t="shared" si="184"/>
        <v>53.916666666667105</v>
      </c>
      <c r="B661" s="10">
        <f t="shared" si="170"/>
        <v>1.6335908199394879E-13</v>
      </c>
      <c r="C661" s="10">
        <f t="shared" si="172"/>
        <v>7.2035010721219664E-2</v>
      </c>
      <c r="D661" s="10">
        <f t="shared" si="173"/>
        <v>1.1767573222842703E-14</v>
      </c>
      <c r="H661" s="19">
        <f t="shared" si="171"/>
        <v>53.916666666667105</v>
      </c>
      <c r="I661" s="10">
        <f t="shared" si="174"/>
        <v>5.4678806354617511E-5</v>
      </c>
      <c r="J661" s="10">
        <f t="shared" si="175"/>
        <v>8.93227961061521E-18</v>
      </c>
      <c r="K661" s="10">
        <f t="shared" si="176"/>
        <v>1.6335014971433819E-13</v>
      </c>
      <c r="L661" s="10">
        <f t="shared" si="177"/>
        <v>6.2161391807686198E-7</v>
      </c>
      <c r="M661" s="10">
        <f t="shared" si="178"/>
        <v>0.91849501895165675</v>
      </c>
      <c r="N661" s="10">
        <f t="shared" si="179"/>
        <v>0.83390623590353075</v>
      </c>
      <c r="O661" s="10">
        <f t="shared" si="185"/>
        <v>0.15492024031701387</v>
      </c>
      <c r="P661" s="10">
        <f t="shared" si="186"/>
        <v>7.2694352337394005E-7</v>
      </c>
      <c r="Q661" s="10">
        <f t="shared" si="180"/>
        <v>2.1730506605235198</v>
      </c>
      <c r="S661" s="5">
        <f t="shared" si="181"/>
        <v>6.4343685751559848E-19</v>
      </c>
      <c r="T661" s="5">
        <f t="shared" si="182"/>
        <v>1.1766929785985188E-14</v>
      </c>
      <c r="U661" s="5">
        <f t="shared" si="183"/>
        <v>5.2365384499962967E-8</v>
      </c>
    </row>
    <row r="662" spans="1:21">
      <c r="A662" s="19">
        <f t="shared" si="184"/>
        <v>54.000000000000441</v>
      </c>
      <c r="B662" s="10">
        <f t="shared" si="170"/>
        <v>1.3622615716623008E-13</v>
      </c>
      <c r="C662" s="10">
        <f t="shared" si="172"/>
        <v>7.1742721991251424E-2</v>
      </c>
      <c r="D662" s="10">
        <f t="shared" si="173"/>
        <v>9.7732353215133668E-15</v>
      </c>
      <c r="H662" s="19">
        <f t="shared" si="171"/>
        <v>54.000000000000441</v>
      </c>
      <c r="I662" s="10">
        <f t="shared" si="174"/>
        <v>5.165181248781601E-5</v>
      </c>
      <c r="J662" s="10">
        <f t="shared" si="175"/>
        <v>7.0363279258858696E-18</v>
      </c>
      <c r="K662" s="10">
        <f t="shared" si="176"/>
        <v>1.3621912083830419E-13</v>
      </c>
      <c r="L662" s="10">
        <f t="shared" si="177"/>
        <v>5.7094928746462094E-7</v>
      </c>
      <c r="M662" s="10">
        <f t="shared" si="178"/>
        <v>0.91804142521812904</v>
      </c>
      <c r="N662" s="10">
        <f t="shared" si="179"/>
        <v>0.83299118072263334</v>
      </c>
      <c r="O662" s="10">
        <f t="shared" si="185"/>
        <v>0.15571293124230801</v>
      </c>
      <c r="P662" s="10">
        <f t="shared" si="186"/>
        <v>6.6769400527951509E-7</v>
      </c>
      <c r="Q662" s="10">
        <f t="shared" si="180"/>
        <v>2.1861859713101639</v>
      </c>
      <c r="S662" s="5">
        <f t="shared" si="181"/>
        <v>5.0480531822610867E-19</v>
      </c>
      <c r="T662" s="5">
        <f t="shared" si="182"/>
        <v>9.7727305161951405E-15</v>
      </c>
      <c r="U662" s="5">
        <f t="shared" si="183"/>
        <v>4.7902185395993412E-8</v>
      </c>
    </row>
    <row r="663" spans="1:21">
      <c r="A663" s="19">
        <f t="shared" si="184"/>
        <v>54.083333333333776</v>
      </c>
      <c r="B663" s="10">
        <f t="shared" si="170"/>
        <v>1.1347518750320501E-13</v>
      </c>
      <c r="C663" s="10">
        <f t="shared" si="172"/>
        <v>7.1451619249885287E-2</v>
      </c>
      <c r="D663" s="10">
        <f t="shared" si="173"/>
        <v>8.1079858917883455E-15</v>
      </c>
      <c r="H663" s="19">
        <f t="shared" si="171"/>
        <v>54.083333333333776</v>
      </c>
      <c r="I663" s="10">
        <f t="shared" si="174"/>
        <v>4.8776684881482E-5</v>
      </c>
      <c r="J663" s="10">
        <f t="shared" si="175"/>
        <v>5.5349434627109148E-18</v>
      </c>
      <c r="K663" s="10">
        <f t="shared" si="176"/>
        <v>1.134696525597423E-13</v>
      </c>
      <c r="L663" s="10">
        <f t="shared" si="177"/>
        <v>5.2415509759129587E-7</v>
      </c>
      <c r="M663" s="10">
        <f t="shared" si="178"/>
        <v>0.91758542176855429</v>
      </c>
      <c r="N663" s="10">
        <f t="shared" si="179"/>
        <v>0.83207160732881924</v>
      </c>
      <c r="O663" s="10">
        <f t="shared" si="185"/>
        <v>0.15650885797117933</v>
      </c>
      <c r="P663" s="10">
        <f t="shared" si="186"/>
        <v>6.1297075621750261E-7</v>
      </c>
      <c r="Q663" s="10">
        <f t="shared" si="180"/>
        <v>2.1994006839868723</v>
      </c>
      <c r="S663" s="5">
        <f t="shared" si="181"/>
        <v>3.9548067286726194E-19</v>
      </c>
      <c r="T663" s="5">
        <f t="shared" si="182"/>
        <v>8.1075904111154773E-15</v>
      </c>
      <c r="U663" s="5">
        <f t="shared" si="183"/>
        <v>4.379775308456725E-8</v>
      </c>
    </row>
    <row r="664" spans="1:21">
      <c r="A664" s="19">
        <f t="shared" si="184"/>
        <v>54.166666666667112</v>
      </c>
      <c r="B664" s="10">
        <f t="shared" si="170"/>
        <v>9.4419481657730932E-14</v>
      </c>
      <c r="C664" s="10">
        <f t="shared" si="172"/>
        <v>7.1161697684862579E-2</v>
      </c>
      <c r="D664" s="10">
        <f t="shared" si="173"/>
        <v>6.7190506092888759E-15</v>
      </c>
      <c r="H664" s="19">
        <f t="shared" si="171"/>
        <v>54.166666666667112</v>
      </c>
      <c r="I664" s="10">
        <f t="shared" si="174"/>
        <v>4.6046685827841769E-5</v>
      </c>
      <c r="J664" s="10">
        <f t="shared" si="175"/>
        <v>4.347704207921205E-18</v>
      </c>
      <c r="K664" s="10">
        <f t="shared" si="176"/>
        <v>9.4415133953523012E-14</v>
      </c>
      <c r="L664" s="10">
        <f t="shared" si="177"/>
        <v>4.8095707629544697E-7</v>
      </c>
      <c r="M664" s="10">
        <f t="shared" si="178"/>
        <v>0.91712699712091095</v>
      </c>
      <c r="N664" s="10">
        <f t="shared" si="179"/>
        <v>0.83114749956444045</v>
      </c>
      <c r="O664" s="10">
        <f t="shared" si="185"/>
        <v>0.15730802420863477</v>
      </c>
      <c r="P664" s="10">
        <f t="shared" si="186"/>
        <v>5.6245302987649306E-7</v>
      </c>
      <c r="Q664" s="10">
        <f t="shared" si="180"/>
        <v>2.2126952785316445</v>
      </c>
      <c r="S664" s="5">
        <f t="shared" si="181"/>
        <v>3.093900124672937E-19</v>
      </c>
      <c r="T664" s="5">
        <f t="shared" si="182"/>
        <v>6.7187412192764092E-15</v>
      </c>
      <c r="U664" s="5">
        <f t="shared" si="183"/>
        <v>4.0025112474005982E-8</v>
      </c>
    </row>
    <row r="665" spans="1:21">
      <c r="A665" s="19">
        <f t="shared" si="184"/>
        <v>54.250000000000448</v>
      </c>
      <c r="B665" s="10">
        <f t="shared" si="170"/>
        <v>7.8476516089993612E-14</v>
      </c>
      <c r="C665" s="10">
        <f t="shared" si="172"/>
        <v>7.0872952503450881E-2</v>
      </c>
      <c r="D665" s="10">
        <f t="shared" si="173"/>
        <v>5.5618623974824163E-15</v>
      </c>
      <c r="H665" s="19">
        <f t="shared" si="171"/>
        <v>54.250000000000448</v>
      </c>
      <c r="I665" s="10">
        <f t="shared" si="174"/>
        <v>4.3455331120779819E-5</v>
      </c>
      <c r="J665" s="10">
        <f t="shared" si="175"/>
        <v>3.4102229918958776E-18</v>
      </c>
      <c r="K665" s="10">
        <f t="shared" si="176"/>
        <v>7.8473105867001713E-14</v>
      </c>
      <c r="L665" s="10">
        <f t="shared" si="177"/>
        <v>4.4109871912689613E-7</v>
      </c>
      <c r="M665" s="10">
        <f t="shared" si="178"/>
        <v>0.91666613975397004</v>
      </c>
      <c r="N665" s="10">
        <f t="shared" si="179"/>
        <v>0.83021884129007306</v>
      </c>
      <c r="O665" s="10">
        <f t="shared" si="185"/>
        <v>0.15811043353746929</v>
      </c>
      <c r="P665" s="10">
        <f t="shared" si="186"/>
        <v>5.1584085831287002E-7</v>
      </c>
      <c r="Q665" s="10">
        <f t="shared" si="180"/>
        <v>2.226070237823901</v>
      </c>
      <c r="S665" s="5">
        <f t="shared" si="181"/>
        <v>2.416925721308127E-19</v>
      </c>
      <c r="T665" s="5">
        <f t="shared" si="182"/>
        <v>5.5616207049102849E-15</v>
      </c>
      <c r="U665" s="5">
        <f t="shared" si="183"/>
        <v>3.6559164650547372E-8</v>
      </c>
    </row>
    <row r="666" spans="1:21">
      <c r="A666" s="19">
        <f t="shared" si="184"/>
        <v>54.333333333333783</v>
      </c>
      <c r="B666" s="10">
        <f t="shared" si="170"/>
        <v>6.5152682256716267E-14</v>
      </c>
      <c r="C666" s="10">
        <f t="shared" si="172"/>
        <v>7.0585378932364704E-2</v>
      </c>
      <c r="D666" s="10">
        <f t="shared" si="173"/>
        <v>4.5988267655502719E-15</v>
      </c>
      <c r="H666" s="19">
        <f t="shared" si="171"/>
        <v>54.333333333333783</v>
      </c>
      <c r="I666" s="10">
        <f t="shared" si="174"/>
        <v>4.0996382643285531E-5</v>
      </c>
      <c r="J666" s="10">
        <f t="shared" si="175"/>
        <v>2.67102429203274E-18</v>
      </c>
      <c r="K666" s="10">
        <f t="shared" si="176"/>
        <v>6.5150011232424231E-14</v>
      </c>
      <c r="L666" s="10">
        <f t="shared" si="177"/>
        <v>4.0434026011247255E-7</v>
      </c>
      <c r="M666" s="10">
        <f t="shared" si="178"/>
        <v>0.91620283810720515</v>
      </c>
      <c r="N666" s="10">
        <f t="shared" si="179"/>
        <v>0.82928561638571407</v>
      </c>
      <c r="O666" s="10">
        <f t="shared" si="185"/>
        <v>0.15891608941649127</v>
      </c>
      <c r="P666" s="10">
        <f t="shared" si="186"/>
        <v>4.7285384831757238E-7</v>
      </c>
      <c r="Q666" s="10">
        <f t="shared" si="180"/>
        <v>2.2395260476620282</v>
      </c>
      <c r="S666" s="5">
        <f t="shared" si="181"/>
        <v>1.8853526179068213E-19</v>
      </c>
      <c r="T666" s="5">
        <f t="shared" si="182"/>
        <v>4.5986382302884813E-15</v>
      </c>
      <c r="U666" s="5">
        <f t="shared" si="183"/>
        <v>3.3376568063122751E-8</v>
      </c>
    </row>
    <row r="667" spans="1:21">
      <c r="A667" s="19">
        <f t="shared" si="184"/>
        <v>54.416666666667119</v>
      </c>
      <c r="B667" s="10">
        <f t="shared" si="170"/>
        <v>5.4030182264443527E-14</v>
      </c>
      <c r="C667" s="10">
        <f t="shared" si="172"/>
        <v>7.0298972217686606E-2</v>
      </c>
      <c r="D667" s="10">
        <f t="shared" si="173"/>
        <v>3.7982662819246589E-15</v>
      </c>
      <c r="H667" s="19">
        <f t="shared" si="171"/>
        <v>54.416666666667119</v>
      </c>
      <c r="I667" s="10">
        <f t="shared" si="174"/>
        <v>3.8663841081910376E-5</v>
      </c>
      <c r="J667" s="10">
        <f t="shared" si="175"/>
        <v>2.089014380699097E-18</v>
      </c>
      <c r="K667" s="10">
        <f t="shared" si="176"/>
        <v>5.402809325006283E-14</v>
      </c>
      <c r="L667" s="10">
        <f t="shared" si="177"/>
        <v>3.7045769387605292E-7</v>
      </c>
      <c r="M667" s="10">
        <f t="shared" si="178"/>
        <v>0.91573708058100445</v>
      </c>
      <c r="N667" s="10">
        <f t="shared" si="179"/>
        <v>0.8283478087519569</v>
      </c>
      <c r="O667" s="10">
        <f t="shared" si="185"/>
        <v>0.15972499517875385</v>
      </c>
      <c r="P667" s="10">
        <f t="shared" si="186"/>
        <v>4.332300378388982E-7</v>
      </c>
      <c r="Q667" s="10">
        <f t="shared" si="180"/>
        <v>2.2530631967810333</v>
      </c>
      <c r="S667" s="5">
        <f t="shared" si="181"/>
        <v>1.4685556391111362E-19</v>
      </c>
      <c r="T667" s="5">
        <f t="shared" si="182"/>
        <v>3.7981194263607484E-15</v>
      </c>
      <c r="U667" s="5">
        <f t="shared" si="183"/>
        <v>3.0455626393904021E-8</v>
      </c>
    </row>
    <row r="668" spans="1:21">
      <c r="A668" s="19">
        <f t="shared" si="184"/>
        <v>54.500000000000455</v>
      </c>
      <c r="B668" s="10">
        <f t="shared" si="170"/>
        <v>4.4755783085220642E-14</v>
      </c>
      <c r="C668" s="10">
        <f t="shared" si="172"/>
        <v>7.001372762478858E-2</v>
      </c>
      <c r="D668" s="10">
        <f t="shared" si="173"/>
        <v>3.1335192065627581E-15</v>
      </c>
      <c r="H668" s="19">
        <f t="shared" si="171"/>
        <v>54.500000000000455</v>
      </c>
      <c r="I668" s="10">
        <f t="shared" si="174"/>
        <v>3.6451938769594715E-5</v>
      </c>
      <c r="J668" s="10">
        <f t="shared" si="175"/>
        <v>1.6314350646077258E-18</v>
      </c>
      <c r="K668" s="10">
        <f t="shared" si="176"/>
        <v>4.4754151650156037E-14</v>
      </c>
      <c r="L668" s="10">
        <f t="shared" si="177"/>
        <v>3.3924184706882814E-7</v>
      </c>
      <c r="M668" s="10">
        <f t="shared" si="178"/>
        <v>0.91526885553659887</v>
      </c>
      <c r="N668" s="10">
        <f t="shared" si="179"/>
        <v>0.82740540231122717</v>
      </c>
      <c r="O668" s="10">
        <f t="shared" si="185"/>
        <v>0.16053715402975505</v>
      </c>
      <c r="P668" s="10">
        <f t="shared" si="186"/>
        <v>3.967248100709244E-7</v>
      </c>
      <c r="Q668" s="10">
        <f t="shared" si="180"/>
        <v>2.2666821768702863</v>
      </c>
      <c r="S668" s="5">
        <f t="shared" si="181"/>
        <v>1.1422285025097468E-19</v>
      </c>
      <c r="T668" s="5">
        <f t="shared" si="182"/>
        <v>3.1334049837125071E-15</v>
      </c>
      <c r="U668" s="5">
        <f t="shared" si="183"/>
        <v>2.7776182794301681E-8</v>
      </c>
    </row>
    <row r="669" spans="1:21">
      <c r="A669" s="19">
        <f t="shared" si="184"/>
        <v>54.58333333333379</v>
      </c>
      <c r="B669" s="10">
        <f t="shared" si="170"/>
        <v>3.7031176709381002E-14</v>
      </c>
      <c r="C669" s="10">
        <f t="shared" si="172"/>
        <v>6.9729640438253832E-2</v>
      </c>
      <c r="D669" s="10">
        <f t="shared" si="173"/>
        <v>2.5821706369505771E-15</v>
      </c>
      <c r="H669" s="19">
        <f t="shared" si="171"/>
        <v>54.58333333333379</v>
      </c>
      <c r="I669" s="10">
        <f t="shared" si="174"/>
        <v>3.4355132658064803E-5</v>
      </c>
      <c r="J669" s="10">
        <f t="shared" si="175"/>
        <v>1.2722109883350239E-18</v>
      </c>
      <c r="K669" s="10">
        <f t="shared" si="176"/>
        <v>3.702990449839267E-14</v>
      </c>
      <c r="L669" s="10">
        <f t="shared" si="177"/>
        <v>3.1049749711680823E-7</v>
      </c>
      <c r="M669" s="10">
        <f t="shared" si="178"/>
        <v>0.91479815129624886</v>
      </c>
      <c r="N669" s="10">
        <f t="shared" si="179"/>
        <v>0.82645838100903735</v>
      </c>
      <c r="O669" s="10">
        <f t="shared" si="185"/>
        <v>0.16135256904564471</v>
      </c>
      <c r="P669" s="10">
        <f t="shared" si="186"/>
        <v>3.6310986287685142E-7</v>
      </c>
      <c r="Q669" s="10">
        <f t="shared" si="180"/>
        <v>2.2803834825913722</v>
      </c>
      <c r="S669" s="5">
        <f t="shared" si="181"/>
        <v>8.871081477819676E-20</v>
      </c>
      <c r="T669" s="5">
        <f t="shared" si="182"/>
        <v>2.5820819261357992E-15</v>
      </c>
      <c r="U669" s="5">
        <f t="shared" si="183"/>
        <v>2.5319520177986504E-8</v>
      </c>
    </row>
    <row r="670" spans="1:21">
      <c r="A670" s="19">
        <f t="shared" si="184"/>
        <v>54.666666666667126</v>
      </c>
      <c r="B670" s="10">
        <f t="shared" si="170"/>
        <v>3.0604726350094594E-14</v>
      </c>
      <c r="C670" s="10">
        <f t="shared" si="172"/>
        <v>6.9446705961798819E-2</v>
      </c>
      <c r="D670" s="10">
        <f t="shared" si="173"/>
        <v>2.1253974318763355E-15</v>
      </c>
      <c r="H670" s="19">
        <f t="shared" si="171"/>
        <v>54.666666666667126</v>
      </c>
      <c r="I670" s="10">
        <f t="shared" si="174"/>
        <v>3.2368097420834616E-5</v>
      </c>
      <c r="J670" s="10">
        <f t="shared" si="175"/>
        <v>9.9061676403784612E-19</v>
      </c>
      <c r="K670" s="10">
        <f t="shared" si="176"/>
        <v>3.0603735733330556E-14</v>
      </c>
      <c r="L670" s="10">
        <f t="shared" si="177"/>
        <v>2.8404253634456854E-7</v>
      </c>
      <c r="M670" s="10">
        <f t="shared" si="178"/>
        <v>0.91432495614321263</v>
      </c>
      <c r="N670" s="10">
        <f t="shared" si="179"/>
        <v>0.82550672881521181</v>
      </c>
      <c r="O670" s="10">
        <f t="shared" si="185"/>
        <v>0.16217124317139958</v>
      </c>
      <c r="P670" s="10">
        <f t="shared" si="186"/>
        <v>3.3217223127738342E-7</v>
      </c>
      <c r="Q670" s="10">
        <f t="shared" si="180"/>
        <v>2.2941676115960652</v>
      </c>
      <c r="S670" s="5">
        <f t="shared" si="181"/>
        <v>6.8795071132964942E-20</v>
      </c>
      <c r="T670" s="5">
        <f t="shared" si="182"/>
        <v>2.1253286368052025E-15</v>
      </c>
      <c r="U670" s="5">
        <f t="shared" si="183"/>
        <v>2.3068267274195078E-8</v>
      </c>
    </row>
    <row r="671" spans="1:21">
      <c r="A671" s="19">
        <f t="shared" si="184"/>
        <v>54.750000000000462</v>
      </c>
      <c r="B671" s="10">
        <f t="shared" si="170"/>
        <v>2.5264407535551304E-14</v>
      </c>
      <c r="C671" s="10">
        <f t="shared" si="172"/>
        <v>6.9164919518195603E-2</v>
      </c>
      <c r="D671" s="10">
        <f t="shared" si="173"/>
        <v>1.7474107138713004E-15</v>
      </c>
      <c r="H671" s="19">
        <f t="shared" si="171"/>
        <v>54.750000000000462</v>
      </c>
      <c r="I671" s="10">
        <f t="shared" si="174"/>
        <v>3.0485718687694525E-5</v>
      </c>
      <c r="J671" s="10">
        <f t="shared" si="175"/>
        <v>7.7020362094008673E-19</v>
      </c>
      <c r="K671" s="10">
        <f t="shared" si="176"/>
        <v>2.5263637331930362E-14</v>
      </c>
      <c r="L671" s="10">
        <f t="shared" si="177"/>
        <v>2.597071795860545E-7</v>
      </c>
      <c r="M671" s="10">
        <f t="shared" si="178"/>
        <v>0.91384925832191488</v>
      </c>
      <c r="N671" s="10">
        <f t="shared" si="179"/>
        <v>0.82455042972516901</v>
      </c>
      <c r="O671" s="10">
        <f t="shared" si="185"/>
        <v>0.16299317921900394</v>
      </c>
      <c r="P671" s="10">
        <f t="shared" si="186"/>
        <v>3.0371336079484738E-7</v>
      </c>
      <c r="Q671" s="10">
        <f t="shared" si="180"/>
        <v>2.3080350645444163</v>
      </c>
      <c r="S671" s="5">
        <f t="shared" si="181"/>
        <v>5.3271071454943934E-20</v>
      </c>
      <c r="T671" s="5">
        <f t="shared" si="182"/>
        <v>1.7473574427998454E-15</v>
      </c>
      <c r="U671" s="5">
        <f t="shared" si="183"/>
        <v>2.1006310155976322E-8</v>
      </c>
    </row>
    <row r="672" spans="1:21">
      <c r="A672" s="19">
        <f t="shared" si="184"/>
        <v>54.833333333333798</v>
      </c>
      <c r="B672" s="10">
        <f t="shared" si="170"/>
        <v>2.0831778090190625E-14</v>
      </c>
      <c r="C672" s="10">
        <f t="shared" si="172"/>
        <v>6.8884276449194523E-2</v>
      </c>
      <c r="D672" s="10">
        <f t="shared" si="173"/>
        <v>1.4349819608929645E-15</v>
      </c>
      <c r="H672" s="19">
        <f t="shared" si="171"/>
        <v>54.833333333333798</v>
      </c>
      <c r="I672" s="10">
        <f t="shared" si="174"/>
        <v>2.8703086411409752E-5</v>
      </c>
      <c r="J672" s="10">
        <f t="shared" si="175"/>
        <v>5.9793632662605394E-19</v>
      </c>
      <c r="K672" s="10">
        <f t="shared" si="176"/>
        <v>2.0831180153863997E-14</v>
      </c>
      <c r="L672" s="10">
        <f t="shared" si="177"/>
        <v>2.3733321344559225E-7</v>
      </c>
      <c r="M672" s="10">
        <f t="shared" si="178"/>
        <v>0.91337104603793884</v>
      </c>
      <c r="N672" s="10">
        <f t="shared" si="179"/>
        <v>0.82358946776121622</v>
      </c>
      <c r="O672" s="10">
        <f t="shared" si="185"/>
        <v>0.16381837986560188</v>
      </c>
      <c r="P672" s="10">
        <f t="shared" si="186"/>
        <v>2.7754822950495295E-7</v>
      </c>
      <c r="Q672" s="10">
        <f t="shared" si="180"/>
        <v>2.3219863451229088</v>
      </c>
      <c r="S672" s="5">
        <f t="shared" si="181"/>
        <v>4.1188411222324972E-20</v>
      </c>
      <c r="T672" s="5">
        <f t="shared" si="182"/>
        <v>1.4349407724817421E-15</v>
      </c>
      <c r="U672" s="5">
        <f t="shared" si="183"/>
        <v>1.9118708969203666E-8</v>
      </c>
    </row>
    <row r="673" spans="1:21">
      <c r="A673" s="19">
        <f t="shared" si="184"/>
        <v>54.916666666667133</v>
      </c>
      <c r="B673" s="10">
        <f t="shared" si="170"/>
        <v>1.7156833029819862E-14</v>
      </c>
      <c r="C673" s="10">
        <f t="shared" si="172"/>
        <v>6.8604772115447202E-2</v>
      </c>
      <c r="D673" s="10">
        <f t="shared" si="173"/>
        <v>1.1770406202335693E-15</v>
      </c>
      <c r="H673" s="19">
        <f t="shared" si="171"/>
        <v>54.916666666667133</v>
      </c>
      <c r="I673" s="10">
        <f t="shared" si="174"/>
        <v>2.7015488367203141E-5</v>
      </c>
      <c r="J673" s="10">
        <f t="shared" si="175"/>
        <v>4.6350022313514509E-19</v>
      </c>
      <c r="K673" s="10">
        <f t="shared" si="176"/>
        <v>1.7156369529596726E-14</v>
      </c>
      <c r="L673" s="10">
        <f t="shared" si="177"/>
        <v>2.1677328542434599E-7</v>
      </c>
      <c r="M673" s="10">
        <f t="shared" si="178"/>
        <v>0.91289030745819699</v>
      </c>
      <c r="N673" s="10">
        <f t="shared" si="179"/>
        <v>0.8226238269738162</v>
      </c>
      <c r="O673" s="10">
        <f t="shared" si="185"/>
        <v>0.16464684765165094</v>
      </c>
      <c r="P673" s="10">
        <f t="shared" si="186"/>
        <v>2.5350451670901471E-7</v>
      </c>
      <c r="Q673" s="10">
        <f t="shared" si="180"/>
        <v>2.3360219600627881</v>
      </c>
      <c r="S673" s="5">
        <f t="shared" si="181"/>
        <v>3.1798327183645557E-20</v>
      </c>
      <c r="T673" s="5">
        <f t="shared" si="182"/>
        <v>1.1770088219063855E-15</v>
      </c>
      <c r="U673" s="5">
        <f t="shared" si="183"/>
        <v>1.7391619599058532E-8</v>
      </c>
    </row>
    <row r="674" spans="1:21">
      <c r="A674" s="19">
        <f t="shared" si="184"/>
        <v>55.000000000000469</v>
      </c>
      <c r="B674" s="10">
        <f t="shared" si="170"/>
        <v>1.4113619645741188E-14</v>
      </c>
      <c r="C674" s="10">
        <f t="shared" si="172"/>
        <v>6.8326401896429842E-2</v>
      </c>
      <c r="D674" s="10">
        <f t="shared" si="173"/>
        <v>9.6433284812826018E-16</v>
      </c>
      <c r="H674" s="19">
        <f t="shared" si="171"/>
        <v>55.000000000000469</v>
      </c>
      <c r="I674" s="10">
        <f t="shared" si="174"/>
        <v>2.5418403785448192E-5</v>
      </c>
      <c r="J674" s="10">
        <f t="shared" si="175"/>
        <v>3.5874568302968381E-19</v>
      </c>
      <c r="K674" s="10">
        <f t="shared" si="176"/>
        <v>1.4113260900058159E-14</v>
      </c>
      <c r="L674" s="10">
        <f t="shared" si="177"/>
        <v>1.9789023117975471E-7</v>
      </c>
      <c r="M674" s="10">
        <f t="shared" si="178"/>
        <v>0.91240703071091578</v>
      </c>
      <c r="N674" s="10">
        <f t="shared" si="179"/>
        <v>0.82165349144292699</v>
      </c>
      <c r="O674" s="10">
        <f t="shared" si="185"/>
        <v>0.16547858497904738</v>
      </c>
      <c r="P674" s="10">
        <f t="shared" si="186"/>
        <v>2.314218162006104E-7</v>
      </c>
      <c r="Q674" s="10">
        <f t="shared" si="180"/>
        <v>2.3501424191584306</v>
      </c>
      <c r="S674" s="5">
        <f t="shared" si="181"/>
        <v>2.4511801717295406E-20</v>
      </c>
      <c r="T674" s="5">
        <f t="shared" si="182"/>
        <v>9.6430833632654297E-16</v>
      </c>
      <c r="U674" s="5">
        <f t="shared" si="183"/>
        <v>1.5812220021324624E-8</v>
      </c>
    </row>
    <row r="675" spans="1:21">
      <c r="A675" s="19">
        <f t="shared" si="184"/>
        <v>55.083333333333805</v>
      </c>
      <c r="B675" s="10">
        <f t="shared" si="170"/>
        <v>1.1596504858820734E-14</v>
      </c>
      <c r="C675" s="10">
        <f t="shared" si="172"/>
        <v>6.804916119036683E-2</v>
      </c>
      <c r="D675" s="10">
        <f t="shared" si="173"/>
        <v>7.8913242838276427E-16</v>
      </c>
      <c r="H675" s="19">
        <f t="shared" si="171"/>
        <v>55.083333333333805</v>
      </c>
      <c r="I675" s="10">
        <f t="shared" si="174"/>
        <v>2.390749711785343E-5</v>
      </c>
      <c r="J675" s="10">
        <f t="shared" si="175"/>
        <v>2.7724340648942997E-19</v>
      </c>
      <c r="K675" s="10">
        <f t="shared" si="176"/>
        <v>1.1596227615414244E-14</v>
      </c>
      <c r="L675" s="10">
        <f t="shared" si="177"/>
        <v>1.8055643823741668E-7</v>
      </c>
      <c r="M675" s="10">
        <f t="shared" si="178"/>
        <v>0.91192120388583553</v>
      </c>
      <c r="N675" s="10">
        <f t="shared" si="179"/>
        <v>0.82067844527936062</v>
      </c>
      <c r="O675" s="10">
        <f t="shared" si="185"/>
        <v>0.16631359410926341</v>
      </c>
      <c r="P675" s="10">
        <f t="shared" si="186"/>
        <v>2.111508921613856E-7</v>
      </c>
      <c r="Q675" s="10">
        <f t="shared" si="180"/>
        <v>2.3643482352858962</v>
      </c>
      <c r="S675" s="5">
        <f t="shared" si="181"/>
        <v>1.8866181257165613E-20</v>
      </c>
      <c r="T675" s="5">
        <f t="shared" si="182"/>
        <v>7.8911356220150703E-16</v>
      </c>
      <c r="U675" s="5">
        <f t="shared" si="183"/>
        <v>1.4368641096179892E-8</v>
      </c>
    </row>
    <row r="676" spans="1:21">
      <c r="A676" s="19">
        <f t="shared" si="184"/>
        <v>55.16666666666714</v>
      </c>
      <c r="B676" s="10">
        <f t="shared" si="170"/>
        <v>9.5170015782115517E-15</v>
      </c>
      <c r="C676" s="10">
        <f t="shared" si="172"/>
        <v>6.7773045414154742E-2</v>
      </c>
      <c r="D676" s="10">
        <f t="shared" si="173"/>
        <v>6.4499618016671385E-16</v>
      </c>
      <c r="H676" s="19">
        <f t="shared" si="171"/>
        <v>55.16666666666714</v>
      </c>
      <c r="I676" s="10">
        <f t="shared" si="174"/>
        <v>2.2478611937280779E-5</v>
      </c>
      <c r="J676" s="10">
        <f t="shared" si="175"/>
        <v>2.1392898528310621E-19</v>
      </c>
      <c r="K676" s="10">
        <f t="shared" si="176"/>
        <v>9.5167876492262689E-15</v>
      </c>
      <c r="L676" s="10">
        <f t="shared" si="177"/>
        <v>1.6465324452680354E-7</v>
      </c>
      <c r="M676" s="10">
        <f t="shared" si="178"/>
        <v>0.91143281503418605</v>
      </c>
      <c r="N676" s="10">
        <f t="shared" si="179"/>
        <v>0.81969867262604079</v>
      </c>
      <c r="O676" s="10">
        <f t="shared" si="185"/>
        <v>0.16715187716143837</v>
      </c>
      <c r="P676" s="10">
        <f t="shared" si="186"/>
        <v>1.9255297578142509E-7</v>
      </c>
      <c r="Q676" s="10">
        <f t="shared" si="180"/>
        <v>2.3786399244215222</v>
      </c>
      <c r="S676" s="5">
        <f t="shared" si="181"/>
        <v>1.4498618834995999E-20</v>
      </c>
      <c r="T676" s="5">
        <f t="shared" si="182"/>
        <v>6.4498168154787888E-16</v>
      </c>
      <c r="U676" s="5">
        <f t="shared" si="183"/>
        <v>1.3049901572265161E-8</v>
      </c>
    </row>
    <row r="677" spans="1:21">
      <c r="A677" s="19">
        <f t="shared" si="184"/>
        <v>55.250000000000476</v>
      </c>
      <c r="B677" s="10">
        <f t="shared" si="170"/>
        <v>7.801073561039944E-15</v>
      </c>
      <c r="C677" s="10">
        <f t="shared" si="172"/>
        <v>6.7498050003286486E-2</v>
      </c>
      <c r="D677" s="10">
        <f t="shared" si="173"/>
        <v>5.2655725330239029E-16</v>
      </c>
      <c r="H677" s="19">
        <f t="shared" si="171"/>
        <v>55.250000000000476</v>
      </c>
      <c r="I677" s="10">
        <f t="shared" si="174"/>
        <v>2.1127764971202959E-5</v>
      </c>
      <c r="J677" s="10">
        <f t="shared" si="175"/>
        <v>1.6481924872071726E-19</v>
      </c>
      <c r="K677" s="10">
        <f t="shared" si="176"/>
        <v>7.8009087417912233E-15</v>
      </c>
      <c r="L677" s="10">
        <f t="shared" si="177"/>
        <v>1.5007037016357674E-7</v>
      </c>
      <c r="M677" s="10">
        <f t="shared" si="178"/>
        <v>0.91094185216890278</v>
      </c>
      <c r="N677" s="10">
        <f t="shared" si="179"/>
        <v>0.8187141576594763</v>
      </c>
      <c r="O677" s="10">
        <f t="shared" si="185"/>
        <v>0.16799343611049569</v>
      </c>
      <c r="P677" s="10">
        <f t="shared" si="186"/>
        <v>1.7549910075970948E-7</v>
      </c>
      <c r="Q677" s="10">
        <f t="shared" si="180"/>
        <v>2.3930180056606978</v>
      </c>
      <c r="S677" s="5">
        <f t="shared" si="181"/>
        <v>1.1124977891655085E-20</v>
      </c>
      <c r="T677" s="5">
        <f t="shared" si="182"/>
        <v>5.2654612832449864E-16</v>
      </c>
      <c r="U677" s="5">
        <f t="shared" si="183"/>
        <v>1.1845847078610684E-8</v>
      </c>
    </row>
    <row r="678" spans="1:21">
      <c r="A678" s="19">
        <f t="shared" si="184"/>
        <v>55.333333333333812</v>
      </c>
      <c r="B678" s="10">
        <f t="shared" si="170"/>
        <v>6.3868493693664289E-15</v>
      </c>
      <c r="C678" s="10">
        <f t="shared" si="172"/>
        <v>6.7224170411775835E-2</v>
      </c>
      <c r="D678" s="10">
        <f t="shared" si="173"/>
        <v>4.2935065040063183E-16</v>
      </c>
      <c r="H678" s="19">
        <f t="shared" si="171"/>
        <v>55.333333333333812</v>
      </c>
      <c r="I678" s="10">
        <f t="shared" si="174"/>
        <v>1.9851140268671248E-5</v>
      </c>
      <c r="J678" s="10">
        <f t="shared" si="175"/>
        <v>1.2678624270616748E-19</v>
      </c>
      <c r="K678" s="10">
        <f t="shared" si="176"/>
        <v>6.3867225831237228E-15</v>
      </c>
      <c r="L678" s="10">
        <f t="shared" si="177"/>
        <v>1.3670538095248144E-7</v>
      </c>
      <c r="M678" s="10">
        <f t="shared" si="178"/>
        <v>0.91044830326460457</v>
      </c>
      <c r="N678" s="10">
        <f t="shared" si="179"/>
        <v>0.81772488459104242</v>
      </c>
      <c r="O678" s="10">
        <f t="shared" si="185"/>
        <v>0.16883827278520905</v>
      </c>
      <c r="P678" s="10">
        <f t="shared" si="186"/>
        <v>1.5986947590005434E-7</v>
      </c>
      <c r="Q678" s="10">
        <f t="shared" si="180"/>
        <v>2.4074830012366846</v>
      </c>
      <c r="S678" s="5">
        <f t="shared" si="181"/>
        <v>8.5230999855481734E-21</v>
      </c>
      <c r="T678" s="5">
        <f t="shared" si="182"/>
        <v>4.2934212730064632E-16</v>
      </c>
      <c r="U678" s="5">
        <f t="shared" si="183"/>
        <v>1.0747092891546543E-8</v>
      </c>
    </row>
    <row r="679" spans="1:21">
      <c r="A679" s="19">
        <f t="shared" si="184"/>
        <v>55.416666666667147</v>
      </c>
      <c r="B679" s="10">
        <f t="shared" si="170"/>
        <v>5.222685663465535E-15</v>
      </c>
      <c r="C679" s="10">
        <f t="shared" si="172"/>
        <v>6.6951402112082378E-2</v>
      </c>
      <c r="D679" s="10">
        <f t="shared" si="173"/>
        <v>3.496661279596888E-16</v>
      </c>
      <c r="H679" s="19">
        <f t="shared" si="171"/>
        <v>55.416666666667147</v>
      </c>
      <c r="I679" s="10">
        <f t="shared" si="174"/>
        <v>1.8645083500539611E-5</v>
      </c>
      <c r="J679" s="10">
        <f t="shared" si="175"/>
        <v>9.7377410292386023E-20</v>
      </c>
      <c r="K679" s="10">
        <f t="shared" si="176"/>
        <v>5.2225882860552425E-15</v>
      </c>
      <c r="L679" s="10">
        <f t="shared" si="177"/>
        <v>1.2446318213532812E-7</v>
      </c>
      <c r="M679" s="10">
        <f t="shared" si="178"/>
        <v>0.90995215625782511</v>
      </c>
      <c r="N679" s="10">
        <f t="shared" si="179"/>
        <v>0.81673083766847276</v>
      </c>
      <c r="O679" s="10">
        <f t="shared" si="185"/>
        <v>0.16968638886629897</v>
      </c>
      <c r="P679" s="10">
        <f t="shared" si="186"/>
        <v>1.4555289307702747E-7</v>
      </c>
      <c r="Q679" s="10">
        <f t="shared" si="180"/>
        <v>2.4220354365396188</v>
      </c>
      <c r="S679" s="5">
        <f t="shared" si="181"/>
        <v>6.5195541531187661E-21</v>
      </c>
      <c r="T679" s="5">
        <f t="shared" si="182"/>
        <v>3.4965960840553567E-16</v>
      </c>
      <c r="U679" s="5">
        <f t="shared" si="183"/>
        <v>9.7449702729769981E-9</v>
      </c>
    </row>
    <row r="680" spans="1:21">
      <c r="A680" s="19">
        <f t="shared" si="184"/>
        <v>55.500000000000483</v>
      </c>
      <c r="B680" s="10">
        <f t="shared" si="170"/>
        <v>4.26552843680133E-15</v>
      </c>
      <c r="C680" s="10">
        <f t="shared" si="172"/>
        <v>6.6679740595036632E-2</v>
      </c>
      <c r="D680" s="10">
        <f t="shared" si="173"/>
        <v>2.8442432966666481E-16</v>
      </c>
      <c r="H680" s="19">
        <f t="shared" si="171"/>
        <v>55.500000000000483</v>
      </c>
      <c r="I680" s="10">
        <f t="shared" si="174"/>
        <v>1.7506096392564586E-5</v>
      </c>
      <c r="J680" s="10">
        <f t="shared" si="175"/>
        <v>7.4672751979869419E-20</v>
      </c>
      <c r="K680" s="10">
        <f t="shared" si="176"/>
        <v>4.2654537640493501E-15</v>
      </c>
      <c r="L680" s="10">
        <f t="shared" si="177"/>
        <v>1.1325554095875224E-7</v>
      </c>
      <c r="M680" s="10">
        <f t="shared" si="178"/>
        <v>0.90945339904698408</v>
      </c>
      <c r="N680" s="10">
        <f t="shared" si="179"/>
        <v>0.81573200117715949</v>
      </c>
      <c r="O680" s="10">
        <f t="shared" si="185"/>
        <v>0.17053778588446739</v>
      </c>
      <c r="P680" s="10">
        <f t="shared" si="186"/>
        <v>1.3244616890502233E-7</v>
      </c>
      <c r="Q680" s="10">
        <f t="shared" si="180"/>
        <v>2.4366758401355617</v>
      </c>
      <c r="S680" s="5">
        <f t="shared" si="181"/>
        <v>4.979159731535201E-21</v>
      </c>
      <c r="T680" s="5">
        <f t="shared" si="182"/>
        <v>2.8441935050693327E-16</v>
      </c>
      <c r="U680" s="5">
        <f t="shared" si="183"/>
        <v>8.8314761853932951E-9</v>
      </c>
    </row>
    <row r="681" spans="1:21">
      <c r="A681" s="19">
        <f t="shared" si="184"/>
        <v>55.583333333333819</v>
      </c>
      <c r="B681" s="10">
        <f t="shared" si="170"/>
        <v>3.4795280478300297E-15</v>
      </c>
      <c r="C681" s="10">
        <f t="shared" si="172"/>
        <v>6.6409181369765452E-2</v>
      </c>
      <c r="D681" s="10">
        <f t="shared" si="173"/>
        <v>2.3107260920953036E-16</v>
      </c>
      <c r="H681" s="19">
        <f t="shared" si="171"/>
        <v>55.583333333333819</v>
      </c>
      <c r="I681" s="10">
        <f t="shared" si="174"/>
        <v>1.6430831290880055E-5</v>
      </c>
      <c r="J681" s="10">
        <f t="shared" si="175"/>
        <v>5.7171538325780447E-20</v>
      </c>
      <c r="K681" s="10">
        <f t="shared" si="176"/>
        <v>3.4794708762917041E-15</v>
      </c>
      <c r="L681" s="10">
        <f t="shared" si="177"/>
        <v>1.0300063668584215E-7</v>
      </c>
      <c r="M681" s="10">
        <f t="shared" si="178"/>
        <v>0.90895201949262594</v>
      </c>
      <c r="N681" s="10">
        <f t="shared" si="179"/>
        <v>0.81472835944171418</v>
      </c>
      <c r="O681" s="10">
        <f t="shared" si="185"/>
        <v>0.17139246521847476</v>
      </c>
      <c r="P681" s="10">
        <f t="shared" si="186"/>
        <v>1.2045361850143624E-7</v>
      </c>
      <c r="Q681" s="10">
        <f t="shared" si="180"/>
        <v>2.4514047437857296</v>
      </c>
      <c r="S681" s="5">
        <f t="shared" si="181"/>
        <v>3.7967150578652506E-21</v>
      </c>
      <c r="T681" s="5">
        <f t="shared" si="182"/>
        <v>2.3106881249447249E-16</v>
      </c>
      <c r="U681" s="5">
        <f t="shared" si="183"/>
        <v>7.9992261977064154E-9</v>
      </c>
    </row>
    <row r="682" spans="1:21">
      <c r="A682" s="19">
        <f t="shared" si="184"/>
        <v>55.666666666667155</v>
      </c>
      <c r="B682" s="10">
        <f t="shared" si="170"/>
        <v>2.8348701780399905E-15</v>
      </c>
      <c r="C682" s="10">
        <f t="shared" si="172"/>
        <v>6.6139719963617824E-2</v>
      </c>
      <c r="D682" s="10">
        <f t="shared" si="173"/>
        <v>1.8749751970877638E-16</v>
      </c>
      <c r="H682" s="19">
        <f t="shared" si="171"/>
        <v>55.666666666667155</v>
      </c>
      <c r="I682" s="10">
        <f t="shared" si="174"/>
        <v>1.5416085859231921E-5</v>
      </c>
      <c r="J682" s="10">
        <f t="shared" si="175"/>
        <v>4.3702602064440575E-20</v>
      </c>
      <c r="K682" s="10">
        <f t="shared" si="176"/>
        <v>2.8348264754379261E-15</v>
      </c>
      <c r="L682" s="10">
        <f t="shared" si="177"/>
        <v>9.3622636724622479E-8</v>
      </c>
      <c r="M682" s="10">
        <f t="shared" si="178"/>
        <v>0.90844800541742798</v>
      </c>
      <c r="N682" s="10">
        <f t="shared" si="179"/>
        <v>0.81371989682727597</v>
      </c>
      <c r="O682" s="10">
        <f t="shared" si="185"/>
        <v>0.17225042809315344</v>
      </c>
      <c r="P682" s="10">
        <f t="shared" si="186"/>
        <v>1.094865597920846E-7</v>
      </c>
      <c r="Q682" s="10">
        <f t="shared" si="180"/>
        <v>2.4662226824657743</v>
      </c>
      <c r="S682" s="5">
        <f t="shared" si="181"/>
        <v>2.8904778622235259E-21</v>
      </c>
      <c r="T682" s="5">
        <f t="shared" si="182"/>
        <v>1.8749462923091416E-16</v>
      </c>
      <c r="U682" s="5">
        <f t="shared" si="183"/>
        <v>7.2414104044283745E-9</v>
      </c>
    </row>
    <row r="683" spans="1:21">
      <c r="A683" s="19">
        <f t="shared" si="184"/>
        <v>55.75000000000049</v>
      </c>
      <c r="B683" s="10">
        <f t="shared" si="170"/>
        <v>2.3067902687934224E-15</v>
      </c>
      <c r="C683" s="10">
        <f t="shared" si="172"/>
        <v>6.5871351922090954E-2</v>
      </c>
      <c r="D683" s="10">
        <f t="shared" si="173"/>
        <v>1.5195139360614631E-16</v>
      </c>
      <c r="H683" s="19">
        <f t="shared" si="171"/>
        <v>55.75000000000049</v>
      </c>
      <c r="I683" s="10">
        <f t="shared" si="174"/>
        <v>1.4458797907244535E-5</v>
      </c>
      <c r="J683" s="10">
        <f t="shared" si="175"/>
        <v>3.3353414310882394E-20</v>
      </c>
      <c r="K683" s="10">
        <f t="shared" si="176"/>
        <v>2.3067569153791114E-15</v>
      </c>
      <c r="L683" s="10">
        <f t="shared" si="177"/>
        <v>8.5051297594403733E-8</v>
      </c>
      <c r="M683" s="10">
        <f t="shared" si="178"/>
        <v>0.90794134460641296</v>
      </c>
      <c r="N683" s="10">
        <f t="shared" si="179"/>
        <v>0.81270659774109721</v>
      </c>
      <c r="O683" s="10">
        <f t="shared" si="185"/>
        <v>0.1731116755774548</v>
      </c>
      <c r="P683" s="10">
        <f t="shared" si="186"/>
        <v>9.9462846863142752E-8</v>
      </c>
      <c r="Q683" s="10">
        <f t="shared" si="180"/>
        <v>2.4811301943852517</v>
      </c>
      <c r="S683" s="5">
        <f t="shared" si="181"/>
        <v>2.1970344918754388E-21</v>
      </c>
      <c r="T683" s="5">
        <f t="shared" si="182"/>
        <v>1.5194919657165442E-16</v>
      </c>
      <c r="U683" s="5">
        <f t="shared" si="183"/>
        <v>6.5517521888951161E-9</v>
      </c>
    </row>
    <row r="684" spans="1:21">
      <c r="A684" s="19">
        <f t="shared" si="184"/>
        <v>55.833333333333826</v>
      </c>
      <c r="B684" s="10">
        <f t="shared" si="170"/>
        <v>1.8747436710533734E-15</v>
      </c>
      <c r="C684" s="10">
        <f t="shared" si="172"/>
        <v>6.5604072808756603E-2</v>
      </c>
      <c r="D684" s="10">
        <f t="shared" si="173"/>
        <v>1.2299082029354114E-16</v>
      </c>
      <c r="H684" s="19">
        <f t="shared" si="171"/>
        <v>55.833333333333826</v>
      </c>
      <c r="I684" s="10">
        <f t="shared" si="174"/>
        <v>1.3556040348884162E-5</v>
      </c>
      <c r="J684" s="10">
        <f t="shared" si="175"/>
        <v>2.5414100848614746E-20</v>
      </c>
      <c r="K684" s="10">
        <f t="shared" si="176"/>
        <v>1.8747182569525248E-15</v>
      </c>
      <c r="L684" s="10">
        <f t="shared" si="177"/>
        <v>7.7221589498383102E-8</v>
      </c>
      <c r="M684" s="10">
        <f t="shared" si="178"/>
        <v>0.90743202480697926</v>
      </c>
      <c r="N684" s="10">
        <f t="shared" si="179"/>
        <v>0.81168844663393258</v>
      </c>
      <c r="O684" s="10">
        <f t="shared" si="185"/>
        <v>0.17397620858244506</v>
      </c>
      <c r="P684" s="10">
        <f t="shared" si="186"/>
        <v>9.0306430919309342E-8</v>
      </c>
      <c r="Q684" s="10">
        <f t="shared" si="180"/>
        <v>2.4961278210071316</v>
      </c>
      <c r="S684" s="5">
        <f t="shared" si="181"/>
        <v>1.6672685224416047E-21</v>
      </c>
      <c r="T684" s="5">
        <f t="shared" si="182"/>
        <v>1.2298915302501869E-16</v>
      </c>
      <c r="U684" s="5">
        <f t="shared" si="183"/>
        <v>5.9244696691293183E-9</v>
      </c>
    </row>
    <row r="685" spans="1:21">
      <c r="A685" s="19">
        <f t="shared" si="184"/>
        <v>55.916666666667162</v>
      </c>
      <c r="B685" s="10">
        <f t="shared" si="170"/>
        <v>1.5217077781941089E-15</v>
      </c>
      <c r="C685" s="10">
        <f t="shared" si="172"/>
        <v>6.5337878205187716E-2</v>
      </c>
      <c r="D685" s="10">
        <f t="shared" si="173"/>
        <v>9.9425157475533496E-17</v>
      </c>
      <c r="H685" s="19">
        <f t="shared" si="171"/>
        <v>55.916666666667162</v>
      </c>
      <c r="I685" s="10">
        <f t="shared" si="174"/>
        <v>1.2705016290181934E-5</v>
      </c>
      <c r="J685" s="10">
        <f t="shared" si="175"/>
        <v>1.9333322110852711E-20</v>
      </c>
      <c r="K685" s="10">
        <f t="shared" si="176"/>
        <v>1.521688444871998E-15</v>
      </c>
      <c r="L685" s="10">
        <f t="shared" si="177"/>
        <v>7.0073343317331148E-8</v>
      </c>
      <c r="M685" s="10">
        <f t="shared" si="178"/>
        <v>0.90692003372911034</v>
      </c>
      <c r="N685" s="10">
        <f t="shared" si="179"/>
        <v>0.81066542800156982</v>
      </c>
      <c r="O685" s="10">
        <f t="shared" si="185"/>
        <v>0.17484402785931966</v>
      </c>
      <c r="P685" s="10">
        <f t="shared" si="186"/>
        <v>8.1946947462204894E-8</v>
      </c>
      <c r="Q685" s="10">
        <f t="shared" si="180"/>
        <v>2.5112161070675012</v>
      </c>
      <c r="S685" s="5">
        <f t="shared" si="181"/>
        <v>1.2631982453805571E-21</v>
      </c>
      <c r="T685" s="5">
        <f t="shared" si="182"/>
        <v>9.9423894277288112E-17</v>
      </c>
      <c r="U685" s="5">
        <f t="shared" si="183"/>
        <v>5.35423967257246E-9</v>
      </c>
    </row>
    <row r="686" spans="1:21">
      <c r="A686" s="19">
        <f t="shared" si="184"/>
        <v>56.000000000000497</v>
      </c>
      <c r="B686" s="10">
        <f t="shared" si="170"/>
        <v>1.2335958873030452E-15</v>
      </c>
      <c r="C686" s="10">
        <f t="shared" si="172"/>
        <v>6.5072763710885453E-2</v>
      </c>
      <c r="D686" s="10">
        <f t="shared" si="173"/>
        <v>8.0273493689191146E-17</v>
      </c>
      <c r="H686" s="19">
        <f t="shared" si="171"/>
        <v>56.000000000000497</v>
      </c>
      <c r="I686" s="10">
        <f t="shared" si="174"/>
        <v>1.1903054245180224E-5</v>
      </c>
      <c r="J686" s="10">
        <f t="shared" si="175"/>
        <v>1.4683558763199378E-20</v>
      </c>
      <c r="K686" s="10">
        <f t="shared" si="176"/>
        <v>1.2335812037442821E-15</v>
      </c>
      <c r="L686" s="10">
        <f t="shared" si="177"/>
        <v>6.3550918884865493E-8</v>
      </c>
      <c r="M686" s="10">
        <f t="shared" si="178"/>
        <v>0.90640535904543873</v>
      </c>
      <c r="N686" s="10">
        <f t="shared" si="179"/>
        <v>0.80963752638635889</v>
      </c>
      <c r="O686" s="10">
        <f t="shared" si="185"/>
        <v>0.17571513399739139</v>
      </c>
      <c r="P686" s="10">
        <f t="shared" si="186"/>
        <v>7.4319328356423871E-8</v>
      </c>
      <c r="Q686" s="10">
        <f t="shared" si="180"/>
        <v>2.526395600595317</v>
      </c>
      <c r="S686" s="5">
        <f t="shared" si="181"/>
        <v>9.5549974983257468E-22</v>
      </c>
      <c r="T686" s="5">
        <f t="shared" si="182"/>
        <v>8.0272538189441315E-17</v>
      </c>
      <c r="U686" s="5">
        <f t="shared" si="183"/>
        <v>4.8361640932892794E-9</v>
      </c>
    </row>
    <row r="687" spans="1:21">
      <c r="A687" s="19">
        <f t="shared" si="184"/>
        <v>56.083333333333833</v>
      </c>
      <c r="B687" s="10">
        <f t="shared" si="170"/>
        <v>9.9876552275642306E-16</v>
      </c>
      <c r="C687" s="10">
        <f t="shared" si="172"/>
        <v>6.4808724943206414E-2</v>
      </c>
      <c r="D687" s="10">
        <f t="shared" si="173"/>
        <v>6.472872004707879E-17</v>
      </c>
      <c r="H687" s="19">
        <f t="shared" si="171"/>
        <v>56.083333333333833</v>
      </c>
      <c r="I687" s="10">
        <f t="shared" si="174"/>
        <v>1.1147603478972928E-5</v>
      </c>
      <c r="J687" s="10">
        <f t="shared" si="175"/>
        <v>1.1133842016157718E-20</v>
      </c>
      <c r="K687" s="10">
        <f t="shared" si="176"/>
        <v>9.987543889144068E-16</v>
      </c>
      <c r="L687" s="10">
        <f t="shared" si="177"/>
        <v>5.7602893449504059E-8</v>
      </c>
      <c r="M687" s="10">
        <f t="shared" si="178"/>
        <v>0.90588798839144125</v>
      </c>
      <c r="N687" s="10">
        <f t="shared" si="179"/>
        <v>0.80860472637871006</v>
      </c>
      <c r="O687" s="10">
        <f t="shared" si="185"/>
        <v>0.17658952742206946</v>
      </c>
      <c r="P687" s="10">
        <f t="shared" si="186"/>
        <v>6.7363437502922811E-8</v>
      </c>
      <c r="Q687" s="10">
        <f t="shared" si="180"/>
        <v>2.5416668529323427</v>
      </c>
      <c r="S687" s="5">
        <f t="shared" si="181"/>
        <v>7.2157010478628023E-22</v>
      </c>
      <c r="T687" s="5">
        <f t="shared" si="182"/>
        <v>6.4727998476973992E-17</v>
      </c>
      <c r="U687" s="5">
        <f t="shared" si="183"/>
        <v>4.3657384923558E-9</v>
      </c>
    </row>
    <row r="688" spans="1:21">
      <c r="A688" s="19">
        <f t="shared" si="184"/>
        <v>56.166666666667169</v>
      </c>
      <c r="B688" s="10">
        <f t="shared" si="170"/>
        <v>8.0760652224494683E-16</v>
      </c>
      <c r="C688" s="10">
        <f t="shared" si="172"/>
        <v>6.4545757537290166E-2</v>
      </c>
      <c r="D688" s="10">
        <f t="shared" si="173"/>
        <v>5.2127574770356472E-17</v>
      </c>
      <c r="H688" s="19">
        <f t="shared" si="171"/>
        <v>56.166666666667169</v>
      </c>
      <c r="I688" s="10">
        <f t="shared" si="174"/>
        <v>1.0436229476619054E-5</v>
      </c>
      <c r="J688" s="10">
        <f t="shared" si="175"/>
        <v>8.4283669929625165E-21</v>
      </c>
      <c r="K688" s="10">
        <f t="shared" si="176"/>
        <v>8.0759809387795393E-16</v>
      </c>
      <c r="L688" s="10">
        <f t="shared" si="177"/>
        <v>5.2181769272497758E-8</v>
      </c>
      <c r="M688" s="10">
        <f t="shared" si="178"/>
        <v>0.9053679093655066</v>
      </c>
      <c r="N688" s="10">
        <f t="shared" si="179"/>
        <v>0.80756701261867703</v>
      </c>
      <c r="O688" s="10">
        <f t="shared" si="185"/>
        <v>0.17746720839282629</v>
      </c>
      <c r="P688" s="10">
        <f t="shared" si="186"/>
        <v>6.1023728890657285E-8</v>
      </c>
      <c r="Q688" s="10">
        <f t="shared" si="180"/>
        <v>2.5570304187531407</v>
      </c>
      <c r="S688" s="5">
        <f t="shared" si="181"/>
        <v>5.4401533236305802E-22</v>
      </c>
      <c r="T688" s="5">
        <f t="shared" si="182"/>
        <v>5.2127030755024116E-17</v>
      </c>
      <c r="U688" s="5">
        <f t="shared" si="183"/>
        <v>3.9388228089976938E-9</v>
      </c>
    </row>
    <row r="689" spans="1:21">
      <c r="A689" s="19">
        <f t="shared" si="184"/>
        <v>56.250000000000504</v>
      </c>
      <c r="B689" s="10">
        <f t="shared" si="170"/>
        <v>6.5219638654071081E-16</v>
      </c>
      <c r="C689" s="10">
        <f t="shared" si="172"/>
        <v>6.4283857145987028E-2</v>
      </c>
      <c r="D689" s="10">
        <f t="shared" si="173"/>
        <v>4.192569934351199E-17</v>
      </c>
      <c r="H689" s="19">
        <f t="shared" si="171"/>
        <v>56.250000000000504</v>
      </c>
      <c r="I689" s="10">
        <f t="shared" si="174"/>
        <v>9.7666095366261518E-6</v>
      </c>
      <c r="J689" s="10">
        <f t="shared" si="175"/>
        <v>6.3697474485416222E-21</v>
      </c>
      <c r="K689" s="10">
        <f t="shared" si="176"/>
        <v>6.5219001679326223E-16</v>
      </c>
      <c r="L689" s="10">
        <f t="shared" si="177"/>
        <v>4.7243699353234526E-8</v>
      </c>
      <c r="M689" s="10">
        <f t="shared" si="178"/>
        <v>0.90484510952916286</v>
      </c>
      <c r="N689" s="10">
        <f t="shared" si="179"/>
        <v>0.80652436979747233</v>
      </c>
      <c r="O689" s="10">
        <f t="shared" si="185"/>
        <v>0.17834817700115935</v>
      </c>
      <c r="P689" s="10">
        <f t="shared" si="186"/>
        <v>5.524892584742335E-8</v>
      </c>
      <c r="Q689" s="10">
        <f t="shared" si="180"/>
        <v>2.5724868560852547</v>
      </c>
      <c r="S689" s="5">
        <f t="shared" si="181"/>
        <v>4.0947193503806497E-22</v>
      </c>
      <c r="T689" s="5">
        <f t="shared" si="182"/>
        <v>4.1925289871576947E-17</v>
      </c>
      <c r="U689" s="5">
        <f t="shared" si="183"/>
        <v>3.5516140566449929E-9</v>
      </c>
    </row>
    <row r="690" spans="1:21">
      <c r="A690" s="19">
        <f t="shared" si="184"/>
        <v>56.33333333333384</v>
      </c>
      <c r="B690" s="10">
        <f t="shared" si="170"/>
        <v>5.2601227963893543E-16</v>
      </c>
      <c r="C690" s="10">
        <f t="shared" si="172"/>
        <v>6.4023019439786416E-2</v>
      </c>
      <c r="D690" s="10">
        <f t="shared" si="173"/>
        <v>3.3676894404889931E-17</v>
      </c>
      <c r="H690" s="19">
        <f t="shared" si="171"/>
        <v>56.33333333333384</v>
      </c>
      <c r="I690" s="10">
        <f t="shared" si="174"/>
        <v>9.1365284876177922E-6</v>
      </c>
      <c r="J690" s="10">
        <f t="shared" si="175"/>
        <v>4.80592617775791E-21</v>
      </c>
      <c r="K690" s="10">
        <f t="shared" si="176"/>
        <v>5.2600747371275768E-16</v>
      </c>
      <c r="L690" s="10">
        <f t="shared" si="177"/>
        <v>4.2748230315840336E-8</v>
      </c>
      <c r="M690" s="10">
        <f t="shared" si="178"/>
        <v>0.90431957640712812</v>
      </c>
      <c r="N690" s="10">
        <f t="shared" si="179"/>
        <v>0.80547678265910783</v>
      </c>
      <c r="O690" s="10">
        <f t="shared" si="185"/>
        <v>0.17923243316853013</v>
      </c>
      <c r="P690" s="10">
        <f t="shared" si="186"/>
        <v>4.9991720359781518E-8</v>
      </c>
      <c r="Q690" s="10">
        <f t="shared" si="180"/>
        <v>2.5880367263294453</v>
      </c>
      <c r="S690" s="5">
        <f t="shared" si="181"/>
        <v>3.076899051047731E-22</v>
      </c>
      <c r="T690" s="5">
        <f t="shared" si="182"/>
        <v>3.3676586714984826E-17</v>
      </c>
      <c r="U690" s="5">
        <f t="shared" si="183"/>
        <v>3.2006208844226583E-9</v>
      </c>
    </row>
    <row r="691" spans="1:21">
      <c r="A691" s="19">
        <f t="shared" si="184"/>
        <v>56.416666666667176</v>
      </c>
      <c r="B691" s="10">
        <f t="shared" si="170"/>
        <v>4.2369067864275265E-16</v>
      </c>
      <c r="C691" s="10">
        <f t="shared" si="172"/>
        <v>6.3763240106745028E-2</v>
      </c>
      <c r="D691" s="10">
        <f t="shared" si="173"/>
        <v>2.7015890473287586E-17</v>
      </c>
      <c r="H691" s="19">
        <f t="shared" si="171"/>
        <v>56.416666666667176</v>
      </c>
      <c r="I691" s="10">
        <f t="shared" si="174"/>
        <v>8.5438745267234828E-6</v>
      </c>
      <c r="J691" s="10">
        <f t="shared" si="175"/>
        <v>3.6199599964659998E-21</v>
      </c>
      <c r="K691" s="10">
        <f t="shared" si="176"/>
        <v>4.2368705868275619E-16</v>
      </c>
      <c r="L691" s="10">
        <f t="shared" si="177"/>
        <v>3.8658061531375086E-8</v>
      </c>
      <c r="M691" s="10">
        <f t="shared" si="178"/>
        <v>0.90379129748757125</v>
      </c>
      <c r="N691" s="10">
        <f t="shared" si="179"/>
        <v>0.80442423600194879</v>
      </c>
      <c r="O691" s="10">
        <f t="shared" si="185"/>
        <v>0.18011997664430757</v>
      </c>
      <c r="P691" s="10">
        <f t="shared" si="186"/>
        <v>4.5208491379622086E-8</v>
      </c>
      <c r="Q691" s="10">
        <f t="shared" si="180"/>
        <v>2.6036805942800951</v>
      </c>
      <c r="S691" s="5">
        <f t="shared" si="181"/>
        <v>2.3082037843147343E-22</v>
      </c>
      <c r="T691" s="5">
        <f t="shared" si="182"/>
        <v>2.7015659652909153E-17</v>
      </c>
      <c r="U691" s="5">
        <f t="shared" si="183"/>
        <v>2.8826398907025559E-9</v>
      </c>
    </row>
    <row r="692" spans="1:21">
      <c r="A692" s="19">
        <f t="shared" si="184"/>
        <v>56.500000000000512</v>
      </c>
      <c r="B692" s="10">
        <f t="shared" si="170"/>
        <v>3.4082705046834351E-16</v>
      </c>
      <c r="C692" s="10">
        <f t="shared" si="172"/>
        <v>6.3504514852415747E-2</v>
      </c>
      <c r="D692" s="10">
        <f t="shared" si="173"/>
        <v>2.1644056488571973E-17</v>
      </c>
      <c r="H692" s="19">
        <f t="shared" si="171"/>
        <v>56.500000000000512</v>
      </c>
      <c r="I692" s="10">
        <f t="shared" si="174"/>
        <v>7.986635178157949E-6</v>
      </c>
      <c r="J692" s="10">
        <f t="shared" si="175"/>
        <v>2.7220613109382871E-21</v>
      </c>
      <c r="K692" s="10">
        <f t="shared" si="176"/>
        <v>3.4082432840703256E-16</v>
      </c>
      <c r="L692" s="10">
        <f t="shared" si="177"/>
        <v>3.4938819589795855E-8</v>
      </c>
      <c r="M692" s="10">
        <f t="shared" si="178"/>
        <v>0.90326026022215089</v>
      </c>
      <c r="N692" s="10">
        <f t="shared" si="179"/>
        <v>0.80336671468035004</v>
      </c>
      <c r="O692" s="10">
        <f t="shared" si="185"/>
        <v>0.18101080700368388</v>
      </c>
      <c r="P692" s="10">
        <f t="shared" si="186"/>
        <v>4.0859041081444983E-8</v>
      </c>
      <c r="Q692" s="10">
        <f t="shared" si="180"/>
        <v>2.6194190281457383</v>
      </c>
      <c r="S692" s="5">
        <f t="shared" si="181"/>
        <v>1.7286318294966673E-22</v>
      </c>
      <c r="T692" s="5">
        <f t="shared" si="182"/>
        <v>2.1643883625389022E-17</v>
      </c>
      <c r="U692" s="5">
        <f t="shared" si="183"/>
        <v>2.594733581212088E-9</v>
      </c>
    </row>
    <row r="693" spans="1:21">
      <c r="A693" s="19">
        <f t="shared" si="184"/>
        <v>56.583333333333847</v>
      </c>
      <c r="B693" s="10">
        <f t="shared" si="170"/>
        <v>2.7380910780894699E-16</v>
      </c>
      <c r="C693" s="10">
        <f t="shared" si="172"/>
        <v>6.324683939977653E-2</v>
      </c>
      <c r="D693" s="10">
        <f t="shared" si="173"/>
        <v>1.7317560667788569E-17</v>
      </c>
      <c r="H693" s="19">
        <f t="shared" si="171"/>
        <v>56.583333333333847</v>
      </c>
      <c r="I693" s="10">
        <f t="shared" si="174"/>
        <v>7.4628933703893349E-6</v>
      </c>
      <c r="J693" s="10">
        <f t="shared" si="175"/>
        <v>2.0434081754196093E-21</v>
      </c>
      <c r="K693" s="10">
        <f t="shared" si="176"/>
        <v>2.7380706440077158E-16</v>
      </c>
      <c r="L693" s="10">
        <f t="shared" si="177"/>
        <v>3.1558847274533787E-8</v>
      </c>
      <c r="M693" s="10">
        <f t="shared" si="178"/>
        <v>0.90272645202628321</v>
      </c>
      <c r="N693" s="10">
        <f t="shared" si="179"/>
        <v>0.8023042036062954</v>
      </c>
      <c r="O693" s="10">
        <f t="shared" si="185"/>
        <v>0.18190492364559499</v>
      </c>
      <c r="P693" s="10">
        <f t="shared" si="186"/>
        <v>3.6906348079654037E-8</v>
      </c>
      <c r="Q693" s="10">
        <f t="shared" si="180"/>
        <v>2.6352525995696641</v>
      </c>
      <c r="S693" s="5">
        <f t="shared" si="181"/>
        <v>1.2923910869895441E-22</v>
      </c>
      <c r="T693" s="5">
        <f t="shared" si="182"/>
        <v>1.7317431428679871E-17</v>
      </c>
      <c r="U693" s="5">
        <f t="shared" si="183"/>
        <v>2.3342098698261299E-9</v>
      </c>
    </row>
    <row r="694" spans="1:21">
      <c r="A694" s="19">
        <f t="shared" si="184"/>
        <v>56.666666666667183</v>
      </c>
      <c r="B694" s="10">
        <f t="shared" si="170"/>
        <v>2.1967819818080748E-16</v>
      </c>
      <c r="C694" s="10">
        <f t="shared" si="172"/>
        <v>6.2990209489159732E-2</v>
      </c>
      <c r="D694" s="10">
        <f t="shared" si="173"/>
        <v>1.3837575723610212E-17</v>
      </c>
      <c r="H694" s="19">
        <f t="shared" si="171"/>
        <v>56.666666666667183</v>
      </c>
      <c r="I694" s="10">
        <f t="shared" si="174"/>
        <v>6.9708236302316878E-6</v>
      </c>
      <c r="J694" s="10">
        <f t="shared" si="175"/>
        <v>1.5313379749254926E-21</v>
      </c>
      <c r="K694" s="10">
        <f t="shared" si="176"/>
        <v>2.1967666684283256E-16</v>
      </c>
      <c r="L694" s="10">
        <f t="shared" si="177"/>
        <v>2.8489006230179221E-8</v>
      </c>
      <c r="M694" s="10">
        <f t="shared" si="178"/>
        <v>0.90218986027921166</v>
      </c>
      <c r="N694" s="10">
        <f t="shared" si="179"/>
        <v>0.80123668775104062</v>
      </c>
      <c r="O694" s="10">
        <f t="shared" si="185"/>
        <v>0.18280232579061617</v>
      </c>
      <c r="P694" s="10">
        <f t="shared" si="186"/>
        <v>3.3316336659193491E-8</v>
      </c>
      <c r="Q694" s="10">
        <f t="shared" si="180"/>
        <v>2.6511818836507168</v>
      </c>
      <c r="S694" s="5">
        <f t="shared" si="181"/>
        <v>9.645929983926241E-23</v>
      </c>
      <c r="T694" s="5">
        <f t="shared" si="182"/>
        <v>1.3837479264310372E-17</v>
      </c>
      <c r="U694" s="5">
        <f t="shared" si="183"/>
        <v>2.0986030255739702E-9</v>
      </c>
    </row>
    <row r="695" spans="1:21">
      <c r="A695" s="19">
        <f t="shared" si="184"/>
        <v>56.750000000000519</v>
      </c>
      <c r="B695" s="10">
        <f t="shared" si="170"/>
        <v>1.7601423188150687E-16</v>
      </c>
      <c r="C695" s="10">
        <f t="shared" si="172"/>
        <v>6.2734620878181768E-2</v>
      </c>
      <c r="D695" s="10">
        <f t="shared" si="173"/>
        <v>1.1042186106250708E-17</v>
      </c>
      <c r="H695" s="19">
        <f t="shared" si="171"/>
        <v>56.750000000000519</v>
      </c>
      <c r="I695" s="10">
        <f t="shared" si="174"/>
        <v>6.5086883921401038E-6</v>
      </c>
      <c r="J695" s="10">
        <f t="shared" si="175"/>
        <v>1.1456217878986203E-21</v>
      </c>
      <c r="K695" s="10">
        <f t="shared" si="176"/>
        <v>1.7601308625971897E-16</v>
      </c>
      <c r="L695" s="10">
        <f t="shared" si="177"/>
        <v>2.5702492550298981E-8</v>
      </c>
      <c r="M695" s="10">
        <f t="shared" si="178"/>
        <v>0.90165047232426643</v>
      </c>
      <c r="N695" s="10">
        <f t="shared" si="179"/>
        <v>0.80016415214677739</v>
      </c>
      <c r="O695" s="10">
        <f t="shared" si="185"/>
        <v>0.18370301247886189</v>
      </c>
      <c r="P695" s="10">
        <f t="shared" si="186"/>
        <v>3.005766111557323E-8</v>
      </c>
      <c r="Q695" s="10">
        <f t="shared" si="180"/>
        <v>2.6672074589641501</v>
      </c>
      <c r="S695" s="5">
        <f t="shared" si="181"/>
        <v>7.1870148533604706E-23</v>
      </c>
      <c r="T695" s="5">
        <f t="shared" si="182"/>
        <v>1.1042114236102174E-17</v>
      </c>
      <c r="U695" s="5">
        <f t="shared" si="183"/>
        <v>1.8856559745703527E-9</v>
      </c>
    </row>
    <row r="696" spans="1:21">
      <c r="A696" s="19">
        <f t="shared" si="184"/>
        <v>56.833333333333854</v>
      </c>
      <c r="B696" s="10">
        <f t="shared" si="170"/>
        <v>1.4084027861923221E-16</v>
      </c>
      <c r="C696" s="10">
        <f t="shared" si="172"/>
        <v>6.2480069341672856E-2</v>
      </c>
      <c r="D696" s="10">
        <f t="shared" si="173"/>
        <v>8.7997103742301538E-18</v>
      </c>
      <c r="H696" s="19">
        <f t="shared" si="171"/>
        <v>56.833333333333854</v>
      </c>
      <c r="I696" s="10">
        <f t="shared" si="174"/>
        <v>6.0748344209308737E-6</v>
      </c>
      <c r="J696" s="10">
        <f t="shared" si="175"/>
        <v>8.5558137240960653E-22</v>
      </c>
      <c r="K696" s="10">
        <f t="shared" si="176"/>
        <v>1.408394230378598E-16</v>
      </c>
      <c r="L696" s="10">
        <f t="shared" si="177"/>
        <v>2.3174664547888015E-8</v>
      </c>
      <c r="M696" s="10">
        <f t="shared" si="178"/>
        <v>0.90110827546895056</v>
      </c>
      <c r="N696" s="10">
        <f t="shared" si="179"/>
        <v>0.79908658188836235</v>
      </c>
      <c r="O696" s="10">
        <f t="shared" si="185"/>
        <v>0.18460698256786184</v>
      </c>
      <c r="P696" s="10">
        <f t="shared" si="186"/>
        <v>2.7101504341819551E-8</v>
      </c>
      <c r="Q696" s="10">
        <f t="shared" si="180"/>
        <v>2.6833299075826758</v>
      </c>
      <c r="S696" s="5">
        <f t="shared" si="181"/>
        <v>5.3456783475595841E-23</v>
      </c>
      <c r="T696" s="5">
        <f t="shared" si="182"/>
        <v>8.7996569174466774E-18</v>
      </c>
      <c r="U696" s="5">
        <f t="shared" si="183"/>
        <v>1.6933038705405336E-9</v>
      </c>
    </row>
    <row r="697" spans="1:21">
      <c r="A697" s="19">
        <f t="shared" si="184"/>
        <v>56.91666666666719</v>
      </c>
      <c r="B697" s="10">
        <f t="shared" si="170"/>
        <v>1.1254357683404688E-16</v>
      </c>
      <c r="C697" s="10">
        <f t="shared" si="172"/>
        <v>6.2226550671607261E-2</v>
      </c>
      <c r="D697" s="10">
        <f t="shared" si="173"/>
        <v>7.0031985866277432E-18</v>
      </c>
      <c r="H697" s="19">
        <f t="shared" si="171"/>
        <v>56.91666666666719</v>
      </c>
      <c r="I697" s="10">
        <f t="shared" si="174"/>
        <v>5.667689346099357E-6</v>
      </c>
      <c r="J697" s="10">
        <f t="shared" si="175"/>
        <v>6.378620313942419E-22</v>
      </c>
      <c r="K697" s="10">
        <f t="shared" si="176"/>
        <v>1.1254293897201547E-16</v>
      </c>
      <c r="L697" s="10">
        <f t="shared" si="177"/>
        <v>2.0882882005318796E-8</v>
      </c>
      <c r="M697" s="10">
        <f t="shared" si="178"/>
        <v>0.90056325698520046</v>
      </c>
      <c r="N697" s="10">
        <f t="shared" si="179"/>
        <v>0.79800396213496583</v>
      </c>
      <c r="O697" s="10">
        <f t="shared" si="185"/>
        <v>0.18551423473043593</v>
      </c>
      <c r="P697" s="10">
        <f t="shared" si="186"/>
        <v>2.4421389840071451E-8</v>
      </c>
      <c r="Q697" s="10">
        <f t="shared" si="180"/>
        <v>2.6995498150975688</v>
      </c>
      <c r="S697" s="5">
        <f t="shared" si="181"/>
        <v>3.9691954018048137E-23</v>
      </c>
      <c r="T697" s="5">
        <f t="shared" si="182"/>
        <v>7.0031588946737246E-18</v>
      </c>
      <c r="U697" s="5">
        <f t="shared" si="183"/>
        <v>1.5196588523542809E-9</v>
      </c>
    </row>
    <row r="698" spans="1:21">
      <c r="A698" s="19">
        <f t="shared" si="184"/>
        <v>57.000000000000526</v>
      </c>
      <c r="B698" s="10">
        <f t="shared" si="170"/>
        <v>8.9810220226410361E-17</v>
      </c>
      <c r="C698" s="10">
        <f t="shared" si="172"/>
        <v>6.1974060677033677E-2</v>
      </c>
      <c r="D698" s="10">
        <f t="shared" si="173"/>
        <v>5.5659040377293129E-18</v>
      </c>
      <c r="H698" s="19">
        <f t="shared" si="171"/>
        <v>57.000000000000526</v>
      </c>
      <c r="I698" s="10">
        <f t="shared" si="174"/>
        <v>5.285758305862084E-6</v>
      </c>
      <c r="J698" s="10">
        <f t="shared" si="175"/>
        <v>4.7471511751305149E-22</v>
      </c>
      <c r="K698" s="10">
        <f t="shared" si="176"/>
        <v>8.9809745511292845E-17</v>
      </c>
      <c r="L698" s="10">
        <f t="shared" si="177"/>
        <v>1.880635623394753E-8</v>
      </c>
      <c r="M698" s="10">
        <f t="shared" si="178"/>
        <v>0.90001540410947756</v>
      </c>
      <c r="N698" s="10">
        <f t="shared" si="179"/>
        <v>0.7969162781118373</v>
      </c>
      <c r="O698" s="10">
        <f t="shared" si="185"/>
        <v>0.18642476745255077</v>
      </c>
      <c r="P698" s="10">
        <f t="shared" si="186"/>
        <v>2.1993006374480147E-8</v>
      </c>
      <c r="Q698" s="10">
        <f t="shared" si="180"/>
        <v>2.7158677706399756</v>
      </c>
      <c r="S698" s="5">
        <f t="shared" si="181"/>
        <v>2.9420023497059024E-23</v>
      </c>
      <c r="T698" s="5">
        <f t="shared" si="182"/>
        <v>5.5658746177058154E-18</v>
      </c>
      <c r="U698" s="5">
        <f t="shared" si="183"/>
        <v>1.3629959115224211E-9</v>
      </c>
    </row>
    <row r="699" spans="1:21">
      <c r="A699" s="19">
        <f t="shared" si="184"/>
        <v>57.083333333333862</v>
      </c>
      <c r="B699" s="10">
        <f t="shared" si="170"/>
        <v>7.1571226439235391E-17</v>
      </c>
      <c r="C699" s="10">
        <f t="shared" si="172"/>
        <v>6.1722595184006038E-2</v>
      </c>
      <c r="D699" s="10">
        <f t="shared" si="173"/>
        <v>4.4175618363317558E-18</v>
      </c>
      <c r="H699" s="19">
        <f t="shared" si="171"/>
        <v>57.083333333333862</v>
      </c>
      <c r="I699" s="10">
        <f t="shared" si="174"/>
        <v>4.9276206990075579E-6</v>
      </c>
      <c r="J699" s="10">
        <f t="shared" si="175"/>
        <v>3.526758568553333E-22</v>
      </c>
      <c r="K699" s="10">
        <f t="shared" si="176"/>
        <v>7.1570873763378539E-17</v>
      </c>
      <c r="L699" s="10">
        <f t="shared" si="177"/>
        <v>1.6926010305723078E-8</v>
      </c>
      <c r="M699" s="10">
        <f t="shared" si="178"/>
        <v>0.89946470404306178</v>
      </c>
      <c r="N699" s="10">
        <f t="shared" si="179"/>
        <v>0.79582351511201921</v>
      </c>
      <c r="O699" s="10">
        <f t="shared" si="185"/>
        <v>0.18733857903117701</v>
      </c>
      <c r="P699" s="10">
        <f t="shared" si="186"/>
        <v>1.9794044519710153E-8</v>
      </c>
      <c r="Q699" s="10">
        <f t="shared" si="180"/>
        <v>2.7322843669022734</v>
      </c>
      <c r="S699" s="5">
        <f t="shared" si="181"/>
        <v>2.1768069143854198E-23</v>
      </c>
      <c r="T699" s="5">
        <f t="shared" si="182"/>
        <v>4.4175400682626119E-18</v>
      </c>
      <c r="U699" s="5">
        <f t="shared" si="183"/>
        <v>1.221739796944263E-9</v>
      </c>
    </row>
    <row r="700" spans="1:21">
      <c r="A700" s="19">
        <f t="shared" si="184"/>
        <v>57.166666666667197</v>
      </c>
      <c r="B700" s="10">
        <f t="shared" si="170"/>
        <v>5.6958065005750595E-17</v>
      </c>
      <c r="C700" s="10">
        <f t="shared" si="172"/>
        <v>6.1472150035514352E-2</v>
      </c>
      <c r="D700" s="10">
        <f t="shared" si="173"/>
        <v>3.5013347177660799E-18</v>
      </c>
      <c r="H700" s="19">
        <f t="shared" si="171"/>
        <v>57.166666666667197</v>
      </c>
      <c r="I700" s="10">
        <f t="shared" si="174"/>
        <v>4.5919270426017522E-6</v>
      </c>
      <c r="J700" s="10">
        <f t="shared" si="175"/>
        <v>2.615472789941747E-22</v>
      </c>
      <c r="K700" s="10">
        <f t="shared" si="176"/>
        <v>5.6957803458471602E-17</v>
      </c>
      <c r="L700" s="10">
        <f t="shared" si="177"/>
        <v>1.5224348850267021E-8</v>
      </c>
      <c r="M700" s="10">
        <f t="shared" si="178"/>
        <v>0.89891114395214256</v>
      </c>
      <c r="N700" s="10">
        <f t="shared" si="179"/>
        <v>0.79472565849816579</v>
      </c>
      <c r="O700" s="10">
        <f t="shared" si="185"/>
        <v>0.18825566757213022</v>
      </c>
      <c r="P700" s="10">
        <f t="shared" si="186"/>
        <v>1.7804044395736347E-8</v>
      </c>
      <c r="Q700" s="10">
        <f t="shared" si="180"/>
        <v>2.7488002001596366</v>
      </c>
      <c r="S700" s="5">
        <f t="shared" si="181"/>
        <v>1.6077873575710438E-23</v>
      </c>
      <c r="T700" s="5">
        <f t="shared" si="182"/>
        <v>3.5013186398925048E-18</v>
      </c>
      <c r="U700" s="5">
        <f t="shared" si="183"/>
        <v>1.0944528883336632E-9</v>
      </c>
    </row>
    <row r="701" spans="1:21">
      <c r="A701" s="19">
        <f t="shared" si="184"/>
        <v>57.250000000000533</v>
      </c>
      <c r="B701" s="10">
        <f t="shared" si="170"/>
        <v>4.5266035718476473E-17</v>
      </c>
      <c r="C701" s="10">
        <f t="shared" si="172"/>
        <v>6.1222721091416132E-2</v>
      </c>
      <c r="D701" s="10">
        <f t="shared" si="173"/>
        <v>2.7713098797063654E-18</v>
      </c>
      <c r="H701" s="19">
        <f t="shared" si="171"/>
        <v>57.250000000000533</v>
      </c>
      <c r="I701" s="10">
        <f t="shared" si="174"/>
        <v>4.277395933561052E-6</v>
      </c>
      <c r="J701" s="10">
        <f t="shared" si="175"/>
        <v>1.9362075711064061E-22</v>
      </c>
      <c r="K701" s="10">
        <f t="shared" si="176"/>
        <v>4.5265842097719361E-17</v>
      </c>
      <c r="L701" s="10">
        <f t="shared" si="177"/>
        <v>1.3685336840920014E-8</v>
      </c>
      <c r="M701" s="10">
        <f t="shared" si="178"/>
        <v>0.89835471096809016</v>
      </c>
      <c r="N701" s="10">
        <f t="shared" si="179"/>
        <v>0.7936226937042542</v>
      </c>
      <c r="O701" s="10">
        <f t="shared" si="185"/>
        <v>0.18917603098789953</v>
      </c>
      <c r="P701" s="10">
        <f t="shared" si="186"/>
        <v>1.6004253914746141E-8</v>
      </c>
      <c r="Q701" s="10">
        <f t="shared" si="180"/>
        <v>2.7654158702916538</v>
      </c>
      <c r="S701" s="5">
        <f t="shared" si="181"/>
        <v>1.1853989610093577E-23</v>
      </c>
      <c r="T701" s="5">
        <f t="shared" si="182"/>
        <v>2.7712980257167556E-18</v>
      </c>
      <c r="U701" s="5">
        <f t="shared" si="183"/>
        <v>9.7982397369870785E-10</v>
      </c>
    </row>
    <row r="702" spans="1:21">
      <c r="A702" s="19">
        <f t="shared" si="184"/>
        <v>57.333333333333869</v>
      </c>
      <c r="B702" s="10">
        <f t="shared" si="170"/>
        <v>3.5924153200210286E-17</v>
      </c>
      <c r="C702" s="10">
        <f t="shared" si="172"/>
        <v>6.0974304228367915E-2</v>
      </c>
      <c r="D702" s="10">
        <f t="shared" si="173"/>
        <v>2.1904502463761186E-18</v>
      </c>
      <c r="H702" s="19">
        <f t="shared" si="171"/>
        <v>57.333333333333869</v>
      </c>
      <c r="I702" s="10">
        <f t="shared" si="174"/>
        <v>3.9828111120739916E-6</v>
      </c>
      <c r="J702" s="10">
        <f t="shared" si="175"/>
        <v>1.4307911655764597E-22</v>
      </c>
      <c r="K702" s="10">
        <f t="shared" si="176"/>
        <v>3.5924010121093729E-17</v>
      </c>
      <c r="L702" s="10">
        <f t="shared" si="177"/>
        <v>1.2294286822225656E-8</v>
      </c>
      <c r="M702" s="10">
        <f t="shared" si="178"/>
        <v>0.89779539218759696</v>
      </c>
      <c r="N702" s="10">
        <f t="shared" si="179"/>
        <v>0.79251460623738401</v>
      </c>
      <c r="O702" s="10">
        <f t="shared" si="185"/>
        <v>0.19009966699546715</v>
      </c>
      <c r="P702" s="10">
        <f t="shared" si="186"/>
        <v>1.4377496899841732E-8</v>
      </c>
      <c r="Q702" s="10">
        <f t="shared" si="180"/>
        <v>2.782131980804158</v>
      </c>
      <c r="S702" s="5">
        <f t="shared" si="181"/>
        <v>8.7241495817120188E-24</v>
      </c>
      <c r="T702" s="5">
        <f t="shared" si="182"/>
        <v>2.190441522226537E-18</v>
      </c>
      <c r="U702" s="5">
        <f t="shared" si="183"/>
        <v>8.7665787001336628E-10</v>
      </c>
    </row>
    <row r="703" spans="1:21">
      <c r="A703" s="19">
        <f t="shared" si="184"/>
        <v>57.416666666667204</v>
      </c>
      <c r="B703" s="10">
        <f t="shared" si="170"/>
        <v>2.8470416127876113E-17</v>
      </c>
      <c r="C703" s="10">
        <f t="shared" si="172"/>
        <v>6.0726895339757087E-2</v>
      </c>
      <c r="D703" s="10">
        <f t="shared" si="173"/>
        <v>1.7289199804768649E-18</v>
      </c>
      <c r="H703" s="19">
        <f t="shared" si="171"/>
        <v>57.416666666667204</v>
      </c>
      <c r="I703" s="10">
        <f t="shared" si="174"/>
        <v>3.7070186248277571E-6</v>
      </c>
      <c r="J703" s="10">
        <f t="shared" si="175"/>
        <v>1.055403628426333E-22</v>
      </c>
      <c r="K703" s="10">
        <f t="shared" si="176"/>
        <v>2.8470310587513271E-17</v>
      </c>
      <c r="L703" s="10">
        <f t="shared" si="177"/>
        <v>1.1037754059226888E-8</v>
      </c>
      <c r="M703" s="10">
        <f t="shared" si="178"/>
        <v>0.89723317467297692</v>
      </c>
      <c r="N703" s="10">
        <f t="shared" si="179"/>
        <v>0.79140138167968432</v>
      </c>
      <c r="O703" s="10">
        <f t="shared" si="185"/>
        <v>0.19102657311413868</v>
      </c>
      <c r="P703" s="10">
        <f t="shared" si="186"/>
        <v>1.2908050467869393E-8</v>
      </c>
      <c r="Q703" s="10">
        <f t="shared" si="180"/>
        <v>2.7989491388511074</v>
      </c>
      <c r="S703" s="5">
        <f t="shared" si="181"/>
        <v>6.40913856846458E-24</v>
      </c>
      <c r="T703" s="5">
        <f t="shared" si="182"/>
        <v>1.7289135713382966E-18</v>
      </c>
      <c r="U703" s="5">
        <f t="shared" si="183"/>
        <v>7.8386582980260714E-10</v>
      </c>
    </row>
    <row r="704" spans="1:21">
      <c r="A704" s="19">
        <f t="shared" si="184"/>
        <v>57.50000000000054</v>
      </c>
      <c r="B704" s="10">
        <f t="shared" si="170"/>
        <v>2.2531526660596723E-17</v>
      </c>
      <c r="C704" s="10">
        <f t="shared" si="172"/>
        <v>6.0480490335633956E-2</v>
      </c>
      <c r="D704" s="10">
        <f t="shared" si="173"/>
        <v>1.3627177804432989E-18</v>
      </c>
      <c r="H704" s="19">
        <f t="shared" si="171"/>
        <v>57.50000000000054</v>
      </c>
      <c r="I704" s="10">
        <f t="shared" si="174"/>
        <v>3.4489240859717511E-6</v>
      </c>
      <c r="J704" s="10">
        <f t="shared" si="175"/>
        <v>7.7709524993446688E-23</v>
      </c>
      <c r="K704" s="10">
        <f t="shared" si="176"/>
        <v>2.2531448951071728E-17</v>
      </c>
      <c r="L704" s="10">
        <f t="shared" si="177"/>
        <v>9.9034391158196791E-9</v>
      </c>
      <c r="M704" s="10">
        <f t="shared" si="178"/>
        <v>0.89666804545222245</v>
      </c>
      <c r="N704" s="10">
        <f t="shared" si="179"/>
        <v>0.79028300569004906</v>
      </c>
      <c r="O704" s="10">
        <f t="shared" si="185"/>
        <v>0.19195674666332141</v>
      </c>
      <c r="P704" s="10">
        <f t="shared" si="186"/>
        <v>1.158153110012548E-8</v>
      </c>
      <c r="Q704" s="10">
        <f t="shared" si="180"/>
        <v>2.8158679552566737</v>
      </c>
      <c r="S704" s="5">
        <f t="shared" si="181"/>
        <v>4.6999101753528581E-24</v>
      </c>
      <c r="T704" s="5">
        <f t="shared" si="182"/>
        <v>1.3627130805331234E-18</v>
      </c>
      <c r="U704" s="5">
        <f t="shared" si="183"/>
        <v>7.0045667977298315E-10</v>
      </c>
    </row>
    <row r="705" spans="1:21">
      <c r="A705" s="19">
        <f t="shared" si="184"/>
        <v>57.583333333333876</v>
      </c>
      <c r="B705" s="10">
        <f t="shared" si="170"/>
        <v>1.7806282612121852E-17</v>
      </c>
      <c r="C705" s="10">
        <f t="shared" si="172"/>
        <v>6.0235085142644217E-2</v>
      </c>
      <c r="D705" s="10">
        <f t="shared" si="173"/>
        <v>1.072562949215145E-18</v>
      </c>
      <c r="H705" s="19">
        <f t="shared" si="171"/>
        <v>57.583333333333876</v>
      </c>
      <c r="I705" s="10">
        <f t="shared" si="174"/>
        <v>3.2074900337319685E-6</v>
      </c>
      <c r="J705" s="10">
        <f t="shared" si="175"/>
        <v>5.7113474016195682E-23</v>
      </c>
      <c r="K705" s="10">
        <f t="shared" si="176"/>
        <v>1.7806225498647836E-17</v>
      </c>
      <c r="L705" s="10">
        <f t="shared" si="177"/>
        <v>8.8800973952371176E-9</v>
      </c>
      <c r="M705" s="10">
        <f t="shared" si="178"/>
        <v>0.89609999151938446</v>
      </c>
      <c r="N705" s="10">
        <f t="shared" si="179"/>
        <v>0.78915946400602532</v>
      </c>
      <c r="O705" s="10">
        <f t="shared" si="185"/>
        <v>0.19289018476033953</v>
      </c>
      <c r="P705" s="10">
        <f t="shared" si="186"/>
        <v>1.0384788854893656E-8</v>
      </c>
      <c r="Q705" s="10">
        <f t="shared" si="180"/>
        <v>2.832889044537394</v>
      </c>
      <c r="S705" s="5">
        <f t="shared" si="181"/>
        <v>3.4402349701577448E-24</v>
      </c>
      <c r="T705" s="5">
        <f t="shared" si="182"/>
        <v>1.0725595089801748E-18</v>
      </c>
      <c r="U705" s="5">
        <f t="shared" si="183"/>
        <v>6.2552864086290215E-10</v>
      </c>
    </row>
    <row r="706" spans="1:21">
      <c r="A706" s="19">
        <f t="shared" si="184"/>
        <v>57.666666666667211</v>
      </c>
      <c r="B706" s="10">
        <f t="shared" si="170"/>
        <v>1.405199644212189E-17</v>
      </c>
      <c r="C706" s="10">
        <f t="shared" si="172"/>
        <v>5.999067570396157E-2</v>
      </c>
      <c r="D706" s="10">
        <f t="shared" si="173"/>
        <v>8.4298876155255612E-19</v>
      </c>
      <c r="H706" s="19">
        <f t="shared" si="171"/>
        <v>57.666666666667211</v>
      </c>
      <c r="I706" s="10">
        <f t="shared" si="174"/>
        <v>2.9817333805737133E-6</v>
      </c>
      <c r="J706" s="10">
        <f t="shared" si="175"/>
        <v>4.1899306855177893E-23</v>
      </c>
      <c r="K706" s="10">
        <f t="shared" si="176"/>
        <v>1.4051954542815035E-17</v>
      </c>
      <c r="L706" s="10">
        <f t="shared" si="177"/>
        <v>7.9574552005632894E-9</v>
      </c>
      <c r="M706" s="10">
        <f t="shared" si="178"/>
        <v>0.89552899983474221</v>
      </c>
      <c r="N706" s="10">
        <f t="shared" si="179"/>
        <v>0.7880307424456906</v>
      </c>
      <c r="O706" s="10">
        <f t="shared" si="185"/>
        <v>0.1938268843182176</v>
      </c>
      <c r="P706" s="10">
        <f t="shared" si="186"/>
        <v>9.3058092048008151E-9</v>
      </c>
      <c r="Q706" s="10">
        <f t="shared" si="180"/>
        <v>2.8500130249245261</v>
      </c>
      <c r="S706" s="5">
        <f t="shared" si="181"/>
        <v>2.5135677297697508E-24</v>
      </c>
      <c r="T706" s="5">
        <f t="shared" si="182"/>
        <v>8.4298624798482635E-19</v>
      </c>
      <c r="U706" s="5">
        <f t="shared" si="183"/>
        <v>5.5826178216814623E-10</v>
      </c>
    </row>
    <row r="707" spans="1:21">
      <c r="A707" s="19">
        <f t="shared" si="184"/>
        <v>57.750000000000547</v>
      </c>
      <c r="B707" s="10">
        <f t="shared" si="170"/>
        <v>1.1073405189129515E-17</v>
      </c>
      <c r="C707" s="10">
        <f t="shared" si="172"/>
        <v>5.9747257979220654E-2</v>
      </c>
      <c r="D707" s="10">
        <f t="shared" si="173"/>
        <v>6.6160559654336178E-19</v>
      </c>
      <c r="H707" s="19">
        <f t="shared" si="171"/>
        <v>57.750000000000547</v>
      </c>
      <c r="I707" s="10">
        <f t="shared" si="174"/>
        <v>2.7707229547982782E-6</v>
      </c>
      <c r="J707" s="10">
        <f t="shared" si="175"/>
        <v>3.0681337945303518E-23</v>
      </c>
      <c r="K707" s="10">
        <f t="shared" si="176"/>
        <v>1.1073374507791569E-17</v>
      </c>
      <c r="L707" s="10">
        <f t="shared" si="177"/>
        <v>7.126131896990211E-9</v>
      </c>
      <c r="M707" s="10">
        <f t="shared" si="178"/>
        <v>0.89495505732492242</v>
      </c>
      <c r="N707" s="10">
        <f t="shared" si="179"/>
        <v>0.78689682690957097</v>
      </c>
      <c r="O707" s="10">
        <f t="shared" si="185"/>
        <v>0.1947668420434451</v>
      </c>
      <c r="P707" s="10">
        <f t="shared" si="186"/>
        <v>8.3336220098282199E-9</v>
      </c>
      <c r="Q707" s="10">
        <f t="shared" si="180"/>
        <v>2.8672405183864664</v>
      </c>
      <c r="S707" s="5">
        <f t="shared" si="181"/>
        <v>1.8331258133657011E-24</v>
      </c>
      <c r="T707" s="5">
        <f t="shared" si="182"/>
        <v>6.6160376341754842E-19</v>
      </c>
      <c r="U707" s="5">
        <f t="shared" si="183"/>
        <v>4.97911064122518E-10</v>
      </c>
    </row>
    <row r="708" spans="1:21">
      <c r="A708" s="19">
        <f t="shared" si="184"/>
        <v>57.833333333333883</v>
      </c>
      <c r="B708" s="10">
        <f t="shared" si="170"/>
        <v>8.7136274064099929E-18</v>
      </c>
      <c r="C708" s="10">
        <f t="shared" si="172"/>
        <v>5.950482794445025E-2</v>
      </c>
      <c r="D708" s="10">
        <f t="shared" si="173"/>
        <v>5.1850289959047288E-19</v>
      </c>
      <c r="H708" s="19">
        <f t="shared" si="171"/>
        <v>57.833333333333883</v>
      </c>
      <c r="I708" s="10">
        <f t="shared" si="174"/>
        <v>2.5735771314498486E-6</v>
      </c>
      <c r="J708" s="10">
        <f t="shared" si="175"/>
        <v>2.2425192225111412E-23</v>
      </c>
      <c r="K708" s="10">
        <f t="shared" si="176"/>
        <v>8.7136049812177675E-18</v>
      </c>
      <c r="L708" s="10">
        <f t="shared" si="177"/>
        <v>6.3775677803758328E-9</v>
      </c>
      <c r="M708" s="10">
        <f t="shared" si="178"/>
        <v>0.89437815088330253</v>
      </c>
      <c r="N708" s="10">
        <f t="shared" si="179"/>
        <v>0.7857577033824793</v>
      </c>
      <c r="O708" s="10">
        <f t="shared" si="185"/>
        <v>0.19571005443376155</v>
      </c>
      <c r="P708" s="10">
        <f t="shared" si="186"/>
        <v>7.4582171635300562E-9</v>
      </c>
      <c r="Q708" s="10">
        <f t="shared" si="180"/>
        <v>2.8845721506513815</v>
      </c>
      <c r="S708" s="5">
        <f t="shared" si="181"/>
        <v>1.3344072049764781E-24</v>
      </c>
      <c r="T708" s="5">
        <f t="shared" si="182"/>
        <v>5.1850156518326789E-19</v>
      </c>
      <c r="U708" s="5">
        <f t="shared" si="183"/>
        <v>4.4379992908820176E-10</v>
      </c>
    </row>
    <row r="709" spans="1:21">
      <c r="A709" s="19">
        <f t="shared" si="184"/>
        <v>57.916666666667219</v>
      </c>
      <c r="B709" s="10">
        <f t="shared" si="170"/>
        <v>6.8467998589913455E-18</v>
      </c>
      <c r="C709" s="10">
        <f t="shared" si="172"/>
        <v>5.926338159200685E-2</v>
      </c>
      <c r="D709" s="10">
        <f t="shared" si="173"/>
        <v>4.0576451272750282E-19</v>
      </c>
      <c r="H709" s="19">
        <f t="shared" si="171"/>
        <v>57.916666666667219</v>
      </c>
      <c r="I709" s="10">
        <f t="shared" si="174"/>
        <v>2.3894615504034128E-6</v>
      </c>
      <c r="J709" s="10">
        <f t="shared" si="175"/>
        <v>1.6360165006367329E-23</v>
      </c>
      <c r="K709" s="10">
        <f t="shared" si="176"/>
        <v>6.8467834988263391E-18</v>
      </c>
      <c r="L709" s="10">
        <f t="shared" si="177"/>
        <v>5.703957278545465E-9</v>
      </c>
      <c r="M709" s="10">
        <f t="shared" si="178"/>
        <v>0.8937982673701077</v>
      </c>
      <c r="N709" s="10">
        <f t="shared" si="179"/>
        <v>0.78461335793550813</v>
      </c>
      <c r="O709" s="10">
        <f t="shared" si="185"/>
        <v>0.19665651777590498</v>
      </c>
      <c r="P709" s="10">
        <f t="shared" si="186"/>
        <v>6.6704664756041253E-9</v>
      </c>
      <c r="Q709" s="10">
        <f t="shared" si="180"/>
        <v>2.9020085512298914</v>
      </c>
      <c r="S709" s="5">
        <f t="shared" si="181"/>
        <v>9.6955870168054429E-25</v>
      </c>
      <c r="T709" s="5">
        <f t="shared" si="182"/>
        <v>4.0576354316880113E-19</v>
      </c>
      <c r="U709" s="5">
        <f t="shared" si="183"/>
        <v>3.9531440014041635E-10</v>
      </c>
    </row>
    <row r="710" spans="1:21">
      <c r="A710" s="19">
        <f t="shared" si="184"/>
        <v>58.000000000000554</v>
      </c>
      <c r="B710" s="10">
        <f t="shared" si="170"/>
        <v>5.3720906284755635E-18</v>
      </c>
      <c r="C710" s="10">
        <f t="shared" si="172"/>
        <v>5.9022914930508201E-2</v>
      </c>
      <c r="D710" s="10">
        <f t="shared" si="173"/>
        <v>3.1707644816349352E-19</v>
      </c>
      <c r="H710" s="19">
        <f t="shared" si="171"/>
        <v>58.000000000000554</v>
      </c>
      <c r="I710" s="10">
        <f t="shared" si="174"/>
        <v>2.2175869195013785E-6</v>
      </c>
      <c r="J710" s="10">
        <f t="shared" si="175"/>
        <v>1.191307790808335E-23</v>
      </c>
      <c r="K710" s="10">
        <f t="shared" si="176"/>
        <v>5.3720787153976549E-18</v>
      </c>
      <c r="L710" s="10">
        <f t="shared" si="177"/>
        <v>5.0981871327170517E-9</v>
      </c>
      <c r="M710" s="10">
        <f t="shared" si="178"/>
        <v>0.893215393612806</v>
      </c>
      <c r="N710" s="10">
        <f t="shared" si="179"/>
        <v>0.78346377672802192</v>
      </c>
      <c r="O710" s="10">
        <f t="shared" si="185"/>
        <v>0.19760622814338974</v>
      </c>
      <c r="P710" s="10">
        <f t="shared" si="186"/>
        <v>5.9620513784453596E-9</v>
      </c>
      <c r="Q710" s="10">
        <f t="shared" si="180"/>
        <v>2.919550353437979</v>
      </c>
      <c r="S710" s="5">
        <f t="shared" si="181"/>
        <v>7.0314458392932015E-25</v>
      </c>
      <c r="T710" s="5">
        <f t="shared" si="182"/>
        <v>3.1707574501890958E-19</v>
      </c>
      <c r="U710" s="5">
        <f t="shared" si="183"/>
        <v>3.5189765132129961E-10</v>
      </c>
    </row>
    <row r="711" spans="1:21">
      <c r="A711" s="19">
        <f t="shared" si="184"/>
        <v>58.08333333333389</v>
      </c>
      <c r="B711" s="10">
        <f t="shared" si="170"/>
        <v>4.2088384127106781E-18</v>
      </c>
      <c r="C711" s="10">
        <f t="shared" si="172"/>
        <v>5.8783423984767574E-2</v>
      </c>
      <c r="D711" s="10">
        <f t="shared" si="173"/>
        <v>2.4740993289774796E-19</v>
      </c>
      <c r="H711" s="19">
        <f t="shared" si="171"/>
        <v>58.08333333333389</v>
      </c>
      <c r="I711" s="10">
        <f t="shared" si="174"/>
        <v>2.05720690060708E-6</v>
      </c>
      <c r="J711" s="10">
        <f t="shared" si="175"/>
        <v>8.658451426168556E-24</v>
      </c>
      <c r="K711" s="10">
        <f t="shared" si="176"/>
        <v>4.2088297542592519E-18</v>
      </c>
      <c r="L711" s="10">
        <f t="shared" si="177"/>
        <v>4.5537792264616043E-9</v>
      </c>
      <c r="M711" s="10">
        <f t="shared" si="178"/>
        <v>0.89262951640613974</v>
      </c>
      <c r="N711" s="10">
        <f t="shared" si="179"/>
        <v>0.78230894600944489</v>
      </c>
      <c r="O711" s="10">
        <f t="shared" si="185"/>
        <v>0.19855918139420514</v>
      </c>
      <c r="P711" s="10">
        <f t="shared" si="186"/>
        <v>5.3253960687378472E-9</v>
      </c>
      <c r="Q711" s="10">
        <f t="shared" si="180"/>
        <v>2.937198194419949</v>
      </c>
      <c r="S711" s="5">
        <f t="shared" si="181"/>
        <v>5.0897342123598167E-25</v>
      </c>
      <c r="T711" s="5">
        <f t="shared" si="182"/>
        <v>2.4740942392432671E-19</v>
      </c>
      <c r="U711" s="5">
        <f t="shared" si="183"/>
        <v>3.1304501499543132E-10</v>
      </c>
    </row>
    <row r="712" spans="1:21">
      <c r="A712" s="19">
        <f t="shared" si="184"/>
        <v>58.166666666667226</v>
      </c>
      <c r="B712" s="10">
        <f t="shared" si="170"/>
        <v>3.2926119425717558E-18</v>
      </c>
      <c r="C712" s="10">
        <f t="shared" si="172"/>
        <v>5.854490479572786E-2</v>
      </c>
      <c r="D712" s="10">
        <f t="shared" si="173"/>
        <v>1.9276565270714E-19</v>
      </c>
      <c r="H712" s="19">
        <f t="shared" si="171"/>
        <v>58.166666666667226</v>
      </c>
      <c r="I712" s="10">
        <f t="shared" si="174"/>
        <v>1.9076160764463254E-6</v>
      </c>
      <c r="J712" s="10">
        <f t="shared" si="175"/>
        <v>6.2810394751490462E-24</v>
      </c>
      <c r="K712" s="10">
        <f t="shared" si="176"/>
        <v>3.2926056615322809E-18</v>
      </c>
      <c r="L712" s="10">
        <f t="shared" si="177"/>
        <v>4.064837748736747E-9</v>
      </c>
      <c r="M712" s="10">
        <f t="shared" si="178"/>
        <v>0.89204062251258642</v>
      </c>
      <c r="N712" s="10">
        <f t="shared" si="179"/>
        <v>0.78114885212145513</v>
      </c>
      <c r="O712" s="10">
        <f t="shared" si="185"/>
        <v>0.19951537316860024</v>
      </c>
      <c r="P712" s="10">
        <f t="shared" si="186"/>
        <v>4.7536057175086243E-9</v>
      </c>
      <c r="Q712" s="10">
        <f t="shared" si="180"/>
        <v>2.954952715171614</v>
      </c>
      <c r="S712" s="5">
        <f t="shared" si="181"/>
        <v>3.6772285809080939E-25</v>
      </c>
      <c r="T712" s="5">
        <f t="shared" si="182"/>
        <v>1.9276528498428194E-19</v>
      </c>
      <c r="U712" s="5">
        <f t="shared" si="183"/>
        <v>2.7829939416797005E-10</v>
      </c>
    </row>
    <row r="713" spans="1:21">
      <c r="A713" s="19">
        <f t="shared" si="184"/>
        <v>58.250000000000561</v>
      </c>
      <c r="B713" s="10">
        <f t="shared" si="170"/>
        <v>2.5720200394213217E-18</v>
      </c>
      <c r="C713" s="10">
        <f t="shared" si="172"/>
        <v>5.8307353420396224E-2</v>
      </c>
      <c r="D713" s="10">
        <f t="shared" si="173"/>
        <v>1.4996768144288044E-19</v>
      </c>
      <c r="H713" s="19">
        <f t="shared" si="171"/>
        <v>58.250000000000561</v>
      </c>
      <c r="I713" s="10">
        <f t="shared" si="174"/>
        <v>1.7681479961139716E-6</v>
      </c>
      <c r="J713" s="10">
        <f t="shared" si="175"/>
        <v>4.547712078667788E-24</v>
      </c>
      <c r="K713" s="10">
        <f t="shared" si="176"/>
        <v>2.5720154917092429E-18</v>
      </c>
      <c r="L713" s="10">
        <f t="shared" si="177"/>
        <v>3.6260003957957882E-9</v>
      </c>
      <c r="M713" s="10">
        <f t="shared" si="178"/>
        <v>0.89144869866248688</v>
      </c>
      <c r="N713" s="10">
        <f t="shared" si="179"/>
        <v>0.77998348149983898</v>
      </c>
      <c r="O713" s="10">
        <f t="shared" si="185"/>
        <v>0.20047479888678477</v>
      </c>
      <c r="P713" s="10">
        <f t="shared" si="186"/>
        <v>4.2404094034257851E-9</v>
      </c>
      <c r="Q713" s="10">
        <f t="shared" si="180"/>
        <v>2.9728145605635383</v>
      </c>
      <c r="S713" s="5">
        <f t="shared" si="181"/>
        <v>2.6516505542508746E-25</v>
      </c>
      <c r="T713" s="5">
        <f t="shared" si="182"/>
        <v>1.49967416277825E-19</v>
      </c>
      <c r="U713" s="5">
        <f t="shared" si="183"/>
        <v>2.4724704973271875E-10</v>
      </c>
    </row>
    <row r="714" spans="1:21">
      <c r="A714" s="19">
        <f t="shared" si="184"/>
        <v>58.333333333333897</v>
      </c>
      <c r="B714" s="10">
        <f t="shared" si="170"/>
        <v>2.0061331448351955E-18</v>
      </c>
      <c r="C714" s="10">
        <f t="shared" si="172"/>
        <v>5.8070765931778887E-2</v>
      </c>
      <c r="D714" s="10">
        <f t="shared" si="173"/>
        <v>1.1649768828170811E-19</v>
      </c>
      <c r="H714" s="19">
        <f t="shared" si="171"/>
        <v>58.333333333333897</v>
      </c>
      <c r="I714" s="10">
        <f t="shared" si="174"/>
        <v>1.6381732971311286E-6</v>
      </c>
      <c r="J714" s="10">
        <f t="shared" si="175"/>
        <v>3.2863937483587122E-24</v>
      </c>
      <c r="K714" s="10">
        <f t="shared" si="176"/>
        <v>2.0061298584414471E-18</v>
      </c>
      <c r="L714" s="10">
        <f t="shared" si="177"/>
        <v>3.2323933341818178E-9</v>
      </c>
      <c r="M714" s="10">
        <f t="shared" si="178"/>
        <v>0.89085373155443792</v>
      </c>
      <c r="N714" s="10">
        <f t="shared" si="179"/>
        <v>0.77881282067664859</v>
      </c>
      <c r="O714" s="10">
        <f t="shared" si="185"/>
        <v>0.20143745374667588</v>
      </c>
      <c r="P714" s="10">
        <f t="shared" si="186"/>
        <v>3.780107444480089E-9</v>
      </c>
      <c r="Q714" s="10">
        <f t="shared" si="180"/>
        <v>2.9907843793644755</v>
      </c>
      <c r="S714" s="5">
        <f t="shared" si="181"/>
        <v>1.9084340212060022E-25</v>
      </c>
      <c r="T714" s="5">
        <f t="shared" si="182"/>
        <v>1.1649749743830598E-19</v>
      </c>
      <c r="U714" s="5">
        <f t="shared" si="183"/>
        <v>2.195137346053781E-10</v>
      </c>
    </row>
    <row r="715" spans="1:21">
      <c r="A715" s="19">
        <f t="shared" si="184"/>
        <v>58.416666666667233</v>
      </c>
      <c r="B715" s="10">
        <f t="shared" si="170"/>
        <v>1.5624022131820141E-18</v>
      </c>
      <c r="C715" s="10">
        <f t="shared" si="172"/>
        <v>5.7835138418816184E-2</v>
      </c>
      <c r="D715" s="10">
        <f t="shared" si="173"/>
        <v>9.0361748265246536E-20</v>
      </c>
      <c r="H715" s="19">
        <f t="shared" si="171"/>
        <v>58.416666666667233</v>
      </c>
      <c r="I715" s="10">
        <f t="shared" si="174"/>
        <v>1.5170979019492219E-6</v>
      </c>
      <c r="J715" s="10">
        <f t="shared" si="175"/>
        <v>2.3703171196192544E-24</v>
      </c>
      <c r="K715" s="10">
        <f t="shared" si="176"/>
        <v>1.5623998428648945E-18</v>
      </c>
      <c r="L715" s="10">
        <f t="shared" si="177"/>
        <v>2.8795896636075635E-9</v>
      </c>
      <c r="M715" s="10">
        <f t="shared" si="178"/>
        <v>0.89025570785536479</v>
      </c>
      <c r="N715" s="10">
        <f t="shared" si="179"/>
        <v>0.77763685628210222</v>
      </c>
      <c r="O715" s="10">
        <f t="shared" si="185"/>
        <v>0.2024033327215819</v>
      </c>
      <c r="P715" s="10">
        <f t="shared" si="186"/>
        <v>3.3675228225917985E-9</v>
      </c>
      <c r="Q715" s="10">
        <f t="shared" si="180"/>
        <v>3.0088628242649458</v>
      </c>
      <c r="S715" s="5">
        <f t="shared" si="181"/>
        <v>1.3708761870966926E-25</v>
      </c>
      <c r="T715" s="5">
        <f t="shared" si="182"/>
        <v>9.0361611177627833E-20</v>
      </c>
      <c r="U715" s="5">
        <f t="shared" si="183"/>
        <v>1.9476114857311925E-10</v>
      </c>
    </row>
    <row r="716" spans="1:21">
      <c r="A716" s="19">
        <f t="shared" si="184"/>
        <v>58.500000000000568</v>
      </c>
      <c r="B716" s="10">
        <f t="shared" si="170"/>
        <v>1.2149815453070604E-18</v>
      </c>
      <c r="C716" s="10">
        <f t="shared" si="172"/>
        <v>5.7600466986317968E-2</v>
      </c>
      <c r="D716" s="10">
        <f t="shared" si="173"/>
        <v>6.9983504389444922E-20</v>
      </c>
      <c r="H716" s="19">
        <f t="shared" si="171"/>
        <v>58.500000000000568</v>
      </c>
      <c r="I716" s="10">
        <f t="shared" si="174"/>
        <v>1.4043612868111075E-6</v>
      </c>
      <c r="J716" s="10">
        <f t="shared" si="175"/>
        <v>1.7062730464191712E-24</v>
      </c>
      <c r="K716" s="10">
        <f t="shared" si="176"/>
        <v>1.2149798390340139E-18</v>
      </c>
      <c r="L716" s="10">
        <f t="shared" si="177"/>
        <v>2.5635711343079433E-9</v>
      </c>
      <c r="M716" s="10">
        <f t="shared" si="178"/>
        <v>0.88965461420099512</v>
      </c>
      <c r="N716" s="10">
        <f t="shared" si="179"/>
        <v>0.77645557504679219</v>
      </c>
      <c r="O716" s="10">
        <f t="shared" si="185"/>
        <v>0.20337243055794674</v>
      </c>
      <c r="P716" s="10">
        <f t="shared" si="186"/>
        <v>2.9979564141455581E-9</v>
      </c>
      <c r="Q716" s="10">
        <f t="shared" si="180"/>
        <v>3.0270505519009299</v>
      </c>
      <c r="S716" s="5">
        <f t="shared" si="181"/>
        <v>9.8282124279911652E-26</v>
      </c>
      <c r="T716" s="5">
        <f t="shared" si="182"/>
        <v>6.9983406107320634E-20</v>
      </c>
      <c r="U716" s="5">
        <f t="shared" si="183"/>
        <v>1.7268368945941143E-10</v>
      </c>
    </row>
    <row r="717" spans="1:21">
      <c r="A717" s="19">
        <f t="shared" si="184"/>
        <v>58.583333333333904</v>
      </c>
      <c r="B717" s="10">
        <f t="shared" si="170"/>
        <v>9.4337919443263383E-19</v>
      </c>
      <c r="C717" s="10">
        <f t="shared" si="172"/>
        <v>5.7366747754899174E-2</v>
      </c>
      <c r="D717" s="10">
        <f t="shared" si="173"/>
        <v>5.4118596284236887E-20</v>
      </c>
      <c r="H717" s="19">
        <f t="shared" si="171"/>
        <v>58.583333333333904</v>
      </c>
      <c r="I717" s="10">
        <f t="shared" si="174"/>
        <v>1.2994348208945184E-6</v>
      </c>
      <c r="J717" s="10">
        <f t="shared" si="175"/>
        <v>1.2258597745531845E-24</v>
      </c>
      <c r="K717" s="10">
        <f t="shared" si="176"/>
        <v>9.4337796857285936E-19</v>
      </c>
      <c r="L717" s="10">
        <f t="shared" si="177"/>
        <v>2.2806928884695407E-9</v>
      </c>
      <c r="M717" s="10">
        <f t="shared" si="178"/>
        <v>0.88905043719602983</v>
      </c>
      <c r="N717" s="10">
        <f t="shared" si="179"/>
        <v>0.77526896380365473</v>
      </c>
      <c r="O717" s="10">
        <f t="shared" si="185"/>
        <v>0.20434474177302756</v>
      </c>
      <c r="P717" s="10">
        <f t="shared" si="186"/>
        <v>2.6671457570180656E-9</v>
      </c>
      <c r="Q717" s="10">
        <f t="shared" si="180"/>
        <v>3.0453482228777089</v>
      </c>
      <c r="S717" s="5">
        <f t="shared" si="181"/>
        <v>7.0323588469670103E-26</v>
      </c>
      <c r="T717" s="5">
        <f t="shared" si="182"/>
        <v>5.4118525960648421E-20</v>
      </c>
      <c r="U717" s="5">
        <f t="shared" si="183"/>
        <v>1.5300547786840496E-10</v>
      </c>
    </row>
    <row r="718" spans="1:21">
      <c r="A718" s="19">
        <f t="shared" si="184"/>
        <v>58.66666666666724</v>
      </c>
      <c r="B718" s="10">
        <f t="shared" ref="B718:B719" si="187">(B$9^A718)*B$10^((B$7^65)*((B$7^A718)-1))</f>
        <v>7.3137261054171457E-19</v>
      </c>
      <c r="C718" s="10">
        <f t="shared" si="172"/>
        <v>5.7133976860915696E-2</v>
      </c>
      <c r="D718" s="10">
        <f t="shared" si="173"/>
        <v>4.1786225807397829E-20</v>
      </c>
      <c r="H718" s="19">
        <f t="shared" ref="H718:H734" si="188">A718</f>
        <v>58.66666666666724</v>
      </c>
      <c r="I718" s="10">
        <f t="shared" si="174"/>
        <v>1.2018201736813623E-6</v>
      </c>
      <c r="J718" s="10">
        <f t="shared" si="175"/>
        <v>8.789783578270348E-25</v>
      </c>
      <c r="K718" s="10">
        <f t="shared" si="176"/>
        <v>7.3137173156335675E-19</v>
      </c>
      <c r="L718" s="10">
        <f t="shared" si="177"/>
        <v>2.0276510096037212E-9</v>
      </c>
      <c r="M718" s="10">
        <f t="shared" si="178"/>
        <v>0.88844316341449681</v>
      </c>
      <c r="N718" s="10">
        <f t="shared" si="179"/>
        <v>0.77407700949010372</v>
      </c>
      <c r="O718" s="10">
        <f t="shared" si="185"/>
        <v>0.20532026065260484</v>
      </c>
      <c r="P718" s="10">
        <f t="shared" si="186"/>
        <v>2.3712271013424477E-9</v>
      </c>
      <c r="Q718" s="10">
        <f t="shared" si="180"/>
        <v>3.063756501793871</v>
      </c>
      <c r="S718" s="5">
        <f t="shared" si="181"/>
        <v>5.0219529157335485E-26</v>
      </c>
      <c r="T718" s="5">
        <f t="shared" si="182"/>
        <v>4.1786175587868668E-20</v>
      </c>
      <c r="U718" s="5">
        <f t="shared" si="183"/>
        <v>1.3547763434007561E-10</v>
      </c>
    </row>
    <row r="719" spans="1:21">
      <c r="A719" s="19">
        <f t="shared" si="184"/>
        <v>58.750000000000576</v>
      </c>
      <c r="B719" s="10">
        <f t="shared" si="187"/>
        <v>5.6613872319110069E-19</v>
      </c>
      <c r="C719" s="10">
        <f t="shared" ref="C719:C734" si="189">(1+B$8)^-A719</f>
        <v>5.6902150456400534E-2</v>
      </c>
      <c r="D719" s="10">
        <f t="shared" ref="D719:D734" si="190">B719*C719</f>
        <v>3.2214510806214507E-20</v>
      </c>
      <c r="H719" s="19">
        <f t="shared" si="188"/>
        <v>58.750000000000576</v>
      </c>
      <c r="I719" s="10">
        <f t="shared" ref="I719:I734" si="191">(C$9^H719)*C$10^((C$7^63)*((C$7^H719)-1))</f>
        <v>1.1110477885161571E-6</v>
      </c>
      <c r="J719" s="10">
        <f t="shared" ref="J719:J734" si="192">B719*I719</f>
        <v>6.290071763948332E-25</v>
      </c>
      <c r="K719" s="10">
        <f t="shared" ref="K719:K734" si="193">B719*(1-I719)</f>
        <v>5.661380941839243E-19</v>
      </c>
      <c r="L719" s="10">
        <f t="shared" ref="L719:L734" si="194">(D$9^H719)*D$10^((D$7^63)*((D$7^H719)-1))</f>
        <v>1.8014526772729284E-9</v>
      </c>
      <c r="M719" s="10">
        <f t="shared" ref="M719:M734" si="195">L720/L719</f>
        <v>0.8878327793999452</v>
      </c>
      <c r="N719" s="10">
        <f t="shared" ref="N719:N734" si="196">B720/B719</f>
        <v>0.7728796991502217</v>
      </c>
      <c r="O719" s="10">
        <f t="shared" si="185"/>
        <v>0.20629898124866752</v>
      </c>
      <c r="P719" s="10">
        <f t="shared" si="186"/>
        <v>2.1067005070908717E-9</v>
      </c>
      <c r="Q719" s="10">
        <f t="shared" ref="Q719:Q734" si="197">0.0001+0.0004*(1.075^(65+H719))</f>
        <v>3.0822760572654575</v>
      </c>
      <c r="S719" s="5">
        <f t="shared" ref="S719:S734" si="198">C719*J719</f>
        <v>3.579186098937447E-26</v>
      </c>
      <c r="T719" s="5">
        <f t="shared" ref="T719:T734" si="199">C719*K719</f>
        <v>3.2214475014353518E-20</v>
      </c>
      <c r="U719" s="5">
        <f t="shared" ref="U719:U734" si="200">C719*P719</f>
        <v>1.1987578922106009E-10</v>
      </c>
    </row>
    <row r="720" spans="1:21">
      <c r="A720" s="19">
        <f t="shared" ref="A720:A734" si="201">A719+1/12</f>
        <v>58.833333333333911</v>
      </c>
      <c r="B720" s="10">
        <f t="shared" ref="B720:B734" si="202">(B$9^A720)*B$10^((B$7^65)*((B$7^A720)-1))</f>
        <v>4.3755712605722858E-19</v>
      </c>
      <c r="C720" s="10">
        <f t="shared" si="189"/>
        <v>5.6671264709000184E-2</v>
      </c>
      <c r="D720" s="10">
        <f t="shared" si="190"/>
        <v>2.4796915716098564E-20</v>
      </c>
      <c r="H720" s="19">
        <f t="shared" si="188"/>
        <v>58.833333333333911</v>
      </c>
      <c r="I720" s="10">
        <f t="shared" si="191"/>
        <v>1.0266754203386972E-6</v>
      </c>
      <c r="J720" s="10">
        <f t="shared" si="192"/>
        <v>4.4922914631699742E-25</v>
      </c>
      <c r="K720" s="10">
        <f t="shared" si="193"/>
        <v>4.3755667682808229E-19</v>
      </c>
      <c r="L720" s="10">
        <f t="shared" si="194"/>
        <v>1.5993887374206965E-9</v>
      </c>
      <c r="M720" s="10">
        <f t="shared" si="195"/>
        <v>0.88721927166585779</v>
      </c>
      <c r="N720" s="10">
        <f t="shared" si="196"/>
        <v>0.77167701993680948</v>
      </c>
      <c r="O720" s="10">
        <f t="shared" ref="O720:O734" si="203">(1/24)*(Q720*M720+(J721/J720)*Q721)</f>
        <v>0.20728089737710054</v>
      </c>
      <c r="P720" s="10">
        <f t="shared" ref="P720:P734" si="204">P719*M719+J719*O719</f>
        <v>1.8703977665737628E-9</v>
      </c>
      <c r="Q720" s="10">
        <f t="shared" si="197"/>
        <v>3.1009075619502409</v>
      </c>
      <c r="S720" s="5">
        <f t="shared" si="198"/>
        <v>2.5458383865928735E-26</v>
      </c>
      <c r="T720" s="5">
        <f t="shared" si="199"/>
        <v>2.4796890257714699E-20</v>
      </c>
      <c r="U720" s="5">
        <f t="shared" si="200"/>
        <v>1.0599780694062445E-10</v>
      </c>
    </row>
    <row r="721" spans="1:21">
      <c r="A721" s="19">
        <f t="shared" si="201"/>
        <v>58.916666666667247</v>
      </c>
      <c r="B721" s="10">
        <f t="shared" si="202"/>
        <v>3.3765277908795704E-19</v>
      </c>
      <c r="C721" s="10">
        <f t="shared" si="189"/>
        <v>5.6441315801911203E-2</v>
      </c>
      <c r="D721" s="10">
        <f t="shared" si="190"/>
        <v>1.9057567135896343E-20</v>
      </c>
      <c r="H721" s="19">
        <f t="shared" si="188"/>
        <v>58.916666666667247</v>
      </c>
      <c r="I721" s="10">
        <f t="shared" si="191"/>
        <v>9.4828673559978429E-7</v>
      </c>
      <c r="J721" s="10">
        <f t="shared" si="192"/>
        <v>3.2019165164751391E-25</v>
      </c>
      <c r="K721" s="10">
        <f t="shared" si="193"/>
        <v>3.3765245889630539E-19</v>
      </c>
      <c r="L721" s="10">
        <f t="shared" si="194"/>
        <v>1.4190085107249663E-9</v>
      </c>
      <c r="M721" s="10">
        <f t="shared" si="195"/>
        <v>0.88660262669586587</v>
      </c>
      <c r="N721" s="10">
        <f t="shared" si="196"/>
        <v>0.77046895911357038</v>
      </c>
      <c r="O721" s="10">
        <f t="shared" si="203"/>
        <v>0.20826600261535827</v>
      </c>
      <c r="P721" s="10">
        <f t="shared" si="204"/>
        <v>1.6594529441850208E-9</v>
      </c>
      <c r="Q721" s="10">
        <f t="shared" si="197"/>
        <v>3.1196516925721447</v>
      </c>
      <c r="S721" s="5">
        <f t="shared" si="198"/>
        <v>1.8072038127772874E-26</v>
      </c>
      <c r="T721" s="5">
        <f t="shared" si="199"/>
        <v>1.9057549063858216E-20</v>
      </c>
      <c r="U721" s="5">
        <f t="shared" si="200"/>
        <v>9.3661707681158082E-11</v>
      </c>
    </row>
    <row r="722" spans="1:21">
      <c r="A722" s="19">
        <f t="shared" si="201"/>
        <v>59.000000000000583</v>
      </c>
      <c r="B722" s="10">
        <f t="shared" si="202"/>
        <v>2.6015098524570257E-19</v>
      </c>
      <c r="C722" s="10">
        <f t="shared" si="189"/>
        <v>5.6212299933817253E-2</v>
      </c>
      <c r="D722" s="10">
        <f t="shared" si="190"/>
        <v>1.46236852107095E-20</v>
      </c>
      <c r="H722" s="19">
        <f t="shared" si="188"/>
        <v>59.000000000000583</v>
      </c>
      <c r="I722" s="10">
        <f t="shared" si="191"/>
        <v>8.7548997239420931E-7</v>
      </c>
      <c r="J722" s="10">
        <f t="shared" si="192"/>
        <v>2.2775957889108649E-25</v>
      </c>
      <c r="K722" s="10">
        <f t="shared" si="193"/>
        <v>2.6015075748612368E-19</v>
      </c>
      <c r="L722" s="10">
        <f t="shared" si="194"/>
        <v>1.258096672912544E-9</v>
      </c>
      <c r="M722" s="10">
        <f t="shared" si="195"/>
        <v>0.88598283094418329</v>
      </c>
      <c r="N722" s="10">
        <f t="shared" si="196"/>
        <v>0.76925550405733101</v>
      </c>
      <c r="O722" s="10">
        <f t="shared" si="203"/>
        <v>0.20925429030015633</v>
      </c>
      <c r="P722" s="10">
        <f t="shared" si="204"/>
        <v>1.4712753391926275E-9</v>
      </c>
      <c r="Q722" s="10">
        <f t="shared" si="197"/>
        <v>3.1385091299458332</v>
      </c>
      <c r="S722" s="5">
        <f t="shared" si="198"/>
        <v>1.2802889761425666E-26</v>
      </c>
      <c r="T722" s="5">
        <f t="shared" si="199"/>
        <v>1.4623672407819737E-20</v>
      </c>
      <c r="U722" s="5">
        <f t="shared" si="200"/>
        <v>8.2703770651924694E-11</v>
      </c>
    </row>
    <row r="723" spans="1:21">
      <c r="A723" s="19">
        <f t="shared" si="201"/>
        <v>59.083333333333918</v>
      </c>
      <c r="B723" s="10">
        <f t="shared" si="202"/>
        <v>2.0012257728619422E-19</v>
      </c>
      <c r="C723" s="10">
        <f t="shared" si="189"/>
        <v>5.5984213318826179E-2</v>
      </c>
      <c r="D723" s="10">
        <f t="shared" si="190"/>
        <v>1.1203705056703576E-20</v>
      </c>
      <c r="H723" s="19">
        <f t="shared" si="188"/>
        <v>59.083333333333918</v>
      </c>
      <c r="I723" s="10">
        <f t="shared" si="191"/>
        <v>8.0791665887204784E-7</v>
      </c>
      <c r="J723" s="10">
        <f t="shared" si="192"/>
        <v>1.6168236400592521E-25</v>
      </c>
      <c r="K723" s="10">
        <f t="shared" si="193"/>
        <v>2.0012241560383021E-19</v>
      </c>
      <c r="L723" s="10">
        <f t="shared" si="194"/>
        <v>1.1146520518685138E-9</v>
      </c>
      <c r="M723" s="10">
        <f t="shared" si="195"/>
        <v>0.88535987083571943</v>
      </c>
      <c r="N723" s="10">
        <f t="shared" si="196"/>
        <v>0.76803664226023693</v>
      </c>
      <c r="O723" s="10">
        <f t="shared" si="203"/>
        <v>0.21024575352511793</v>
      </c>
      <c r="P723" s="10">
        <f t="shared" si="204"/>
        <v>1.3035246901162477E-9</v>
      </c>
      <c r="Q723" s="10">
        <f t="shared" si="197"/>
        <v>3.157480559001451</v>
      </c>
      <c r="S723" s="5">
        <f t="shared" si="198"/>
        <v>9.0516599563998202E-27</v>
      </c>
      <c r="T723" s="5">
        <f t="shared" si="199"/>
        <v>1.1203696005043619E-20</v>
      </c>
      <c r="U723" s="5">
        <f t="shared" si="200"/>
        <v>7.2976804317824795E-11</v>
      </c>
    </row>
    <row r="724" spans="1:21">
      <c r="A724" s="19">
        <f t="shared" si="201"/>
        <v>59.166666666667254</v>
      </c>
      <c r="B724" s="10">
        <f t="shared" si="202"/>
        <v>1.5370147229935338E-19</v>
      </c>
      <c r="C724" s="10">
        <f t="shared" si="189"/>
        <v>5.5757052186407405E-2</v>
      </c>
      <c r="D724" s="10">
        <f t="shared" si="190"/>
        <v>8.5699410121226985E-21</v>
      </c>
      <c r="H724" s="19">
        <f t="shared" si="188"/>
        <v>59.166666666667254</v>
      </c>
      <c r="I724" s="10">
        <f t="shared" si="191"/>
        <v>7.4522038801794442E-7</v>
      </c>
      <c r="J724" s="10">
        <f t="shared" si="192"/>
        <v>1.1454147082585347E-25</v>
      </c>
      <c r="K724" s="10">
        <f t="shared" si="193"/>
        <v>1.5370135775788256E-19</v>
      </c>
      <c r="L724" s="10">
        <f t="shared" si="194"/>
        <v>9.8686819666907703E-10</v>
      </c>
      <c r="M724" s="10">
        <f t="shared" si="195"/>
        <v>0.88473373276663614</v>
      </c>
      <c r="N724" s="10">
        <f t="shared" si="196"/>
        <v>0.76681236133190489</v>
      </c>
      <c r="O724" s="10">
        <f t="shared" si="203"/>
        <v>0.21124038513845611</v>
      </c>
      <c r="P724" s="10">
        <f t="shared" si="204"/>
        <v>1.1540884512724923E-9</v>
      </c>
      <c r="Q724" s="10">
        <f t="shared" si="197"/>
        <v>3.1765666688094911</v>
      </c>
      <c r="S724" s="5">
        <f t="shared" si="198"/>
        <v>6.3864947663449729E-27</v>
      </c>
      <c r="T724" s="5">
        <f t="shared" si="199"/>
        <v>8.5699346256279325E-21</v>
      </c>
      <c r="U724" s="5">
        <f t="shared" si="200"/>
        <v>6.4348570005330447E-11</v>
      </c>
    </row>
    <row r="725" spans="1:21">
      <c r="A725" s="19">
        <f t="shared" si="201"/>
        <v>59.25000000000059</v>
      </c>
      <c r="B725" s="10">
        <f t="shared" si="202"/>
        <v>1.1786018891405753E-19</v>
      </c>
      <c r="C725" s="10">
        <f t="shared" si="189"/>
        <v>5.5530812781329653E-2</v>
      </c>
      <c r="D725" s="10">
        <f t="shared" si="190"/>
        <v>6.5448720849586733E-21</v>
      </c>
      <c r="H725" s="19">
        <f t="shared" si="188"/>
        <v>59.25000000000059</v>
      </c>
      <c r="I725" s="10">
        <f t="shared" si="191"/>
        <v>6.8707564691770336E-7</v>
      </c>
      <c r="J725" s="10">
        <f t="shared" si="192"/>
        <v>8.0978865543968813E-26</v>
      </c>
      <c r="K725" s="10">
        <f t="shared" si="193"/>
        <v>1.17860107935192E-19</v>
      </c>
      <c r="L725" s="10">
        <f t="shared" si="194"/>
        <v>8.7311558338771131E-10</v>
      </c>
      <c r="M725" s="10">
        <f t="shared" si="195"/>
        <v>0.88410440310446414</v>
      </c>
      <c r="N725" s="10">
        <f t="shared" si="196"/>
        <v>0.76558264900172568</v>
      </c>
      <c r="O725" s="10">
        <f t="shared" si="203"/>
        <v>0.21223817774061854</v>
      </c>
      <c r="P725" s="10">
        <f t="shared" si="204"/>
        <v>1.0210609834371782E-9</v>
      </c>
      <c r="Q725" s="10">
        <f t="shared" si="197"/>
        <v>3.1957681526058095</v>
      </c>
      <c r="S725" s="5">
        <f t="shared" si="198"/>
        <v>4.4968222217665985E-27</v>
      </c>
      <c r="T725" s="5">
        <f t="shared" si="199"/>
        <v>6.5448675881364525E-21</v>
      </c>
      <c r="U725" s="5">
        <f t="shared" si="200"/>
        <v>5.6700346309570284E-11</v>
      </c>
    </row>
    <row r="726" spans="1:21">
      <c r="A726" s="19">
        <f t="shared" si="201"/>
        <v>59.333333333333925</v>
      </c>
      <c r="B726" s="10">
        <f t="shared" si="202"/>
        <v>9.0231715640667985E-20</v>
      </c>
      <c r="C726" s="10">
        <f t="shared" si="189"/>
        <v>5.5305491363598858E-2</v>
      </c>
      <c r="D726" s="10">
        <f t="shared" si="190"/>
        <v>4.9903093700876711E-21</v>
      </c>
      <c r="H726" s="19">
        <f t="shared" si="188"/>
        <v>59.333333333333925</v>
      </c>
      <c r="I726" s="10">
        <f t="shared" si="191"/>
        <v>6.3317669866275965E-7</v>
      </c>
      <c r="J726" s="10">
        <f t="shared" si="192"/>
        <v>5.7132619824035049E-26</v>
      </c>
      <c r="K726" s="10">
        <f t="shared" si="193"/>
        <v>9.023165850804816E-20</v>
      </c>
      <c r="L726" s="10">
        <f t="shared" si="194"/>
        <v>7.7192533169219845E-10</v>
      </c>
      <c r="M726" s="10">
        <f t="shared" si="195"/>
        <v>0.88347186818868617</v>
      </c>
      <c r="N726" s="10">
        <f t="shared" si="196"/>
        <v>0.76434749312115424</v>
      </c>
      <c r="O726" s="10">
        <f t="shared" si="203"/>
        <v>0.21323912368197812</v>
      </c>
      <c r="P726" s="10">
        <f t="shared" si="204"/>
        <v>9.027245112949836E-10</v>
      </c>
      <c r="Q726" s="10">
        <f t="shared" si="197"/>
        <v>3.2150857078168169</v>
      </c>
      <c r="S726" s="5">
        <f t="shared" si="198"/>
        <v>3.1597476122579471E-27</v>
      </c>
      <c r="T726" s="5">
        <f t="shared" si="199"/>
        <v>4.9903062103400587E-21</v>
      </c>
      <c r="U726" s="5">
        <f t="shared" si="200"/>
        <v>4.9925622663133716E-11</v>
      </c>
    </row>
    <row r="727" spans="1:21">
      <c r="A727" s="19">
        <f t="shared" si="201"/>
        <v>59.416666666667261</v>
      </c>
      <c r="B727" s="10">
        <f t="shared" si="202"/>
        <v>6.896838564996542E-20</v>
      </c>
      <c r="C727" s="10">
        <f t="shared" si="189"/>
        <v>5.5081084208396282E-2</v>
      </c>
      <c r="D727" s="10">
        <f t="shared" si="190"/>
        <v>3.7988534577028951E-21</v>
      </c>
      <c r="H727" s="19">
        <f t="shared" si="188"/>
        <v>59.416666666667261</v>
      </c>
      <c r="I727" s="10">
        <f t="shared" si="191"/>
        <v>5.832365150751875E-7</v>
      </c>
      <c r="J727" s="10">
        <f t="shared" si="192"/>
        <v>4.0224880896847403E-26</v>
      </c>
      <c r="K727" s="10">
        <f t="shared" si="193"/>
        <v>6.8968345425084529E-20</v>
      </c>
      <c r="L727" s="10">
        <f t="shared" si="194"/>
        <v>6.8197431489227778E-10</v>
      </c>
      <c r="M727" s="10">
        <f t="shared" si="195"/>
        <v>0.88283611433077902</v>
      </c>
      <c r="N727" s="10">
        <f t="shared" si="196"/>
        <v>0.76310688166590046</v>
      </c>
      <c r="O727" s="10">
        <f t="shared" si="203"/>
        <v>0.21424321506043556</v>
      </c>
      <c r="P727" s="10">
        <f t="shared" si="204"/>
        <v>7.9753171045349784E-10</v>
      </c>
      <c r="Q727" s="10">
        <f t="shared" si="197"/>
        <v>3.2345200360848221</v>
      </c>
      <c r="S727" s="5">
        <f t="shared" si="198"/>
        <v>2.2156300519519627E-27</v>
      </c>
      <c r="T727" s="5">
        <f t="shared" si="199"/>
        <v>3.7988512420728435E-21</v>
      </c>
      <c r="U727" s="5">
        <f t="shared" si="200"/>
        <v>4.3928911302355434E-11</v>
      </c>
    </row>
    <row r="728" spans="1:21">
      <c r="A728" s="19">
        <f t="shared" si="201"/>
        <v>59.500000000000597</v>
      </c>
      <c r="B728" s="10">
        <f t="shared" si="202"/>
        <v>5.2630249706876348E-20</v>
      </c>
      <c r="C728" s="10">
        <f t="shared" si="189"/>
        <v>5.4857587606017034E-2</v>
      </c>
      <c r="D728" s="10">
        <f t="shared" si="190"/>
        <v>2.8871685340215217E-21</v>
      </c>
      <c r="H728" s="19">
        <f t="shared" si="188"/>
        <v>59.500000000000597</v>
      </c>
      <c r="I728" s="10">
        <f t="shared" si="191"/>
        <v>5.36985758469311E-7</v>
      </c>
      <c r="J728" s="10">
        <f t="shared" si="192"/>
        <v>2.8261694557276227E-26</v>
      </c>
      <c r="K728" s="10">
        <f t="shared" si="193"/>
        <v>5.2630221445181795E-20</v>
      </c>
      <c r="L728" s="10">
        <f t="shared" si="194"/>
        <v>6.0207155423289366E-10</v>
      </c>
      <c r="M728" s="10">
        <f t="shared" si="195"/>
        <v>0.88219712781481052</v>
      </c>
      <c r="N728" s="10">
        <f t="shared" si="196"/>
        <v>0.76186080273827228</v>
      </c>
      <c r="O728" s="10">
        <f t="shared" si="203"/>
        <v>0.21525044371910687</v>
      </c>
      <c r="P728" s="10">
        <f t="shared" si="204"/>
        <v>7.0408979631234594E-10</v>
      </c>
      <c r="Q728" s="10">
        <f t="shared" si="197"/>
        <v>3.2540718432935054</v>
      </c>
      <c r="S728" s="5">
        <f t="shared" si="198"/>
        <v>1.5503683850702754E-27</v>
      </c>
      <c r="T728" s="5">
        <f t="shared" si="199"/>
        <v>2.8871669836531368E-21</v>
      </c>
      <c r="U728" s="5">
        <f t="shared" si="200"/>
        <v>3.8624667683707206E-11</v>
      </c>
    </row>
    <row r="729" spans="1:21">
      <c r="A729" s="19">
        <f t="shared" si="201"/>
        <v>59.583333333333933</v>
      </c>
      <c r="B729" s="10">
        <f t="shared" si="202"/>
        <v>4.0096924289996531E-20</v>
      </c>
      <c r="C729" s="10">
        <f t="shared" si="189"/>
        <v>5.4634997861808657E-2</v>
      </c>
      <c r="D729" s="10">
        <f t="shared" si="190"/>
        <v>2.1906953728490641E-21</v>
      </c>
      <c r="H729" s="19">
        <f t="shared" si="188"/>
        <v>59.583333333333933</v>
      </c>
      <c r="I729" s="10">
        <f t="shared" si="191"/>
        <v>4.9417181070017542E-7</v>
      </c>
      <c r="J729" s="10">
        <f t="shared" si="192"/>
        <v>1.9814769679895431E-26</v>
      </c>
      <c r="K729" s="10">
        <f t="shared" si="193"/>
        <v>4.0096904475226849E-20</v>
      </c>
      <c r="L729" s="10">
        <f t="shared" si="194"/>
        <v>5.3114579588325772E-10</v>
      </c>
      <c r="M729" s="10">
        <f t="shared" si="195"/>
        <v>0.88155489489766414</v>
      </c>
      <c r="N729" s="10">
        <f t="shared" si="196"/>
        <v>0.76060924456952639</v>
      </c>
      <c r="O729" s="10">
        <f t="shared" si="203"/>
        <v>0.21626080124395519</v>
      </c>
      <c r="P729" s="10">
        <f t="shared" si="204"/>
        <v>6.2114599603046657E-10</v>
      </c>
      <c r="Q729" s="10">
        <f t="shared" si="197"/>
        <v>3.2737418395935429</v>
      </c>
      <c r="S729" s="5">
        <f t="shared" si="198"/>
        <v>1.0825798990933179E-27</v>
      </c>
      <c r="T729" s="5">
        <f t="shared" si="199"/>
        <v>2.1906942902691647E-21</v>
      </c>
      <c r="U729" s="5">
        <f t="shared" si="200"/>
        <v>3.3936310164995549E-11</v>
      </c>
    </row>
    <row r="730" spans="1:21">
      <c r="A730" s="19">
        <f t="shared" si="201"/>
        <v>59.666666666667268</v>
      </c>
      <c r="B730" s="10">
        <f t="shared" si="202"/>
        <v>3.0498091293775753E-20</v>
      </c>
      <c r="C730" s="10">
        <f t="shared" si="189"/>
        <v>5.4413311296110108E-2</v>
      </c>
      <c r="D730" s="10">
        <f t="shared" si="190"/>
        <v>1.6595021355054055E-21</v>
      </c>
      <c r="H730" s="19">
        <f t="shared" si="188"/>
        <v>59.666666666667268</v>
      </c>
      <c r="I730" s="10">
        <f t="shared" si="191"/>
        <v>4.5455784778423423E-7</v>
      </c>
      <c r="J730" s="10">
        <f t="shared" si="192"/>
        <v>1.3863146740025798E-26</v>
      </c>
      <c r="K730" s="10">
        <f t="shared" si="193"/>
        <v>3.049807743062901E-20</v>
      </c>
      <c r="L730" s="10">
        <f t="shared" si="194"/>
        <v>4.6823417626520142E-10</v>
      </c>
      <c r="M730" s="10">
        <f t="shared" si="195"/>
        <v>0.88090940180953015</v>
      </c>
      <c r="N730" s="10">
        <f t="shared" si="196"/>
        <v>0.75935219552217115</v>
      </c>
      <c r="O730" s="10">
        <f t="shared" si="203"/>
        <v>0.21727427896144894</v>
      </c>
      <c r="P730" s="10">
        <f t="shared" si="204"/>
        <v>5.4757429324674283E-10</v>
      </c>
      <c r="Q730" s="10">
        <f t="shared" si="197"/>
        <v>3.2935307394284168</v>
      </c>
      <c r="S730" s="5">
        <f t="shared" si="198"/>
        <v>7.5433971910867774E-28</v>
      </c>
      <c r="T730" s="5">
        <f t="shared" si="199"/>
        <v>1.6595013811656862E-21</v>
      </c>
      <c r="U730" s="5">
        <f t="shared" si="200"/>
        <v>2.9795330476182503E-11</v>
      </c>
    </row>
    <row r="731" spans="1:21">
      <c r="A731" s="19">
        <f t="shared" si="201"/>
        <v>59.750000000000604</v>
      </c>
      <c r="B731" s="10">
        <f t="shared" si="202"/>
        <v>2.315879258316423E-20</v>
      </c>
      <c r="C731" s="10">
        <f t="shared" si="189"/>
        <v>5.4192524244190923E-2</v>
      </c>
      <c r="D731" s="10">
        <f t="shared" si="190"/>
        <v>1.2550334285293164E-21</v>
      </c>
      <c r="H731" s="19">
        <f t="shared" si="188"/>
        <v>59.750000000000604</v>
      </c>
      <c r="I731" s="10">
        <f t="shared" si="191"/>
        <v>4.179219584134572E-7</v>
      </c>
      <c r="J731" s="10">
        <f t="shared" si="192"/>
        <v>9.678567950847042E-27</v>
      </c>
      <c r="K731" s="10">
        <f t="shared" si="193"/>
        <v>2.3158782904596279E-20</v>
      </c>
      <c r="L731" s="10">
        <f t="shared" si="194"/>
        <v>4.1247188812055669E-10</v>
      </c>
      <c r="M731" s="10">
        <f t="shared" si="195"/>
        <v>0.88026063475405092</v>
      </c>
      <c r="N731" s="10">
        <f t="shared" si="196"/>
        <v>0.75808964409232327</v>
      </c>
      <c r="O731" s="10">
        <f t="shared" si="203"/>
        <v>0.21829086793617536</v>
      </c>
      <c r="P731" s="10">
        <f t="shared" si="204"/>
        <v>4.8236334311026442E-10</v>
      </c>
      <c r="Q731" s="10">
        <f t="shared" si="197"/>
        <v>3.3134392615603723</v>
      </c>
      <c r="S731" s="5">
        <f t="shared" si="198"/>
        <v>5.2450602832532758E-28</v>
      </c>
      <c r="T731" s="5">
        <f t="shared" si="199"/>
        <v>1.2550329040232882E-21</v>
      </c>
      <c r="U731" s="5">
        <f t="shared" si="200"/>
        <v>2.6140487166011989E-11</v>
      </c>
    </row>
    <row r="732" spans="1:21">
      <c r="A732" s="19">
        <f t="shared" si="201"/>
        <v>59.83333333333394</v>
      </c>
      <c r="B732" s="10">
        <f t="shared" si="202"/>
        <v>1.7556440826978907E-20</v>
      </c>
      <c r="C732" s="10">
        <f t="shared" si="189"/>
        <v>5.3972633056190565E-2</v>
      </c>
      <c r="D732" s="10">
        <f t="shared" si="190"/>
        <v>9.4756733852725533E-22</v>
      </c>
      <c r="H732" s="19">
        <f t="shared" si="188"/>
        <v>59.83333333333394</v>
      </c>
      <c r="I732" s="10">
        <f t="shared" si="191"/>
        <v>3.8405630472056802E-7</v>
      </c>
      <c r="J732" s="10">
        <f t="shared" si="192"/>
        <v>6.7426617880548325E-27</v>
      </c>
      <c r="K732" s="10">
        <f t="shared" si="193"/>
        <v>1.7556434084317118E-20</v>
      </c>
      <c r="L732" s="10">
        <f t="shared" si="194"/>
        <v>3.630827660552031E-10</v>
      </c>
      <c r="M732" s="10">
        <f t="shared" si="195"/>
        <v>0.87960857990892349</v>
      </c>
      <c r="N732" s="10">
        <f t="shared" si="196"/>
        <v>0.75682157891211288</v>
      </c>
      <c r="O732" s="10">
        <f t="shared" si="203"/>
        <v>0.21931055896850329</v>
      </c>
      <c r="P732" s="10">
        <f t="shared" si="204"/>
        <v>4.2460546258832743E-10</v>
      </c>
      <c r="Q732" s="10">
        <f t="shared" si="197"/>
        <v>3.3334681290965147</v>
      </c>
      <c r="S732" s="5">
        <f t="shared" si="198"/>
        <v>3.6391921050868123E-28</v>
      </c>
      <c r="T732" s="5">
        <f t="shared" si="199"/>
        <v>9.4756697460804487E-22</v>
      </c>
      <c r="U732" s="5">
        <f t="shared" si="200"/>
        <v>2.2917074825933849E-11</v>
      </c>
    </row>
    <row r="733" spans="1:21">
      <c r="A733" s="19">
        <f t="shared" si="201"/>
        <v>59.916666666667275</v>
      </c>
      <c r="B733" s="10">
        <f t="shared" si="202"/>
        <v>1.3287093266751257E-20</v>
      </c>
      <c r="C733" s="10">
        <f t="shared" si="189"/>
        <v>5.375363409705821E-2</v>
      </c>
      <c r="D733" s="10">
        <f t="shared" si="190"/>
        <v>7.1422954967443293E-22</v>
      </c>
      <c r="H733" s="19">
        <f t="shared" si="188"/>
        <v>59.916666666667275</v>
      </c>
      <c r="I733" s="10">
        <f t="shared" si="191"/>
        <v>3.5276632369011613E-7</v>
      </c>
      <c r="J733" s="10">
        <f t="shared" si="192"/>
        <v>4.6872390442395366E-27</v>
      </c>
      <c r="K733" s="10">
        <f t="shared" si="193"/>
        <v>1.3287088579512213E-20</v>
      </c>
      <c r="L733" s="10">
        <f t="shared" si="194"/>
        <v>3.1937071623922108E-10</v>
      </c>
      <c r="M733" s="10">
        <f t="shared" si="195"/>
        <v>0.87895322342615412</v>
      </c>
      <c r="N733" s="10">
        <f t="shared" si="196"/>
        <v>0.7555479887520572</v>
      </c>
      <c r="O733" s="10">
        <f t="shared" si="203"/>
        <v>0.2203333425922101</v>
      </c>
      <c r="P733" s="10">
        <f t="shared" si="204"/>
        <v>3.7348660796889023E-10</v>
      </c>
      <c r="Q733" s="10">
        <f t="shared" si="197"/>
        <v>3.3536180695150613</v>
      </c>
      <c r="S733" s="5">
        <f t="shared" si="198"/>
        <v>2.5195613250949688E-28</v>
      </c>
      <c r="T733" s="5">
        <f t="shared" si="199"/>
        <v>7.1422929771830045E-22</v>
      </c>
      <c r="U733" s="5">
        <f t="shared" si="200"/>
        <v>2.0076262464911151E-11</v>
      </c>
    </row>
    <row r="734" spans="1:21">
      <c r="A734" s="19">
        <f t="shared" si="201"/>
        <v>60.000000000000611</v>
      </c>
      <c r="B734" s="10">
        <f t="shared" si="202"/>
        <v>1.0039036594054914E-20</v>
      </c>
      <c r="C734" s="10">
        <f t="shared" si="189"/>
        <v>5.3535523746492543E-2</v>
      </c>
      <c r="D734" s="10">
        <f t="shared" si="190"/>
        <v>5.3744508197293447E-22</v>
      </c>
      <c r="H734" s="19">
        <f t="shared" si="188"/>
        <v>60.000000000000611</v>
      </c>
      <c r="I734" s="10">
        <f t="shared" si="191"/>
        <v>3.2386996764776213E-7</v>
      </c>
      <c r="J734" s="10">
        <f t="shared" si="192"/>
        <v>3.2513424569312652E-27</v>
      </c>
      <c r="K734" s="10">
        <f t="shared" si="193"/>
        <v>1.0039033342712457E-20</v>
      </c>
      <c r="L734" s="10">
        <f t="shared" si="194"/>
        <v>2.8071192050638294E-10</v>
      </c>
      <c r="M734" s="10">
        <f t="shared" si="195"/>
        <v>0</v>
      </c>
      <c r="N734" s="10">
        <f t="shared" si="196"/>
        <v>0</v>
      </c>
      <c r="O734" s="10">
        <f t="shared" si="203"/>
        <v>0</v>
      </c>
      <c r="P734" s="10">
        <f t="shared" si="204"/>
        <v>3.282772579807564E-10</v>
      </c>
      <c r="Q734" s="10">
        <f t="shared" si="197"/>
        <v>3.3738898146917764</v>
      </c>
      <c r="S734" s="5">
        <f t="shared" si="198"/>
        <v>1.7406232131102315E-28</v>
      </c>
      <c r="T734" s="5">
        <f t="shared" si="199"/>
        <v>5.3744490791061315E-22</v>
      </c>
      <c r="U734" s="5">
        <f t="shared" si="200"/>
        <v>1.7574494940062241E-11</v>
      </c>
    </row>
    <row r="735" spans="1:21">
      <c r="M735" s="10"/>
      <c r="N735" s="10"/>
      <c r="O735" s="10"/>
      <c r="P735" s="10"/>
      <c r="Q735" s="87"/>
      <c r="S735" s="87"/>
      <c r="T735" s="87"/>
      <c r="U735" s="87"/>
    </row>
    <row r="736" spans="1:21">
      <c r="M736" s="10"/>
      <c r="N736" s="10"/>
      <c r="O736" s="10"/>
      <c r="P736" s="10"/>
      <c r="Q736" s="87"/>
    </row>
    <row r="737" spans="13:17">
      <c r="M737" s="10"/>
      <c r="N737" s="10"/>
      <c r="O737" s="10"/>
      <c r="P737" s="10"/>
      <c r="Q737" s="87"/>
    </row>
    <row r="738" spans="13:17">
      <c r="M738" s="10"/>
      <c r="N738" s="10"/>
      <c r="O738" s="10"/>
      <c r="P738" s="10"/>
      <c r="Q738" s="87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14"/>
  <sheetViews>
    <sheetView zoomScale="125" zoomScaleNormal="125" zoomScalePageLayoutView="125" workbookViewId="0"/>
  </sheetViews>
  <sheetFormatPr baseColWidth="10" defaultRowHeight="12" x14ac:dyDescent="0"/>
  <sheetData>
    <row r="1" spans="1:13" ht="15">
      <c r="A1" s="137" t="s">
        <v>736</v>
      </c>
      <c r="H1" s="10"/>
      <c r="I1" s="66"/>
    </row>
    <row r="2" spans="1:13">
      <c r="A2" s="19"/>
      <c r="H2" s="10"/>
      <c r="I2" s="66"/>
    </row>
    <row r="3" spans="1:13">
      <c r="A3" s="138" t="s">
        <v>9</v>
      </c>
      <c r="B3" s="51">
        <v>1E-4</v>
      </c>
      <c r="H3" s="10"/>
      <c r="I3" s="66"/>
    </row>
    <row r="4" spans="1:13">
      <c r="A4" s="138" t="s">
        <v>300</v>
      </c>
      <c r="B4" s="51">
        <v>4.0000000000000002E-4</v>
      </c>
      <c r="H4" s="10"/>
      <c r="I4" s="66"/>
    </row>
    <row r="5" spans="1:13">
      <c r="A5" s="138" t="s">
        <v>301</v>
      </c>
      <c r="B5" s="51">
        <v>2.9999999999999997E-4</v>
      </c>
      <c r="H5" s="10"/>
      <c r="I5" s="66"/>
    </row>
    <row r="6" spans="1:13">
      <c r="A6" s="138" t="s">
        <v>302</v>
      </c>
      <c r="B6" s="51">
        <v>1.075</v>
      </c>
      <c r="H6" s="10"/>
      <c r="I6" s="66"/>
    </row>
    <row r="7" spans="1:13">
      <c r="A7" s="138" t="s">
        <v>303</v>
      </c>
      <c r="B7" s="51">
        <v>1.07</v>
      </c>
      <c r="H7" s="10"/>
      <c r="I7" s="66"/>
    </row>
    <row r="8" spans="1:13">
      <c r="A8" s="52" t="s">
        <v>74</v>
      </c>
      <c r="B8" s="61">
        <v>0.05</v>
      </c>
      <c r="H8" s="10"/>
      <c r="I8" s="66"/>
    </row>
    <row r="9" spans="1:13">
      <c r="A9" s="134" t="s">
        <v>27</v>
      </c>
      <c r="B9" s="18">
        <f>EXP(-B3)</f>
        <v>0.99990000499983334</v>
      </c>
      <c r="H9" s="10"/>
      <c r="I9" s="66"/>
    </row>
    <row r="10" spans="1:13">
      <c r="A10" s="134" t="s">
        <v>245</v>
      </c>
      <c r="B10" s="18">
        <f>EXP(-B4/LN(B6))</f>
        <v>0.99448434453852164</v>
      </c>
      <c r="H10" s="10"/>
      <c r="I10" s="66"/>
    </row>
    <row r="11" spans="1:13">
      <c r="A11" s="134" t="s">
        <v>246</v>
      </c>
      <c r="B11" s="18">
        <f>EXP(-B5/LN(B7))</f>
        <v>0.99557579281807829</v>
      </c>
      <c r="G11" s="66" t="s">
        <v>120</v>
      </c>
      <c r="H11" s="10"/>
      <c r="I11" s="66"/>
    </row>
    <row r="12" spans="1:13">
      <c r="A12" s="19"/>
      <c r="G12" s="66" t="s">
        <v>121</v>
      </c>
      <c r="H12" s="10" t="s">
        <v>75</v>
      </c>
      <c r="I12" s="66" t="s">
        <v>92</v>
      </c>
    </row>
    <row r="13" spans="1:13">
      <c r="A13" s="19" t="s">
        <v>0</v>
      </c>
      <c r="B13" s="7" t="s">
        <v>249</v>
      </c>
      <c r="C13" s="7" t="s">
        <v>304</v>
      </c>
      <c r="D13" s="22" t="s">
        <v>305</v>
      </c>
      <c r="E13" s="22" t="s">
        <v>306</v>
      </c>
      <c r="F13" s="66" t="s">
        <v>85</v>
      </c>
      <c r="G13" s="66" t="s">
        <v>22</v>
      </c>
      <c r="H13" s="10" t="s">
        <v>86</v>
      </c>
      <c r="I13" s="66" t="s">
        <v>86</v>
      </c>
      <c r="K13" t="s">
        <v>307</v>
      </c>
      <c r="M13" s="5">
        <f>SUM(H13:H313)/12</f>
        <v>13.326627326787795</v>
      </c>
    </row>
    <row r="14" spans="1:13">
      <c r="A14" s="19">
        <v>0</v>
      </c>
      <c r="B14" s="10">
        <f t="shared" ref="B14:B77" si="0">(B$9^A14)*B$10^((B$6^28)*((B$6^A14)-1))</f>
        <v>1</v>
      </c>
      <c r="C14" s="10">
        <f t="shared" ref="C14:C77" si="1">(B$9^A14)*B$11^((B$7^24)*((B$7^A14)-1))</f>
        <v>1</v>
      </c>
      <c r="D14" s="10">
        <f>B$3+B$4*(B$6^(28+A14))</f>
        <v>3.1303792974256878E-3</v>
      </c>
      <c r="E14" s="10">
        <f>B$3+B$5*(B$7^(24+A14))</f>
        <v>1.6217100860157637E-3</v>
      </c>
      <c r="F14" s="10">
        <f>(1+B$8)^-A14</f>
        <v>1</v>
      </c>
      <c r="G14" s="66">
        <v>1</v>
      </c>
      <c r="H14" s="10">
        <f>B14*C14*F14</f>
        <v>1</v>
      </c>
      <c r="I14" s="10">
        <f>B14*C14*(D14+E14)*F14*G14</f>
        <v>4.7520893834414515E-3</v>
      </c>
      <c r="K14" t="s">
        <v>308</v>
      </c>
      <c r="M14" s="10">
        <f>SUM(I13:I1213)/36</f>
        <v>0.24846133277464702</v>
      </c>
    </row>
    <row r="15" spans="1:13">
      <c r="A15" s="19">
        <f>A14+1/12</f>
        <v>8.3333333333333329E-2</v>
      </c>
      <c r="B15" s="10">
        <f t="shared" si="0"/>
        <v>0.99973840678012671</v>
      </c>
      <c r="C15" s="10">
        <f t="shared" si="1"/>
        <v>0.99986450851076281</v>
      </c>
      <c r="D15" s="10">
        <f>B$3+B$4*(B$6^(28+A15))</f>
        <v>3.1486976948915148E-3</v>
      </c>
      <c r="E15" s="10">
        <f>B$3+B$5*(B$7^(24+A15))</f>
        <v>1.6303140560795797E-3</v>
      </c>
      <c r="F15" s="10">
        <f t="shared" ref="F15:F78" si="2">(1+B$8)^-A15</f>
        <v>0.99594240735106698</v>
      </c>
      <c r="G15" s="66">
        <v>4</v>
      </c>
      <c r="H15" s="10">
        <f t="shared" ref="H15:H78" si="3">B15*C15*F15</f>
        <v>0.99554696914979213</v>
      </c>
      <c r="I15" s="10">
        <f t="shared" ref="I15:I78" si="4">B15*C15*(D15+E15)*F15*G15</f>
        <v>1.9030922656842059E-2</v>
      </c>
      <c r="K15" s="135" t="s">
        <v>309</v>
      </c>
      <c r="L15" s="135"/>
      <c r="M15" s="136">
        <f>(100000*M14+250)/(0.97*M13)</f>
        <v>1941.3991037249125</v>
      </c>
    </row>
    <row r="16" spans="1:13">
      <c r="A16" s="19">
        <f t="shared" ref="A16:A79" si="5">A15+1/12</f>
        <v>0.16666666666666666</v>
      </c>
      <c r="B16" s="10">
        <f t="shared" si="0"/>
        <v>0.99947535165103363</v>
      </c>
      <c r="C16" s="10">
        <f t="shared" si="1"/>
        <v>0.9997283165519526</v>
      </c>
      <c r="D16" s="10">
        <f>B$3+B$4*(B$6^(28+A16))</f>
        <v>3.167126825586679E-3</v>
      </c>
      <c r="E16" s="10">
        <f>B$3+B$5*(B$7^(24+A16))</f>
        <v>1.6389666742410438E-3</v>
      </c>
      <c r="F16" s="10">
        <f t="shared" si="2"/>
        <v>0.99190127876023881</v>
      </c>
      <c r="G16" s="66">
        <f>IF(G15=4,2,4)</f>
        <v>2</v>
      </c>
      <c r="H16" s="10">
        <f t="shared" si="3"/>
        <v>0.99111153761635806</v>
      </c>
      <c r="I16" s="10">
        <f t="shared" si="4"/>
        <v>9.5267494370844755E-3</v>
      </c>
      <c r="K16" s="60" t="s">
        <v>230</v>
      </c>
      <c r="L16" s="60"/>
      <c r="M16" s="57">
        <f>M15/12</f>
        <v>161.7832586437427</v>
      </c>
    </row>
    <row r="17" spans="1:9">
      <c r="A17" s="19">
        <f t="shared" si="5"/>
        <v>0.25</v>
      </c>
      <c r="B17" s="10">
        <f t="shared" si="0"/>
        <v>0.99921082655449978</v>
      </c>
      <c r="C17" s="10">
        <f t="shared" si="1"/>
        <v>0.99959142035102044</v>
      </c>
      <c r="D17" s="10">
        <f t="shared" ref="D17:D80" si="6">B$3+B$4*(B$6^(28+A17))</f>
        <v>3.1856673588845827E-3</v>
      </c>
      <c r="E17" s="10">
        <f t="shared" ref="E17:E80" si="7">B$3+B$5*(B$7^(24+A17))</f>
        <v>1.6476682155635739E-3</v>
      </c>
      <c r="F17" s="10">
        <f t="shared" si="2"/>
        <v>0.98787654742307407</v>
      </c>
      <c r="G17" s="66">
        <f t="shared" ref="G17:G80" si="8">IF(G16=4,2,4)</f>
        <v>4</v>
      </c>
      <c r="H17" s="10">
        <f t="shared" si="3"/>
        <v>0.98669363376255481</v>
      </c>
      <c r="I17" s="10">
        <f t="shared" si="4"/>
        <v>1.9076085764584309E-2</v>
      </c>
    </row>
    <row r="18" spans="1:9">
      <c r="A18" s="19">
        <f t="shared" si="5"/>
        <v>0.33333333333333331</v>
      </c>
      <c r="B18" s="10">
        <f t="shared" si="0"/>
        <v>0.99894482339265578</v>
      </c>
      <c r="C18" s="10">
        <f t="shared" si="1"/>
        <v>0.99945381611615081</v>
      </c>
      <c r="D18" s="10">
        <f t="shared" si="6"/>
        <v>3.2043199682049404E-3</v>
      </c>
      <c r="E18" s="10">
        <f t="shared" si="7"/>
        <v>1.6564189566658364E-3</v>
      </c>
      <c r="F18" s="10">
        <f t="shared" si="2"/>
        <v>0.98386814680619694</v>
      </c>
      <c r="G18" s="66">
        <f t="shared" si="8"/>
        <v>2</v>
      </c>
      <c r="H18" s="10">
        <f t="shared" si="3"/>
        <v>0.98229318625069839</v>
      </c>
      <c r="I18" s="10">
        <f t="shared" si="4"/>
        <v>9.5493414520882187E-3</v>
      </c>
    </row>
    <row r="19" spans="1:9">
      <c r="A19" s="19">
        <f t="shared" si="5"/>
        <v>0.41666666666666663</v>
      </c>
      <c r="B19" s="10">
        <f t="shared" si="0"/>
        <v>0.99867733402784908</v>
      </c>
      <c r="C19" s="10">
        <f t="shared" si="1"/>
        <v>0.99931550003617586</v>
      </c>
      <c r="D19" s="10">
        <f t="shared" si="6"/>
        <v>3.2230853310382316E-3</v>
      </c>
      <c r="E19" s="10">
        <f t="shared" si="7"/>
        <v>1.6652191757305387E-3</v>
      </c>
      <c r="F19" s="10">
        <f t="shared" si="2"/>
        <v>0.97987601064619689</v>
      </c>
      <c r="G19" s="66">
        <f t="shared" si="8"/>
        <v>4</v>
      </c>
      <c r="H19" s="10">
        <f t="shared" si="3"/>
        <v>0.97791012404140709</v>
      </c>
      <c r="I19" s="10">
        <f t="shared" si="4"/>
        <v>1.912128986626567E-2</v>
      </c>
    </row>
    <row r="20" spans="1:9">
      <c r="A20" s="19">
        <f t="shared" si="5"/>
        <v>0.49999999999999994</v>
      </c>
      <c r="B20" s="10">
        <f t="shared" si="0"/>
        <v>0.99840835028250741</v>
      </c>
      <c r="C20" s="10">
        <f t="shared" si="1"/>
        <v>0.99917646828048923</v>
      </c>
      <c r="D20" s="10">
        <f t="shared" si="6"/>
        <v>3.2419641289703096E-3</v>
      </c>
      <c r="E20" s="10">
        <f t="shared" si="7"/>
        <v>1.6740691525132737E-3</v>
      </c>
      <c r="F20" s="10">
        <f t="shared" si="2"/>
        <v>0.97590007294853309</v>
      </c>
      <c r="G20" s="66">
        <f t="shared" si="8"/>
        <v>2</v>
      </c>
      <c r="H20" s="10">
        <f t="shared" si="3"/>
        <v>0.97354437639244773</v>
      </c>
      <c r="I20" s="10">
        <f t="shared" si="4"/>
        <v>9.5719531106929073E-3</v>
      </c>
    </row>
    <row r="21" spans="1:9">
      <c r="A21" s="19">
        <f t="shared" si="5"/>
        <v>0.58333333333333326</v>
      </c>
      <c r="B21" s="10">
        <f t="shared" si="0"/>
        <v>0.9981378639390045</v>
      </c>
      <c r="C21" s="10">
        <f t="shared" si="1"/>
        <v>0.9990367169989578</v>
      </c>
      <c r="D21" s="10">
        <f t="shared" si="6"/>
        <v>3.2609570477071651E-3</v>
      </c>
      <c r="E21" s="10">
        <f t="shared" si="7"/>
        <v>1.6829691683514136E-3</v>
      </c>
      <c r="F21" s="10">
        <f t="shared" si="2"/>
        <v>0.97194026798644406</v>
      </c>
      <c r="G21" s="66">
        <f t="shared" si="8"/>
        <v>4</v>
      </c>
      <c r="H21" s="10">
        <f t="shared" si="3"/>
        <v>0.96919587285758879</v>
      </c>
      <c r="I21" s="10">
        <f t="shared" si="4"/>
        <v>1.9166531537265642E-2</v>
      </c>
    </row>
    <row r="22" spans="1:9">
      <c r="A22" s="19">
        <f t="shared" si="5"/>
        <v>0.66666666666666663</v>
      </c>
      <c r="B22" s="10">
        <f t="shared" si="0"/>
        <v>0.99786586673952493</v>
      </c>
      <c r="C22" s="10">
        <f t="shared" si="1"/>
        <v>0.99889624232183638</v>
      </c>
      <c r="D22" s="10">
        <f t="shared" si="6"/>
        <v>3.2800647770998195E-3</v>
      </c>
      <c r="E22" s="10">
        <f t="shared" si="7"/>
        <v>1.6919195061730528E-3</v>
      </c>
      <c r="F22" s="10">
        <f t="shared" si="2"/>
        <v>0.96799653029986032</v>
      </c>
      <c r="G22" s="66">
        <f t="shared" si="8"/>
        <v>2</v>
      </c>
      <c r="H22" s="10">
        <f t="shared" si="3"/>
        <v>0.96486454328545701</v>
      </c>
      <c r="I22" s="10">
        <f t="shared" si="4"/>
        <v>9.5945826894051015E-3</v>
      </c>
    </row>
    <row r="23" spans="1:9">
      <c r="A23" s="19">
        <f t="shared" si="5"/>
        <v>0.75</v>
      </c>
      <c r="B23" s="10">
        <f t="shared" si="0"/>
        <v>0.99759235038593075</v>
      </c>
      <c r="C23" s="10">
        <f t="shared" si="1"/>
        <v>0.99875504035967932</v>
      </c>
      <c r="D23" s="10">
        <f t="shared" si="6"/>
        <v>3.2992880111693892E-3</v>
      </c>
      <c r="E23" s="10">
        <f t="shared" si="7"/>
        <v>1.7009204505060015E-3</v>
      </c>
      <c r="F23" s="10">
        <f t="shared" si="2"/>
        <v>0.96406879469432316</v>
      </c>
      <c r="G23" s="66">
        <f t="shared" si="8"/>
        <v>4</v>
      </c>
      <c r="H23" s="10">
        <f t="shared" si="3"/>
        <v>0.96055031781840128</v>
      </c>
      <c r="I23" s="10">
        <f t="shared" si="4"/>
        <v>1.9211807308082224E-2</v>
      </c>
    </row>
    <row r="24" spans="1:9">
      <c r="A24" s="19">
        <f t="shared" si="5"/>
        <v>0.83333333333333337</v>
      </c>
      <c r="B24" s="10">
        <f t="shared" si="0"/>
        <v>0.99731730653962669</v>
      </c>
      <c r="C24" s="10">
        <f t="shared" si="1"/>
        <v>0.99861310720325303</v>
      </c>
      <c r="D24" s="10">
        <f t="shared" si="6"/>
        <v>3.3186274481322962E-3</v>
      </c>
      <c r="E24" s="10">
        <f t="shared" si="7"/>
        <v>1.7099722874868327E-3</v>
      </c>
      <c r="F24" s="10">
        <f t="shared" si="2"/>
        <v>0.96015699623990569</v>
      </c>
      <c r="G24" s="66">
        <f t="shared" si="8"/>
        <v>2</v>
      </c>
      <c r="H24" s="10">
        <f t="shared" si="3"/>
        <v>0.956253126891358</v>
      </c>
      <c r="I24" s="10">
        <f t="shared" si="4"/>
        <v>9.617228442141695E-3</v>
      </c>
    </row>
    <row r="25" spans="1:9">
      <c r="A25" s="19">
        <f t="shared" si="5"/>
        <v>0.91666666666666674</v>
      </c>
      <c r="B25" s="10">
        <f t="shared" si="0"/>
        <v>0.9970407268214273</v>
      </c>
      <c r="C25" s="10">
        <f t="shared" si="1"/>
        <v>0.99847043892344856</v>
      </c>
      <c r="D25" s="10">
        <f t="shared" si="6"/>
        <v>3.338083790425619E-3</v>
      </c>
      <c r="E25" s="10">
        <f t="shared" si="7"/>
        <v>1.719075304869977E-3</v>
      </c>
      <c r="F25" s="10">
        <f t="shared" si="2"/>
        <v>0.95626107027014118</v>
      </c>
      <c r="G25" s="66">
        <f t="shared" si="8"/>
        <v>4</v>
      </c>
      <c r="H25" s="10">
        <f t="shared" si="3"/>
        <v>0.95197290123072631</v>
      </c>
      <c r="I25" s="10">
        <f t="shared" si="4"/>
        <v>1.9257113663735618E-2</v>
      </c>
    </row>
    <row r="26" spans="1:9">
      <c r="A26" s="19">
        <f t="shared" si="5"/>
        <v>1</v>
      </c>
      <c r="B26" s="10">
        <f t="shared" si="0"/>
        <v>0.99676260281142381</v>
      </c>
      <c r="C26" s="10">
        <f t="shared" si="1"/>
        <v>0.9983270315711934</v>
      </c>
      <c r="D26" s="10">
        <f t="shared" si="6"/>
        <v>3.357657744732615E-3</v>
      </c>
      <c r="E26" s="10">
        <f t="shared" si="7"/>
        <v>1.7282297920368673E-3</v>
      </c>
      <c r="F26" s="10">
        <f t="shared" si="2"/>
        <v>0.95238095238095233</v>
      </c>
      <c r="G26" s="66">
        <f t="shared" si="8"/>
        <v>2</v>
      </c>
      <c r="H26" s="10">
        <f t="shared" si="3"/>
        <v>0.947709571853243</v>
      </c>
      <c r="I26" s="10">
        <f t="shared" si="4"/>
        <v>9.6398885999311006E-3</v>
      </c>
    </row>
    <row r="27" spans="1:9">
      <c r="A27" s="19">
        <f t="shared" si="5"/>
        <v>1.0833333333333333</v>
      </c>
      <c r="B27" s="10">
        <f t="shared" si="0"/>
        <v>0.99648292604885158</v>
      </c>
      <c r="C27" s="10">
        <f t="shared" si="1"/>
        <v>0.99818288117736342</v>
      </c>
      <c r="D27" s="10">
        <f t="shared" si="6"/>
        <v>3.3773500220083781E-3</v>
      </c>
      <c r="E27" s="10">
        <f t="shared" si="7"/>
        <v>1.7374360400051504E-3</v>
      </c>
      <c r="F27" s="10">
        <f t="shared" si="2"/>
        <v>0.94851657842958759</v>
      </c>
      <c r="G27" s="66">
        <f t="shared" si="8"/>
        <v>4</v>
      </c>
      <c r="H27" s="10">
        <f t="shared" si="3"/>
        <v>0.9434630700648664</v>
      </c>
      <c r="I27" s="10">
        <f t="shared" si="4"/>
        <v>1.9302447043169087E-2</v>
      </c>
    </row>
    <row r="28" spans="1:9">
      <c r="A28" s="19">
        <f t="shared" si="5"/>
        <v>1.1666666666666665</v>
      </c>
      <c r="B28" s="10">
        <f t="shared" si="0"/>
        <v>0.99620168803195808</v>
      </c>
      <c r="C28" s="10">
        <f t="shared" si="1"/>
        <v>0.99803798375269404</v>
      </c>
      <c r="D28" s="10">
        <f t="shared" si="6"/>
        <v>3.3971613375056798E-3</v>
      </c>
      <c r="E28" s="10">
        <f t="shared" si="7"/>
        <v>1.7466943414379166E-3</v>
      </c>
      <c r="F28" s="10">
        <f t="shared" si="2"/>
        <v>0.94466788453356076</v>
      </c>
      <c r="G28" s="66">
        <f t="shared" si="8"/>
        <v>2</v>
      </c>
      <c r="H28" s="10">
        <f t="shared" si="3"/>
        <v>0.93923332745966337</v>
      </c>
      <c r="I28" s="10">
        <f t="shared" si="4"/>
        <v>9.6625613706129623E-3</v>
      </c>
    </row>
    <row r="29" spans="1:9">
      <c r="A29" s="19">
        <f t="shared" si="5"/>
        <v>1.2499999999999998</v>
      </c>
      <c r="B29" s="10">
        <f t="shared" si="0"/>
        <v>0.99591888021787123</v>
      </c>
      <c r="C29" s="10">
        <f t="shared" si="1"/>
        <v>0.99789233528769183</v>
      </c>
      <c r="D29" s="10">
        <f t="shared" si="6"/>
        <v>3.4170924108009259E-3</v>
      </c>
      <c r="E29" s="10">
        <f t="shared" si="7"/>
        <v>1.7560049906530243E-3</v>
      </c>
      <c r="F29" s="10">
        <f t="shared" si="2"/>
        <v>0.94083480706959433</v>
      </c>
      <c r="G29" s="66">
        <f t="shared" si="8"/>
        <v>4</v>
      </c>
      <c r="H29" s="10">
        <f t="shared" si="3"/>
        <v>0.93502027591870129</v>
      </c>
      <c r="I29" s="10">
        <f t="shared" si="4"/>
        <v>1.9347803838647155E-2</v>
      </c>
    </row>
    <row r="30" spans="1:9">
      <c r="A30" s="19">
        <f t="shared" si="5"/>
        <v>1.333333333333333</v>
      </c>
      <c r="B30" s="10">
        <f t="shared" si="0"/>
        <v>0.99563449402246795</v>
      </c>
      <c r="C30" s="10">
        <f t="shared" si="1"/>
        <v>0.997745931752545</v>
      </c>
      <c r="D30" s="10">
        <f t="shared" si="6"/>
        <v>3.437143965820311E-3</v>
      </c>
      <c r="E30" s="10">
        <f t="shared" si="7"/>
        <v>1.765368283632445E-3</v>
      </c>
      <c r="F30" s="10">
        <f t="shared" si="2"/>
        <v>0.93701728267256856</v>
      </c>
      <c r="G30" s="66">
        <f t="shared" si="8"/>
        <v>2</v>
      </c>
      <c r="H30" s="10">
        <f t="shared" si="3"/>
        <v>0.93082384760894421</v>
      </c>
      <c r="I30" s="10">
        <f t="shared" si="4"/>
        <v>9.6852449385365549E-3</v>
      </c>
    </row>
    <row r="31" spans="1:9">
      <c r="A31" s="19">
        <f t="shared" si="5"/>
        <v>1.4166666666666663</v>
      </c>
      <c r="B31" s="10">
        <f t="shared" si="0"/>
        <v>0.99534852082024461</v>
      </c>
      <c r="C31" s="10">
        <f t="shared" si="1"/>
        <v>0.9975987690970356</v>
      </c>
      <c r="D31" s="10">
        <f t="shared" si="6"/>
        <v>3.4573167308660992E-3</v>
      </c>
      <c r="E31" s="10">
        <f t="shared" si="7"/>
        <v>1.7747845180316768E-3</v>
      </c>
      <c r="F31" s="10">
        <f t="shared" si="2"/>
        <v>0.93321524823447322</v>
      </c>
      <c r="G31" s="66">
        <f t="shared" si="8"/>
        <v>4</v>
      </c>
      <c r="H31" s="10">
        <f t="shared" si="3"/>
        <v>0.92664397498215789</v>
      </c>
      <c r="I31" s="10">
        <f t="shared" si="4"/>
        <v>1.9393180395150991E-2</v>
      </c>
    </row>
    <row r="32" spans="1:9">
      <c r="A32" s="19">
        <f t="shared" si="5"/>
        <v>1.4999999999999996</v>
      </c>
      <c r="B32" s="10">
        <f t="shared" si="0"/>
        <v>0.99506095194418553</v>
      </c>
      <c r="C32" s="10">
        <f t="shared" si="1"/>
        <v>0.99745084325044819</v>
      </c>
      <c r="D32" s="10">
        <f t="shared" si="6"/>
        <v>3.4776114386430835E-3</v>
      </c>
      <c r="E32" s="10">
        <f t="shared" si="7"/>
        <v>1.7842539931892032E-3</v>
      </c>
      <c r="F32" s="10">
        <f t="shared" si="2"/>
        <v>0.92942864090336497</v>
      </c>
      <c r="G32" s="66">
        <f t="shared" si="8"/>
        <v>2</v>
      </c>
      <c r="H32" s="10">
        <f t="shared" si="3"/>
        <v>0.92248059077381306</v>
      </c>
      <c r="I32" s="10">
        <f t="shared" si="4"/>
        <v>9.7079374642579045E-3</v>
      </c>
    </row>
    <row r="33" spans="1:9">
      <c r="A33" s="19">
        <f t="shared" si="5"/>
        <v>1.5833333333333328</v>
      </c>
      <c r="B33" s="10">
        <f t="shared" si="0"/>
        <v>0.99477177868563471</v>
      </c>
      <c r="C33" s="10">
        <f t="shared" si="1"/>
        <v>0.99730215012148182</v>
      </c>
      <c r="D33" s="10">
        <f t="shared" si="6"/>
        <v>3.4980288262852028E-3</v>
      </c>
      <c r="E33" s="10">
        <f t="shared" si="7"/>
        <v>1.7937770101360128E-3</v>
      </c>
      <c r="F33" s="10">
        <f t="shared" si="2"/>
        <v>0.92565739808232761</v>
      </c>
      <c r="G33" s="66">
        <f t="shared" si="8"/>
        <v>4</v>
      </c>
      <c r="H33" s="10">
        <f t="shared" si="3"/>
        <v>0.91833362800199902</v>
      </c>
      <c r="I33" s="10">
        <f t="shared" si="4"/>
        <v>1.9438573009771393E-2</v>
      </c>
    </row>
    <row r="34" spans="1:9">
      <c r="A34" s="19">
        <f t="shared" si="5"/>
        <v>1.6666666666666661</v>
      </c>
      <c r="B34" s="10">
        <f t="shared" si="0"/>
        <v>0.99448099229416631</v>
      </c>
      <c r="C34" s="10">
        <f t="shared" si="1"/>
        <v>0.99715268559815973</v>
      </c>
      <c r="D34" s="10">
        <f t="shared" si="6"/>
        <v>3.5185696353823045E-3</v>
      </c>
      <c r="E34" s="10">
        <f t="shared" si="7"/>
        <v>1.8033538716051662E-3</v>
      </c>
      <c r="F34" s="10">
        <f t="shared" si="2"/>
        <v>0.92190145742843832</v>
      </c>
      <c r="G34" s="66">
        <f t="shared" si="8"/>
        <v>2</v>
      </c>
      <c r="H34" s="10">
        <f t="shared" si="3"/>
        <v>0.91420301996634046</v>
      </c>
      <c r="I34" s="10">
        <f t="shared" si="4"/>
        <v>9.7306370842356049E-3</v>
      </c>
    </row>
    <row r="35" spans="1:9">
      <c r="A35" s="19">
        <f t="shared" si="5"/>
        <v>1.7499999999999993</v>
      </c>
      <c r="B35" s="10">
        <f t="shared" si="0"/>
        <v>0.9941885839774558</v>
      </c>
      <c r="C35" s="10">
        <f t="shared" si="1"/>
        <v>0.99700244554773843</v>
      </c>
      <c r="D35" s="10">
        <f t="shared" si="6"/>
        <v>3.5392346120070931E-3</v>
      </c>
      <c r="E35" s="10">
        <f t="shared" si="7"/>
        <v>1.8129848820414218E-3</v>
      </c>
      <c r="F35" s="10">
        <f t="shared" si="2"/>
        <v>0.91816075685173626</v>
      </c>
      <c r="G35" s="66">
        <f t="shared" si="8"/>
        <v>4</v>
      </c>
      <c r="H35" s="10">
        <f t="shared" si="3"/>
        <v>0.91008870024691668</v>
      </c>
      <c r="I35" s="10">
        <f t="shared" si="4"/>
        <v>1.9483977931099291E-2</v>
      </c>
    </row>
    <row r="36" spans="1:9">
      <c r="A36" s="19">
        <f t="shared" si="5"/>
        <v>1.8333333333333326</v>
      </c>
      <c r="B36" s="10">
        <f t="shared" si="0"/>
        <v>0.99389454490115325</v>
      </c>
      <c r="C36" s="10">
        <f t="shared" si="1"/>
        <v>0.99685142581661867</v>
      </c>
      <c r="D36" s="10">
        <f t="shared" si="6"/>
        <v>3.5600245067422187E-3</v>
      </c>
      <c r="E36" s="10">
        <f t="shared" si="7"/>
        <v>1.8226703476109112E-3</v>
      </c>
      <c r="F36" s="10">
        <f t="shared" si="2"/>
        <v>0.91443523451419584</v>
      </c>
      <c r="G36" s="66">
        <f t="shared" si="8"/>
        <v>2</v>
      </c>
      <c r="H36" s="10">
        <f t="shared" si="3"/>
        <v>0.90599060270318976</v>
      </c>
      <c r="I36" s="10">
        <f t="shared" si="4"/>
        <v>9.7533419105255009E-3</v>
      </c>
    </row>
    <row r="37" spans="1:9">
      <c r="A37" s="19">
        <f t="shared" si="5"/>
        <v>1.9166666666666659</v>
      </c>
      <c r="B37" s="10">
        <f t="shared" si="0"/>
        <v>0.99359886618875559</v>
      </c>
      <c r="C37" s="10">
        <f t="shared" si="1"/>
        <v>0.99669962223025454</v>
      </c>
      <c r="D37" s="10">
        <f t="shared" si="6"/>
        <v>3.5809400747075387E-3</v>
      </c>
      <c r="E37" s="10">
        <f t="shared" si="7"/>
        <v>1.832410576210875E-3</v>
      </c>
      <c r="F37" s="10">
        <f t="shared" si="2"/>
        <v>0.91072482882870598</v>
      </c>
      <c r="G37" s="66">
        <f t="shared" si="8"/>
        <v>4</v>
      </c>
      <c r="H37" s="10">
        <f t="shared" si="3"/>
        <v>0.9019086614729348</v>
      </c>
      <c r="I37" s="10">
        <f t="shared" si="4"/>
        <v>1.9529391358613868E-2</v>
      </c>
    </row>
    <row r="38" spans="1:9">
      <c r="A38" s="19">
        <f t="shared" si="5"/>
        <v>1.9999999999999991</v>
      </c>
      <c r="B38" s="10">
        <f t="shared" si="0"/>
        <v>0.99330153892147988</v>
      </c>
      <c r="C38" s="10">
        <f t="shared" si="1"/>
        <v>0.99654703059306227</v>
      </c>
      <c r="D38" s="10">
        <f t="shared" si="6"/>
        <v>3.6019820755875606E-3</v>
      </c>
      <c r="E38" s="10">
        <f t="shared" si="7"/>
        <v>1.8422058774794478E-3</v>
      </c>
      <c r="F38" s="10">
        <f t="shared" si="2"/>
        <v>0.90702947845804982</v>
      </c>
      <c r="G38" s="66">
        <f t="shared" si="8"/>
        <v>2</v>
      </c>
      <c r="H38" s="10">
        <f t="shared" si="3"/>
        <v>0.89784281097117435</v>
      </c>
      <c r="I38" s="10">
        <f t="shared" si="4"/>
        <v>9.7760500304741732E-3</v>
      </c>
    </row>
    <row r="39" spans="1:9">
      <c r="A39" s="19">
        <f t="shared" si="5"/>
        <v>2.0833333333333326</v>
      </c>
      <c r="B39" s="10">
        <f t="shared" si="0"/>
        <v>0.99300255413813787</v>
      </c>
      <c r="C39" s="10">
        <f t="shared" si="1"/>
        <v>0.99639364668832953</v>
      </c>
      <c r="D39" s="10">
        <f t="shared" si="6"/>
        <v>3.6231512736590067E-3</v>
      </c>
      <c r="E39" s="10">
        <f t="shared" si="7"/>
        <v>1.8520565628055109E-3</v>
      </c>
      <c r="F39" s="10">
        <f t="shared" si="2"/>
        <v>0.90334912231389286</v>
      </c>
      <c r="G39" s="66">
        <f t="shared" si="8"/>
        <v>4</v>
      </c>
      <c r="H39" s="10">
        <f t="shared" si="3"/>
        <v>0.89379298588912004</v>
      </c>
      <c r="I39" s="10">
        <f t="shared" si="4"/>
        <v>1.9574809442068519E-2</v>
      </c>
    </row>
    <row r="40" spans="1:9">
      <c r="A40" s="19">
        <f t="shared" si="5"/>
        <v>2.1666666666666661</v>
      </c>
      <c r="B40" s="10">
        <f t="shared" si="0"/>
        <v>0.99270190283501059</v>
      </c>
      <c r="C40" s="10">
        <f t="shared" si="1"/>
        <v>0.99623946627812476</v>
      </c>
      <c r="D40" s="10">
        <f t="shared" si="6"/>
        <v>3.6444484378186045E-3</v>
      </c>
      <c r="E40" s="10">
        <f t="shared" si="7"/>
        <v>1.8619629453385707E-3</v>
      </c>
      <c r="F40" s="10">
        <f t="shared" si="2"/>
        <v>0.89968369955577199</v>
      </c>
      <c r="G40" s="66">
        <f t="shared" si="8"/>
        <v>2</v>
      </c>
      <c r="H40" s="10">
        <f t="shared" si="3"/>
        <v>0.88975912119311729</v>
      </c>
      <c r="I40" s="10">
        <f t="shared" si="4"/>
        <v>9.7987595064114117E-3</v>
      </c>
    </row>
    <row r="41" spans="1:9">
      <c r="A41" s="19">
        <f t="shared" si="5"/>
        <v>2.2499999999999996</v>
      </c>
      <c r="B41" s="10">
        <f t="shared" si="0"/>
        <v>0.99239957596572381</v>
      </c>
      <c r="C41" s="10">
        <f t="shared" si="1"/>
        <v>0.99608448510320535</v>
      </c>
      <c r="D41" s="10">
        <f t="shared" si="6"/>
        <v>3.6658743416109955E-3</v>
      </c>
      <c r="E41" s="10">
        <f t="shared" si="7"/>
        <v>1.871925339998736E-3</v>
      </c>
      <c r="F41" s="10">
        <f t="shared" si="2"/>
        <v>0.89603314959008984</v>
      </c>
      <c r="G41" s="66">
        <f t="shared" si="8"/>
        <v>4</v>
      </c>
      <c r="H41" s="10">
        <f t="shared" si="3"/>
        <v>0.88574115212359417</v>
      </c>
      <c r="I41" s="10">
        <f t="shared" si="4"/>
        <v>1.9620228280874705E-2</v>
      </c>
    </row>
    <row r="42" spans="1:9">
      <c r="A42" s="19">
        <f t="shared" si="5"/>
        <v>2.333333333333333</v>
      </c>
      <c r="B42" s="10">
        <f t="shared" si="0"/>
        <v>0.99209556444112434</v>
      </c>
      <c r="C42" s="10">
        <f t="shared" si="1"/>
        <v>0.99592869888292601</v>
      </c>
      <c r="D42" s="10">
        <f t="shared" si="6"/>
        <v>3.6874297632568344E-3</v>
      </c>
      <c r="E42" s="10">
        <f t="shared" si="7"/>
        <v>1.8819440634867163E-3</v>
      </c>
      <c r="F42" s="10">
        <f t="shared" si="2"/>
        <v>0.89239741206911283</v>
      </c>
      <c r="G42" s="66">
        <f t="shared" si="8"/>
        <v>2</v>
      </c>
      <c r="H42" s="10">
        <f t="shared" si="3"/>
        <v>0.88173901419401601</v>
      </c>
      <c r="I42" s="10">
        <f t="shared" si="4"/>
        <v>9.8214683753416274E-3</v>
      </c>
    </row>
    <row r="43" spans="1:9">
      <c r="A43" s="19">
        <f t="shared" si="5"/>
        <v>2.4166666666666665</v>
      </c>
      <c r="B43" s="10">
        <f t="shared" si="0"/>
        <v>0.99178985912915685</v>
      </c>
      <c r="C43" s="10">
        <f t="shared" si="1"/>
        <v>0.99577210331514754</v>
      </c>
      <c r="D43" s="10">
        <f t="shared" si="6"/>
        <v>3.7091154856810559E-3</v>
      </c>
      <c r="E43" s="10">
        <f t="shared" si="7"/>
        <v>1.8920194342938942E-3</v>
      </c>
      <c r="F43" s="10">
        <f t="shared" si="2"/>
        <v>0.88877642688997438</v>
      </c>
      <c r="G43" s="66">
        <f t="shared" si="8"/>
        <v>4</v>
      </c>
      <c r="H43" s="10">
        <f t="shared" si="3"/>
        <v>0.87775264318984536</v>
      </c>
      <c r="I43" s="10">
        <f t="shared" si="4"/>
        <v>1.9665643923483824E-2</v>
      </c>
    </row>
    <row r="44" spans="1:9">
      <c r="A44" s="19">
        <f t="shared" si="5"/>
        <v>2.5</v>
      </c>
      <c r="B44" s="10">
        <f t="shared" si="0"/>
        <v>0.99148245085474207</v>
      </c>
      <c r="C44" s="10">
        <f t="shared" si="1"/>
        <v>0.995614694076144</v>
      </c>
      <c r="D44" s="10">
        <f t="shared" si="6"/>
        <v>3.7309322965413147E-3</v>
      </c>
      <c r="E44" s="10">
        <f t="shared" si="7"/>
        <v>1.9021517727124473E-3</v>
      </c>
      <c r="F44" s="10">
        <f t="shared" si="2"/>
        <v>0.88517013419368074</v>
      </c>
      <c r="G44" s="66">
        <f t="shared" si="8"/>
        <v>2</v>
      </c>
      <c r="H44" s="10">
        <f t="shared" si="3"/>
        <v>0.87378197516750422</v>
      </c>
      <c r="I44" s="10">
        <f t="shared" si="4"/>
        <v>9.8441746486343084E-3</v>
      </c>
    </row>
    <row r="45" spans="1:9">
      <c r="A45" s="19">
        <f t="shared" si="5"/>
        <v>2.5833333333333335</v>
      </c>
      <c r="B45" s="10">
        <f t="shared" si="0"/>
        <v>0.99117333039965394</v>
      </c>
      <c r="C45" s="10">
        <f t="shared" si="1"/>
        <v>0.99545646682051125</v>
      </c>
      <c r="D45" s="10">
        <f t="shared" si="6"/>
        <v>3.752880988256593E-3</v>
      </c>
      <c r="E45" s="10">
        <f t="shared" si="7"/>
        <v>1.9123414008455338E-3</v>
      </c>
      <c r="F45" s="10">
        <f t="shared" si="2"/>
        <v>0.8815784743641214</v>
      </c>
      <c r="G45" s="66">
        <f t="shared" si="8"/>
        <v>4</v>
      </c>
      <c r="H45" s="10">
        <f t="shared" si="3"/>
        <v>0.86982694645334213</v>
      </c>
      <c r="I45" s="10">
        <f t="shared" si="4"/>
        <v>1.9711052366767241E-2</v>
      </c>
    </row>
    <row r="46" spans="1:9">
      <c r="A46" s="19">
        <f t="shared" si="5"/>
        <v>2.666666666666667</v>
      </c>
      <c r="B46" s="10">
        <f t="shared" si="0"/>
        <v>0.99086248850240077</v>
      </c>
      <c r="C46" s="10">
        <f t="shared" si="1"/>
        <v>0.99529741718107445</v>
      </c>
      <c r="D46" s="10">
        <f t="shared" si="6"/>
        <v>3.7749623580359787E-3</v>
      </c>
      <c r="E46" s="10">
        <f t="shared" si="7"/>
        <v>1.9225886426175282E-3</v>
      </c>
      <c r="F46" s="10">
        <f t="shared" si="2"/>
        <v>0.87800138802708416</v>
      </c>
      <c r="G46" s="66">
        <f t="shared" si="8"/>
        <v>2</v>
      </c>
      <c r="H46" s="10">
        <f t="shared" si="3"/>
        <v>0.86588749364261108</v>
      </c>
      <c r="I46" s="10">
        <f t="shared" si="4"/>
        <v>9.8668763117136325E-3</v>
      </c>
    </row>
    <row r="47" spans="1:9">
      <c r="A47" s="19">
        <f t="shared" si="5"/>
        <v>2.7500000000000004</v>
      </c>
      <c r="B47" s="10">
        <f t="shared" si="0"/>
        <v>0.99054991585810359</v>
      </c>
      <c r="C47" s="10">
        <f t="shared" si="1"/>
        <v>0.99513754076879546</v>
      </c>
      <c r="D47" s="10">
        <f t="shared" si="6"/>
        <v>3.7971772079076252E-3</v>
      </c>
      <c r="E47" s="10">
        <f t="shared" si="7"/>
        <v>1.9328938237843213E-3</v>
      </c>
      <c r="F47" s="10">
        <f t="shared" si="2"/>
        <v>0.87443881604927254</v>
      </c>
      <c r="G47" s="66">
        <f t="shared" si="8"/>
        <v>4</v>
      </c>
      <c r="H47" s="10">
        <f t="shared" si="3"/>
        <v>0.86196355359844012</v>
      </c>
      <c r="I47" s="10">
        <f t="shared" si="4"/>
        <v>1.9756449555394684E-2</v>
      </c>
    </row>
    <row r="48" spans="1:9">
      <c r="A48" s="19">
        <f t="shared" si="5"/>
        <v>2.8333333333333339</v>
      </c>
      <c r="B48" s="10">
        <f t="shared" si="0"/>
        <v>0.99023560311837788</v>
      </c>
      <c r="C48" s="10">
        <f t="shared" si="1"/>
        <v>0.99497683317267971</v>
      </c>
      <c r="D48" s="10">
        <f t="shared" si="6"/>
        <v>3.8195263447478845E-3</v>
      </c>
      <c r="E48" s="10">
        <f t="shared" si="7"/>
        <v>1.9432572719436756E-3</v>
      </c>
      <c r="F48" s="10">
        <f t="shared" si="2"/>
        <v>0.87089069953732934</v>
      </c>
      <c r="G48" s="66">
        <f t="shared" si="8"/>
        <v>2</v>
      </c>
      <c r="H48" s="10">
        <f t="shared" si="3"/>
        <v>0.85805506345081883</v>
      </c>
      <c r="I48" s="10">
        <f t="shared" si="4"/>
        <v>9.8895713237472319E-3</v>
      </c>
    </row>
    <row r="49" spans="1:9">
      <c r="A49" s="19">
        <f t="shared" si="5"/>
        <v>2.9166666666666674</v>
      </c>
      <c r="B49" s="10">
        <f t="shared" si="0"/>
        <v>0.98991954089121548</v>
      </c>
      <c r="C49" s="10">
        <f t="shared" si="1"/>
        <v>0.99481528995968371</v>
      </c>
      <c r="D49" s="10">
        <f t="shared" si="6"/>
        <v>3.8420105803106063E-3</v>
      </c>
      <c r="E49" s="10">
        <f t="shared" si="7"/>
        <v>1.9536793165456368E-3</v>
      </c>
      <c r="F49" s="10">
        <f t="shared" si="2"/>
        <v>0.86735697983686277</v>
      </c>
      <c r="G49" s="66">
        <f t="shared" si="8"/>
        <v>4</v>
      </c>
      <c r="H49" s="10">
        <f t="shared" si="3"/>
        <v>0.8541619605955838</v>
      </c>
      <c r="I49" s="10">
        <f t="shared" si="4"/>
        <v>1.9801831381210985E-2</v>
      </c>
    </row>
    <row r="50" spans="1:9">
      <c r="A50" s="19">
        <f t="shared" si="5"/>
        <v>3.0000000000000009</v>
      </c>
      <c r="B50" s="10">
        <f t="shared" si="0"/>
        <v>0.98960171974086608</v>
      </c>
      <c r="C50" s="10">
        <f t="shared" si="1"/>
        <v>0.99465290667462181</v>
      </c>
      <c r="D50" s="10">
        <f t="shared" si="6"/>
        <v>3.8646307312566277E-3</v>
      </c>
      <c r="E50" s="10">
        <f t="shared" si="7"/>
        <v>1.9641602889030095E-3</v>
      </c>
      <c r="F50" s="10">
        <f t="shared" si="2"/>
        <v>0.86383759853147601</v>
      </c>
      <c r="G50" s="66">
        <f t="shared" si="8"/>
        <v>2</v>
      </c>
      <c r="H50" s="10">
        <f t="shared" si="3"/>
        <v>0.85028418269340833</v>
      </c>
      <c r="I50" s="10">
        <f t="shared" si="4"/>
        <v>9.9122576173342313E-3</v>
      </c>
    </row>
    <row r="51" spans="1:9">
      <c r="A51" s="19">
        <f t="shared" si="5"/>
        <v>3.0833333333333344</v>
      </c>
      <c r="B51" s="10">
        <f t="shared" si="0"/>
        <v>0.98928213018772237</v>
      </c>
      <c r="C51" s="10">
        <f t="shared" si="1"/>
        <v>0.99448967884007267</v>
      </c>
      <c r="D51" s="10">
        <f t="shared" si="6"/>
        <v>3.8873876191834319E-3</v>
      </c>
      <c r="E51" s="10">
        <f t="shared" si="7"/>
        <v>1.974700522201897E-3</v>
      </c>
      <c r="F51" s="10">
        <f t="shared" si="2"/>
        <v>0.86033249744180262</v>
      </c>
      <c r="G51" s="66">
        <f t="shared" si="8"/>
        <v>4</v>
      </c>
      <c r="H51" s="10">
        <f t="shared" si="3"/>
        <v>0.84642166766879945</v>
      </c>
      <c r="I51" s="10">
        <f t="shared" si="4"/>
        <v>1.9847193682611453E-2</v>
      </c>
    </row>
    <row r="52" spans="1:9">
      <c r="A52" s="19">
        <f t="shared" si="5"/>
        <v>3.1666666666666679</v>
      </c>
      <c r="B52" s="10">
        <f t="shared" si="0"/>
        <v>0.98896076270820343</v>
      </c>
      <c r="C52" s="10">
        <f t="shared" si="1"/>
        <v>0.99432560195628583</v>
      </c>
      <c r="D52" s="10">
        <f t="shared" si="6"/>
        <v>3.9102820706550011E-3</v>
      </c>
      <c r="E52" s="10">
        <f t="shared" si="7"/>
        <v>1.9853003515122709E-3</v>
      </c>
      <c r="F52" s="10">
        <f t="shared" si="2"/>
        <v>0.85684161862454467</v>
      </c>
      <c r="G52" s="66">
        <f t="shared" si="8"/>
        <v>2</v>
      </c>
      <c r="H52" s="10">
        <f t="shared" si="3"/>
        <v>0.8425743537090975</v>
      </c>
      <c r="I52" s="10">
        <f t="shared" si="4"/>
        <v>9.9349330981926085E-3</v>
      </c>
    </row>
    <row r="53" spans="1:9">
      <c r="A53" s="19">
        <f t="shared" si="5"/>
        <v>3.2500000000000013</v>
      </c>
      <c r="B53" s="10">
        <f t="shared" si="0"/>
        <v>0.98863760773464027</v>
      </c>
      <c r="C53" s="10">
        <f t="shared" si="1"/>
        <v>0.99416067150108822</v>
      </c>
      <c r="D53" s="10">
        <f t="shared" si="6"/>
        <v>3.9333149172318203E-3</v>
      </c>
      <c r="E53" s="10">
        <f t="shared" si="7"/>
        <v>1.9959601137986473E-3</v>
      </c>
      <c r="F53" s="10">
        <f t="shared" si="2"/>
        <v>0.85336490437151402</v>
      </c>
      <c r="G53" s="66">
        <f t="shared" si="8"/>
        <v>4</v>
      </c>
      <c r="H53" s="10">
        <f t="shared" si="3"/>
        <v>0.83874217926347971</v>
      </c>
      <c r="I53" s="10">
        <f t="shared" si="4"/>
        <v>1.9892532243916124E-2</v>
      </c>
    </row>
    <row r="54" spans="1:9">
      <c r="A54" s="19">
        <f t="shared" si="5"/>
        <v>3.3333333333333348</v>
      </c>
      <c r="B54" s="10">
        <f t="shared" si="0"/>
        <v>0.98831265565516191</v>
      </c>
      <c r="C54" s="10">
        <f t="shared" si="1"/>
        <v>0.99399488292978988</v>
      </c>
      <c r="D54" s="10">
        <f t="shared" si="6"/>
        <v>3.9564869955010969E-3</v>
      </c>
      <c r="E54" s="10">
        <f t="shared" si="7"/>
        <v>2.0066801479307868E-3</v>
      </c>
      <c r="F54" s="10">
        <f t="shared" si="2"/>
        <v>0.84990229720867871</v>
      </c>
      <c r="G54" s="66">
        <f t="shared" si="8"/>
        <v>2</v>
      </c>
      <c r="H54" s="10">
        <f t="shared" si="3"/>
        <v>0.83492508304196922</v>
      </c>
      <c r="I54" s="10">
        <f t="shared" si="4"/>
        <v>9.9575956448460165E-3</v>
      </c>
    </row>
    <row r="55" spans="1:9">
      <c r="A55" s="19">
        <f t="shared" si="5"/>
        <v>3.4166666666666683</v>
      </c>
      <c r="B55" s="10">
        <f t="shared" si="0"/>
        <v>0.98798589681358351</v>
      </c>
      <c r="C55" s="10">
        <f t="shared" si="1"/>
        <v>0.99382823167509005</v>
      </c>
      <c r="D55" s="10">
        <f t="shared" si="6"/>
        <v>3.9797991471071355E-3</v>
      </c>
      <c r="E55" s="10">
        <f t="shared" si="7"/>
        <v>2.0174607946944669E-3</v>
      </c>
      <c r="F55" s="10">
        <f t="shared" si="2"/>
        <v>0.84645373989521355</v>
      </c>
      <c r="G55" s="66">
        <f t="shared" si="8"/>
        <v>4</v>
      </c>
      <c r="H55" s="10">
        <f t="shared" si="3"/>
        <v>0.83112300401444927</v>
      </c>
      <c r="I55" s="10">
        <f t="shared" si="4"/>
        <v>1.9937842794742675E-2</v>
      </c>
    </row>
    <row r="56" spans="1:9">
      <c r="A56" s="19">
        <f t="shared" si="5"/>
        <v>3.5000000000000018</v>
      </c>
      <c r="B56" s="10">
        <f t="shared" si="0"/>
        <v>0.98765732150929408</v>
      </c>
      <c r="C56" s="10">
        <f t="shared" si="1"/>
        <v>0.99366071314698357</v>
      </c>
      <c r="D56" s="10">
        <f t="shared" si="6"/>
        <v>4.0032522187819133E-3</v>
      </c>
      <c r="E56" s="10">
        <f t="shared" si="7"/>
        <v>2.0283023968023189E-3</v>
      </c>
      <c r="F56" s="10">
        <f t="shared" si="2"/>
        <v>0.843019175422553</v>
      </c>
      <c r="G56" s="66">
        <f t="shared" si="8"/>
        <v>2</v>
      </c>
      <c r="H56" s="10">
        <f t="shared" si="3"/>
        <v>0.82733588140968073</v>
      </c>
      <c r="I56" s="10">
        <f t="shared" si="4"/>
        <v>9.980243108310017E-3</v>
      </c>
    </row>
    <row r="57" spans="1:9">
      <c r="A57" s="19">
        <f t="shared" si="5"/>
        <v>3.5833333333333353</v>
      </c>
      <c r="B57" s="10">
        <f t="shared" si="0"/>
        <v>0.98732691999714584</v>
      </c>
      <c r="C57" s="10">
        <f t="shared" si="1"/>
        <v>0.99349232273266508</v>
      </c>
      <c r="D57" s="10">
        <f t="shared" si="6"/>
        <v>4.0268470623758381E-3</v>
      </c>
      <c r="E57" s="10">
        <f t="shared" si="7"/>
        <v>2.0392052989047214E-3</v>
      </c>
      <c r="F57" s="10">
        <f t="shared" si="2"/>
        <v>0.83959854701344894</v>
      </c>
      <c r="G57" s="66">
        <f t="shared" si="8"/>
        <v>4</v>
      </c>
      <c r="H57" s="10">
        <f t="shared" si="3"/>
        <v>0.82356365471432247</v>
      </c>
      <c r="I57" s="10">
        <f t="shared" si="4"/>
        <v>1.9983121009378654E-2</v>
      </c>
    </row>
    <row r="58" spans="1:9">
      <c r="A58" s="19">
        <f t="shared" si="5"/>
        <v>3.6666666666666687</v>
      </c>
      <c r="B58" s="10">
        <f t="shared" si="0"/>
        <v>0.9869946824873449</v>
      </c>
      <c r="C58" s="10">
        <f t="shared" si="1"/>
        <v>0.99332305579643576</v>
      </c>
      <c r="D58" s="10">
        <f t="shared" si="6"/>
        <v>4.0505845348886779E-3</v>
      </c>
      <c r="E58" s="10">
        <f t="shared" si="7"/>
        <v>2.0501698476007553E-3</v>
      </c>
      <c r="F58" s="10">
        <f t="shared" si="2"/>
        <v>0.83619179812103239</v>
      </c>
      <c r="G58" s="66">
        <f t="shared" si="8"/>
        <v>2</v>
      </c>
      <c r="H58" s="10">
        <f t="shared" si="3"/>
        <v>0.81980626367196052</v>
      </c>
      <c r="I58" s="10">
        <f t="shared" si="4"/>
        <v>1.0002873311778003E-2</v>
      </c>
    </row>
    <row r="59" spans="1:9">
      <c r="A59" s="19">
        <f t="shared" si="5"/>
        <v>3.7500000000000022</v>
      </c>
      <c r="B59" s="10">
        <f t="shared" si="0"/>
        <v>0.98666059914534288</v>
      </c>
      <c r="C59" s="10">
        <f t="shared" si="1"/>
        <v>0.99315290767960818</v>
      </c>
      <c r="D59" s="10">
        <f t="shared" si="6"/>
        <v>4.0744654985007001E-3</v>
      </c>
      <c r="E59" s="10">
        <f t="shared" si="7"/>
        <v>2.0611963914492241E-3</v>
      </c>
      <c r="F59" s="10">
        <f t="shared" si="2"/>
        <v>0.83279887242787853</v>
      </c>
      <c r="G59" s="66">
        <f t="shared" si="8"/>
        <v>4</v>
      </c>
      <c r="H59" s="10">
        <f t="shared" si="3"/>
        <v>0.81606364828213729</v>
      </c>
      <c r="I59" s="10">
        <f t="shared" si="4"/>
        <v>2.0028362506152832E-2</v>
      </c>
    </row>
    <row r="60" spans="1:9">
      <c r="A60" s="19">
        <f t="shared" si="5"/>
        <v>3.8333333333333357</v>
      </c>
      <c r="B60" s="10">
        <f t="shared" si="0"/>
        <v>0.98632466009172903</v>
      </c>
      <c r="C60" s="10">
        <f t="shared" si="1"/>
        <v>0.9929818737004108</v>
      </c>
      <c r="D60" s="10">
        <f t="shared" si="6"/>
        <v>4.0984908206039769E-3</v>
      </c>
      <c r="E60" s="10">
        <f t="shared" si="7"/>
        <v>2.0722852809797326E-3</v>
      </c>
      <c r="F60" s="10">
        <f t="shared" si="2"/>
        <v>0.82941971384507551</v>
      </c>
      <c r="G60" s="66">
        <f t="shared" si="8"/>
        <v>2</v>
      </c>
      <c r="H60" s="10">
        <f t="shared" si="3"/>
        <v>0.81233574879938608</v>
      </c>
      <c r="I60" s="10">
        <f t="shared" si="4"/>
        <v>1.0025484050306718E-2</v>
      </c>
    </row>
    <row r="61" spans="1:9">
      <c r="A61" s="19">
        <f t="shared" si="5"/>
        <v>3.9166666666666692</v>
      </c>
      <c r="B61" s="10">
        <f t="shared" si="0"/>
        <v>0.98598685540212438</v>
      </c>
      <c r="C61" s="10">
        <f t="shared" si="1"/>
        <v>0.99280994915389409</v>
      </c>
      <c r="D61" s="10">
        <f t="shared" si="6"/>
        <v>4.1226613738339019E-3</v>
      </c>
      <c r="E61" s="10">
        <f t="shared" si="7"/>
        <v>2.0834368687038312E-3</v>
      </c>
      <c r="F61" s="10">
        <f t="shared" si="2"/>
        <v>0.82605426651129765</v>
      </c>
      <c r="G61" s="66">
        <f t="shared" si="8"/>
        <v>4</v>
      </c>
      <c r="H61" s="10">
        <f t="shared" si="3"/>
        <v>0.80862250573227279</v>
      </c>
      <c r="I61" s="10">
        <f t="shared" si="4"/>
        <v>2.0073562846806062E-2</v>
      </c>
    </row>
    <row r="62" spans="1:9">
      <c r="A62" s="19">
        <f t="shared" si="5"/>
        <v>4.0000000000000027</v>
      </c>
      <c r="B62" s="10">
        <f t="shared" si="0"/>
        <v>0.98564717510707656</v>
      </c>
      <c r="C62" s="10">
        <f t="shared" si="1"/>
        <v>0.9926371293118339</v>
      </c>
      <c r="D62" s="10">
        <f t="shared" si="6"/>
        <v>4.1469780361008748E-3</v>
      </c>
      <c r="E62" s="10">
        <f t="shared" si="7"/>
        <v>2.0946515091262228E-3</v>
      </c>
      <c r="F62" s="10">
        <f t="shared" si="2"/>
        <v>0.82270247479188163</v>
      </c>
      <c r="G62" s="66">
        <f t="shared" si="8"/>
        <v>2</v>
      </c>
      <c r="H62" s="10">
        <f t="shared" si="3"/>
        <v>0.80492385984243731</v>
      </c>
      <c r="I62" s="10">
        <f t="shared" si="4"/>
        <v>1.0048073090501585E-2</v>
      </c>
    </row>
    <row r="63" spans="1:9">
      <c r="A63" s="19">
        <f t="shared" si="5"/>
        <v>4.0833333333333357</v>
      </c>
      <c r="B63" s="10">
        <f t="shared" si="0"/>
        <v>0.98530560919195564</v>
      </c>
      <c r="C63" s="10">
        <f t="shared" si="1"/>
        <v>0.99246340942263733</v>
      </c>
      <c r="D63" s="10">
        <f t="shared" si="6"/>
        <v>4.1714416906221902E-3</v>
      </c>
      <c r="E63" s="10">
        <f t="shared" si="7"/>
        <v>2.1059295587560296E-3</v>
      </c>
      <c r="F63" s="10">
        <f t="shared" si="2"/>
        <v>0.81936428327790733</v>
      </c>
      <c r="G63" s="66">
        <f t="shared" si="8"/>
        <v>4</v>
      </c>
      <c r="H63" s="10">
        <f t="shared" si="3"/>
        <v>0.80123975214364362</v>
      </c>
      <c r="I63" s="10">
        <f t="shared" si="4"/>
        <v>2.0118717535861756E-2</v>
      </c>
    </row>
    <row r="64" spans="1:9">
      <c r="A64" s="19">
        <f t="shared" si="5"/>
        <v>4.1666666666666687</v>
      </c>
      <c r="B64" s="10">
        <f t="shared" si="0"/>
        <v>0.98496214759685174</v>
      </c>
      <c r="C64" s="10">
        <f t="shared" si="1"/>
        <v>0.99228878471124626</v>
      </c>
      <c r="D64" s="10">
        <f t="shared" si="6"/>
        <v>4.1960532259541269E-3</v>
      </c>
      <c r="E64" s="10">
        <f t="shared" si="7"/>
        <v>2.1172713761181301E-3</v>
      </c>
      <c r="F64" s="10">
        <f t="shared" si="2"/>
        <v>0.81603963678528069</v>
      </c>
      <c r="G64" s="66">
        <f t="shared" si="8"/>
        <v>2</v>
      </c>
      <c r="H64" s="10">
        <f t="shared" si="3"/>
        <v>0.79757012390083015</v>
      </c>
      <c r="I64" s="10">
        <f t="shared" si="4"/>
        <v>1.0070638170201859E-2</v>
      </c>
    </row>
    <row r="65" spans="1:9">
      <c r="A65" s="19">
        <f t="shared" si="5"/>
        <v>4.2500000000000018</v>
      </c>
      <c r="B65" s="10">
        <f t="shared" si="0"/>
        <v>0.9846167802164737</v>
      </c>
      <c r="C65" s="10">
        <f t="shared" si="1"/>
        <v>0.99211325037904285</v>
      </c>
      <c r="D65" s="10">
        <f t="shared" si="6"/>
        <v>4.2208135360242071E-3</v>
      </c>
      <c r="E65" s="10">
        <f t="shared" si="7"/>
        <v>2.1286773217645528E-3</v>
      </c>
      <c r="F65" s="10">
        <f t="shared" si="2"/>
        <v>0.81272848035382284</v>
      </c>
      <c r="G65" s="66">
        <f t="shared" si="8"/>
        <v>4</v>
      </c>
      <c r="H65" s="10">
        <f t="shared" si="3"/>
        <v>0.79391491662916913</v>
      </c>
      <c r="I65" s="10">
        <f t="shared" si="4"/>
        <v>2.0163822019996138E-2</v>
      </c>
    </row>
    <row r="66" spans="1:9">
      <c r="A66" s="19">
        <f t="shared" si="5"/>
        <v>4.3333333333333348</v>
      </c>
      <c r="B66" s="10">
        <f t="shared" si="0"/>
        <v>0.98426949690004817</v>
      </c>
      <c r="C66" s="10">
        <f t="shared" si="1"/>
        <v>0.99193680160375197</v>
      </c>
      <c r="D66" s="10">
        <f t="shared" si="6"/>
        <v>4.2457235201636793E-3</v>
      </c>
      <c r="E66" s="10">
        <f t="shared" si="7"/>
        <v>2.1401477582859421E-3</v>
      </c>
      <c r="F66" s="10">
        <f t="shared" si="2"/>
        <v>0.80943075924636065</v>
      </c>
      <c r="G66" s="66">
        <f t="shared" si="8"/>
        <v>2</v>
      </c>
      <c r="H66" s="10">
        <f t="shared" si="3"/>
        <v>0.79027407209312417</v>
      </c>
      <c r="I66" s="10">
        <f t="shared" si="4"/>
        <v>1.0093176998165814E-2</v>
      </c>
    </row>
    <row r="67" spans="1:9">
      <c r="A67" s="19">
        <f t="shared" si="5"/>
        <v>4.4166666666666679</v>
      </c>
      <c r="B67" s="10">
        <f t="shared" si="0"/>
        <v>0.98392028745122118</v>
      </c>
      <c r="C67" s="10">
        <f t="shared" si="1"/>
        <v>0.99175943353934659</v>
      </c>
      <c r="D67" s="10">
        <f t="shared" si="6"/>
        <v>4.2707840831401715E-3</v>
      </c>
      <c r="E67" s="10">
        <f t="shared" si="7"/>
        <v>2.1516830503230792E-3</v>
      </c>
      <c r="F67" s="10">
        <f t="shared" si="2"/>
        <v>0.80614641894782246</v>
      </c>
      <c r="G67" s="66">
        <f t="shared" si="8"/>
        <v>4</v>
      </c>
      <c r="H67" s="10">
        <f t="shared" si="3"/>
        <v>0.78664753230551776</v>
      </c>
      <c r="I67" s="10">
        <f t="shared" si="4"/>
        <v>2.0208871687408633E-2</v>
      </c>
    </row>
    <row r="68" spans="1:9">
      <c r="A68" s="19">
        <f t="shared" si="5"/>
        <v>4.5000000000000009</v>
      </c>
      <c r="B68" s="10">
        <f t="shared" si="0"/>
        <v>0.9835691416279605</v>
      </c>
      <c r="C68" s="10">
        <f t="shared" si="1"/>
        <v>0.99158114131595176</v>
      </c>
      <c r="D68" s="10">
        <f t="shared" si="6"/>
        <v>4.2959961351905574E-3</v>
      </c>
      <c r="E68" s="10">
        <f t="shared" si="7"/>
        <v>2.163283564578481E-3</v>
      </c>
      <c r="F68" s="10">
        <f t="shared" si="2"/>
        <v>0.80287540516433609</v>
      </c>
      <c r="G68" s="66">
        <f t="shared" si="8"/>
        <v>2</v>
      </c>
      <c r="H68" s="10">
        <f t="shared" si="3"/>
        <v>0.7830352395265997</v>
      </c>
      <c r="I68" s="10">
        <f t="shared" si="4"/>
        <v>1.0115687253755903E-2</v>
      </c>
    </row>
    <row r="69" spans="1:9">
      <c r="A69" s="19">
        <f t="shared" si="5"/>
        <v>4.5833333333333339</v>
      </c>
      <c r="B69" s="10">
        <f t="shared" si="0"/>
        <v>0.98321604914245919</v>
      </c>
      <c r="C69" s="10">
        <f t="shared" si="1"/>
        <v>0.99140192003974703</v>
      </c>
      <c r="D69" s="10">
        <f t="shared" si="6"/>
        <v>4.3213605920540254E-3</v>
      </c>
      <c r="E69" s="10">
        <f t="shared" si="7"/>
        <v>2.1749496698280522E-3</v>
      </c>
      <c r="F69" s="10">
        <f t="shared" si="2"/>
        <v>0.79961766382233246</v>
      </c>
      <c r="G69" s="66">
        <f t="shared" si="8"/>
        <v>4</v>
      </c>
      <c r="H69" s="10">
        <f t="shared" si="3"/>
        <v>0.77943713626312061</v>
      </c>
      <c r="I69" s="10">
        <f t="shared" si="4"/>
        <v>2.0253861867192361E-2</v>
      </c>
    </row>
    <row r="70" spans="1:9">
      <c r="A70" s="19">
        <f t="shared" si="5"/>
        <v>4.666666666666667</v>
      </c>
      <c r="B70" s="10">
        <f t="shared" si="0"/>
        <v>0.98286099966104079</v>
      </c>
      <c r="C70" s="10">
        <f t="shared" si="1"/>
        <v>0.99122176479287194</v>
      </c>
      <c r="D70" s="10">
        <f t="shared" si="6"/>
        <v>4.3468783750053265E-3</v>
      </c>
      <c r="E70" s="10">
        <f t="shared" si="7"/>
        <v>2.1866817369328084E-3</v>
      </c>
      <c r="F70" s="10">
        <f t="shared" si="2"/>
        <v>0.79637314106764989</v>
      </c>
      <c r="G70" s="66">
        <f t="shared" si="8"/>
        <v>2</v>
      </c>
      <c r="H70" s="10">
        <f t="shared" si="3"/>
        <v>0.77585316526740922</v>
      </c>
      <c r="I70" s="10">
        <f t="shared" si="4"/>
        <v>1.013816658662418E-2</v>
      </c>
    </row>
    <row r="71" spans="1:9">
      <c r="A71" s="19">
        <f t="shared" si="5"/>
        <v>4.75</v>
      </c>
      <c r="B71" s="10">
        <f t="shared" si="0"/>
        <v>0.98250398280406581</v>
      </c>
      <c r="C71" s="10">
        <f t="shared" si="1"/>
        <v>0.9910406706333279</v>
      </c>
      <c r="D71" s="10">
        <f t="shared" si="6"/>
        <v>4.3725504108882499E-3</v>
      </c>
      <c r="E71" s="10">
        <f t="shared" si="7"/>
        <v>2.1984801388506693E-3</v>
      </c>
      <c r="F71" s="10">
        <f t="shared" si="2"/>
        <v>0.79314178326464624</v>
      </c>
      <c r="G71" s="66">
        <f t="shared" si="8"/>
        <v>4</v>
      </c>
      <c r="H71" s="10">
        <f t="shared" si="3"/>
        <v>0.77228326953645521</v>
      </c>
      <c r="I71" s="10">
        <f t="shared" si="4"/>
        <v>2.0298787828705211E-2</v>
      </c>
    </row>
    <row r="72" spans="1:9">
      <c r="A72" s="19">
        <f t="shared" si="5"/>
        <v>4.833333333333333</v>
      </c>
      <c r="B72" s="10">
        <f t="shared" si="0"/>
        <v>0.98214498814583928</v>
      </c>
      <c r="C72" s="10">
        <f t="shared" si="1"/>
        <v>0.99085863259488227</v>
      </c>
      <c r="D72" s="10">
        <f t="shared" si="6"/>
        <v>4.398377632149275E-3</v>
      </c>
      <c r="E72" s="10">
        <f t="shared" si="7"/>
        <v>2.2103452506483136E-3</v>
      </c>
      <c r="F72" s="10">
        <f t="shared" si="2"/>
        <v>0.78992353699531004</v>
      </c>
      <c r="G72" s="66">
        <f t="shared" si="8"/>
        <v>2</v>
      </c>
      <c r="H72" s="10">
        <f t="shared" si="3"/>
        <v>0.76872739231099319</v>
      </c>
      <c r="I72" s="10">
        <f t="shared" si="4"/>
        <v>1.0160612616397958E-2</v>
      </c>
    </row>
    <row r="73" spans="1:9">
      <c r="A73" s="19">
        <f t="shared" si="5"/>
        <v>4.9166666666666661</v>
      </c>
      <c r="B73" s="10">
        <f t="shared" si="0"/>
        <v>0.98178400521452092</v>
      </c>
      <c r="C73" s="10">
        <f t="shared" si="1"/>
        <v>0.99067564568697197</v>
      </c>
      <c r="D73" s="10">
        <f t="shared" si="6"/>
        <v>4.4243609768714427E-3</v>
      </c>
      <c r="E73" s="10">
        <f t="shared" si="7"/>
        <v>2.2222774495130994E-3</v>
      </c>
      <c r="F73" s="10">
        <f t="shared" si="2"/>
        <v>0.78671834905837879</v>
      </c>
      <c r="G73" s="66">
        <f t="shared" si="8"/>
        <v>4</v>
      </c>
      <c r="H73" s="10">
        <f t="shared" si="3"/>
        <v>0.76518547707459561</v>
      </c>
      <c r="I73" s="10">
        <f t="shared" si="4"/>
        <v>2.034364478094158E-2</v>
      </c>
    </row>
    <row r="74" spans="1:9">
      <c r="A74" s="19">
        <f t="shared" si="5"/>
        <v>4.9999999999999991</v>
      </c>
      <c r="B74" s="10">
        <f t="shared" si="0"/>
        <v>0.98142102349203486</v>
      </c>
      <c r="C74" s="10">
        <f t="shared" si="1"/>
        <v>0.9904917048946057</v>
      </c>
      <c r="D74" s="10">
        <f t="shared" si="6"/>
        <v>4.4505013888084402E-3</v>
      </c>
      <c r="E74" s="10">
        <f t="shared" si="7"/>
        <v>2.2342771147650549E-3</v>
      </c>
      <c r="F74" s="10">
        <f t="shared" si="2"/>
        <v>0.78352616646845896</v>
      </c>
      <c r="G74" s="66">
        <f t="shared" si="8"/>
        <v>2</v>
      </c>
      <c r="H74" s="10">
        <f t="shared" si="3"/>
        <v>0.76165746755276376</v>
      </c>
      <c r="I74" s="10">
        <f t="shared" si="4"/>
        <v>1.0183022932365884E-2</v>
      </c>
    </row>
    <row r="75" spans="1:9">
      <c r="A75" s="19">
        <f t="shared" si="5"/>
        <v>5.0833333333333321</v>
      </c>
      <c r="B75" s="10">
        <f t="shared" si="0"/>
        <v>0.98105603241398287</v>
      </c>
      <c r="C75" s="10">
        <f t="shared" si="1"/>
        <v>0.99030680517826786</v>
      </c>
      <c r="D75" s="10">
        <f t="shared" si="6"/>
        <v>4.4767998174188523E-3</v>
      </c>
      <c r="E75" s="10">
        <f t="shared" si="7"/>
        <v>2.2463446278689517E-3</v>
      </c>
      <c r="F75" s="10">
        <f t="shared" si="2"/>
        <v>0.78034693645514985</v>
      </c>
      <c r="G75" s="66">
        <f t="shared" si="8"/>
        <v>4</v>
      </c>
      <c r="H75" s="10">
        <f t="shared" si="3"/>
        <v>0.75814330771202798</v>
      </c>
      <c r="I75" s="10">
        <f t="shared" si="4"/>
        <v>2.0388427871904969E-2</v>
      </c>
    </row>
    <row r="76" spans="1:9">
      <c r="A76" s="19">
        <f t="shared" si="5"/>
        <v>5.1666666666666652</v>
      </c>
      <c r="B76" s="10">
        <f t="shared" si="0"/>
        <v>0.98068902136955771</v>
      </c>
      <c r="C76" s="10">
        <f t="shared" si="1"/>
        <v>0.99012094147382079</v>
      </c>
      <c r="D76" s="10">
        <f t="shared" si="6"/>
        <v>4.5032572179006846E-3</v>
      </c>
      <c r="E76" s="10">
        <f t="shared" si="7"/>
        <v>2.2584803724463986E-3</v>
      </c>
      <c r="F76" s="10">
        <f t="shared" si="2"/>
        <v>0.77718060646217213</v>
      </c>
      <c r="G76" s="66">
        <f t="shared" si="8"/>
        <v>2</v>
      </c>
      <c r="H76" s="10">
        <f t="shared" si="3"/>
        <v>0.75464294175904922</v>
      </c>
      <c r="I76" s="10">
        <f t="shared" si="4"/>
        <v>1.0205395093164536E-2</v>
      </c>
    </row>
    <row r="77" spans="1:9">
      <c r="A77" s="19">
        <f t="shared" si="5"/>
        <v>5.2499999999999982</v>
      </c>
      <c r="B77" s="10">
        <f t="shared" si="0"/>
        <v>0.98031997970145901</v>
      </c>
      <c r="C77" s="10">
        <f t="shared" si="1"/>
        <v>0.98993410869240828</v>
      </c>
      <c r="D77" s="10">
        <f t="shared" si="6"/>
        <v>4.5298745512260229E-3</v>
      </c>
      <c r="E77" s="10">
        <f t="shared" si="7"/>
        <v>2.270684734288072E-3</v>
      </c>
      <c r="F77" s="10">
        <f t="shared" si="2"/>
        <v>0.77402712414649799</v>
      </c>
      <c r="G77" s="66">
        <f t="shared" si="8"/>
        <v>4</v>
      </c>
      <c r="H77" s="10">
        <f t="shared" si="3"/>
        <v>0.75115631413972606</v>
      </c>
      <c r="I77" s="10">
        <f t="shared" si="4"/>
        <v>2.0433132187981828E-2</v>
      </c>
    </row>
    <row r="78" spans="1:9">
      <c r="A78" s="19">
        <f t="shared" si="5"/>
        <v>5.3333333333333313</v>
      </c>
      <c r="B78" s="10">
        <f t="shared" ref="B78:B141" si="9">(B$9^A78)*B$10^((B$6^28)*((B$6^A78)-1))</f>
        <v>0.97994889670580987</v>
      </c>
      <c r="C78" s="10">
        <f t="shared" ref="C78:C141" si="10">(B$9^A78)*B$11^((B$7^24)*((B$7^A78)-1))</f>
        <v>0.9897463017203576</v>
      </c>
      <c r="D78" s="10">
        <f t="shared" si="6"/>
        <v>4.5566527841759538E-3</v>
      </c>
      <c r="E78" s="10">
        <f t="shared" si="7"/>
        <v>2.2829581013659576E-3</v>
      </c>
      <c r="F78" s="10">
        <f t="shared" si="2"/>
        <v>0.77088643737748652</v>
      </c>
      <c r="G78" s="66">
        <f t="shared" si="8"/>
        <v>2</v>
      </c>
      <c r="H78" s="10">
        <f t="shared" si="3"/>
        <v>0.74768336953830405</v>
      </c>
      <c r="I78" s="10">
        <f t="shared" si="4"/>
        <v>1.0227726626465681E-2</v>
      </c>
    </row>
    <row r="79" spans="1:9">
      <c r="A79" s="19">
        <f t="shared" si="5"/>
        <v>5.4166666666666643</v>
      </c>
      <c r="B79" s="10">
        <f t="shared" si="9"/>
        <v>0.97957576163207571</v>
      </c>
      <c r="C79" s="10">
        <f t="shared" si="10"/>
        <v>0.98955751541908266</v>
      </c>
      <c r="D79" s="10">
        <f t="shared" si="6"/>
        <v>4.5835928893756817E-3</v>
      </c>
      <c r="E79" s="10">
        <f t="shared" si="7"/>
        <v>2.2953008638456947E-3</v>
      </c>
      <c r="F79" s="10">
        <f t="shared" ref="F79:F142" si="11">(1+B$8)^-A79</f>
        <v>0.76775849423602149</v>
      </c>
      <c r="G79" s="66">
        <f t="shared" si="8"/>
        <v>4</v>
      </c>
      <c r="H79" s="10">
        <f t="shared" ref="H79:H142" si="12">B79*C79*F79</f>
        <v>0.74422405287649052</v>
      </c>
      <c r="I79" s="10">
        <f t="shared" ref="I79:I142" si="13">B79*C79*(D79+E79)*F79*G79</f>
        <v>2.0477752753316741E-2</v>
      </c>
    </row>
    <row r="80" spans="1:9">
      <c r="A80" s="19">
        <f t="shared" ref="A80:A143" si="14">A79+1/12</f>
        <v>5.4999999999999973</v>
      </c>
      <c r="B80" s="10">
        <f t="shared" si="9"/>
        <v>0.97920056368298503</v>
      </c>
      <c r="C80" s="10">
        <f t="shared" si="10"/>
        <v>0.98936774462498589</v>
      </c>
      <c r="D80" s="10">
        <f t="shared" si="6"/>
        <v>4.6106958453298484E-3</v>
      </c>
      <c r="E80" s="10">
        <f t="shared" si="7"/>
        <v>2.3077134140989746E-3</v>
      </c>
      <c r="F80" s="10">
        <f t="shared" si="11"/>
        <v>0.76464324301365372</v>
      </c>
      <c r="G80" s="66">
        <f t="shared" si="8"/>
        <v>2</v>
      </c>
      <c r="H80" s="10">
        <f t="shared" si="12"/>
        <v>0.74077830931257338</v>
      </c>
      <c r="I80" s="10">
        <f t="shared" si="13"/>
        <v>1.0250015028664272E-2</v>
      </c>
    </row>
    <row r="81" spans="1:9">
      <c r="A81" s="19">
        <f t="shared" si="14"/>
        <v>5.5833333333333304</v>
      </c>
      <c r="B81" s="10">
        <f t="shared" si="9"/>
        <v>0.97882329201445017</v>
      </c>
      <c r="C81" s="10">
        <f t="shared" si="10"/>
        <v>0.98917698414936139</v>
      </c>
      <c r="D81" s="10">
        <f t="shared" ref="D81:D144" si="15">B$3+B$4*(B$6^(28+A81))</f>
        <v>4.6379626364580753E-3</v>
      </c>
      <c r="E81" s="10">
        <f t="shared" ref="E81:E144" si="16">B$3+B$5*(B$7^(24+A81))</f>
        <v>2.3201961467160148E-3</v>
      </c>
      <c r="F81" s="10">
        <f t="shared" si="11"/>
        <v>0.76154063221174517</v>
      </c>
      <c r="G81" s="66">
        <f t="shared" ref="G81:G144" si="17">IF(G80=4,2,4)</f>
        <v>4</v>
      </c>
      <c r="H81" s="10">
        <f t="shared" si="12"/>
        <v>0.73734608424054227</v>
      </c>
      <c r="I81" s="10">
        <f t="shared" si="13"/>
        <v>2.0522284529189409E-2</v>
      </c>
    </row>
    <row r="82" spans="1:9">
      <c r="A82" s="19">
        <f t="shared" si="14"/>
        <v>5.6666666666666634</v>
      </c>
      <c r="B82" s="10">
        <f t="shared" si="9"/>
        <v>0.97844393573549304</v>
      </c>
      <c r="C82" s="10">
        <f t="shared" si="10"/>
        <v>0.98898522877829709</v>
      </c>
      <c r="D82" s="10">
        <f t="shared" si="15"/>
        <v>4.6653942531307262E-3</v>
      </c>
      <c r="E82" s="10">
        <f t="shared" si="16"/>
        <v>2.3327494585181044E-3</v>
      </c>
      <c r="F82" s="10">
        <f t="shared" si="11"/>
        <v>0.75845061054061913</v>
      </c>
      <c r="G82" s="66">
        <f t="shared" si="17"/>
        <v>2</v>
      </c>
      <c r="H82" s="10">
        <f t="shared" si="12"/>
        <v>0.73392732328921728</v>
      </c>
      <c r="I82" s="10">
        <f t="shared" si="13"/>
        <v>1.0272257764567387E-2</v>
      </c>
    </row>
    <row r="83" spans="1:9">
      <c r="A83" s="19">
        <f t="shared" si="14"/>
        <v>5.7499999999999964</v>
      </c>
      <c r="B83" s="10">
        <f t="shared" si="9"/>
        <v>0.97806248390816852</v>
      </c>
      <c r="C83" s="10">
        <f t="shared" si="10"/>
        <v>0.98879247327257636</v>
      </c>
      <c r="D83" s="10">
        <f t="shared" si="15"/>
        <v>4.6929916917048693E-3</v>
      </c>
      <c r="E83" s="10">
        <f t="shared" si="16"/>
        <v>2.3453737485702154E-3</v>
      </c>
      <c r="F83" s="10">
        <f t="shared" si="11"/>
        <v>0.75537312691871084</v>
      </c>
      <c r="G83" s="66">
        <f t="shared" si="17"/>
        <v>4</v>
      </c>
      <c r="H83" s="10">
        <f t="shared" si="12"/>
        <v>0.73052197232137561</v>
      </c>
      <c r="I83" s="10">
        <f t="shared" si="13"/>
        <v>2.0566722413393447E-2</v>
      </c>
    </row>
    <row r="84" spans="1:9">
      <c r="A84" s="19">
        <f t="shared" si="14"/>
        <v>5.8333333333333295</v>
      </c>
      <c r="B84" s="10">
        <f t="shared" si="9"/>
        <v>0.97767892554749336</v>
      </c>
      <c r="C84" s="10">
        <f t="shared" si="10"/>
        <v>0.98859871236758134</v>
      </c>
      <c r="D84" s="10">
        <f t="shared" si="15"/>
        <v>4.720755954560469E-3</v>
      </c>
      <c r="E84" s="10">
        <f t="shared" si="16"/>
        <v>2.3580694181936949E-3</v>
      </c>
      <c r="F84" s="10">
        <f t="shared" si="11"/>
        <v>0.75230813047172396</v>
      </c>
      <c r="G84" s="66">
        <f t="shared" si="17"/>
        <v>2</v>
      </c>
      <c r="H84" s="10">
        <f t="shared" si="12"/>
        <v>0.72712997743288921</v>
      </c>
      <c r="I84" s="10">
        <f t="shared" si="13"/>
        <v>1.0294452267084198E-2</v>
      </c>
    </row>
    <row r="85" spans="1:9">
      <c r="A85" s="19">
        <f t="shared" si="14"/>
        <v>5.9166666666666625</v>
      </c>
      <c r="B85" s="10">
        <f t="shared" si="9"/>
        <v>0.97729324962137454</v>
      </c>
      <c r="C85" s="10">
        <f t="shared" si="10"/>
        <v>0.98840394077319405</v>
      </c>
      <c r="D85" s="10">
        <f t="shared" si="15"/>
        <v>4.748688050136801E-3</v>
      </c>
      <c r="E85" s="10">
        <f t="shared" si="16"/>
        <v>2.3708368709790162E-3</v>
      </c>
      <c r="F85" s="10">
        <f t="shared" si="11"/>
        <v>0.74925557053178937</v>
      </c>
      <c r="G85" s="66">
        <f t="shared" si="17"/>
        <v>4</v>
      </c>
      <c r="H85" s="10">
        <f t="shared" si="12"/>
        <v>0.72375128495186114</v>
      </c>
      <c r="I85" s="10">
        <f t="shared" si="13"/>
        <v>2.0611061239617482E-2</v>
      </c>
    </row>
    <row r="86" spans="1:9">
      <c r="A86" s="19">
        <f t="shared" si="14"/>
        <v>5.9999999999999956</v>
      </c>
      <c r="B86" s="10">
        <f t="shared" si="9"/>
        <v>0.97690544505054022</v>
      </c>
      <c r="C86" s="10">
        <f t="shared" si="10"/>
        <v>0.98820815317369914</v>
      </c>
      <c r="D86" s="10">
        <f t="shared" si="15"/>
        <v>4.7767889929690686E-3</v>
      </c>
      <c r="E86" s="10">
        <f t="shared" si="16"/>
        <v>2.3836765127986117E-3</v>
      </c>
      <c r="F86" s="10">
        <f t="shared" si="11"/>
        <v>0.74621539663662761</v>
      </c>
      <c r="G86" s="66">
        <f t="shared" si="17"/>
        <v>2</v>
      </c>
      <c r="H86" s="10">
        <f t="shared" si="12"/>
        <v>0.72038584143776763</v>
      </c>
      <c r="I86" s="10">
        <f t="shared" si="13"/>
        <v>1.0316595936917122E-2</v>
      </c>
    </row>
    <row r="87" spans="1:9">
      <c r="A87" s="19">
        <f t="shared" si="14"/>
        <v>6.0833333333333286</v>
      </c>
      <c r="B87" s="10">
        <f t="shared" si="9"/>
        <v>0.97651550070847293</v>
      </c>
      <c r="C87" s="10">
        <f t="shared" si="10"/>
        <v>0.98801134422768522</v>
      </c>
      <c r="D87" s="10">
        <f t="shared" si="15"/>
        <v>4.8050598037252664E-3</v>
      </c>
      <c r="E87" s="10">
        <f t="shared" si="16"/>
        <v>2.3965887518197777E-3</v>
      </c>
      <c r="F87" s="10">
        <f t="shared" si="11"/>
        <v>0.74318755852871421</v>
      </c>
      <c r="G87" s="66">
        <f t="shared" si="17"/>
        <v>4</v>
      </c>
      <c r="H87" s="10">
        <f t="shared" si="12"/>
        <v>0.71703359368060404</v>
      </c>
      <c r="I87" s="10">
        <f t="shared" si="13"/>
        <v>2.0655295776828776E-2</v>
      </c>
    </row>
    <row r="88" spans="1:9">
      <c r="A88" s="19">
        <f t="shared" si="14"/>
        <v>6.1666666666666616</v>
      </c>
      <c r="B88" s="10">
        <f t="shared" si="9"/>
        <v>0.97612340542134435</v>
      </c>
      <c r="C88" s="10">
        <f t="shared" si="10"/>
        <v>0.9878135085679477</v>
      </c>
      <c r="D88" s="10">
        <f t="shared" si="15"/>
        <v>4.8335015092432366E-3</v>
      </c>
      <c r="E88" s="10">
        <f t="shared" si="16"/>
        <v>2.4095739985176457E-3</v>
      </c>
      <c r="F88" s="10">
        <f t="shared" si="11"/>
        <v>0.74017200615444967</v>
      </c>
      <c r="G88" s="66">
        <f t="shared" si="17"/>
        <v>2</v>
      </c>
      <c r="H88" s="10">
        <f t="shared" si="12"/>
        <v>0.7136944887000356</v>
      </c>
      <c r="I88" s="10">
        <f t="shared" si="13"/>
        <v>1.0338686142254307E-2</v>
      </c>
    </row>
    <row r="89" spans="1:9">
      <c r="A89" s="19">
        <f t="shared" si="14"/>
        <v>6.2499999999999947</v>
      </c>
      <c r="B89" s="10">
        <f t="shared" si="9"/>
        <v>0.97572914796795152</v>
      </c>
      <c r="C89" s="10">
        <f t="shared" si="10"/>
        <v>0.98761464080138972</v>
      </c>
      <c r="D89" s="10">
        <f t="shared" si="15"/>
        <v>4.8621151425679724E-3</v>
      </c>
      <c r="E89" s="10">
        <f t="shared" si="16"/>
        <v>2.422632665688236E-3</v>
      </c>
      <c r="F89" s="10">
        <f t="shared" si="11"/>
        <v>0.7371686896633316</v>
      </c>
      <c r="G89" s="66">
        <f t="shared" si="17"/>
        <v>4</v>
      </c>
      <c r="H89" s="10">
        <f t="shared" si="12"/>
        <v>0.71036847374454937</v>
      </c>
      <c r="I89" s="10">
        <f t="shared" si="13"/>
        <v>2.0699420728659657E-2</v>
      </c>
    </row>
    <row r="90" spans="1:9">
      <c r="A90" s="19">
        <f t="shared" si="14"/>
        <v>6.3333333333333277</v>
      </c>
      <c r="B90" s="10">
        <f t="shared" si="9"/>
        <v>0.97533271707965641</v>
      </c>
      <c r="C90" s="10">
        <f t="shared" si="10"/>
        <v>0.98741473550892433</v>
      </c>
      <c r="D90" s="10">
        <f t="shared" si="15"/>
        <v>4.8909017429891507E-3</v>
      </c>
      <c r="E90" s="10">
        <f t="shared" si="16"/>
        <v>2.4357651684615744E-3</v>
      </c>
      <c r="F90" s="10">
        <f t="shared" si="11"/>
        <v>0.73417755940713003</v>
      </c>
      <c r="G90" s="66">
        <f t="shared" si="17"/>
        <v>2</v>
      </c>
      <c r="H90" s="10">
        <f t="shared" si="12"/>
        <v>0.70705549629061237</v>
      </c>
      <c r="I90" s="10">
        <f t="shared" si="13"/>
        <v>1.0360720218463602E-2</v>
      </c>
    </row>
    <row r="91" spans="1:9">
      <c r="A91" s="19">
        <f t="shared" si="14"/>
        <v>6.4166666666666607</v>
      </c>
      <c r="B91" s="10">
        <f t="shared" si="9"/>
        <v>0.97493410144032577</v>
      </c>
      <c r="C91" s="10">
        <f t="shared" si="10"/>
        <v>0.98721378724537701</v>
      </c>
      <c r="D91" s="10">
        <f t="shared" si="15"/>
        <v>4.9198623560788536E-3</v>
      </c>
      <c r="E91" s="10">
        <f t="shared" si="16"/>
        <v>2.4489719243148923E-3</v>
      </c>
      <c r="F91" s="10">
        <f t="shared" si="11"/>
        <v>0.73119856593906829</v>
      </c>
      <c r="G91" s="66">
        <f t="shared" si="17"/>
        <v>4</v>
      </c>
      <c r="H91" s="10">
        <f t="shared" si="12"/>
        <v>0.70375550404183385</v>
      </c>
      <c r="I91" s="10">
        <f t="shared" si="13"/>
        <v>2.074343073279698E-2</v>
      </c>
    </row>
    <row r="92" spans="1:9">
      <c r="A92" s="19">
        <f t="shared" si="14"/>
        <v>6.4999999999999938</v>
      </c>
      <c r="B92" s="10">
        <f t="shared" si="9"/>
        <v>0.97453328968627495</v>
      </c>
      <c r="C92" s="10">
        <f t="shared" si="10"/>
        <v>0.98701179053938637</v>
      </c>
      <c r="D92" s="10">
        <f t="shared" si="15"/>
        <v>4.9489980337295856E-3</v>
      </c>
      <c r="E92" s="10">
        <f t="shared" si="16"/>
        <v>2.4622533530859023E-3</v>
      </c>
      <c r="F92" s="10">
        <f t="shared" si="11"/>
        <v>0.72823166001300355</v>
      </c>
      <c r="G92" s="66">
        <f t="shared" si="17"/>
        <v>2</v>
      </c>
      <c r="H92" s="10">
        <f t="shared" si="12"/>
        <v>0.70046844492812843</v>
      </c>
      <c r="I92" s="10">
        <f t="shared" si="13"/>
        <v>1.038269546778816E-2</v>
      </c>
    </row>
    <row r="93" spans="1:9">
      <c r="A93" s="19">
        <f t="shared" si="14"/>
        <v>6.5833333333333268</v>
      </c>
      <c r="B93" s="10">
        <f t="shared" si="9"/>
        <v>0.9741302704062117</v>
      </c>
      <c r="C93" s="10">
        <f t="shared" si="10"/>
        <v>0.98680873989330586</v>
      </c>
      <c r="D93" s="10">
        <f t="shared" si="15"/>
        <v>4.9783098341924315E-3</v>
      </c>
      <c r="E93" s="10">
        <f t="shared" si="16"/>
        <v>2.4756098769861362E-3</v>
      </c>
      <c r="F93" s="10">
        <f t="shared" si="11"/>
        <v>0.72527679258261468</v>
      </c>
      <c r="G93" s="66">
        <f t="shared" si="17"/>
        <v>4</v>
      </c>
      <c r="H93" s="10">
        <f t="shared" si="12"/>
        <v>0.69719426710488619</v>
      </c>
      <c r="I93" s="10">
        <f t="shared" si="13"/>
        <v>2.0787320360375224E-2</v>
      </c>
    </row>
    <row r="94" spans="1:9">
      <c r="A94" s="19">
        <f t="shared" si="14"/>
        <v>6.6666666666666599</v>
      </c>
      <c r="B94" s="10">
        <f t="shared" si="9"/>
        <v>0.97372503214118455</v>
      </c>
      <c r="C94" s="10">
        <f t="shared" si="10"/>
        <v>0.98660462978310692</v>
      </c>
      <c r="D94" s="10">
        <f t="shared" si="15"/>
        <v>5.0077988221155275E-3</v>
      </c>
      <c r="E94" s="10">
        <f t="shared" si="16"/>
        <v>2.4890419206143708E-3</v>
      </c>
      <c r="F94" s="10">
        <f t="shared" si="11"/>
        <v>0.72233391480058973</v>
      </c>
      <c r="G94" s="66">
        <f t="shared" si="17"/>
        <v>2</v>
      </c>
      <c r="H94" s="10">
        <f t="shared" si="12"/>
        <v>0.69393291895214515</v>
      </c>
      <c r="I94" s="10">
        <f t="shared" si="13"/>
        <v>1.0404609159043851E-2</v>
      </c>
    </row>
    <row r="95" spans="1:9">
      <c r="A95" s="19">
        <f t="shared" si="14"/>
        <v>6.7499999999999929</v>
      </c>
      <c r="B95" s="10">
        <f t="shared" si="9"/>
        <v>0.97331756338453068</v>
      </c>
      <c r="C95" s="10">
        <f t="shared" si="10"/>
        <v>0.98639945465827872</v>
      </c>
      <c r="D95" s="10">
        <f t="shared" si="15"/>
        <v>5.0374660685827298E-3</v>
      </c>
      <c r="E95" s="10">
        <f t="shared" si="16"/>
        <v>2.5025499109701307E-3</v>
      </c>
      <c r="F95" s="10">
        <f t="shared" si="11"/>
        <v>0.71940297801781994</v>
      </c>
      <c r="G95" s="66">
        <f t="shared" si="17"/>
        <v>4</v>
      </c>
      <c r="H95" s="10">
        <f t="shared" si="12"/>
        <v>0.69068434907376708</v>
      </c>
      <c r="I95" s="10">
        <f t="shared" si="13"/>
        <v>2.0831084115373075E-2</v>
      </c>
    </row>
    <row r="96" spans="1:9">
      <c r="A96" s="19">
        <f t="shared" si="14"/>
        <v>6.8333333333333259</v>
      </c>
      <c r="B96" s="10">
        <f t="shared" si="9"/>
        <v>0.97290785258182844</v>
      </c>
      <c r="C96" s="10">
        <f t="shared" si="10"/>
        <v>0.98619320894173101</v>
      </c>
      <c r="D96" s="10">
        <f t="shared" si="15"/>
        <v>5.0673126511525035E-3</v>
      </c>
      <c r="E96" s="10">
        <f t="shared" si="16"/>
        <v>2.5161342774672529E-3</v>
      </c>
      <c r="F96" s="10">
        <f t="shared" si="11"/>
        <v>0.71648393378259434</v>
      </c>
      <c r="G96" s="66">
        <f t="shared" si="17"/>
        <v>2</v>
      </c>
      <c r="H96" s="10">
        <f t="shared" si="12"/>
        <v>0.68744850629661769</v>
      </c>
      <c r="I96" s="10">
        <f t="shared" si="13"/>
        <v>1.0426458527318648E-2</v>
      </c>
    </row>
    <row r="97" spans="1:9">
      <c r="A97" s="19">
        <f t="shared" si="14"/>
        <v>6.916666666666659</v>
      </c>
      <c r="B97" s="10">
        <f t="shared" si="9"/>
        <v>0.97249588813085042</v>
      </c>
      <c r="C97" s="10">
        <f t="shared" si="10"/>
        <v>0.9859858870296957</v>
      </c>
      <c r="D97" s="10">
        <f t="shared" si="15"/>
        <v>5.0973396538970565E-3</v>
      </c>
      <c r="E97" s="10">
        <f t="shared" si="16"/>
        <v>2.5297954519475463E-3</v>
      </c>
      <c r="F97" s="10">
        <f t="shared" si="11"/>
        <v>0.71357673383979958</v>
      </c>
      <c r="G97" s="66">
        <f t="shared" si="17"/>
        <v>4</v>
      </c>
      <c r="H97" s="10">
        <f t="shared" si="12"/>
        <v>0.68422533966975108</v>
      </c>
      <c r="I97" s="10">
        <f t="shared" si="13"/>
        <v>2.0874716434014423E-2</v>
      </c>
    </row>
    <row r="98" spans="1:9">
      <c r="A98" s="19">
        <f t="shared" si="14"/>
        <v>6.999999999999992</v>
      </c>
      <c r="B98" s="10">
        <f t="shared" si="9"/>
        <v>0.97208165838152016</v>
      </c>
      <c r="C98" s="10">
        <f t="shared" si="10"/>
        <v>0.98577748329162818</v>
      </c>
      <c r="D98" s="10">
        <f t="shared" si="15"/>
        <v>5.1275481674417471E-3</v>
      </c>
      <c r="E98" s="10">
        <f t="shared" si="16"/>
        <v>2.5435338686945145E-3</v>
      </c>
      <c r="F98" s="10">
        <f t="shared" si="11"/>
        <v>0.71068133013012169</v>
      </c>
      <c r="G98" s="66">
        <f t="shared" si="17"/>
        <v>2</v>
      </c>
      <c r="H98" s="10">
        <f t="shared" si="12"/>
        <v>0.68101479846359636</v>
      </c>
      <c r="I98" s="10">
        <f t="shared" si="13"/>
        <v>1.0448240773674101E-2</v>
      </c>
    </row>
    <row r="99" spans="1:9">
      <c r="A99" s="19">
        <f t="shared" si="14"/>
        <v>7.083333333333325</v>
      </c>
      <c r="B99" s="10">
        <f t="shared" si="9"/>
        <v>0.97166515163586886</v>
      </c>
      <c r="C99" s="10">
        <f t="shared" si="10"/>
        <v>0.98556799207010881</v>
      </c>
      <c r="D99" s="10">
        <f t="shared" si="15"/>
        <v>5.1579392890046616E-3</v>
      </c>
      <c r="E99" s="10">
        <f t="shared" si="16"/>
        <v>2.5573499644471615E-3</v>
      </c>
      <c r="F99" s="10">
        <f t="shared" si="11"/>
        <v>0.70779767478925171</v>
      </c>
      <c r="G99" s="66">
        <f t="shared" si="17"/>
        <v>4</v>
      </c>
      <c r="H99" s="10">
        <f t="shared" si="12"/>
        <v>0.67781683216914845</v>
      </c>
      <c r="I99" s="10">
        <f t="shared" si="13"/>
        <v>2.0918211684173557E-2</v>
      </c>
    </row>
    <row r="100" spans="1:9">
      <c r="A100" s="19">
        <f t="shared" si="14"/>
        <v>7.1666666666666581</v>
      </c>
      <c r="B100" s="10">
        <f t="shared" si="9"/>
        <v>0.97124635614799848</v>
      </c>
      <c r="C100" s="10">
        <f t="shared" si="10"/>
        <v>0.98535740768074509</v>
      </c>
      <c r="D100" s="10">
        <f t="shared" si="15"/>
        <v>5.1885141224364741E-3</v>
      </c>
      <c r="E100" s="10">
        <f t="shared" si="16"/>
        <v>2.5712441784138812E-3</v>
      </c>
      <c r="F100" s="10">
        <f t="shared" si="11"/>
        <v>0.70492572014709509</v>
      </c>
      <c r="G100" s="66">
        <f t="shared" si="17"/>
        <v>2</v>
      </c>
      <c r="H100" s="10">
        <f t="shared" si="12"/>
        <v>0.67463139049716503</v>
      </c>
      <c r="I100" s="10">
        <f t="shared" si="13"/>
        <v>1.0469953064849187E-2</v>
      </c>
    </row>
    <row r="101" spans="1:9">
      <c r="A101" s="19">
        <f t="shared" si="14"/>
        <v>7.2499999999999911</v>
      </c>
      <c r="B101" s="10">
        <f t="shared" si="9"/>
        <v>0.97082526012404236</v>
      </c>
      <c r="C101" s="10">
        <f t="shared" si="10"/>
        <v>0.98514572441207304</v>
      </c>
      <c r="D101" s="10">
        <f t="shared" si="15"/>
        <v>5.2192737782605688E-3</v>
      </c>
      <c r="E101" s="10">
        <f t="shared" si="16"/>
        <v>2.5852169522864125E-3</v>
      </c>
      <c r="F101" s="10">
        <f t="shared" si="11"/>
        <v>0.70206541872698247</v>
      </c>
      <c r="G101" s="66">
        <f t="shared" si="17"/>
        <v>4</v>
      </c>
      <c r="H101" s="10">
        <f t="shared" si="12"/>
        <v>0.67145842337736195</v>
      </c>
      <c r="I101" s="10">
        <f t="shared" si="13"/>
        <v>2.0961564164785246E-2</v>
      </c>
    </row>
    <row r="102" spans="1:9">
      <c r="A102" s="19">
        <f t="shared" si="14"/>
        <v>7.3333333333333242</v>
      </c>
      <c r="B102" s="10">
        <f t="shared" si="9"/>
        <v>0.97040185172213245</v>
      </c>
      <c r="C102" s="10">
        <f t="shared" si="10"/>
        <v>0.98493293652545877</v>
      </c>
      <c r="D102" s="10">
        <f t="shared" si="15"/>
        <v>5.2502193737133324E-3</v>
      </c>
      <c r="E102" s="10">
        <f t="shared" si="16"/>
        <v>2.5992687302538835E-3</v>
      </c>
      <c r="F102" s="10">
        <f t="shared" si="11"/>
        <v>0.69921672324488582</v>
      </c>
      <c r="G102" s="66">
        <f t="shared" si="17"/>
        <v>2</v>
      </c>
      <c r="H102" s="10">
        <f t="shared" si="12"/>
        <v>0.66829788095761777</v>
      </c>
      <c r="I102" s="10">
        <f t="shared" si="13"/>
        <v>1.0491592532966637E-2</v>
      </c>
    </row>
    <row r="103" spans="1:9">
      <c r="A103" s="19">
        <f t="shared" si="14"/>
        <v>7.4166666666666572</v>
      </c>
      <c r="B103" s="10">
        <f t="shared" si="9"/>
        <v>0.96997611905236636</v>
      </c>
      <c r="C103" s="10">
        <f t="shared" si="10"/>
        <v>0.98471903825499985</v>
      </c>
      <c r="D103" s="10">
        <f t="shared" si="15"/>
        <v>5.2813520327847684E-3</v>
      </c>
      <c r="E103" s="10">
        <f t="shared" si="16"/>
        <v>2.6133999590169351E-3</v>
      </c>
      <c r="F103" s="10">
        <f t="shared" si="11"/>
        <v>0.69637958660863652</v>
      </c>
      <c r="G103" s="66">
        <f t="shared" si="17"/>
        <v>4</v>
      </c>
      <c r="H103" s="10">
        <f t="shared" si="12"/>
        <v>0.66514971360317765</v>
      </c>
      <c r="I103" s="10">
        <f t="shared" si="13"/>
        <v>2.1004768105260078E-2</v>
      </c>
    </row>
    <row r="104" spans="1:9">
      <c r="A104" s="19">
        <f t="shared" si="14"/>
        <v>7.4999999999999902</v>
      </c>
      <c r="B104" s="10">
        <f t="shared" si="9"/>
        <v>0.96954805017677892</v>
      </c>
      <c r="C104" s="10">
        <f t="shared" si="10"/>
        <v>0.98450402380742852</v>
      </c>
      <c r="D104" s="10">
        <f t="shared" si="15"/>
        <v>5.3126728862593021E-3</v>
      </c>
      <c r="E104" s="10">
        <f t="shared" si="16"/>
        <v>2.6276110878019144E-3</v>
      </c>
      <c r="F104" s="10">
        <f t="shared" si="11"/>
        <v>0.69355396191714636</v>
      </c>
      <c r="G104" s="66">
        <f t="shared" si="17"/>
        <v>2</v>
      </c>
      <c r="H104" s="10">
        <f t="shared" si="12"/>
        <v>0.66201387189586514</v>
      </c>
      <c r="I104" s="10">
        <f t="shared" si="13"/>
        <v>1.0513156275241907E-2</v>
      </c>
    </row>
    <row r="105" spans="1:9">
      <c r="A105" s="19">
        <f t="shared" si="14"/>
        <v>7.5833333333333233</v>
      </c>
      <c r="B105" s="10">
        <f t="shared" si="9"/>
        <v>0.96911763310931354</v>
      </c>
      <c r="C105" s="10">
        <f t="shared" si="10"/>
        <v>0.98428788736201134</v>
      </c>
      <c r="D105" s="10">
        <f t="shared" si="15"/>
        <v>5.3441830717568589E-3</v>
      </c>
      <c r="E105" s="10">
        <f t="shared" si="16"/>
        <v>2.6419025683751644E-3</v>
      </c>
      <c r="F105" s="10">
        <f t="shared" si="11"/>
        <v>0.69073980245963296</v>
      </c>
      <c r="G105" s="66">
        <f t="shared" si="17"/>
        <v>4</v>
      </c>
      <c r="H105" s="10">
        <f t="shared" si="12"/>
        <v>0.6588903066332914</v>
      </c>
      <c r="I105" s="10">
        <f t="shared" si="13"/>
        <v>2.1047817664905259E-2</v>
      </c>
    </row>
    <row r="106" spans="1:9">
      <c r="A106" s="19">
        <f t="shared" si="14"/>
        <v>7.6666666666666563</v>
      </c>
      <c r="B106" s="10">
        <f t="shared" si="9"/>
        <v>0.96868485581579999</v>
      </c>
      <c r="C106" s="10">
        <f t="shared" si="10"/>
        <v>0.98407062307045257</v>
      </c>
      <c r="D106" s="10">
        <f t="shared" si="15"/>
        <v>5.3758837337741913E-3</v>
      </c>
      <c r="E106" s="10">
        <f t="shared" si="16"/>
        <v>2.656274855057377E-3</v>
      </c>
      <c r="F106" s="10">
        <f t="shared" si="11"/>
        <v>0.68793706171484736</v>
      </c>
      <c r="G106" s="66">
        <f t="shared" si="17"/>
        <v>2</v>
      </c>
      <c r="H106" s="10">
        <f t="shared" si="12"/>
        <v>0.65577896882807529</v>
      </c>
      <c r="I106" s="10">
        <f t="shared" si="13"/>
        <v>1.0534641353695069E-2</v>
      </c>
    </row>
    <row r="107" spans="1:9">
      <c r="A107" s="19">
        <f t="shared" si="14"/>
        <v>7.7499999999999893</v>
      </c>
      <c r="B107" s="10">
        <f t="shared" si="9"/>
        <v>0.96824970621393092</v>
      </c>
      <c r="C107" s="10">
        <f t="shared" si="10"/>
        <v>0.98385222505679526</v>
      </c>
      <c r="D107" s="10">
        <f t="shared" si="15"/>
        <v>5.4077760237264327E-3</v>
      </c>
      <c r="E107" s="10">
        <f t="shared" si="16"/>
        <v>2.6707284047380389E-3</v>
      </c>
      <c r="F107" s="10">
        <f t="shared" si="11"/>
        <v>0.68514569335030484</v>
      </c>
      <c r="G107" s="66">
        <f t="shared" si="17"/>
        <v>4</v>
      </c>
      <c r="H107" s="10">
        <f t="shared" si="12"/>
        <v>0.65267980970706119</v>
      </c>
      <c r="I107" s="10">
        <f t="shared" si="13"/>
        <v>2.109070693235137E-2</v>
      </c>
    </row>
    <row r="108" spans="1:9">
      <c r="A108" s="19">
        <f t="shared" si="14"/>
        <v>7.8333333333333224</v>
      </c>
      <c r="B108" s="10">
        <f t="shared" si="9"/>
        <v>0.96781217217324422</v>
      </c>
      <c r="C108" s="10">
        <f t="shared" si="10"/>
        <v>0.98363268741732368</v>
      </c>
      <c r="D108" s="10">
        <f t="shared" si="15"/>
        <v>5.4398610999889371E-3</v>
      </c>
      <c r="E108" s="10">
        <f t="shared" si="16"/>
        <v>2.685263676889961E-3</v>
      </c>
      <c r="F108" s="10">
        <f t="shared" si="11"/>
        <v>0.68236565122151849</v>
      </c>
      <c r="G108" s="66">
        <f t="shared" si="17"/>
        <v>2</v>
      </c>
      <c r="H108" s="10">
        <f t="shared" si="12"/>
        <v>0.64959278071054272</v>
      </c>
      <c r="I108" s="10">
        <f t="shared" si="13"/>
        <v>1.0556044794865783E-2</v>
      </c>
    </row>
    <row r="109" spans="1:9">
      <c r="A109" s="19">
        <f t="shared" si="14"/>
        <v>7.9166666666666554</v>
      </c>
      <c r="B109" s="10">
        <f t="shared" si="9"/>
        <v>0.96737224151510603</v>
      </c>
      <c r="C109" s="10">
        <f t="shared" si="10"/>
        <v>0.98341200422046438</v>
      </c>
      <c r="D109" s="10">
        <f t="shared" si="15"/>
        <v>5.4721401279393357E-3</v>
      </c>
      <c r="E109" s="10">
        <f t="shared" si="16"/>
        <v>2.6998811335838752E-3</v>
      </c>
      <c r="F109" s="10">
        <f t="shared" si="11"/>
        <v>0.67959688937123786</v>
      </c>
      <c r="G109" s="66">
        <f t="shared" si="17"/>
        <v>4</v>
      </c>
      <c r="H109" s="10">
        <f t="shared" si="12"/>
        <v>0.64651783349149072</v>
      </c>
      <c r="I109" s="10">
        <f t="shared" si="13"/>
        <v>2.1133429924985542E-2</v>
      </c>
    </row>
    <row r="110" spans="1:9">
      <c r="A110" s="19">
        <f t="shared" si="14"/>
        <v>7.9999999999999885</v>
      </c>
      <c r="B110" s="10">
        <f t="shared" si="9"/>
        <v>0.9669299020126978</v>
      </c>
      <c r="C110" s="10">
        <f t="shared" si="10"/>
        <v>0.98319016950668936</v>
      </c>
      <c r="D110" s="10">
        <f t="shared" si="15"/>
        <v>5.5046142799998754E-3</v>
      </c>
      <c r="E110" s="10">
        <f t="shared" si="16"/>
        <v>2.7145812395031293E-3</v>
      </c>
      <c r="F110" s="10">
        <f t="shared" si="11"/>
        <v>0.67683936202868733</v>
      </c>
      <c r="G110" s="66">
        <f t="shared" si="17"/>
        <v>2</v>
      </c>
      <c r="H110" s="10">
        <f t="shared" si="12"/>
        <v>0.64345491991478276</v>
      </c>
      <c r="I110" s="10">
        <f t="shared" si="13"/>
        <v>1.0577363589531496E-2</v>
      </c>
    </row>
    <row r="111" spans="1:9">
      <c r="A111" s="19">
        <f t="shared" si="14"/>
        <v>8.0833333333333215</v>
      </c>
      <c r="B111" s="10">
        <f t="shared" si="9"/>
        <v>0.96648514139100494</v>
      </c>
      <c r="C111" s="10">
        <f t="shared" si="10"/>
        <v>0.98296717728841754</v>
      </c>
      <c r="D111" s="10">
        <f t="shared" si="15"/>
        <v>5.5372847356800065E-3</v>
      </c>
      <c r="E111" s="10">
        <f t="shared" si="16"/>
        <v>2.729364461958463E-3</v>
      </c>
      <c r="F111" s="10">
        <f t="shared" si="11"/>
        <v>0.67409302360881129</v>
      </c>
      <c r="G111" s="66">
        <f t="shared" si="17"/>
        <v>4</v>
      </c>
      <c r="H111" s="10">
        <f t="shared" si="12"/>
        <v>0.64040399205643805</v>
      </c>
      <c r="I111" s="10">
        <f t="shared" si="13"/>
        <v>2.1175980588391305E-2</v>
      </c>
    </row>
    <row r="112" spans="1:9">
      <c r="A112" s="19">
        <f t="shared" si="14"/>
        <v>8.1666666666666554</v>
      </c>
      <c r="B112" s="10">
        <f t="shared" si="9"/>
        <v>0.96603794732680981</v>
      </c>
      <c r="C112" s="10">
        <f t="shared" si="10"/>
        <v>0.98274302154991677</v>
      </c>
      <c r="D112" s="10">
        <f t="shared" si="15"/>
        <v>5.5701526816192099E-3</v>
      </c>
      <c r="E112" s="10">
        <f t="shared" si="16"/>
        <v>2.7442312709028529E-3</v>
      </c>
      <c r="F112" s="10">
        <f t="shared" si="11"/>
        <v>0.67135782871151917</v>
      </c>
      <c r="G112" s="66">
        <f t="shared" si="17"/>
        <v>2</v>
      </c>
      <c r="H112" s="10">
        <f t="shared" si="12"/>
        <v>0.63736500220285397</v>
      </c>
      <c r="I112" s="10">
        <f t="shared" si="13"/>
        <v>1.0598594692429197E-2</v>
      </c>
    </row>
    <row r="113" spans="1:9">
      <c r="A113" s="19">
        <f t="shared" si="14"/>
        <v>8.2499999999999893</v>
      </c>
      <c r="B113" s="10">
        <f t="shared" si="9"/>
        <v>0.96558830744868662</v>
      </c>
      <c r="C113" s="10">
        <f t="shared" si="10"/>
        <v>0.98251769624720631</v>
      </c>
      <c r="D113" s="10">
        <f t="shared" si="15"/>
        <v>5.6032193116301084E-3</v>
      </c>
      <c r="E113" s="10">
        <f t="shared" si="16"/>
        <v>2.75918213894646E-3</v>
      </c>
      <c r="F113" s="10">
        <f t="shared" si="11"/>
        <v>0.66863373212093569</v>
      </c>
      <c r="G113" s="66">
        <f t="shared" si="17"/>
        <v>4</v>
      </c>
      <c r="H113" s="10">
        <f t="shared" si="12"/>
        <v>0.63433790285004754</v>
      </c>
      <c r="I113" s="10">
        <f t="shared" si="13"/>
        <v>2.1218352795795745E-2</v>
      </c>
    </row>
    <row r="114" spans="1:9">
      <c r="A114" s="19">
        <f t="shared" si="14"/>
        <v>8.3333333333333233</v>
      </c>
      <c r="B114" s="10">
        <f t="shared" si="9"/>
        <v>0.96513620933699928</v>
      </c>
      <c r="C114" s="10">
        <f t="shared" si="10"/>
        <v>0.98229119530795961</v>
      </c>
      <c r="D114" s="10">
        <f t="shared" si="15"/>
        <v>5.6364858267418322E-3</v>
      </c>
      <c r="E114" s="10">
        <f t="shared" si="16"/>
        <v>2.7742175413716557E-3</v>
      </c>
      <c r="F114" s="10">
        <f t="shared" si="11"/>
        <v>0.66592068880465327</v>
      </c>
      <c r="G114" s="66">
        <f t="shared" si="17"/>
        <v>2</v>
      </c>
      <c r="H114" s="10">
        <f t="shared" si="12"/>
        <v>0.63132264670290017</v>
      </c>
      <c r="I114" s="10">
        <f t="shared" si="13"/>
        <v>1.0619735021980809E-2</v>
      </c>
    </row>
    <row r="115" spans="1:9">
      <c r="A115" s="19">
        <f t="shared" si="14"/>
        <v>8.4166666666666572</v>
      </c>
      <c r="B115" s="10">
        <f t="shared" si="9"/>
        <v>0.96468164052390326</v>
      </c>
      <c r="C115" s="10">
        <f t="shared" si="10"/>
        <v>0.98206351263140601</v>
      </c>
      <c r="D115" s="10">
        <f t="shared" si="15"/>
        <v>5.669953435243626E-3</v>
      </c>
      <c r="E115" s="10">
        <f t="shared" si="16"/>
        <v>2.789337956148121E-3</v>
      </c>
      <c r="F115" s="10">
        <f t="shared" si="11"/>
        <v>0.66321865391298707</v>
      </c>
      <c r="G115" s="66">
        <f t="shared" si="17"/>
        <v>4</v>
      </c>
      <c r="H115" s="10">
        <f t="shared" si="12"/>
        <v>0.62831918667440456</v>
      </c>
      <c r="I115" s="10">
        <f t="shared" si="13"/>
        <v>2.1260540347524212E-2</v>
      </c>
    </row>
    <row r="116" spans="1:9">
      <c r="A116" s="19">
        <f t="shared" si="14"/>
        <v>8.4999999999999911</v>
      </c>
      <c r="B116" s="10">
        <f t="shared" si="9"/>
        <v>0.96422458849334836</v>
      </c>
      <c r="C116" s="10">
        <f t="shared" si="10"/>
        <v>0.98183464208823401</v>
      </c>
      <c r="D116" s="10">
        <f t="shared" si="15"/>
        <v>5.7036233527287495E-3</v>
      </c>
      <c r="E116" s="10">
        <f t="shared" si="16"/>
        <v>2.8045438639480499E-3</v>
      </c>
      <c r="F116" s="10">
        <f t="shared" si="11"/>
        <v>0.66052758277823453</v>
      </c>
      <c r="G116" s="66">
        <f t="shared" si="17"/>
        <v>2</v>
      </c>
      <c r="H116" s="10">
        <f t="shared" si="12"/>
        <v>0.62532747588491633</v>
      </c>
      <c r="I116" s="10">
        <f t="shared" si="13"/>
        <v>1.0640781460022593E-2</v>
      </c>
    </row>
    <row r="117" spans="1:9">
      <c r="A117" s="19">
        <f t="shared" si="14"/>
        <v>8.583333333333325</v>
      </c>
      <c r="B117" s="10">
        <f t="shared" si="9"/>
        <v>0.9637650406810877</v>
      </c>
      <c r="C117" s="10">
        <f t="shared" si="10"/>
        <v>0.98160457752049324</v>
      </c>
      <c r="D117" s="10">
        <f t="shared" si="15"/>
        <v>5.7374968021386254E-3</v>
      </c>
      <c r="E117" s="10">
        <f t="shared" si="16"/>
        <v>2.8198357481614275E-3</v>
      </c>
      <c r="F117" s="10">
        <f t="shared" si="11"/>
        <v>0.65784743091393605</v>
      </c>
      <c r="G117" s="66">
        <f t="shared" si="17"/>
        <v>4</v>
      </c>
      <c r="H117" s="10">
        <f t="shared" si="12"/>
        <v>0.62234746766140858</v>
      </c>
      <c r="I117" s="10">
        <f t="shared" si="13"/>
        <v>2.1302536970463127E-2</v>
      </c>
    </row>
    <row r="118" spans="1:9">
      <c r="A118" s="19">
        <f t="shared" si="14"/>
        <v>8.666666666666659</v>
      </c>
      <c r="B118" s="10">
        <f t="shared" si="9"/>
        <v>0.96330298447468676</v>
      </c>
      <c r="C118" s="10">
        <f t="shared" si="10"/>
        <v>0.98137331274149786</v>
      </c>
      <c r="D118" s="10">
        <f t="shared" si="15"/>
        <v>5.7715750138072558E-3</v>
      </c>
      <c r="E118" s="10">
        <f t="shared" si="16"/>
        <v>2.8352140949113938E-3</v>
      </c>
      <c r="F118" s="10">
        <f t="shared" si="11"/>
        <v>0.65517815401414026</v>
      </c>
      <c r="G118" s="66">
        <f t="shared" si="17"/>
        <v>2</v>
      </c>
      <c r="H118" s="10">
        <f t="shared" si="12"/>
        <v>0.61937911553672986</v>
      </c>
      <c r="I118" s="10">
        <f t="shared" si="13"/>
        <v>1.0661730851538632E-2</v>
      </c>
    </row>
    <row r="119" spans="1:9">
      <c r="A119" s="19">
        <f t="shared" si="14"/>
        <v>8.7499999999999929</v>
      </c>
      <c r="B119" s="10">
        <f t="shared" si="9"/>
        <v>0.96283840721353786</v>
      </c>
      <c r="C119" s="10">
        <f t="shared" si="10"/>
        <v>0.98114084153572945</v>
      </c>
      <c r="D119" s="10">
        <f t="shared" si="15"/>
        <v>5.8058592255059169E-3</v>
      </c>
      <c r="E119" s="10">
        <f t="shared" si="16"/>
        <v>2.8506793930697031E-3</v>
      </c>
      <c r="F119" s="10">
        <f t="shared" si="11"/>
        <v>0.652519707952671</v>
      </c>
      <c r="G119" s="66">
        <f t="shared" si="17"/>
        <v>4</v>
      </c>
      <c r="H119" s="10">
        <f t="shared" si="12"/>
        <v>0.61642237324886551</v>
      </c>
      <c r="I119" s="10">
        <f t="shared" si="13"/>
        <v>2.1344336317531354E-2</v>
      </c>
    </row>
    <row r="120" spans="1:9">
      <c r="A120" s="19">
        <f t="shared" si="14"/>
        <v>8.8333333333333268</v>
      </c>
      <c r="B120" s="10">
        <f t="shared" si="9"/>
        <v>0.96237129618887574</v>
      </c>
      <c r="C120" s="10">
        <f t="shared" si="10"/>
        <v>0.9809071576587397</v>
      </c>
      <c r="D120" s="10">
        <f t="shared" si="15"/>
        <v>5.8403506824881097E-3</v>
      </c>
      <c r="E120" s="10">
        <f t="shared" si="16"/>
        <v>2.8662321342722594E-3</v>
      </c>
      <c r="F120" s="10">
        <f t="shared" si="11"/>
        <v>0.64987204878239835</v>
      </c>
      <c r="G120" s="66">
        <f t="shared" si="17"/>
        <v>2</v>
      </c>
      <c r="H120" s="10">
        <f t="shared" si="12"/>
        <v>0.61347719474020124</v>
      </c>
      <c r="I120" s="10">
        <f t="shared" si="13"/>
        <v>1.0682580004398782E-2</v>
      </c>
    </row>
    <row r="121" spans="1:9">
      <c r="A121" s="19">
        <f t="shared" si="14"/>
        <v>8.9166666666666607</v>
      </c>
      <c r="B121" s="10">
        <f t="shared" si="9"/>
        <v>0.96190163864379952</v>
      </c>
      <c r="C121" s="10">
        <f t="shared" si="10"/>
        <v>0.98067225483705389</v>
      </c>
      <c r="D121" s="10">
        <f t="shared" si="15"/>
        <v>5.875050637534786E-3</v>
      </c>
      <c r="E121" s="10">
        <f t="shared" si="16"/>
        <v>2.8818728129347462E-3</v>
      </c>
      <c r="F121" s="10">
        <f t="shared" si="11"/>
        <v>0.64723513273451194</v>
      </c>
      <c r="G121" s="66">
        <f t="shared" si="17"/>
        <v>4</v>
      </c>
      <c r="H121" s="10">
        <f t="shared" si="12"/>
        <v>0.61054353415679297</v>
      </c>
      <c r="I121" s="10">
        <f t="shared" si="13"/>
        <v>2.1385931967160668E-2</v>
      </c>
    </row>
    <row r="122" spans="1:9">
      <c r="A122" s="19">
        <f t="shared" si="14"/>
        <v>8.9999999999999947</v>
      </c>
      <c r="B122" s="10">
        <f t="shared" si="9"/>
        <v>0.96142942177329471</v>
      </c>
      <c r="C122" s="10">
        <f t="shared" si="10"/>
        <v>0.98043612676807457</v>
      </c>
      <c r="D122" s="10">
        <f t="shared" si="15"/>
        <v>5.9099603509998695E-3</v>
      </c>
      <c r="E122" s="10">
        <f t="shared" si="16"/>
        <v>2.8976019262683499E-3</v>
      </c>
      <c r="F122" s="10">
        <f t="shared" si="11"/>
        <v>0.64460891621779726</v>
      </c>
      <c r="G122" s="66">
        <f t="shared" si="17"/>
        <v>2</v>
      </c>
      <c r="H122" s="10">
        <f t="shared" si="12"/>
        <v>0.6076213458476365</v>
      </c>
      <c r="I122" s="10">
        <f t="shared" si="13"/>
        <v>1.070332568910118E-2</v>
      </c>
    </row>
    <row r="123" spans="1:9">
      <c r="A123" s="19">
        <f t="shared" si="14"/>
        <v>9.0833333333333286</v>
      </c>
      <c r="B123" s="10">
        <f t="shared" si="9"/>
        <v>0.96095463272426029</v>
      </c>
      <c r="C123" s="10">
        <f t="shared" si="10"/>
        <v>0.98019876711998433</v>
      </c>
      <c r="D123" s="10">
        <f t="shared" si="15"/>
        <v>5.945081090856009E-3</v>
      </c>
      <c r="E123" s="10">
        <f t="shared" si="16"/>
        <v>2.9134199742955566E-3</v>
      </c>
      <c r="F123" s="10">
        <f t="shared" si="11"/>
        <v>0.64199335581791528</v>
      </c>
      <c r="G123" s="66">
        <f t="shared" si="17"/>
        <v>4</v>
      </c>
      <c r="H123" s="10">
        <f t="shared" si="12"/>
        <v>0.60471058436394198</v>
      </c>
      <c r="I123" s="10">
        <f t="shared" si="13"/>
        <v>2.1427317422785624E-2</v>
      </c>
    </row>
    <row r="124" spans="1:9">
      <c r="A124" s="19">
        <f t="shared" si="14"/>
        <v>9.1666666666666625</v>
      </c>
      <c r="B124" s="10">
        <f t="shared" si="9"/>
        <v>0.96047725859553978</v>
      </c>
      <c r="C124" s="10">
        <f t="shared" si="10"/>
        <v>0.97996016953165022</v>
      </c>
      <c r="D124" s="10">
        <f t="shared" si="15"/>
        <v>5.9804141327406534E-3</v>
      </c>
      <c r="E124" s="10">
        <f t="shared" si="16"/>
        <v>2.9293274598660539E-3</v>
      </c>
      <c r="F124" s="10">
        <f t="shared" si="11"/>
        <v>0.63938840829668475</v>
      </c>
      <c r="G124" s="66">
        <f t="shared" si="17"/>
        <v>2</v>
      </c>
      <c r="H124" s="10">
        <f t="shared" si="12"/>
        <v>0.6018112044584133</v>
      </c>
      <c r="I124" s="10">
        <f t="shared" si="13"/>
        <v>1.0723964638519729E-2</v>
      </c>
    </row>
    <row r="125" spans="1:9">
      <c r="A125" s="19">
        <f t="shared" si="14"/>
        <v>9.2499999999999964</v>
      </c>
      <c r="B125" s="10">
        <f t="shared" si="9"/>
        <v>0.95999728643795368</v>
      </c>
      <c r="C125" s="10">
        <f t="shared" si="10"/>
        <v>0.97972032761252692</v>
      </c>
      <c r="D125" s="10">
        <f t="shared" si="15"/>
        <v>6.0159607600023726E-3</v>
      </c>
      <c r="E125" s="10">
        <f t="shared" si="16"/>
        <v>2.9453248886727157E-3</v>
      </c>
      <c r="F125" s="10">
        <f t="shared" si="11"/>
        <v>0.63679403059136708</v>
      </c>
      <c r="G125" s="66">
        <f t="shared" si="17"/>
        <v>4</v>
      </c>
      <c r="H125" s="10">
        <f t="shared" si="12"/>
        <v>0.59892316108452648</v>
      </c>
      <c r="I125" s="10">
        <f t="shared" si="13"/>
        <v>2.1468486112343539E-2</v>
      </c>
    </row>
    <row r="126" spans="1:9">
      <c r="A126" s="19">
        <f t="shared" si="14"/>
        <v>9.3333333333333304</v>
      </c>
      <c r="B126" s="10">
        <f t="shared" si="9"/>
        <v>0.95951470325433819</v>
      </c>
      <c r="C126" s="10">
        <f t="shared" si="10"/>
        <v>0.97947923494256228</v>
      </c>
      <c r="D126" s="10">
        <f t="shared" si="15"/>
        <v>6.0517222637474725E-3</v>
      </c>
      <c r="E126" s="10">
        <f t="shared" si="16"/>
        <v>2.9614127692676726E-3</v>
      </c>
      <c r="F126" s="10">
        <f t="shared" si="11"/>
        <v>0.63421017981395522</v>
      </c>
      <c r="G126" s="66">
        <f t="shared" si="17"/>
        <v>2</v>
      </c>
      <c r="H126" s="10">
        <f t="shared" si="12"/>
        <v>0.59604640939581699</v>
      </c>
      <c r="I126" s="10">
        <f t="shared" si="13"/>
        <v>1.0744493547656652E-2</v>
      </c>
    </row>
    <row r="127" spans="1:9">
      <c r="A127" s="19">
        <f t="shared" si="14"/>
        <v>9.4166666666666643</v>
      </c>
      <c r="B127" s="10">
        <f t="shared" si="9"/>
        <v>0.95902949599958498</v>
      </c>
      <c r="C127" s="10">
        <f t="shared" si="10"/>
        <v>0.97923688507209949</v>
      </c>
      <c r="D127" s="10">
        <f t="shared" si="15"/>
        <v>6.0876999428869007E-3</v>
      </c>
      <c r="E127" s="10">
        <f t="shared" si="16"/>
        <v>2.9775916130784902E-3</v>
      </c>
      <c r="F127" s="10">
        <f t="shared" si="11"/>
        <v>0.63163681325046361</v>
      </c>
      <c r="G127" s="66">
        <f t="shared" si="17"/>
        <v>4</v>
      </c>
      <c r="H127" s="10">
        <f t="shared" si="12"/>
        <v>0.59318090474516449</v>
      </c>
      <c r="I127" s="10">
        <f t="shared" si="13"/>
        <v>2.1509431387785001E-2</v>
      </c>
    </row>
    <row r="128" spans="1:9">
      <c r="A128" s="19">
        <f t="shared" si="14"/>
        <v>9.4999999999999982</v>
      </c>
      <c r="B128" s="10">
        <f t="shared" si="9"/>
        <v>0.95854165158068638</v>
      </c>
      <c r="C128" s="10">
        <f t="shared" si="10"/>
        <v>0.97899327152178306</v>
      </c>
      <c r="D128" s="10">
        <f t="shared" si="15"/>
        <v>6.1238951041834092E-3</v>
      </c>
      <c r="E128" s="10">
        <f t="shared" si="16"/>
        <v>2.993861934424415E-3</v>
      </c>
      <c r="F128" s="10">
        <f t="shared" si="11"/>
        <v>0.62907388836022315</v>
      </c>
      <c r="G128" s="66">
        <f t="shared" si="17"/>
        <v>2</v>
      </c>
      <c r="H128" s="10">
        <f t="shared" si="12"/>
        <v>0.5903266026840851</v>
      </c>
      <c r="I128" s="10">
        <f t="shared" si="13"/>
        <v>1.0764909073400521E-2</v>
      </c>
    </row>
    <row r="129" spans="1:9">
      <c r="A129" s="19">
        <f t="shared" si="14"/>
        <v>9.5833333333333321</v>
      </c>
      <c r="B129" s="10">
        <f t="shared" si="9"/>
        <v>0.95805115685678344</v>
      </c>
      <c r="C129" s="10">
        <f t="shared" si="10"/>
        <v>0.9787483877824632</v>
      </c>
      <c r="D129" s="10">
        <f t="shared" si="15"/>
        <v>6.1603090622990228E-3</v>
      </c>
      <c r="E129" s="10">
        <f t="shared" si="16"/>
        <v>3.0102242505327275E-3</v>
      </c>
      <c r="F129" s="10">
        <f t="shared" si="11"/>
        <v>0.626521362775177</v>
      </c>
      <c r="G129" s="66">
        <f t="shared" si="17"/>
        <v>4</v>
      </c>
      <c r="H129" s="10">
        <f t="shared" si="12"/>
        <v>0.58748345896202447</v>
      </c>
      <c r="I129" s="10">
        <f t="shared" si="13"/>
        <v>2.1550146524595477E-2</v>
      </c>
    </row>
    <row r="130" spans="1:9">
      <c r="A130" s="19">
        <f t="shared" si="14"/>
        <v>9.6666666666666661</v>
      </c>
      <c r="B130" s="10">
        <f t="shared" si="9"/>
        <v>0.95755799863921742</v>
      </c>
      <c r="C130" s="10">
        <f t="shared" si="10"/>
        <v>0.97850222731510006</v>
      </c>
      <c r="D130" s="10">
        <f t="shared" si="15"/>
        <v>6.196943139842803E-3</v>
      </c>
      <c r="E130" s="10">
        <f t="shared" si="16"/>
        <v>3.0266790815551927E-3</v>
      </c>
      <c r="F130" s="10">
        <f t="shared" si="11"/>
        <v>0.62397919429918092</v>
      </c>
      <c r="G130" s="66">
        <f t="shared" si="17"/>
        <v>2</v>
      </c>
      <c r="H130" s="10">
        <f t="shared" si="12"/>
        <v>0.58465142952565496</v>
      </c>
      <c r="I130" s="10">
        <f t="shared" si="13"/>
        <v>1.0785207834289871E-2</v>
      </c>
    </row>
    <row r="131" spans="1:9">
      <c r="A131" s="19">
        <f t="shared" si="14"/>
        <v>9.75</v>
      </c>
      <c r="B131" s="10">
        <f t="shared" si="9"/>
        <v>0.95706216369158648</v>
      </c>
      <c r="C131" s="10">
        <f t="shared" si="10"/>
        <v>0.97825478355066997</v>
      </c>
      <c r="D131" s="10">
        <f t="shared" si="15"/>
        <v>6.2337986674188637E-3</v>
      </c>
      <c r="E131" s="10">
        <f t="shared" si="16"/>
        <v>3.0432269505845837E-3</v>
      </c>
      <c r="F131" s="10">
        <f t="shared" si="11"/>
        <v>0.62144734090730558</v>
      </c>
      <c r="G131" s="66">
        <f t="shared" si="17"/>
        <v>4</v>
      </c>
      <c r="H131" s="10">
        <f t="shared" si="12"/>
        <v>0.58183047051817649</v>
      </c>
      <c r="I131" s="10">
        <f t="shared" si="13"/>
        <v>2.1590624721328493E-2</v>
      </c>
    </row>
    <row r="132" spans="1:9">
      <c r="A132" s="19">
        <f t="shared" si="14"/>
        <v>9.8333333333333339</v>
      </c>
      <c r="B132" s="10">
        <f t="shared" si="9"/>
        <v>0.95656363872980466</v>
      </c>
      <c r="C132" s="10">
        <f t="shared" si="10"/>
        <v>0.97800604989006967</v>
      </c>
      <c r="D132" s="10">
        <f t="shared" si="15"/>
        <v>6.2708769836747206E-3</v>
      </c>
      <c r="E132" s="10">
        <f t="shared" si="16"/>
        <v>3.059868383671319E-3</v>
      </c>
      <c r="F132" s="10">
        <f t="shared" si="11"/>
        <v>0.61892576074514116</v>
      </c>
      <c r="G132" s="66">
        <f t="shared" si="17"/>
        <v>2</v>
      </c>
      <c r="H132" s="10">
        <f t="shared" si="12"/>
        <v>0.57902053827861844</v>
      </c>
      <c r="I132" s="10">
        <f t="shared" si="13"/>
        <v>1.0805386410282858E-2</v>
      </c>
    </row>
    <row r="133" spans="1:9">
      <c r="A133" s="19">
        <f t="shared" si="14"/>
        <v>9.9166666666666679</v>
      </c>
      <c r="B133" s="10">
        <f t="shared" si="9"/>
        <v>0.95606241042216578</v>
      </c>
      <c r="C133" s="10">
        <f t="shared" si="10"/>
        <v>0.97775601970402315</v>
      </c>
      <c r="D133" s="10">
        <f t="shared" si="15"/>
        <v>6.3081794353499008E-3</v>
      </c>
      <c r="E133" s="10">
        <f t="shared" si="16"/>
        <v>3.0766039098401813E-3</v>
      </c>
      <c r="F133" s="10">
        <f t="shared" si="11"/>
        <v>0.61641441212810644</v>
      </c>
      <c r="G133" s="66">
        <f t="shared" si="17"/>
        <v>4</v>
      </c>
      <c r="H133" s="10">
        <f t="shared" si="12"/>
        <v>0.57622158934114753</v>
      </c>
      <c r="I133" s="10">
        <f t="shared" si="13"/>
        <v>2.163085909915104E-2</v>
      </c>
    </row>
    <row r="134" spans="1:9">
      <c r="A134" s="19">
        <f t="shared" si="14"/>
        <v>10.000000000000002</v>
      </c>
      <c r="B134" s="10">
        <f t="shared" si="9"/>
        <v>0.95555846538941058</v>
      </c>
      <c r="C134" s="10">
        <f t="shared" si="10"/>
        <v>0.97750468633298593</v>
      </c>
      <c r="D134" s="10">
        <f t="shared" si="15"/>
        <v>6.3457073773248666E-3</v>
      </c>
      <c r="E134" s="10">
        <f t="shared" si="16"/>
        <v>3.0934340611071306E-3</v>
      </c>
      <c r="F134" s="10">
        <f t="shared" si="11"/>
        <v>0.6139132535407591</v>
      </c>
      <c r="G134" s="66">
        <f t="shared" si="17"/>
        <v>2</v>
      </c>
      <c r="H134" s="10">
        <f t="shared" si="12"/>
        <v>0.57343358043437598</v>
      </c>
      <c r="I134" s="10">
        <f t="shared" si="13"/>
        <v>1.0825441342533092E-2</v>
      </c>
    </row>
    <row r="135" spans="1:9">
      <c r="A135" s="19">
        <f t="shared" si="14"/>
        <v>10.083333333333336</v>
      </c>
      <c r="B135" s="10">
        <f t="shared" si="9"/>
        <v>0.95505179020479836</v>
      </c>
      <c r="C135" s="10">
        <f t="shared" si="10"/>
        <v>0.97725204308705271</v>
      </c>
      <c r="D135" s="10">
        <f t="shared" si="15"/>
        <v>6.3834621726702127E-3</v>
      </c>
      <c r="E135" s="10">
        <f t="shared" si="16"/>
        <v>3.1103593724962474E-3</v>
      </c>
      <c r="F135" s="10">
        <f t="shared" si="11"/>
        <v>0.61142224363610964</v>
      </c>
      <c r="G135" s="66">
        <f t="shared" si="17"/>
        <v>4</v>
      </c>
      <c r="H135" s="10">
        <f t="shared" si="12"/>
        <v>0.57065646848067497</v>
      </c>
      <c r="I135" s="10">
        <f t="shared" si="13"/>
        <v>2.1670842701401752E-2</v>
      </c>
    </row>
    <row r="136" spans="1:9">
      <c r="A136" s="19">
        <f t="shared" si="14"/>
        <v>10.16666666666667</v>
      </c>
      <c r="B136" s="10">
        <f t="shared" si="9"/>
        <v>0.95454237139418319</v>
      </c>
      <c r="C136" s="10">
        <f t="shared" si="10"/>
        <v>0.97699808324586279</v>
      </c>
      <c r="D136" s="10">
        <f t="shared" si="15"/>
        <v>6.4214451926962058E-3</v>
      </c>
      <c r="E136" s="10">
        <f t="shared" si="16"/>
        <v>3.1273803820566796E-3</v>
      </c>
      <c r="F136" s="10">
        <f t="shared" si="11"/>
        <v>0.60894134123493759</v>
      </c>
      <c r="G136" s="66">
        <f t="shared" si="17"/>
        <v>2</v>
      </c>
      <c r="H136" s="10">
        <f t="shared" si="12"/>
        <v>0.56789021059549005</v>
      </c>
      <c r="I136" s="10">
        <f t="shared" si="13"/>
        <v>1.0845369133172036E-2</v>
      </c>
    </row>
    <row r="137" spans="1:9">
      <c r="A137" s="19">
        <f t="shared" si="14"/>
        <v>10.250000000000004</v>
      </c>
      <c r="B137" s="10">
        <f t="shared" si="9"/>
        <v>0.95403019543609247</v>
      </c>
      <c r="C137" s="10">
        <f t="shared" si="10"/>
        <v>0.97674280005850722</v>
      </c>
      <c r="D137" s="10">
        <f t="shared" si="15"/>
        <v>6.4596578170025504E-3</v>
      </c>
      <c r="E137" s="10">
        <f t="shared" si="16"/>
        <v>3.1444976308798059E-3</v>
      </c>
      <c r="F137" s="10">
        <f t="shared" si="11"/>
        <v>0.60647050532511126</v>
      </c>
      <c r="G137" s="66">
        <f t="shared" si="17"/>
        <v>4</v>
      </c>
      <c r="H137" s="10">
        <f t="shared" si="12"/>
        <v>0.56513476408665964</v>
      </c>
      <c r="I137" s="10">
        <f t="shared" si="13"/>
        <v>2.1710568493162406E-2</v>
      </c>
    </row>
    <row r="138" spans="1:9">
      <c r="A138" s="19">
        <f t="shared" si="14"/>
        <v>10.333333333333337</v>
      </c>
      <c r="B138" s="10">
        <f t="shared" si="9"/>
        <v>0.95351524876181237</v>
      </c>
      <c r="C138" s="10">
        <f t="shared" si="10"/>
        <v>0.9764861867434359</v>
      </c>
      <c r="D138" s="10">
        <f t="shared" si="15"/>
        <v>6.4981014335285352E-3</v>
      </c>
      <c r="E138" s="10">
        <f t="shared" si="16"/>
        <v>3.1617116631164109E-3</v>
      </c>
      <c r="F138" s="10">
        <f t="shared" si="11"/>
        <v>0.6040096950609094</v>
      </c>
      <c r="G138" s="66">
        <f t="shared" si="17"/>
        <v>2</v>
      </c>
      <c r="H138" s="10">
        <f t="shared" si="12"/>
        <v>0.562390086453737</v>
      </c>
      <c r="I138" s="10">
        <f t="shared" si="13"/>
        <v>1.0865166245098182E-2</v>
      </c>
    </row>
    <row r="139" spans="1:9">
      <c r="A139" s="19">
        <f t="shared" si="14"/>
        <v>10.416666666666671</v>
      </c>
      <c r="B139" s="10">
        <f t="shared" si="9"/>
        <v>0.95299751775547492</v>
      </c>
      <c r="C139" s="10">
        <f t="shared" si="10"/>
        <v>0.97622823648836443</v>
      </c>
      <c r="D139" s="10">
        <f t="shared" si="15"/>
        <v>6.5367774386034206E-3</v>
      </c>
      <c r="E139" s="10">
        <f t="shared" si="16"/>
        <v>3.1790230259939865E-3</v>
      </c>
      <c r="F139" s="10">
        <f t="shared" si="11"/>
        <v>0.60155886976234607</v>
      </c>
      <c r="G139" s="66">
        <f t="shared" si="17"/>
        <v>4</v>
      </c>
      <c r="H139" s="10">
        <f t="shared" si="12"/>
        <v>0.55965613538731507</v>
      </c>
      <c r="I139" s="10">
        <f t="shared" si="13"/>
        <v>2.1750029360843463E-2</v>
      </c>
    </row>
    <row r="140" spans="1:9">
      <c r="A140" s="19">
        <f t="shared" si="14"/>
        <v>10.500000000000005</v>
      </c>
      <c r="B140" s="10">
        <f t="shared" si="9"/>
        <v>0.95247698875415054</v>
      </c>
      <c r="C140" s="10">
        <f t="shared" si="10"/>
        <v>0.97596894245018173</v>
      </c>
      <c r="D140" s="10">
        <f t="shared" si="15"/>
        <v>6.5756872369971677E-3</v>
      </c>
      <c r="E140" s="10">
        <f t="shared" si="16"/>
        <v>3.1964322698341254E-3</v>
      </c>
      <c r="F140" s="10">
        <f t="shared" si="11"/>
        <v>0.59911798891449797</v>
      </c>
      <c r="G140" s="66">
        <f t="shared" si="17"/>
        <v>2</v>
      </c>
      <c r="H140" s="10">
        <f t="shared" si="12"/>
        <v>0.55693286876835324</v>
      </c>
      <c r="I140" s="10">
        <f t="shared" si="13"/>
        <v>1.0884829101773475E-2</v>
      </c>
    </row>
    <row r="141" spans="1:9">
      <c r="A141" s="19">
        <f t="shared" si="14"/>
        <v>10.583333333333339</v>
      </c>
      <c r="B141" s="10">
        <f t="shared" si="9"/>
        <v>0.95195364804794547</v>
      </c>
      <c r="C141" s="10">
        <f t="shared" si="10"/>
        <v>0.97570829775485834</v>
      </c>
      <c r="D141" s="10">
        <f t="shared" si="15"/>
        <v>6.6148322419714552E-3</v>
      </c>
      <c r="E141" s="10">
        <f t="shared" si="16"/>
        <v>3.2139399480700212E-3</v>
      </c>
      <c r="F141" s="10">
        <f t="shared" si="11"/>
        <v>0.59668701216683506</v>
      </c>
      <c r="G141" s="66">
        <f t="shared" si="17"/>
        <v>4</v>
      </c>
      <c r="H141" s="10">
        <f t="shared" si="12"/>
        <v>0.5542202446675093</v>
      </c>
      <c r="I141" s="10">
        <f t="shared" si="13"/>
        <v>2.1789218111783994E-2</v>
      </c>
    </row>
    <row r="142" spans="1:9">
      <c r="A142" s="19">
        <f t="shared" si="14"/>
        <v>10.666666666666673</v>
      </c>
      <c r="B142" s="10">
        <f t="shared" ref="B142:B205" si="18">(B$9^A142)*B$10^((B$6^28)*((B$6^A142)-1))</f>
        <v>0.95142748188010318</v>
      </c>
      <c r="C142" s="10">
        <f t="shared" ref="C142:C205" si="19">(B$9^A142)*B$11^((B$7^24)*((B$7^A142)-1))</f>
        <v>0.97544629549735462</v>
      </c>
      <c r="D142" s="10">
        <f t="shared" si="15"/>
        <v>6.654213875331016E-3</v>
      </c>
      <c r="E142" s="10">
        <f t="shared" si="16"/>
        <v>3.2315466172640572E-3</v>
      </c>
      <c r="F142" s="10">
        <f t="shared" si="11"/>
        <v>0.59426589933255303</v>
      </c>
      <c r="G142" s="66">
        <f t="shared" si="17"/>
        <v>2</v>
      </c>
      <c r="H142" s="10">
        <f t="shared" si="12"/>
        <v>0.55151822134447226</v>
      </c>
      <c r="I142" s="10">
        <f t="shared" si="13"/>
        <v>1.0904354087026977E-2</v>
      </c>
    </row>
    <row r="143" spans="1:9">
      <c r="A143" s="19">
        <f t="shared" si="14"/>
        <v>10.750000000000007</v>
      </c>
      <c r="B143" s="10">
        <f t="shared" si="18"/>
        <v>0.95089847644710912</v>
      </c>
      <c r="C143" s="10">
        <f t="shared" si="19"/>
        <v>0.9751829287415289</v>
      </c>
      <c r="D143" s="10">
        <f t="shared" si="15"/>
        <v>6.6938335674752826E-3</v>
      </c>
      <c r="E143" s="10">
        <f t="shared" si="16"/>
        <v>3.2492528371255063E-3</v>
      </c>
      <c r="F143" s="10">
        <f t="shared" ref="F143:F206" si="20">(1+B$8)^-A143</f>
        <v>0.59185461038790987</v>
      </c>
      <c r="G143" s="66">
        <f t="shared" si="17"/>
        <v>4</v>
      </c>
      <c r="H143" s="10">
        <f t="shared" ref="H143:H206" si="21">B143*C143*F143</f>
        <v>0.54882675724729968</v>
      </c>
      <c r="I143" s="10">
        <f t="shared" ref="I143:I206" si="22">B143*C143*(D143+E143)*F143*G143</f>
        <v>2.1828127473867052E-2</v>
      </c>
    </row>
    <row r="144" spans="1:9">
      <c r="A144" s="19">
        <f t="shared" ref="A144:A207" si="23">A143+1/12</f>
        <v>10.833333333333341</v>
      </c>
      <c r="B144" s="10">
        <f t="shared" si="18"/>
        <v>0.9503666178988025</v>
      </c>
      <c r="C144" s="10">
        <f t="shared" si="19"/>
        <v>0.97491819052004702</v>
      </c>
      <c r="D144" s="10">
        <f t="shared" si="15"/>
        <v>6.7336927574503267E-3</v>
      </c>
      <c r="E144" s="10">
        <f t="shared" si="16"/>
        <v>3.2670591705283129E-3</v>
      </c>
      <c r="F144" s="10">
        <f t="shared" si="20"/>
        <v>0.58945310547156271</v>
      </c>
      <c r="G144" s="66">
        <f t="shared" si="17"/>
        <v>2</v>
      </c>
      <c r="H144" s="10">
        <f t="shared" si="21"/>
        <v>0.54614581101175608</v>
      </c>
      <c r="I144" s="10">
        <f t="shared" si="22"/>
        <v>1.0923737544866556E-2</v>
      </c>
    </row>
    <row r="145" spans="1:9">
      <c r="A145" s="19">
        <f t="shared" si="23"/>
        <v>10.916666666666675</v>
      </c>
      <c r="B145" s="10">
        <f t="shared" si="18"/>
        <v>0.94983189233848997</v>
      </c>
      <c r="C145" s="10">
        <f t="shared" si="19"/>
        <v>0.97465207383429109</v>
      </c>
      <c r="D145" s="10">
        <f t="shared" ref="D145:D208" si="24">B$3+B$4*(B$6^(28+A145))</f>
        <v>6.7737928930011425E-3</v>
      </c>
      <c r="E145" s="10">
        <f t="shared" ref="E145:E208" si="25">B$3+B$5*(B$7^(24+A145))</f>
        <v>3.2849661835289944E-3</v>
      </c>
      <c r="F145" s="10">
        <f t="shared" si="20"/>
        <v>0.5870613448839106</v>
      </c>
      <c r="G145" s="66">
        <f t="shared" ref="G145:G208" si="26">IF(G144=4,2,4)</f>
        <v>4</v>
      </c>
      <c r="H145" s="10">
        <f t="shared" si="21"/>
        <v>0.54347534146065657</v>
      </c>
      <c r="I145" s="10">
        <f t="shared" si="22"/>
        <v>2.1866750095150777E-2</v>
      </c>
    </row>
    <row r="146" spans="1:9">
      <c r="A146" s="19">
        <f t="shared" si="23"/>
        <v>11.000000000000009</v>
      </c>
      <c r="B146" s="10">
        <f t="shared" si="18"/>
        <v>0.94929428582306619</v>
      </c>
      <c r="C146" s="10">
        <f t="shared" si="19"/>
        <v>0.97438457165426984</v>
      </c>
      <c r="D146" s="10">
        <f t="shared" si="24"/>
        <v>6.8141354306242297E-3</v>
      </c>
      <c r="E146" s="10">
        <f t="shared" si="25"/>
        <v>3.3029744453846369E-3</v>
      </c>
      <c r="F146" s="10">
        <f t="shared" si="20"/>
        <v>0.58467928908643696</v>
      </c>
      <c r="G146" s="66">
        <f t="shared" si="26"/>
        <v>2</v>
      </c>
      <c r="H146" s="10">
        <f t="shared" si="21"/>
        <v>0.5408153076032115</v>
      </c>
      <c r="I146" s="10">
        <f t="shared" si="22"/>
        <v>1.0942975779298449E-2</v>
      </c>
    </row>
    <row r="147" spans="1:9">
      <c r="A147" s="19">
        <f t="shared" si="23"/>
        <v>11.083333333333343</v>
      </c>
      <c r="B147" s="10">
        <f t="shared" si="18"/>
        <v>0.94875378436313751</v>
      </c>
      <c r="C147" s="10">
        <f t="shared" si="19"/>
        <v>0.97411567691852796</v>
      </c>
      <c r="D147" s="10">
        <f t="shared" si="24"/>
        <v>6.854721835620481E-3</v>
      </c>
      <c r="E147" s="10">
        <f t="shared" si="25"/>
        <v>3.3210845285709858E-3</v>
      </c>
      <c r="F147" s="10">
        <f t="shared" si="20"/>
        <v>0.58230689870105645</v>
      </c>
      <c r="G147" s="66">
        <f t="shared" si="26"/>
        <v>4</v>
      </c>
      <c r="H147" s="10">
        <f t="shared" si="21"/>
        <v>0.53816566863437476</v>
      </c>
      <c r="I147" s="10">
        <f t="shared" si="22"/>
        <v>2.1905078543516112E-2</v>
      </c>
    </row>
    <row r="148" spans="1:9">
      <c r="A148" s="19">
        <f t="shared" si="23"/>
        <v>11.166666666666677</v>
      </c>
      <c r="B148" s="10">
        <f t="shared" si="18"/>
        <v>0.94821037392315199</v>
      </c>
      <c r="C148" s="10">
        <f t="shared" si="19"/>
        <v>0.97384538253405728</v>
      </c>
      <c r="D148" s="10">
        <f t="shared" si="24"/>
        <v>6.8955535821484237E-3</v>
      </c>
      <c r="E148" s="10">
        <f t="shared" si="25"/>
        <v>3.3392970088006488E-3</v>
      </c>
      <c r="F148" s="10">
        <f t="shared" si="20"/>
        <v>0.57994413450946414</v>
      </c>
      <c r="G148" s="66">
        <f t="shared" si="26"/>
        <v>2</v>
      </c>
      <c r="H148" s="10">
        <f t="shared" si="21"/>
        <v>0.53552638393419516</v>
      </c>
      <c r="I148" s="10">
        <f t="shared" si="22"/>
        <v>1.0962065054155434E-2</v>
      </c>
    </row>
    <row r="149" spans="1:9">
      <c r="A149" s="19">
        <f t="shared" si="23"/>
        <v>11.250000000000011</v>
      </c>
      <c r="B149" s="10">
        <f t="shared" si="18"/>
        <v>0.94766404042153218</v>
      </c>
      <c r="C149" s="10">
        <f t="shared" si="19"/>
        <v>0.9735736813762067</v>
      </c>
      <c r="D149" s="10">
        <f t="shared" si="24"/>
        <v>6.936632153277748E-3</v>
      </c>
      <c r="E149" s="10">
        <f t="shared" si="25"/>
        <v>3.3576124650413954E-3</v>
      </c>
      <c r="F149" s="10">
        <f t="shared" si="20"/>
        <v>0.57759095745248679</v>
      </c>
      <c r="G149" s="66">
        <f t="shared" si="26"/>
        <v>4</v>
      </c>
      <c r="H149" s="10">
        <f t="shared" si="21"/>
        <v>0.53289741306716931</v>
      </c>
      <c r="I149" s="10">
        <f t="shared" si="22"/>
        <v>2.1943105306331603E-2</v>
      </c>
    </row>
    <row r="150" spans="1:9">
      <c r="A150" s="19">
        <f t="shared" si="23"/>
        <v>11.333333333333345</v>
      </c>
      <c r="B150" s="10">
        <f t="shared" si="18"/>
        <v>0.94711476973081532</v>
      </c>
      <c r="C150" s="10">
        <f t="shared" si="19"/>
        <v>0.97330056628859507</v>
      </c>
      <c r="D150" s="10">
        <f t="shared" si="24"/>
        <v>6.977959041043179E-3</v>
      </c>
      <c r="E150" s="10">
        <f t="shared" si="25"/>
        <v>3.3760314795345621E-3</v>
      </c>
      <c r="F150" s="10">
        <f t="shared" si="20"/>
        <v>0.57524732862943739</v>
      </c>
      <c r="G150" s="66">
        <f t="shared" si="26"/>
        <v>2</v>
      </c>
      <c r="H150" s="10">
        <f t="shared" si="21"/>
        <v>0.53027871578159991</v>
      </c>
      <c r="I150" s="10">
        <f t="shared" si="22"/>
        <v>1.0981001592933647E-2</v>
      </c>
    </row>
    <row r="151" spans="1:9">
      <c r="A151" s="19">
        <f t="shared" si="23"/>
        <v>11.416666666666679</v>
      </c>
      <c r="B151" s="10">
        <f t="shared" si="18"/>
        <v>0.9465625476777968</v>
      </c>
      <c r="C151" s="10">
        <f t="shared" si="19"/>
        <v>0.97302603008302124</v>
      </c>
      <c r="D151" s="10">
        <f t="shared" si="24"/>
        <v>7.0195357464986801E-3</v>
      </c>
      <c r="E151" s="10">
        <f t="shared" si="25"/>
        <v>3.3945546378135673E-3</v>
      </c>
      <c r="F151" s="10">
        <f t="shared" si="20"/>
        <v>0.57291320929747225</v>
      </c>
      <c r="G151" s="66">
        <f t="shared" si="26"/>
        <v>4</v>
      </c>
      <c r="H151" s="10">
        <f t="shared" si="21"/>
        <v>0.52767025200895401</v>
      </c>
      <c r="I151" s="10">
        <f t="shared" si="22"/>
        <v>2.1980822790136273E-2</v>
      </c>
    </row>
    <row r="152" spans="1:9">
      <c r="A152" s="19">
        <f t="shared" si="23"/>
        <v>11.500000000000012</v>
      </c>
      <c r="B152" s="10">
        <f t="shared" si="18"/>
        <v>0.94600736004367902</v>
      </c>
      <c r="C152" s="10">
        <f t="shared" si="19"/>
        <v>0.97275006553937726</v>
      </c>
      <c r="D152" s="10">
        <f t="shared" si="24"/>
        <v>7.0613637797719581E-3</v>
      </c>
      <c r="E152" s="10">
        <f t="shared" si="25"/>
        <v>3.4131825287225157E-3</v>
      </c>
      <c r="F152" s="10">
        <f t="shared" si="20"/>
        <v>0.57058856087095022</v>
      </c>
      <c r="G152" s="66">
        <f t="shared" si="26"/>
        <v>2</v>
      </c>
      <c r="H152" s="10">
        <f t="shared" si="21"/>
        <v>0.52507198186322612</v>
      </c>
      <c r="I152" s="10">
        <f t="shared" si="22"/>
        <v>1.0999781578638665E-2</v>
      </c>
    </row>
    <row r="153" spans="1:9">
      <c r="A153" s="19">
        <f t="shared" si="23"/>
        <v>11.583333333333346</v>
      </c>
      <c r="B153" s="10">
        <f t="shared" si="18"/>
        <v>0.94544919256422566</v>
      </c>
      <c r="C153" s="10">
        <f t="shared" si="19"/>
        <v>0.97247266540556054</v>
      </c>
      <c r="D153" s="10">
        <f t="shared" si="24"/>
        <v>7.1034446601193147E-3</v>
      </c>
      <c r="E153" s="10">
        <f t="shared" si="25"/>
        <v>3.4319157444349228E-3</v>
      </c>
      <c r="F153" s="10">
        <f t="shared" si="20"/>
        <v>0.56827334492079495</v>
      </c>
      <c r="G153" s="66">
        <f t="shared" si="26"/>
        <v>4</v>
      </c>
      <c r="H153" s="10">
        <f t="shared" si="21"/>
        <v>0.52248386564030236</v>
      </c>
      <c r="I153" s="10">
        <f t="shared" si="22"/>
        <v>2.2018223320341111E-2</v>
      </c>
    </row>
    <row r="154" spans="1:9">
      <c r="A154" s="19">
        <f t="shared" si="23"/>
        <v>11.66666666666668</v>
      </c>
      <c r="B154" s="10">
        <f t="shared" si="18"/>
        <v>0.94488803092992124</v>
      </c>
      <c r="C154" s="10">
        <f t="shared" si="19"/>
        <v>0.9721938223973875</v>
      </c>
      <c r="D154" s="10">
        <f t="shared" si="24"/>
        <v>7.1457799159808455E-3</v>
      </c>
      <c r="E154" s="10">
        <f t="shared" si="25"/>
        <v>3.4507548804725433E-3</v>
      </c>
      <c r="F154" s="10">
        <f t="shared" si="20"/>
        <v>0.5659675231738599</v>
      </c>
      <c r="G154" s="66">
        <f t="shared" si="26"/>
        <v>2</v>
      </c>
      <c r="H154" s="10">
        <f t="shared" si="21"/>
        <v>0.51990586381732951</v>
      </c>
      <c r="I154" s="10">
        <f t="shared" si="22"/>
        <v>1.1018401153640977E-2</v>
      </c>
    </row>
    <row r="155" spans="1:9">
      <c r="A155" s="19">
        <f t="shared" si="23"/>
        <v>11.750000000000014</v>
      </c>
      <c r="B155" s="10">
        <f t="shared" si="18"/>
        <v>0.94432386078613495</v>
      </c>
      <c r="C155" s="10">
        <f t="shared" si="19"/>
        <v>0.97191352919850627</v>
      </c>
      <c r="D155" s="10">
        <f t="shared" si="24"/>
        <v>7.1883710850359312E-3</v>
      </c>
      <c r="E155" s="10">
        <f t="shared" si="25"/>
        <v>3.4697005357242931E-3</v>
      </c>
      <c r="F155" s="10">
        <f t="shared" si="20"/>
        <v>0.56367105751229485</v>
      </c>
      <c r="G155" s="66">
        <f t="shared" si="26"/>
        <v>4</v>
      </c>
      <c r="H155" s="10">
        <f t="shared" si="21"/>
        <v>0.51733793705208397</v>
      </c>
      <c r="I155" s="10">
        <f t="shared" si="22"/>
        <v>2.2055299140949822E-2</v>
      </c>
    </row>
    <row r="156" spans="1:9">
      <c r="A156" s="19">
        <f t="shared" si="23"/>
        <v>11.833333333333348</v>
      </c>
      <c r="B156" s="10">
        <f t="shared" si="18"/>
        <v>0.94375666773329181</v>
      </c>
      <c r="C156" s="10">
        <f t="shared" si="19"/>
        <v>0.97163177846031179</v>
      </c>
      <c r="D156" s="10">
        <f t="shared" si="24"/>
        <v>7.2312197142591055E-3</v>
      </c>
      <c r="E156" s="10">
        <f t="shared" si="25"/>
        <v>3.4887533124652965E-3</v>
      </c>
      <c r="F156" s="10">
        <f t="shared" si="20"/>
        <v>0.56138390997291665</v>
      </c>
      <c r="G156" s="66">
        <f t="shared" si="26"/>
        <v>2</v>
      </c>
      <c r="H156" s="10">
        <f t="shared" si="21"/>
        <v>0.51478004618234707</v>
      </c>
      <c r="I156" s="10">
        <f t="shared" si="22"/>
        <v>1.1036856419541403E-2</v>
      </c>
    </row>
    <row r="157" spans="1:9">
      <c r="A157" s="19">
        <f t="shared" si="23"/>
        <v>11.916666666666682</v>
      </c>
      <c r="B157" s="10">
        <f t="shared" si="18"/>
        <v>0.94318643732704688</v>
      </c>
      <c r="C157" s="10">
        <f t="shared" si="19"/>
        <v>0.97134856280185977</v>
      </c>
      <c r="D157" s="10">
        <f t="shared" si="24"/>
        <v>7.2743273599762352E-3</v>
      </c>
      <c r="E157" s="10">
        <f t="shared" si="25"/>
        <v>3.5079138163760272E-3</v>
      </c>
      <c r="F157" s="10">
        <f t="shared" si="20"/>
        <v>0.55910604274658127</v>
      </c>
      <c r="G157" s="66">
        <f t="shared" si="26"/>
        <v>4</v>
      </c>
      <c r="H157" s="10">
        <f t="shared" si="21"/>
        <v>0.51223215222527929</v>
      </c>
      <c r="I157" s="10">
        <f t="shared" si="22"/>
        <v>2.2092042414299785E-2</v>
      </c>
    </row>
    <row r="158" spans="1:9">
      <c r="A158" s="19">
        <f t="shared" si="23"/>
        <v>12.000000000000016</v>
      </c>
      <c r="B158" s="10">
        <f t="shared" si="18"/>
        <v>0.94261315507846655</v>
      </c>
      <c r="C158" s="10">
        <f t="shared" si="19"/>
        <v>0.97106387480978162</v>
      </c>
      <c r="D158" s="10">
        <f t="shared" si="24"/>
        <v>7.3176955879210503E-3</v>
      </c>
      <c r="E158" s="10">
        <f t="shared" si="25"/>
        <v>3.5271826565615636E-3</v>
      </c>
      <c r="F158" s="10">
        <f t="shared" si="20"/>
        <v>0.55683741817755872</v>
      </c>
      <c r="G158" s="66">
        <f t="shared" si="26"/>
        <v>2</v>
      </c>
      <c r="H158" s="10">
        <f t="shared" si="21"/>
        <v>0.5096942163767999</v>
      </c>
      <c r="I158" s="10">
        <f t="shared" si="22"/>
        <v>1.1055143437046741E-2</v>
      </c>
    </row>
    <row r="159" spans="1:9">
      <c r="A159" s="19">
        <f t="shared" si="23"/>
        <v>12.08333333333335</v>
      </c>
      <c r="B159" s="10">
        <f t="shared" si="18"/>
        <v>0.94203680645421439</v>
      </c>
      <c r="C159" s="10">
        <f t="shared" si="19"/>
        <v>0.97077770703820065</v>
      </c>
      <c r="D159" s="10">
        <f t="shared" si="24"/>
        <v>7.3613259732920218E-3</v>
      </c>
      <c r="E159" s="10">
        <f t="shared" si="25"/>
        <v>3.5465604455709567E-3</v>
      </c>
      <c r="F159" s="10">
        <f t="shared" si="20"/>
        <v>0.5545779987629107</v>
      </c>
      <c r="G159" s="66">
        <f t="shared" si="26"/>
        <v>4</v>
      </c>
      <c r="H159" s="10">
        <f t="shared" si="21"/>
        <v>0.50716620001096768</v>
      </c>
      <c r="I159" s="10">
        <f t="shared" si="22"/>
        <v>2.2128445220823915E-2</v>
      </c>
    </row>
    <row r="160" spans="1:9">
      <c r="A160" s="19">
        <f t="shared" si="23"/>
        <v>12.166666666666684</v>
      </c>
      <c r="B160" s="10">
        <f t="shared" si="18"/>
        <v>0.94145737687674391</v>
      </c>
      <c r="C160" s="10">
        <f t="shared" si="19"/>
        <v>0.97049005200864757</v>
      </c>
      <c r="D160" s="10">
        <f t="shared" si="24"/>
        <v>7.4052201008095583E-3</v>
      </c>
      <c r="E160" s="10">
        <f t="shared" si="25"/>
        <v>3.5660477994166957E-3</v>
      </c>
      <c r="F160" s="10">
        <f t="shared" si="20"/>
        <v>0.55232774715187039</v>
      </c>
      <c r="G160" s="66">
        <f t="shared" si="26"/>
        <v>2</v>
      </c>
      <c r="H160" s="10">
        <f t="shared" si="21"/>
        <v>0.50464806467936529</v>
      </c>
      <c r="I160" s="10">
        <f t="shared" si="22"/>
        <v>1.1073258225856045E-2</v>
      </c>
    </row>
    <row r="161" spans="1:9">
      <c r="A161" s="19">
        <f t="shared" si="23"/>
        <v>12.250000000000018</v>
      </c>
      <c r="B161" s="10">
        <f t="shared" si="18"/>
        <v>0.94087485172449536</v>
      </c>
      <c r="C161" s="10">
        <f t="shared" si="19"/>
        <v>0.97020090220997801</v>
      </c>
      <c r="D161" s="10">
        <f t="shared" si="24"/>
        <v>7.4493795647735785E-3</v>
      </c>
      <c r="E161" s="10">
        <f t="shared" si="25"/>
        <v>3.585645337594293E-3</v>
      </c>
      <c r="F161" s="10">
        <f t="shared" si="20"/>
        <v>0.55008662614522519</v>
      </c>
      <c r="G161" s="66">
        <f t="shared" si="26"/>
        <v>4</v>
      </c>
      <c r="H161" s="10">
        <f t="shared" si="21"/>
        <v>0.50213977211048577</v>
      </c>
      <c r="I161" s="10">
        <f t="shared" si="22"/>
        <v>2.2164499558834157E-2</v>
      </c>
    </row>
    <row r="162" spans="1:9">
      <c r="A162" s="19">
        <f t="shared" si="23"/>
        <v>12.333333333333352</v>
      </c>
      <c r="B162" s="10">
        <f t="shared" si="18"/>
        <v>0.94028921633209894</v>
      </c>
      <c r="C162" s="10">
        <f t="shared" si="19"/>
        <v>0.96991025009828891</v>
      </c>
      <c r="D162" s="10">
        <f t="shared" si="24"/>
        <v>7.4938059691214195E-3</v>
      </c>
      <c r="E162" s="10">
        <f t="shared" si="25"/>
        <v>3.6053536831019829E-3</v>
      </c>
      <c r="F162" s="10">
        <f t="shared" si="20"/>
        <v>0.5478545986947021</v>
      </c>
      <c r="G162" s="66">
        <f t="shared" si="26"/>
        <v>2</v>
      </c>
      <c r="H162" s="10">
        <f t="shared" si="21"/>
        <v>0.49964128420912179</v>
      </c>
      <c r="I162" s="10">
        <f t="shared" si="22"/>
        <v>1.1091196764557941E-2</v>
      </c>
    </row>
    <row r="163" spans="1:9">
      <c r="A163" s="19">
        <f t="shared" si="23"/>
        <v>12.416666666666686</v>
      </c>
      <c r="B163" s="10">
        <f t="shared" si="18"/>
        <v>0.93970045599058483</v>
      </c>
      <c r="C163" s="10">
        <f t="shared" si="19"/>
        <v>0.96961808809683703</v>
      </c>
      <c r="D163" s="10">
        <f t="shared" si="24"/>
        <v>7.5385009274860854E-3</v>
      </c>
      <c r="E163" s="10">
        <f t="shared" si="25"/>
        <v>3.6251734624605189E-3</v>
      </c>
      <c r="F163" s="10">
        <f t="shared" si="20"/>
        <v>0.54563162790235431</v>
      </c>
      <c r="G163" s="66">
        <f t="shared" si="26"/>
        <v>4</v>
      </c>
      <c r="H163" s="10">
        <f t="shared" si="21"/>
        <v>0.49715256305575711</v>
      </c>
      <c r="I163" s="10">
        <f t="shared" si="22"/>
        <v>2.2200197344327478E-2</v>
      </c>
    </row>
    <row r="164" spans="1:9">
      <c r="A164" s="19">
        <f t="shared" si="23"/>
        <v>12.50000000000002</v>
      </c>
      <c r="B164" s="10">
        <f t="shared" si="18"/>
        <v>0.93910855594759723</v>
      </c>
      <c r="C164" s="10">
        <f t="shared" si="19"/>
        <v>0.96932440859595692</v>
      </c>
      <c r="D164" s="10">
        <f t="shared" si="24"/>
        <v>7.5834660632548585E-3</v>
      </c>
      <c r="E164" s="10">
        <f t="shared" si="25"/>
        <v>3.6451053057330938E-3</v>
      </c>
      <c r="F164" s="10">
        <f t="shared" si="20"/>
        <v>0.54341767701995247</v>
      </c>
      <c r="G164" s="66">
        <f t="shared" si="26"/>
        <v>2</v>
      </c>
      <c r="H164" s="10">
        <f t="shared" si="21"/>
        <v>0.49467357090596115</v>
      </c>
      <c r="I164" s="10">
        <f t="shared" si="22"/>
        <v>1.1108954990539413E-2</v>
      </c>
    </row>
    <row r="165" spans="1:9">
      <c r="A165" s="19">
        <f t="shared" si="23"/>
        <v>12.583333333333353</v>
      </c>
      <c r="B165" s="10">
        <f t="shared" si="18"/>
        <v>0.93851350140761625</v>
      </c>
      <c r="C165" s="10">
        <f t="shared" si="19"/>
        <v>0.96902920395298076</v>
      </c>
      <c r="D165" s="10">
        <f t="shared" si="24"/>
        <v>7.6287030096282701E-3</v>
      </c>
      <c r="E165" s="10">
        <f t="shared" si="25"/>
        <v>3.6651498465453715E-3</v>
      </c>
      <c r="F165" s="10">
        <f t="shared" si="20"/>
        <v>0.54121270944837596</v>
      </c>
      <c r="G165" s="66">
        <f t="shared" si="26"/>
        <v>4</v>
      </c>
      <c r="H165" s="10">
        <f t="shared" si="21"/>
        <v>0.49220427018978613</v>
      </c>
      <c r="I165" s="10">
        <f t="shared" si="22"/>
        <v>2.2235530410815114E-2</v>
      </c>
    </row>
    <row r="166" spans="1:9">
      <c r="A166" s="19">
        <f t="shared" si="23"/>
        <v>12.666666666666687</v>
      </c>
      <c r="B166" s="10">
        <f t="shared" si="18"/>
        <v>0.93791527753218418</v>
      </c>
      <c r="C166" s="10">
        <f t="shared" si="19"/>
        <v>0.96873246649215694</v>
      </c>
      <c r="D166" s="10">
        <f t="shared" si="24"/>
        <v>7.674213409679412E-3</v>
      </c>
      <c r="E166" s="10">
        <f t="shared" si="25"/>
        <v>3.6853077221056232E-3</v>
      </c>
      <c r="F166" s="10">
        <f t="shared" si="20"/>
        <v>0.53901668873700914</v>
      </c>
      <c r="G166" s="66">
        <f t="shared" si="26"/>
        <v>2</v>
      </c>
      <c r="H166" s="10">
        <f t="shared" si="21"/>
        <v>0.48974462351116643</v>
      </c>
      <c r="I166" s="10">
        <f t="shared" si="22"/>
        <v>1.1126528799906403E-2</v>
      </c>
    </row>
    <row r="167" spans="1:9">
      <c r="A167" s="19">
        <f t="shared" si="23"/>
        <v>12.750000000000021</v>
      </c>
      <c r="B167" s="10">
        <f t="shared" si="18"/>
        <v>0.93731386944013839</v>
      </c>
      <c r="C167" s="10">
        <f t="shared" si="19"/>
        <v>0.96843418850457119</v>
      </c>
      <c r="D167" s="10">
        <f t="shared" si="24"/>
        <v>7.7199989164136286E-3</v>
      </c>
      <c r="E167" s="10">
        <f t="shared" si="25"/>
        <v>3.7055795732249958E-3</v>
      </c>
      <c r="F167" s="10">
        <f t="shared" si="20"/>
        <v>0.53682957858313773</v>
      </c>
      <c r="G167" s="66">
        <f t="shared" si="26"/>
        <v>4</v>
      </c>
      <c r="H167" s="10">
        <f t="shared" si="21"/>
        <v>0.48729459364731992</v>
      </c>
      <c r="I167" s="10">
        <f t="shared" si="22"/>
        <v>2.2270490509176049E-2</v>
      </c>
    </row>
    <row r="168" spans="1:9">
      <c r="A168" s="19">
        <f t="shared" si="23"/>
        <v>12.833333333333355</v>
      </c>
      <c r="B168" s="10">
        <f t="shared" si="18"/>
        <v>0.93670926220785222</v>
      </c>
      <c r="C168" s="10">
        <f t="shared" si="19"/>
        <v>0.96813436224806737</v>
      </c>
      <c r="D168" s="10">
        <f t="shared" si="24"/>
        <v>7.7660611928285408E-3</v>
      </c>
      <c r="E168" s="10">
        <f t="shared" si="25"/>
        <v>3.7259660443378691E-3</v>
      </c>
      <c r="F168" s="10">
        <f t="shared" si="20"/>
        <v>0.53465134283134907</v>
      </c>
      <c r="G168" s="66">
        <f t="shared" si="26"/>
        <v>2</v>
      </c>
      <c r="H168" s="10">
        <f t="shared" si="21"/>
        <v>0.48485414354815337</v>
      </c>
      <c r="I168" s="10">
        <f t="shared" si="22"/>
        <v>1.1143914047416742E-2</v>
      </c>
    </row>
    <row r="169" spans="1:9">
      <c r="A169" s="19">
        <f t="shared" si="23"/>
        <v>12.916666666666689</v>
      </c>
      <c r="B169" s="10">
        <f t="shared" si="18"/>
        <v>0.93610144086947877</v>
      </c>
      <c r="C169" s="10">
        <f t="shared" si="19"/>
        <v>0.9678329799471691</v>
      </c>
      <c r="D169" s="10">
        <f t="shared" si="24"/>
        <v>7.8124019119744535E-3</v>
      </c>
      <c r="E169" s="10">
        <f t="shared" si="25"/>
        <v>3.7464677835223493E-3</v>
      </c>
      <c r="F169" s="10">
        <f t="shared" si="20"/>
        <v>0.53248194547293437</v>
      </c>
      <c r="G169" s="66">
        <f t="shared" si="26"/>
        <v>4</v>
      </c>
      <c r="H169" s="10">
        <f t="shared" si="21"/>
        <v>0.48242323633566869</v>
      </c>
      <c r="I169" s="10">
        <f t="shared" si="22"/>
        <v>2.2305069307535407E-2</v>
      </c>
    </row>
    <row r="170" spans="1:9">
      <c r="A170" s="19">
        <f t="shared" si="23"/>
        <v>13.000000000000023</v>
      </c>
      <c r="B170" s="10">
        <f t="shared" si="18"/>
        <v>0.93549039041720328</v>
      </c>
      <c r="C170" s="10">
        <f t="shared" si="19"/>
        <v>0.9675300337930014</v>
      </c>
      <c r="D170" s="10">
        <f t="shared" si="24"/>
        <v>7.8590227570151314E-3</v>
      </c>
      <c r="E170" s="10">
        <f t="shared" si="25"/>
        <v>3.7670854425208744E-3</v>
      </c>
      <c r="F170" s="10">
        <f t="shared" si="20"/>
        <v>0.53032135064529384</v>
      </c>
      <c r="G170" s="66">
        <f t="shared" si="26"/>
        <v>2</v>
      </c>
      <c r="H170" s="10">
        <f t="shared" si="21"/>
        <v>0.48000183530337243</v>
      </c>
      <c r="I170" s="10">
        <f t="shared" si="22"/>
        <v>1.1161106546425738E-2</v>
      </c>
    </row>
    <row r="171" spans="1:9">
      <c r="A171" s="19">
        <f t="shared" si="23"/>
        <v>13.083333333333357</v>
      </c>
      <c r="B171" s="10">
        <f t="shared" si="18"/>
        <v>0.93487609580150244</v>
      </c>
      <c r="C171" s="10">
        <f t="shared" si="19"/>
        <v>0.96722551594321504</v>
      </c>
      <c r="D171" s="10">
        <f t="shared" si="24"/>
        <v>7.9059254212889268E-3</v>
      </c>
      <c r="E171" s="10">
        <f t="shared" si="25"/>
        <v>3.7878196767609255E-3</v>
      </c>
      <c r="F171" s="10">
        <f t="shared" si="20"/>
        <v>0.52816952263134331</v>
      </c>
      <c r="G171" s="66">
        <f t="shared" si="26"/>
        <v>4</v>
      </c>
      <c r="H171" s="10">
        <f t="shared" si="21"/>
        <v>0.47758990391568823</v>
      </c>
      <c r="I171" s="10">
        <f t="shared" si="22"/>
        <v>2.2339258391168716E-2</v>
      </c>
    </row>
    <row r="172" spans="1:9">
      <c r="A172" s="19">
        <f t="shared" si="23"/>
        <v>13.166666666666691</v>
      </c>
      <c r="B172" s="10">
        <f t="shared" si="18"/>
        <v>0.934258541931408</v>
      </c>
      <c r="C172" s="10">
        <f t="shared" si="19"/>
        <v>0.9669194185219091</v>
      </c>
      <c r="D172" s="10">
        <f t="shared" si="24"/>
        <v>7.9531116083702783E-3</v>
      </c>
      <c r="E172" s="10">
        <f t="shared" si="25"/>
        <v>3.8086711453758663E-3</v>
      </c>
      <c r="F172" s="10">
        <f t="shared" si="20"/>
        <v>0.52602642585892401</v>
      </c>
      <c r="G172" s="66">
        <f t="shared" si="26"/>
        <v>2</v>
      </c>
      <c r="H172" s="10">
        <f t="shared" si="21"/>
        <v>0.47518740580737023</v>
      </c>
      <c r="I172" s="10">
        <f t="shared" si="22"/>
        <v>1.1178102068844996E-2</v>
      </c>
    </row>
    <row r="173" spans="1:9">
      <c r="A173" s="19">
        <f t="shared" si="23"/>
        <v>13.250000000000025</v>
      </c>
      <c r="B173" s="10">
        <f t="shared" si="18"/>
        <v>0.93363771367477844</v>
      </c>
      <c r="C173" s="10">
        <f t="shared" si="19"/>
        <v>0.96661173361955577</v>
      </c>
      <c r="D173" s="10">
        <f t="shared" si="24"/>
        <v>8.0005830321316033E-3</v>
      </c>
      <c r="E173" s="10">
        <f t="shared" si="25"/>
        <v>3.8296405112258967E-3</v>
      </c>
      <c r="F173" s="10">
        <f t="shared" si="20"/>
        <v>0.52389202490021425</v>
      </c>
      <c r="G173" s="66">
        <f t="shared" si="26"/>
        <v>4</v>
      </c>
      <c r="H173" s="10">
        <f t="shared" si="21"/>
        <v>0.47279430478292006</v>
      </c>
      <c r="I173" s="10">
        <f t="shared" si="22"/>
        <v>2.237304926243297E-2</v>
      </c>
    </row>
    <row r="174" spans="1:9">
      <c r="A174" s="19">
        <f t="shared" si="23"/>
        <v>13.333333333333359</v>
      </c>
      <c r="B174" s="10">
        <f t="shared" si="18"/>
        <v>0.93301359585857746</v>
      </c>
      <c r="C174" s="10">
        <f t="shared" si="19"/>
        <v>0.96630245329292563</v>
      </c>
      <c r="D174" s="10">
        <f t="shared" si="24"/>
        <v>8.0483414168055298E-3</v>
      </c>
      <c r="E174" s="10">
        <f t="shared" si="25"/>
        <v>3.8507284409191236E-3</v>
      </c>
      <c r="F174" s="10">
        <f t="shared" si="20"/>
        <v>0.52176628447114459</v>
      </c>
      <c r="G174" s="66">
        <f t="shared" si="26"/>
        <v>2</v>
      </c>
      <c r="H174" s="10">
        <f t="shared" si="21"/>
        <v>0.47041056481600624</v>
      </c>
      <c r="I174" s="10">
        <f t="shared" si="22"/>
        <v>1.1194896345114736E-2</v>
      </c>
    </row>
    <row r="175" spans="1:9">
      <c r="A175" s="19">
        <f t="shared" si="23"/>
        <v>13.416666666666693</v>
      </c>
      <c r="B175" s="10">
        <f t="shared" si="18"/>
        <v>0.93238617326915818</v>
      </c>
      <c r="C175" s="10">
        <f t="shared" si="19"/>
        <v>0.9659915695650132</v>
      </c>
      <c r="D175" s="10">
        <f t="shared" si="24"/>
        <v>8.096388497047545E-3</v>
      </c>
      <c r="E175" s="10">
        <f t="shared" si="25"/>
        <v>3.8719356048327568E-3</v>
      </c>
      <c r="F175" s="10">
        <f t="shared" si="20"/>
        <v>0.51964916943081341</v>
      </c>
      <c r="G175" s="66">
        <f t="shared" si="26"/>
        <v>4</v>
      </c>
      <c r="H175" s="10">
        <f t="shared" si="21"/>
        <v>0.46803615004888488</v>
      </c>
      <c r="I175" s="10">
        <f t="shared" si="22"/>
        <v>2.2406433340725337E-2</v>
      </c>
    </row>
    <row r="176" spans="1:9">
      <c r="A176" s="19">
        <f t="shared" si="23"/>
        <v>13.500000000000027</v>
      </c>
      <c r="B176" s="10">
        <f t="shared" si="18"/>
        <v>0.93175543065255506</v>
      </c>
      <c r="C176" s="10">
        <f t="shared" si="19"/>
        <v>0.96567907442496426</v>
      </c>
      <c r="D176" s="10">
        <f t="shared" si="24"/>
        <v>8.1447260179989753E-3</v>
      </c>
      <c r="E176" s="10">
        <f t="shared" si="25"/>
        <v>3.8932626771344121E-3</v>
      </c>
      <c r="F176" s="10">
        <f t="shared" si="20"/>
        <v>0.51754064478090689</v>
      </c>
      <c r="G176" s="66">
        <f t="shared" si="26"/>
        <v>2</v>
      </c>
      <c r="H176" s="10">
        <f t="shared" si="21"/>
        <v>0.46567102479182426</v>
      </c>
      <c r="I176" s="10">
        <f t="shared" si="22"/>
        <v>1.121148506419032E-2</v>
      </c>
    </row>
    <row r="177" spans="1:9">
      <c r="A177" s="19">
        <f t="shared" si="23"/>
        <v>13.583333333333361</v>
      </c>
      <c r="B177" s="10">
        <f t="shared" si="18"/>
        <v>0.93112135271478191</v>
      </c>
      <c r="C177" s="10">
        <f t="shared" si="19"/>
        <v>0.96536495982800241</v>
      </c>
      <c r="D177" s="10">
        <f t="shared" si="24"/>
        <v>8.1933557353503893E-3</v>
      </c>
      <c r="E177" s="10">
        <f t="shared" si="25"/>
        <v>3.9147103358035474E-3</v>
      </c>
      <c r="F177" s="10">
        <f t="shared" si="20"/>
        <v>0.51544067566511986</v>
      </c>
      <c r="G177" s="66">
        <f t="shared" si="26"/>
        <v>4</v>
      </c>
      <c r="H177" s="10">
        <f t="shared" si="21"/>
        <v>0.46331515352253011</v>
      </c>
      <c r="I177" s="10">
        <f t="shared" si="22"/>
        <v>2.2439401962470497E-2</v>
      </c>
    </row>
    <row r="178" spans="1:9">
      <c r="A178" s="19">
        <f t="shared" si="23"/>
        <v>13.666666666666694</v>
      </c>
      <c r="B178" s="10">
        <f t="shared" si="18"/>
        <v>0.93048392412213765</v>
      </c>
      <c r="C178" s="10">
        <f t="shared" si="19"/>
        <v>0.96504921769535812</v>
      </c>
      <c r="D178" s="10">
        <f t="shared" si="24"/>
        <v>8.2422794154053697E-3</v>
      </c>
      <c r="E178" s="10">
        <f t="shared" si="25"/>
        <v>3.9362792626530191E-3</v>
      </c>
      <c r="F178" s="10">
        <f t="shared" si="20"/>
        <v>0.51334922736858002</v>
      </c>
      <c r="G178" s="66">
        <f t="shared" si="26"/>
        <v>2</v>
      </c>
      <c r="H178" s="10">
        <f t="shared" si="21"/>
        <v>0.46096850088557434</v>
      </c>
      <c r="I178" s="10">
        <f t="shared" si="22"/>
        <v>1.1227863873543156E-2</v>
      </c>
    </row>
    <row r="179" spans="1:9">
      <c r="A179" s="19">
        <f t="shared" si="23"/>
        <v>13.750000000000028</v>
      </c>
      <c r="B179" s="10">
        <f t="shared" si="18"/>
        <v>0.92984312950151893</v>
      </c>
      <c r="C179" s="10">
        <f t="shared" si="19"/>
        <v>0.96473183991419764</v>
      </c>
      <c r="D179" s="10">
        <f t="shared" si="24"/>
        <v>8.2914988351446544E-3</v>
      </c>
      <c r="E179" s="10">
        <f t="shared" si="25"/>
        <v>3.9579701433507478E-3</v>
      </c>
      <c r="F179" s="10">
        <f t="shared" si="20"/>
        <v>0.51126626531727382</v>
      </c>
      <c r="G179" s="66">
        <f t="shared" si="26"/>
        <v>4</v>
      </c>
      <c r="H179" s="10">
        <f t="shared" si="21"/>
        <v>0.45863103169182629</v>
      </c>
      <c r="I179" s="10">
        <f t="shared" si="22"/>
        <v>2.2471946381137472E-2</v>
      </c>
    </row>
    <row r="180" spans="1:9">
      <c r="A180" s="19">
        <f t="shared" si="23"/>
        <v>13.833333333333362</v>
      </c>
      <c r="B180" s="10">
        <f t="shared" si="18"/>
        <v>0.92919895344073922</v>
      </c>
      <c r="C180" s="10">
        <f t="shared" si="19"/>
        <v>0.96441281833755255</v>
      </c>
      <c r="D180" s="10">
        <f t="shared" si="24"/>
        <v>8.3410157822906856E-3</v>
      </c>
      <c r="E180" s="10">
        <f t="shared" si="25"/>
        <v>3.9797836674415219E-3</v>
      </c>
      <c r="F180" s="10">
        <f t="shared" si="20"/>
        <v>0.50919175507747505</v>
      </c>
      <c r="G180" s="66">
        <f t="shared" si="26"/>
        <v>2</v>
      </c>
      <c r="H180" s="10">
        <f t="shared" si="21"/>
        <v>0.45630271091788488</v>
      </c>
      <c r="I180" s="10">
        <f t="shared" si="22"/>
        <v>1.124402837917678E-2</v>
      </c>
    </row>
    <row r="181" spans="1:9">
      <c r="A181" s="19">
        <f t="shared" si="23"/>
        <v>13.916666666666696</v>
      </c>
      <c r="B181" s="10">
        <f t="shared" si="18"/>
        <v>0.92855138048885566</v>
      </c>
      <c r="C181" s="10">
        <f t="shared" si="19"/>
        <v>0.96409214478425098</v>
      </c>
      <c r="D181" s="10">
        <f t="shared" si="24"/>
        <v>8.3908320553725442E-3</v>
      </c>
      <c r="E181" s="10">
        <f t="shared" si="25"/>
        <v>4.0017205283689175E-3</v>
      </c>
      <c r="F181" s="10">
        <f t="shared" si="20"/>
        <v>0.50712566235517542</v>
      </c>
      <c r="G181" s="66">
        <f t="shared" si="26"/>
        <v>4</v>
      </c>
      <c r="H181" s="10">
        <f t="shared" si="21"/>
        <v>0.45398350370551399</v>
      </c>
      <c r="I181" s="10">
        <f t="shared" si="22"/>
        <v>2.2504057767287075E-2</v>
      </c>
    </row>
    <row r="182" spans="1:9">
      <c r="A182" s="19">
        <f t="shared" si="23"/>
        <v>14.00000000000003</v>
      </c>
      <c r="B182" s="10">
        <f t="shared" si="18"/>
        <v>0.92790039515650347</v>
      </c>
      <c r="C182" s="10">
        <f t="shared" si="19"/>
        <v>0.96376981103884884</v>
      </c>
      <c r="D182" s="10">
        <f t="shared" si="24"/>
        <v>8.4409494637912707E-3</v>
      </c>
      <c r="E182" s="10">
        <f t="shared" si="25"/>
        <v>4.0237814234973385E-3</v>
      </c>
      <c r="F182" s="10">
        <f t="shared" si="20"/>
        <v>0.50506795299551777</v>
      </c>
      <c r="G182" s="66">
        <f t="shared" si="26"/>
        <v>2</v>
      </c>
      <c r="H182" s="10">
        <f t="shared" si="21"/>
        <v>0.4516733753610801</v>
      </c>
      <c r="I182" s="10">
        <f t="shared" si="22"/>
        <v>1.1259974145658314E-2</v>
      </c>
    </row>
    <row r="183" spans="1:9">
      <c r="A183" s="19">
        <f t="shared" si="23"/>
        <v>14.083333333333364</v>
      </c>
      <c r="B183" s="10">
        <f t="shared" si="18"/>
        <v>0.92724598191623708</v>
      </c>
      <c r="C183" s="10">
        <f t="shared" si="19"/>
        <v>0.96344580885156217</v>
      </c>
      <c r="D183" s="10">
        <f t="shared" si="24"/>
        <v>8.491369827885599E-3</v>
      </c>
      <c r="E183" s="10">
        <f t="shared" si="25"/>
        <v>4.0459670541341929E-3</v>
      </c>
      <c r="F183" s="10">
        <f t="shared" si="20"/>
        <v>0.5030185929822315</v>
      </c>
      <c r="G183" s="66">
        <f t="shared" si="26"/>
        <v>4</v>
      </c>
      <c r="H183" s="10">
        <f t="shared" si="21"/>
        <v>0.44937229135499163</v>
      </c>
      <c r="I183" s="10">
        <f t="shared" si="22"/>
        <v>2.253572720865072E-2</v>
      </c>
    </row>
    <row r="184" spans="1:9">
      <c r="A184" s="19">
        <f t="shared" si="23"/>
        <v>14.166666666666698</v>
      </c>
      <c r="B184" s="10">
        <f t="shared" si="18"/>
        <v>0.92658812520287914</v>
      </c>
      <c r="C184" s="10">
        <f t="shared" si="19"/>
        <v>0.96312012993820162</v>
      </c>
      <c r="D184" s="10">
        <f t="shared" si="24"/>
        <v>8.5420949789980546E-3</v>
      </c>
      <c r="E184" s="10">
        <f t="shared" si="25"/>
        <v>4.0682781255521796E-3</v>
      </c>
      <c r="F184" s="10">
        <f t="shared" si="20"/>
        <v>0.50097754843707021</v>
      </c>
      <c r="G184" s="66">
        <f t="shared" si="26"/>
        <v>2</v>
      </c>
      <c r="H184" s="10">
        <f t="shared" si="21"/>
        <v>0.44708021732114134</v>
      </c>
      <c r="I184" s="10">
        <f t="shared" si="22"/>
        <v>1.1275696696165989E-2</v>
      </c>
    </row>
    <row r="185" spans="1:9">
      <c r="A185" s="19">
        <f t="shared" si="23"/>
        <v>14.250000000000032</v>
      </c>
      <c r="B185" s="10">
        <f t="shared" si="18"/>
        <v>0.92592680941387728</v>
      </c>
      <c r="C185" s="10">
        <f t="shared" si="19"/>
        <v>0.96279276598010544</v>
      </c>
      <c r="D185" s="10">
        <f t="shared" si="24"/>
        <v>8.5931267595414744E-3</v>
      </c>
      <c r="E185" s="10">
        <f t="shared" si="25"/>
        <v>4.0907153470117101E-3</v>
      </c>
      <c r="F185" s="10">
        <f t="shared" si="20"/>
        <v>0.49894478561925149</v>
      </c>
      <c r="G185" s="66">
        <f t="shared" si="26"/>
        <v>4</v>
      </c>
      <c r="H185" s="10">
        <f t="shared" si="21"/>
        <v>0.44479711905634983</v>
      </c>
      <c r="I185" s="10">
        <f t="shared" si="22"/>
        <v>2.2566945710241919E-2</v>
      </c>
    </row>
    <row r="186" spans="1:9">
      <c r="A186" s="19">
        <f t="shared" si="23"/>
        <v>14.333333333333366</v>
      </c>
      <c r="B186" s="10">
        <f t="shared" si="18"/>
        <v>0.92526201890966786</v>
      </c>
      <c r="C186" s="10">
        <f t="shared" si="19"/>
        <v>0.96246370862407526</v>
      </c>
      <c r="D186" s="10">
        <f t="shared" si="24"/>
        <v>8.6444670230659479E-3</v>
      </c>
      <c r="E186" s="10">
        <f t="shared" si="25"/>
        <v>4.113279431783465E-3</v>
      </c>
      <c r="F186" s="10">
        <f t="shared" si="20"/>
        <v>0.49692027092489943</v>
      </c>
      <c r="G186" s="66">
        <f t="shared" si="26"/>
        <v>2</v>
      </c>
      <c r="H186" s="10">
        <f t="shared" si="21"/>
        <v>0.44252296251981171</v>
      </c>
      <c r="I186" s="10">
        <f t="shared" si="22"/>
        <v>1.1291191512553174E-2</v>
      </c>
    </row>
    <row r="187" spans="1:9">
      <c r="A187" s="19">
        <f t="shared" si="23"/>
        <v>14.4166666666667</v>
      </c>
      <c r="B187" s="10">
        <f t="shared" si="18"/>
        <v>0.92459373801404743</v>
      </c>
      <c r="C187" s="10">
        <f t="shared" si="19"/>
        <v>0.96213294948231265</v>
      </c>
      <c r="D187" s="10">
        <f t="shared" si="24"/>
        <v>8.6961176343261139E-3</v>
      </c>
      <c r="E187" s="10">
        <f t="shared" si="25"/>
        <v>4.135971097171052E-3</v>
      </c>
      <c r="F187" s="10">
        <f t="shared" si="20"/>
        <v>0.4949039708864888</v>
      </c>
      <c r="G187" s="66">
        <f t="shared" si="26"/>
        <v>4</v>
      </c>
      <c r="H187" s="10">
        <f t="shared" si="21"/>
        <v>0.44025771383254403</v>
      </c>
      <c r="I187" s="10">
        <f t="shared" si="22"/>
        <v>2.2597704194501172E-2</v>
      </c>
    </row>
    <row r="188" spans="1:9">
      <c r="A188" s="19">
        <f t="shared" si="23"/>
        <v>14.500000000000034</v>
      </c>
      <c r="B188" s="10">
        <f t="shared" si="18"/>
        <v>0.92392195101455343</v>
      </c>
      <c r="C188" s="10">
        <f t="shared" si="19"/>
        <v>0.96180048013235542</v>
      </c>
      <c r="D188" s="10">
        <f t="shared" si="24"/>
        <v>8.7480804693489036E-3</v>
      </c>
      <c r="E188" s="10">
        <f t="shared" si="25"/>
        <v>4.1587910645338238E-3</v>
      </c>
      <c r="F188" s="10">
        <f t="shared" si="20"/>
        <v>0.49289585217229204</v>
      </c>
      <c r="G188" s="66">
        <f t="shared" si="26"/>
        <v>2</v>
      </c>
      <c r="H188" s="10">
        <f t="shared" si="21"/>
        <v>0.43800133927683665</v>
      </c>
      <c r="I188" s="10">
        <f t="shared" si="22"/>
        <v>1.1306454035429427E-2</v>
      </c>
    </row>
    <row r="189" spans="1:9">
      <c r="A189" s="19">
        <f t="shared" si="23"/>
        <v>14.583333333333368</v>
      </c>
      <c r="B189" s="10">
        <f t="shared" si="18"/>
        <v>0.92324664216285079</v>
      </c>
      <c r="C189" s="10">
        <f t="shared" si="19"/>
        <v>0.96146629211701684</v>
      </c>
      <c r="D189" s="10">
        <f t="shared" si="24"/>
        <v>8.8003574155016799E-3</v>
      </c>
      <c r="E189" s="10">
        <f t="shared" si="25"/>
        <v>4.1817400593097999E-3</v>
      </c>
      <c r="F189" s="10">
        <f t="shared" si="20"/>
        <v>0.49089588158582814</v>
      </c>
      <c r="G189" s="66">
        <f t="shared" si="26"/>
        <v>4</v>
      </c>
      <c r="H189" s="10">
        <f t="shared" si="21"/>
        <v>0.43575380529570484</v>
      </c>
      <c r="I189" s="10">
        <f t="shared" si="22"/>
        <v>2.2627993501475454E-2</v>
      </c>
    </row>
    <row r="190" spans="1:9">
      <c r="A190" s="19">
        <f t="shared" si="23"/>
        <v>14.666666666666702</v>
      </c>
      <c r="B190" s="10">
        <f t="shared" si="18"/>
        <v>0.9225677956751277</v>
      </c>
      <c r="C190" s="10">
        <f t="shared" si="19"/>
        <v>0.96113037694432379</v>
      </c>
      <c r="D190" s="10">
        <f t="shared" si="24"/>
        <v>8.852950371560777E-3</v>
      </c>
      <c r="E190" s="10">
        <f t="shared" si="25"/>
        <v>4.2048188110387326E-3</v>
      </c>
      <c r="F190" s="10">
        <f t="shared" si="20"/>
        <v>0.48890402606531402</v>
      </c>
      <c r="G190" s="66">
        <f t="shared" si="26"/>
        <v>2</v>
      </c>
      <c r="H190" s="10">
        <f t="shared" si="21"/>
        <v>0.43351507849234366</v>
      </c>
      <c r="I190" s="10">
        <f t="shared" si="22"/>
        <v>1.1321479664259063E-2</v>
      </c>
    </row>
    <row r="191" spans="1:9">
      <c r="A191" s="19">
        <f t="shared" si="23"/>
        <v>14.750000000000036</v>
      </c>
      <c r="B191" s="10">
        <f t="shared" si="18"/>
        <v>0.92188539573249917</v>
      </c>
      <c r="C191" s="10">
        <f t="shared" si="19"/>
        <v>0.96079272608745769</v>
      </c>
      <c r="D191" s="10">
        <f t="shared" si="24"/>
        <v>8.9058612477805089E-3</v>
      </c>
      <c r="E191" s="10">
        <f t="shared" si="25"/>
        <v>4.2280280533853022E-3</v>
      </c>
      <c r="F191" s="10">
        <f t="shared" si="20"/>
        <v>0.48692025268311767</v>
      </c>
      <c r="G191" s="66">
        <f t="shared" si="26"/>
        <v>4</v>
      </c>
      <c r="H191" s="10">
        <f t="shared" si="21"/>
        <v>0.43128512562958465</v>
      </c>
      <c r="I191" s="10">
        <f t="shared" si="22"/>
        <v>2.2657804389033413E-2</v>
      </c>
    </row>
    <row r="192" spans="1:9">
      <c r="A192" s="19">
        <f t="shared" si="23"/>
        <v>14.833333333333369</v>
      </c>
      <c r="B192" s="10">
        <f t="shared" si="18"/>
        <v>0.92119942648141895</v>
      </c>
      <c r="C192" s="10">
        <f t="shared" si="19"/>
        <v>0.9604533309846951</v>
      </c>
      <c r="D192" s="10">
        <f t="shared" si="24"/>
        <v>8.9590919659624912E-3</v>
      </c>
      <c r="E192" s="10">
        <f t="shared" si="25"/>
        <v>4.2513685241624306E-3</v>
      </c>
      <c r="F192" s="10">
        <f t="shared" si="20"/>
        <v>0.48494452864521409</v>
      </c>
      <c r="G192" s="66">
        <f t="shared" si="26"/>
        <v>2</v>
      </c>
      <c r="H192" s="10">
        <f t="shared" si="21"/>
        <v>0.42906391362935442</v>
      </c>
      <c r="I192" s="10">
        <f t="shared" si="22"/>
        <v>1.1336263757477916E-2</v>
      </c>
    </row>
    <row r="193" spans="1:9">
      <c r="A193" s="19">
        <f t="shared" si="23"/>
        <v>14.916666666666703</v>
      </c>
      <c r="B193" s="10">
        <f t="shared" si="18"/>
        <v>0.92050987203409906</v>
      </c>
      <c r="C193" s="10">
        <f t="shared" si="19"/>
        <v>0.96011218303935042</v>
      </c>
      <c r="D193" s="10">
        <f t="shared" si="24"/>
        <v>9.0126444595254856E-3</v>
      </c>
      <c r="E193" s="10">
        <f t="shared" si="25"/>
        <v>4.2748409653547417E-3</v>
      </c>
      <c r="F193" s="10">
        <f t="shared" si="20"/>
        <v>0.48297682129064301</v>
      </c>
      <c r="G193" s="66">
        <f t="shared" si="26"/>
        <v>4</v>
      </c>
      <c r="H193" s="10">
        <f t="shared" si="21"/>
        <v>0.42685140957213519</v>
      </c>
      <c r="I193" s="10">
        <f t="shared" si="22"/>
        <v>2.2687127533117305E-2</v>
      </c>
    </row>
    <row r="194" spans="1:9">
      <c r="A194" s="19">
        <f t="shared" si="23"/>
        <v>15.000000000000037</v>
      </c>
      <c r="B194" s="10">
        <f t="shared" si="18"/>
        <v>0.9198167164689387</v>
      </c>
      <c r="C194" s="10">
        <f t="shared" si="19"/>
        <v>0.95976927361971931</v>
      </c>
      <c r="D194" s="10">
        <f t="shared" si="24"/>
        <v>9.0665206735756204E-3</v>
      </c>
      <c r="E194" s="10">
        <f t="shared" si="25"/>
        <v>4.2984461231421545E-3</v>
      </c>
      <c r="F194" s="10">
        <f t="shared" si="20"/>
        <v>0.48101709809096915</v>
      </c>
      <c r="G194" s="66">
        <f t="shared" si="26"/>
        <v>2</v>
      </c>
      <c r="H194" s="10">
        <f t="shared" si="21"/>
        <v>0.42464758069642783</v>
      </c>
      <c r="I194" s="10">
        <f t="shared" si="22"/>
        <v>1.135080163262858E-2</v>
      </c>
    </row>
    <row r="195" spans="1:9">
      <c r="A195" s="19">
        <f t="shared" si="23"/>
        <v>15.083333333333371</v>
      </c>
      <c r="B195" s="10">
        <f t="shared" si="18"/>
        <v>0.91911994383096041</v>
      </c>
      <c r="C195" s="10">
        <f t="shared" si="19"/>
        <v>0.9594245940590227</v>
      </c>
      <c r="D195" s="10">
        <f t="shared" si="24"/>
        <v>9.120722564977023E-3</v>
      </c>
      <c r="E195" s="10">
        <f t="shared" si="25"/>
        <v>4.3221847479235883E-3</v>
      </c>
      <c r="F195" s="10">
        <f t="shared" si="20"/>
        <v>0.47906532664974416</v>
      </c>
      <c r="G195" s="66">
        <f t="shared" si="26"/>
        <v>4</v>
      </c>
      <c r="H195" s="10">
        <f t="shared" si="21"/>
        <v>0.42245239439821602</v>
      </c>
      <c r="I195" s="10">
        <f t="shared" si="22"/>
        <v>2.2715953528032604E-2</v>
      </c>
    </row>
    <row r="196" spans="1:9">
      <c r="A196" s="19">
        <f t="shared" si="23"/>
        <v>15.166666666666705</v>
      </c>
      <c r="B196" s="10">
        <f t="shared" si="18"/>
        <v>0.91841953813225585</v>
      </c>
      <c r="C196" s="10">
        <f t="shared" si="19"/>
        <v>0.95907813565535238</v>
      </c>
      <c r="D196" s="10">
        <f t="shared" si="24"/>
        <v>9.1752521024229105E-3</v>
      </c>
      <c r="E196" s="10">
        <f t="shared" si="25"/>
        <v>4.3460575943408339E-3</v>
      </c>
      <c r="F196" s="10">
        <f t="shared" si="20"/>
        <v>0.47712147470197147</v>
      </c>
      <c r="G196" s="66">
        <f t="shared" si="26"/>
        <v>2</v>
      </c>
      <c r="H196" s="10">
        <f t="shared" si="21"/>
        <v>0.4202658182304328</v>
      </c>
      <c r="I196" s="10">
        <f t="shared" si="22"/>
        <v>1.1365088566515E-2</v>
      </c>
    </row>
    <row r="197" spans="1:9">
      <c r="A197" s="19">
        <f t="shared" si="23"/>
        <v>15.250000000000039</v>
      </c>
      <c r="B197" s="10">
        <f t="shared" si="18"/>
        <v>0.91771548335243924</v>
      </c>
      <c r="C197" s="10">
        <f t="shared" si="19"/>
        <v>0.95872988967161843</v>
      </c>
      <c r="D197" s="10">
        <f t="shared" si="24"/>
        <v>9.2301112665070968E-3</v>
      </c>
      <c r="E197" s="10">
        <f t="shared" si="25"/>
        <v>4.3700654213025348E-3</v>
      </c>
      <c r="F197" s="10">
        <f t="shared" si="20"/>
        <v>0.47518551011357274</v>
      </c>
      <c r="G197" s="66">
        <f t="shared" si="26"/>
        <v>4</v>
      </c>
      <c r="H197" s="10">
        <f t="shared" si="21"/>
        <v>0.41808781990242955</v>
      </c>
      <c r="I197" s="10">
        <f t="shared" si="22"/>
        <v>2.2744272886776697E-2</v>
      </c>
    </row>
    <row r="198" spans="1:9">
      <c r="A198" s="19">
        <f t="shared" si="23"/>
        <v>15.333333333333373</v>
      </c>
      <c r="B198" s="10">
        <f t="shared" si="18"/>
        <v>0.91700776343911028</v>
      </c>
      <c r="C198" s="10">
        <f t="shared" si="19"/>
        <v>0.95837984733549608</v>
      </c>
      <c r="D198" s="10">
        <f t="shared" si="24"/>
        <v>9.2853020497958988E-3</v>
      </c>
      <c r="E198" s="10">
        <f t="shared" si="25"/>
        <v>4.3942089920083098E-3</v>
      </c>
      <c r="F198" s="10">
        <f t="shared" si="20"/>
        <v>0.47325740088085638</v>
      </c>
      <c r="G198" s="66">
        <f t="shared" si="26"/>
        <v>2</v>
      </c>
      <c r="H198" s="10">
        <f t="shared" si="21"/>
        <v>0.41591836727944553</v>
      </c>
      <c r="I198" s="10">
        <f t="shared" si="22"/>
        <v>1.1379119795376706E-2</v>
      </c>
    </row>
    <row r="199" spans="1:9">
      <c r="A199" s="19">
        <f t="shared" si="23"/>
        <v>15.416666666666707</v>
      </c>
      <c r="B199" s="10">
        <f t="shared" si="18"/>
        <v>0.91629636230832523</v>
      </c>
      <c r="C199" s="10">
        <f t="shared" si="19"/>
        <v>0.9580279998393757</v>
      </c>
      <c r="D199" s="10">
        <f t="shared" si="24"/>
        <v>9.3408264569005764E-3</v>
      </c>
      <c r="E199" s="10">
        <f t="shared" si="25"/>
        <v>4.4184890739730276E-3</v>
      </c>
      <c r="F199" s="10">
        <f t="shared" si="20"/>
        <v>0.4713371151299891</v>
      </c>
      <c r="G199" s="66">
        <f t="shared" si="26"/>
        <v>4</v>
      </c>
      <c r="H199" s="10">
        <f t="shared" si="21"/>
        <v>0.41375742838208118</v>
      </c>
      <c r="I199" s="10">
        <f t="shared" si="22"/>
        <v>2.2772076041407571E-2</v>
      </c>
    </row>
    <row r="200" spans="1:9">
      <c r="A200" s="19">
        <f t="shared" si="23"/>
        <v>15.500000000000041</v>
      </c>
      <c r="B200" s="10">
        <f t="shared" si="18"/>
        <v>0.91558126384507765</v>
      </c>
      <c r="C200" s="10">
        <f t="shared" si="19"/>
        <v>0.95767433834031201</v>
      </c>
      <c r="D200" s="10">
        <f t="shared" si="24"/>
        <v>9.3966865045500801E-3</v>
      </c>
      <c r="E200" s="10">
        <f t="shared" si="25"/>
        <v>4.4429064390511929E-3</v>
      </c>
      <c r="F200" s="10">
        <f t="shared" si="20"/>
        <v>0.46942462111646838</v>
      </c>
      <c r="G200" s="66">
        <f t="shared" si="26"/>
        <v>2</v>
      </c>
      <c r="H200" s="10">
        <f t="shared" si="21"/>
        <v>0.41160497138577123</v>
      </c>
      <c r="I200" s="10">
        <f t="shared" si="22"/>
        <v>1.1392890515083446E-2</v>
      </c>
    </row>
    <row r="201" spans="1:9">
      <c r="A201" s="19">
        <f t="shared" si="23"/>
        <v>15.583333333333375</v>
      </c>
      <c r="B201" s="10">
        <f t="shared" si="18"/>
        <v>0.91486245190378701</v>
      </c>
      <c r="C201" s="10">
        <f t="shared" si="19"/>
        <v>0.95731885395997629</v>
      </c>
      <c r="D201" s="10">
        <f t="shared" si="24"/>
        <v>9.4528842216643032E-3</v>
      </c>
      <c r="E201" s="10">
        <f t="shared" si="25"/>
        <v>4.4674618634614862E-3</v>
      </c>
      <c r="F201" s="10">
        <f t="shared" si="20"/>
        <v>0.46751988722459814</v>
      </c>
      <c r="G201" s="66">
        <f t="shared" si="26"/>
        <v>4</v>
      </c>
      <c r="H201" s="10">
        <f t="shared" si="21"/>
        <v>0.40946096462026121</v>
      </c>
      <c r="I201" s="10">
        <f t="shared" si="22"/>
        <v>2.2799353343453926E-2</v>
      </c>
    </row>
    <row r="202" spans="1:9">
      <c r="A202" s="19">
        <f t="shared" si="23"/>
        <v>15.666666666666709</v>
      </c>
      <c r="B202" s="10">
        <f t="shared" si="18"/>
        <v>0.91413991030879793</v>
      </c>
      <c r="C202" s="10">
        <f t="shared" si="19"/>
        <v>0.95696153778460924</v>
      </c>
      <c r="D202" s="10">
        <f t="shared" si="24"/>
        <v>9.5094216494278402E-3</v>
      </c>
      <c r="E202" s="10">
        <f t="shared" si="25"/>
        <v>4.4921561278114461E-3</v>
      </c>
      <c r="F202" s="10">
        <f t="shared" si="20"/>
        <v>0.46562288196696566</v>
      </c>
      <c r="G202" s="66">
        <f t="shared" si="26"/>
        <v>2</v>
      </c>
      <c r="H202" s="10">
        <f t="shared" si="21"/>
        <v>0.4073253765690853</v>
      </c>
      <c r="I202" s="10">
        <f t="shared" si="22"/>
        <v>1.1406395881350659E-2</v>
      </c>
    </row>
    <row r="203" spans="1:9">
      <c r="A203" s="19">
        <f t="shared" si="23"/>
        <v>15.750000000000043</v>
      </c>
      <c r="B203" s="10">
        <f t="shared" si="18"/>
        <v>0.91341362285488659</v>
      </c>
      <c r="C203" s="10">
        <f t="shared" si="19"/>
        <v>0.95660238086497362</v>
      </c>
      <c r="D203" s="10">
        <f t="shared" si="24"/>
        <v>9.5663008413640511E-3</v>
      </c>
      <c r="E203" s="10">
        <f t="shared" si="25"/>
        <v>4.5169900171222761E-3</v>
      </c>
      <c r="F203" s="10">
        <f t="shared" si="20"/>
        <v>0.46373357398392145</v>
      </c>
      <c r="G203" s="66">
        <f t="shared" si="26"/>
        <v>4</v>
      </c>
      <c r="H203" s="10">
        <f t="shared" si="21"/>
        <v>0.40519817586904516</v>
      </c>
      <c r="I203" s="10">
        <f t="shared" si="22"/>
        <v>2.2826095064367436E-2</v>
      </c>
    </row>
    <row r="204" spans="1:9">
      <c r="A204" s="19">
        <f t="shared" si="23"/>
        <v>15.833333333333377</v>
      </c>
      <c r="B204" s="10">
        <f t="shared" si="18"/>
        <v>0.91268357330777838</v>
      </c>
      <c r="C204" s="10">
        <f t="shared" si="19"/>
        <v>0.95624137421631117</v>
      </c>
      <c r="D204" s="10">
        <f t="shared" si="24"/>
        <v>9.6235238634096859E-3</v>
      </c>
      <c r="E204" s="10">
        <f t="shared" si="25"/>
        <v>4.5419643208538052E-3</v>
      </c>
      <c r="F204" s="10">
        <f t="shared" si="20"/>
        <v>0.46185193204306085</v>
      </c>
      <c r="G204" s="66">
        <f t="shared" si="26"/>
        <v>2</v>
      </c>
      <c r="H204" s="10">
        <f t="shared" si="21"/>
        <v>0.40307933130969253</v>
      </c>
      <c r="I204" s="10">
        <f t="shared" si="22"/>
        <v>1.1419631009976557E-2</v>
      </c>
    </row>
    <row r="205" spans="1:9">
      <c r="A205" s="19">
        <f t="shared" si="23"/>
        <v>15.91666666666671</v>
      </c>
      <c r="B205" s="10">
        <f t="shared" si="18"/>
        <v>0.91194974540467422</v>
      </c>
      <c r="C205" s="10">
        <f t="shared" si="19"/>
        <v>0.95587850881829806</v>
      </c>
      <c r="D205" s="10">
        <f t="shared" si="24"/>
        <v>9.6810927939899091E-3</v>
      </c>
      <c r="E205" s="10">
        <f t="shared" si="25"/>
        <v>4.5670798329295803E-3</v>
      </c>
      <c r="F205" s="10">
        <f t="shared" si="20"/>
        <v>0.45997792503870744</v>
      </c>
      <c r="G205" s="66">
        <f t="shared" si="26"/>
        <v>4</v>
      </c>
      <c r="H205" s="10">
        <f t="shared" si="21"/>
        <v>0.40096881183281136</v>
      </c>
      <c r="I205" s="10">
        <f t="shared" si="22"/>
        <v>2.2852291396018777E-2</v>
      </c>
    </row>
    <row r="206" spans="1:9">
      <c r="A206" s="19">
        <f t="shared" si="23"/>
        <v>16.000000000000043</v>
      </c>
      <c r="B206" s="10">
        <f t="shared" ref="B206:B269" si="27">(B$9^A206)*B$10^((B$6^28)*((B$6^A206)-1))</f>
        <v>0.91121212285478514</v>
      </c>
      <c r="C206" s="10">
        <f t="shared" ref="C206:C269" si="28">(B$9^A206)*B$11^((B$7^24)*((B$7^A206)-1))</f>
        <v>0.95551377561500284</v>
      </c>
      <c r="D206" s="10">
        <f t="shared" si="24"/>
        <v>9.7390097240937952E-3</v>
      </c>
      <c r="E206" s="10">
        <f t="shared" si="25"/>
        <v>4.5923373517621066E-3</v>
      </c>
      <c r="F206" s="10">
        <f t="shared" si="20"/>
        <v>0.45811152199139898</v>
      </c>
      <c r="G206" s="66">
        <f t="shared" si="26"/>
        <v>2</v>
      </c>
      <c r="H206" s="10">
        <f t="shared" si="21"/>
        <v>0.39886658653190282</v>
      </c>
      <c r="I206" s="10">
        <f t="shared" si="22"/>
        <v>1.1432590977101221E-2</v>
      </c>
    </row>
    <row r="207" spans="1:9">
      <c r="A207" s="19">
        <f t="shared" si="23"/>
        <v>16.083333333333375</v>
      </c>
      <c r="B207" s="10">
        <f t="shared" si="27"/>
        <v>0.91047068933987862</v>
      </c>
      <c r="C207" s="10">
        <f t="shared" si="28"/>
        <v>0.95514716551484613</v>
      </c>
      <c r="D207" s="10">
        <f t="shared" si="24"/>
        <v>9.7972767573503011E-3</v>
      </c>
      <c r="E207" s="10">
        <f t="shared" si="25"/>
        <v>4.6177376802782394E-3</v>
      </c>
      <c r="F207" s="10">
        <f t="shared" ref="F207:F270" si="29">(1+B$8)^-A207</f>
        <v>0.45625269204737529</v>
      </c>
      <c r="G207" s="66">
        <f t="shared" si="26"/>
        <v>4</v>
      </c>
      <c r="H207" s="10">
        <f t="shared" ref="H207:H270" si="30">B207*C207*F207</f>
        <v>0.39677262465167207</v>
      </c>
      <c r="I207" s="10">
        <f t="shared" ref="I207:I270" si="31">B207*C207*(D207+E207)*F207*G207</f>
        <v>2.2877932451238491E-2</v>
      </c>
    </row>
    <row r="208" spans="1:9">
      <c r="A208" s="19">
        <f t="shared" ref="A208:A271" si="32">A207+1/12</f>
        <v>16.166666666666707</v>
      </c>
      <c r="B208" s="10">
        <f t="shared" si="27"/>
        <v>0.90972542851483273</v>
      </c>
      <c r="C208" s="10">
        <f t="shared" si="28"/>
        <v>0.95477866939056044</v>
      </c>
      <c r="D208" s="10">
        <f t="shared" si="24"/>
        <v>9.8558960101046301E-3</v>
      </c>
      <c r="E208" s="10">
        <f t="shared" si="25"/>
        <v>4.6432816259446928E-3</v>
      </c>
      <c r="F208" s="10">
        <f t="shared" si="29"/>
        <v>0.45440140447806804</v>
      </c>
      <c r="G208" s="66">
        <f t="shared" si="26"/>
        <v>2</v>
      </c>
      <c r="H208" s="10">
        <f t="shared" si="30"/>
        <v>0.39468689558751602</v>
      </c>
      <c r="I208" s="10">
        <f t="shared" si="31"/>
        <v>1.1445270819488495E-2</v>
      </c>
    </row>
    <row r="209" spans="1:9">
      <c r="A209" s="19">
        <f t="shared" si="32"/>
        <v>16.250000000000039</v>
      </c>
      <c r="B209" s="10">
        <f t="shared" si="27"/>
        <v>0.90897632400820128</v>
      </c>
      <c r="C209" s="10">
        <f t="shared" si="28"/>
        <v>0.95440827807915296</v>
      </c>
      <c r="D209" s="10">
        <f t="shared" ref="D209:D272" si="33">B$3+B$4*(B$6^(28+A209))</f>
        <v>9.9148696114951251E-3</v>
      </c>
      <c r="E209" s="10">
        <f t="shared" ref="E209:E272" si="34">B$3+B$5*(B$7^(24+A209))</f>
        <v>4.668970000793712E-3</v>
      </c>
      <c r="F209" s="10">
        <f t="shared" si="29"/>
        <v>0.45255762867959298</v>
      </c>
      <c r="G209" s="66">
        <f t="shared" ref="G209:G272" si="35">IF(G208=4,2,4)</f>
        <v>4</v>
      </c>
      <c r="H209" s="10">
        <f t="shared" si="30"/>
        <v>0.39260936888501413</v>
      </c>
      <c r="I209" s="10">
        <f t="shared" si="31"/>
        <v>2.290300826440396E-2</v>
      </c>
    </row>
    <row r="210" spans="1:9">
      <c r="A210" s="19">
        <f t="shared" si="32"/>
        <v>16.333333333333371</v>
      </c>
      <c r="B210" s="10">
        <f t="shared" si="27"/>
        <v>0.90822335942278754</v>
      </c>
      <c r="C210" s="10">
        <f t="shared" si="28"/>
        <v>0.95403598238186793</v>
      </c>
      <c r="D210" s="10">
        <f t="shared" si="33"/>
        <v>9.974199703530591E-3</v>
      </c>
      <c r="E210" s="10">
        <f t="shared" si="34"/>
        <v>4.6948036214488915E-3</v>
      </c>
      <c r="F210" s="10">
        <f t="shared" si="29"/>
        <v>0.45072133417224419</v>
      </c>
      <c r="G210" s="66">
        <f t="shared" si="35"/>
        <v>2</v>
      </c>
      <c r="H210" s="10">
        <f t="shared" si="30"/>
        <v>0.39054001423941886</v>
      </c>
      <c r="I210" s="10">
        <f t="shared" si="31"/>
        <v>1.145766553483114E-2</v>
      </c>
    </row>
    <row r="211" spans="1:9">
      <c r="A211" s="19">
        <f t="shared" si="32"/>
        <v>16.416666666666703</v>
      </c>
      <c r="B211" s="10">
        <f t="shared" si="27"/>
        <v>0.90746651833622971</v>
      </c>
      <c r="C211" s="10">
        <f t="shared" si="28"/>
        <v>0.95366177306415234</v>
      </c>
      <c r="D211" s="10">
        <f t="shared" si="33"/>
        <v>1.0033888441168115E-2</v>
      </c>
      <c r="E211" s="10">
        <f t="shared" si="34"/>
        <v>4.7207833091511388E-3</v>
      </c>
      <c r="F211" s="10">
        <f t="shared" si="29"/>
        <v>0.4488924905999897</v>
      </c>
      <c r="G211" s="66">
        <f t="shared" si="35"/>
        <v>4</v>
      </c>
      <c r="H211" s="10">
        <f t="shared" si="30"/>
        <v>0.38847880149514963</v>
      </c>
      <c r="I211" s="10">
        <f t="shared" si="31"/>
        <v>2.2927508792073462E-2</v>
      </c>
    </row>
    <row r="212" spans="1:9">
      <c r="A212" s="19">
        <f t="shared" si="32"/>
        <v>16.500000000000036</v>
      </c>
      <c r="B212" s="10">
        <f t="shared" si="27"/>
        <v>0.90670578430159465</v>
      </c>
      <c r="C212" s="10">
        <f t="shared" si="28"/>
        <v>0.95328564085562184</v>
      </c>
      <c r="D212" s="10">
        <f t="shared" si="33"/>
        <v>1.0093937992391326E-2</v>
      </c>
      <c r="E212" s="10">
        <f t="shared" si="34"/>
        <v>4.7469098897847751E-3</v>
      </c>
      <c r="F212" s="10">
        <f t="shared" si="29"/>
        <v>0.44707106772997002</v>
      </c>
      <c r="G212" s="66">
        <f t="shared" si="35"/>
        <v>2</v>
      </c>
      <c r="H212" s="10">
        <f t="shared" si="30"/>
        <v>0.3864257006452872</v>
      </c>
      <c r="I212" s="10">
        <f t="shared" si="31"/>
        <v>1.1469770082080052E-2</v>
      </c>
    </row>
    <row r="213" spans="1:9">
      <c r="A213" s="19">
        <f t="shared" si="32"/>
        <v>16.583333333333368</v>
      </c>
      <c r="B213" s="10">
        <f t="shared" si="27"/>
        <v>0.90594114084798283</v>
      </c>
      <c r="C213" s="10">
        <f t="shared" si="28"/>
        <v>0.95290757645002799</v>
      </c>
      <c r="D213" s="10">
        <f t="shared" si="33"/>
        <v>1.0154350538289125E-2</v>
      </c>
      <c r="E213" s="10">
        <f t="shared" si="34"/>
        <v>4.7731841939037904E-3</v>
      </c>
      <c r="F213" s="10">
        <f t="shared" si="29"/>
        <v>0.44525703545199835</v>
      </c>
      <c r="G213" s="66">
        <f t="shared" si="35"/>
        <v>4</v>
      </c>
      <c r="H213" s="10">
        <f t="shared" si="30"/>
        <v>0.38438068183106999</v>
      </c>
      <c r="I213" s="10">
        <f t="shared" si="31"/>
        <v>2.2951423913669167E-2</v>
      </c>
    </row>
    <row r="214" spans="1:9">
      <c r="A214" s="19">
        <f t="shared" si="32"/>
        <v>16.6666666666667</v>
      </c>
      <c r="B214" s="10">
        <f t="shared" si="27"/>
        <v>0.90517257148114327</v>
      </c>
      <c r="C214" s="10">
        <f t="shared" si="28"/>
        <v>0.9525275705052284</v>
      </c>
      <c r="D214" s="10">
        <f t="shared" si="33"/>
        <v>1.0215128273134925E-2</v>
      </c>
      <c r="E214" s="10">
        <f t="shared" si="34"/>
        <v>4.7996070567582457E-3</v>
      </c>
      <c r="F214" s="10">
        <f t="shared" si="29"/>
        <v>0.44345036377806263</v>
      </c>
      <c r="G214" s="66">
        <f t="shared" si="35"/>
        <v>2</v>
      </c>
      <c r="H214" s="10">
        <f t="shared" si="30"/>
        <v>0.38234371534139217</v>
      </c>
      <c r="I214" s="10">
        <f t="shared" si="31"/>
        <v>1.1481579381798035E-2</v>
      </c>
    </row>
    <row r="215" spans="1:9">
      <c r="A215" s="19">
        <f t="shared" si="32"/>
        <v>16.750000000000032</v>
      </c>
      <c r="B215" s="10">
        <f t="shared" si="27"/>
        <v>0.90440005968409887</v>
      </c>
      <c r="C215" s="10">
        <f t="shared" si="28"/>
        <v>0.95214561364315686</v>
      </c>
      <c r="D215" s="10">
        <f t="shared" si="33"/>
        <v>1.0276273404466347E-2</v>
      </c>
      <c r="E215" s="10">
        <f t="shared" si="34"/>
        <v>4.8261793183208314E-3</v>
      </c>
      <c r="F215" s="10">
        <f t="shared" si="29"/>
        <v>0.44165102284183022</v>
      </c>
      <c r="G215" s="66">
        <f t="shared" si="35"/>
        <v>4</v>
      </c>
      <c r="H215" s="10">
        <f t="shared" si="30"/>
        <v>0.38031477161230298</v>
      </c>
      <c r="I215" s="10">
        <f t="shared" si="31"/>
        <v>2.2974743432209638E-2</v>
      </c>
    </row>
    <row r="216" spans="1:9">
      <c r="A216" s="19">
        <f t="shared" si="32"/>
        <v>16.833333333333364</v>
      </c>
      <c r="B216" s="10">
        <f t="shared" si="27"/>
        <v>0.90362358891778172</v>
      </c>
      <c r="C216" s="10">
        <f t="shared" si="28"/>
        <v>0.95176169644979558</v>
      </c>
      <c r="D216" s="10">
        <f t="shared" si="33"/>
        <v>1.0337788153165399E-2</v>
      </c>
      <c r="E216" s="10">
        <f t="shared" si="34"/>
        <v>4.8529018233135655E-3</v>
      </c>
      <c r="F216" s="10">
        <f t="shared" si="29"/>
        <v>0.43985898289815345</v>
      </c>
      <c r="G216" s="66">
        <f t="shared" si="35"/>
        <v>2</v>
      </c>
      <c r="H216" s="10">
        <f t="shared" si="30"/>
        <v>0.37829382122650734</v>
      </c>
      <c r="I216" s="10">
        <f t="shared" si="31"/>
        <v>1.149308831653886E-2</v>
      </c>
    </row>
    <row r="217" spans="1:9">
      <c r="A217" s="19">
        <f t="shared" si="32"/>
        <v>16.916666666666696</v>
      </c>
      <c r="B217" s="10">
        <f t="shared" si="27"/>
        <v>0.90284314262168053</v>
      </c>
      <c r="C217" s="10">
        <f t="shared" si="28"/>
        <v>0.95137580947514955</v>
      </c>
      <c r="D217" s="10">
        <f t="shared" si="33"/>
        <v>1.0399674753539138E-2</v>
      </c>
      <c r="E217" s="10">
        <f t="shared" si="34"/>
        <v>4.8797754212346446E-3</v>
      </c>
      <c r="F217" s="10">
        <f t="shared" si="29"/>
        <v>0.43807421432257887</v>
      </c>
      <c r="G217" s="66">
        <f t="shared" si="35"/>
        <v>4</v>
      </c>
      <c r="H217" s="10">
        <f t="shared" si="30"/>
        <v>0.3762808349128689</v>
      </c>
      <c r="I217" s="10">
        <f t="shared" si="31"/>
        <v>2.299745707509384E-2</v>
      </c>
    </row>
    <row r="218" spans="1:9">
      <c r="A218" s="19">
        <f t="shared" si="32"/>
        <v>17.000000000000028</v>
      </c>
      <c r="B218" s="10">
        <f t="shared" si="27"/>
        <v>0.90205870421449597</v>
      </c>
      <c r="C218" s="10">
        <f t="shared" si="28"/>
        <v>0.95098794323322167</v>
      </c>
      <c r="D218" s="10">
        <f t="shared" si="33"/>
        <v>1.0461935453400821E-2</v>
      </c>
      <c r="E218" s="10">
        <f t="shared" si="34"/>
        <v>4.9068009663854502E-3</v>
      </c>
      <c r="F218" s="10">
        <f t="shared" si="29"/>
        <v>0.43629668761085655</v>
      </c>
      <c r="G218" s="66">
        <f t="shared" si="35"/>
        <v>2</v>
      </c>
      <c r="H218" s="10">
        <f t="shared" si="30"/>
        <v>0.37427578354591301</v>
      </c>
      <c r="I218" s="10">
        <f t="shared" si="31"/>
        <v>1.1504291731252232E-2</v>
      </c>
    </row>
    <row r="219" spans="1:9">
      <c r="A219" s="19">
        <f t="shared" si="32"/>
        <v>17.083333333333361</v>
      </c>
      <c r="B219" s="10">
        <f t="shared" si="27"/>
        <v>0.90127025709481023</v>
      </c>
      <c r="C219" s="10">
        <f t="shared" si="28"/>
        <v>0.95059808820198965</v>
      </c>
      <c r="D219" s="10">
        <f t="shared" si="33"/>
        <v>1.0524572514151563E-2</v>
      </c>
      <c r="E219" s="10">
        <f t="shared" si="34"/>
        <v>4.9339793178977132E-3</v>
      </c>
      <c r="F219" s="10">
        <f t="shared" si="29"/>
        <v>0.4345263733784529</v>
      </c>
      <c r="G219" s="66">
        <f t="shared" si="35"/>
        <v>4</v>
      </c>
      <c r="H219" s="10">
        <f t="shared" si="30"/>
        <v>0.37227863814533274</v>
      </c>
      <c r="I219" s="10">
        <f t="shared" si="31"/>
        <v>2.301955449493737E-2</v>
      </c>
    </row>
    <row r="220" spans="1:9">
      <c r="A220" s="19">
        <f t="shared" si="32"/>
        <v>17.166666666666693</v>
      </c>
      <c r="B220" s="10">
        <f t="shared" si="27"/>
        <v>0.90047778464176453</v>
      </c>
      <c r="C220" s="10">
        <f t="shared" si="28"/>
        <v>0.95020623482338551</v>
      </c>
      <c r="D220" s="10">
        <f t="shared" si="33"/>
        <v>1.0587588210862468E-2</v>
      </c>
      <c r="E220" s="10">
        <f t="shared" si="34"/>
        <v>4.9613113397608171E-3</v>
      </c>
      <c r="F220" s="10">
        <f t="shared" si="29"/>
        <v>0.43276324236006503</v>
      </c>
      <c r="G220" s="66">
        <f t="shared" si="35"/>
        <v>2</v>
      </c>
      <c r="H220" s="10">
        <f t="shared" si="30"/>
        <v>0.37028936987549554</v>
      </c>
      <c r="I220" s="10">
        <f t="shared" si="31"/>
        <v>1.1515184433715343E-2</v>
      </c>
    </row>
    <row r="221" spans="1:9">
      <c r="A221" s="19">
        <f t="shared" si="32"/>
        <v>17.250000000000025</v>
      </c>
      <c r="B221" s="10">
        <f t="shared" si="27"/>
        <v>0.89968127021574873</v>
      </c>
      <c r="C221" s="10">
        <f t="shared" si="28"/>
        <v>0.94981237350327552</v>
      </c>
      <c r="D221" s="10">
        <f t="shared" si="33"/>
        <v>1.065098483235725E-2</v>
      </c>
      <c r="E221" s="10">
        <f t="shared" si="34"/>
        <v>4.9887979008492681E-3</v>
      </c>
      <c r="F221" s="10">
        <f t="shared" si="29"/>
        <v>0.43100726540913642</v>
      </c>
      <c r="G221" s="66">
        <f t="shared" si="35"/>
        <v>4</v>
      </c>
      <c r="H221" s="10">
        <f t="shared" si="30"/>
        <v>0.36830795004495082</v>
      </c>
      <c r="I221" s="10">
        <f t="shared" si="31"/>
        <v>2.3041025270462839E-2</v>
      </c>
    </row>
    <row r="222" spans="1:9">
      <c r="A222" s="19">
        <f t="shared" si="32"/>
        <v>17.333333333333357</v>
      </c>
      <c r="B222" s="10">
        <f t="shared" si="27"/>
        <v>0.8988806971591029</v>
      </c>
      <c r="C222" s="10">
        <f t="shared" si="28"/>
        <v>0.94941649461144184</v>
      </c>
      <c r="D222" s="10">
        <f t="shared" si="33"/>
        <v>1.0714764681295376E-2</v>
      </c>
      <c r="E222" s="10">
        <f t="shared" si="34"/>
        <v>5.0164398749503094E-3</v>
      </c>
      <c r="F222" s="10">
        <f t="shared" si="29"/>
        <v>0.42925841349737576</v>
      </c>
      <c r="G222" s="66">
        <f t="shared" si="35"/>
        <v>2</v>
      </c>
      <c r="H222" s="10">
        <f t="shared" si="30"/>
        <v>0.36633435010593973</v>
      </c>
      <c r="I222" s="10">
        <f t="shared" si="31"/>
        <v>1.1525761194991723E-2</v>
      </c>
    </row>
    <row r="223" spans="1:9">
      <c r="A223" s="19">
        <f t="shared" si="32"/>
        <v>17.416666666666689</v>
      </c>
      <c r="B223" s="10">
        <f t="shared" si="27"/>
        <v>0.89807604879682834</v>
      </c>
      <c r="C223" s="10">
        <f t="shared" si="28"/>
        <v>0.94901858848156739</v>
      </c>
      <c r="D223" s="10">
        <f t="shared" si="33"/>
        <v>1.0778930074255715E-2</v>
      </c>
      <c r="E223" s="10">
        <f t="shared" si="34"/>
        <v>5.0442381407917137E-3</v>
      </c>
      <c r="F223" s="10">
        <f t="shared" si="29"/>
        <v>0.42751665771427616</v>
      </c>
      <c r="G223" s="66">
        <f t="shared" si="35"/>
        <v>4</v>
      </c>
      <c r="H223" s="10">
        <f t="shared" si="30"/>
        <v>0.36436854165390575</v>
      </c>
      <c r="I223" s="10">
        <f t="shared" si="31"/>
        <v>2.3061858907445068E-2</v>
      </c>
    </row>
    <row r="224" spans="1:9">
      <c r="A224" s="19">
        <f t="shared" si="32"/>
        <v>17.500000000000021</v>
      </c>
      <c r="B224" s="10">
        <f t="shared" si="27"/>
        <v>0.89726730843731139</v>
      </c>
      <c r="C224" s="10">
        <f t="shared" si="28"/>
        <v>0.94861864541122121</v>
      </c>
      <c r="D224" s="10">
        <f t="shared" si="33"/>
        <v>1.0843483341820667E-2</v>
      </c>
      <c r="E224" s="10">
        <f t="shared" si="34"/>
        <v>5.0721935820697049E-3</v>
      </c>
      <c r="F224" s="10">
        <f t="shared" si="29"/>
        <v>0.42578196926663842</v>
      </c>
      <c r="G224" s="66">
        <f t="shared" si="35"/>
        <v>2</v>
      </c>
      <c r="H224" s="10">
        <f t="shared" si="30"/>
        <v>0.36241049642700757</v>
      </c>
      <c r="I224" s="10">
        <f t="shared" si="31"/>
        <v>1.1536016749917955E-2</v>
      </c>
    </row>
    <row r="225" spans="1:9">
      <c r="A225" s="19">
        <f t="shared" si="32"/>
        <v>17.583333333333353</v>
      </c>
      <c r="B225" s="10">
        <f t="shared" si="27"/>
        <v>0.89645445937305779</v>
      </c>
      <c r="C225" s="10">
        <f t="shared" si="28"/>
        <v>0.94821665566184488</v>
      </c>
      <c r="D225" s="10">
        <f t="shared" si="33"/>
        <v>1.09084268286608E-2</v>
      </c>
      <c r="E225" s="10">
        <f t="shared" si="34"/>
        <v>5.1003070874770517E-3</v>
      </c>
      <c r="F225" s="10">
        <f t="shared" si="29"/>
        <v>0.42405431947809386</v>
      </c>
      <c r="G225" s="66">
        <f t="shared" si="35"/>
        <v>4</v>
      </c>
      <c r="H225" s="10">
        <f t="shared" si="30"/>
        <v>0.36046018630563104</v>
      </c>
      <c r="I225" s="10">
        <f t="shared" si="31"/>
        <v>2.3082044839713295E-2</v>
      </c>
    </row>
    <row r="226" spans="1:9">
      <c r="A226" s="19">
        <f t="shared" si="32"/>
        <v>17.666666666666686</v>
      </c>
      <c r="B226" s="10">
        <f t="shared" si="27"/>
        <v>0.89563748488143857</v>
      </c>
      <c r="C226" s="10">
        <f t="shared" si="28"/>
        <v>0.94781260945874291</v>
      </c>
      <c r="D226" s="10">
        <f t="shared" si="33"/>
        <v>1.0973762893620034E-2</v>
      </c>
      <c r="E226" s="10">
        <f t="shared" si="34"/>
        <v>5.1285795507313185E-3</v>
      </c>
      <c r="F226" s="10">
        <f t="shared" si="29"/>
        <v>0.42233367978863134</v>
      </c>
      <c r="G226" s="66">
        <f t="shared" si="35"/>
        <v>2</v>
      </c>
      <c r="H226" s="10">
        <f t="shared" si="30"/>
        <v>0.35851758331190525</v>
      </c>
      <c r="I226" s="10">
        <f t="shared" si="31"/>
        <v>1.1545945797619127E-2</v>
      </c>
    </row>
    <row r="227" spans="1:9">
      <c r="A227" s="19">
        <f t="shared" si="32"/>
        <v>17.750000000000018</v>
      </c>
      <c r="B227" s="10">
        <f t="shared" si="27"/>
        <v>0.89481636822544852</v>
      </c>
      <c r="C227" s="10">
        <f t="shared" si="28"/>
        <v>0.94740649699107304</v>
      </c>
      <c r="D227" s="10">
        <f t="shared" si="33"/>
        <v>1.1039493909801312E-2</v>
      </c>
      <c r="E227" s="10">
        <f t="shared" si="34"/>
        <v>5.1570118706032852E-3</v>
      </c>
      <c r="F227" s="10">
        <f t="shared" si="29"/>
        <v>0.42062002175412427</v>
      </c>
      <c r="G227" s="66">
        <f t="shared" si="35"/>
        <v>4</v>
      </c>
      <c r="H227" s="10">
        <f t="shared" si="30"/>
        <v>0.35658265960921748</v>
      </c>
      <c r="I227" s="10">
        <f t="shared" si="31"/>
        <v>2.3101572430210937E-2</v>
      </c>
    </row>
    <row r="228" spans="1:9">
      <c r="A228" s="19">
        <f t="shared" si="32"/>
        <v>17.83333333333335</v>
      </c>
      <c r="B228" s="10">
        <f t="shared" si="27"/>
        <v>0.89399109265447507</v>
      </c>
      <c r="C228" s="10">
        <f t="shared" si="28"/>
        <v>0.94699830841183974</v>
      </c>
      <c r="D228" s="10">
        <f t="shared" si="33"/>
        <v>1.1105622264652793E-2</v>
      </c>
      <c r="E228" s="10">
        <f t="shared" si="34"/>
        <v>5.1856049509455106E-3</v>
      </c>
      <c r="F228" s="10">
        <f t="shared" si="29"/>
        <v>0.41891331704586077</v>
      </c>
      <c r="G228" s="66">
        <f t="shared" si="35"/>
        <v>2</v>
      </c>
      <c r="H228" s="10">
        <f t="shared" si="30"/>
        <v>0.35465538750173087</v>
      </c>
      <c r="I228" s="10">
        <f t="shared" si="31"/>
        <v>1.1555543002053522E-2</v>
      </c>
    </row>
    <row r="229" spans="1:9">
      <c r="A229" s="19">
        <f t="shared" si="32"/>
        <v>17.916666666666682</v>
      </c>
      <c r="B229" s="10">
        <f t="shared" si="27"/>
        <v>0.89316164140507959</v>
      </c>
      <c r="C229" s="10">
        <f t="shared" si="28"/>
        <v>0.94658803383788848</v>
      </c>
      <c r="D229" s="10">
        <f t="shared" si="33"/>
        <v>1.1172150360054565E-2</v>
      </c>
      <c r="E229" s="10">
        <f t="shared" si="34"/>
        <v>5.2143597007210654E-3</v>
      </c>
      <c r="F229" s="10">
        <f t="shared" si="29"/>
        <v>0.41721353745007539</v>
      </c>
      <c r="G229" s="66">
        <f t="shared" si="35"/>
        <v>4</v>
      </c>
      <c r="H229" s="10">
        <f t="shared" si="30"/>
        <v>0.35273573943390252</v>
      </c>
      <c r="I229" s="10">
        <f t="shared" si="31"/>
        <v>2.3120430972115105E-2</v>
      </c>
    </row>
    <row r="230" spans="1:9">
      <c r="A230" s="19">
        <f t="shared" si="32"/>
        <v>18.000000000000014</v>
      </c>
      <c r="B230" s="10">
        <f t="shared" si="27"/>
        <v>0.89232799770179094</v>
      </c>
      <c r="C230" s="10">
        <f t="shared" si="28"/>
        <v>0.94617566334990211</v>
      </c>
      <c r="D230" s="10">
        <f t="shared" si="33"/>
        <v>1.1239080612405873E-2</v>
      </c>
      <c r="E230" s="10">
        <f t="shared" si="34"/>
        <v>5.2432770340324281E-3</v>
      </c>
      <c r="F230" s="10">
        <f t="shared" si="29"/>
        <v>0.41552065486748269</v>
      </c>
      <c r="G230" s="66">
        <f t="shared" si="35"/>
        <v>2</v>
      </c>
      <c r="H230" s="10">
        <f t="shared" si="30"/>
        <v>0.35082368799000291</v>
      </c>
      <c r="I230" s="10">
        <f t="shared" si="31"/>
        <v>1.1564802992587419E-2</v>
      </c>
    </row>
    <row r="231" spans="1:9">
      <c r="A231" s="19">
        <f t="shared" si="32"/>
        <v>18.083333333333346</v>
      </c>
      <c r="B231" s="10">
        <f t="shared" si="27"/>
        <v>0.89149014475791066</v>
      </c>
      <c r="C231" s="10">
        <f t="shared" si="28"/>
        <v>0.94576118699240053</v>
      </c>
      <c r="D231" s="10">
        <f t="shared" si="33"/>
        <v>1.1306415452712916E-2</v>
      </c>
      <c r="E231" s="10">
        <f t="shared" si="34"/>
        <v>5.2723578701505489E-3</v>
      </c>
      <c r="F231" s="10">
        <f t="shared" si="29"/>
        <v>0.41383464131281261</v>
      </c>
      <c r="G231" s="66">
        <f t="shared" si="35"/>
        <v>4</v>
      </c>
      <c r="H231" s="10">
        <f t="shared" si="30"/>
        <v>0.34891920589363667</v>
      </c>
      <c r="I231" s="10">
        <f t="shared" si="31"/>
        <v>2.313860969001651E-2</v>
      </c>
    </row>
    <row r="232" spans="1:9">
      <c r="A232" s="19">
        <f t="shared" si="32"/>
        <v>18.166666666666679</v>
      </c>
      <c r="B232" s="10">
        <f t="shared" si="27"/>
        <v>0.89064806577633038</v>
      </c>
      <c r="C232" s="10">
        <f t="shared" si="28"/>
        <v>0.94534459477374044</v>
      </c>
      <c r="D232" s="10">
        <f t="shared" si="33"/>
        <v>1.1374157326677138E-2</v>
      </c>
      <c r="E232" s="10">
        <f t="shared" si="34"/>
        <v>5.3016031335440701E-3</v>
      </c>
      <c r="F232" s="10">
        <f t="shared" si="29"/>
        <v>0.4121554689143479</v>
      </c>
      <c r="G232" s="66">
        <f t="shared" si="35"/>
        <v>2</v>
      </c>
      <c r="H232" s="10">
        <f t="shared" si="30"/>
        <v>0.34702226600726421</v>
      </c>
      <c r="I232" s="10">
        <f t="shared" si="31"/>
        <v>1.1573720364600604E-2</v>
      </c>
    </row>
    <row r="233" spans="1:9">
      <c r="A233" s="19">
        <f t="shared" si="32"/>
        <v>18.250000000000011</v>
      </c>
      <c r="B233" s="10">
        <f t="shared" si="27"/>
        <v>0.88980174395036149</v>
      </c>
      <c r="C233" s="10">
        <f t="shared" si="28"/>
        <v>0.94492587666611783</v>
      </c>
      <c r="D233" s="10">
        <f t="shared" si="33"/>
        <v>1.1442308694784032E-2</v>
      </c>
      <c r="E233" s="10">
        <f t="shared" si="34"/>
        <v>5.3310137539087114E-3</v>
      </c>
      <c r="F233" s="10">
        <f t="shared" si="29"/>
        <v>0.41048310991346365</v>
      </c>
      <c r="G233" s="66">
        <f t="shared" si="35"/>
        <v>4</v>
      </c>
      <c r="H233" s="10">
        <f t="shared" si="30"/>
        <v>0.34513284133172478</v>
      </c>
      <c r="I233" s="10">
        <f t="shared" si="31"/>
        <v>2.3156097741162118E-2</v>
      </c>
    </row>
    <row r="234" spans="1:9">
      <c r="A234" s="19">
        <f t="shared" si="32"/>
        <v>18.333333333333343</v>
      </c>
      <c r="B234" s="10">
        <f t="shared" si="27"/>
        <v>0.88895116246457739</v>
      </c>
      <c r="C234" s="10">
        <f t="shared" si="28"/>
        <v>0.94450502260557334</v>
      </c>
      <c r="D234" s="10">
        <f t="shared" si="33"/>
        <v>1.1510872032392514E-2</v>
      </c>
      <c r="E234" s="10">
        <f t="shared" si="34"/>
        <v>5.3605906661968261E-3</v>
      </c>
      <c r="F234" s="10">
        <f t="shared" si="29"/>
        <v>0.4088175366641677</v>
      </c>
      <c r="G234" s="66">
        <f t="shared" si="35"/>
        <v>2</v>
      </c>
      <c r="H234" s="10">
        <f t="shared" si="30"/>
        <v>0.34325090500575983</v>
      </c>
      <c r="I234" s="10">
        <f t="shared" si="31"/>
        <v>1.158228968012342E-2</v>
      </c>
    </row>
    <row r="235" spans="1:9">
      <c r="A235" s="19">
        <f t="shared" si="32"/>
        <v>18.416666666666675</v>
      </c>
      <c r="B235" s="10">
        <f t="shared" si="27"/>
        <v>0.88809630449566779</v>
      </c>
      <c r="C235" s="10">
        <f t="shared" si="28"/>
        <v>0.94408202249199824</v>
      </c>
      <c r="D235" s="10">
        <f t="shared" si="33"/>
        <v>1.1579849829824879E-2</v>
      </c>
      <c r="E235" s="10">
        <f t="shared" si="34"/>
        <v>5.3903348106471294E-3</v>
      </c>
      <c r="F235" s="10">
        <f t="shared" si="29"/>
        <v>0.40715872163264427</v>
      </c>
      <c r="G235" s="66">
        <f t="shared" si="35"/>
        <v>4</v>
      </c>
      <c r="H235" s="10">
        <f t="shared" si="30"/>
        <v>0.34137643030553844</v>
      </c>
      <c r="I235" s="10">
        <f t="shared" si="31"/>
        <v>2.3172884216760847E-2</v>
      </c>
    </row>
    <row r="236" spans="1:9">
      <c r="A236" s="19">
        <f t="shared" si="32"/>
        <v>18.500000000000007</v>
      </c>
      <c r="B236" s="10">
        <f t="shared" si="27"/>
        <v>0.88723715321330632</v>
      </c>
      <c r="C236" s="10">
        <f t="shared" si="28"/>
        <v>0.94365686618914368</v>
      </c>
      <c r="D236" s="10">
        <f t="shared" si="33"/>
        <v>1.1649244592457201E-2</v>
      </c>
      <c r="E236" s="10">
        <f t="shared" si="34"/>
        <v>5.4202471328145809E-3</v>
      </c>
      <c r="F236" s="10">
        <f t="shared" si="29"/>
        <v>0.40550663739679865</v>
      </c>
      <c r="G236" s="66">
        <f t="shared" si="35"/>
        <v>2</v>
      </c>
      <c r="H236" s="10">
        <f t="shared" si="30"/>
        <v>0.3395093906441834</v>
      </c>
      <c r="I236" s="10">
        <f t="shared" si="31"/>
        <v>1.1590505468505909E-2</v>
      </c>
    </row>
    <row r="237" spans="1:9">
      <c r="A237" s="19">
        <f t="shared" si="32"/>
        <v>18.583333333333339</v>
      </c>
      <c r="B237" s="10">
        <f t="shared" si="27"/>
        <v>0.88637369178103009</v>
      </c>
      <c r="C237" s="10">
        <f t="shared" si="28"/>
        <v>0.9432295435246314</v>
      </c>
      <c r="D237" s="10">
        <f t="shared" si="33"/>
        <v>1.1719058840810346E-2</v>
      </c>
      <c r="E237" s="10">
        <f t="shared" si="34"/>
        <v>5.4503285836004414E-3</v>
      </c>
      <c r="F237" s="10">
        <f t="shared" si="29"/>
        <v>0.40386125664580397</v>
      </c>
      <c r="G237" s="66">
        <f t="shared" si="35"/>
        <v>4</v>
      </c>
      <c r="H237" s="10">
        <f t="shared" si="30"/>
        <v>0.33764975957129795</v>
      </c>
      <c r="I237" s="10">
        <f t="shared" si="31"/>
        <v>2.318895814335507E-2</v>
      </c>
    </row>
    <row r="238" spans="1:9">
      <c r="A238" s="19">
        <f t="shared" si="32"/>
        <v>18.666666666666671</v>
      </c>
      <c r="B238" s="10">
        <f t="shared" si="27"/>
        <v>0.8855059033571322</v>
      </c>
      <c r="C238" s="10">
        <f t="shared" si="28"/>
        <v>0.94280004428996611</v>
      </c>
      <c r="D238" s="10">
        <f t="shared" si="33"/>
        <v>1.178929511064152E-2</v>
      </c>
      <c r="E238" s="10">
        <f t="shared" si="34"/>
        <v>5.4805801192825063E-3</v>
      </c>
      <c r="F238" s="10">
        <f t="shared" si="29"/>
        <v>0.40222255217964914</v>
      </c>
      <c r="G238" s="66">
        <f t="shared" si="35"/>
        <v>2</v>
      </c>
      <c r="H238" s="10">
        <f t="shared" si="30"/>
        <v>0.33579751077249292</v>
      </c>
      <c r="I238" s="10">
        <f t="shared" si="31"/>
        <v>1.1598362227120046E-2</v>
      </c>
    </row>
    <row r="239" spans="1:9">
      <c r="A239" s="19">
        <f t="shared" si="32"/>
        <v>18.750000000000004</v>
      </c>
      <c r="B239" s="10">
        <f t="shared" si="27"/>
        <v>0.88463377109556818</v>
      </c>
      <c r="C239" s="10">
        <f t="shared" si="28"/>
        <v>0.94236835824055176</v>
      </c>
      <c r="D239" s="10">
        <f t="shared" si="33"/>
        <v>1.1859955953036395E-2</v>
      </c>
      <c r="E239" s="10">
        <f t="shared" si="34"/>
        <v>5.5110027015455101E-3</v>
      </c>
      <c r="F239" s="10">
        <f t="shared" si="29"/>
        <v>0.40059049690868997</v>
      </c>
      <c r="G239" s="66">
        <f t="shared" si="35"/>
        <v>4</v>
      </c>
      <c r="H239" s="10">
        <f t="shared" si="30"/>
        <v>0.33395261806891718</v>
      </c>
      <c r="I239" s="10">
        <f t="shared" si="31"/>
        <v>2.3204308484258168E-2</v>
      </c>
    </row>
    <row r="240" spans="1:9">
      <c r="A240" s="19">
        <f t="shared" si="32"/>
        <v>18.833333333333336</v>
      </c>
      <c r="B240" s="10">
        <f t="shared" si="27"/>
        <v>0.88375727814687344</v>
      </c>
      <c r="C240" s="10">
        <f t="shared" si="28"/>
        <v>0.94193447509570827</v>
      </c>
      <c r="D240" s="10">
        <f t="shared" si="33"/>
        <v>1.1931043934501739E-2</v>
      </c>
      <c r="E240" s="10">
        <f t="shared" si="34"/>
        <v>5.5415972975116929E-3</v>
      </c>
      <c r="F240" s="10">
        <f t="shared" si="29"/>
        <v>0.39896506385320096</v>
      </c>
      <c r="G240" s="66">
        <f t="shared" si="35"/>
        <v>2</v>
      </c>
      <c r="H240" s="10">
        <f t="shared" si="30"/>
        <v>0.33211505541678599</v>
      </c>
      <c r="I240" s="10">
        <f t="shared" si="31"/>
        <v>1.1605854422095522E-2</v>
      </c>
    </row>
    <row r="241" spans="1:9">
      <c r="A241" s="19">
        <f t="shared" si="32"/>
        <v>18.916666666666668</v>
      </c>
      <c r="B241" s="10">
        <f t="shared" si="27"/>
        <v>0.88287640765909603</v>
      </c>
      <c r="C241" s="10">
        <f t="shared" si="28"/>
        <v>0.94149838453869117</v>
      </c>
      <c r="D241" s="10">
        <f t="shared" si="33"/>
        <v>1.200256163705864E-2</v>
      </c>
      <c r="E241" s="10">
        <f t="shared" si="34"/>
        <v>5.5723648797715358E-3</v>
      </c>
      <c r="F241" s="10">
        <f t="shared" si="29"/>
        <v>0.39734622614292914</v>
      </c>
      <c r="G241" s="66">
        <f t="shared" si="35"/>
        <v>4</v>
      </c>
      <c r="H241" s="10">
        <f t="shared" si="30"/>
        <v>0.33028479690691215</v>
      </c>
      <c r="I241" s="10">
        <f t="shared" si="31"/>
        <v>2.3218924141060641E-2</v>
      </c>
    </row>
    <row r="242" spans="1:9">
      <c r="A242" s="19">
        <f t="shared" si="32"/>
        <v>19</v>
      </c>
      <c r="B242" s="10">
        <f t="shared" si="27"/>
        <v>0.88199114277874124</v>
      </c>
      <c r="C242" s="10">
        <f t="shared" si="28"/>
        <v>0.94106007621671384</v>
      </c>
      <c r="D242" s="10">
        <f t="shared" si="33"/>
        <v>1.2074511658336309E-2</v>
      </c>
      <c r="E242" s="10">
        <f t="shared" si="34"/>
        <v>5.6033064264146819E-3</v>
      </c>
      <c r="F242" s="10">
        <f t="shared" si="29"/>
        <v>0.39573395701665059</v>
      </c>
      <c r="G242" s="66">
        <f t="shared" si="35"/>
        <v>2</v>
      </c>
      <c r="H242" s="10">
        <f t="shared" si="30"/>
        <v>0.32846181676423808</v>
      </c>
      <c r="I242" s="10">
        <f t="shared" si="31"/>
        <v>1.1612976489090028E-2</v>
      </c>
    </row>
    <row r="243" spans="1:9">
      <c r="A243" s="19">
        <f t="shared" si="32"/>
        <v>19.083333333333332</v>
      </c>
      <c r="B243" s="10">
        <f t="shared" si="27"/>
        <v>0.8811014666517305</v>
      </c>
      <c r="C243" s="10">
        <f t="shared" si="28"/>
        <v>0.94061953974097112</v>
      </c>
      <c r="D243" s="10">
        <f t="shared" si="33"/>
        <v>1.2146896611666373E-2</v>
      </c>
      <c r="E243" s="10">
        <f t="shared" si="34"/>
        <v>5.6344229210610825E-3</v>
      </c>
      <c r="F243" s="10">
        <f t="shared" si="29"/>
        <v>0.39412822982172652</v>
      </c>
      <c r="G243" s="66">
        <f t="shared" si="35"/>
        <v>4</v>
      </c>
      <c r="H243" s="10">
        <f t="shared" si="30"/>
        <v>0.3266460893473665</v>
      </c>
      <c r="I243" s="10">
        <f t="shared" si="31"/>
        <v>2.3232793955205465E-2</v>
      </c>
    </row>
    <row r="244" spans="1:9">
      <c r="A244" s="19">
        <f t="shared" si="32"/>
        <v>19.166666666666664</v>
      </c>
      <c r="B244" s="10">
        <f t="shared" si="27"/>
        <v>0.88020736242437259</v>
      </c>
      <c r="C244" s="10">
        <f t="shared" si="28"/>
        <v>0.94017676468666656</v>
      </c>
      <c r="D244" s="10">
        <f t="shared" si="33"/>
        <v>1.2219719126177914E-2</v>
      </c>
      <c r="E244" s="10">
        <f t="shared" si="34"/>
        <v>5.6657153528921495E-3</v>
      </c>
      <c r="F244" s="10">
        <f t="shared" si="29"/>
        <v>0.39252901801366491</v>
      </c>
      <c r="G244" s="66">
        <f t="shared" si="35"/>
        <v>2</v>
      </c>
      <c r="H244" s="10">
        <f t="shared" si="30"/>
        <v>0.32483758914809591</v>
      </c>
      <c r="I244" s="10">
        <f t="shared" si="31"/>
        <v>1.16197228340947E-2</v>
      </c>
    </row>
    <row r="245" spans="1:9">
      <c r="A245" s="19">
        <f t="shared" si="32"/>
        <v>19.249999999999996</v>
      </c>
      <c r="B245" s="10">
        <f t="shared" si="27"/>
        <v>0.87930881324434962</v>
      </c>
      <c r="C245" s="10">
        <f t="shared" si="28"/>
        <v>0.93973174059304099</v>
      </c>
      <c r="D245" s="10">
        <f t="shared" si="33"/>
        <v>1.2292981846892821E-2</v>
      </c>
      <c r="E245" s="10">
        <f t="shared" si="34"/>
        <v>5.6971847166823178E-3</v>
      </c>
      <c r="F245" s="10">
        <f t="shared" si="29"/>
        <v>0.3909362951556799</v>
      </c>
      <c r="G245" s="66">
        <f t="shared" si="35"/>
        <v>4</v>
      </c>
      <c r="H245" s="10">
        <f t="shared" si="30"/>
        <v>0.32303629079095264</v>
      </c>
      <c r="I245" s="10">
        <f t="shared" si="31"/>
        <v>2.3245906709634927E-2</v>
      </c>
    </row>
    <row r="246" spans="1:9">
      <c r="A246" s="19">
        <f t="shared" si="32"/>
        <v>19.333333333333329</v>
      </c>
      <c r="B246" s="10">
        <f t="shared" si="27"/>
        <v>0.87840580226171616</v>
      </c>
      <c r="C246" s="10">
        <f t="shared" si="28"/>
        <v>0.93928445696340301</v>
      </c>
      <c r="D246" s="10">
        <f t="shared" si="33"/>
        <v>1.2366687434821942E-2</v>
      </c>
      <c r="E246" s="10">
        <f t="shared" si="34"/>
        <v>5.7288320128306E-3</v>
      </c>
      <c r="F246" s="10">
        <f t="shared" si="29"/>
        <v>0.38935003491825515</v>
      </c>
      <c r="G246" s="66">
        <f t="shared" si="35"/>
        <v>2</v>
      </c>
      <c r="H246" s="10">
        <f t="shared" si="30"/>
        <v>0.32124216903272595</v>
      </c>
      <c r="I246" s="10">
        <f t="shared" si="31"/>
        <v>1.1626087834275555E-2</v>
      </c>
    </row>
    <row r="247" spans="1:9">
      <c r="A247" s="19">
        <f t="shared" si="32"/>
        <v>19.416666666666661</v>
      </c>
      <c r="B247" s="10">
        <f t="shared" si="27"/>
        <v>0.87749831262991196</v>
      </c>
      <c r="C247" s="10">
        <f t="shared" si="28"/>
        <v>0.93883490326516428</v>
      </c>
      <c r="D247" s="10">
        <f t="shared" si="33"/>
        <v>1.2440838567061734E-2</v>
      </c>
      <c r="E247" s="10">
        <f t="shared" si="34"/>
        <v>5.7606582473924235E-3</v>
      </c>
      <c r="F247" s="10">
        <f t="shared" si="29"/>
        <v>0.38777021107870907</v>
      </c>
      <c r="G247" s="66">
        <f t="shared" si="35"/>
        <v>4</v>
      </c>
      <c r="H247" s="10">
        <f t="shared" si="30"/>
        <v>0.31945519876200384</v>
      </c>
      <c r="I247" s="10">
        <f t="shared" si="31"/>
        <v>2.3258251130509732E-2</v>
      </c>
    </row>
    <row r="248" spans="1:9">
      <c r="A248" s="19">
        <f t="shared" si="32"/>
        <v>19.499999999999993</v>
      </c>
      <c r="B248" s="10">
        <f t="shared" si="27"/>
        <v>0.87658632750678978</v>
      </c>
      <c r="C248" s="10">
        <f t="shared" si="28"/>
        <v>0.93838306892987411</v>
      </c>
      <c r="D248" s="10">
        <f t="shared" si="33"/>
        <v>1.251543793689148E-2</v>
      </c>
      <c r="E248" s="10">
        <f t="shared" si="34"/>
        <v>5.792664432111596E-3</v>
      </c>
      <c r="F248" s="10">
        <f t="shared" si="29"/>
        <v>0.38619679752076091</v>
      </c>
      <c r="G248" s="66">
        <f t="shared" si="35"/>
        <v>2</v>
      </c>
      <c r="H248" s="10">
        <f t="shared" si="30"/>
        <v>0.31767535499870891</v>
      </c>
      <c r="I248" s="10">
        <f t="shared" si="31"/>
        <v>1.1632065838851513E-2</v>
      </c>
    </row>
    <row r="249" spans="1:9">
      <c r="A249" s="19">
        <f t="shared" si="32"/>
        <v>19.583333333333325</v>
      </c>
      <c r="B249" s="10">
        <f t="shared" si="27"/>
        <v>0.87566983005565469</v>
      </c>
      <c r="C249" s="10">
        <f t="shared" si="28"/>
        <v>0.93792894335325894</v>
      </c>
      <c r="D249" s="10">
        <f t="shared" si="33"/>
        <v>1.259048825387111E-2</v>
      </c>
      <c r="E249" s="10">
        <f t="shared" si="34"/>
        <v>5.8248515844524663E-3</v>
      </c>
      <c r="F249" s="10">
        <f t="shared" si="29"/>
        <v>0.38462976823409933</v>
      </c>
      <c r="G249" s="66">
        <f t="shared" si="35"/>
        <v>4</v>
      </c>
      <c r="H249" s="10">
        <f t="shared" si="30"/>
        <v>0.31590261289363486</v>
      </c>
      <c r="I249" s="10">
        <f t="shared" si="31"/>
        <v>2.3269815889002662E-2</v>
      </c>
    </row>
    <row r="250" spans="1:9">
      <c r="A250" s="19">
        <f t="shared" si="32"/>
        <v>19.666666666666657</v>
      </c>
      <c r="B250" s="10">
        <f t="shared" si="27"/>
        <v>0.87474880344632133</v>
      </c>
      <c r="C250" s="10">
        <f t="shared" si="28"/>
        <v>0.9374725158952637</v>
      </c>
      <c r="D250" s="10">
        <f t="shared" si="33"/>
        <v>1.2665992243939625E-2</v>
      </c>
      <c r="E250" s="10">
        <f t="shared" si="34"/>
        <v>5.8572207276322763E-3</v>
      </c>
      <c r="F250" s="10">
        <f t="shared" si="29"/>
        <v>0.38306909731395183</v>
      </c>
      <c r="G250" s="66">
        <f t="shared" si="35"/>
        <v>2</v>
      </c>
      <c r="H250" s="10">
        <f t="shared" si="30"/>
        <v>0.31413694772798434</v>
      </c>
      <c r="I250" s="10">
        <f t="shared" si="31"/>
        <v>1.1637651170010007E-2</v>
      </c>
    </row>
    <row r="251" spans="1:9">
      <c r="A251" s="19">
        <f t="shared" si="32"/>
        <v>19.749999999999989</v>
      </c>
      <c r="B251" s="10">
        <f t="shared" si="27"/>
        <v>0.87382323085618197</v>
      </c>
      <c r="C251" s="10">
        <f t="shared" si="28"/>
        <v>0.93701377588009482</v>
      </c>
      <c r="D251" s="10">
        <f t="shared" si="33"/>
        <v>1.2741952649514113E-2</v>
      </c>
      <c r="E251" s="10">
        <f t="shared" si="34"/>
        <v>5.889772890653692E-3</v>
      </c>
      <c r="F251" s="10">
        <f t="shared" si="29"/>
        <v>0.38151475896065734</v>
      </c>
      <c r="G251" s="66">
        <f t="shared" si="35"/>
        <v>4</v>
      </c>
      <c r="H251" s="10">
        <f t="shared" si="30"/>
        <v>0.31237833491290667</v>
      </c>
      <c r="I251" s="10">
        <f t="shared" si="31"/>
        <v>2.3280589603167583E-2</v>
      </c>
    </row>
    <row r="252" spans="1:9">
      <c r="A252" s="19">
        <f t="shared" si="32"/>
        <v>19.833333333333321</v>
      </c>
      <c r="B252" s="10">
        <f t="shared" si="27"/>
        <v>0.8728930954712899</v>
      </c>
      <c r="C252" s="10">
        <f t="shared" si="28"/>
        <v>0.93655271259626693</v>
      </c>
      <c r="D252" s="10">
        <f t="shared" si="33"/>
        <v>1.2818372229589358E-2</v>
      </c>
      <c r="E252" s="10">
        <f t="shared" si="34"/>
        <v>5.9225091083375059E-3</v>
      </c>
      <c r="F252" s="10">
        <f t="shared" si="29"/>
        <v>0.37996672747923921</v>
      </c>
      <c r="G252" s="66">
        <f t="shared" si="35"/>
        <v>2</v>
      </c>
      <c r="H252" s="10">
        <f t="shared" si="30"/>
        <v>0.31062674998903633</v>
      </c>
      <c r="I252" s="10">
        <f t="shared" si="31"/>
        <v>1.164283812386081E-2</v>
      </c>
    </row>
    <row r="253" spans="1:9">
      <c r="A253" s="19">
        <f t="shared" si="32"/>
        <v>19.916666666666654</v>
      </c>
      <c r="B253" s="10">
        <f t="shared" si="27"/>
        <v>0.87195838048745911</v>
      </c>
      <c r="C253" s="10">
        <f t="shared" si="28"/>
        <v>0.93608931529665185</v>
      </c>
      <c r="D253" s="10">
        <f t="shared" si="33"/>
        <v>1.2895253759838028E-2</v>
      </c>
      <c r="E253" s="10">
        <f t="shared" si="34"/>
        <v>5.9554304213555384E-3</v>
      </c>
      <c r="F253" s="10">
        <f t="shared" si="29"/>
        <v>0.37842497727898039</v>
      </c>
      <c r="G253" s="66">
        <f t="shared" si="35"/>
        <v>4</v>
      </c>
      <c r="H253" s="10">
        <f t="shared" si="30"/>
        <v>0.30888216862603235</v>
      </c>
      <c r="I253" s="10">
        <f t="shared" si="31"/>
        <v>2.3290560839886051E-2</v>
      </c>
    </row>
    <row r="254" spans="1:9">
      <c r="A254" s="19">
        <f t="shared" si="32"/>
        <v>19.999999999999986</v>
      </c>
      <c r="B254" s="10">
        <f t="shared" si="27"/>
        <v>0.87101906911137594</v>
      </c>
      <c r="C254" s="10">
        <f t="shared" si="28"/>
        <v>0.93562357319852996</v>
      </c>
      <c r="D254" s="10">
        <f t="shared" si="33"/>
        <v>1.297260003271151E-2</v>
      </c>
      <c r="E254" s="10">
        <f t="shared" si="34"/>
        <v>5.9885378762637165E-3</v>
      </c>
      <c r="F254" s="10">
        <f t="shared" si="29"/>
        <v>0.37688948287300061</v>
      </c>
      <c r="G254" s="66">
        <f t="shared" si="35"/>
        <v>2</v>
      </c>
      <c r="H254" s="10">
        <f t="shared" si="30"/>
        <v>0.30714456662211781</v>
      </c>
      <c r="I254" s="10">
        <f t="shared" si="31"/>
        <v>1.164762097142881E-2</v>
      </c>
    </row>
    <row r="255" spans="1:9">
      <c r="A255" s="19">
        <f t="shared" si="32"/>
        <v>20.083333333333318</v>
      </c>
      <c r="B255" s="10">
        <f t="shared" si="27"/>
        <v>0.87007514456172752</v>
      </c>
      <c r="C255" s="10">
        <f t="shared" si="28"/>
        <v>0.93515547548364497</v>
      </c>
      <c r="D255" s="10">
        <f t="shared" si="33"/>
        <v>1.305041385754134E-2</v>
      </c>
      <c r="E255" s="10">
        <f t="shared" si="34"/>
        <v>6.0218325255353535E-3</v>
      </c>
      <c r="F255" s="10">
        <f t="shared" si="29"/>
        <v>0.37536021887783505</v>
      </c>
      <c r="G255" s="66">
        <f t="shared" si="35"/>
        <v>4</v>
      </c>
      <c r="H255" s="10">
        <f t="shared" si="30"/>
        <v>0.30541391990362027</v>
      </c>
      <c r="I255" s="10">
        <f t="shared" si="31"/>
        <v>2.3299718116892385E-2</v>
      </c>
    </row>
    <row r="256" spans="1:9">
      <c r="A256" s="19">
        <f t="shared" si="32"/>
        <v>20.16666666666665</v>
      </c>
      <c r="B256" s="10">
        <f t="shared" si="27"/>
        <v>0.8691265900703431</v>
      </c>
      <c r="C256" s="10">
        <f t="shared" si="28"/>
        <v>0.93468501129826032</v>
      </c>
      <c r="D256" s="10">
        <f t="shared" si="33"/>
        <v>1.3128698060641245E-2</v>
      </c>
      <c r="E256" s="10">
        <f t="shared" si="34"/>
        <v>6.0553154275945955E-3</v>
      </c>
      <c r="F256" s="10">
        <f t="shared" si="29"/>
        <v>0.37383716001301448</v>
      </c>
      <c r="G256" s="66">
        <f t="shared" si="35"/>
        <v>2</v>
      </c>
      <c r="H256" s="10">
        <f t="shared" si="30"/>
        <v>0.30369020452451179</v>
      </c>
      <c r="I256" s="10">
        <f t="shared" si="31"/>
        <v>1.165199395968667E-2</v>
      </c>
    </row>
    <row r="257" spans="1:9">
      <c r="A257" s="19">
        <f t="shared" si="32"/>
        <v>20.249999999999982</v>
      </c>
      <c r="B257" s="10">
        <f t="shared" si="27"/>
        <v>0.86817338888335283</v>
      </c>
      <c r="C257" s="10">
        <f t="shared" si="28"/>
        <v>0.93421216975321952</v>
      </c>
      <c r="D257" s="10">
        <f t="shared" si="33"/>
        <v>1.320745548540977E-2</v>
      </c>
      <c r="E257" s="10">
        <f t="shared" si="34"/>
        <v>6.0889876468500741E-3</v>
      </c>
      <c r="F257" s="10">
        <f t="shared" si="29"/>
        <v>0.37232028110064774</v>
      </c>
      <c r="G257" s="66">
        <f t="shared" si="35"/>
        <v>4</v>
      </c>
      <c r="H257" s="10">
        <f t="shared" si="30"/>
        <v>0.30197339666595108</v>
      </c>
      <c r="I257" s="10">
        <f t="shared" si="31"/>
        <v>2.3308049904879478E-2</v>
      </c>
    </row>
    <row r="258" spans="1:9">
      <c r="A258" s="19">
        <f t="shared" si="32"/>
        <v>20.333333333333314</v>
      </c>
      <c r="B258" s="10">
        <f t="shared" si="27"/>
        <v>0.86721552426235848</v>
      </c>
      <c r="C258" s="10">
        <f t="shared" si="28"/>
        <v>0.93373693992400841</v>
      </c>
      <c r="D258" s="10">
        <f t="shared" si="33"/>
        <v>1.3286688992433576E-2</v>
      </c>
      <c r="E258" s="10">
        <f t="shared" si="34"/>
        <v>6.1228502537287368E-3</v>
      </c>
      <c r="F258" s="10">
        <f t="shared" si="29"/>
        <v>0.37080955706500512</v>
      </c>
      <c r="G258" s="66">
        <f t="shared" si="35"/>
        <v>2</v>
      </c>
      <c r="H258" s="10">
        <f t="shared" si="30"/>
        <v>0.30026347263582381</v>
      </c>
      <c r="I258" s="10">
        <f t="shared" si="31"/>
        <v>1.165595131262801E-2</v>
      </c>
    </row>
    <row r="259" spans="1:9">
      <c r="A259" s="19">
        <f t="shared" si="32"/>
        <v>20.416666666666647</v>
      </c>
      <c r="B259" s="10">
        <f t="shared" si="27"/>
        <v>0.86625297948562252</v>
      </c>
      <c r="C259" s="10">
        <f t="shared" si="28"/>
        <v>0.93325931085082059</v>
      </c>
      <c r="D259" s="10">
        <f t="shared" si="33"/>
        <v>1.3366401459591348E-2</v>
      </c>
      <c r="E259" s="10">
        <f t="shared" si="34"/>
        <v>6.1569043247098887E-3</v>
      </c>
      <c r="F259" s="10">
        <f t="shared" si="29"/>
        <v>0.36930496293210407</v>
      </c>
      <c r="G259" s="66">
        <f t="shared" si="35"/>
        <v>4</v>
      </c>
      <c r="H259" s="10">
        <f t="shared" si="30"/>
        <v>0.29856040886828533</v>
      </c>
      <c r="I259" s="10">
        <f t="shared" si="31"/>
        <v>2.3315544629686151E-2</v>
      </c>
    </row>
    <row r="260" spans="1:9">
      <c r="A260" s="19">
        <f t="shared" si="32"/>
        <v>20.499999999999979</v>
      </c>
      <c r="B260" s="10">
        <f t="shared" si="27"/>
        <v>0.86528573784926999</v>
      </c>
      <c r="C260" s="10">
        <f t="shared" si="28"/>
        <v>0.93277927153862605</v>
      </c>
      <c r="D260" s="10">
        <f t="shared" si="33"/>
        <v>1.3446595782158323E-2</v>
      </c>
      <c r="E260" s="10">
        <f t="shared" si="34"/>
        <v>6.1911509423594035E-3</v>
      </c>
      <c r="F260" s="10">
        <f t="shared" si="29"/>
        <v>0.36780647382929632</v>
      </c>
      <c r="G260" s="66">
        <f t="shared" si="35"/>
        <v>2</v>
      </c>
      <c r="H260" s="10">
        <f t="shared" si="30"/>
        <v>0.29686418192330272</v>
      </c>
      <c r="I260" s="10">
        <f t="shared" si="31"/>
        <v>1.1659487232381947E-2</v>
      </c>
    </row>
    <row r="261" spans="1:9">
      <c r="A261" s="19">
        <f t="shared" si="32"/>
        <v>20.583333333333311</v>
      </c>
      <c r="B261" s="10">
        <f t="shared" si="27"/>
        <v>0.86431378266850667</v>
      </c>
      <c r="C261" s="10">
        <f t="shared" si="28"/>
        <v>0.9322968109572416</v>
      </c>
      <c r="D261" s="10">
        <f t="shared" si="33"/>
        <v>1.3527274872911431E-2</v>
      </c>
      <c r="E261" s="10">
        <f t="shared" si="34"/>
        <v>6.2255911953641345E-3</v>
      </c>
      <c r="F261" s="10">
        <f t="shared" si="29"/>
        <v>0.36631406498485669</v>
      </c>
      <c r="G261" s="66">
        <f t="shared" si="35"/>
        <v>4</v>
      </c>
      <c r="H261" s="10">
        <f t="shared" si="30"/>
        <v>0.29517476848619695</v>
      </c>
      <c r="I261" s="10">
        <f t="shared" si="31"/>
        <v>2.3322190674568383E-2</v>
      </c>
    </row>
    <row r="262" spans="1:9">
      <c r="A262" s="19">
        <f t="shared" si="32"/>
        <v>20.666666666666643</v>
      </c>
      <c r="B262" s="10">
        <f t="shared" si="27"/>
        <v>0.86333709727885322</v>
      </c>
      <c r="C262" s="10">
        <f t="shared" si="28"/>
        <v>0.93181191804140651</v>
      </c>
      <c r="D262" s="10">
        <f t="shared" si="33"/>
        <v>1.3608441662235078E-2</v>
      </c>
      <c r="E262" s="10">
        <f t="shared" si="34"/>
        <v>6.2602261785665312E-3</v>
      </c>
      <c r="F262" s="10">
        <f t="shared" si="29"/>
        <v>0.36482771172757339</v>
      </c>
      <c r="G262" s="66">
        <f t="shared" si="35"/>
        <v>2</v>
      </c>
      <c r="H262" s="10">
        <f t="shared" si="30"/>
        <v>0.29349214536718632</v>
      </c>
      <c r="I262" s="10">
        <f t="shared" si="31"/>
        <v>1.1662595900369771E-2</v>
      </c>
    </row>
    <row r="263" spans="1:9">
      <c r="A263" s="19">
        <f t="shared" si="32"/>
        <v>20.749999999999975</v>
      </c>
      <c r="B263" s="10">
        <f t="shared" si="27"/>
        <v>0.86235566503739436</v>
      </c>
      <c r="C263" s="10">
        <f t="shared" si="28"/>
        <v>0.93132458169085808</v>
      </c>
      <c r="D263" s="10">
        <f t="shared" si="33"/>
        <v>1.3690099098227654E-2</v>
      </c>
      <c r="E263" s="10">
        <f t="shared" si="34"/>
        <v>6.2950569929994442E-3</v>
      </c>
      <c r="F263" s="10">
        <f t="shared" si="29"/>
        <v>0.36334738948634066</v>
      </c>
      <c r="G263" s="66">
        <f t="shared" si="35"/>
        <v>4</v>
      </c>
      <c r="H263" s="10">
        <f t="shared" si="30"/>
        <v>0.29181628950092947</v>
      </c>
      <c r="I263" s="10">
        <f t="shared" si="31"/>
        <v>2.3327976382555165E-2</v>
      </c>
    </row>
    <row r="264" spans="1:9">
      <c r="A264" s="19">
        <f t="shared" si="32"/>
        <v>20.833333333333307</v>
      </c>
      <c r="B264" s="10">
        <f t="shared" si="27"/>
        <v>0.86136946932404357</v>
      </c>
      <c r="C264" s="10">
        <f t="shared" si="28"/>
        <v>0.93083479077041253</v>
      </c>
      <c r="D264" s="10">
        <f t="shared" si="33"/>
        <v>1.3772250146808543E-2</v>
      </c>
      <c r="E264" s="10">
        <f t="shared" si="34"/>
        <v>6.3300847459211258E-3</v>
      </c>
      <c r="F264" s="10">
        <f t="shared" si="29"/>
        <v>0.36187307378975192</v>
      </c>
      <c r="G264" s="66">
        <f t="shared" si="35"/>
        <v>2</v>
      </c>
      <c r="H264" s="10">
        <f t="shared" si="30"/>
        <v>0.29014717794606815</v>
      </c>
      <c r="I264" s="10">
        <f t="shared" si="31"/>
        <v>1.1665271478504579E-2</v>
      </c>
    </row>
    <row r="265" spans="1:9">
      <c r="A265" s="19">
        <f t="shared" si="32"/>
        <v>20.916666666666639</v>
      </c>
      <c r="B265" s="10">
        <f t="shared" si="27"/>
        <v>0.86037849354282381</v>
      </c>
      <c r="C265" s="10">
        <f t="shared" si="28"/>
        <v>0.9303425341100483</v>
      </c>
      <c r="D265" s="10">
        <f t="shared" si="33"/>
        <v>1.3854897791825863E-2</v>
      </c>
      <c r="E265" s="10">
        <f t="shared" si="34"/>
        <v>6.3653105508504207E-3</v>
      </c>
      <c r="F265" s="10">
        <f t="shared" si="29"/>
        <v>0.36040474026569586</v>
      </c>
      <c r="G265" s="66">
        <f t="shared" si="35"/>
        <v>4</v>
      </c>
      <c r="H265" s="10">
        <f t="shared" si="30"/>
        <v>0.28848478788477167</v>
      </c>
      <c r="I265" s="10">
        <f t="shared" si="31"/>
        <v>2.3332890058891432E-2</v>
      </c>
    </row>
    <row r="266" spans="1:9">
      <c r="A266" s="19">
        <f t="shared" si="32"/>
        <v>20.999999999999972</v>
      </c>
      <c r="B266" s="10">
        <f t="shared" si="27"/>
        <v>0.85938272112316516</v>
      </c>
      <c r="C266" s="10">
        <f t="shared" si="28"/>
        <v>0.92984780050499238</v>
      </c>
      <c r="D266" s="10">
        <f t="shared" si="33"/>
        <v>1.3938045035164853E-2</v>
      </c>
      <c r="E266" s="10">
        <f t="shared" si="34"/>
        <v>6.4007355276021714E-3</v>
      </c>
      <c r="F266" s="10">
        <f t="shared" si="29"/>
        <v>0.35894236464095325</v>
      </c>
      <c r="G266" s="66">
        <f t="shared" si="35"/>
        <v>2</v>
      </c>
      <c r="H266" s="10">
        <f t="shared" si="30"/>
        <v>0.2868290966222804</v>
      </c>
      <c r="I266" s="10">
        <f t="shared" si="31"/>
        <v>1.1667508110434523E-2</v>
      </c>
    </row>
    <row r="267" spans="1:9">
      <c r="A267" s="19">
        <f t="shared" si="32"/>
        <v>21.083333333333304</v>
      </c>
      <c r="B267" s="10">
        <f t="shared" si="27"/>
        <v>0.85838213552121623</v>
      </c>
      <c r="C267" s="10">
        <f t="shared" si="28"/>
        <v>0.92935057871580951</v>
      </c>
      <c r="D267" s="10">
        <f t="shared" si="33"/>
        <v>1.4021694896856923E-2</v>
      </c>
      <c r="E267" s="10">
        <f t="shared" si="34"/>
        <v>6.4363608023228214E-3</v>
      </c>
      <c r="F267" s="10">
        <f t="shared" si="29"/>
        <v>0.35748592274079549</v>
      </c>
      <c r="G267" s="66">
        <f t="shared" si="35"/>
        <v>4</v>
      </c>
      <c r="H267" s="10">
        <f t="shared" si="30"/>
        <v>0.28518008158644892</v>
      </c>
      <c r="I267" s="10">
        <f t="shared" si="31"/>
        <v>2.3336919973568782E-2</v>
      </c>
    </row>
    <row r="268" spans="1:9">
      <c r="A268" s="19">
        <f t="shared" si="32"/>
        <v>21.166666666666636</v>
      </c>
      <c r="B268" s="10">
        <f t="shared" si="27"/>
        <v>0.8573767202211745</v>
      </c>
      <c r="C268" s="10">
        <f t="shared" si="28"/>
        <v>0.92885085746849505</v>
      </c>
      <c r="D268" s="10">
        <f t="shared" si="33"/>
        <v>1.410585041518932E-2</v>
      </c>
      <c r="E268" s="10">
        <f t="shared" si="34"/>
        <v>6.4721875075262119E-3</v>
      </c>
      <c r="F268" s="10">
        <f t="shared" si="29"/>
        <v>0.35603539048858546</v>
      </c>
      <c r="G268" s="66">
        <f t="shared" si="35"/>
        <v>2</v>
      </c>
      <c r="H268" s="10">
        <f t="shared" si="30"/>
        <v>0.28353772032729141</v>
      </c>
      <c r="I268" s="10">
        <f t="shared" si="31"/>
        <v>1.1669299922830629E-2</v>
      </c>
    </row>
    <row r="269" spans="1:9">
      <c r="A269" s="19">
        <f t="shared" si="32"/>
        <v>21.249999999999968</v>
      </c>
      <c r="B269" s="10">
        <f t="shared" si="27"/>
        <v>0.85636645873663009</v>
      </c>
      <c r="C269" s="10">
        <f t="shared" si="28"/>
        <v>0.92834862545457064</v>
      </c>
      <c r="D269" s="10">
        <f t="shared" si="33"/>
        <v>1.4190514646815484E-2</v>
      </c>
      <c r="E269" s="10">
        <f t="shared" si="34"/>
        <v>6.5082167821295736E-3</v>
      </c>
      <c r="F269" s="10">
        <f t="shared" si="29"/>
        <v>0.35459074390537904</v>
      </c>
      <c r="G269" s="66">
        <f t="shared" si="35"/>
        <v>4</v>
      </c>
      <c r="H269" s="10">
        <f t="shared" si="30"/>
        <v>0.28190199051652448</v>
      </c>
      <c r="I269" s="10">
        <f t="shared" si="31"/>
        <v>2.334005436394623E-2</v>
      </c>
    </row>
    <row r="270" spans="1:9">
      <c r="A270" s="19">
        <f t="shared" si="32"/>
        <v>21.3333333333333</v>
      </c>
      <c r="B270" s="10">
        <f t="shared" ref="B270:B333" si="36">(B$9^A270)*B$10^((B$6^28)*((B$6^A270)-1))</f>
        <v>0.8553513346119288</v>
      </c>
      <c r="C270" s="10">
        <f t="shared" ref="C270:C333" si="37">(B$9^A270)*B$11^((B$7^24)*((B$7^A270)-1))</f>
        <v>0.92784387133118351</v>
      </c>
      <c r="D270" s="10">
        <f t="shared" si="33"/>
        <v>1.4275690666866075E-2</v>
      </c>
      <c r="E270" s="10">
        <f t="shared" si="34"/>
        <v>6.5444497714897435E-3</v>
      </c>
      <c r="F270" s="10">
        <f t="shared" si="29"/>
        <v>0.3531519591095289</v>
      </c>
      <c r="G270" s="66">
        <f t="shared" si="35"/>
        <v>2</v>
      </c>
      <c r="H270" s="10">
        <f t="shared" si="30"/>
        <v>0.28027286994711209</v>
      </c>
      <c r="I270" s="10">
        <f t="shared" si="31"/>
        <v>1.167064102671982E-2</v>
      </c>
    </row>
    <row r="271" spans="1:9">
      <c r="A271" s="19">
        <f t="shared" si="32"/>
        <v>21.416666666666632</v>
      </c>
      <c r="B271" s="10">
        <f t="shared" si="36"/>
        <v>0.85433133142354878</v>
      </c>
      <c r="C271" s="10">
        <f t="shared" si="37"/>
        <v>0.92733658372120886</v>
      </c>
      <c r="D271" s="10">
        <f t="shared" si="33"/>
        <v>1.4361381569060685E-2</v>
      </c>
      <c r="E271" s="10">
        <f t="shared" si="34"/>
        <v>6.5808876274395757E-3</v>
      </c>
      <c r="F271" s="10">
        <f t="shared" ref="F271:F334" si="38">(1+B$8)^-A271</f>
        <v>0.35171901231628988</v>
      </c>
      <c r="G271" s="66">
        <f t="shared" si="35"/>
        <v>4</v>
      </c>
      <c r="H271" s="10">
        <f t="shared" ref="H271:H313" si="39">B271*C271*F271</f>
        <v>0.27865033653280968</v>
      </c>
      <c r="I271" s="10">
        <f t="shared" ref="I271:I334" si="40">B271*C271*(D271+E271)*F271*G271</f>
        <v>2.3342281437461965E-2</v>
      </c>
    </row>
    <row r="272" spans="1:9">
      <c r="A272" s="19">
        <f t="shared" ref="A272:A335" si="41">A271+1/12</f>
        <v>21.499999999999964</v>
      </c>
      <c r="B272" s="10">
        <f t="shared" si="36"/>
        <v>0.85330643278149643</v>
      </c>
      <c r="C272" s="10">
        <f t="shared" si="37"/>
        <v>0.92682675121335567</v>
      </c>
      <c r="D272" s="10">
        <f t="shared" si="33"/>
        <v>1.4447590465820184E-2</v>
      </c>
      <c r="E272" s="10">
        <f t="shared" si="34"/>
        <v>6.6175315083245555E-3</v>
      </c>
      <c r="F272" s="10">
        <f t="shared" si="38"/>
        <v>0.35029187983742538</v>
      </c>
      <c r="G272" s="66">
        <f t="shared" si="35"/>
        <v>2</v>
      </c>
      <c r="H272" s="10">
        <f t="shared" si="39"/>
        <v>0.27703436830770806</v>
      </c>
      <c r="I272" s="10">
        <f t="shared" si="40"/>
        <v>1.1671525518864016E-2</v>
      </c>
    </row>
    <row r="273" spans="1:9">
      <c r="A273" s="19">
        <f t="shared" si="41"/>
        <v>21.583333333333297</v>
      </c>
      <c r="B273" s="10">
        <f t="shared" si="36"/>
        <v>0.85227662233071633</v>
      </c>
      <c r="C273" s="10">
        <f t="shared" si="37"/>
        <v>0.9263143623622756</v>
      </c>
      <c r="D273" s="10">
        <f t="shared" ref="D273:D336" si="42">B$3+B$4*(B$6^(28+A273))</f>
        <v>1.4534320488379771E-2</v>
      </c>
      <c r="E273" s="10">
        <f t="shared" ref="E273:E336" si="43">B$3+B$5*(B$7^(24+A273))</f>
        <v>6.6543825790396187E-3</v>
      </c>
      <c r="F273" s="10">
        <f t="shared" si="38"/>
        <v>0.34887053808081619</v>
      </c>
      <c r="G273" s="66">
        <f t="shared" ref="G273:G336" si="44">IF(G272=4,2,4)</f>
        <v>4</v>
      </c>
      <c r="H273" s="10">
        <f t="shared" si="39"/>
        <v>0.27542494342577761</v>
      </c>
      <c r="I273" s="10">
        <f t="shared" si="40"/>
        <v>2.3343589374438346E-2</v>
      </c>
    </row>
    <row r="274" spans="1:9">
      <c r="A274" s="19">
        <f t="shared" si="41"/>
        <v>21.666666666666629</v>
      </c>
      <c r="B274" s="10">
        <f t="shared" si="36"/>
        <v>0.85124188375252086</v>
      </c>
      <c r="C274" s="10">
        <f t="shared" si="37"/>
        <v>0.9257994056886758</v>
      </c>
      <c r="D274" s="10">
        <f t="shared" si="42"/>
        <v>1.4621574786902696E-2</v>
      </c>
      <c r="E274" s="10">
        <f t="shared" si="43"/>
        <v>6.6914420110661833E-3</v>
      </c>
      <c r="F274" s="10">
        <f t="shared" si="38"/>
        <v>0.34745496355007011</v>
      </c>
      <c r="G274" s="66">
        <f t="shared" si="44"/>
        <v>2</v>
      </c>
      <c r="H274" s="10">
        <f t="shared" si="39"/>
        <v>0.27382204016041289</v>
      </c>
      <c r="I274" s="10">
        <f t="shared" si="40"/>
        <v>1.1671947483185978E-2</v>
      </c>
    </row>
    <row r="275" spans="1:9">
      <c r="A275" s="19">
        <f t="shared" si="41"/>
        <v>21.749999999999961</v>
      </c>
      <c r="B275" s="10">
        <f t="shared" si="36"/>
        <v>0.85020220076603348</v>
      </c>
      <c r="C275" s="10">
        <f t="shared" si="37"/>
        <v>0.92528186967943471</v>
      </c>
      <c r="D275" s="10">
        <f t="shared" si="42"/>
        <v>1.4709356530594716E-2</v>
      </c>
      <c r="E275" s="10">
        <f t="shared" si="43"/>
        <v>6.7287109825094008E-3</v>
      </c>
      <c r="F275" s="10">
        <f t="shared" si="38"/>
        <v>0.34604513284413407</v>
      </c>
      <c r="G275" s="66">
        <f t="shared" si="44"/>
        <v>4</v>
      </c>
      <c r="H275" s="10">
        <f t="shared" si="39"/>
        <v>0.27222563690397594</v>
      </c>
      <c r="I275" s="10">
        <f t="shared" si="40"/>
        <v>2.3343966330980816E-2</v>
      </c>
    </row>
    <row r="276" spans="1:9">
      <c r="A276" s="19">
        <f t="shared" si="41"/>
        <v>21.833333333333293</v>
      </c>
      <c r="B276" s="10">
        <f t="shared" si="36"/>
        <v>0.84915755712965246</v>
      </c>
      <c r="C276" s="10">
        <f t="shared" si="37"/>
        <v>0.9247617427877215</v>
      </c>
      <c r="D276" s="10">
        <f t="shared" si="42"/>
        <v>1.479766890781917E-2</v>
      </c>
      <c r="E276" s="10">
        <f t="shared" si="43"/>
        <v>6.7661906781355989E-3</v>
      </c>
      <c r="F276" s="10">
        <f t="shared" si="38"/>
        <v>0.34464102265690671</v>
      </c>
      <c r="G276" s="66">
        <f t="shared" si="44"/>
        <v>2</v>
      </c>
      <c r="H276" s="10">
        <f t="shared" si="39"/>
        <v>0.27063571216734073</v>
      </c>
      <c r="I276" s="10">
        <f t="shared" si="40"/>
        <v>1.1671900992242811E-2</v>
      </c>
    </row>
    <row r="277" spans="1:9">
      <c r="A277" s="19">
        <f t="shared" si="41"/>
        <v>21.916666666666625</v>
      </c>
      <c r="B277" s="10">
        <f t="shared" si="36"/>
        <v>0.84810793664252893</v>
      </c>
      <c r="C277" s="10">
        <f t="shared" si="37"/>
        <v>0.92423901343311943</v>
      </c>
      <c r="D277" s="10">
        <f t="shared" si="42"/>
        <v>1.4886515126212788E-2</v>
      </c>
      <c r="E277" s="10">
        <f t="shared" si="43"/>
        <v>6.8038822894099455E-3</v>
      </c>
      <c r="F277" s="10">
        <f t="shared" si="38"/>
        <v>0.34324260977685339</v>
      </c>
      <c r="G277" s="66">
        <f t="shared" si="44"/>
        <v>4</v>
      </c>
      <c r="H277" s="10">
        <f t="shared" si="39"/>
        <v>0.26905224457943649</v>
      </c>
      <c r="I277" s="10">
        <f t="shared" si="40"/>
        <v>2.3343400441973219E-2</v>
      </c>
    </row>
    <row r="278" spans="1:9">
      <c r="A278" s="19">
        <f t="shared" si="41"/>
        <v>21.999999999999957</v>
      </c>
      <c r="B278" s="10">
        <f t="shared" si="36"/>
        <v>0.84705332314606352</v>
      </c>
      <c r="C278" s="10">
        <f t="shared" si="37"/>
        <v>0.92371367000175253</v>
      </c>
      <c r="D278" s="10">
        <f t="shared" si="42"/>
        <v>1.4975898412802204E-2</v>
      </c>
      <c r="E278" s="10">
        <f t="shared" si="43"/>
        <v>6.8417870145343184E-3</v>
      </c>
      <c r="F278" s="10">
        <f t="shared" si="38"/>
        <v>0.34184987108662229</v>
      </c>
      <c r="G278" s="66">
        <f t="shared" si="44"/>
        <v>2</v>
      </c>
      <c r="H278" s="10">
        <f t="shared" si="39"/>
        <v>0.26747521288679138</v>
      </c>
      <c r="I278" s="10">
        <f t="shared" si="40"/>
        <v>1.1671380108747765E-2</v>
      </c>
    </row>
    <row r="279" spans="1:9">
      <c r="A279" s="19">
        <f t="shared" si="41"/>
        <v>22.08333333333329</v>
      </c>
      <c r="B279" s="10">
        <f t="shared" si="36"/>
        <v>0.84599370052541956</v>
      </c>
      <c r="C279" s="10">
        <f t="shared" si="37"/>
        <v>0.92318570084641505</v>
      </c>
      <c r="D279" s="10">
        <f t="shared" si="42"/>
        <v>1.5065822014121179E-2</v>
      </c>
      <c r="E279" s="10">
        <f t="shared" si="43"/>
        <v>6.8799060584854117E-3</v>
      </c>
      <c r="F279" s="10">
        <f t="shared" si="38"/>
        <v>0.34046278356266257</v>
      </c>
      <c r="G279" s="66">
        <f t="shared" si="44"/>
        <v>4</v>
      </c>
      <c r="H279" s="10">
        <f t="shared" si="39"/>
        <v>0.26590459595307564</v>
      </c>
      <c r="I279" s="10">
        <f t="shared" si="40"/>
        <v>2.3341879824170103E-2</v>
      </c>
    </row>
    <row r="280" spans="1:9">
      <c r="A280" s="19">
        <f t="shared" si="41"/>
        <v>22.166666666666622</v>
      </c>
      <c r="B280" s="10">
        <f t="shared" si="36"/>
        <v>0.84492905271105545</v>
      </c>
      <c r="C280" s="10">
        <f t="shared" si="37"/>
        <v>0.92265509428670667</v>
      </c>
      <c r="D280" s="10">
        <f t="shared" si="42"/>
        <v>1.5156289196328507E-2</v>
      </c>
      <c r="E280" s="10">
        <f t="shared" si="43"/>
        <v>6.9182406330530388E-3</v>
      </c>
      <c r="F280" s="10">
        <f t="shared" si="38"/>
        <v>0.3390813242748435</v>
      </c>
      <c r="G280" s="66">
        <f t="shared" si="44"/>
        <v>2</v>
      </c>
      <c r="H280" s="10">
        <f t="shared" si="39"/>
        <v>0.26434037275864519</v>
      </c>
      <c r="I280" s="10">
        <f t="shared" si="40"/>
        <v>1.1670378887141101E-2</v>
      </c>
    </row>
    <row r="281" spans="1:9">
      <c r="A281" s="19">
        <f t="shared" si="41"/>
        <v>22.249999999999954</v>
      </c>
      <c r="B281" s="10">
        <f t="shared" si="36"/>
        <v>0.8438593636802717</v>
      </c>
      <c r="C281" s="10">
        <f t="shared" si="37"/>
        <v>0.92212183860916885</v>
      </c>
      <c r="D281" s="10">
        <f t="shared" si="42"/>
        <v>1.5247303245326631E-2</v>
      </c>
      <c r="E281" s="10">
        <f t="shared" si="43"/>
        <v>6.9567919568786383E-3</v>
      </c>
      <c r="F281" s="10">
        <f t="shared" si="38"/>
        <v>0.33770547038607546</v>
      </c>
      <c r="G281" s="66">
        <f t="shared" si="44"/>
        <v>4</v>
      </c>
      <c r="H281" s="10">
        <f t="shared" si="39"/>
        <v>0.26278252240008365</v>
      </c>
      <c r="I281" s="10">
        <f t="shared" si="40"/>
        <v>2.3339392579388385E-2</v>
      </c>
    </row>
    <row r="282" spans="1:9">
      <c r="A282" s="19">
        <f t="shared" si="41"/>
        <v>22.333333333333286</v>
      </c>
      <c r="B282" s="10">
        <f t="shared" si="36"/>
        <v>0.84278461745877775</v>
      </c>
      <c r="C282" s="10">
        <f t="shared" si="37"/>
        <v>0.92158592206742718</v>
      </c>
      <c r="D282" s="10">
        <f t="shared" si="42"/>
        <v>1.5338867466881019E-2</v>
      </c>
      <c r="E282" s="10">
        <f t="shared" si="43"/>
        <v>6.9955612554940165E-3</v>
      </c>
      <c r="F282" s="10">
        <f t="shared" si="38"/>
        <v>0.3363351991519325</v>
      </c>
      <c r="G282" s="66">
        <f t="shared" si="44"/>
        <v>2</v>
      </c>
      <c r="H282" s="10">
        <f t="shared" si="39"/>
        <v>0.26123102408974519</v>
      </c>
      <c r="I282" s="10">
        <f t="shared" si="40"/>
        <v>1.1668891375210899E-2</v>
      </c>
    </row>
    <row r="283" spans="1:9">
      <c r="A283" s="19">
        <f t="shared" si="41"/>
        <v>22.416666666666618</v>
      </c>
      <c r="B283" s="10">
        <f t="shared" si="36"/>
        <v>0.8417047981222765</v>
      </c>
      <c r="C283" s="10">
        <f t="shared" si="37"/>
        <v>0.92104733288233598</v>
      </c>
      <c r="D283" s="10">
        <f t="shared" si="42"/>
        <v>1.5430985186740222E-2</v>
      </c>
      <c r="E283" s="10">
        <f t="shared" si="43"/>
        <v>7.0345497613603369E-3</v>
      </c>
      <c r="F283" s="10">
        <f t="shared" si="38"/>
        <v>0.33497048792027623</v>
      </c>
      <c r="G283" s="66">
        <f t="shared" si="44"/>
        <v>4</v>
      </c>
      <c r="H283" s="10">
        <f t="shared" si="39"/>
        <v>0.25968585715529668</v>
      </c>
      <c r="I283" s="10">
        <f t="shared" si="40"/>
        <v>2.333592679779907E-2</v>
      </c>
    </row>
    <row r="284" spans="1:9">
      <c r="A284" s="19">
        <f t="shared" si="41"/>
        <v>22.49999999999995</v>
      </c>
      <c r="B284" s="10">
        <f t="shared" si="36"/>
        <v>0.84061988979806523</v>
      </c>
      <c r="C284" s="10">
        <f t="shared" si="37"/>
        <v>0.92050605924212792</v>
      </c>
      <c r="D284" s="10">
        <f t="shared" si="42"/>
        <v>1.5523659750756686E-2</v>
      </c>
      <c r="E284" s="10">
        <f t="shared" si="43"/>
        <v>7.0737587139072661E-3</v>
      </c>
      <c r="F284" s="10">
        <f t="shared" si="38"/>
        <v>0.33361131413088146</v>
      </c>
      <c r="G284" s="66">
        <f t="shared" si="44"/>
        <v>2</v>
      </c>
      <c r="H284" s="10">
        <f t="shared" si="39"/>
        <v>0.25814700103925942</v>
      </c>
      <c r="I284" s="10">
        <f t="shared" si="40"/>
        <v>1.1666911615764372E-2</v>
      </c>
    </row>
    <row r="285" spans="1:9">
      <c r="A285" s="19">
        <f t="shared" si="41"/>
        <v>22.583333333333282</v>
      </c>
      <c r="B285" s="10">
        <f t="shared" si="36"/>
        <v>0.83952987666665535</v>
      </c>
      <c r="C285" s="10">
        <f t="shared" si="37"/>
        <v>0.9199620893025664</v>
      </c>
      <c r="D285" s="10">
        <f t="shared" si="42"/>
        <v>1.5616894525008241E-2</v>
      </c>
      <c r="E285" s="10">
        <f t="shared" si="43"/>
        <v>7.1131893595723829E-3</v>
      </c>
      <c r="F285" s="10">
        <f t="shared" si="38"/>
        <v>0.33225765531506318</v>
      </c>
      <c r="G285" s="66">
        <f t="shared" si="44"/>
        <v>4</v>
      </c>
      <c r="H285" s="10">
        <f t="shared" si="39"/>
        <v>0.25661443529854999</v>
      </c>
      <c r="I285" s="10">
        <f t="shared" si="40"/>
        <v>2.3331470561321316E-2</v>
      </c>
    </row>
    <row r="286" spans="1:9">
      <c r="A286" s="19">
        <f t="shared" si="41"/>
        <v>22.666666666666615</v>
      </c>
      <c r="B286" s="10">
        <f t="shared" si="36"/>
        <v>0.8384347429634107</v>
      </c>
      <c r="C286" s="10">
        <f t="shared" si="37"/>
        <v>0.91941541118710279</v>
      </c>
      <c r="D286" s="10">
        <f t="shared" si="42"/>
        <v>1.5710692895920388E-2</v>
      </c>
      <c r="E286" s="10">
        <f t="shared" si="43"/>
        <v>7.1528429518408071E-3</v>
      </c>
      <c r="F286" s="10">
        <f t="shared" si="38"/>
        <v>0.3309094890953051</v>
      </c>
      <c r="G286" s="66">
        <f t="shared" si="44"/>
        <v>2</v>
      </c>
      <c r="H286" s="10">
        <f t="shared" si="39"/>
        <v>0.25508813960402188</v>
      </c>
      <c r="I286" s="10">
        <f t="shared" si="40"/>
        <v>1.1664433648350533E-2</v>
      </c>
    </row>
    <row r="287" spans="1:9">
      <c r="A287" s="19">
        <f t="shared" si="41"/>
        <v>22.749999999999947</v>
      </c>
      <c r="B287" s="10">
        <f t="shared" si="36"/>
        <v>0.83733447298020269</v>
      </c>
      <c r="C287" s="10">
        <f t="shared" si="37"/>
        <v>0.91886601298703707</v>
      </c>
      <c r="D287" s="10">
        <f t="shared" si="42"/>
        <v>1.5805058270389298E-2</v>
      </c>
      <c r="E287" s="10">
        <f t="shared" si="43"/>
        <v>7.1927207512850495E-3</v>
      </c>
      <c r="F287" s="10">
        <f t="shared" si="38"/>
        <v>0.32956679318488985</v>
      </c>
      <c r="G287" s="66">
        <f t="shared" si="44"/>
        <v>4</v>
      </c>
      <c r="H287" s="10">
        <f t="shared" si="39"/>
        <v>0.25356809374000522</v>
      </c>
      <c r="I287" s="10">
        <f t="shared" si="40"/>
        <v>2.3326011947119387E-2</v>
      </c>
    </row>
    <row r="288" spans="1:9">
      <c r="A288" s="19">
        <f t="shared" si="41"/>
        <v>22.833333333333279</v>
      </c>
      <c r="B288" s="10">
        <f t="shared" si="36"/>
        <v>0.83622905106708445</v>
      </c>
      <c r="C288" s="10">
        <f t="shared" si="37"/>
        <v>0.91831388276168269</v>
      </c>
      <c r="D288" s="10">
        <f t="shared" si="42"/>
        <v>1.5899994075905588E-2</v>
      </c>
      <c r="E288" s="10">
        <f t="shared" si="43"/>
        <v>7.2328240256050828E-3</v>
      </c>
      <c r="F288" s="10">
        <f t="shared" si="38"/>
        <v>0.32822954538753052</v>
      </c>
      <c r="G288" s="66">
        <f t="shared" si="44"/>
        <v>2</v>
      </c>
      <c r="H288" s="10">
        <f t="shared" si="39"/>
        <v>0.25205427760384697</v>
      </c>
      <c r="I288" s="10">
        <f t="shared" si="40"/>
        <v>1.1661451511034933E-2</v>
      </c>
    </row>
    <row r="289" spans="1:9">
      <c r="A289" s="19">
        <f t="shared" si="41"/>
        <v>22.916666666666611</v>
      </c>
      <c r="B289" s="10">
        <f t="shared" si="36"/>
        <v>0.83511846163398351</v>
      </c>
      <c r="C289" s="10">
        <f t="shared" si="37"/>
        <v>0.91775900853853576</v>
      </c>
      <c r="D289" s="10">
        <f t="shared" si="42"/>
        <v>1.5995503760678726E-2</v>
      </c>
      <c r="E289" s="10">
        <f t="shared" si="43"/>
        <v>7.2731540496686316E-3</v>
      </c>
      <c r="F289" s="10">
        <f t="shared" si="38"/>
        <v>0.32689772359700348</v>
      </c>
      <c r="G289" s="66">
        <f t="shared" si="44"/>
        <v>4</v>
      </c>
      <c r="H289" s="10">
        <f t="shared" si="39"/>
        <v>0.2505466712054501</v>
      </c>
      <c r="I289" s="10">
        <f t="shared" si="40"/>
        <v>2.331953903120491E-2</v>
      </c>
    </row>
    <row r="290" spans="1:9">
      <c r="A290" s="19">
        <f t="shared" si="41"/>
        <v>22.999999999999943</v>
      </c>
      <c r="B290" s="10">
        <f t="shared" si="36"/>
        <v>0.83400268915241194</v>
      </c>
      <c r="C290" s="10">
        <f t="shared" si="37"/>
        <v>0.91720137831344817</v>
      </c>
      <c r="D290" s="10">
        <f t="shared" si="42"/>
        <v>1.609159079376235E-2</v>
      </c>
      <c r="E290" s="10">
        <f t="shared" si="43"/>
        <v>7.3137121055517115E-3</v>
      </c>
      <c r="F290" s="10">
        <f t="shared" si="38"/>
        <v>0.32557130579678339</v>
      </c>
      <c r="G290" s="66">
        <f t="shared" si="44"/>
        <v>2</v>
      </c>
      <c r="H290" s="10">
        <f t="shared" si="39"/>
        <v>0.24904525466681268</v>
      </c>
      <c r="I290" s="10">
        <f t="shared" si="40"/>
        <v>1.1657959242227119E-2</v>
      </c>
    </row>
    <row r="291" spans="1:9">
      <c r="A291" s="19">
        <f t="shared" si="41"/>
        <v>23.083333333333275</v>
      </c>
      <c r="B291" s="10">
        <f t="shared" si="36"/>
        <v>0.83288171815719569</v>
      </c>
      <c r="C291" s="10">
        <f t="shared" si="37"/>
        <v>0.91664098005080419</v>
      </c>
      <c r="D291" s="10">
        <f t="shared" si="42"/>
        <v>1.6188258665180245E-2</v>
      </c>
      <c r="E291" s="10">
        <f t="shared" si="43"/>
        <v>7.354499482579384E-3</v>
      </c>
      <c r="F291" s="10">
        <f t="shared" si="38"/>
        <v>0.32425027005967882</v>
      </c>
      <c r="G291" s="66">
        <f t="shared" si="44"/>
        <v>4</v>
      </c>
      <c r="H291" s="10">
        <f t="shared" si="39"/>
        <v>0.2475500082215655</v>
      </c>
      <c r="I291" s="10">
        <f t="shared" si="40"/>
        <v>2.3312039892144899E-2</v>
      </c>
    </row>
    <row r="292" spans="1:9">
      <c r="A292" s="19">
        <f t="shared" si="41"/>
        <v>23.166666666666607</v>
      </c>
      <c r="B292" s="10">
        <f t="shared" si="36"/>
        <v>0.8317555332482226</v>
      </c>
      <c r="C292" s="10">
        <f t="shared" si="37"/>
        <v>0.91607780168370279</v>
      </c>
      <c r="D292" s="10">
        <f t="shared" si="42"/>
        <v>1.6285510886053123E-2</v>
      </c>
      <c r="E292" s="10">
        <f t="shared" si="43"/>
        <v>7.3955174773667458E-3</v>
      </c>
      <c r="F292" s="10">
        <f t="shared" si="38"/>
        <v>0.3229345945474702</v>
      </c>
      <c r="G292" s="66">
        <f t="shared" si="44"/>
        <v>2</v>
      </c>
      <c r="H292" s="10">
        <f t="shared" si="39"/>
        <v>0.24606091221451015</v>
      </c>
      <c r="I292" s="10">
        <f t="shared" si="40"/>
        <v>1.1653950882561562E-2</v>
      </c>
    </row>
    <row r="293" spans="1:9">
      <c r="A293" s="19">
        <f t="shared" si="41"/>
        <v>23.24999999999994</v>
      </c>
      <c r="B293" s="10">
        <f t="shared" si="36"/>
        <v>0.83062411909220879</v>
      </c>
      <c r="C293" s="10">
        <f t="shared" si="37"/>
        <v>0.9155118311141428</v>
      </c>
      <c r="D293" s="10">
        <f t="shared" si="42"/>
        <v>1.6383350988726106E-2</v>
      </c>
      <c r="E293" s="10">
        <f t="shared" si="43"/>
        <v>7.436767393860135E-3</v>
      </c>
      <c r="F293" s="10">
        <f t="shared" si="38"/>
        <v>0.32162425751054829</v>
      </c>
      <c r="G293" s="66">
        <f t="shared" si="44"/>
        <v>4</v>
      </c>
      <c r="H293" s="10">
        <f t="shared" si="39"/>
        <v>0.2445779471011556</v>
      </c>
      <c r="I293" s="10">
        <f t="shared" si="40"/>
        <v>2.3303502614877767E-2</v>
      </c>
    </row>
    <row r="294" spans="1:9">
      <c r="A294" s="19">
        <f t="shared" si="41"/>
        <v>23.333333333333272</v>
      </c>
      <c r="B294" s="10">
        <f t="shared" si="36"/>
        <v>0.82948746042448296</v>
      </c>
      <c r="C294" s="10">
        <f t="shared" si="37"/>
        <v>0.91494305621321281</v>
      </c>
      <c r="D294" s="10">
        <f t="shared" si="42"/>
        <v>1.6481782526897071E-2</v>
      </c>
      <c r="E294" s="10">
        <f t="shared" si="43"/>
        <v>7.4782505433785918E-3</v>
      </c>
      <c r="F294" s="10">
        <f t="shared" si="38"/>
        <v>0.32031923728755496</v>
      </c>
      <c r="G294" s="66">
        <f t="shared" si="44"/>
        <v>2</v>
      </c>
      <c r="H294" s="10">
        <f t="shared" si="39"/>
        <v>0.24310109344725392</v>
      </c>
      <c r="I294" s="10">
        <f t="shared" si="40"/>
        <v>1.1649420476832756E-2</v>
      </c>
    </row>
    <row r="295" spans="1:9">
      <c r="A295" s="19">
        <f t="shared" si="41"/>
        <v>23.416666666666604</v>
      </c>
      <c r="B295" s="10">
        <f t="shared" si="36"/>
        <v>0.82834554205079136</v>
      </c>
      <c r="C295" s="10">
        <f t="shared" si="37"/>
        <v>0.91437146482128639</v>
      </c>
      <c r="D295" s="10">
        <f t="shared" si="42"/>
        <v>1.6580809075745717E-2</v>
      </c>
      <c r="E295" s="10">
        <f t="shared" si="43"/>
        <v>7.5199682446555538E-3</v>
      </c>
      <c r="F295" s="10">
        <f t="shared" si="38"/>
        <v>0.31901951230502523</v>
      </c>
      <c r="G295" s="66">
        <f t="shared" si="44"/>
        <v>4</v>
      </c>
      <c r="H295" s="10">
        <f t="shared" si="39"/>
        <v>0.24163033192833661</v>
      </c>
      <c r="I295" s="10">
        <f t="shared" si="40"/>
        <v>2.3293915294637944E-2</v>
      </c>
    </row>
    <row r="296" spans="1:9">
      <c r="A296" s="19">
        <f t="shared" si="41"/>
        <v>23.499999999999936</v>
      </c>
      <c r="B296" s="10">
        <f t="shared" si="36"/>
        <v>0.82719834884912047</v>
      </c>
      <c r="C296" s="10">
        <f t="shared" si="37"/>
        <v>0.91379704474821988</v>
      </c>
      <c r="D296" s="10">
        <f t="shared" si="42"/>
        <v>1.6680434232063418E-2</v>
      </c>
      <c r="E296" s="10">
        <f t="shared" si="43"/>
        <v>7.5619218238807675E-3</v>
      </c>
      <c r="F296" s="10">
        <f t="shared" si="38"/>
        <v>0.31772506107703025</v>
      </c>
      <c r="G296" s="66">
        <f t="shared" si="44"/>
        <v>2</v>
      </c>
      <c r="H296" s="10">
        <f t="shared" si="39"/>
        <v>0.24016564332924839</v>
      </c>
      <c r="I296" s="10">
        <f t="shared" si="40"/>
        <v>1.1644362075985073E-2</v>
      </c>
    </row>
    <row r="297" spans="1:9">
      <c r="A297" s="19">
        <f t="shared" si="41"/>
        <v>23.583333333333268</v>
      </c>
      <c r="B297" s="10">
        <f t="shared" si="36"/>
        <v>0.82604586577153849</v>
      </c>
      <c r="C297" s="10">
        <f t="shared" si="37"/>
        <v>0.91321978377355595</v>
      </c>
      <c r="D297" s="10">
        <f t="shared" si="42"/>
        <v>1.6780661614383834E-2</v>
      </c>
      <c r="E297" s="10">
        <f t="shared" si="43"/>
        <v>7.6041126147424433E-3</v>
      </c>
      <c r="F297" s="10">
        <f t="shared" si="38"/>
        <v>0.31643586220482228</v>
      </c>
      <c r="G297" s="66">
        <f t="shared" si="44"/>
        <v>4</v>
      </c>
      <c r="H297" s="10">
        <f t="shared" si="39"/>
        <v>0.23870700854368129</v>
      </c>
      <c r="I297" s="10">
        <f t="shared" si="40"/>
        <v>2.3283266040991145E-2</v>
      </c>
    </row>
    <row r="298" spans="1:9">
      <c r="A298" s="19">
        <f t="shared" si="41"/>
        <v>23.6666666666666</v>
      </c>
      <c r="B298" s="10">
        <f t="shared" si="36"/>
        <v>0.82488807784605656</v>
      </c>
      <c r="C298" s="10">
        <f t="shared" si="37"/>
        <v>0.91263966964673149</v>
      </c>
      <c r="D298" s="10">
        <f t="shared" si="42"/>
        <v>1.6881494863114393E-2</v>
      </c>
      <c r="E298" s="10">
        <f t="shared" si="43"/>
        <v>7.6465419584696567E-3</v>
      </c>
      <c r="F298" s="10">
        <f t="shared" si="38"/>
        <v>0.31515189437648128</v>
      </c>
      <c r="G298" s="66">
        <f t="shared" si="44"/>
        <v>2</v>
      </c>
      <c r="H298" s="10">
        <f t="shared" si="39"/>
        <v>0.2372544085737078</v>
      </c>
      <c r="I298" s="10">
        <f t="shared" si="40"/>
        <v>1.1638769739158103E-2</v>
      </c>
    </row>
    <row r="299" spans="1:9">
      <c r="A299" s="19">
        <f t="shared" si="41"/>
        <v>23.749999999999932</v>
      </c>
      <c r="B299" s="10">
        <f t="shared" si="36"/>
        <v>0.82372497017850921</v>
      </c>
      <c r="C299" s="10">
        <f t="shared" si="37"/>
        <v>0.91205669008728996</v>
      </c>
      <c r="D299" s="10">
        <f t="shared" si="42"/>
        <v>1.698293764066848E-2</v>
      </c>
      <c r="E299" s="10">
        <f t="shared" si="43"/>
        <v>7.6892112038749964E-3</v>
      </c>
      <c r="F299" s="10">
        <f t="shared" si="38"/>
        <v>0.313873136366562</v>
      </c>
      <c r="G299" s="66">
        <f t="shared" si="44"/>
        <v>4</v>
      </c>
      <c r="H299" s="10">
        <f t="shared" si="39"/>
        <v>0.23580782452931284</v>
      </c>
      <c r="I299" s="10">
        <f t="shared" si="40"/>
        <v>2.3271542981980788E-2</v>
      </c>
    </row>
    <row r="300" spans="1:9">
      <c r="A300" s="19">
        <f t="shared" si="41"/>
        <v>23.833333333333265</v>
      </c>
      <c r="B300" s="10">
        <f t="shared" si="36"/>
        <v>0.82255652795445322</v>
      </c>
      <c r="C300" s="10">
        <f t="shared" si="37"/>
        <v>0.91147083278509822</v>
      </c>
      <c r="D300" s="10">
        <f t="shared" si="42"/>
        <v>1.7084993631598492E-2</v>
      </c>
      <c r="E300" s="10">
        <f t="shared" si="43"/>
        <v>7.7321217073974321E-3</v>
      </c>
      <c r="F300" s="10">
        <f t="shared" si="38"/>
        <v>0.31259956703574354</v>
      </c>
      <c r="G300" s="66">
        <f t="shared" si="44"/>
        <v>2</v>
      </c>
      <c r="H300" s="10">
        <f t="shared" si="39"/>
        <v>0.2343672376279248</v>
      </c>
      <c r="I300" s="10">
        <f t="shared" si="40"/>
        <v>1.1632637535788151E-2</v>
      </c>
    </row>
    <row r="301" spans="1:9">
      <c r="A301" s="19">
        <f t="shared" si="41"/>
        <v>23.916666666666597</v>
      </c>
      <c r="B301" s="10">
        <f t="shared" si="36"/>
        <v>0.82138273644108672</v>
      </c>
      <c r="C301" s="10">
        <f t="shared" si="37"/>
        <v>0.91088208540056759</v>
      </c>
      <c r="D301" s="10">
        <f t="shared" si="42"/>
        <v>1.7187666542729615E-2</v>
      </c>
      <c r="E301" s="10">
        <f t="shared" si="43"/>
        <v>7.7752748331454298E-3</v>
      </c>
      <c r="F301" s="10">
        <f t="shared" si="38"/>
        <v>0.31133116533047972</v>
      </c>
      <c r="G301" s="66">
        <f t="shared" si="44"/>
        <v>4</v>
      </c>
      <c r="H301" s="10">
        <f t="shared" si="39"/>
        <v>0.23293262919394614</v>
      </c>
      <c r="I301" s="10">
        <f t="shared" si="40"/>
        <v>2.3258734268387673E-2</v>
      </c>
    </row>
    <row r="302" spans="1:9">
      <c r="A302" s="19">
        <f t="shared" si="41"/>
        <v>23.999999999999929</v>
      </c>
      <c r="B302" s="10">
        <f t="shared" si="36"/>
        <v>0.82020358098918678</v>
      </c>
      <c r="C302" s="10">
        <f t="shared" si="37"/>
        <v>0.91029043556488087</v>
      </c>
      <c r="D302" s="10">
        <f t="shared" si="42"/>
        <v>1.7290960103294509E-2</v>
      </c>
      <c r="E302" s="10">
        <f t="shared" si="43"/>
        <v>7.8186719529403231E-3</v>
      </c>
      <c r="F302" s="10">
        <f t="shared" si="38"/>
        <v>0.31006791028265107</v>
      </c>
      <c r="G302" s="66">
        <f t="shared" si="44"/>
        <v>2</v>
      </c>
      <c r="H302" s="10">
        <f t="shared" si="39"/>
        <v>0.23150398065828232</v>
      </c>
      <c r="I302" s="10">
        <f t="shared" si="40"/>
        <v>1.1625959547766348E-2</v>
      </c>
    </row>
    <row r="303" spans="1:9">
      <c r="A303" s="19">
        <f t="shared" si="41"/>
        <v>24.083333333333261</v>
      </c>
      <c r="B303" s="10">
        <f t="shared" si="36"/>
        <v>0.81901904703506745</v>
      </c>
      <c r="C303" s="10">
        <f t="shared" si="37"/>
        <v>0.90969587088022286</v>
      </c>
      <c r="D303" s="10">
        <f t="shared" si="42"/>
        <v>1.7394878065068752E-2</v>
      </c>
      <c r="E303" s="10">
        <f t="shared" si="43"/>
        <v>7.8623144463599338E-3</v>
      </c>
      <c r="F303" s="10">
        <f t="shared" si="38"/>
        <v>0.30880978100921819</v>
      </c>
      <c r="G303" s="66">
        <f t="shared" si="44"/>
        <v>4</v>
      </c>
      <c r="H303" s="10">
        <f t="shared" si="39"/>
        <v>0.23008127355787025</v>
      </c>
      <c r="I303" s="10">
        <f t="shared" si="40"/>
        <v>2.3244828078103262E-2</v>
      </c>
    </row>
    <row r="304" spans="1:9">
      <c r="A304" s="19">
        <f t="shared" si="41"/>
        <v>24.166666666666593</v>
      </c>
      <c r="B304" s="10">
        <f t="shared" si="36"/>
        <v>0.81782912010255682</v>
      </c>
      <c r="C304" s="10">
        <f t="shared" si="37"/>
        <v>0.9090983789200161</v>
      </c>
      <c r="D304" s="10">
        <f t="shared" si="42"/>
        <v>1.749942420250709E-2</v>
      </c>
      <c r="E304" s="10">
        <f t="shared" si="43"/>
        <v>7.9062037007824101E-3</v>
      </c>
      <c r="F304" s="10">
        <f t="shared" si="38"/>
        <v>0.30755675671187666</v>
      </c>
      <c r="G304" s="66">
        <f t="shared" si="44"/>
        <v>2</v>
      </c>
      <c r="H304" s="10">
        <f t="shared" si="39"/>
        <v>0.22866448953520566</v>
      </c>
      <c r="I304" s="10">
        <f t="shared" si="40"/>
        <v>1.1618729871654141E-2</v>
      </c>
    </row>
    <row r="305" spans="1:9">
      <c r="A305" s="19">
        <f t="shared" si="41"/>
        <v>24.249999999999925</v>
      </c>
      <c r="B305" s="10">
        <f t="shared" si="36"/>
        <v>0.81663378580499346</v>
      </c>
      <c r="C305" s="10">
        <f t="shared" si="37"/>
        <v>0.908497947229162</v>
      </c>
      <c r="D305" s="10">
        <f t="shared" si="42"/>
        <v>1.7604602312880552E-2</v>
      </c>
      <c r="E305" s="10">
        <f t="shared" si="43"/>
        <v>7.9503411114303368E-3</v>
      </c>
      <c r="F305" s="10">
        <f t="shared" si="38"/>
        <v>0.30630881667671289</v>
      </c>
      <c r="G305" s="66">
        <f t="shared" si="44"/>
        <v>4</v>
      </c>
      <c r="H305" s="10">
        <f t="shared" si="39"/>
        <v>0.22725361033786895</v>
      </c>
      <c r="I305" s="10">
        <f t="shared" si="40"/>
        <v>2.3229812620618531E-2</v>
      </c>
    </row>
    <row r="306" spans="1:9">
      <c r="A306" s="19">
        <f t="shared" si="41"/>
        <v>24.333333333333258</v>
      </c>
      <c r="B306" s="10">
        <f t="shared" si="36"/>
        <v>0.81543302984724297</v>
      </c>
      <c r="C306" s="10">
        <f t="shared" si="37"/>
        <v>0.90789456332428586</v>
      </c>
      <c r="D306" s="10">
        <f t="shared" si="42"/>
        <v>1.7710416216414337E-2</v>
      </c>
      <c r="E306" s="10">
        <f t="shared" si="43"/>
        <v>7.994728081415086E-3</v>
      </c>
      <c r="F306" s="10">
        <f t="shared" si="38"/>
        <v>0.30506594027386208</v>
      </c>
      <c r="G306" s="66">
        <f t="shared" si="44"/>
        <v>2</v>
      </c>
      <c r="H306" s="10">
        <f t="shared" si="39"/>
        <v>0.22584861781805063</v>
      </c>
      <c r="I306" s="10">
        <f t="shared" si="40"/>
        <v>1.1610942620956641E-2</v>
      </c>
    </row>
    <row r="307" spans="1:9">
      <c r="A307" s="19">
        <f t="shared" si="41"/>
        <v>24.41666666666659</v>
      </c>
      <c r="B307" s="10">
        <f t="shared" si="36"/>
        <v>0.8142268380277341</v>
      </c>
      <c r="C307" s="10">
        <f t="shared" si="37"/>
        <v>0.90728821469398768</v>
      </c>
      <c r="D307" s="10">
        <f t="shared" si="42"/>
        <v>1.7816869756426632E-2</v>
      </c>
      <c r="E307" s="10">
        <f t="shared" si="43"/>
        <v>8.0393660217814352E-3</v>
      </c>
      <c r="F307" s="10">
        <f t="shared" si="38"/>
        <v>0.30382810695716705</v>
      </c>
      <c r="G307" s="66">
        <f t="shared" si="44"/>
        <v>4</v>
      </c>
      <c r="H307" s="10">
        <f t="shared" si="39"/>
        <v>0.22444949393207492</v>
      </c>
      <c r="I307" s="10">
        <f t="shared" si="40"/>
        <v>2.321367614162884E-2</v>
      </c>
    </row>
    <row r="308" spans="1:9">
      <c r="A308" s="19">
        <f t="shared" si="41"/>
        <v>24.499999999999922</v>
      </c>
      <c r="B308" s="10">
        <f t="shared" si="36"/>
        <v>0.81301519624051455</v>
      </c>
      <c r="C308" s="10">
        <f t="shared" si="37"/>
        <v>0.90667888879909786</v>
      </c>
      <c r="D308" s="10">
        <f t="shared" si="42"/>
        <v>1.7923966799468154E-2</v>
      </c>
      <c r="E308" s="10">
        <f t="shared" si="43"/>
        <v>8.0842563515524136E-3</v>
      </c>
      <c r="F308" s="10">
        <f t="shared" si="38"/>
        <v>0.30259529626383846</v>
      </c>
      <c r="G308" s="66">
        <f t="shared" si="44"/>
        <v>2</v>
      </c>
      <c r="H308" s="10">
        <f t="shared" si="39"/>
        <v>0.22305622073992271</v>
      </c>
      <c r="I308" s="10">
        <f t="shared" si="40"/>
        <v>1.1602591928454423E-2</v>
      </c>
    </row>
    <row r="309" spans="1:9">
      <c r="A309" s="19">
        <f t="shared" si="41"/>
        <v>24.583333333333254</v>
      </c>
      <c r="B309" s="10">
        <f t="shared" si="36"/>
        <v>0.81179809047732665</v>
      </c>
      <c r="C309" s="10">
        <f t="shared" si="37"/>
        <v>0.90606657307293759</v>
      </c>
      <c r="D309" s="10">
        <f t="shared" si="42"/>
        <v>1.8031711235462607E-2</v>
      </c>
      <c r="E309" s="10">
        <f t="shared" si="43"/>
        <v>8.1294004977744069E-3</v>
      </c>
      <c r="F309" s="10">
        <f t="shared" si="38"/>
        <v>0.30136748781411665</v>
      </c>
      <c r="G309" s="66">
        <f t="shared" si="44"/>
        <v>4</v>
      </c>
      <c r="H309" s="10">
        <f t="shared" si="39"/>
        <v>0.22166878040475285</v>
      </c>
      <c r="I309" s="10">
        <f t="shared" si="40"/>
        <v>2.3196406927756475E-2</v>
      </c>
    </row>
    <row r="310" spans="1:9">
      <c r="A310" s="19">
        <f t="shared" si="41"/>
        <v>24.666666666666586</v>
      </c>
      <c r="B310" s="10">
        <f t="shared" si="36"/>
        <v>0.8105755068297037</v>
      </c>
      <c r="C310" s="10">
        <f t="shared" si="37"/>
        <v>0.90545125492158418</v>
      </c>
      <c r="D310" s="10">
        <f t="shared" si="42"/>
        <v>1.8140106977847955E-2</v>
      </c>
      <c r="E310" s="10">
        <f t="shared" si="43"/>
        <v>8.1747998955625251E-3</v>
      </c>
      <c r="F310" s="10">
        <f t="shared" si="38"/>
        <v>0.30014466131093476</v>
      </c>
      <c r="G310" s="66">
        <f t="shared" si="44"/>
        <v>2</v>
      </c>
      <c r="H310" s="10">
        <f t="shared" si="39"/>
        <v>0.22028715519242276</v>
      </c>
      <c r="I310" s="10">
        <f t="shared" si="40"/>
        <v>1.1593671948594253E-2</v>
      </c>
    </row>
    <row r="311" spans="1:9">
      <c r="A311" s="19">
        <f t="shared" si="41"/>
        <v>24.749999999999918</v>
      </c>
      <c r="B311" s="10">
        <f t="shared" si="36"/>
        <v>0.80934743149108479</v>
      </c>
      <c r="C311" s="10">
        <f t="shared" si="37"/>
        <v>0.90483292172414298</v>
      </c>
      <c r="D311" s="10">
        <f t="shared" si="42"/>
        <v>1.82491579637186E-2</v>
      </c>
      <c r="E311" s="10">
        <f t="shared" si="43"/>
        <v>8.2204559881462382E-3</v>
      </c>
      <c r="F311" s="10">
        <f t="shared" si="38"/>
        <v>0.29892679653958304</v>
      </c>
      <c r="G311" s="66">
        <f t="shared" si="44"/>
        <v>4</v>
      </c>
      <c r="H311" s="10">
        <f t="shared" si="39"/>
        <v>0.21891132747100717</v>
      </c>
      <c r="I311" s="10">
        <f t="shared" si="40"/>
        <v>2.3177993311391292E-2</v>
      </c>
    </row>
    <row r="312" spans="1:9">
      <c r="A312" s="19">
        <f t="shared" si="41"/>
        <v>24.83333333333325</v>
      </c>
      <c r="B312" s="10">
        <f t="shared" si="36"/>
        <v>0.80811385075895092</v>
      </c>
      <c r="C312" s="10">
        <f t="shared" si="37"/>
        <v>0.90421156083302257</v>
      </c>
      <c r="D312" s="10">
        <f t="shared" si="42"/>
        <v>1.8358868153968363E-2</v>
      </c>
      <c r="E312" s="10">
        <f t="shared" si="43"/>
        <v>8.2663702269152439E-3</v>
      </c>
      <c r="F312" s="10">
        <f t="shared" si="38"/>
        <v>0.29771387336737493</v>
      </c>
      <c r="G312" s="66">
        <f t="shared" si="44"/>
        <v>2</v>
      </c>
      <c r="H312" s="10">
        <f t="shared" si="39"/>
        <v>0.21754127971031587</v>
      </c>
      <c r="I312" s="10">
        <f t="shared" si="40"/>
        <v>1.1584176859939276E-2</v>
      </c>
    </row>
    <row r="313" spans="1:9">
      <c r="A313" s="19">
        <f t="shared" si="41"/>
        <v>24.916666666666583</v>
      </c>
      <c r="B313" s="10">
        <f t="shared" si="36"/>
        <v>0.80687475103698092</v>
      </c>
      <c r="C313" s="10">
        <f t="shared" si="37"/>
        <v>0.90358715957421631</v>
      </c>
      <c r="D313" s="10">
        <f t="shared" si="42"/>
        <v>1.8469241533434322E-2</v>
      </c>
      <c r="E313" s="10">
        <f t="shared" si="43"/>
        <v>8.3125440714656024E-3</v>
      </c>
      <c r="F313" s="10">
        <f t="shared" si="38"/>
        <v>0.29650587174331416</v>
      </c>
      <c r="G313" s="66">
        <f t="shared" si="44"/>
        <v>4</v>
      </c>
      <c r="H313" s="10">
        <f t="shared" si="39"/>
        <v>0.21617699448141031</v>
      </c>
      <c r="I313" s="10">
        <f t="shared" si="40"/>
        <v>2.315842367565106E-2</v>
      </c>
    </row>
    <row r="314" spans="1:9">
      <c r="A314" s="19">
        <f t="shared" si="41"/>
        <v>24.999999999999915</v>
      </c>
      <c r="B314" s="10">
        <f t="shared" si="36"/>
        <v>0.80563011883722768</v>
      </c>
      <c r="C314" s="10">
        <f t="shared" si="37"/>
        <v>0.90295970524759006</v>
      </c>
      <c r="D314" s="10">
        <f t="shared" si="42"/>
        <v>1.8580282111041575E-2</v>
      </c>
      <c r="E314" s="10">
        <f t="shared" si="43"/>
        <v>8.3589789896461389E-3</v>
      </c>
      <c r="F314" s="10">
        <f t="shared" si="38"/>
        <v>0.29530277169776309</v>
      </c>
      <c r="G314" s="66">
        <f t="shared" si="44"/>
        <v>2</v>
      </c>
      <c r="H314" s="10"/>
      <c r="I314" s="10">
        <f t="shared" si="40"/>
        <v>1.1574100867679135E-2</v>
      </c>
    </row>
    <row r="315" spans="1:9">
      <c r="A315" s="19">
        <f t="shared" si="41"/>
        <v>25.083333333333247</v>
      </c>
      <c r="B315" s="10">
        <f t="shared" si="36"/>
        <v>0.80437994078231323</v>
      </c>
      <c r="C315" s="10">
        <f t="shared" si="37"/>
        <v>0.90232918512717275</v>
      </c>
      <c r="D315" s="10">
        <f t="shared" si="42"/>
        <v>1.8691993919948881E-2</v>
      </c>
      <c r="E315" s="10">
        <f t="shared" si="43"/>
        <v>8.405676457605123E-3</v>
      </c>
      <c r="F315" s="10">
        <f t="shared" si="38"/>
        <v>0.29410455334211272</v>
      </c>
      <c r="G315" s="66">
        <f t="shared" si="44"/>
        <v>4</v>
      </c>
      <c r="H315" s="10"/>
      <c r="I315" s="10">
        <f t="shared" si="40"/>
        <v>2.313768645946182E-2</v>
      </c>
    </row>
    <row r="316" spans="1:9">
      <c r="A316" s="19">
        <f t="shared" si="41"/>
        <v>25.166666666666579</v>
      </c>
      <c r="B316" s="10">
        <f t="shared" si="36"/>
        <v>0.80312420360764591</v>
      </c>
      <c r="C316" s="10">
        <f t="shared" si="37"/>
        <v>0.90169558646145509</v>
      </c>
      <c r="D316" s="10">
        <f t="shared" si="42"/>
        <v>1.8804381017695097E-2</v>
      </c>
      <c r="E316" s="10">
        <f t="shared" si="43"/>
        <v>8.4526379598371722E-3</v>
      </c>
      <c r="F316" s="10">
        <f t="shared" si="38"/>
        <v>0.29291119686845407</v>
      </c>
      <c r="G316" s="66">
        <f t="shared" si="44"/>
        <v>2</v>
      </c>
      <c r="H316" s="10"/>
      <c r="I316" s="10">
        <f t="shared" si="40"/>
        <v>1.1563438206200448E-2</v>
      </c>
    </row>
    <row r="317" spans="1:9">
      <c r="A317" s="19">
        <f t="shared" si="41"/>
        <v>25.249999999999911</v>
      </c>
      <c r="B317" s="10">
        <f t="shared" si="36"/>
        <v>0.80186289416365719</v>
      </c>
      <c r="C317" s="10">
        <f t="shared" si="37"/>
        <v>0.90105889647369231</v>
      </c>
      <c r="D317" s="10">
        <f t="shared" si="42"/>
        <v>1.8917447486346568E-2</v>
      </c>
      <c r="E317" s="10">
        <f t="shared" si="43"/>
        <v>8.4998649892304521E-3</v>
      </c>
      <c r="F317" s="10">
        <f t="shared" si="38"/>
        <v>0.29172268254925054</v>
      </c>
      <c r="G317" s="66">
        <f t="shared" si="44"/>
        <v>4</v>
      </c>
      <c r="H317" s="10"/>
      <c r="I317" s="10">
        <f t="shared" si="40"/>
        <v>2.3115770162759577E-2</v>
      </c>
    </row>
    <row r="318" spans="1:9">
      <c r="A318" s="19">
        <f t="shared" si="41"/>
        <v>25.333333333333243</v>
      </c>
      <c r="B318" s="10">
        <f t="shared" si="36"/>
        <v>0.80059599941805815</v>
      </c>
      <c r="C318" s="10">
        <f t="shared" si="37"/>
        <v>0.90041910236221268</v>
      </c>
      <c r="D318" s="10">
        <f t="shared" si="42"/>
        <v>1.9031197432645388E-2</v>
      </c>
      <c r="E318" s="10">
        <f t="shared" si="43"/>
        <v>8.5473590471141347E-3</v>
      </c>
      <c r="F318" s="10">
        <f t="shared" si="38"/>
        <v>0.29053899073701167</v>
      </c>
      <c r="G318" s="66">
        <f t="shared" si="44"/>
        <v>2</v>
      </c>
      <c r="H318" s="10"/>
      <c r="I318" s="10">
        <f t="shared" si="40"/>
        <v>1.1552183141718008E-2</v>
      </c>
    </row>
    <row r="319" spans="1:9">
      <c r="A319" s="19">
        <f t="shared" si="41"/>
        <v>25.416666666666575</v>
      </c>
      <c r="B319" s="10">
        <f t="shared" si="36"/>
        <v>0.79932350645811678</v>
      </c>
      <c r="C319" s="10">
        <f t="shared" si="37"/>
        <v>0.89977619130073228</v>
      </c>
      <c r="D319" s="10">
        <f t="shared" si="42"/>
        <v>1.9145634988158602E-2</v>
      </c>
      <c r="E319" s="10">
        <f t="shared" si="43"/>
        <v>8.5951216433061278E-3</v>
      </c>
      <c r="F319" s="10">
        <f t="shared" si="38"/>
        <v>0.28936010186396882</v>
      </c>
      <c r="G319" s="66">
        <f t="shared" si="44"/>
        <v>4</v>
      </c>
      <c r="H319" s="10"/>
      <c r="I319" s="10">
        <f t="shared" si="40"/>
        <v>2.3092663351813692E-2</v>
      </c>
    </row>
    <row r="320" spans="1:9">
      <c r="A320" s="19">
        <f t="shared" si="41"/>
        <v>25.499999999999908</v>
      </c>
      <c r="B320" s="10">
        <f t="shared" si="36"/>
        <v>0.79804540249295575</v>
      </c>
      <c r="C320" s="10">
        <f t="shared" si="37"/>
        <v>0.89913015043867406</v>
      </c>
      <c r="D320" s="10">
        <f t="shared" si="42"/>
        <v>1.9260764309428243E-2</v>
      </c>
      <c r="E320" s="10">
        <f t="shared" si="43"/>
        <v>8.6431542961610767E-3</v>
      </c>
      <c r="F320" s="10">
        <f t="shared" si="38"/>
        <v>0.28818599644175114</v>
      </c>
      <c r="G320" s="66">
        <f t="shared" si="44"/>
        <v>2</v>
      </c>
      <c r="H320" s="10"/>
      <c r="I320" s="10">
        <f t="shared" si="40"/>
        <v>1.154032997496718E-2</v>
      </c>
    </row>
    <row r="321" spans="1:9">
      <c r="A321" s="19">
        <f t="shared" si="41"/>
        <v>25.58333333333324</v>
      </c>
      <c r="B321" s="10">
        <f t="shared" si="36"/>
        <v>0.79676167485587057</v>
      </c>
      <c r="C321" s="10">
        <f t="shared" si="37"/>
        <v>0.89848096690149415</v>
      </c>
      <c r="D321" s="10">
        <f t="shared" si="42"/>
        <v>1.9376589578122279E-2</v>
      </c>
      <c r="E321" s="10">
        <f t="shared" si="43"/>
        <v>8.6914585326186081E-3</v>
      </c>
      <c r="F321" s="10">
        <f t="shared" si="38"/>
        <v>0.28701665506106366</v>
      </c>
      <c r="G321" s="66">
        <f t="shared" si="44"/>
        <v>4</v>
      </c>
      <c r="H321" s="10"/>
      <c r="I321" s="10">
        <f t="shared" si="40"/>
        <v>2.3068354664673097E-2</v>
      </c>
    </row>
    <row r="322" spans="1:9">
      <c r="A322" s="19">
        <f t="shared" si="41"/>
        <v>25.666666666666572</v>
      </c>
      <c r="B322" s="10">
        <f t="shared" si="36"/>
        <v>0.7954723110066686</v>
      </c>
      <c r="C322" s="10">
        <f t="shared" si="37"/>
        <v>0.89782862779101325</v>
      </c>
      <c r="D322" s="10">
        <f t="shared" si="42"/>
        <v>1.9493115001186528E-2</v>
      </c>
      <c r="E322" s="10">
        <f t="shared" si="43"/>
        <v>8.7400358882518941E-3</v>
      </c>
      <c r="F322" s="10">
        <f t="shared" si="38"/>
        <v>0.28585205839136663</v>
      </c>
      <c r="G322" s="66">
        <f t="shared" si="44"/>
        <v>2</v>
      </c>
      <c r="H322" s="10"/>
      <c r="I322" s="10">
        <f t="shared" si="40"/>
        <v>1.1527873043957654E-2</v>
      </c>
    </row>
    <row r="323" spans="1:9">
      <c r="A323" s="19">
        <f t="shared" si="41"/>
        <v>25.749999999999904</v>
      </c>
      <c r="B323" s="10">
        <f t="shared" si="36"/>
        <v>0.79417729853402674</v>
      </c>
      <c r="C323" s="10">
        <f t="shared" si="37"/>
        <v>0.89717312018575379</v>
      </c>
      <c r="D323" s="10">
        <f t="shared" si="42"/>
        <v>1.9610344810997469E-2</v>
      </c>
      <c r="E323" s="10">
        <f t="shared" si="43"/>
        <v>8.7888879073164689E-3</v>
      </c>
      <c r="F323" s="10">
        <f t="shared" si="38"/>
        <v>0.28469218718055544</v>
      </c>
      <c r="G323" s="66">
        <f t="shared" si="44"/>
        <v>4</v>
      </c>
      <c r="H323" s="10"/>
      <c r="I323" s="10">
        <f t="shared" si="40"/>
        <v>2.3042832816735508E-2</v>
      </c>
    </row>
    <row r="324" spans="1:9">
      <c r="A324" s="19">
        <f t="shared" si="41"/>
        <v>25.833333333333236</v>
      </c>
      <c r="B324" s="10">
        <f t="shared" si="36"/>
        <v>0.79287662515787216</v>
      </c>
      <c r="C324" s="10">
        <f t="shared" si="37"/>
        <v>0.89651443114128293</v>
      </c>
      <c r="D324" s="10">
        <f t="shared" si="42"/>
        <v>1.9728283265515963E-2</v>
      </c>
      <c r="E324" s="10">
        <f t="shared" si="43"/>
        <v>8.8380161427993043E-3</v>
      </c>
      <c r="F324" s="10">
        <f t="shared" si="38"/>
        <v>0.283537022254643</v>
      </c>
      <c r="G324" s="66">
        <f t="shared" si="44"/>
        <v>2</v>
      </c>
      <c r="H324" s="10"/>
      <c r="I324" s="10">
        <f t="shared" si="40"/>
        <v>1.1514806726789109E-2</v>
      </c>
    </row>
    <row r="325" spans="1:9">
      <c r="A325" s="19">
        <f t="shared" si="41"/>
        <v>25.916666666666568</v>
      </c>
      <c r="B325" s="10">
        <f t="shared" si="36"/>
        <v>0.79157027873178198</v>
      </c>
      <c r="C325" s="10">
        <f t="shared" si="37"/>
        <v>0.89585254769056211</v>
      </c>
      <c r="D325" s="10">
        <f t="shared" si="42"/>
        <v>1.984693464844187E-2</v>
      </c>
      <c r="E325" s="10">
        <f t="shared" si="43"/>
        <v>8.8874221564681881E-3</v>
      </c>
      <c r="F325" s="10">
        <f t="shared" si="38"/>
        <v>0.28238654451744227</v>
      </c>
      <c r="G325" s="66">
        <f t="shared" si="44"/>
        <v>4</v>
      </c>
      <c r="H325" s="10"/>
      <c r="I325" s="10">
        <f t="shared" si="40"/>
        <v>2.3016086606440674E-2</v>
      </c>
    </row>
    <row r="326" spans="1:9">
      <c r="A326" s="19">
        <f t="shared" si="41"/>
        <v>25.999999999999901</v>
      </c>
      <c r="B326" s="10">
        <f t="shared" si="36"/>
        <v>0.79025824724540339</v>
      </c>
      <c r="C326" s="10">
        <f t="shared" si="37"/>
        <v>0.89518745684430179</v>
      </c>
      <c r="D326" s="10">
        <f t="shared" si="42"/>
        <v>1.9966303269369674E-2</v>
      </c>
      <c r="E326" s="10">
        <f t="shared" si="43"/>
        <v>8.9371075189213622E-3</v>
      </c>
      <c r="F326" s="10">
        <f t="shared" si="38"/>
        <v>0.28124073495025076</v>
      </c>
      <c r="G326" s="66">
        <f t="shared" si="44"/>
        <v>2</v>
      </c>
      <c r="H326" s="10"/>
      <c r="I326" s="10">
        <f t="shared" si="40"/>
        <v>1.150112544452876E-2</v>
      </c>
    </row>
    <row r="327" spans="1:9">
      <c r="A327" s="19">
        <f t="shared" si="41"/>
        <v>26.083333333333233</v>
      </c>
      <c r="B327" s="10">
        <f t="shared" si="36"/>
        <v>0.78894051882689531</v>
      </c>
      <c r="C327" s="10">
        <f t="shared" si="37"/>
        <v>0.89451914559132284</v>
      </c>
      <c r="D327" s="10">
        <f t="shared" si="42"/>
        <v>2.0086393463945029E-2</v>
      </c>
      <c r="E327" s="10">
        <f t="shared" si="43"/>
        <v>8.9870738096374733E-3</v>
      </c>
      <c r="F327" s="10">
        <f t="shared" si="38"/>
        <v>0.28009957461153612</v>
      </c>
      <c r="G327" s="66">
        <f t="shared" si="44"/>
        <v>4</v>
      </c>
      <c r="H327" s="10"/>
      <c r="I327" s="10">
        <f t="shared" si="40"/>
        <v>2.298810492108758E-2</v>
      </c>
    </row>
    <row r="328" spans="1:9">
      <c r="A328" s="19">
        <f t="shared" si="41"/>
        <v>26.166666666666565</v>
      </c>
      <c r="B328" s="10">
        <f t="shared" si="36"/>
        <v>0.78761708174538947</v>
      </c>
      <c r="C328" s="10">
        <f t="shared" si="37"/>
        <v>0.89384760089892423</v>
      </c>
      <c r="D328" s="10">
        <f t="shared" si="42"/>
        <v>2.0207209594022214E-2</v>
      </c>
      <c r="E328" s="10">
        <f t="shared" si="43"/>
        <v>9.037322617025766E-3</v>
      </c>
      <c r="F328" s="10">
        <f t="shared" si="38"/>
        <v>0.27896304463662314</v>
      </c>
      <c r="G328" s="66">
        <f t="shared" si="44"/>
        <v>2</v>
      </c>
      <c r="H328" s="10"/>
      <c r="I328" s="10">
        <f t="shared" si="40"/>
        <v>1.1486823664151184E-2</v>
      </c>
    </row>
    <row r="329" spans="1:9">
      <c r="A329" s="19">
        <f t="shared" si="41"/>
        <v>26.249999999999897</v>
      </c>
      <c r="B329" s="10">
        <f t="shared" si="36"/>
        <v>0.78628792441347284</v>
      </c>
      <c r="C329" s="10">
        <f t="shared" si="37"/>
        <v>0.89317280971325619</v>
      </c>
      <c r="D329" s="10">
        <f t="shared" si="42"/>
        <v>2.0328756047822544E-2</v>
      </c>
      <c r="E329" s="10">
        <f t="shared" si="43"/>
        <v>9.0878555384765764E-3</v>
      </c>
      <c r="F329" s="10">
        <f t="shared" si="38"/>
        <v>0.27783112623738165</v>
      </c>
      <c r="G329" s="66">
        <f t="shared" si="44"/>
        <v>4</v>
      </c>
      <c r="H329" s="10"/>
      <c r="I329" s="10">
        <f t="shared" si="40"/>
        <v>2.2958876742776677E-2</v>
      </c>
    </row>
    <row r="330" spans="1:9">
      <c r="A330" s="19">
        <f t="shared" si="41"/>
        <v>26.333333333333229</v>
      </c>
      <c r="B330" s="10">
        <f t="shared" si="36"/>
        <v>0.78495303538969063</v>
      </c>
      <c r="C330" s="10">
        <f t="shared" si="37"/>
        <v>0.8924947589597001</v>
      </c>
      <c r="D330" s="10">
        <f t="shared" si="42"/>
        <v>2.0451037240093773E-2</v>
      </c>
      <c r="E330" s="10">
        <f t="shared" si="43"/>
        <v>9.1386741804121169E-3</v>
      </c>
      <c r="F330" s="10">
        <f t="shared" si="38"/>
        <v>0.27670380070191614</v>
      </c>
      <c r="G330" s="66">
        <f t="shared" si="44"/>
        <v>2</v>
      </c>
      <c r="H330" s="10"/>
      <c r="I330" s="10">
        <f t="shared" si="40"/>
        <v>1.1471895901540555E-2</v>
      </c>
    </row>
    <row r="331" spans="1:9">
      <c r="A331" s="19">
        <f t="shared" si="41"/>
        <v>26.416666666666561</v>
      </c>
      <c r="B331" s="10">
        <f t="shared" si="36"/>
        <v>0.78361240338106897</v>
      </c>
      <c r="C331" s="10">
        <f t="shared" si="37"/>
        <v>0.89181343554325476</v>
      </c>
      <c r="D331" s="10">
        <f t="shared" si="42"/>
        <v>2.0574057612270481E-2</v>
      </c>
      <c r="E331" s="10">
        <f t="shared" si="43"/>
        <v>9.1897801583375495E-3</v>
      </c>
      <c r="F331" s="10">
        <f t="shared" si="38"/>
        <v>0.27558104939425626</v>
      </c>
      <c r="G331" s="66">
        <f t="shared" si="44"/>
        <v>4</v>
      </c>
      <c r="H331" s="10"/>
      <c r="I331" s="10">
        <f t="shared" si="40"/>
        <v>2.2928391154476594E-2</v>
      </c>
    </row>
    <row r="332" spans="1:9">
      <c r="A332" s="19">
        <f t="shared" si="41"/>
        <v>26.499999999999893</v>
      </c>
      <c r="B332" s="10">
        <f t="shared" si="36"/>
        <v>0.78226601724565914</v>
      </c>
      <c r="C332" s="10">
        <f t="shared" si="37"/>
        <v>0.89112882634892865</v>
      </c>
      <c r="D332" s="10">
        <f t="shared" si="42"/>
        <v>2.0697821632635342E-2</v>
      </c>
      <c r="E332" s="10">
        <f t="shared" si="43"/>
        <v>9.2411750968923439E-3</v>
      </c>
      <c r="F332" s="10">
        <f t="shared" si="38"/>
        <v>0.27446285375404889</v>
      </c>
      <c r="G332" s="66">
        <f t="shared" si="44"/>
        <v>2</v>
      </c>
      <c r="H332" s="10"/>
      <c r="I332" s="10">
        <f t="shared" si="40"/>
        <v>1.1456336724555384E-2</v>
      </c>
    </row>
    <row r="333" spans="1:9">
      <c r="A333" s="19">
        <f t="shared" si="41"/>
        <v>26.583333333333226</v>
      </c>
      <c r="B333" s="10">
        <f t="shared" si="36"/>
        <v>0.7809138659951016</v>
      </c>
      <c r="C333" s="10">
        <f t="shared" si="37"/>
        <v>0.89044091824213922</v>
      </c>
      <c r="D333" s="10">
        <f t="shared" si="42"/>
        <v>2.0822333796481431E-2</v>
      </c>
      <c r="E333" s="10">
        <f t="shared" si="43"/>
        <v>9.2928606299019032E-3</v>
      </c>
      <c r="F333" s="10">
        <f t="shared" si="38"/>
        <v>0.27334919529625135</v>
      </c>
      <c r="G333" s="66">
        <f t="shared" si="44"/>
        <v>4</v>
      </c>
      <c r="H333" s="10"/>
      <c r="I333" s="10">
        <f t="shared" si="40"/>
        <v>2.289663734621639E-2</v>
      </c>
    </row>
    <row r="334" spans="1:9">
      <c r="A334" s="19">
        <f t="shared" si="41"/>
        <v>26.666666666666558</v>
      </c>
      <c r="B334" s="10">
        <f t="shared" ref="B334:B397" si="45">(B$9^A334)*B$10^((B$6^28)*((B$6^A334)-1))</f>
        <v>0.77955593879721119</v>
      </c>
      <c r="C334" s="10">
        <f t="shared" ref="C334:C397" si="46">(B$9^A334)*B$11^((B$7^24)*((B$7^A334)-1))</f>
        <v>0.8897496980691183</v>
      </c>
      <c r="D334" s="10">
        <f t="shared" si="42"/>
        <v>2.0947598626275498E-2</v>
      </c>
      <c r="E334" s="10">
        <f t="shared" si="43"/>
        <v>9.3448384004295205E-3</v>
      </c>
      <c r="F334" s="10">
        <f t="shared" si="38"/>
        <v>0.27224005561082554</v>
      </c>
      <c r="G334" s="66">
        <f t="shared" si="44"/>
        <v>2</v>
      </c>
      <c r="H334" s="10"/>
      <c r="I334" s="10">
        <f t="shared" si="40"/>
        <v>1.1440140756155837E-2</v>
      </c>
    </row>
    <row r="335" spans="1:9">
      <c r="A335" s="19">
        <f t="shared" si="41"/>
        <v>26.74999999999989</v>
      </c>
      <c r="B335" s="10">
        <f t="shared" si="45"/>
        <v>0.77819222497858276</v>
      </c>
      <c r="C335" s="10">
        <f t="shared" si="46"/>
        <v>0.88905515265732349</v>
      </c>
      <c r="D335" s="10">
        <f t="shared" si="42"/>
        <v>2.1073620671822262E-2</v>
      </c>
      <c r="E335" s="10">
        <f t="shared" si="43"/>
        <v>9.3971100608286132E-3</v>
      </c>
      <c r="F335" s="10">
        <f t="shared" ref="F335:F398" si="47">(1+B$8)^-A335</f>
        <v>0.27113541636243393</v>
      </c>
      <c r="G335" s="66">
        <f t="shared" si="44"/>
        <v>4</v>
      </c>
      <c r="H335" s="10"/>
      <c r="I335" s="10">
        <f t="shared" ref="I335:I398" si="48">B335*C335*(D335+E335)*F335*G335</f>
        <v>2.2863604621402644E-2</v>
      </c>
    </row>
    <row r="336" spans="1:9">
      <c r="A336" s="19">
        <f t="shared" ref="A336:A399" si="49">A335+1/12</f>
        <v>26.833333333333222</v>
      </c>
      <c r="B336" s="10">
        <f t="shared" si="45"/>
        <v>0.77682271402721614</v>
      </c>
      <c r="C336" s="10">
        <f t="shared" si="46"/>
        <v>0.88835726881585764</v>
      </c>
      <c r="D336" s="10">
        <f t="shared" si="42"/>
        <v>2.1200404510429642E-2</v>
      </c>
      <c r="E336" s="10">
        <f t="shared" si="43"/>
        <v>9.4496772727952483E-3</v>
      </c>
      <c r="F336" s="10">
        <f t="shared" si="47"/>
        <v>0.27003525929013644</v>
      </c>
      <c r="G336" s="66">
        <f t="shared" si="44"/>
        <v>2</v>
      </c>
      <c r="H336" s="10"/>
      <c r="I336" s="10">
        <f t="shared" si="48"/>
        <v>1.1423302677593689E-2</v>
      </c>
    </row>
    <row r="337" spans="1:9">
      <c r="A337" s="19">
        <f t="shared" si="49"/>
        <v>26.916666666666554</v>
      </c>
      <c r="B337" s="10">
        <f t="shared" si="45"/>
        <v>0.77544739559516362</v>
      </c>
      <c r="C337" s="10">
        <f t="shared" si="46"/>
        <v>0.88765603333589382</v>
      </c>
      <c r="D337" s="10">
        <f t="shared" ref="D337:D400" si="50">B$3+B$4*(B$6^(28+A337))</f>
        <v>2.1327954747074992E-2</v>
      </c>
      <c r="E337" s="10">
        <f t="shared" ref="E337:E400" si="51">B$3+B$5*(B$7^(24+A337))</f>
        <v>9.5025417074209532E-3</v>
      </c>
      <c r="F337" s="10">
        <f t="shared" si="47"/>
        <v>0.26893956620708809</v>
      </c>
      <c r="G337" s="66">
        <f t="shared" ref="G337:G400" si="52">IF(G336=4,2,4)</f>
        <v>4</v>
      </c>
      <c r="H337" s="10"/>
      <c r="I337" s="10">
        <f t="shared" si="48"/>
        <v>2.2829282403262163E-2</v>
      </c>
    </row>
    <row r="338" spans="1:9">
      <c r="A338" s="19">
        <f t="shared" si="49"/>
        <v>26.999999999999886</v>
      </c>
      <c r="B338" s="10">
        <f t="shared" si="45"/>
        <v>0.7740662595011959</v>
      </c>
      <c r="C338" s="10">
        <f t="shared" si="46"/>
        <v>0.88695143299110712</v>
      </c>
      <c r="D338" s="10">
        <f t="shared" si="50"/>
        <v>2.1456276014572381E-2</v>
      </c>
      <c r="E338" s="10">
        <f t="shared" si="51"/>
        <v>9.5557050452458499E-3</v>
      </c>
      <c r="F338" s="10">
        <f t="shared" si="47"/>
        <v>0.26784831900023892</v>
      </c>
      <c r="G338" s="66">
        <f t="shared" si="52"/>
        <v>2</v>
      </c>
      <c r="H338" s="10"/>
      <c r="I338" s="10">
        <f t="shared" si="48"/>
        <v>1.140581723166486E-2</v>
      </c>
    </row>
    <row r="339" spans="1:9">
      <c r="A339" s="19">
        <f t="shared" si="49"/>
        <v>27.083333333333218</v>
      </c>
      <c r="B339" s="10">
        <f t="shared" si="45"/>
        <v>0.77267929573348959</v>
      </c>
      <c r="C339" s="10">
        <f t="shared" si="46"/>
        <v>0.8862434545381136</v>
      </c>
      <c r="D339" s="10">
        <f t="shared" si="50"/>
        <v>2.1585372973740882E-2</v>
      </c>
      <c r="E339" s="10">
        <f t="shared" si="51"/>
        <v>9.609168976312088E-3</v>
      </c>
      <c r="F339" s="10">
        <f t="shared" si="47"/>
        <v>0.26676149963003454</v>
      </c>
      <c r="G339" s="66">
        <f t="shared" si="52"/>
        <v>4</v>
      </c>
      <c r="H339" s="10"/>
      <c r="I339" s="10">
        <f t="shared" si="48"/>
        <v>2.279366024140932E-2</v>
      </c>
    </row>
    <row r="340" spans="1:9">
      <c r="A340" s="19">
        <f t="shared" si="49"/>
        <v>27.166666666666551</v>
      </c>
      <c r="B340" s="10">
        <f t="shared" si="45"/>
        <v>0.77128649445233455</v>
      </c>
      <c r="C340" s="10">
        <f t="shared" si="46"/>
        <v>0.88553208471691647</v>
      </c>
      <c r="D340" s="10">
        <f t="shared" si="50"/>
        <v>2.1715250313573863E-2</v>
      </c>
      <c r="E340" s="10">
        <f t="shared" si="51"/>
        <v>9.6629352002175622E-3</v>
      </c>
      <c r="F340" s="10">
        <f t="shared" si="47"/>
        <v>0.26567909013011742</v>
      </c>
      <c r="G340" s="66">
        <f t="shared" si="52"/>
        <v>2</v>
      </c>
      <c r="H340" s="10"/>
      <c r="I340" s="10">
        <f t="shared" si="48"/>
        <v>1.1387679226024426E-2</v>
      </c>
    </row>
    <row r="341" spans="1:9">
      <c r="A341" s="19">
        <f t="shared" si="49"/>
        <v>27.249999999999883</v>
      </c>
      <c r="B341" s="10">
        <f t="shared" si="45"/>
        <v>0.76988784599286242</v>
      </c>
      <c r="C341" s="10">
        <f t="shared" si="46"/>
        <v>0.88481731025135779</v>
      </c>
      <c r="D341" s="10">
        <f t="shared" si="50"/>
        <v>2.1845912751409215E-2</v>
      </c>
      <c r="E341" s="10">
        <f t="shared" si="51"/>
        <v>9.7170054261699283E-3</v>
      </c>
      <c r="F341" s="10">
        <f t="shared" si="47"/>
        <v>0.26460107260703031</v>
      </c>
      <c r="G341" s="66">
        <f t="shared" si="52"/>
        <v>4</v>
      </c>
      <c r="H341" s="10"/>
      <c r="I341" s="10">
        <f t="shared" si="48"/>
        <v>2.2756727818538724E-2</v>
      </c>
    </row>
    <row r="342" spans="1:9">
      <c r="A342" s="19">
        <f t="shared" si="49"/>
        <v>27.333333333333215</v>
      </c>
      <c r="B342" s="10">
        <f t="shared" si="45"/>
        <v>0.76848334086779424</v>
      </c>
      <c r="C342" s="10">
        <f t="shared" si="46"/>
        <v>0.88409911784957962</v>
      </c>
      <c r="D342" s="10">
        <f t="shared" si="50"/>
        <v>2.1977365033100778E-2</v>
      </c>
      <c r="E342" s="10">
        <f t="shared" si="51"/>
        <v>9.7713813730409584E-3</v>
      </c>
      <c r="F342" s="10">
        <f t="shared" si="47"/>
        <v>0.26352742923992023</v>
      </c>
      <c r="G342" s="66">
        <f t="shared" si="52"/>
        <v>2</v>
      </c>
      <c r="H342" s="10"/>
      <c r="I342" s="10">
        <f t="shared" si="48"/>
        <v>1.1368883536563979E-2</v>
      </c>
    </row>
    <row r="343" spans="1:9">
      <c r="A343" s="19">
        <f t="shared" si="49"/>
        <v>27.416666666666547</v>
      </c>
      <c r="B343" s="10">
        <f t="shared" si="45"/>
        <v>0.76707296977020845</v>
      </c>
      <c r="C343" s="10">
        <f t="shared" si="46"/>
        <v>0.88337749420448886</v>
      </c>
      <c r="D343" s="10">
        <f t="shared" si="50"/>
        <v>2.2109611933190748E-2</v>
      </c>
      <c r="E343" s="10">
        <f t="shared" si="51"/>
        <v>9.8260647694211698E-3</v>
      </c>
      <c r="F343" s="10">
        <f t="shared" si="47"/>
        <v>0.26245814228024417</v>
      </c>
      <c r="G343" s="66">
        <f t="shared" si="52"/>
        <v>4</v>
      </c>
      <c r="H343" s="10"/>
      <c r="I343" s="10">
        <f t="shared" si="48"/>
        <v>2.2718474957241962E-2</v>
      </c>
    </row>
    <row r="344" spans="1:9">
      <c r="A344" s="19">
        <f t="shared" si="49"/>
        <v>27.499999999999879</v>
      </c>
      <c r="B344" s="10">
        <f t="shared" si="45"/>
        <v>0.76565672357633074</v>
      </c>
      <c r="C344" s="10">
        <f t="shared" si="46"/>
        <v>0.88265242599423266</v>
      </c>
      <c r="D344" s="10">
        <f t="shared" si="50"/>
        <v>2.2242658255082974E-2</v>
      </c>
      <c r="E344" s="10">
        <f t="shared" si="51"/>
        <v>9.8810573536747999E-3</v>
      </c>
      <c r="F344" s="10">
        <f t="shared" si="47"/>
        <v>0.26139319405147526</v>
      </c>
      <c r="G344" s="66">
        <f t="shared" si="52"/>
        <v>2</v>
      </c>
      <c r="H344" s="10"/>
      <c r="I344" s="10">
        <f t="shared" si="48"/>
        <v>1.1349425110851191E-2</v>
      </c>
    </row>
    <row r="345" spans="1:9">
      <c r="A345" s="19">
        <f t="shared" si="49"/>
        <v>27.583333333333211</v>
      </c>
      <c r="B345" s="10">
        <f t="shared" si="45"/>
        <v>0.76423459334834087</v>
      </c>
      <c r="C345" s="10">
        <f t="shared" si="46"/>
        <v>0.8819238998826785</v>
      </c>
      <c r="D345" s="10">
        <f t="shared" si="50"/>
        <v>2.2376508831217518E-2</v>
      </c>
      <c r="E345" s="10">
        <f t="shared" si="51"/>
        <v>9.9363608739950291E-3</v>
      </c>
      <c r="F345" s="10">
        <f t="shared" si="47"/>
        <v>0.26033256694881091</v>
      </c>
      <c r="G345" s="66">
        <f t="shared" si="52"/>
        <v>4</v>
      </c>
      <c r="H345" s="10"/>
      <c r="I345" s="10">
        <f t="shared" si="48"/>
        <v>2.2678891626948749E-2</v>
      </c>
    </row>
    <row r="346" spans="1:9">
      <c r="A346" s="19">
        <f t="shared" si="49"/>
        <v>27.666666666666544</v>
      </c>
      <c r="B346" s="10">
        <f t="shared" si="45"/>
        <v>0.76280657033720334</v>
      </c>
      <c r="C346" s="10">
        <f t="shared" si="46"/>
        <v>0.88119190251990309</v>
      </c>
      <c r="D346" s="10">
        <f t="shared" si="50"/>
        <v>2.2511168523246129E-2</v>
      </c>
      <c r="E346" s="10">
        <f t="shared" si="51"/>
        <v>9.9919770884595773E-3</v>
      </c>
      <c r="F346" s="10">
        <f t="shared" si="47"/>
        <v>0.25927624343888156</v>
      </c>
      <c r="G346" s="66">
        <f t="shared" si="52"/>
        <v>2</v>
      </c>
      <c r="H346" s="10"/>
      <c r="I346" s="10">
        <f t="shared" si="48"/>
        <v>1.1329298971631116E-2</v>
      </c>
    </row>
    <row r="347" spans="1:9">
      <c r="A347" s="19">
        <f t="shared" si="49"/>
        <v>27.749999999999876</v>
      </c>
      <c r="B347" s="10">
        <f t="shared" si="45"/>
        <v>0.7613726459855148</v>
      </c>
      <c r="C347" s="10">
        <f t="shared" si="46"/>
        <v>0.88045642054268725</v>
      </c>
      <c r="D347" s="10">
        <f t="shared" si="50"/>
        <v>2.2646642222208913E-2</v>
      </c>
      <c r="E347" s="10">
        <f t="shared" si="51"/>
        <v>1.0047907765086607E-2</v>
      </c>
      <c r="F347" s="10">
        <f t="shared" si="47"/>
        <v>0.25822420605946106</v>
      </c>
      <c r="G347" s="66">
        <f t="shared" si="52"/>
        <v>4</v>
      </c>
      <c r="H347" s="10"/>
      <c r="I347" s="10">
        <f t="shared" si="48"/>
        <v>2.2637967950991177E-2</v>
      </c>
    </row>
    <row r="348" spans="1:9">
      <c r="A348" s="19">
        <f t="shared" si="49"/>
        <v>27.833333333333208</v>
      </c>
      <c r="B348" s="10">
        <f t="shared" si="45"/>
        <v>0.75993281193037254</v>
      </c>
      <c r="C348" s="10">
        <f t="shared" si="46"/>
        <v>0.87971744057501944</v>
      </c>
      <c r="D348" s="10">
        <f t="shared" si="50"/>
        <v>2.2782934848711845E-2</v>
      </c>
      <c r="E348" s="10">
        <f t="shared" si="51"/>
        <v>1.0104154681890907E-2</v>
      </c>
      <c r="F348" s="10">
        <f t="shared" si="47"/>
        <v>0.25717643741917767</v>
      </c>
      <c r="G348" s="66">
        <f t="shared" si="52"/>
        <v>2</v>
      </c>
      <c r="H348" s="10"/>
      <c r="I348" s="10">
        <f t="shared" si="48"/>
        <v>1.1308500220389225E-2</v>
      </c>
    </row>
    <row r="349" spans="1:9">
      <c r="A349" s="19">
        <f t="shared" si="49"/>
        <v>27.91666666666654</v>
      </c>
      <c r="B349" s="10">
        <f t="shared" si="45"/>
        <v>0.7584870600062642</v>
      </c>
      <c r="C349" s="10">
        <f t="shared" si="46"/>
        <v>0.87897494922860608</v>
      </c>
      <c r="D349" s="10">
        <f t="shared" si="50"/>
        <v>2.2920051353105594E-2</v>
      </c>
      <c r="E349" s="10">
        <f t="shared" si="51"/>
        <v>1.016071962694041E-2</v>
      </c>
      <c r="F349" s="10">
        <f t="shared" si="47"/>
        <v>0.25613292019722689</v>
      </c>
      <c r="G349" s="66">
        <f t="shared" si="52"/>
        <v>4</v>
      </c>
      <c r="H349" s="10"/>
      <c r="I349" s="10">
        <f t="shared" si="48"/>
        <v>2.2595694213790939E-2</v>
      </c>
    </row>
    <row r="350" spans="1:9">
      <c r="A350" s="19">
        <f t="shared" si="49"/>
        <v>27.999999999999872</v>
      </c>
      <c r="B350" s="10">
        <f t="shared" si="45"/>
        <v>0.7570353822479744</v>
      </c>
      <c r="C350" s="10">
        <f t="shared" si="46"/>
        <v>0.87822893310338912</v>
      </c>
      <c r="D350" s="10">
        <f t="shared" si="50"/>
        <v>2.3057996715665281E-2</v>
      </c>
      <c r="E350" s="10">
        <f t="shared" si="51"/>
        <v>1.0217604398413051E-2</v>
      </c>
      <c r="F350" s="10">
        <f t="shared" si="47"/>
        <v>0.25509363714308492</v>
      </c>
      <c r="G350" s="66">
        <f t="shared" si="52"/>
        <v>2</v>
      </c>
      <c r="H350" s="10"/>
      <c r="I350" s="10">
        <f t="shared" si="48"/>
        <v>1.1287024040975348E-2</v>
      </c>
    </row>
    <row r="351" spans="1:9">
      <c r="A351" s="19">
        <f t="shared" si="49"/>
        <v>28.083333333333204</v>
      </c>
      <c r="B351" s="10">
        <f t="shared" si="45"/>
        <v>0.75557777089351341</v>
      </c>
      <c r="C351" s="10">
        <f t="shared" si="46"/>
        <v>0.87747937878807192</v>
      </c>
      <c r="D351" s="10">
        <f t="shared" si="50"/>
        <v>2.3196775946771435E-2</v>
      </c>
      <c r="E351" s="10">
        <f t="shared" si="51"/>
        <v>1.0274810804653922E-2</v>
      </c>
      <c r="F351" s="10">
        <f t="shared" si="47"/>
        <v>0.25405857107622354</v>
      </c>
      <c r="G351" s="66">
        <f t="shared" si="52"/>
        <v>4</v>
      </c>
      <c r="H351" s="10"/>
      <c r="I351" s="10">
        <f t="shared" si="48"/>
        <v>2.255206086816813E-2</v>
      </c>
    </row>
    <row r="352" spans="1:9">
      <c r="A352" s="19">
        <f t="shared" si="49"/>
        <v>28.166666666666536</v>
      </c>
      <c r="B352" s="10">
        <f t="shared" si="45"/>
        <v>0.75411421838706383</v>
      </c>
      <c r="C352" s="10">
        <f t="shared" si="46"/>
        <v>0.87672627286065241</v>
      </c>
      <c r="D352" s="10">
        <f t="shared" si="50"/>
        <v>2.3336394087091882E-2</v>
      </c>
      <c r="E352" s="10">
        <f t="shared" si="51"/>
        <v>1.0332340664232779E-2</v>
      </c>
      <c r="F352" s="10">
        <f t="shared" si="47"/>
        <v>0.25302770488582627</v>
      </c>
      <c r="G352" s="66">
        <f t="shared" si="52"/>
        <v>2</v>
      </c>
      <c r="H352" s="10"/>
      <c r="I352" s="10">
        <f t="shared" si="48"/>
        <v>1.1264865703288477E-2</v>
      </c>
    </row>
    <row r="353" spans="1:9">
      <c r="A353" s="19">
        <f t="shared" si="49"/>
        <v>28.249999999999869</v>
      </c>
      <c r="B353" s="10">
        <f t="shared" si="45"/>
        <v>0.75264471738194882</v>
      </c>
      <c r="C353" s="10">
        <f t="shared" si="46"/>
        <v>0.87596960188896356</v>
      </c>
      <c r="D353" s="10">
        <f t="shared" si="50"/>
        <v>2.3476856207764886E-2</v>
      </c>
      <c r="E353" s="10">
        <f t="shared" si="51"/>
        <v>1.0390195806001817E-2</v>
      </c>
      <c r="F353" s="10">
        <f t="shared" si="47"/>
        <v>0.25200102153050519</v>
      </c>
      <c r="G353" s="66">
        <f t="shared" si="52"/>
        <v>4</v>
      </c>
      <c r="H353" s="10"/>
      <c r="I353" s="10">
        <f t="shared" si="48"/>
        <v>2.2507058542771043E-2</v>
      </c>
    </row>
    <row r="354" spans="1:9">
      <c r="A354" s="19">
        <f t="shared" si="49"/>
        <v>28.333333333333201</v>
      </c>
      <c r="B354" s="10">
        <f t="shared" si="45"/>
        <v>0.75116926074361579</v>
      </c>
      <c r="C354" s="10">
        <f t="shared" si="46"/>
        <v>0.87520935243122211</v>
      </c>
      <c r="D354" s="10">
        <f t="shared" si="50"/>
        <v>2.3618167410583316E-2</v>
      </c>
      <c r="E354" s="10">
        <f t="shared" si="51"/>
        <v>1.0448378069153811E-2</v>
      </c>
      <c r="F354" s="10">
        <f t="shared" si="47"/>
        <v>0.25097850403801947</v>
      </c>
      <c r="G354" s="66">
        <f t="shared" si="52"/>
        <v>2</v>
      </c>
      <c r="H354" s="10"/>
      <c r="I354" s="10">
        <f t="shared" si="48"/>
        <v>1.124202056702155E-2</v>
      </c>
    </row>
    <row r="355" spans="1:9">
      <c r="A355" s="19">
        <f t="shared" si="49"/>
        <v>28.416666666666533</v>
      </c>
      <c r="B355" s="10">
        <f t="shared" si="45"/>
        <v>0.74968784155264445</v>
      </c>
      <c r="C355" s="10">
        <f t="shared" si="46"/>
        <v>0.87444551103658552</v>
      </c>
      <c r="D355" s="10">
        <f t="shared" si="50"/>
        <v>2.3760332828180013E-2</v>
      </c>
      <c r="E355" s="10">
        <f t="shared" si="51"/>
        <v>1.050688930328064E-2</v>
      </c>
      <c r="F355" s="10">
        <f t="shared" si="47"/>
        <v>0.24996013550499466</v>
      </c>
      <c r="G355" s="66">
        <f t="shared" si="52"/>
        <v>4</v>
      </c>
      <c r="H355" s="10"/>
      <c r="I355" s="10">
        <f t="shared" si="48"/>
        <v>2.2460678049625316E-2</v>
      </c>
    </row>
    <row r="356" spans="1:9">
      <c r="A356" s="19">
        <f t="shared" si="49"/>
        <v>28.499999999999865</v>
      </c>
      <c r="B356" s="10">
        <f t="shared" si="45"/>
        <v>0.74820045310776861</v>
      </c>
      <c r="C356" s="10">
        <f t="shared" si="46"/>
        <v>0.87367806424571526</v>
      </c>
      <c r="D356" s="10">
        <f t="shared" si="50"/>
        <v>2.3903357624214156E-2</v>
      </c>
      <c r="E356" s="10">
        <f t="shared" si="51"/>
        <v>1.0565731368432023E-2</v>
      </c>
      <c r="F356" s="10">
        <f t="shared" si="47"/>
        <v>0.2489458990966433</v>
      </c>
      <c r="G356" s="66">
        <f t="shared" si="52"/>
        <v>2</v>
      </c>
      <c r="H356" s="10"/>
      <c r="I356" s="10">
        <f t="shared" si="48"/>
        <v>1.1218484085465783E-2</v>
      </c>
    </row>
    <row r="357" spans="1:9">
      <c r="A357" s="19">
        <f t="shared" si="49"/>
        <v>28.583333333333197</v>
      </c>
      <c r="B357" s="10">
        <f t="shared" si="45"/>
        <v>0.7467070889289219</v>
      </c>
      <c r="C357" s="10">
        <f t="shared" si="46"/>
        <v>0.87290699859135046</v>
      </c>
      <c r="D357" s="10">
        <f t="shared" si="50"/>
        <v>2.4047246993558789E-2</v>
      </c>
      <c r="E357" s="10">
        <f t="shared" si="51"/>
        <v>1.0624906135174667E-2</v>
      </c>
      <c r="F357" s="10">
        <f t="shared" si="47"/>
        <v>0.24793577804648675</v>
      </c>
      <c r="G357" s="66">
        <f t="shared" si="52"/>
        <v>4</v>
      </c>
      <c r="H357" s="10"/>
      <c r="I357" s="10">
        <f t="shared" si="48"/>
        <v>2.2412910391801696E-2</v>
      </c>
    </row>
    <row r="358" spans="1:9">
      <c r="A358" s="19">
        <f t="shared" si="49"/>
        <v>28.666666666666529</v>
      </c>
      <c r="B358" s="10">
        <f t="shared" si="45"/>
        <v>0.74520774276029866</v>
      </c>
      <c r="C358" s="10">
        <f t="shared" si="46"/>
        <v>0.87213230059888702</v>
      </c>
      <c r="D358" s="10">
        <f t="shared" si="50"/>
        <v>2.4192006162489569E-2</v>
      </c>
      <c r="E358" s="10">
        <f t="shared" si="51"/>
        <v>1.0684415484651736E-2</v>
      </c>
      <c r="F358" s="10">
        <f t="shared" si="47"/>
        <v>0.24692975565607789</v>
      </c>
      <c r="G358" s="66">
        <f t="shared" si="52"/>
        <v>2</v>
      </c>
      <c r="H358" s="10"/>
      <c r="I358" s="10">
        <f t="shared" si="48"/>
        <v>1.1194251809373737E-2</v>
      </c>
    </row>
    <row r="359" spans="1:9">
      <c r="A359" s="19">
        <f t="shared" si="49"/>
        <v>28.749999999999861</v>
      </c>
      <c r="B359" s="10">
        <f t="shared" si="45"/>
        <v>0.74370240857343495</v>
      </c>
      <c r="C359" s="10">
        <f t="shared" si="46"/>
        <v>0.87135395678696748</v>
      </c>
      <c r="D359" s="10">
        <f t="shared" si="50"/>
        <v>2.4337640388874537E-2</v>
      </c>
      <c r="E359" s="10">
        <f t="shared" si="51"/>
        <v>1.0744261308642658E-2</v>
      </c>
      <c r="F359" s="10">
        <f t="shared" si="47"/>
        <v>0.24592781529472502</v>
      </c>
      <c r="G359" s="66">
        <f t="shared" si="52"/>
        <v>4</v>
      </c>
      <c r="H359" s="10"/>
      <c r="I359" s="10">
        <f t="shared" si="48"/>
        <v>2.2363746771200288E-2</v>
      </c>
    </row>
    <row r="360" spans="1:9">
      <c r="A360" s="19">
        <f t="shared" si="49"/>
        <v>28.833333333333194</v>
      </c>
      <c r="B360" s="10">
        <f t="shared" si="45"/>
        <v>0.74219108057030947</v>
      </c>
      <c r="C360" s="10">
        <f t="shared" si="46"/>
        <v>0.87057195366807605</v>
      </c>
      <c r="D360" s="10">
        <f t="shared" si="50"/>
        <v>2.4484154962365192E-2</v>
      </c>
      <c r="E360" s="10">
        <f t="shared" si="51"/>
        <v>1.0804445509623256E-2</v>
      </c>
      <c r="F360" s="10">
        <f t="shared" si="47"/>
        <v>0.24492994039921698</v>
      </c>
      <c r="G360" s="66">
        <f t="shared" si="52"/>
        <v>2</v>
      </c>
      <c r="H360" s="10"/>
      <c r="I360" s="10">
        <f t="shared" si="48"/>
        <v>1.1169319390880414E-2</v>
      </c>
    </row>
    <row r="361" spans="1:9">
      <c r="A361" s="19">
        <f t="shared" si="49"/>
        <v>28.916666666666526</v>
      </c>
      <c r="B361" s="10">
        <f t="shared" si="45"/>
        <v>0.74067375318645912</v>
      </c>
      <c r="C361" s="10">
        <f t="shared" si="46"/>
        <v>0.86978627774914496</v>
      </c>
      <c r="D361" s="10">
        <f t="shared" si="50"/>
        <v>2.4631555204588471E-2</v>
      </c>
      <c r="E361" s="10">
        <f t="shared" si="51"/>
        <v>1.0864970000826224E-2</v>
      </c>
      <c r="F361" s="10">
        <f t="shared" si="47"/>
        <v>0.2439361144735496</v>
      </c>
      <c r="G361" s="66">
        <f t="shared" si="52"/>
        <v>4</v>
      </c>
      <c r="H361" s="10"/>
      <c r="I361" s="10">
        <f t="shared" si="48"/>
        <v>2.2313178596450173E-2</v>
      </c>
    </row>
    <row r="362" spans="1:9">
      <c r="A362" s="19">
        <f t="shared" si="49"/>
        <v>28.999999999999858</v>
      </c>
      <c r="B362" s="10">
        <f t="shared" si="45"/>
        <v>0.73915042109411777</v>
      </c>
      <c r="C362" s="10">
        <f t="shared" si="46"/>
        <v>0.86899691553216651</v>
      </c>
      <c r="D362" s="10">
        <f t="shared" si="50"/>
        <v>2.4779846469340155E-2</v>
      </c>
      <c r="E362" s="10">
        <f t="shared" si="51"/>
        <v>1.092583670630195E-2</v>
      </c>
      <c r="F362" s="10">
        <f t="shared" si="47"/>
        <v>0.24294632108865244</v>
      </c>
      <c r="G362" s="66">
        <f t="shared" si="52"/>
        <v>2</v>
      </c>
      <c r="H362" s="10"/>
      <c r="I362" s="10">
        <f t="shared" si="48"/>
        <v>1.1143682587481484E-2</v>
      </c>
    </row>
    <row r="363" spans="1:9">
      <c r="A363" s="19">
        <f t="shared" si="49"/>
        <v>29.08333333333319</v>
      </c>
      <c r="B363" s="10">
        <f t="shared" si="45"/>
        <v>0.73762107920536868</v>
      </c>
      <c r="C363" s="10">
        <f t="shared" si="46"/>
        <v>0.86820385351481555</v>
      </c>
      <c r="D363" s="10">
        <f t="shared" si="50"/>
        <v>2.4929034142779249E-2</v>
      </c>
      <c r="E363" s="10">
        <f t="shared" si="51"/>
        <v>1.0987047560979686E-2</v>
      </c>
      <c r="F363" s="10">
        <f t="shared" si="47"/>
        <v>0.24196054388211785</v>
      </c>
      <c r="G363" s="66">
        <f t="shared" si="52"/>
        <v>4</v>
      </c>
      <c r="H363" s="10"/>
      <c r="I363" s="10">
        <f t="shared" si="48"/>
        <v>2.2261197490922095E-2</v>
      </c>
    </row>
    <row r="364" spans="1:9">
      <c r="A364" s="19">
        <f t="shared" si="49"/>
        <v>29.166666666666522</v>
      </c>
      <c r="B364" s="10">
        <f t="shared" si="45"/>
        <v>0.7360857226753178</v>
      </c>
      <c r="C364" s="10">
        <f t="shared" si="46"/>
        <v>0.86740707819107887</v>
      </c>
      <c r="D364" s="10">
        <f t="shared" si="50"/>
        <v>2.5079123643623729E-2</v>
      </c>
      <c r="E364" s="10">
        <f t="shared" si="51"/>
        <v>1.1048604510729065E-2</v>
      </c>
      <c r="F364" s="10">
        <f t="shared" si="47"/>
        <v>0.24097876655792999</v>
      </c>
      <c r="G364" s="66">
        <f t="shared" si="52"/>
        <v>2</v>
      </c>
      <c r="H364" s="10"/>
      <c r="I364" s="10">
        <f t="shared" si="48"/>
        <v>1.1117337266067605E-2</v>
      </c>
    </row>
    <row r="365" spans="1:9">
      <c r="A365" s="19">
        <f t="shared" si="49"/>
        <v>29.249999999999854</v>
      </c>
      <c r="B365" s="10">
        <f t="shared" si="45"/>
        <v>0.73454434690528358</v>
      </c>
      <c r="C365" s="10">
        <f t="shared" si="46"/>
        <v>0.86660657605189428</v>
      </c>
      <c r="D365" s="10">
        <f t="shared" si="50"/>
        <v>2.523012042334721E-2</v>
      </c>
      <c r="E365" s="10">
        <f t="shared" si="51"/>
        <v>1.1110509512421929E-2</v>
      </c>
      <c r="F365" s="10">
        <f t="shared" si="47"/>
        <v>0.2400009728861956</v>
      </c>
      <c r="G365" s="66">
        <f t="shared" si="52"/>
        <v>4</v>
      </c>
      <c r="H365" s="10"/>
      <c r="I365" s="10">
        <f t="shared" si="48"/>
        <v>2.2207795300852769E-2</v>
      </c>
    </row>
    <row r="366" spans="1:9">
      <c r="A366" s="19">
        <f t="shared" si="49"/>
        <v>29.333333333333186</v>
      </c>
      <c r="B366" s="10">
        <f t="shared" si="45"/>
        <v>0.73299694754600431</v>
      </c>
      <c r="C366" s="10">
        <f t="shared" si="46"/>
        <v>0.86580233358579695</v>
      </c>
      <c r="D366" s="10">
        <f t="shared" si="50"/>
        <v>2.5382029966377045E-2</v>
      </c>
      <c r="E366" s="10">
        <f t="shared" si="51"/>
        <v>1.1172764533994569E-2</v>
      </c>
      <c r="F366" s="10">
        <f t="shared" si="47"/>
        <v>0.23902714670287581</v>
      </c>
      <c r="G366" s="66">
        <f t="shared" si="52"/>
        <v>2</v>
      </c>
      <c r="H366" s="10"/>
      <c r="I366" s="10">
        <f t="shared" si="48"/>
        <v>1.1090279407013959E-2</v>
      </c>
    </row>
    <row r="367" spans="1:9">
      <c r="A367" s="19">
        <f t="shared" si="49"/>
        <v>29.416666666666519</v>
      </c>
      <c r="B367" s="10">
        <f t="shared" si="45"/>
        <v>0.73144352050086325</v>
      </c>
      <c r="C367" s="10">
        <f t="shared" si="46"/>
        <v>0.8649943372795762</v>
      </c>
      <c r="D367" s="10">
        <f t="shared" si="50"/>
        <v>2.5534857790293491E-2</v>
      </c>
      <c r="E367" s="10">
        <f t="shared" si="51"/>
        <v>1.1235371554510274E-2</v>
      </c>
      <c r="F367" s="10">
        <f t="shared" si="47"/>
        <v>0.23805727190951886</v>
      </c>
      <c r="G367" s="66">
        <f t="shared" si="52"/>
        <v>4</v>
      </c>
      <c r="H367" s="10"/>
      <c r="I367" s="10">
        <f t="shared" si="48"/>
        <v>2.2152964103577942E-2</v>
      </c>
    </row>
    <row r="368" spans="1:9">
      <c r="A368" s="19">
        <f t="shared" si="49"/>
        <v>29.499999999999851</v>
      </c>
      <c r="B368" s="10">
        <f t="shared" si="45"/>
        <v>0.72988406192913091</v>
      </c>
      <c r="C368" s="10">
        <f t="shared" si="46"/>
        <v>0.86418257361893891</v>
      </c>
      <c r="D368" s="10">
        <f t="shared" si="50"/>
        <v>2.5688609446030193E-2</v>
      </c>
      <c r="E368" s="10">
        <f t="shared" si="51"/>
        <v>1.1298332564222255E-2</v>
      </c>
      <c r="F368" s="10">
        <f t="shared" si="47"/>
        <v>0.2370913324729938</v>
      </c>
      <c r="G368" s="66">
        <f t="shared" si="52"/>
        <v>2</v>
      </c>
      <c r="H368" s="10"/>
      <c r="I368" s="10">
        <f t="shared" si="48"/>
        <v>1.1062505108323678E-2</v>
      </c>
    </row>
    <row r="369" spans="1:9">
      <c r="A369" s="19">
        <f t="shared" si="49"/>
        <v>29.583333333333183</v>
      </c>
      <c r="B369" s="10">
        <f t="shared" si="45"/>
        <v>0.72831856824922381</v>
      </c>
      <c r="C369" s="10">
        <f t="shared" si="46"/>
        <v>0.86336702908918328</v>
      </c>
      <c r="D369" s="10">
        <f t="shared" si="50"/>
        <v>2.5843290518075674E-2</v>
      </c>
      <c r="E369" s="10">
        <f t="shared" si="51"/>
        <v>1.1361649564636886E-2</v>
      </c>
      <c r="F369" s="10">
        <f t="shared" si="47"/>
        <v>0.23612931242522567</v>
      </c>
      <c r="G369" s="66">
        <f t="shared" si="52"/>
        <v>4</v>
      </c>
      <c r="H369" s="10"/>
      <c r="I369" s="10">
        <f t="shared" si="48"/>
        <v>2.2096696215872534E-2</v>
      </c>
    </row>
    <row r="370" spans="1:9">
      <c r="A370" s="19">
        <f t="shared" si="49"/>
        <v>29.666666666666515</v>
      </c>
      <c r="B370" s="10">
        <f t="shared" si="45"/>
        <v>0.72674703614198055</v>
      </c>
      <c r="C370" s="10">
        <f t="shared" si="46"/>
        <v>0.86254769017588162</v>
      </c>
      <c r="D370" s="10">
        <f t="shared" si="50"/>
        <v>2.5998906624676268E-2</v>
      </c>
      <c r="E370" s="10">
        <f t="shared" si="51"/>
        <v>1.1425324568577346E-2</v>
      </c>
      <c r="F370" s="10">
        <f t="shared" si="47"/>
        <v>0.23517119586293145</v>
      </c>
      <c r="G370" s="66">
        <f t="shared" si="52"/>
        <v>2</v>
      </c>
      <c r="H370" s="10"/>
      <c r="I370" s="10">
        <f t="shared" si="48"/>
        <v>1.1034010589824034E-2</v>
      </c>
    </row>
    <row r="371" spans="1:9">
      <c r="A371" s="19">
        <f t="shared" si="49"/>
        <v>29.749999999999847</v>
      </c>
      <c r="B371" s="10">
        <f t="shared" si="45"/>
        <v>0.7251694625539552</v>
      </c>
      <c r="C371" s="10">
        <f t="shared" si="46"/>
        <v>0.86172454336556992</v>
      </c>
      <c r="D371" s="10">
        <f t="shared" si="50"/>
        <v>2.6155463418040103E-2</v>
      </c>
      <c r="E371" s="10">
        <f t="shared" si="51"/>
        <v>1.1489359600247634E-2</v>
      </c>
      <c r="F371" s="10">
        <f t="shared" si="47"/>
        <v>0.23421696694735727</v>
      </c>
      <c r="G371" s="66">
        <f t="shared" si="52"/>
        <v>4</v>
      </c>
      <c r="H371" s="10"/>
      <c r="I371" s="10">
        <f t="shared" si="48"/>
        <v>2.2038984202394574E-2</v>
      </c>
    </row>
    <row r="372" spans="1:9">
      <c r="A372" s="19">
        <f t="shared" si="49"/>
        <v>29.833333333333179</v>
      </c>
      <c r="B372" s="10">
        <f t="shared" si="45"/>
        <v>0.72358584470072396</v>
      </c>
      <c r="C372" s="10">
        <f t="shared" si="46"/>
        <v>0.86089757514644893</v>
      </c>
      <c r="D372" s="10">
        <f t="shared" si="50"/>
        <v>2.6312966584542557E-2</v>
      </c>
      <c r="E372" s="10">
        <f t="shared" si="51"/>
        <v>1.1553756695296874E-2</v>
      </c>
      <c r="F372" s="10">
        <f t="shared" si="47"/>
        <v>0.23326660990401629</v>
      </c>
      <c r="G372" s="66">
        <f t="shared" si="52"/>
        <v>2</v>
      </c>
      <c r="H372" s="10"/>
      <c r="I372" s="10">
        <f t="shared" si="48"/>
        <v>1.1004792197414036E-2</v>
      </c>
    </row>
    <row r="373" spans="1:9">
      <c r="A373" s="19">
        <f t="shared" si="49"/>
        <v>29.916666666666512</v>
      </c>
      <c r="B373" s="10">
        <f t="shared" si="45"/>
        <v>0.72199618007021205</v>
      </c>
      <c r="C373" s="10">
        <f t="shared" si="46"/>
        <v>0.86006677200909298</v>
      </c>
      <c r="D373" s="10">
        <f t="shared" si="50"/>
        <v>2.6471421844932581E-2</v>
      </c>
      <c r="E373" s="10">
        <f t="shared" si="51"/>
        <v>1.1618517900884051E-2</v>
      </c>
      <c r="F373" s="10">
        <f t="shared" si="47"/>
        <v>0.23232010902242831</v>
      </c>
      <c r="G373" s="66">
        <f t="shared" si="52"/>
        <v>4</v>
      </c>
      <c r="H373" s="10"/>
      <c r="I373" s="10">
        <f t="shared" si="48"/>
        <v>2.1979820884230856E-2</v>
      </c>
    </row>
    <row r="374" spans="1:9">
      <c r="A374" s="19">
        <f t="shared" si="49"/>
        <v>29.999999999999844</v>
      </c>
      <c r="B374" s="10">
        <f t="shared" si="45"/>
        <v>0.72040046642603395</v>
      </c>
      <c r="C374" s="10">
        <f t="shared" si="46"/>
        <v>0.85923212044716823</v>
      </c>
      <c r="D374" s="10">
        <f t="shared" si="50"/>
        <v>2.6630834954540644E-2</v>
      </c>
      <c r="E374" s="10">
        <f t="shared" si="51"/>
        <v>1.1683645275743077E-2</v>
      </c>
      <c r="F374" s="10">
        <f t="shared" si="47"/>
        <v>0.23137744865585963</v>
      </c>
      <c r="G374" s="66">
        <f t="shared" si="52"/>
        <v>2</v>
      </c>
      <c r="H374" s="10"/>
      <c r="I374" s="10">
        <f t="shared" si="48"/>
        <v>1.0974846407361958E-2</v>
      </c>
    </row>
    <row r="375" spans="1:9">
      <c r="A375" s="19">
        <f t="shared" si="49"/>
        <v>30.083333333333176</v>
      </c>
      <c r="B375" s="10">
        <f t="shared" si="45"/>
        <v>0.71879870181084859</v>
      </c>
      <c r="C375" s="10">
        <f t="shared" si="46"/>
        <v>0.85839360695815969</v>
      </c>
      <c r="D375" s="10">
        <f t="shared" si="50"/>
        <v>2.679121170348767E-2</v>
      </c>
      <c r="E375" s="10">
        <f t="shared" si="51"/>
        <v>1.1749140890248255E-2</v>
      </c>
      <c r="F375" s="10">
        <f t="shared" si="47"/>
        <v>0.23043861322106476</v>
      </c>
      <c r="G375" s="66">
        <f t="shared" si="52"/>
        <v>4</v>
      </c>
      <c r="H375" s="10"/>
      <c r="I375" s="10">
        <f t="shared" si="48"/>
        <v>2.1919199347540701E-2</v>
      </c>
    </row>
    <row r="376" spans="1:9">
      <c r="A376" s="19">
        <f t="shared" si="49"/>
        <v>30.166666666666508</v>
      </c>
      <c r="B376" s="10">
        <f t="shared" si="45"/>
        <v>0.71719088454973268</v>
      </c>
      <c r="C376" s="10">
        <f t="shared" si="46"/>
        <v>0.85755121804410883</v>
      </c>
      <c r="D376" s="10">
        <f t="shared" si="50"/>
        <v>2.6952557916895485E-2</v>
      </c>
      <c r="E376" s="10">
        <f t="shared" si="51"/>
        <v>1.1815006826480089E-2</v>
      </c>
      <c r="F376" s="10">
        <f t="shared" si="47"/>
        <v>0.22950358719802866</v>
      </c>
      <c r="G376" s="66">
        <f t="shared" si="52"/>
        <v>2</v>
      </c>
      <c r="H376" s="10"/>
      <c r="I376" s="10">
        <f t="shared" si="48"/>
        <v>1.0944169830651267E-2</v>
      </c>
    </row>
    <row r="377" spans="1:9">
      <c r="A377" s="19">
        <f t="shared" si="49"/>
        <v>30.24999999999984</v>
      </c>
      <c r="B377" s="10">
        <f t="shared" si="45"/>
        <v>0.71557701325356626</v>
      </c>
      <c r="C377" s="10">
        <f t="shared" si="46"/>
        <v>0.85670494021235843</v>
      </c>
      <c r="D377" s="10">
        <f t="shared" si="50"/>
        <v>2.7114879455098224E-2</v>
      </c>
      <c r="E377" s="10">
        <f t="shared" si="51"/>
        <v>1.1881245178291455E-2</v>
      </c>
      <c r="F377" s="10">
        <f t="shared" si="47"/>
        <v>0.22857235512971022</v>
      </c>
      <c r="G377" s="66">
        <f t="shared" si="52"/>
        <v>4</v>
      </c>
      <c r="H377" s="10"/>
      <c r="I377" s="10">
        <f t="shared" si="48"/>
        <v>2.185711295229513E-2</v>
      </c>
    </row>
    <row r="378" spans="1:9">
      <c r="A378" s="19">
        <f t="shared" si="49"/>
        <v>30.333333333333172</v>
      </c>
      <c r="B378" s="10">
        <f t="shared" si="45"/>
        <v>0.71395708682243486</v>
      </c>
      <c r="C378" s="10">
        <f t="shared" si="46"/>
        <v>0.85585475997630867</v>
      </c>
      <c r="D378" s="10">
        <f t="shared" si="50"/>
        <v>2.7278182213855296E-2</v>
      </c>
      <c r="E378" s="10">
        <f t="shared" si="51"/>
        <v>1.1947858051374178E-2</v>
      </c>
      <c r="F378" s="10">
        <f t="shared" si="47"/>
        <v>0.22764490162178663</v>
      </c>
      <c r="G378" s="66">
        <f t="shared" si="52"/>
        <v>2</v>
      </c>
      <c r="H378" s="10"/>
      <c r="I378" s="10">
        <f t="shared" si="48"/>
        <v>1.0912759217373379E-2</v>
      </c>
    </row>
    <row r="379" spans="1:9">
      <c r="A379" s="19">
        <f t="shared" si="49"/>
        <v>30.416666666666504</v>
      </c>
      <c r="B379" s="10">
        <f t="shared" si="45"/>
        <v>0.71233110444904557</v>
      </c>
      <c r="C379" s="10">
        <f t="shared" si="46"/>
        <v>0.85500066385618168</v>
      </c>
      <c r="D379" s="10">
        <f t="shared" si="50"/>
        <v>2.7442472124565478E-2</v>
      </c>
      <c r="E379" s="10">
        <f t="shared" si="51"/>
        <v>1.2014847563325985E-2</v>
      </c>
      <c r="F379" s="10">
        <f t="shared" si="47"/>
        <v>0.22672121134239903</v>
      </c>
      <c r="G379" s="66">
        <f t="shared" si="52"/>
        <v>4</v>
      </c>
      <c r="H379" s="10"/>
      <c r="I379" s="10">
        <f t="shared" si="48"/>
        <v>2.179355534110762E-2</v>
      </c>
    </row>
    <row r="380" spans="1:9">
      <c r="A380" s="19">
        <f t="shared" si="49"/>
        <v>30.499999999999837</v>
      </c>
      <c r="B380" s="10">
        <f t="shared" si="45"/>
        <v>0.71069906562215646</v>
      </c>
      <c r="C380" s="10">
        <f t="shared" si="46"/>
        <v>0.85414263837979665</v>
      </c>
      <c r="D380" s="10">
        <f t="shared" si="50"/>
        <v>2.7607755154482435E-2</v>
      </c>
      <c r="E380" s="10">
        <f t="shared" si="51"/>
        <v>1.2082215843717803E-2</v>
      </c>
      <c r="F380" s="10">
        <f t="shared" si="47"/>
        <v>0.22580126902189895</v>
      </c>
      <c r="G380" s="66">
        <f t="shared" si="52"/>
        <v>2</v>
      </c>
      <c r="H380" s="10"/>
      <c r="I380" s="10">
        <f t="shared" si="48"/>
        <v>1.0880611461165295E-2</v>
      </c>
    </row>
    <row r="381" spans="1:9">
      <c r="A381" s="19">
        <f t="shared" si="49"/>
        <v>30.583333333333169</v>
      </c>
      <c r="B381" s="10">
        <f t="shared" si="45"/>
        <v>0.70906097013002234</v>
      </c>
      <c r="C381" s="10">
        <f t="shared" si="46"/>
        <v>0.85328067008335284</v>
      </c>
      <c r="D381" s="10">
        <f t="shared" si="50"/>
        <v>2.7774037306931326E-2</v>
      </c>
      <c r="E381" s="10">
        <f t="shared" si="51"/>
        <v>1.2149965034161457E-2</v>
      </c>
      <c r="F381" s="10">
        <f t="shared" si="47"/>
        <v>0.22488505945259599</v>
      </c>
      <c r="G381" s="66">
        <f t="shared" si="52"/>
        <v>4</v>
      </c>
      <c r="H381" s="10"/>
      <c r="I381" s="10">
        <f t="shared" si="48"/>
        <v>2.1728520448153207E-2</v>
      </c>
    </row>
    <row r="382" spans="1:9">
      <c r="A382" s="19">
        <f t="shared" si="49"/>
        <v>30.666666666666501</v>
      </c>
      <c r="B382" s="10">
        <f t="shared" si="45"/>
        <v>0.70741681806385159</v>
      </c>
      <c r="C382" s="10">
        <f t="shared" si="46"/>
        <v>0.85241474551222385</v>
      </c>
      <c r="D382" s="10">
        <f t="shared" si="50"/>
        <v>2.7941324621526958E-2</v>
      </c>
      <c r="E382" s="10">
        <f t="shared" si="51"/>
        <v>1.2218097288377753E-2</v>
      </c>
      <c r="F382" s="10">
        <f t="shared" si="47"/>
        <v>0.22397256748850627</v>
      </c>
      <c r="G382" s="66">
        <f t="shared" si="52"/>
        <v>2</v>
      </c>
      <c r="H382" s="10"/>
      <c r="I382" s="10">
        <f t="shared" si="48"/>
        <v>1.0847723603690466E-2</v>
      </c>
    </row>
    <row r="383" spans="1:9">
      <c r="A383" s="19">
        <f t="shared" si="49"/>
        <v>30.749999999999833</v>
      </c>
      <c r="B383" s="10">
        <f t="shared" si="45"/>
        <v>0.70576660982127737</v>
      </c>
      <c r="C383" s="10">
        <f t="shared" si="46"/>
        <v>0.85154485122176116</v>
      </c>
      <c r="D383" s="10">
        <f t="shared" si="50"/>
        <v>2.810962317439309E-2</v>
      </c>
      <c r="E383" s="10">
        <f t="shared" si="51"/>
        <v>1.2286614772264958E-2</v>
      </c>
      <c r="F383" s="10">
        <f t="shared" si="47"/>
        <v>0.22306377804510233</v>
      </c>
      <c r="G383" s="66">
        <f t="shared" si="52"/>
        <v>4</v>
      </c>
      <c r="H383" s="10"/>
      <c r="I383" s="10">
        <f t="shared" si="48"/>
        <v>2.1662002508171654E-2</v>
      </c>
    </row>
    <row r="384" spans="1:9">
      <c r="A384" s="19">
        <f t="shared" si="49"/>
        <v>30.833333333333165</v>
      </c>
      <c r="B384" s="10">
        <f t="shared" si="45"/>
        <v>0.70411034610984247</v>
      </c>
      <c r="C384" s="10">
        <f t="shared" si="46"/>
        <v>0.8506709737781073</v>
      </c>
      <c r="D384" s="10">
        <f t="shared" si="50"/>
        <v>2.8278939078383223E-2</v>
      </c>
      <c r="E384" s="10">
        <f t="shared" si="51"/>
        <v>1.2355519663967647E-2</v>
      </c>
      <c r="F384" s="10">
        <f t="shared" si="47"/>
        <v>0.22215867609906331</v>
      </c>
      <c r="G384" s="66">
        <f t="shared" si="52"/>
        <v>2</v>
      </c>
      <c r="H384" s="10"/>
      <c r="I384" s="10">
        <f t="shared" si="48"/>
        <v>1.0814092839160684E-2</v>
      </c>
    </row>
    <row r="385" spans="1:9">
      <c r="A385" s="19">
        <f t="shared" si="49"/>
        <v>30.916666666666497</v>
      </c>
      <c r="B385" s="10">
        <f t="shared" si="45"/>
        <v>0.70244802795049532</v>
      </c>
      <c r="C385" s="10">
        <f t="shared" si="46"/>
        <v>0.8497930997590184</v>
      </c>
      <c r="D385" s="10">
        <f t="shared" si="50"/>
        <v>2.8449278483302504E-2</v>
      </c>
      <c r="E385" s="10">
        <f t="shared" si="51"/>
        <v>1.2424814153945926E-2</v>
      </c>
      <c r="F385" s="10">
        <f t="shared" si="47"/>
        <v>0.2212572466880271</v>
      </c>
      <c r="G385" s="66">
        <f t="shared" si="52"/>
        <v>4</v>
      </c>
      <c r="H385" s="10"/>
      <c r="I385" s="10">
        <f t="shared" si="48"/>
        <v>2.1593996065550951E-2</v>
      </c>
    </row>
    <row r="386" spans="1:9">
      <c r="A386" s="19">
        <f t="shared" si="49"/>
        <v>30.999999999999829</v>
      </c>
      <c r="B386" s="10">
        <f t="shared" si="45"/>
        <v>0.70077965668109976</v>
      </c>
      <c r="C386" s="10">
        <f t="shared" si="46"/>
        <v>0.84891121575469841</v>
      </c>
      <c r="D386" s="10">
        <f t="shared" si="50"/>
        <v>2.8620647576131142E-2</v>
      </c>
      <c r="E386" s="10">
        <f t="shared" si="51"/>
        <v>1.2494500445045083E-2</v>
      </c>
      <c r="F386" s="10">
        <f t="shared" si="47"/>
        <v>0.22035947491034263</v>
      </c>
      <c r="G386" s="66">
        <f t="shared" si="52"/>
        <v>2</v>
      </c>
      <c r="H386" s="10"/>
      <c r="I386" s="10">
        <f t="shared" si="48"/>
        <v>1.0779716518897061E-2</v>
      </c>
    </row>
    <row r="387" spans="1:9">
      <c r="A387" s="19">
        <f t="shared" si="49"/>
        <v>31.083333333333162</v>
      </c>
      <c r="B387" s="10">
        <f t="shared" si="45"/>
        <v>0.69910523395995561</v>
      </c>
      <c r="C387" s="10">
        <f t="shared" si="46"/>
        <v>0.84802530836864121</v>
      </c>
      <c r="D387" s="10">
        <f t="shared" si="50"/>
        <v>2.8793052581249218E-2</v>
      </c>
      <c r="E387" s="10">
        <f t="shared" si="51"/>
        <v>1.2564580752565625E-2</v>
      </c>
      <c r="F387" s="10">
        <f t="shared" si="47"/>
        <v>0.21946534592482372</v>
      </c>
      <c r="G387" s="66">
        <f t="shared" si="52"/>
        <v>4</v>
      </c>
      <c r="H387" s="10"/>
      <c r="I387" s="10">
        <f t="shared" si="48"/>
        <v>2.1524495983486464E-2</v>
      </c>
    </row>
    <row r="388" spans="1:9">
      <c r="A388" s="19">
        <f t="shared" si="49"/>
        <v>31.166666666666494</v>
      </c>
      <c r="B388" s="10">
        <f t="shared" si="45"/>
        <v>0.69742476176933232</v>
      </c>
      <c r="C388" s="10">
        <f t="shared" si="46"/>
        <v>0.84713536421848468</v>
      </c>
      <c r="D388" s="10">
        <f t="shared" si="50"/>
        <v>2.8966499760662619E-2</v>
      </c>
      <c r="E388" s="10">
        <f t="shared" si="51"/>
        <v>1.2635057304333685E-2</v>
      </c>
      <c r="F388" s="10">
        <f t="shared" si="47"/>
        <v>0.21857484495050364</v>
      </c>
      <c r="G388" s="66">
        <f t="shared" si="52"/>
        <v>2</v>
      </c>
      <c r="H388" s="10"/>
      <c r="I388" s="10">
        <f t="shared" si="48"/>
        <v>1.0744592155927732E-2</v>
      </c>
    </row>
    <row r="389" spans="1:9">
      <c r="A389" s="19">
        <f t="shared" si="49"/>
        <v>31.249999999999826</v>
      </c>
      <c r="B389" s="10">
        <f t="shared" si="45"/>
        <v>0.69573824241901172</v>
      </c>
      <c r="C389" s="10">
        <f t="shared" si="46"/>
        <v>0.84624136993687316</v>
      </c>
      <c r="D389" s="10">
        <f t="shared" si="50"/>
        <v>2.9140995414230566E-2</v>
      </c>
      <c r="E389" s="10">
        <f t="shared" si="51"/>
        <v>1.2705932340771846E-2</v>
      </c>
      <c r="F389" s="10">
        <f t="shared" si="47"/>
        <v>0.21768795726639084</v>
      </c>
      <c r="G389" s="66">
        <f t="shared" si="52"/>
        <v>4</v>
      </c>
      <c r="H389" s="10"/>
      <c r="I389" s="10">
        <f t="shared" si="48"/>
        <v>2.1453497453211519E-2</v>
      </c>
    </row>
    <row r="390" spans="1:9">
      <c r="A390" s="19">
        <f t="shared" si="49"/>
        <v>31.333333333333158</v>
      </c>
      <c r="B390" s="10">
        <f t="shared" si="45"/>
        <v>0.69404567854984367</v>
      </c>
      <c r="C390" s="10">
        <f t="shared" si="46"/>
        <v>0.84534331217233127</v>
      </c>
      <c r="D390" s="10">
        <f t="shared" si="50"/>
        <v>2.9316545879894393E-2</v>
      </c>
      <c r="E390" s="10">
        <f t="shared" si="51"/>
        <v>1.2777208114970361E-2</v>
      </c>
      <c r="F390" s="10">
        <f t="shared" si="47"/>
        <v>0.21680466821122554</v>
      </c>
      <c r="G390" s="66">
        <f t="shared" si="52"/>
        <v>2</v>
      </c>
      <c r="H390" s="10"/>
      <c r="I390" s="10">
        <f t="shared" si="48"/>
        <v>1.0708717429619981E-2</v>
      </c>
    </row>
    <row r="391" spans="1:9">
      <c r="A391" s="19">
        <f t="shared" si="49"/>
        <v>31.41666666666649</v>
      </c>
      <c r="B391" s="10">
        <f t="shared" si="45"/>
        <v>0.69234707313731048</v>
      </c>
      <c r="C391" s="10">
        <f t="shared" si="46"/>
        <v>0.84444117759014869</v>
      </c>
      <c r="D391" s="10">
        <f t="shared" si="50"/>
        <v>2.9493157533907861E-2</v>
      </c>
      <c r="E391" s="10">
        <f t="shared" si="51"/>
        <v>1.2848886892758793E-2</v>
      </c>
      <c r="F391" s="10">
        <f t="shared" si="47"/>
        <v>0.21592496318323731</v>
      </c>
      <c r="G391" s="66">
        <f t="shared" si="52"/>
        <v>4</v>
      </c>
      <c r="H391" s="10"/>
      <c r="I391" s="10">
        <f t="shared" si="48"/>
        <v>2.1380996003294041E-2</v>
      </c>
    </row>
    <row r="392" spans="1:9">
      <c r="A392" s="19">
        <f t="shared" si="49"/>
        <v>31.499999999999822</v>
      </c>
      <c r="B392" s="10">
        <f t="shared" si="45"/>
        <v>0.69064242949510379</v>
      </c>
      <c r="C392" s="10">
        <f t="shared" si="46"/>
        <v>0.84353495287327307</v>
      </c>
      <c r="D392" s="10">
        <f t="shared" si="50"/>
        <v>2.9670836791068592E-2</v>
      </c>
      <c r="E392" s="10">
        <f t="shared" si="51"/>
        <v>1.2920970952778039E-2</v>
      </c>
      <c r="F392" s="10">
        <f t="shared" si="47"/>
        <v>0.21504882763990391</v>
      </c>
      <c r="G392" s="66">
        <f t="shared" si="52"/>
        <v>2</v>
      </c>
      <c r="H392" s="10"/>
      <c r="I392" s="10">
        <f t="shared" si="48"/>
        <v>1.0672090190344319E-2</v>
      </c>
    </row>
    <row r="393" spans="1:9">
      <c r="A393" s="19">
        <f t="shared" si="49"/>
        <v>31.583333333333155</v>
      </c>
      <c r="B393" s="10">
        <f t="shared" si="45"/>
        <v>0.68893175127870732</v>
      </c>
      <c r="C393" s="10">
        <f t="shared" si="46"/>
        <v>0.84262462472321598</v>
      </c>
      <c r="D393" s="10">
        <f t="shared" si="50"/>
        <v>2.9849590104951154E-2</v>
      </c>
      <c r="E393" s="10">
        <f t="shared" si="51"/>
        <v>1.2993462586552748E-2</v>
      </c>
      <c r="F393" s="10">
        <f t="shared" si="47"/>
        <v>0.21417624709771063</v>
      </c>
      <c r="G393" s="66">
        <f t="shared" si="52"/>
        <v>4</v>
      </c>
      <c r="H393" s="10"/>
      <c r="I393" s="10">
        <f t="shared" si="48"/>
        <v>2.1306987508994901E-2</v>
      </c>
    </row>
    <row r="394" spans="1:9">
      <c r="A394" s="19">
        <f t="shared" si="49"/>
        <v>31.666666666666487</v>
      </c>
      <c r="B394" s="10">
        <f t="shared" si="45"/>
        <v>0.68721504248899301</v>
      </c>
      <c r="C394" s="10">
        <f t="shared" si="46"/>
        <v>0.84171017986096686</v>
      </c>
      <c r="D394" s="10">
        <f t="shared" si="50"/>
        <v>3.0029423968141431E-2</v>
      </c>
      <c r="E394" s="10">
        <f t="shared" si="51"/>
        <v>1.3066364098564183E-2</v>
      </c>
      <c r="F394" s="10">
        <f t="shared" si="47"/>
        <v>0.2133072071319109</v>
      </c>
      <c r="G394" s="66">
        <f t="shared" si="52"/>
        <v>2</v>
      </c>
      <c r="H394" s="10"/>
      <c r="I394" s="10">
        <f t="shared" si="48"/>
        <v>1.0634708464167832E-2</v>
      </c>
    </row>
    <row r="395" spans="1:9">
      <c r="A395" s="19">
        <f t="shared" si="49"/>
        <v>31.749999999999819</v>
      </c>
      <c r="B395" s="10">
        <f t="shared" si="45"/>
        <v>0.6854923074758229</v>
      </c>
      <c r="C395" s="10">
        <f t="shared" si="46"/>
        <v>0.84079160502791928</v>
      </c>
      <c r="D395" s="10">
        <f t="shared" si="50"/>
        <v>3.0210344912472546E-2</v>
      </c>
      <c r="E395" s="10">
        <f t="shared" si="51"/>
        <v>1.3139677806323495E-2</v>
      </c>
      <c r="F395" s="10">
        <f t="shared" si="47"/>
        <v>0.21244169337628807</v>
      </c>
      <c r="G395" s="66">
        <f t="shared" si="52"/>
        <v>4</v>
      </c>
      <c r="H395" s="10"/>
      <c r="I395" s="10">
        <f t="shared" si="48"/>
        <v>2.123146820168164E-2</v>
      </c>
    </row>
    <row r="396" spans="1:9">
      <c r="A396" s="19">
        <f t="shared" si="49"/>
        <v>31.833333333333151</v>
      </c>
      <c r="B396" s="10">
        <f t="shared" si="45"/>
        <v>0.68376355094166108</v>
      </c>
      <c r="C396" s="10">
        <f t="shared" si="46"/>
        <v>0.83986888698680784</v>
      </c>
      <c r="D396" s="10">
        <f t="shared" si="50"/>
        <v>3.0392359509261939E-2</v>
      </c>
      <c r="E396" s="10">
        <f t="shared" si="51"/>
        <v>1.3213406040445371E-2</v>
      </c>
      <c r="F396" s="10">
        <f t="shared" si="47"/>
        <v>0.21157969152291758</v>
      </c>
      <c r="G396" s="66">
        <f t="shared" si="52"/>
        <v>2</v>
      </c>
      <c r="H396" s="10"/>
      <c r="I396" s="10">
        <f t="shared" si="48"/>
        <v>1.0596570457574115E-2</v>
      </c>
    </row>
    <row r="397" spans="1:9">
      <c r="A397" s="19">
        <f t="shared" si="49"/>
        <v>31.916666666666483</v>
      </c>
      <c r="B397" s="10">
        <f t="shared" si="45"/>
        <v>0.68202877794519257</v>
      </c>
      <c r="C397" s="10">
        <f t="shared" si="46"/>
        <v>0.83894201252265443</v>
      </c>
      <c r="D397" s="10">
        <f t="shared" si="50"/>
        <v>3.0575474369550167E-2</v>
      </c>
      <c r="E397" s="10">
        <f t="shared" si="51"/>
        <v>1.3287551144722128E-2</v>
      </c>
      <c r="F397" s="10">
        <f t="shared" si="47"/>
        <v>0.21072118732193071</v>
      </c>
      <c r="G397" s="66">
        <f t="shared" si="52"/>
        <v>4</v>
      </c>
      <c r="H397" s="10"/>
      <c r="I397" s="10">
        <f t="shared" si="48"/>
        <v>2.1154434678292981E-2</v>
      </c>
    </row>
    <row r="398" spans="1:9">
      <c r="A398" s="19">
        <f t="shared" si="49"/>
        <v>31.999999999999815</v>
      </c>
      <c r="B398" s="10">
        <f t="shared" ref="B398:B461" si="53">(B$9^A398)*B$10^((B$6^28)*((B$6^A398)-1))</f>
        <v>0.68028799390495009</v>
      </c>
      <c r="C398" s="10">
        <f t="shared" ref="C398:C461" si="54">(B$9^A398)*B$11^((B$7^24)*((B$7^A398)-1))</f>
        <v>0.8380109684437258</v>
      </c>
      <c r="D398" s="10">
        <f t="shared" si="50"/>
        <v>3.0759696144340952E-2</v>
      </c>
      <c r="E398" s="10">
        <f t="shared" si="51"/>
        <v>1.3362115476198226E-2</v>
      </c>
      <c r="F398" s="10">
        <f t="shared" si="47"/>
        <v>0.20986616658127885</v>
      </c>
      <c r="G398" s="66">
        <f t="shared" si="52"/>
        <v>2</v>
      </c>
      <c r="H398" s="10"/>
      <c r="I398" s="10">
        <f t="shared" si="48"/>
        <v>1.0557674562206855E-2</v>
      </c>
    </row>
    <row r="399" spans="1:9">
      <c r="A399" s="19">
        <f t="shared" si="49"/>
        <v>32.083333333333151</v>
      </c>
      <c r="B399" s="10">
        <f t="shared" si="53"/>
        <v>0.6785412046029482</v>
      </c>
      <c r="C399" s="10">
        <f t="shared" si="54"/>
        <v>0.83707574158250364</v>
      </c>
      <c r="D399" s="10">
        <f t="shared" si="50"/>
        <v>3.0945031524842886E-2</v>
      </c>
      <c r="E399" s="10">
        <f t="shared" si="51"/>
        <v>1.3437101405245212E-2</v>
      </c>
      <c r="F399" s="10">
        <f t="shared" ref="F399:F462" si="55">(1+B$8)^-A399</f>
        <v>0.20901461516649888</v>
      </c>
      <c r="G399" s="66">
        <f t="shared" si="52"/>
        <v>4</v>
      </c>
      <c r="H399" s="10"/>
      <c r="I399" s="10">
        <f t="shared" ref="I399:I462" si="56">B399*C399*(D399+E399)*F399*G399</f>
        <v>2.1075883910847189E-2</v>
      </c>
    </row>
    <row r="400" spans="1:9">
      <c r="A400" s="19">
        <f t="shared" ref="A400:A463" si="57">A399+1/12</f>
        <v>32.166666666666487</v>
      </c>
      <c r="B400" s="10">
        <f t="shared" si="53"/>
        <v>0.67678841618832286</v>
      </c>
      <c r="C400" s="10">
        <f t="shared" si="54"/>
        <v>0.8361363187966625</v>
      </c>
      <c r="D400" s="10">
        <f t="shared" si="50"/>
        <v>3.1131487242712291E-2</v>
      </c>
      <c r="E400" s="10">
        <f t="shared" si="51"/>
        <v>1.3512511315637039E-2</v>
      </c>
      <c r="F400" s="10">
        <f t="shared" si="55"/>
        <v>0.20816651900047975</v>
      </c>
      <c r="G400" s="66">
        <f t="shared" si="52"/>
        <v>2</v>
      </c>
      <c r="H400" s="10"/>
      <c r="I400" s="10">
        <f t="shared" si="56"/>
        <v>1.0518019359634086E-2</v>
      </c>
    </row>
    <row r="401" spans="1:9">
      <c r="A401" s="19">
        <f t="shared" si="57"/>
        <v>32.249999999999822</v>
      </c>
      <c r="B401" s="10">
        <f t="shared" si="53"/>
        <v>0.6750296351809788</v>
      </c>
      <c r="C401" s="10">
        <f t="shared" si="54"/>
        <v>0.83519268697006122</v>
      </c>
      <c r="D401" s="10">
        <f t="shared" ref="D401:D464" si="58">B$3+B$4*(B$6^(28+A401))</f>
        <v>3.1319070070297834E-2</v>
      </c>
      <c r="E401" s="10">
        <f t="shared" ref="E401:E464" si="59">B$3+B$5*(B$7^(24+A401))</f>
        <v>1.3588347604625869E-2</v>
      </c>
      <c r="F401" s="10">
        <f t="shared" si="55"/>
        <v>0.20732186406322939</v>
      </c>
      <c r="G401" s="66">
        <f t="shared" ref="G401:G464" si="60">IF(G400=4,2,4)</f>
        <v>4</v>
      </c>
      <c r="H401" s="10"/>
      <c r="I401" s="10">
        <f t="shared" si="56"/>
        <v>2.0995813255989062E-2</v>
      </c>
    </row>
    <row r="402" spans="1:9">
      <c r="A402" s="19">
        <f t="shared" si="57"/>
        <v>32.333333333333158</v>
      </c>
      <c r="B402" s="10">
        <f t="shared" si="53"/>
        <v>0.67326486847523959</v>
      </c>
      <c r="C402" s="10">
        <f t="shared" si="54"/>
        <v>0.83424483301374386</v>
      </c>
      <c r="D402" s="10">
        <f t="shared" si="58"/>
        <v>3.150778682088648E-2</v>
      </c>
      <c r="E402" s="10">
        <f t="shared" si="59"/>
        <v>1.3664612683018286E-2</v>
      </c>
      <c r="F402" s="10">
        <f t="shared" si="55"/>
        <v>0.20648063639164332</v>
      </c>
      <c r="G402" s="66">
        <f t="shared" si="60"/>
        <v>2</v>
      </c>
      <c r="H402" s="10"/>
      <c r="I402" s="10">
        <f t="shared" si="56"/>
        <v>1.04776036261299E-2</v>
      </c>
    </row>
    <row r="403" spans="1:9">
      <c r="A403" s="19">
        <f t="shared" si="57"/>
        <v>32.416666666666494</v>
      </c>
      <c r="B403" s="10">
        <f t="shared" si="53"/>
        <v>0.671494123343506</v>
      </c>
      <c r="C403" s="10">
        <f t="shared" si="54"/>
        <v>0.8332927438669534</v>
      </c>
      <c r="D403" s="10">
        <f t="shared" si="58"/>
        <v>3.1697644348950962E-2</v>
      </c>
      <c r="E403" s="10">
        <f t="shared" si="59"/>
        <v>1.3741308975251916E-2</v>
      </c>
      <c r="F403" s="10">
        <f t="shared" si="55"/>
        <v>0.20564282207927362</v>
      </c>
      <c r="G403" s="66">
        <f t="shared" si="60"/>
        <v>4</v>
      </c>
      <c r="H403" s="10"/>
      <c r="I403" s="10">
        <f t="shared" si="56"/>
        <v>2.0914220464568253E-2</v>
      </c>
    </row>
    <row r="404" spans="1:9">
      <c r="A404" s="19">
        <f t="shared" si="57"/>
        <v>32.499999999999829</v>
      </c>
      <c r="B404" s="10">
        <f t="shared" si="53"/>
        <v>0.66971740743991615</v>
      </c>
      <c r="C404" s="10">
        <f t="shared" si="54"/>
        <v>0.83233640649815355</v>
      </c>
      <c r="D404" s="10">
        <f t="shared" si="58"/>
        <v>3.1888649550398739E-2</v>
      </c>
      <c r="E404" s="10">
        <f t="shared" si="59"/>
        <v>1.3818438919472507E-2</v>
      </c>
      <c r="F404" s="10">
        <f t="shared" si="55"/>
        <v>0.20480840727609892</v>
      </c>
      <c r="G404" s="66">
        <f t="shared" si="60"/>
        <v>2</v>
      </c>
      <c r="H404" s="10"/>
      <c r="I404" s="10">
        <f t="shared" si="56"/>
        <v>1.0436426337470339E-2</v>
      </c>
    </row>
    <row r="405" spans="1:9">
      <c r="A405" s="19">
        <f t="shared" si="57"/>
        <v>32.583333333333165</v>
      </c>
      <c r="B405" s="10">
        <f t="shared" si="53"/>
        <v>0.66793472880401128</v>
      </c>
      <c r="C405" s="10">
        <f t="shared" si="54"/>
        <v>0.83137580790606602</v>
      </c>
      <c r="D405" s="10">
        <f t="shared" si="58"/>
        <v>3.2080809362822489E-2</v>
      </c>
      <c r="E405" s="10">
        <f t="shared" si="59"/>
        <v>1.3896004967611446E-2</v>
      </c>
      <c r="F405" s="10">
        <f t="shared" si="55"/>
        <v>0.20397737818829573</v>
      </c>
      <c r="G405" s="66">
        <f t="shared" si="60"/>
        <v>4</v>
      </c>
      <c r="H405" s="10"/>
      <c r="I405" s="10">
        <f t="shared" si="56"/>
        <v>2.0831103691242664E-2</v>
      </c>
    </row>
    <row r="406" spans="1:9">
      <c r="A406" s="19">
        <f t="shared" si="57"/>
        <v>32.666666666666501</v>
      </c>
      <c r="B406" s="10">
        <f t="shared" si="53"/>
        <v>0.66614609586440421</v>
      </c>
      <c r="C406" s="10">
        <f t="shared" si="54"/>
        <v>0.83041093512071518</v>
      </c>
      <c r="D406" s="10">
        <f t="shared" si="58"/>
        <v>3.2274130765752064E-2</v>
      </c>
      <c r="E406" s="10">
        <f t="shared" si="59"/>
        <v>1.397400958546369E-2</v>
      </c>
      <c r="F406" s="10">
        <f t="shared" si="55"/>
        <v>0.20314972107801024</v>
      </c>
      <c r="G406" s="66">
        <f t="shared" si="60"/>
        <v>2</v>
      </c>
      <c r="H406" s="10"/>
      <c r="I406" s="10">
        <f t="shared" si="56"/>
        <v>1.0394486673740003E-2</v>
      </c>
    </row>
    <row r="407" spans="1:9">
      <c r="A407" s="19">
        <f t="shared" si="57"/>
        <v>32.749999999999837</v>
      </c>
      <c r="B407" s="10">
        <f t="shared" si="53"/>
        <v>0.66435151744245036</v>
      </c>
      <c r="C407" s="10">
        <f t="shared" si="54"/>
        <v>0.82944177520448592</v>
      </c>
      <c r="D407" s="10">
        <f t="shared" si="58"/>
        <v>3.2468620780908015E-2</v>
      </c>
      <c r="E407" s="10">
        <f t="shared" si="59"/>
        <v>1.4052455252766159E-2</v>
      </c>
      <c r="F407" s="10">
        <f t="shared" si="55"/>
        <v>0.2023254222631313</v>
      </c>
      <c r="G407" s="66">
        <f t="shared" si="60"/>
        <v>4</v>
      </c>
      <c r="H407" s="10"/>
      <c r="I407" s="10">
        <f t="shared" si="56"/>
        <v>2.0746461504099804E-2</v>
      </c>
    </row>
    <row r="408" spans="1:9">
      <c r="A408" s="19">
        <f t="shared" si="57"/>
        <v>32.833333333333172</v>
      </c>
      <c r="B408" s="10">
        <f t="shared" si="53"/>
        <v>0.66255100275592183</v>
      </c>
      <c r="C408" s="10">
        <f t="shared" si="54"/>
        <v>0.82846831525319342</v>
      </c>
      <c r="D408" s="10">
        <f t="shared" si="58"/>
        <v>3.2664286472456616E-2</v>
      </c>
      <c r="E408" s="10">
        <f t="shared" si="59"/>
        <v>1.4131344463276567E-2</v>
      </c>
      <c r="F408" s="10">
        <f t="shared" si="55"/>
        <v>0.20150446811706413</v>
      </c>
      <c r="G408" s="66">
        <f t="shared" si="60"/>
        <v>2</v>
      </c>
      <c r="H408" s="10"/>
      <c r="I408" s="10">
        <f t="shared" si="56"/>
        <v>1.0351784024145806E-2</v>
      </c>
    </row>
    <row r="409" spans="1:9">
      <c r="A409" s="19">
        <f t="shared" si="57"/>
        <v>32.916666666666508</v>
      </c>
      <c r="B409" s="10">
        <f t="shared" si="53"/>
        <v>0.66074456142268234</v>
      </c>
      <c r="C409" s="10">
        <f t="shared" si="54"/>
        <v>0.82749054239716269</v>
      </c>
      <c r="D409" s="10">
        <f t="shared" si="58"/>
        <v>3.286113494726646E-2</v>
      </c>
      <c r="E409" s="10">
        <f t="shared" si="59"/>
        <v>1.4210679724852697E-2</v>
      </c>
      <c r="F409" s="10">
        <f t="shared" si="55"/>
        <v>0.2006868450685052</v>
      </c>
      <c r="G409" s="66">
        <f t="shared" si="60"/>
        <v>4</v>
      </c>
      <c r="H409" s="10"/>
      <c r="I409" s="10">
        <f t="shared" si="56"/>
        <v>2.0660292894288508E-2</v>
      </c>
    </row>
    <row r="410" spans="1:9">
      <c r="A410" s="19">
        <f t="shared" si="57"/>
        <v>32.999999999999844</v>
      </c>
      <c r="B410" s="10">
        <f t="shared" si="53"/>
        <v>0.65893220346436432</v>
      </c>
      <c r="C410" s="10">
        <f t="shared" si="54"/>
        <v>0.82650844380232102</v>
      </c>
      <c r="D410" s="10">
        <f t="shared" si="58"/>
        <v>3.3059173355166588E-2</v>
      </c>
      <c r="E410" s="10">
        <f t="shared" si="59"/>
        <v>1.4290463559532129E-2</v>
      </c>
      <c r="F410" s="10">
        <f t="shared" si="55"/>
        <v>0.19987253960121765</v>
      </c>
      <c r="G410" s="66">
        <f t="shared" si="60"/>
        <v>2</v>
      </c>
      <c r="H410" s="10"/>
      <c r="I410" s="10">
        <f t="shared" si="56"/>
        <v>1.0308317991834069E-2</v>
      </c>
    </row>
    <row r="411" spans="1:9">
      <c r="A411" s="19">
        <f t="shared" si="57"/>
        <v>33.083333333333179</v>
      </c>
      <c r="B411" s="10">
        <f t="shared" si="53"/>
        <v>0.65711393931004491</v>
      </c>
      <c r="C411" s="10">
        <f t="shared" si="54"/>
        <v>0.82552200667130193</v>
      </c>
      <c r="D411" s="10">
        <f t="shared" si="58"/>
        <v>3.3258408889206163E-2</v>
      </c>
      <c r="E411" s="10">
        <f t="shared" si="59"/>
        <v>1.4370698503612403E-2</v>
      </c>
      <c r="F411" s="10">
        <f t="shared" si="55"/>
        <v>0.19906153825380818</v>
      </c>
      <c r="G411" s="66">
        <f t="shared" si="60"/>
        <v>4</v>
      </c>
      <c r="H411" s="10"/>
      <c r="I411" s="10">
        <f t="shared" si="56"/>
        <v>2.0572597285653617E-2</v>
      </c>
    </row>
    <row r="412" spans="1:9">
      <c r="A412" s="19">
        <f t="shared" si="57"/>
        <v>33.166666666666515</v>
      </c>
      <c r="B412" s="10">
        <f t="shared" si="53"/>
        <v>0.65528977979992342</v>
      </c>
      <c r="C412" s="10">
        <f t="shared" si="54"/>
        <v>0.82453121824455977</v>
      </c>
      <c r="D412" s="10">
        <f t="shared" si="58"/>
        <v>3.3458848785915804E-2</v>
      </c>
      <c r="E412" s="10">
        <f t="shared" si="59"/>
        <v>1.4451387107731658E-2</v>
      </c>
      <c r="F412" s="10">
        <f t="shared" si="55"/>
        <v>0.19825382761950419</v>
      </c>
      <c r="G412" s="66">
        <f t="shared" si="60"/>
        <v>2</v>
      </c>
      <c r="H412" s="10"/>
      <c r="I412" s="10">
        <f t="shared" si="56"/>
        <v>1.0264088398707103E-2</v>
      </c>
    </row>
    <row r="413" spans="1:9">
      <c r="A413" s="19">
        <f t="shared" si="57"/>
        <v>33.249999999999851</v>
      </c>
      <c r="B413" s="10">
        <f t="shared" si="53"/>
        <v>0.65345973618899744</v>
      </c>
      <c r="C413" s="10">
        <f t="shared" si="54"/>
        <v>0.8235360658014973</v>
      </c>
      <c r="D413" s="10">
        <f t="shared" si="58"/>
        <v>3.3660500325570261E-2</v>
      </c>
      <c r="E413" s="10">
        <f t="shared" si="59"/>
        <v>1.4532531936949707E-2</v>
      </c>
      <c r="F413" s="10">
        <f t="shared" si="55"/>
        <v>0.19744939434593245</v>
      </c>
      <c r="G413" s="66">
        <f t="shared" si="60"/>
        <v>4</v>
      </c>
      <c r="H413" s="10"/>
      <c r="I413" s="10">
        <f t="shared" si="56"/>
        <v>2.0483374544365673E-2</v>
      </c>
    </row>
    <row r="414" spans="1:9">
      <c r="A414" s="19">
        <f t="shared" si="57"/>
        <v>33.333333333333186</v>
      </c>
      <c r="B414" s="10">
        <f t="shared" si="53"/>
        <v>0.65162382015073661</v>
      </c>
      <c r="C414" s="10">
        <f t="shared" si="54"/>
        <v>0.82253653666160376</v>
      </c>
      <c r="D414" s="10">
        <f t="shared" si="58"/>
        <v>3.3863370832453055E-2</v>
      </c>
      <c r="E414" s="10">
        <f t="shared" si="59"/>
        <v>1.4614135570829592E-2</v>
      </c>
      <c r="F414" s="10">
        <f t="shared" si="55"/>
        <v>0.19664822513489813</v>
      </c>
      <c r="G414" s="66">
        <f t="shared" si="60"/>
        <v>2</v>
      </c>
      <c r="H414" s="10"/>
      <c r="I414" s="10">
        <f t="shared" si="56"/>
        <v>1.0219095290235217E-2</v>
      </c>
    </row>
    <row r="415" spans="1:9">
      <c r="A415" s="19">
        <f t="shared" si="57"/>
        <v>33.416666666666522</v>
      </c>
      <c r="B415" s="10">
        <f t="shared" si="53"/>
        <v>0.64978204378075621</v>
      </c>
      <c r="C415" s="10">
        <f t="shared" si="54"/>
        <v>0.82153261818560619</v>
      </c>
      <c r="D415" s="10">
        <f t="shared" si="58"/>
        <v>3.4067467675122372E-2</v>
      </c>
      <c r="E415" s="10">
        <f t="shared" si="59"/>
        <v>1.4696200603519576E-2</v>
      </c>
      <c r="F415" s="10">
        <f t="shared" si="55"/>
        <v>0.19585030674216505</v>
      </c>
      <c r="G415" s="66">
        <f t="shared" si="60"/>
        <v>4</v>
      </c>
      <c r="H415" s="10"/>
      <c r="I415" s="10">
        <f t="shared" si="56"/>
        <v>2.0392624988537139E-2</v>
      </c>
    </row>
    <row r="416" spans="1:9">
      <c r="A416" s="19">
        <f t="shared" si="57"/>
        <v>33.499999999999858</v>
      </c>
      <c r="B416" s="10">
        <f t="shared" si="53"/>
        <v>0.64793441960048659</v>
      </c>
      <c r="C416" s="10">
        <f t="shared" si="54"/>
        <v>0.82052429777663138</v>
      </c>
      <c r="D416" s="10">
        <f t="shared" si="58"/>
        <v>3.4272798266678742E-2</v>
      </c>
      <c r="E416" s="10">
        <f t="shared" si="59"/>
        <v>1.4778729643835611E-2</v>
      </c>
      <c r="F416" s="10">
        <f t="shared" si="55"/>
        <v>0.19505562597723675</v>
      </c>
      <c r="G416" s="66">
        <f t="shared" si="60"/>
        <v>2</v>
      </c>
      <c r="H416" s="10"/>
      <c r="I416" s="10">
        <f t="shared" si="56"/>
        <v>1.0173338940259947E-2</v>
      </c>
    </row>
    <row r="417" spans="1:9">
      <c r="A417" s="19">
        <f t="shared" si="57"/>
        <v>33.583333333333194</v>
      </c>
      <c r="B417" s="10">
        <f t="shared" si="53"/>
        <v>0.64608096056083919</v>
      </c>
      <c r="C417" s="10">
        <f t="shared" si="54"/>
        <v>0.81951156288138061</v>
      </c>
      <c r="D417" s="10">
        <f t="shared" si="58"/>
        <v>3.4479370065034272E-2</v>
      </c>
      <c r="E417" s="10">
        <f t="shared" si="59"/>
        <v>1.4861725315344276E-2</v>
      </c>
      <c r="F417" s="10">
        <f t="shared" si="55"/>
        <v>0.19426416970313848</v>
      </c>
      <c r="G417" s="66">
        <f t="shared" si="60"/>
        <v>4</v>
      </c>
      <c r="H417" s="10"/>
      <c r="I417" s="10">
        <f t="shared" si="56"/>
        <v>2.0300349397816837E-2</v>
      </c>
    </row>
    <row r="418" spans="1:9">
      <c r="A418" s="19">
        <f t="shared" si="57"/>
        <v>33.666666666666529</v>
      </c>
      <c r="B418" s="10">
        <f t="shared" si="53"/>
        <v>0.64422168004586999</v>
      </c>
      <c r="C418" s="10">
        <f t="shared" si="54"/>
        <v>0.81849440099131632</v>
      </c>
      <c r="D418" s="10">
        <f t="shared" si="58"/>
        <v>3.468719057318357E-2</v>
      </c>
      <c r="E418" s="10">
        <f t="shared" si="59"/>
        <v>1.4945190256446176E-2</v>
      </c>
      <c r="F418" s="10">
        <f t="shared" si="55"/>
        <v>0.19347592483619994</v>
      </c>
      <c r="G418" s="66">
        <f t="shared" si="60"/>
        <v>2</v>
      </c>
      <c r="H418" s="10"/>
      <c r="I418" s="10">
        <f t="shared" si="56"/>
        <v>1.0126819855784109E-2</v>
      </c>
    </row>
    <row r="419" spans="1:9">
      <c r="A419" s="19">
        <f t="shared" si="57"/>
        <v>33.749999999999865</v>
      </c>
      <c r="B419" s="10">
        <f t="shared" si="53"/>
        <v>0.64235659187643601</v>
      </c>
      <c r="C419" s="10">
        <f t="shared" si="54"/>
        <v>0.81747279964385977</v>
      </c>
      <c r="D419" s="10">
        <f t="shared" si="58"/>
        <v>3.4896267339476213E-2</v>
      </c>
      <c r="E419" s="10">
        <f t="shared" si="59"/>
        <v>1.5029127120459817E-2</v>
      </c>
      <c r="F419" s="10">
        <f t="shared" si="55"/>
        <v>0.19269087834583906</v>
      </c>
      <c r="G419" s="66">
        <f t="shared" si="60"/>
        <v>4</v>
      </c>
      <c r="H419" s="10"/>
      <c r="I419" s="10">
        <f t="shared" si="56"/>
        <v>2.0206549022953612E-2</v>
      </c>
    </row>
    <row r="420" spans="1:9">
      <c r="A420" s="19">
        <f t="shared" si="57"/>
        <v>33.833333333333201</v>
      </c>
      <c r="B420" s="10">
        <f t="shared" si="53"/>
        <v>0.64048571031384816</v>
      </c>
      <c r="C420" s="10">
        <f t="shared" si="54"/>
        <v>0.81644674642360271</v>
      </c>
      <c r="D420" s="10">
        <f t="shared" si="58"/>
        <v>3.5106607957890959E-2</v>
      </c>
      <c r="E420" s="10">
        <f t="shared" si="59"/>
        <v>1.5113538575705954E-2</v>
      </c>
      <c r="F420" s="10">
        <f t="shared" si="55"/>
        <v>0.19190901725434653</v>
      </c>
      <c r="G420" s="66">
        <f t="shared" si="60"/>
        <v>2</v>
      </c>
      <c r="H420" s="10"/>
      <c r="I420" s="10">
        <f t="shared" si="56"/>
        <v>1.0079538781744253E-2</v>
      </c>
    </row>
    <row r="421" spans="1:9">
      <c r="A421" s="19">
        <f t="shared" si="57"/>
        <v>33.916666666666536</v>
      </c>
      <c r="B421" s="10">
        <f t="shared" si="53"/>
        <v>0.63860905006351687</v>
      </c>
      <c r="C421" s="10">
        <f t="shared" si="54"/>
        <v>0.81541622896352939</v>
      </c>
      <c r="D421" s="10">
        <f t="shared" si="58"/>
        <v>3.5318220068311541E-2</v>
      </c>
      <c r="E421" s="10">
        <f t="shared" si="59"/>
        <v>1.5198427305592415E-2</v>
      </c>
      <c r="F421" s="10">
        <f t="shared" si="55"/>
        <v>0.19113032863667134</v>
      </c>
      <c r="G421" s="66">
        <f t="shared" si="60"/>
        <v>4</v>
      </c>
      <c r="H421" s="10"/>
      <c r="I421" s="10">
        <f t="shared" si="56"/>
        <v>2.0111225595319967E-2</v>
      </c>
    </row>
    <row r="422" spans="1:9">
      <c r="A422" s="19">
        <f t="shared" si="57"/>
        <v>33.999999999999872</v>
      </c>
      <c r="B422" s="10">
        <f t="shared" si="53"/>
        <v>0.636726626278591</v>
      </c>
      <c r="C422" s="10">
        <f t="shared" si="54"/>
        <v>0.81438123494625181</v>
      </c>
      <c r="D422" s="10">
        <f t="shared" si="58"/>
        <v>3.5531111356804174E-2</v>
      </c>
      <c r="E422" s="10">
        <f t="shared" si="59"/>
        <v>1.5283796008699413E-2</v>
      </c>
      <c r="F422" s="10">
        <f t="shared" si="55"/>
        <v>0.19035479962020702</v>
      </c>
      <c r="G422" s="66">
        <f t="shared" si="60"/>
        <v>2</v>
      </c>
      <c r="H422" s="10"/>
      <c r="I422" s="10">
        <f t="shared" si="56"/>
        <v>1.0031496705760697E-2</v>
      </c>
    </row>
    <row r="423" spans="1:9">
      <c r="A423" s="19">
        <f t="shared" si="57"/>
        <v>34.083333333333208</v>
      </c>
      <c r="B423" s="10">
        <f t="shared" si="53"/>
        <v>0.63483845456358934</v>
      </c>
      <c r="C423" s="10">
        <f t="shared" si="54"/>
        <v>0.81334175210525794</v>
      </c>
      <c r="D423" s="10">
        <f t="shared" si="58"/>
        <v>3.5745289555896717E-2</v>
      </c>
      <c r="E423" s="10">
        <f t="shared" si="59"/>
        <v>1.5369647398865306E-2</v>
      </c>
      <c r="F423" s="10">
        <f t="shared" si="55"/>
        <v>0.18958241738457893</v>
      </c>
      <c r="G423" s="66">
        <f t="shared" si="60"/>
        <v>4</v>
      </c>
      <c r="H423" s="10"/>
      <c r="I423" s="10">
        <f t="shared" si="56"/>
        <v>2.0014381336386305E-2</v>
      </c>
    </row>
    <row r="424" spans="1:9">
      <c r="A424" s="19">
        <f t="shared" si="57"/>
        <v>34.166666666666544</v>
      </c>
      <c r="B424" s="10">
        <f t="shared" si="53"/>
        <v>0.63294455097802282</v>
      </c>
      <c r="C424" s="10">
        <f t="shared" si="54"/>
        <v>0.81229776822616973</v>
      </c>
      <c r="D424" s="10">
        <f t="shared" si="58"/>
        <v>3.5960762444859552E-2</v>
      </c>
      <c r="E424" s="10">
        <f t="shared" si="59"/>
        <v>1.5455984205272909E-2</v>
      </c>
      <c r="F424" s="10">
        <f t="shared" si="55"/>
        <v>0.18881316916143231</v>
      </c>
      <c r="G424" s="66">
        <f t="shared" si="60"/>
        <v>2</v>
      </c>
      <c r="H424" s="10"/>
      <c r="I424" s="10">
        <f t="shared" si="56"/>
        <v>9.9826948628604795E-3</v>
      </c>
    </row>
    <row r="425" spans="1:9">
      <c r="A425" s="19">
        <f t="shared" si="57"/>
        <v>34.249999999999879</v>
      </c>
      <c r="B425" s="10">
        <f t="shared" si="53"/>
        <v>0.63104493204000855</v>
      </c>
      <c r="C425" s="10">
        <f t="shared" si="54"/>
        <v>0.81124927114801648</v>
      </c>
      <c r="D425" s="10">
        <f t="shared" si="58"/>
        <v>3.6177537849988096E-2</v>
      </c>
      <c r="E425" s="10">
        <f t="shared" si="59"/>
        <v>1.5542809172536221E-2</v>
      </c>
      <c r="F425" s="10">
        <f t="shared" si="55"/>
        <v>0.18804704223422114</v>
      </c>
      <c r="G425" s="66">
        <f t="shared" si="60"/>
        <v>4</v>
      </c>
      <c r="H425" s="10"/>
      <c r="I425" s="10">
        <f t="shared" si="56"/>
        <v>1.9916018967135882E-2</v>
      </c>
    </row>
    <row r="426" spans="1:9">
      <c r="A426" s="19">
        <f t="shared" si="57"/>
        <v>34.333333333333215</v>
      </c>
      <c r="B426" s="10">
        <f t="shared" si="53"/>
        <v>0.62913961472987256</v>
      </c>
      <c r="C426" s="10">
        <f t="shared" si="54"/>
        <v>0.8101962487645189</v>
      </c>
      <c r="D426" s="10">
        <f t="shared" si="58"/>
        <v>3.6395623644887097E-2</v>
      </c>
      <c r="E426" s="10">
        <f t="shared" si="59"/>
        <v>1.5630125060787699E-2</v>
      </c>
      <c r="F426" s="10">
        <f t="shared" si="55"/>
        <v>0.18728402393799798</v>
      </c>
      <c r="G426" s="66">
        <f t="shared" si="60"/>
        <v>2</v>
      </c>
      <c r="H426" s="10"/>
      <c r="I426" s="10">
        <f t="shared" si="56"/>
        <v>9.9331347401680637E-3</v>
      </c>
    </row>
    <row r="427" spans="1:9">
      <c r="A427" s="19">
        <f t="shared" si="57"/>
        <v>34.416666666666551</v>
      </c>
      <c r="B427" s="10">
        <f t="shared" si="53"/>
        <v>0.62722861649374362</v>
      </c>
      <c r="C427" s="10">
        <f t="shared" si="54"/>
        <v>0.80913868902538633</v>
      </c>
      <c r="D427" s="10">
        <f t="shared" si="58"/>
        <v>3.6615027750756618E-2</v>
      </c>
      <c r="E427" s="10">
        <f t="shared" si="59"/>
        <v>1.5717934645765985E-2</v>
      </c>
      <c r="F427" s="10">
        <f t="shared" si="55"/>
        <v>0.18652410165920455</v>
      </c>
      <c r="G427" s="66">
        <f t="shared" si="60"/>
        <v>4</v>
      </c>
      <c r="H427" s="10"/>
      <c r="I427" s="10">
        <f t="shared" si="56"/>
        <v>1.9816141717410224E-2</v>
      </c>
    </row>
    <row r="428" spans="1:9">
      <c r="A428" s="19">
        <f t="shared" si="57"/>
        <v>34.499999999999886</v>
      </c>
      <c r="B428" s="10">
        <f t="shared" si="53"/>
        <v>0.6253119552471329</v>
      </c>
      <c r="C428" s="10">
        <f t="shared" si="54"/>
        <v>0.80807657993762583</v>
      </c>
      <c r="D428" s="10">
        <f t="shared" si="58"/>
        <v>3.6835758136679705E-2</v>
      </c>
      <c r="E428" s="10">
        <f t="shared" si="59"/>
        <v>1.580624071890414E-2</v>
      </c>
      <c r="F428" s="10">
        <f t="shared" si="55"/>
        <v>0.1857672628354633</v>
      </c>
      <c r="G428" s="66">
        <f t="shared" si="60"/>
        <v>2</v>
      </c>
      <c r="H428" s="10"/>
      <c r="I428" s="10">
        <f t="shared" si="56"/>
        <v>9.8828180815588116E-3</v>
      </c>
    </row>
    <row r="429" spans="1:9">
      <c r="A429" s="19">
        <f t="shared" si="57"/>
        <v>34.583333333333222</v>
      </c>
      <c r="B429" s="10">
        <f t="shared" si="53"/>
        <v>0.62338964937850272</v>
      </c>
      <c r="C429" s="10">
        <f t="shared" si="54"/>
        <v>0.80700990956686469</v>
      </c>
      <c r="D429" s="10">
        <f t="shared" si="58"/>
        <v>3.7057822819911906E-2</v>
      </c>
      <c r="E429" s="10">
        <f t="shared" si="59"/>
        <v>1.5895046087418409E-2</v>
      </c>
      <c r="F429" s="10">
        <f t="shared" si="55"/>
        <v>0.1850134949553697</v>
      </c>
      <c r="G429" s="66">
        <f t="shared" si="60"/>
        <v>4</v>
      </c>
      <c r="H429" s="10"/>
      <c r="I429" s="10">
        <f t="shared" si="56"/>
        <v>1.9714753335174764E-2</v>
      </c>
    </row>
    <row r="430" spans="1:9">
      <c r="A430" s="19">
        <f t="shared" si="57"/>
        <v>34.666666666666558</v>
      </c>
      <c r="B430" s="10">
        <f t="shared" si="53"/>
        <v>0.62146171775282222</v>
      </c>
      <c r="C430" s="10">
        <f t="shared" si="54"/>
        <v>0.80593866603868514</v>
      </c>
      <c r="D430" s="10">
        <f t="shared" si="58"/>
        <v>3.7281229866172404E-2</v>
      </c>
      <c r="E430" s="10">
        <f t="shared" si="59"/>
        <v>1.5984353574397446E-2</v>
      </c>
      <c r="F430" s="10">
        <f t="shared" si="55"/>
        <v>0.1842627855582854</v>
      </c>
      <c r="G430" s="66">
        <f t="shared" si="60"/>
        <v>2</v>
      </c>
      <c r="H430" s="10"/>
      <c r="I430" s="10">
        <f t="shared" si="56"/>
        <v>9.83174689226975E-3</v>
      </c>
    </row>
    <row r="431" spans="1:9">
      <c r="A431" s="19">
        <f t="shared" si="57"/>
        <v>34.749999999999893</v>
      </c>
      <c r="B431" s="10">
        <f t="shared" si="53"/>
        <v>0.61952817971510743</v>
      </c>
      <c r="C431" s="10">
        <f t="shared" si="54"/>
        <v>0.80486283753997212</v>
      </c>
      <c r="D431" s="10">
        <f t="shared" si="58"/>
        <v>3.7505987389936997E-2</v>
      </c>
      <c r="E431" s="10">
        <f t="shared" si="59"/>
        <v>1.6074166018892042E-2</v>
      </c>
      <c r="F431" s="10">
        <f t="shared" si="55"/>
        <v>0.18351512223413219</v>
      </c>
      <c r="G431" s="66">
        <f t="shared" si="60"/>
        <v>4</v>
      </c>
      <c r="H431" s="10"/>
      <c r="I431" s="10">
        <f t="shared" si="56"/>
        <v>1.9611858095693758E-2</v>
      </c>
    </row>
    <row r="432" spans="1:9">
      <c r="A432" s="19">
        <f t="shared" si="57"/>
        <v>34.833333333333229</v>
      </c>
      <c r="B432" s="10">
        <f t="shared" si="53"/>
        <v>0.61758905509394801</v>
      </c>
      <c r="C432" s="10">
        <f t="shared" si="54"/>
        <v>0.80378241232027248</v>
      </c>
      <c r="D432" s="10">
        <f t="shared" si="58"/>
        <v>3.7732103554732846E-2</v>
      </c>
      <c r="E432" s="10">
        <f t="shared" si="59"/>
        <v>1.6164486276005405E-2</v>
      </c>
      <c r="F432" s="10">
        <f t="shared" si="55"/>
        <v>0.1827704926231869</v>
      </c>
      <c r="G432" s="66">
        <f t="shared" si="60"/>
        <v>2</v>
      </c>
      <c r="H432" s="10"/>
      <c r="I432" s="10">
        <f t="shared" si="56"/>
        <v>9.7799234434623045E-3</v>
      </c>
    </row>
    <row r="433" spans="1:9">
      <c r="A433" s="19">
        <f t="shared" si="57"/>
        <v>34.916666666666565</v>
      </c>
      <c r="B433" s="10">
        <f t="shared" si="53"/>
        <v>0.61564436420501611</v>
      </c>
      <c r="C433" s="10">
        <f t="shared" si="54"/>
        <v>0.80269737869316948</v>
      </c>
      <c r="D433" s="10">
        <f t="shared" si="58"/>
        <v>3.795958657343497E-2</v>
      </c>
      <c r="E433" s="10">
        <f t="shared" si="59"/>
        <v>1.6255317216983922E-2</v>
      </c>
      <c r="F433" s="10">
        <f t="shared" si="55"/>
        <v>0.1820288844158772</v>
      </c>
      <c r="G433" s="66">
        <f t="shared" si="60"/>
        <v>4</v>
      </c>
      <c r="H433" s="10"/>
      <c r="I433" s="10">
        <f t="shared" si="56"/>
        <v>1.9507460810603342E-2</v>
      </c>
    </row>
    <row r="434" spans="1:9">
      <c r="A434" s="19">
        <f t="shared" si="57"/>
        <v>34.999999999999901</v>
      </c>
      <c r="B434" s="10">
        <f t="shared" si="53"/>
        <v>0.61369412785456023</v>
      </c>
      <c r="C434" s="10">
        <f t="shared" si="54"/>
        <v>0.80160772503766708</v>
      </c>
      <c r="D434" s="10">
        <f t="shared" si="58"/>
        <v>3.8188444708564556E-2</v>
      </c>
      <c r="E434" s="10">
        <f t="shared" si="59"/>
        <v>1.63466617293084E-2</v>
      </c>
      <c r="F434" s="10">
        <f t="shared" si="55"/>
        <v>0.18129028535257782</v>
      </c>
      <c r="G434" s="66">
        <f t="shared" si="60"/>
        <v>2</v>
      </c>
      <c r="H434" s="10"/>
      <c r="I434" s="10">
        <f t="shared" si="56"/>
        <v>9.7273502767312985E-3</v>
      </c>
    </row>
    <row r="435" spans="1:9">
      <c r="A435" s="19">
        <f t="shared" si="57"/>
        <v>35.083333333333236</v>
      </c>
      <c r="B435" s="10">
        <f t="shared" si="53"/>
        <v>0.6117383673428799</v>
      </c>
      <c r="C435" s="10">
        <f t="shared" si="54"/>
        <v>0.80051343979958955</v>
      </c>
      <c r="D435" s="10">
        <f t="shared" si="58"/>
        <v>3.8418686272589042E-2</v>
      </c>
      <c r="E435" s="10">
        <f t="shared" si="59"/>
        <v>1.6438522716785905E-2</v>
      </c>
      <c r="F435" s="10">
        <f t="shared" si="55"/>
        <v>0.18055468322340829</v>
      </c>
      <c r="G435" s="66">
        <f t="shared" si="60"/>
        <v>4</v>
      </c>
      <c r="H435" s="10"/>
      <c r="I435" s="10">
        <f t="shared" si="56"/>
        <v>1.9401566836871529E-2</v>
      </c>
    </row>
    <row r="436" spans="1:9">
      <c r="A436" s="19">
        <f t="shared" si="57"/>
        <v>35.166666666666572</v>
      </c>
      <c r="B436" s="10">
        <f t="shared" si="53"/>
        <v>0.60977710446778288</v>
      </c>
      <c r="C436" s="10">
        <f t="shared" si="54"/>
        <v>0.79941451149299325</v>
      </c>
      <c r="D436" s="10">
        <f t="shared" si="58"/>
        <v>3.8650319628224086E-2</v>
      </c>
      <c r="E436" s="10">
        <f t="shared" si="59"/>
        <v>1.6530903099642034E-2</v>
      </c>
      <c r="F436" s="10">
        <f t="shared" si="55"/>
        <v>0.17982206586803051</v>
      </c>
      <c r="G436" s="66">
        <f t="shared" si="60"/>
        <v>2</v>
      </c>
      <c r="H436" s="10"/>
      <c r="I436" s="10">
        <f t="shared" si="56"/>
        <v>9.6740302085543857E-3</v>
      </c>
    </row>
    <row r="437" spans="1:9">
      <c r="A437" s="19">
        <f t="shared" si="57"/>
        <v>35.249999999999908</v>
      </c>
      <c r="B437" s="10">
        <f t="shared" si="53"/>
        <v>0.60781036152802159</v>
      </c>
      <c r="C437" s="10">
        <f t="shared" si="54"/>
        <v>0.79831092870158993</v>
      </c>
      <c r="D437" s="10">
        <f t="shared" si="58"/>
        <v>3.8883353188737271E-2</v>
      </c>
      <c r="E437" s="10">
        <f t="shared" si="59"/>
        <v>1.6623805814613781E-2</v>
      </c>
      <c r="F437" s="10">
        <f t="shared" si="55"/>
        <v>0.17909242117544844</v>
      </c>
      <c r="G437" s="66">
        <f t="shared" si="60"/>
        <v>4</v>
      </c>
      <c r="H437" s="10"/>
      <c r="I437" s="10">
        <f t="shared" si="56"/>
        <v>1.9294182085633185E-2</v>
      </c>
    </row>
    <row r="438" spans="1:9">
      <c r="A438" s="19">
        <f t="shared" si="57"/>
        <v>35.333333333333243</v>
      </c>
      <c r="B438" s="10">
        <f t="shared" si="53"/>
        <v>0.60583816132670976</v>
      </c>
      <c r="C438" s="10">
        <f t="shared" si="54"/>
        <v>0.79720268008018547</v>
      </c>
      <c r="D438" s="10">
        <f t="shared" si="58"/>
        <v>3.9117795418253699E-2</v>
      </c>
      <c r="E438" s="10">
        <f t="shared" si="59"/>
        <v>1.6717233815042861E-2</v>
      </c>
      <c r="F438" s="10">
        <f t="shared" si="55"/>
        <v>0.17836573708380732</v>
      </c>
      <c r="G438" s="66">
        <f t="shared" si="60"/>
        <v>2</v>
      </c>
      <c r="H438" s="10"/>
      <c r="I438" s="10">
        <f t="shared" si="56"/>
        <v>9.6199663346761173E-3</v>
      </c>
    </row>
    <row r="439" spans="1:9">
      <c r="A439" s="19">
        <f t="shared" si="57"/>
        <v>35.416666666666579</v>
      </c>
      <c r="B439" s="10">
        <f t="shared" si="53"/>
        <v>0.60386052717471728</v>
      </c>
      <c r="C439" s="10">
        <f t="shared" si="54"/>
        <v>0.79608975435612994</v>
      </c>
      <c r="D439" s="10">
        <f t="shared" si="58"/>
        <v>3.9353654832063434E-2</v>
      </c>
      <c r="E439" s="10">
        <f t="shared" si="59"/>
        <v>1.6811190070969623E-2</v>
      </c>
      <c r="F439" s="10">
        <f t="shared" si="55"/>
        <v>0.17764200158019453</v>
      </c>
      <c r="G439" s="66">
        <f t="shared" si="60"/>
        <v>4</v>
      </c>
      <c r="H439" s="10"/>
      <c r="I439" s="10">
        <f t="shared" si="56"/>
        <v>1.9185313030888031E-2</v>
      </c>
    </row>
    <row r="440" spans="1:9">
      <c r="A440" s="19">
        <f t="shared" si="57"/>
        <v>35.499999999999915</v>
      </c>
      <c r="B440" s="10">
        <f t="shared" si="53"/>
        <v>0.60187748289404264</v>
      </c>
      <c r="C440" s="10">
        <f t="shared" si="54"/>
        <v>0.79497214033078123</v>
      </c>
      <c r="D440" s="10">
        <f t="shared" si="58"/>
        <v>3.9590939996930759E-2</v>
      </c>
      <c r="E440" s="10">
        <f t="shared" si="59"/>
        <v>1.6905677569227468E-2</v>
      </c>
      <c r="F440" s="10">
        <f t="shared" si="55"/>
        <v>0.17692120270044095</v>
      </c>
      <c r="G440" s="66">
        <f t="shared" si="60"/>
        <v>2</v>
      </c>
      <c r="H440" s="10"/>
      <c r="I440" s="10">
        <f t="shared" si="56"/>
        <v>9.5651620344203627E-3</v>
      </c>
    </row>
    <row r="441" spans="1:9">
      <c r="A441" s="19">
        <f t="shared" si="57"/>
        <v>35.58333333333325</v>
      </c>
      <c r="B441" s="10">
        <f t="shared" si="53"/>
        <v>0.59988905282116178</v>
      </c>
      <c r="C441" s="10">
        <f t="shared" si="54"/>
        <v>0.79384982688098149</v>
      </c>
      <c r="D441" s="10">
        <f t="shared" si="58"/>
        <v>3.9829659531405368E-2</v>
      </c>
      <c r="E441" s="10">
        <f t="shared" si="59"/>
        <v>1.7000699313537738E-2</v>
      </c>
      <c r="F441" s="10">
        <f t="shared" si="55"/>
        <v>0.17620332852892331</v>
      </c>
      <c r="G441" s="66">
        <f t="shared" si="60"/>
        <v>4</v>
      </c>
      <c r="H441" s="10"/>
      <c r="I441" s="10">
        <f t="shared" si="56"/>
        <v>1.9074966718049358E-2</v>
      </c>
    </row>
    <row r="442" spans="1:9">
      <c r="A442" s="19">
        <f t="shared" si="57"/>
        <v>35.666666666666586</v>
      </c>
      <c r="B442" s="10">
        <f t="shared" si="53"/>
        <v>0.59789526181035224</v>
      </c>
      <c r="C442" s="10">
        <f t="shared" si="54"/>
        <v>0.79272280296054776</v>
      </c>
      <c r="D442" s="10">
        <f t="shared" si="58"/>
        <v>4.0069822106135404E-2</v>
      </c>
      <c r="E442" s="10">
        <f t="shared" si="59"/>
        <v>1.7096258324605304E-2</v>
      </c>
      <c r="F442" s="10">
        <f t="shared" si="55"/>
        <v>0.1754883671983668</v>
      </c>
      <c r="G442" s="66">
        <f t="shared" si="60"/>
        <v>2</v>
      </c>
      <c r="H442" s="10"/>
      <c r="I442" s="10">
        <f t="shared" si="56"/>
        <v>9.5096209749249688E-3</v>
      </c>
    </row>
    <row r="443" spans="1:9">
      <c r="A443" s="19">
        <f t="shared" si="57"/>
        <v>35.749999999999922</v>
      </c>
      <c r="B443" s="10">
        <f t="shared" si="53"/>
        <v>0.59589613523699236</v>
      </c>
      <c r="C443" s="10">
        <f t="shared" si="54"/>
        <v>0.79159105760177384</v>
      </c>
      <c r="D443" s="10">
        <f t="shared" si="58"/>
        <v>4.0311436444182336E-2</v>
      </c>
      <c r="E443" s="10">
        <f t="shared" si="59"/>
        <v>1.7192357640214522E-2</v>
      </c>
      <c r="F443" s="10">
        <f t="shared" si="55"/>
        <v>0.17477630688964943</v>
      </c>
      <c r="G443" s="66">
        <f t="shared" si="60"/>
        <v>4</v>
      </c>
      <c r="H443" s="10"/>
      <c r="I443" s="10">
        <f t="shared" si="56"/>
        <v>1.8963150772330687E-2</v>
      </c>
    </row>
    <row r="444" spans="1:9">
      <c r="A444" s="19">
        <f t="shared" si="57"/>
        <v>35.833333333333258</v>
      </c>
      <c r="B444" s="10">
        <f t="shared" si="53"/>
        <v>0.5938916990008335</v>
      </c>
      <c r="C444" s="10">
        <f t="shared" si="54"/>
        <v>0.79045457991694734</v>
      </c>
      <c r="D444" s="10">
        <f t="shared" si="58"/>
        <v>4.0554511321337881E-2</v>
      </c>
      <c r="E444" s="10">
        <f t="shared" si="59"/>
        <v>1.7289000315325823E-2</v>
      </c>
      <c r="F444" s="10">
        <f t="shared" si="55"/>
        <v>0.17406713583160632</v>
      </c>
      <c r="G444" s="66">
        <f t="shared" si="60"/>
        <v>2</v>
      </c>
      <c r="H444" s="10"/>
      <c r="I444" s="10">
        <f t="shared" si="56"/>
        <v>9.4533471152921864E-3</v>
      </c>
    </row>
    <row r="445" spans="1:9">
      <c r="A445" s="19">
        <f t="shared" si="57"/>
        <v>35.916666666666593</v>
      </c>
      <c r="B445" s="10">
        <f t="shared" si="53"/>
        <v>0.59188197952924448</v>
      </c>
      <c r="C445" s="10">
        <f t="shared" si="54"/>
        <v>0.7893133590998791</v>
      </c>
      <c r="D445" s="10">
        <f t="shared" si="58"/>
        <v>4.0799055566442664E-2</v>
      </c>
      <c r="E445" s="10">
        <f t="shared" si="59"/>
        <v>1.7386189422172835E-2</v>
      </c>
      <c r="F445" s="10">
        <f t="shared" si="55"/>
        <v>0.17336084230083515</v>
      </c>
      <c r="G445" s="66">
        <f t="shared" si="60"/>
        <v>4</v>
      </c>
      <c r="H445" s="10"/>
      <c r="I445" s="10">
        <f t="shared" si="56"/>
        <v>1.8849873406957544E-2</v>
      </c>
    </row>
    <row r="446" spans="1:9">
      <c r="A446" s="19">
        <f t="shared" si="57"/>
        <v>35.999999999999929</v>
      </c>
      <c r="B446" s="10">
        <f t="shared" si="53"/>
        <v>0.58986700378042789</v>
      </c>
      <c r="C446" s="10">
        <f t="shared" si="54"/>
        <v>0.78816738442744516</v>
      </c>
      <c r="D446" s="10">
        <f t="shared" si="58"/>
        <v>4.1045078061706972E-2</v>
      </c>
      <c r="E446" s="10">
        <f t="shared" si="59"/>
        <v>1.7483928050360031E-2</v>
      </c>
      <c r="F446" s="10">
        <f t="shared" si="55"/>
        <v>0.17265741462150247</v>
      </c>
      <c r="G446" s="66">
        <f t="shared" si="60"/>
        <v>2</v>
      </c>
      <c r="H446" s="10"/>
      <c r="I446" s="10">
        <f t="shared" si="56"/>
        <v>9.3963447106483362E-3</v>
      </c>
    </row>
    <row r="447" spans="1:9">
      <c r="A447" s="19">
        <f t="shared" si="57"/>
        <v>36.083333333333265</v>
      </c>
      <c r="B447" s="10">
        <f t="shared" si="53"/>
        <v>0.58784679924660643</v>
      </c>
      <c r="C447" s="10">
        <f t="shared" si="54"/>
        <v>0.78701664526114345</v>
      </c>
      <c r="D447" s="10">
        <f t="shared" si="58"/>
        <v>4.1292587743033293E-2</v>
      </c>
      <c r="E447" s="10">
        <f t="shared" si="59"/>
        <v>1.758221930696096E-2</v>
      </c>
      <c r="F447" s="10">
        <f t="shared" si="55"/>
        <v>0.17195684116515048</v>
      </c>
      <c r="G447" s="66">
        <f t="shared" si="60"/>
        <v>4</v>
      </c>
      <c r="H447" s="10"/>
      <c r="I447" s="10">
        <f t="shared" si="56"/>
        <v>1.8735143431190971E-2</v>
      </c>
    </row>
    <row r="448" spans="1:9">
      <c r="A448" s="19">
        <f t="shared" si="57"/>
        <v>36.1666666666666</v>
      </c>
      <c r="B448" s="10">
        <f t="shared" si="53"/>
        <v>0.58582139395717781</v>
      </c>
      <c r="C448" s="10">
        <f t="shared" si="54"/>
        <v>0.78586113104866251</v>
      </c>
      <c r="D448" s="10">
        <f t="shared" si="58"/>
        <v>4.1541593600340966E-2</v>
      </c>
      <c r="E448" s="10">
        <f t="shared" si="59"/>
        <v>1.7681066316617026E-2</v>
      </c>
      <c r="F448" s="10">
        <f t="shared" si="55"/>
        <v>0.17125911035050501</v>
      </c>
      <c r="G448" s="66">
        <f t="shared" si="60"/>
        <v>2</v>
      </c>
      <c r="H448" s="10"/>
      <c r="I448" s="10">
        <f t="shared" si="56"/>
        <v>9.3386183161059521E-3</v>
      </c>
    </row>
    <row r="449" spans="1:9">
      <c r="A449" s="19">
        <f t="shared" si="57"/>
        <v>36.249999999999936</v>
      </c>
      <c r="B449" s="10">
        <f t="shared" si="53"/>
        <v>0.5837908164818395</v>
      </c>
      <c r="C449" s="10">
        <f t="shared" si="54"/>
        <v>0.78470083132546498</v>
      </c>
      <c r="D449" s="10">
        <f t="shared" si="58"/>
        <v>4.1792104677892676E-2</v>
      </c>
      <c r="E449" s="10">
        <f t="shared" si="59"/>
        <v>1.7780472221636794E-2</v>
      </c>
      <c r="F449" s="10">
        <f t="shared" si="55"/>
        <v>0.17056421064328398</v>
      </c>
      <c r="G449" s="66">
        <f t="shared" si="60"/>
        <v>4</v>
      </c>
      <c r="H449" s="10"/>
      <c r="I449" s="10">
        <f t="shared" si="56"/>
        <v>1.861897025814923E-2</v>
      </c>
    </row>
    <row r="450" spans="1:9">
      <c r="A450" s="19">
        <f t="shared" si="57"/>
        <v>36.333333333333272</v>
      </c>
      <c r="B450" s="10">
        <f t="shared" si="53"/>
        <v>0.58175509593367825</v>
      </c>
      <c r="C450" s="10">
        <f t="shared" si="54"/>
        <v>0.78353573571638213</v>
      </c>
      <c r="D450" s="10">
        <f t="shared" si="58"/>
        <v>4.20441300746228E-2</v>
      </c>
      <c r="E450" s="10">
        <f t="shared" si="59"/>
        <v>1.7880440182095909E-2</v>
      </c>
      <c r="F450" s="10">
        <f t="shared" si="55"/>
        <v>0.16987213055600672</v>
      </c>
      <c r="G450" s="66">
        <f t="shared" si="60"/>
        <v>2</v>
      </c>
      <c r="H450" s="10"/>
      <c r="I450" s="10">
        <f t="shared" si="56"/>
        <v>9.2801727906216529E-3</v>
      </c>
    </row>
    <row r="451" spans="1:9">
      <c r="A451" s="19">
        <f t="shared" si="57"/>
        <v>36.416666666666607</v>
      </c>
      <c r="B451" s="10">
        <f t="shared" si="53"/>
        <v>0.57971426197222631</v>
      </c>
      <c r="C451" s="10">
        <f t="shared" si="54"/>
        <v>0.78236583393722492</v>
      </c>
      <c r="D451" s="10">
        <f t="shared" si="58"/>
        <v>4.2297678944468266E-2</v>
      </c>
      <c r="E451" s="10">
        <f t="shared" si="59"/>
        <v>1.7980973375937546E-2</v>
      </c>
      <c r="F451" s="10">
        <f t="shared" si="55"/>
        <v>0.16918285864780408</v>
      </c>
      <c r="G451" s="66">
        <f t="shared" si="60"/>
        <v>4</v>
      </c>
      <c r="H451" s="10"/>
      <c r="I451" s="10">
        <f t="shared" si="56"/>
        <v>1.850136391241396E-2</v>
      </c>
    </row>
    <row r="452" spans="1:9">
      <c r="A452" s="19">
        <f t="shared" si="57"/>
        <v>36.499999999999943</v>
      </c>
      <c r="B452" s="10">
        <f t="shared" si="53"/>
        <v>0.57766834480648377</v>
      </c>
      <c r="C452" s="10">
        <f t="shared" si="54"/>
        <v>0.78119111579640488</v>
      </c>
      <c r="D452" s="10">
        <f t="shared" si="58"/>
        <v>4.2552760496700634E-2</v>
      </c>
      <c r="E452" s="10">
        <f t="shared" si="59"/>
        <v>1.8082074999073425E-2</v>
      </c>
      <c r="F452" s="10">
        <f t="shared" si="55"/>
        <v>0.16849638352422927</v>
      </c>
      <c r="G452" s="66">
        <f t="shared" si="60"/>
        <v>2</v>
      </c>
      <c r="H452" s="10"/>
      <c r="I452" s="10">
        <f t="shared" si="56"/>
        <v>9.2210133007426271E-3</v>
      </c>
    </row>
    <row r="453" spans="1:9">
      <c r="A453" s="19">
        <f t="shared" si="57"/>
        <v>36.583333333333279</v>
      </c>
      <c r="B453" s="10">
        <f t="shared" si="53"/>
        <v>0.57561737519790213</v>
      </c>
      <c r="C453" s="10">
        <f t="shared" si="54"/>
        <v>0.78001157119657216</v>
      </c>
      <c r="D453" s="10">
        <f t="shared" si="58"/>
        <v>4.2809383996260893E-2</v>
      </c>
      <c r="E453" s="10">
        <f t="shared" si="59"/>
        <v>1.8183748265485411E-2</v>
      </c>
      <c r="F453" s="10">
        <f t="shared" si="55"/>
        <v>0.16781269383706957</v>
      </c>
      <c r="G453" s="66">
        <f t="shared" si="60"/>
        <v>4</v>
      </c>
      <c r="H453" s="10"/>
      <c r="I453" s="10">
        <f t="shared" si="56"/>
        <v>1.8382335037406591E-2</v>
      </c>
    </row>
    <row r="454" spans="1:9">
      <c r="A454" s="19">
        <f t="shared" si="57"/>
        <v>36.666666666666615</v>
      </c>
      <c r="B454" s="10">
        <f t="shared" si="53"/>
        <v>0.57356138446333127</v>
      </c>
      <c r="C454" s="10">
        <f t="shared" si="54"/>
        <v>0.77882719013626356</v>
      </c>
      <c r="D454" s="10">
        <f t="shared" si="58"/>
        <v>4.3067558764095633E-2</v>
      </c>
      <c r="E454" s="10">
        <f t="shared" si="59"/>
        <v>1.8285996407327709E-2</v>
      </c>
      <c r="F454" s="10">
        <f t="shared" si="55"/>
        <v>0.16713177828415859</v>
      </c>
      <c r="G454" s="66">
        <f t="shared" si="60"/>
        <v>2</v>
      </c>
      <c r="H454" s="10"/>
      <c r="I454" s="10">
        <f t="shared" si="56"/>
        <v>9.1611453242347388E-3</v>
      </c>
    </row>
    <row r="455" spans="1:9">
      <c r="A455" s="19">
        <f t="shared" si="57"/>
        <v>36.74999999999995</v>
      </c>
      <c r="B455" s="10">
        <f t="shared" si="53"/>
        <v>0.5715004044779286</v>
      </c>
      <c r="C455" s="10">
        <f t="shared" si="54"/>
        <v>0.7776379627115666</v>
      </c>
      <c r="D455" s="10">
        <f t="shared" si="58"/>
        <v>4.3327294177496097E-2</v>
      </c>
      <c r="E455" s="10">
        <f t="shared" si="59"/>
        <v>1.8388822675029573E-2</v>
      </c>
      <c r="F455" s="10">
        <f t="shared" si="55"/>
        <v>0.16645362560918969</v>
      </c>
      <c r="G455" s="66">
        <f t="shared" si="60"/>
        <v>4</v>
      </c>
      <c r="H455" s="10"/>
      <c r="I455" s="10">
        <f t="shared" si="56"/>
        <v>1.8261894902520528E-2</v>
      </c>
    </row>
    <row r="456" spans="1:9">
      <c r="A456" s="19">
        <f t="shared" si="57"/>
        <v>36.833333333333286</v>
      </c>
      <c r="B456" s="10">
        <f t="shared" si="53"/>
        <v>0.56943446767802619</v>
      </c>
      <c r="C456" s="10">
        <f t="shared" si="54"/>
        <v>0.77644387911779544</v>
      </c>
      <c r="D456" s="10">
        <f t="shared" si="58"/>
        <v>4.3588599670438301E-2</v>
      </c>
      <c r="E456" s="10">
        <f t="shared" si="59"/>
        <v>1.8492230337398666E-2</v>
      </c>
      <c r="F456" s="10">
        <f t="shared" si="55"/>
        <v>0.16577822460152958</v>
      </c>
      <c r="G456" s="66">
        <f t="shared" si="60"/>
        <v>2</v>
      </c>
      <c r="H456" s="10"/>
      <c r="I456" s="10">
        <f t="shared" si="56"/>
        <v>9.1005746535848756E-3</v>
      </c>
    </row>
    <row r="457" spans="1:9">
      <c r="A457" s="19">
        <f t="shared" si="57"/>
        <v>36.916666666666622</v>
      </c>
      <c r="B457" s="10">
        <f t="shared" si="53"/>
        <v>0.56736360706395916</v>
      </c>
      <c r="C457" s="10">
        <f t="shared" si="54"/>
        <v>0.7752449296511813</v>
      </c>
      <c r="D457" s="10">
        <f t="shared" si="58"/>
        <v>4.3851484733925986E-2</v>
      </c>
      <c r="E457" s="10">
        <f t="shared" si="59"/>
        <v>1.8596222681724967E-2</v>
      </c>
      <c r="F457" s="10">
        <f t="shared" si="55"/>
        <v>0.16510556409603327</v>
      </c>
      <c r="G457" s="66">
        <f t="shared" si="60"/>
        <v>4</v>
      </c>
      <c r="H457" s="10"/>
      <c r="I457" s="10">
        <f t="shared" si="56"/>
        <v>1.8140055409994835E-2</v>
      </c>
    </row>
    <row r="458" spans="1:9">
      <c r="A458" s="19">
        <f t="shared" si="57"/>
        <v>36.999999999999957</v>
      </c>
      <c r="B458" s="10">
        <f t="shared" si="53"/>
        <v>0.56528785620284838</v>
      </c>
      <c r="C458" s="10">
        <f t="shared" si="54"/>
        <v>0.77404110471057519</v>
      </c>
      <c r="D458" s="10">
        <f t="shared" si="58"/>
        <v>4.4115958916335067E-2</v>
      </c>
      <c r="E458" s="10">
        <f t="shared" si="59"/>
        <v>1.8700803013885266E-2</v>
      </c>
      <c r="F458" s="10">
        <f t="shared" si="55"/>
        <v>0.16443563297285926</v>
      </c>
      <c r="G458" s="66">
        <f t="shared" si="60"/>
        <v>2</v>
      </c>
      <c r="H458" s="10"/>
      <c r="I458" s="10">
        <f t="shared" si="56"/>
        <v>9.0393073993702659E-3</v>
      </c>
    </row>
    <row r="459" spans="1:9">
      <c r="A459" s="19">
        <f t="shared" si="57"/>
        <v>37.083333333333293</v>
      </c>
      <c r="B459" s="10">
        <f t="shared" si="53"/>
        <v>0.56320724923134324</v>
      </c>
      <c r="C459" s="10">
        <f t="shared" si="54"/>
        <v>0.77283239479916577</v>
      </c>
      <c r="D459" s="10">
        <f t="shared" si="58"/>
        <v>4.4382031823760874E-2</v>
      </c>
      <c r="E459" s="10">
        <f t="shared" si="59"/>
        <v>1.8805974658448261E-2</v>
      </c>
      <c r="F459" s="10">
        <f t="shared" si="55"/>
        <v>0.16376842015728593</v>
      </c>
      <c r="G459" s="66">
        <f t="shared" si="60"/>
        <v>4</v>
      </c>
      <c r="H459" s="10"/>
      <c r="I459" s="10">
        <f t="shared" si="56"/>
        <v>1.8016829101513886E-2</v>
      </c>
    </row>
    <row r="460" spans="1:9">
      <c r="A460" s="19">
        <f t="shared" si="57"/>
        <v>37.166666666666629</v>
      </c>
      <c r="B460" s="10">
        <f t="shared" si="53"/>
        <v>0.56112182085831663</v>
      </c>
      <c r="C460" s="10">
        <f t="shared" si="54"/>
        <v>0.77161879052620874</v>
      </c>
      <c r="D460" s="10">
        <f t="shared" si="58"/>
        <v>4.4649713120366662E-2</v>
      </c>
      <c r="E460" s="10">
        <f t="shared" si="59"/>
        <v>1.8911740958780249E-2</v>
      </c>
      <c r="F460" s="10">
        <f t="shared" si="55"/>
        <v>0.16310391461952833</v>
      </c>
      <c r="G460" s="66">
        <f t="shared" si="60"/>
        <v>2</v>
      </c>
      <c r="H460" s="10"/>
      <c r="I460" s="10">
        <f t="shared" si="56"/>
        <v>8.9773499934871128E-3</v>
      </c>
    </row>
    <row r="461" spans="1:9">
      <c r="A461" s="19">
        <f t="shared" si="57"/>
        <v>37.249999999999964</v>
      </c>
      <c r="B461" s="10">
        <f t="shared" si="53"/>
        <v>0.55903160636751581</v>
      </c>
      <c r="C461" s="10">
        <f t="shared" si="54"/>
        <v>0.77040028260877214</v>
      </c>
      <c r="D461" s="10">
        <f t="shared" si="58"/>
        <v>4.491901252873471E-2</v>
      </c>
      <c r="E461" s="10">
        <f t="shared" si="59"/>
        <v>1.9018105277151403E-2</v>
      </c>
      <c r="F461" s="10">
        <f t="shared" si="55"/>
        <v>0.16244210537455592</v>
      </c>
      <c r="G461" s="66">
        <f t="shared" si="60"/>
        <v>4</v>
      </c>
      <c r="H461" s="10"/>
      <c r="I461" s="10">
        <f t="shared" si="56"/>
        <v>1.7892229164518606E-2</v>
      </c>
    </row>
    <row r="462" spans="1:9">
      <c r="A462" s="19">
        <f t="shared" si="57"/>
        <v>37.3333333333333</v>
      </c>
      <c r="B462" s="10">
        <f t="shared" ref="B462:B525" si="61">(B$9^A462)*B$10^((B$6^28)*((B$6^A462)-1))</f>
        <v>0.55693664162016387</v>
      </c>
      <c r="C462" s="10">
        <f t="shared" ref="C462:C525" si="62">(B$9^A462)*B$11^((B$7^24)*((B$7^A462)-1))</f>
        <v>0.76917686187349221</v>
      </c>
      <c r="D462" s="10">
        <f t="shared" si="58"/>
        <v>4.5189939830219635E-2</v>
      </c>
      <c r="E462" s="10">
        <f t="shared" si="59"/>
        <v>1.9125070994842657E-2</v>
      </c>
      <c r="F462" s="10">
        <f t="shared" si="55"/>
        <v>0.16178298148191095</v>
      </c>
      <c r="G462" s="66">
        <f t="shared" si="60"/>
        <v>2</v>
      </c>
      <c r="H462" s="10"/>
      <c r="I462" s="10">
        <f t="shared" si="56"/>
        <v>8.9147091922310816E-3</v>
      </c>
    </row>
    <row r="463" spans="1:9">
      <c r="A463" s="19">
        <f t="shared" si="57"/>
        <v>37.416666666666636</v>
      </c>
      <c r="B463" s="10">
        <f t="shared" si="61"/>
        <v>0.55483696305751395</v>
      </c>
      <c r="C463" s="10">
        <f t="shared" si="62"/>
        <v>0.76794851925834529</v>
      </c>
      <c r="D463" s="10">
        <f t="shared" si="58"/>
        <v>4.5462504865303462E-2</v>
      </c>
      <c r="E463" s="10">
        <f t="shared" si="59"/>
        <v>1.923264151225321E-2</v>
      </c>
      <c r="F463" s="10">
        <f t="shared" ref="F463:F526" si="63">(1+B$8)^-A463</f>
        <v>0.16112653204552749</v>
      </c>
      <c r="G463" s="66">
        <f t="shared" si="60"/>
        <v>4</v>
      </c>
      <c r="H463" s="10"/>
      <c r="I463" s="10">
        <f t="shared" ref="I463:I526" si="64">B463*C463*(D463+E463)*F463*G463</f>
        <v>1.7766269438213262E-2</v>
      </c>
    </row>
    <row r="464" spans="1:9">
      <c r="A464" s="19">
        <f t="shared" ref="A464:A527" si="65">A463+1/12</f>
        <v>37.499999999999972</v>
      </c>
      <c r="B464" s="10">
        <f t="shared" si="61"/>
        <v>0.55273260770335331</v>
      </c>
      <c r="C464" s="10">
        <f t="shared" si="62"/>
        <v>0.76671524581443229</v>
      </c>
      <c r="D464" s="10">
        <f t="shared" si="58"/>
        <v>4.5736717533953308E-2</v>
      </c>
      <c r="E464" s="10">
        <f t="shared" si="59"/>
        <v>1.9340820249008597E-2</v>
      </c>
      <c r="F464" s="10">
        <f t="shared" si="63"/>
        <v>0.16047274621355145</v>
      </c>
      <c r="G464" s="66">
        <f t="shared" si="60"/>
        <v>2</v>
      </c>
      <c r="H464" s="10"/>
      <c r="I464" s="10">
        <f t="shared" si="64"/>
        <v>8.8513920792218023E-3</v>
      </c>
    </row>
    <row r="465" spans="1:9">
      <c r="A465" s="19">
        <f t="shared" si="65"/>
        <v>37.583333333333307</v>
      </c>
      <c r="B465" s="10">
        <f t="shared" si="61"/>
        <v>0.55062361316645558</v>
      </c>
      <c r="C465" s="10">
        <f t="shared" si="62"/>
        <v>0.76547703270777545</v>
      </c>
      <c r="D465" s="10">
        <f t="shared" ref="D465:D528" si="66">B$3+B$4*(B$6^(28+A465))</f>
        <v>4.6012587795980539E-2</v>
      </c>
      <c r="E465" s="10">
        <f t="shared" ref="E465:E528" si="67">B$3+B$5*(B$7^(24+A465))</f>
        <v>1.9449610644069425E-2</v>
      </c>
      <c r="F465" s="10">
        <f t="shared" si="63"/>
        <v>0.15982161317816126</v>
      </c>
      <c r="G465" s="66">
        <f t="shared" ref="G465:G528" si="68">IF(G464=4,2,4)</f>
        <v>4</v>
      </c>
      <c r="H465" s="10"/>
      <c r="I465" s="10">
        <f t="shared" si="64"/>
        <v>1.7638964419252702E-2</v>
      </c>
    </row>
    <row r="466" spans="1:9">
      <c r="A466" s="19">
        <f t="shared" si="65"/>
        <v>37.666666666666643</v>
      </c>
      <c r="B466" s="10">
        <f t="shared" si="61"/>
        <v>0.54851001764298035</v>
      </c>
      <c r="C466" s="10">
        <f t="shared" si="62"/>
        <v>0.76423387122113118</v>
      </c>
      <c r="D466" s="10">
        <f t="shared" si="66"/>
        <v>4.6290125671402928E-2</v>
      </c>
      <c r="E466" s="10">
        <f t="shared" si="67"/>
        <v>1.9559016155840686E-2</v>
      </c>
      <c r="F466" s="10">
        <f t="shared" si="63"/>
        <v>0.15917312217538893</v>
      </c>
      <c r="G466" s="66">
        <f t="shared" si="68"/>
        <v>2</v>
      </c>
      <c r="H466" s="10"/>
      <c r="I466" s="10">
        <f t="shared" si="64"/>
        <v>8.787406068163554E-3</v>
      </c>
    </row>
    <row r="467" spans="1:9">
      <c r="A467" s="19">
        <f t="shared" si="65"/>
        <v>37.749999999999979</v>
      </c>
      <c r="B467" s="10">
        <f t="shared" si="61"/>
        <v>0.54639185991881956</v>
      </c>
      <c r="C467" s="10">
        <f t="shared" si="62"/>
        <v>0.76298575275581415</v>
      </c>
      <c r="D467" s="10">
        <f t="shared" si="66"/>
        <v>4.656934124080838E-2</v>
      </c>
      <c r="E467" s="10">
        <f t="shared" si="67"/>
        <v>1.9669040262281678E-2</v>
      </c>
      <c r="F467" s="10">
        <f t="shared" si="63"/>
        <v>0.15852726248494237</v>
      </c>
      <c r="G467" s="66">
        <f t="shared" si="68"/>
        <v>4</v>
      </c>
      <c r="H467" s="10"/>
      <c r="I467" s="10">
        <f t="shared" si="64"/>
        <v>1.7510329267093897E-2</v>
      </c>
    </row>
    <row r="468" spans="1:9">
      <c r="A468" s="19">
        <f t="shared" si="65"/>
        <v>37.833333333333314</v>
      </c>
      <c r="B468" s="10">
        <f t="shared" si="61"/>
        <v>0.54426917937188757</v>
      </c>
      <c r="C468" s="10">
        <f t="shared" si="62"/>
        <v>0.76173266883353552</v>
      </c>
      <c r="D468" s="10">
        <f t="shared" si="66"/>
        <v>4.6850244645721295E-2</v>
      </c>
      <c r="E468" s="10">
        <f t="shared" si="67"/>
        <v>1.9779686461016608E-2</v>
      </c>
      <c r="F468" s="10">
        <f t="shared" si="63"/>
        <v>0.15788402343002797</v>
      </c>
      <c r="G468" s="66">
        <f t="shared" si="68"/>
        <v>2</v>
      </c>
      <c r="H468" s="10"/>
      <c r="I468" s="10">
        <f t="shared" si="64"/>
        <v>8.7227589054342299E-3</v>
      </c>
    </row>
    <row r="469" spans="1:9">
      <c r="A469" s="19">
        <f t="shared" si="65"/>
        <v>37.91666666666665</v>
      </c>
      <c r="B469" s="10">
        <f t="shared" si="61"/>
        <v>0.54214201597435552</v>
      </c>
      <c r="C469" s="10">
        <f t="shared" si="62"/>
        <v>0.76047461109825454</v>
      </c>
      <c r="D469" s="10">
        <f t="shared" si="66"/>
        <v>4.7132846088970518E-2</v>
      </c>
      <c r="E469" s="10">
        <f t="shared" si="67"/>
        <v>1.9890958269445754E-2</v>
      </c>
      <c r="F469" s="10">
        <f t="shared" si="63"/>
        <v>0.15724339437717433</v>
      </c>
      <c r="G469" s="66">
        <f t="shared" si="68"/>
        <v>4</v>
      </c>
      <c r="H469" s="10"/>
      <c r="I469" s="10">
        <f t="shared" si="64"/>
        <v>1.7380379808996309E-2</v>
      </c>
    </row>
    <row r="470" spans="1:9">
      <c r="A470" s="19">
        <f t="shared" si="65"/>
        <v>37.999999999999986</v>
      </c>
      <c r="B470" s="10">
        <f t="shared" si="61"/>
        <v>0.5400104102948271</v>
      </c>
      <c r="C470" s="10">
        <f t="shared" si="62"/>
        <v>0.75921157131804462</v>
      </c>
      <c r="D470" s="10">
        <f t="shared" si="66"/>
        <v>4.7417155835060329E-2</v>
      </c>
      <c r="E470" s="10">
        <f t="shared" si="67"/>
        <v>2.000285922485727E-2</v>
      </c>
      <c r="F470" s="10">
        <f t="shared" si="63"/>
        <v>0.15660536473605621</v>
      </c>
      <c r="G470" s="66">
        <f t="shared" si="68"/>
        <v>2</v>
      </c>
      <c r="H470" s="10"/>
      <c r="I470" s="10">
        <f t="shared" si="64"/>
        <v>8.6574586724945408E-3</v>
      </c>
    </row>
    <row r="471" spans="1:9">
      <c r="A471" s="19">
        <f t="shared" si="65"/>
        <v>38.083333333333321</v>
      </c>
      <c r="B471" s="10">
        <f t="shared" si="61"/>
        <v>0.53787440350045468</v>
      </c>
      <c r="C471" s="10">
        <f t="shared" si="62"/>
        <v>0.75794354138697073</v>
      </c>
      <c r="D471" s="10">
        <f t="shared" si="66"/>
        <v>4.7703184210543016E-2</v>
      </c>
      <c r="E471" s="10">
        <f t="shared" si="67"/>
        <v>2.011539288453968E-2</v>
      </c>
      <c r="F471" s="10">
        <f t="shared" si="63"/>
        <v>0.15596992395931969</v>
      </c>
      <c r="G471" s="66">
        <f t="shared" si="68"/>
        <v>4</v>
      </c>
      <c r="H471" s="10"/>
      <c r="I471" s="10">
        <f t="shared" si="64"/>
        <v>1.7249132544654246E-2</v>
      </c>
    </row>
    <row r="472" spans="1:9">
      <c r="A472" s="19">
        <f t="shared" si="65"/>
        <v>38.166666666666657</v>
      </c>
      <c r="B472" s="10">
        <f t="shared" si="61"/>
        <v>0.53573403735899527</v>
      </c>
      <c r="C472" s="10">
        <f t="shared" si="62"/>
        <v>0.75667051332698199</v>
      </c>
      <c r="D472" s="10">
        <f t="shared" si="66"/>
        <v>4.7990941604394245E-2</v>
      </c>
      <c r="E472" s="10">
        <f t="shared" si="67"/>
        <v>2.0228562825894907E-2</v>
      </c>
      <c r="F472" s="10">
        <f t="shared" si="63"/>
        <v>0.15533706154240773</v>
      </c>
      <c r="G472" s="66">
        <f t="shared" si="68"/>
        <v>2</v>
      </c>
      <c r="H472" s="10"/>
      <c r="I472" s="10">
        <f t="shared" si="64"/>
        <v>8.5915137881093489E-3</v>
      </c>
    </row>
    <row r="473" spans="1:9">
      <c r="A473" s="19">
        <f t="shared" si="65"/>
        <v>38.249999999999993</v>
      </c>
      <c r="B473" s="10">
        <f t="shared" si="61"/>
        <v>0.53358935424080411</v>
      </c>
      <c r="C473" s="10">
        <f t="shared" si="62"/>
        <v>0.75539247928981701</v>
      </c>
      <c r="D473" s="10">
        <f t="shared" si="66"/>
        <v>4.8280438468389898E-2</v>
      </c>
      <c r="E473" s="10">
        <f t="shared" si="67"/>
        <v>2.0342372646552039E-2</v>
      </c>
      <c r="F473" s="10">
        <f t="shared" si="63"/>
        <v>0.1547067670233864</v>
      </c>
      <c r="G473" s="66">
        <f t="shared" si="68"/>
        <v>4</v>
      </c>
      <c r="H473" s="10"/>
      <c r="I473" s="10">
        <f t="shared" si="64"/>
        <v>1.7116604650445753E-2</v>
      </c>
    </row>
    <row r="474" spans="1:9">
      <c r="A474" s="19">
        <f t="shared" si="65"/>
        <v>38.333333333333329</v>
      </c>
      <c r="B474" s="10">
        <f t="shared" si="61"/>
        <v>0.53144039712076441</v>
      </c>
      <c r="C474" s="10">
        <f t="shared" si="62"/>
        <v>0.75410943155892207</v>
      </c>
      <c r="D474" s="10">
        <f t="shared" si="66"/>
        <v>4.8571685317486193E-2</v>
      </c>
      <c r="E474" s="10">
        <f t="shared" si="67"/>
        <v>2.0456825964481683E-2</v>
      </c>
      <c r="F474" s="10">
        <f t="shared" si="63"/>
        <v>0.15407902998277209</v>
      </c>
      <c r="G474" s="66">
        <f t="shared" si="68"/>
        <v>2</v>
      </c>
      <c r="H474" s="10"/>
      <c r="I474" s="10">
        <f t="shared" si="64"/>
        <v>8.5249330103729596E-3</v>
      </c>
    </row>
    <row r="475" spans="1:9">
      <c r="A475" s="19">
        <f t="shared" si="65"/>
        <v>38.416666666666664</v>
      </c>
      <c r="B475" s="10">
        <f t="shared" si="61"/>
        <v>0.52928720958015196</v>
      </c>
      <c r="C475" s="10">
        <f t="shared" si="62"/>
        <v>0.75282136255138399</v>
      </c>
      <c r="D475" s="10">
        <f t="shared" si="66"/>
        <v>4.886469273020131E-2</v>
      </c>
      <c r="E475" s="10">
        <f t="shared" si="67"/>
        <v>2.0571926418110974E-2</v>
      </c>
      <c r="F475" s="10">
        <f t="shared" si="63"/>
        <v>0.15345384004335927</v>
      </c>
      <c r="G475" s="66">
        <f t="shared" si="68"/>
        <v>4</v>
      </c>
      <c r="H475" s="10"/>
      <c r="I475" s="10">
        <f t="shared" si="64"/>
        <v>1.6982813983280779E-2</v>
      </c>
    </row>
    <row r="476" spans="1:9">
      <c r="A476" s="19">
        <f t="shared" si="65"/>
        <v>38.5</v>
      </c>
      <c r="B476" s="10">
        <f t="shared" si="61"/>
        <v>0.52712983580843387</v>
      </c>
      <c r="C476" s="10">
        <f t="shared" si="62"/>
        <v>0.751528264819874</v>
      </c>
      <c r="D476" s="10">
        <f t="shared" si="66"/>
        <v>4.9159471348999895E-2</v>
      </c>
      <c r="E476" s="10">
        <f t="shared" si="67"/>
        <v>2.0687677666439239E-2</v>
      </c>
      <c r="F476" s="10">
        <f t="shared" si="63"/>
        <v>0.15283118687004879</v>
      </c>
      <c r="G476" s="66">
        <f t="shared" si="68"/>
        <v>2</v>
      </c>
      <c r="H476" s="10"/>
      <c r="I476" s="10">
        <f t="shared" si="64"/>
        <v>8.4577254385301351E-3</v>
      </c>
    </row>
    <row r="477" spans="1:9">
      <c r="A477" s="19">
        <f t="shared" si="65"/>
        <v>38.583333333333336</v>
      </c>
      <c r="B477" s="10">
        <f t="shared" si="61"/>
        <v>0.52496832060499876</v>
      </c>
      <c r="C477" s="10">
        <f t="shared" si="62"/>
        <v>0.75023013105460767</v>
      </c>
      <c r="D477" s="10">
        <f t="shared" si="66"/>
        <v>4.9456031880679166E-2</v>
      </c>
      <c r="E477" s="10">
        <f t="shared" si="67"/>
        <v>2.0804083389154324E-2</v>
      </c>
      <c r="F477" s="10">
        <f t="shared" si="63"/>
        <v>0.15221106016967714</v>
      </c>
      <c r="G477" s="66">
        <f t="shared" si="68"/>
        <v>4</v>
      </c>
      <c r="H477" s="10"/>
      <c r="I477" s="10">
        <f t="shared" si="64"/>
        <v>1.6847779084032889E-2</v>
      </c>
    </row>
    <row r="478" spans="1:9">
      <c r="A478" s="19">
        <f t="shared" si="65"/>
        <v>38.666666666666671</v>
      </c>
      <c r="B478" s="10">
        <f t="shared" si="61"/>
        <v>0.52280270938081819</v>
      </c>
      <c r="C478" s="10">
        <f t="shared" si="62"/>
        <v>0.7489269540853154</v>
      </c>
      <c r="D478" s="10">
        <f t="shared" si="66"/>
        <v>4.9754385096758239E-2</v>
      </c>
      <c r="E478" s="10">
        <f t="shared" si="67"/>
        <v>2.092114728674957E-2</v>
      </c>
      <c r="F478" s="10">
        <f t="shared" si="63"/>
        <v>0.15159344969084637</v>
      </c>
      <c r="G478" s="66">
        <f t="shared" si="68"/>
        <v>2</v>
      </c>
      <c r="H478" s="10"/>
      <c r="I478" s="10">
        <f t="shared" si="64"/>
        <v>8.38990051458453E-3</v>
      </c>
    </row>
    <row r="479" spans="1:9">
      <c r="A479" s="19">
        <f t="shared" si="65"/>
        <v>38.750000000000007</v>
      </c>
      <c r="B479" s="10">
        <f t="shared" si="61"/>
        <v>0.52063304816003619</v>
      </c>
      <c r="C479" s="10">
        <f t="shared" si="62"/>
        <v>0.74761872688322795</v>
      </c>
      <c r="D479" s="10">
        <f t="shared" si="66"/>
        <v>5.00545418338691E-2</v>
      </c>
      <c r="E479" s="10">
        <f t="shared" si="67"/>
        <v>2.1038873080641434E-2</v>
      </c>
      <c r="F479" s="10">
        <f t="shared" si="63"/>
        <v>0.15097834522375442</v>
      </c>
      <c r="G479" s="66">
        <f t="shared" si="68"/>
        <v>4</v>
      </c>
      <c r="H479" s="10"/>
      <c r="I479" s="10">
        <f t="shared" si="64"/>
        <v>1.6711519180537177E-2</v>
      </c>
    </row>
    <row r="480" spans="1:9">
      <c r="A480" s="19">
        <f t="shared" si="65"/>
        <v>38.833333333333343</v>
      </c>
      <c r="B480" s="10">
        <f t="shared" si="61"/>
        <v>0.51845938358148835</v>
      </c>
      <c r="C480" s="10">
        <f t="shared" si="62"/>
        <v>0.74630544256307407</v>
      </c>
      <c r="D480" s="10">
        <f t="shared" si="66"/>
        <v>5.0356512994150483E-2</v>
      </c>
      <c r="E480" s="10">
        <f t="shared" si="67"/>
        <v>2.115726451328781E-2</v>
      </c>
      <c r="F480" s="10">
        <f t="shared" si="63"/>
        <v>0.15036573660002642</v>
      </c>
      <c r="G480" s="66">
        <f t="shared" si="68"/>
        <v>2</v>
      </c>
      <c r="H480" s="10"/>
      <c r="I480" s="10">
        <f t="shared" si="64"/>
        <v>8.3214680246862342E-3</v>
      </c>
    </row>
    <row r="481" spans="1:9">
      <c r="A481" s="19">
        <f t="shared" si="65"/>
        <v>38.916666666666679</v>
      </c>
      <c r="B481" s="10">
        <f t="shared" si="61"/>
        <v>0.51628176290014494</v>
      </c>
      <c r="C481" s="10">
        <f t="shared" si="62"/>
        <v>0.74498709438509181</v>
      </c>
      <c r="D481" s="10">
        <f t="shared" si="66"/>
        <v>5.0660309545643441E-2</v>
      </c>
      <c r="E481" s="10">
        <f t="shared" si="67"/>
        <v>2.1276325348306993E-2</v>
      </c>
      <c r="F481" s="10">
        <f t="shared" si="63"/>
        <v>0.14975561369254675</v>
      </c>
      <c r="G481" s="66">
        <f t="shared" si="68"/>
        <v>4</v>
      </c>
      <c r="H481" s="10"/>
      <c r="I481" s="10">
        <f t="shared" si="64"/>
        <v>1.6574054190138309E-2</v>
      </c>
    </row>
    <row r="482" spans="1:9">
      <c r="A482" s="19">
        <f t="shared" si="65"/>
        <v>39.000000000000014</v>
      </c>
      <c r="B482" s="10">
        <f t="shared" si="61"/>
        <v>0.51410023398848026</v>
      </c>
      <c r="C482" s="10">
        <f t="shared" si="62"/>
        <v>0.74366367575705195</v>
      </c>
      <c r="D482" s="10">
        <f t="shared" si="66"/>
        <v>5.096594252268994E-2</v>
      </c>
      <c r="E482" s="10">
        <f t="shared" si="67"/>
        <v>2.1396059370597319E-2</v>
      </c>
      <c r="F482" s="10">
        <f t="shared" si="63"/>
        <v>0.14914796641529141</v>
      </c>
      <c r="G482" s="66">
        <f t="shared" si="68"/>
        <v>2</v>
      </c>
      <c r="H482" s="10"/>
      <c r="I482" s="10">
        <f t="shared" si="64"/>
        <v>8.2524381002900306E-3</v>
      </c>
    </row>
    <row r="483" spans="1:9">
      <c r="A483" s="19">
        <f t="shared" si="65"/>
        <v>39.08333333333335</v>
      </c>
      <c r="B483" s="10">
        <f t="shared" si="61"/>
        <v>0.51191484533776532</v>
      </c>
      <c r="C483" s="10">
        <f t="shared" si="62"/>
        <v>0.74233518023629586</v>
      </c>
      <c r="D483" s="10">
        <f t="shared" si="66"/>
        <v>5.1273423026333843E-2</v>
      </c>
      <c r="E483" s="10">
        <f t="shared" si="67"/>
        <v>2.1516470386457494E-2</v>
      </c>
      <c r="F483" s="10">
        <f t="shared" si="63"/>
        <v>0.14854278472316143</v>
      </c>
      <c r="G483" s="66">
        <f t="shared" si="68"/>
        <v>4</v>
      </c>
      <c r="H483" s="10"/>
      <c r="I483" s="10">
        <f t="shared" si="64"/>
        <v>1.6435404721771307E-2</v>
      </c>
    </row>
    <row r="484" spans="1:9">
      <c r="A484" s="19">
        <f t="shared" si="65"/>
        <v>39.166666666666686</v>
      </c>
      <c r="B484" s="10">
        <f t="shared" si="61"/>
        <v>0.50972564605928095</v>
      </c>
      <c r="C484" s="10">
        <f t="shared" si="62"/>
        <v>0.74100160153178496</v>
      </c>
      <c r="D484" s="10">
        <f t="shared" si="66"/>
        <v>5.1582762224723903E-2</v>
      </c>
      <c r="E484" s="10">
        <f t="shared" si="67"/>
        <v>2.163756222370759E-2</v>
      </c>
      <c r="F484" s="10">
        <f t="shared" si="63"/>
        <v>0.14794005861181667</v>
      </c>
      <c r="G484" s="66">
        <f t="shared" si="68"/>
        <v>2</v>
      </c>
      <c r="H484" s="10"/>
      <c r="I484" s="10">
        <f t="shared" si="64"/>
        <v>8.1828212190760315E-3</v>
      </c>
    </row>
    <row r="485" spans="1:9">
      <c r="A485" s="19">
        <f t="shared" si="65"/>
        <v>39.250000000000021</v>
      </c>
      <c r="B485" s="10">
        <f t="shared" si="61"/>
        <v>0.50753268588545219</v>
      </c>
      <c r="C485" s="10">
        <f t="shared" si="62"/>
        <v>0.73966293350616308</v>
      </c>
      <c r="D485" s="10">
        <f t="shared" si="66"/>
        <v>5.1893971353519273E-2</v>
      </c>
      <c r="E485" s="10">
        <f t="shared" si="67"/>
        <v>2.1759338731810723E-2</v>
      </c>
      <c r="F485" s="10">
        <f t="shared" si="63"/>
        <v>0.14733977811751064</v>
      </c>
      <c r="G485" s="66">
        <f t="shared" si="68"/>
        <v>4</v>
      </c>
      <c r="H485" s="10"/>
      <c r="I485" s="10">
        <f t="shared" si="64"/>
        <v>1.6295592077559158E-2</v>
      </c>
    </row>
    <row r="486" spans="1:9">
      <c r="A486" s="19">
        <f t="shared" si="65"/>
        <v>39.333333333333357</v>
      </c>
      <c r="B486" s="10">
        <f t="shared" si="61"/>
        <v>0.50533601517090188</v>
      </c>
      <c r="C486" s="10">
        <f t="shared" si="62"/>
        <v>0.738319170177833</v>
      </c>
      <c r="D486" s="10">
        <f t="shared" si="66"/>
        <v>5.2207061716297749E-2</v>
      </c>
      <c r="E486" s="10">
        <f t="shared" si="67"/>
        <v>2.1881803781995439E-2</v>
      </c>
      <c r="F486" s="10">
        <f t="shared" si="63"/>
        <v>0.14674193331692562</v>
      </c>
      <c r="G486" s="66">
        <f t="shared" si="68"/>
        <v>2</v>
      </c>
      <c r="H486" s="10"/>
      <c r="I486" s="10">
        <f t="shared" si="64"/>
        <v>8.112628205624273E-3</v>
      </c>
    </row>
    <row r="487" spans="1:9">
      <c r="A487" s="19">
        <f t="shared" si="65"/>
        <v>39.416666666666693</v>
      </c>
      <c r="B487" s="10">
        <f t="shared" si="61"/>
        <v>0.50313568489341876</v>
      </c>
      <c r="C487" s="10">
        <f t="shared" si="62"/>
        <v>0.73697030572304401</v>
      </c>
      <c r="D487" s="10">
        <f t="shared" si="66"/>
        <v>5.2522044684966504E-2</v>
      </c>
      <c r="E487" s="10">
        <f t="shared" si="67"/>
        <v>2.2004961267378782E-2</v>
      </c>
      <c r="F487" s="10">
        <f t="shared" si="63"/>
        <v>0.14614651432700862</v>
      </c>
      <c r="G487" s="66">
        <f t="shared" si="68"/>
        <v>4</v>
      </c>
      <c r="H487" s="10"/>
      <c r="I487" s="10">
        <f t="shared" si="64"/>
        <v>1.6154638253909375E-2</v>
      </c>
    </row>
    <row r="488" spans="1:9">
      <c r="A488" s="19">
        <f t="shared" si="65"/>
        <v>39.500000000000028</v>
      </c>
      <c r="B488" s="10">
        <f t="shared" si="61"/>
        <v>0.50093174665484508</v>
      </c>
      <c r="C488" s="10">
        <f t="shared" si="62"/>
        <v>0.73561633447799357</v>
      </c>
      <c r="D488" s="10">
        <f t="shared" si="66"/>
        <v>5.2838931700174979E-2</v>
      </c>
      <c r="E488" s="10">
        <f t="shared" si="67"/>
        <v>2.2128815103090026E-2</v>
      </c>
      <c r="F488" s="10">
        <f t="shared" si="63"/>
        <v>0.14555351130480818</v>
      </c>
      <c r="G488" s="66">
        <f t="shared" si="68"/>
        <v>2</v>
      </c>
      <c r="H488" s="10"/>
      <c r="I488" s="10">
        <f t="shared" si="64"/>
        <v>8.0418702318348773E-3</v>
      </c>
    </row>
    <row r="489" spans="1:9">
      <c r="A489" s="19">
        <f t="shared" si="65"/>
        <v>39.583333333333364</v>
      </c>
      <c r="B489" s="10">
        <f t="shared" si="61"/>
        <v>0.49872425268187554</v>
      </c>
      <c r="C489" s="10">
        <f t="shared" si="62"/>
        <v>0.73425725094093985</v>
      </c>
      <c r="D489" s="10">
        <f t="shared" si="66"/>
        <v>5.3157734271730241E-2</v>
      </c>
      <c r="E489" s="10">
        <f t="shared" si="67"/>
        <v>2.2253369226395165E-2</v>
      </c>
      <c r="F489" s="10">
        <f t="shared" si="63"/>
        <v>0.14496291444731138</v>
      </c>
      <c r="G489" s="66">
        <f t="shared" si="68"/>
        <v>4</v>
      </c>
      <c r="H489" s="10"/>
      <c r="I489" s="10">
        <f t="shared" si="64"/>
        <v>1.6012565942093927E-2</v>
      </c>
    </row>
    <row r="490" spans="1:9">
      <c r="A490" s="19">
        <f t="shared" si="65"/>
        <v>39.6666666666667</v>
      </c>
      <c r="B490" s="10">
        <f t="shared" si="61"/>
        <v>0.49651325582676908</v>
      </c>
      <c r="C490" s="10">
        <f t="shared" si="62"/>
        <v>0.73289304977432912</v>
      </c>
      <c r="D490" s="10">
        <f t="shared" si="66"/>
        <v>5.3478463979015199E-2</v>
      </c>
      <c r="E490" s="10">
        <f t="shared" si="67"/>
        <v>2.2378627596822079E-2</v>
      </c>
      <c r="F490" s="10">
        <f t="shared" si="63"/>
        <v>0.14437471399128207</v>
      </c>
      <c r="G490" s="66">
        <f t="shared" si="68"/>
        <v>2</v>
      </c>
      <c r="H490" s="10"/>
      <c r="I490" s="10">
        <f t="shared" si="64"/>
        <v>7.9705588170854939E-3</v>
      </c>
    </row>
    <row r="491" spans="1:9">
      <c r="A491" s="19">
        <f t="shared" si="65"/>
        <v>39.750000000000036</v>
      </c>
      <c r="B491" s="10">
        <f t="shared" si="61"/>
        <v>0.49429880956797284</v>
      </c>
      <c r="C491" s="10">
        <f t="shared" si="62"/>
        <v>0.73152372580693292</v>
      </c>
      <c r="D491" s="10">
        <f t="shared" si="66"/>
        <v>5.3801132471409434E-2</v>
      </c>
      <c r="E491" s="10">
        <f t="shared" si="67"/>
        <v>2.2504594196286375E-2</v>
      </c>
      <c r="F491" s="10">
        <f t="shared" si="63"/>
        <v>0.1437889002130992</v>
      </c>
      <c r="G491" s="66">
        <f t="shared" si="68"/>
        <v>4</v>
      </c>
      <c r="H491" s="10"/>
      <c r="I491" s="10">
        <f t="shared" si="64"/>
        <v>1.5869398528294842E-2</v>
      </c>
    </row>
    <row r="492" spans="1:9">
      <c r="A492" s="19">
        <f t="shared" si="65"/>
        <v>39.833333333333371</v>
      </c>
      <c r="B492" s="10">
        <f t="shared" si="61"/>
        <v>0.49208096801065432</v>
      </c>
      <c r="C492" s="10">
        <f t="shared" si="62"/>
        <v>0.7301492740360005</v>
      </c>
      <c r="D492" s="10">
        <f t="shared" si="66"/>
        <v>5.4125751468711868E-2</v>
      </c>
      <c r="E492" s="10">
        <f t="shared" si="67"/>
        <v>2.2631273029217996E-2</v>
      </c>
      <c r="F492" s="10">
        <f t="shared" si="63"/>
        <v>0.14320546342859639</v>
      </c>
      <c r="G492" s="66">
        <f t="shared" si="68"/>
        <v>2</v>
      </c>
      <c r="H492" s="10"/>
      <c r="I492" s="10">
        <f t="shared" si="64"/>
        <v>7.8987058281176064E-3</v>
      </c>
    </row>
    <row r="493" spans="1:9">
      <c r="A493" s="19">
        <f t="shared" si="65"/>
        <v>39.916666666666707</v>
      </c>
      <c r="B493" s="10">
        <f t="shared" si="61"/>
        <v>0.48985978588714241</v>
      </c>
      <c r="C493" s="10">
        <f t="shared" si="62"/>
        <v>0.72876968962942079</v>
      </c>
      <c r="D493" s="10">
        <f t="shared" si="66"/>
        <v>5.4452332761566795E-2</v>
      </c>
      <c r="E493" s="10">
        <f t="shared" si="67"/>
        <v>2.2758668122688522E-2</v>
      </c>
      <c r="F493" s="10">
        <f t="shared" si="63"/>
        <v>0.14262439399290144</v>
      </c>
      <c r="G493" s="66">
        <f t="shared" si="68"/>
        <v>4</v>
      </c>
      <c r="H493" s="10"/>
      <c r="I493" s="10">
        <f t="shared" si="64"/>
        <v>1.5725160093099766E-2</v>
      </c>
    </row>
    <row r="494" spans="1:9">
      <c r="A494" s="19">
        <f t="shared" si="65"/>
        <v>40.000000000000043</v>
      </c>
      <c r="B494" s="10">
        <f t="shared" si="61"/>
        <v>0.48763531855727338</v>
      </c>
      <c r="C494" s="10">
        <f t="shared" si="62"/>
        <v>0.72738496792789775</v>
      </c>
      <c r="D494" s="10">
        <f t="shared" si="66"/>
        <v>5.4780888211891789E-2</v>
      </c>
      <c r="E494" s="10">
        <f t="shared" si="67"/>
        <v>2.2886783526539174E-2</v>
      </c>
      <c r="F494" s="10">
        <f t="shared" si="63"/>
        <v>0.14204568230027734</v>
      </c>
      <c r="G494" s="66">
        <f t="shared" si="68"/>
        <v>2</v>
      </c>
      <c r="H494" s="10"/>
      <c r="I494" s="10">
        <f t="shared" si="64"/>
        <v>7.8263234786435064E-3</v>
      </c>
    </row>
    <row r="495" spans="1:9">
      <c r="A495" s="19">
        <f t="shared" si="65"/>
        <v>40.083333333333378</v>
      </c>
      <c r="B495" s="10">
        <f t="shared" si="61"/>
        <v>0.48540762200864357</v>
      </c>
      <c r="C495" s="10">
        <f t="shared" si="62"/>
        <v>0.72599510444713899</v>
      </c>
      <c r="D495" s="10">
        <f t="shared" si="66"/>
        <v>5.5111429753309023E-2</v>
      </c>
      <c r="E495" s="10">
        <f t="shared" si="67"/>
        <v>2.3015623313509558E-2</v>
      </c>
      <c r="F495" s="10">
        <f t="shared" si="63"/>
        <v>0.14146931878396307</v>
      </c>
      <c r="G495" s="66">
        <f t="shared" si="68"/>
        <v>4</v>
      </c>
      <c r="H495" s="10"/>
      <c r="I495" s="10">
        <f t="shared" si="64"/>
        <v>1.5579875410430162E-2</v>
      </c>
    </row>
    <row r="496" spans="1:9">
      <c r="A496" s="19">
        <f t="shared" si="65"/>
        <v>40.166666666666714</v>
      </c>
      <c r="B496" s="10">
        <f t="shared" si="61"/>
        <v>0.48317675285676293</v>
      </c>
      <c r="C496" s="10">
        <f t="shared" si="62"/>
        <v>0.72460009488005395</v>
      </c>
      <c r="D496" s="10">
        <f t="shared" si="66"/>
        <v>5.5443969391578293E-2</v>
      </c>
      <c r="E496" s="10">
        <f t="shared" si="67"/>
        <v>2.3145191579367164E-2</v>
      </c>
      <c r="F496" s="10">
        <f t="shared" si="63"/>
        <v>0.14089529391601568</v>
      </c>
      <c r="G496" s="66">
        <f t="shared" si="68"/>
        <v>2</v>
      </c>
      <c r="H496" s="10"/>
      <c r="I496" s="10">
        <f t="shared" si="64"/>
        <v>7.7534243286656737E-3</v>
      </c>
    </row>
    <row r="497" spans="1:9">
      <c r="A497" s="19">
        <f t="shared" si="65"/>
        <v>40.25000000000005</v>
      </c>
      <c r="B497" s="10">
        <f t="shared" si="61"/>
        <v>0.48094276834511229</v>
      </c>
      <c r="C497" s="10">
        <f t="shared" si="62"/>
        <v>0.72319993509896641</v>
      </c>
      <c r="D497" s="10">
        <f t="shared" si="66"/>
        <v>5.5778519205033322E-2</v>
      </c>
      <c r="E497" s="10">
        <f t="shared" si="67"/>
        <v>2.3275492443037536E-2</v>
      </c>
      <c r="F497" s="10">
        <f t="shared" si="63"/>
        <v>0.14032359820715279</v>
      </c>
      <c r="G497" s="66">
        <f t="shared" si="68"/>
        <v>4</v>
      </c>
      <c r="H497" s="10"/>
      <c r="I497" s="10">
        <f t="shared" si="64"/>
        <v>1.5433569945886613E-2</v>
      </c>
    </row>
    <row r="498" spans="1:9">
      <c r="A498" s="19">
        <f t="shared" si="65"/>
        <v>40.333333333333385</v>
      </c>
      <c r="B498" s="10">
        <f t="shared" si="61"/>
        <v>0.47870572634509873</v>
      </c>
      <c r="C498" s="10">
        <f t="shared" si="62"/>
        <v>0.72179462115783655</v>
      </c>
      <c r="D498" s="10">
        <f t="shared" si="66"/>
        <v>5.6115091345020178E-2</v>
      </c>
      <c r="E498" s="10">
        <f t="shared" si="67"/>
        <v>2.3406530046735166E-2</v>
      </c>
      <c r="F498" s="10">
        <f t="shared" si="63"/>
        <v>0.13975422220659561</v>
      </c>
      <c r="G498" s="66">
        <f t="shared" si="68"/>
        <v>2</v>
      </c>
      <c r="H498" s="10"/>
      <c r="I498" s="10">
        <f t="shared" si="64"/>
        <v>7.6800212835005099E-3</v>
      </c>
    </row>
    <row r="499" spans="1:9">
      <c r="A499" s="19">
        <f t="shared" si="65"/>
        <v>40.416666666666721</v>
      </c>
      <c r="B499" s="10">
        <f t="shared" si="61"/>
        <v>0.47646568535591055</v>
      </c>
      <c r="C499" s="10">
        <f t="shared" si="62"/>
        <v>0.72038414929449623</v>
      </c>
      <c r="D499" s="10">
        <f t="shared" si="66"/>
        <v>5.6453698036339137E-2</v>
      </c>
      <c r="E499" s="10">
        <f t="shared" si="67"/>
        <v>2.3538308556095337E-2</v>
      </c>
      <c r="F499" s="10">
        <f t="shared" si="63"/>
        <v>0.1391871565019128</v>
      </c>
      <c r="G499" s="66">
        <f t="shared" si="68"/>
        <v>4</v>
      </c>
      <c r="H499" s="10"/>
      <c r="I499" s="10">
        <f t="shared" si="64"/>
        <v>1.5286269854494343E-2</v>
      </c>
    </row>
    <row r="500" spans="1:9">
      <c r="A500" s="19">
        <f t="shared" si="65"/>
        <v>40.500000000000057</v>
      </c>
      <c r="B500" s="10">
        <f t="shared" si="61"/>
        <v>0.47422270450426929</v>
      </c>
      <c r="C500" s="10">
        <f t="shared" si="62"/>
        <v>0.71896851593289601</v>
      </c>
      <c r="D500" s="10">
        <f t="shared" si="66"/>
        <v>5.679435157768821E-2</v>
      </c>
      <c r="E500" s="10">
        <f t="shared" si="67"/>
        <v>2.3670832160306368E-2</v>
      </c>
      <c r="F500" s="10">
        <f t="shared" si="63"/>
        <v>0.13862239171886473</v>
      </c>
      <c r="G500" s="66">
        <f t="shared" si="68"/>
        <v>2</v>
      </c>
      <c r="H500" s="10"/>
      <c r="I500" s="10">
        <f t="shared" si="64"/>
        <v>7.6061275924982916E-3</v>
      </c>
    </row>
    <row r="501" spans="1:9">
      <c r="A501" s="19">
        <f t="shared" si="65"/>
        <v>40.583333333333393</v>
      </c>
      <c r="B501" s="10">
        <f t="shared" si="61"/>
        <v>0.47197684354407526</v>
      </c>
      <c r="C501" s="10">
        <f t="shared" si="62"/>
        <v>0.71754771768536207</v>
      </c>
      <c r="D501" s="10">
        <f t="shared" si="66"/>
        <v>5.7137064342110119E-2</v>
      </c>
      <c r="E501" s="10">
        <f t="shared" si="67"/>
        <v>2.3804105072242895E-2</v>
      </c>
      <c r="F501" s="10">
        <f t="shared" si="63"/>
        <v>0.13805991852124874</v>
      </c>
      <c r="G501" s="66">
        <f t="shared" si="68"/>
        <v>4</v>
      </c>
      <c r="H501" s="10"/>
      <c r="I501" s="10">
        <f t="shared" si="64"/>
        <v>1.5138001977833701E-2</v>
      </c>
    </row>
    <row r="502" spans="1:9">
      <c r="A502" s="19">
        <f t="shared" si="65"/>
        <v>40.666666666666728</v>
      </c>
      <c r="B502" s="10">
        <f t="shared" si="61"/>
        <v>0.46972816285594876</v>
      </c>
      <c r="C502" s="10">
        <f t="shared" si="62"/>
        <v>0.71612175135486666</v>
      </c>
      <c r="D502" s="10">
        <f t="shared" si="66"/>
        <v>5.7481848777441447E-2</v>
      </c>
      <c r="E502" s="10">
        <f t="shared" si="67"/>
        <v>2.3938131528599669E-2</v>
      </c>
      <c r="F502" s="10">
        <f t="shared" si="63"/>
        <v>0.13749972761074464</v>
      </c>
      <c r="G502" s="66">
        <f t="shared" si="68"/>
        <v>2</v>
      </c>
      <c r="H502" s="10"/>
      <c r="I502" s="10">
        <f t="shared" si="64"/>
        <v>7.5317568474515669E-3</v>
      </c>
    </row>
    <row r="503" spans="1:9">
      <c r="A503" s="19">
        <f t="shared" si="65"/>
        <v>40.750000000000064</v>
      </c>
      <c r="B503" s="10">
        <f t="shared" si="61"/>
        <v>0.46747672344666202</v>
      </c>
      <c r="C503" s="10">
        <f t="shared" si="62"/>
        <v>0.71469061393730704</v>
      </c>
      <c r="D503" s="10">
        <f t="shared" si="66"/>
        <v>5.7828717406765241E-2</v>
      </c>
      <c r="E503" s="10">
        <f t="shared" si="67"/>
        <v>2.4072915790026465E-2</v>
      </c>
      <c r="F503" s="10">
        <f t="shared" si="63"/>
        <v>0.13694180972676095</v>
      </c>
      <c r="G503" s="66">
        <f t="shared" si="68"/>
        <v>4</v>
      </c>
      <c r="H503" s="10"/>
      <c r="I503" s="10">
        <f t="shared" si="64"/>
        <v>1.4988793840539244E-2</v>
      </c>
    </row>
    <row r="504" spans="1:9">
      <c r="A504" s="19">
        <f t="shared" si="65"/>
        <v>40.8333333333334</v>
      </c>
      <c r="B504" s="10">
        <f t="shared" si="61"/>
        <v>0.46522258694846208</v>
      </c>
      <c r="C504" s="10">
        <f t="shared" si="62"/>
        <v>0.71325430262379852</v>
      </c>
      <c r="D504" s="10">
        <f t="shared" si="66"/>
        <v>5.817768282886536E-2</v>
      </c>
      <c r="E504" s="10">
        <f t="shared" si="67"/>
        <v>2.4208462141263303E-2</v>
      </c>
      <c r="F504" s="10">
        <f t="shared" si="63"/>
        <v>0.13638615564628209</v>
      </c>
      <c r="G504" s="66">
        <f t="shared" si="68"/>
        <v>2</v>
      </c>
      <c r="H504" s="10"/>
      <c r="I504" s="10">
        <f t="shared" si="64"/>
        <v>7.4569229806841168E-3</v>
      </c>
    </row>
    <row r="505" spans="1:9">
      <c r="A505" s="19">
        <f t="shared" si="65"/>
        <v>40.916666666666735</v>
      </c>
      <c r="B505" s="10">
        <f t="shared" si="61"/>
        <v>0.46296581561828254</v>
      </c>
      <c r="C505" s="10">
        <f t="shared" si="62"/>
        <v>0.71181281480297609</v>
      </c>
      <c r="D505" s="10">
        <f t="shared" si="66"/>
        <v>5.8528757718684411E-2</v>
      </c>
      <c r="E505" s="10">
        <f t="shared" si="67"/>
        <v>2.4344774891276788E-2</v>
      </c>
      <c r="F505" s="10">
        <f t="shared" si="63"/>
        <v>0.13583275618371549</v>
      </c>
      <c r="G505" s="66">
        <f t="shared" si="68"/>
        <v>4</v>
      </c>
      <c r="H505" s="10"/>
      <c r="I505" s="10">
        <f t="shared" si="64"/>
        <v>1.4838673646152751E-2</v>
      </c>
    </row>
    <row r="506" spans="1:9">
      <c r="A506" s="19">
        <f t="shared" si="65"/>
        <v>41.000000000000071</v>
      </c>
      <c r="B506" s="10">
        <f t="shared" si="61"/>
        <v>0.46070647233684225</v>
      </c>
      <c r="C506" s="10">
        <f t="shared" si="62"/>
        <v>0.71036614806330811</v>
      </c>
      <c r="D506" s="10">
        <f t="shared" si="66"/>
        <v>5.8881954827783765E-2</v>
      </c>
      <c r="E506" s="10">
        <f t="shared" si="67"/>
        <v>2.4481858373396958E-2</v>
      </c>
      <c r="F506" s="10">
        <f t="shared" si="63"/>
        <v>0.13528160219074009</v>
      </c>
      <c r="G506" s="66">
        <f t="shared" si="68"/>
        <v>2</v>
      </c>
      <c r="H506" s="10"/>
      <c r="I506" s="10">
        <f t="shared" si="64"/>
        <v>7.3816402628129104E-3</v>
      </c>
    </row>
    <row r="507" spans="1:9">
      <c r="A507" s="19">
        <f t="shared" si="65"/>
        <v>41.083333333333407</v>
      </c>
      <c r="B507" s="10">
        <f t="shared" si="61"/>
        <v>0.45844462060763025</v>
      </c>
      <c r="C507" s="10">
        <f t="shared" si="62"/>
        <v>0.70891430019542034</v>
      </c>
      <c r="D507" s="10">
        <f t="shared" si="66"/>
        <v>5.9237286984807312E-2</v>
      </c>
      <c r="E507" s="10">
        <f t="shared" si="67"/>
        <v>2.4619716945455276E-2</v>
      </c>
      <c r="F507" s="10">
        <f t="shared" si="63"/>
        <v>0.13473268455615511</v>
      </c>
      <c r="G507" s="66">
        <f t="shared" si="68"/>
        <v>4</v>
      </c>
      <c r="H507" s="10"/>
      <c r="I507" s="10">
        <f t="shared" si="64"/>
        <v>1.4687670272314305E-2</v>
      </c>
    </row>
    <row r="508" spans="1:9">
      <c r="A508" s="19">
        <f t="shared" si="65"/>
        <v>41.166666666666742</v>
      </c>
      <c r="B508" s="10">
        <f t="shared" si="61"/>
        <v>0.45618032455577423</v>
      </c>
      <c r="C508" s="10">
        <f t="shared" si="62"/>
        <v>0.70745726919443064</v>
      </c>
      <c r="D508" s="10">
        <f t="shared" si="66"/>
        <v>5.9594767095946834E-2</v>
      </c>
      <c r="E508" s="10">
        <f t="shared" si="67"/>
        <v>2.4758354989922911E-2</v>
      </c>
      <c r="F508" s="10">
        <f t="shared" si="63"/>
        <v>0.13418599420572905</v>
      </c>
      <c r="G508" s="66">
        <f t="shared" si="68"/>
        <v>2</v>
      </c>
      <c r="H508" s="10"/>
      <c r="I508" s="10">
        <f t="shared" si="64"/>
        <v>7.3059233001756168E-3</v>
      </c>
    </row>
    <row r="509" spans="1:9">
      <c r="A509" s="19">
        <f t="shared" si="65"/>
        <v>41.250000000000078</v>
      </c>
      <c r="B509" s="10">
        <f t="shared" si="61"/>
        <v>0.45391364892679242</v>
      </c>
      <c r="C509" s="10">
        <f t="shared" si="62"/>
        <v>0.70599505326229373</v>
      </c>
      <c r="D509" s="10">
        <f t="shared" si="66"/>
        <v>5.9954408145410927E-2</v>
      </c>
      <c r="E509" s="10">
        <f t="shared" si="67"/>
        <v>2.4897776914050207E-2</v>
      </c>
      <c r="F509" s="10">
        <f t="shared" si="63"/>
        <v>0.1336415221020501</v>
      </c>
      <c r="G509" s="66">
        <f t="shared" si="68"/>
        <v>4</v>
      </c>
      <c r="H509" s="10"/>
      <c r="I509" s="10">
        <f t="shared" si="64"/>
        <v>1.4535813265277545E-2</v>
      </c>
    </row>
    <row r="510" spans="1:9">
      <c r="A510" s="19">
        <f t="shared" si="65"/>
        <v>41.333333333333414</v>
      </c>
      <c r="B510" s="10">
        <f t="shared" si="61"/>
        <v>0.45164465908522489</v>
      </c>
      <c r="C510" s="10">
        <f t="shared" si="62"/>
        <v>0.70452765081015656</v>
      </c>
      <c r="D510" s="10">
        <f t="shared" si="66"/>
        <v>6.0316223195896856E-2</v>
      </c>
      <c r="E510" s="10">
        <f t="shared" si="67"/>
        <v>2.5037987150006671E-2</v>
      </c>
      <c r="F510" s="10">
        <f t="shared" si="63"/>
        <v>0.1330992592443766</v>
      </c>
      <c r="G510" s="66">
        <f t="shared" si="68"/>
        <v>2</v>
      </c>
      <c r="H510" s="10"/>
      <c r="I510" s="10">
        <f t="shared" si="64"/>
        <v>7.2297870319163364E-3</v>
      </c>
    </row>
    <row r="511" spans="1:9">
      <c r="A511" s="19">
        <f t="shared" si="65"/>
        <v>41.41666666666675</v>
      </c>
      <c r="B511" s="10">
        <f t="shared" si="61"/>
        <v>0.44937342101314581</v>
      </c>
      <c r="C511" s="10">
        <f t="shared" si="62"/>
        <v>0.70305506046072375</v>
      </c>
      <c r="D511" s="10">
        <f t="shared" si="66"/>
        <v>6.0680225389064681E-2</v>
      </c>
      <c r="E511" s="10">
        <f t="shared" si="67"/>
        <v>2.5178990155022056E-2</v>
      </c>
      <c r="F511" s="10">
        <f t="shared" si="63"/>
        <v>0.13255919666848817</v>
      </c>
      <c r="G511" s="66">
        <f t="shared" si="68"/>
        <v>4</v>
      </c>
      <c r="H511" s="10"/>
      <c r="I511" s="10">
        <f t="shared" si="64"/>
        <v>1.4383132833734035E-2</v>
      </c>
    </row>
    <row r="512" spans="1:9">
      <c r="A512" s="19">
        <f t="shared" si="65"/>
        <v>41.500000000000085</v>
      </c>
      <c r="B512" s="10">
        <f t="shared" si="61"/>
        <v>0.44710000130855321</v>
      </c>
      <c r="C512" s="10">
        <f t="shared" si="62"/>
        <v>0.70157728105063277</v>
      </c>
      <c r="D512" s="10">
        <f t="shared" si="66"/>
        <v>6.1046427946014982E-2</v>
      </c>
      <c r="E512" s="10">
        <f t="shared" si="67"/>
        <v>2.5320790411527863E-2</v>
      </c>
      <c r="F512" s="10">
        <f t="shared" si="63"/>
        <v>0.13202132544653764</v>
      </c>
      <c r="G512" s="66">
        <f t="shared" si="68"/>
        <v>2</v>
      </c>
      <c r="H512" s="10"/>
      <c r="I512" s="10">
        <f t="shared" si="64"/>
        <v>7.153246726722684E-3</v>
      </c>
    </row>
    <row r="513" spans="1:9">
      <c r="A513" s="19">
        <f t="shared" si="65"/>
        <v>41.583333333333421</v>
      </c>
      <c r="B513" s="10">
        <f t="shared" si="61"/>
        <v>0.44482446718363361</v>
      </c>
      <c r="C513" s="10">
        <f t="shared" si="62"/>
        <v>0.70009431163283875</v>
      </c>
      <c r="D513" s="10">
        <f t="shared" si="66"/>
        <v>6.1414844167768483E-2</v>
      </c>
      <c r="E513" s="10">
        <f t="shared" si="67"/>
        <v>2.5463392427299943E-2</v>
      </c>
      <c r="F513" s="10">
        <f t="shared" si="63"/>
        <v>0.13148563668690336</v>
      </c>
      <c r="G513" s="66">
        <f t="shared" si="68"/>
        <v>4</v>
      </c>
      <c r="H513" s="10"/>
      <c r="I513" s="10">
        <f t="shared" si="64"/>
        <v>1.4229659841933577E-2</v>
      </c>
    </row>
    <row r="514" spans="1:9">
      <c r="A514" s="19">
        <f t="shared" si="65"/>
        <v>41.666666666666757</v>
      </c>
      <c r="B514" s="10">
        <f t="shared" si="61"/>
        <v>0.44254688646290358</v>
      </c>
      <c r="C514" s="10">
        <f t="shared" si="62"/>
        <v>0.69860615147900951</v>
      </c>
      <c r="D514" s="10">
        <f t="shared" si="66"/>
        <v>6.1785487435749721E-2</v>
      </c>
      <c r="E514" s="10">
        <f t="shared" si="67"/>
        <v>2.5606800735601717E-2</v>
      </c>
      <c r="F514" s="10">
        <f t="shared" si="63"/>
        <v>0.13095212153404229</v>
      </c>
      <c r="G514" s="66">
        <f t="shared" si="68"/>
        <v>2</v>
      </c>
      <c r="H514" s="10"/>
      <c r="I514" s="10">
        <f t="shared" si="64"/>
        <v>7.076317979207207E-3</v>
      </c>
    </row>
    <row r="515" spans="1:9">
      <c r="A515" s="19">
        <f t="shared" si="65"/>
        <v>41.750000000000092</v>
      </c>
      <c r="B515" s="10">
        <f t="shared" si="61"/>
        <v>0.44026732758122272</v>
      </c>
      <c r="C515" s="10">
        <f t="shared" si="62"/>
        <v>0.69711280008192911</v>
      </c>
      <c r="D515" s="10">
        <f t="shared" si="66"/>
        <v>6.2158371212272738E-2</v>
      </c>
      <c r="E515" s="10">
        <f t="shared" si="67"/>
        <v>2.5751019895328364E-2</v>
      </c>
      <c r="F515" s="10">
        <f t="shared" si="63"/>
        <v>0.13042077116834358</v>
      </c>
      <c r="G515" s="66">
        <f t="shared" si="68"/>
        <v>4</v>
      </c>
      <c r="H515" s="10"/>
      <c r="I515" s="10">
        <f t="shared" si="64"/>
        <v>1.4075425802086426E-2</v>
      </c>
    </row>
    <row r="516" spans="1:9">
      <c r="A516" s="19">
        <f t="shared" si="65"/>
        <v>41.833333333333428</v>
      </c>
      <c r="B516" s="10">
        <f t="shared" si="61"/>
        <v>0.43798585958167929</v>
      </c>
      <c r="C516" s="10">
        <f t="shared" si="62"/>
        <v>0.69561425715791125</v>
      </c>
      <c r="D516" s="10">
        <f t="shared" si="66"/>
        <v>6.253350904103043E-2</v>
      </c>
      <c r="E516" s="10">
        <f t="shared" si="67"/>
        <v>2.5896054491151801E-2</v>
      </c>
      <c r="F516" s="10">
        <f t="shared" si="63"/>
        <v>0.12989157680598271</v>
      </c>
      <c r="G516" s="66">
        <f t="shared" si="68"/>
        <v>2</v>
      </c>
      <c r="H516" s="10"/>
      <c r="I516" s="10">
        <f t="shared" si="64"/>
        <v>6.9990167059267409E-3</v>
      </c>
    </row>
    <row r="517" spans="1:9">
      <c r="A517" s="19">
        <f t="shared" si="65"/>
        <v>41.916666666666764</v>
      </c>
      <c r="B517" s="10">
        <f t="shared" si="61"/>
        <v>0.43570255211334491</v>
      </c>
      <c r="C517" s="10">
        <f t="shared" si="62"/>
        <v>0.69411052264922168</v>
      </c>
      <c r="D517" s="10">
        <f t="shared" si="66"/>
        <v>6.291091454758585E-2</v>
      </c>
      <c r="E517" s="10">
        <f t="shared" si="67"/>
        <v>2.6041909133666212E-2</v>
      </c>
      <c r="F517" s="10">
        <f t="shared" si="63"/>
        <v>0.12936452969877643</v>
      </c>
      <c r="G517" s="66">
        <f t="shared" si="68"/>
        <v>4</v>
      </c>
      <c r="H517" s="10"/>
      <c r="I517" s="10">
        <f t="shared" si="64"/>
        <v>1.3920462866035342E-2</v>
      </c>
    </row>
    <row r="518" spans="1:9">
      <c r="A518" s="19">
        <f t="shared" si="65"/>
        <v>42.000000000000099</v>
      </c>
      <c r="B518" s="10">
        <f t="shared" si="61"/>
        <v>0.43341747542889925</v>
      </c>
      <c r="C518" s="10">
        <f t="shared" si="62"/>
        <v>0.69260159672650956</v>
      </c>
      <c r="D518" s="10">
        <f t="shared" si="66"/>
        <v>6.3290601439867714E-2</v>
      </c>
      <c r="E518" s="10">
        <f t="shared" si="67"/>
        <v>2.6188588459534819E-2</v>
      </c>
      <c r="F518" s="10">
        <f t="shared" si="63"/>
        <v>0.12883962113403805</v>
      </c>
      <c r="G518" s="66">
        <f t="shared" si="68"/>
        <v>2</v>
      </c>
      <c r="H518" s="10"/>
      <c r="I518" s="10">
        <f t="shared" si="64"/>
        <v>6.9213591410333779E-3</v>
      </c>
    </row>
    <row r="519" spans="1:9">
      <c r="A519" s="19">
        <f t="shared" si="65"/>
        <v>42.083333333333435</v>
      </c>
      <c r="B519" s="10">
        <f t="shared" si="61"/>
        <v>0.43113070038212009</v>
      </c>
      <c r="C519" s="10">
        <f t="shared" si="62"/>
        <v>0.69108747979124607</v>
      </c>
      <c r="D519" s="10">
        <f t="shared" si="66"/>
        <v>6.367258350866796E-2</v>
      </c>
      <c r="E519" s="10">
        <f t="shared" si="67"/>
        <v>2.6336097131637193E-2</v>
      </c>
      <c r="F519" s="10">
        <f t="shared" si="63"/>
        <v>0.12831684243443325</v>
      </c>
      <c r="G519" s="66">
        <f t="shared" si="68"/>
        <v>4</v>
      </c>
      <c r="H519" s="10"/>
      <c r="I519" s="10">
        <f t="shared" si="64"/>
        <v>1.376480381618439E-2</v>
      </c>
    </row>
    <row r="520" spans="1:9">
      <c r="A520" s="19">
        <f t="shared" si="65"/>
        <v>42.166666666666771</v>
      </c>
      <c r="B520" s="10">
        <f t="shared" si="61"/>
        <v>0.4288422984252408</v>
      </c>
      <c r="C520" s="10">
        <f t="shared" si="62"/>
        <v>0.68956817247817415</v>
      </c>
      <c r="D520" s="10">
        <f t="shared" si="66"/>
        <v>6.4056874628142954E-2</v>
      </c>
      <c r="E520" s="10">
        <f t="shared" si="67"/>
        <v>2.6484439839217583E-2</v>
      </c>
      <c r="F520" s="10">
        <f t="shared" si="63"/>
        <v>0.12779618495783698</v>
      </c>
      <c r="G520" s="66">
        <f t="shared" si="68"/>
        <v>2</v>
      </c>
      <c r="H520" s="10"/>
      <c r="I520" s="10">
        <f t="shared" si="64"/>
        <v>6.8433618315510347E-3</v>
      </c>
    </row>
    <row r="521" spans="1:9">
      <c r="A521" s="19">
        <f t="shared" si="65"/>
        <v>42.250000000000107</v>
      </c>
      <c r="B521" s="10">
        <f t="shared" si="61"/>
        <v>0.42655234160617012</v>
      </c>
      <c r="C521" s="10">
        <f t="shared" si="62"/>
        <v>0.68804367565776392</v>
      </c>
      <c r="D521" s="10">
        <f t="shared" si="66"/>
        <v>6.4443488756316863E-2</v>
      </c>
      <c r="E521" s="10">
        <f t="shared" si="67"/>
        <v>2.6633621298033774E-2</v>
      </c>
      <c r="F521" s="10">
        <f t="shared" si="63"/>
        <v>0.12727764009719039</v>
      </c>
      <c r="G521" s="66">
        <f t="shared" si="68"/>
        <v>4</v>
      </c>
      <c r="H521" s="10"/>
      <c r="I521" s="10">
        <f t="shared" si="64"/>
        <v>1.3608482055673663E-2</v>
      </c>
    </row>
    <row r="522" spans="1:9">
      <c r="A522" s="19">
        <f t="shared" si="65"/>
        <v>42.333333333333442</v>
      </c>
      <c r="B522" s="10">
        <f t="shared" si="61"/>
        <v>0.42426090256557586</v>
      </c>
      <c r="C522" s="10">
        <f t="shared" si="62"/>
        <v>0.68651399043867789</v>
      </c>
      <c r="D522" s="10">
        <f t="shared" si="66"/>
        <v>6.4832439935589237E-2</v>
      </c>
      <c r="E522" s="10">
        <f t="shared" si="67"/>
        <v>2.6783646250507213E-2</v>
      </c>
      <c r="F522" s="10">
        <f t="shared" si="63"/>
        <v>0.12676119928035848</v>
      </c>
      <c r="G522" s="66">
        <f t="shared" si="68"/>
        <v>2</v>
      </c>
      <c r="H522" s="10"/>
      <c r="I522" s="10">
        <f t="shared" si="64"/>
        <v>6.7650416322720753E-3</v>
      </c>
    </row>
    <row r="523" spans="1:9">
      <c r="A523" s="19">
        <f t="shared" si="65"/>
        <v>42.416666666666778</v>
      </c>
      <c r="B523" s="10">
        <f t="shared" si="61"/>
        <v>0.42196805453382913</v>
      </c>
      <c r="C523" s="10">
        <f t="shared" si="62"/>
        <v>0.68497911817024237</v>
      </c>
      <c r="D523" s="10">
        <f t="shared" si="66"/>
        <v>6.5223742293244652E-2</v>
      </c>
      <c r="E523" s="10">
        <f t="shared" si="67"/>
        <v>2.6934519465873653E-2</v>
      </c>
      <c r="F523" s="10">
        <f t="shared" si="63"/>
        <v>0.12624685396998855</v>
      </c>
      <c r="G523" s="66">
        <f t="shared" si="68"/>
        <v>4</v>
      </c>
      <c r="H523" s="10"/>
      <c r="I523" s="10">
        <f t="shared" si="64"/>
        <v>1.3451531597788275E-2</v>
      </c>
    </row>
    <row r="524" spans="1:9">
      <c r="A524" s="19">
        <f t="shared" si="65"/>
        <v>42.500000000000114</v>
      </c>
      <c r="B524" s="10">
        <f t="shared" si="61"/>
        <v>0.41967387132780798</v>
      </c>
      <c r="C524" s="10">
        <f t="shared" si="62"/>
        <v>0.6834390604449283</v>
      </c>
      <c r="D524" s="10">
        <f t="shared" si="66"/>
        <v>6.5617410041966223E-2</v>
      </c>
      <c r="E524" s="10">
        <f t="shared" si="67"/>
        <v>2.7086245740334886E-2</v>
      </c>
      <c r="F524" s="10">
        <f t="shared" si="63"/>
        <v>0.125734595663369</v>
      </c>
      <c r="G524" s="66">
        <f t="shared" si="68"/>
        <v>2</v>
      </c>
      <c r="H524" s="10"/>
      <c r="I524" s="10">
        <f t="shared" si="64"/>
        <v>6.68641570026855E-3</v>
      </c>
    </row>
    <row r="525" spans="1:9">
      <c r="A525" s="19">
        <f t="shared" si="65"/>
        <v>42.583333333333449</v>
      </c>
      <c r="B525" s="10">
        <f t="shared" si="61"/>
        <v>0.41737842734756048</v>
      </c>
      <c r="C525" s="10">
        <f t="shared" si="62"/>
        <v>0.68189381910083835</v>
      </c>
      <c r="D525" s="10">
        <f t="shared" si="66"/>
        <v>6.6013457480351243E-2</v>
      </c>
      <c r="E525" s="10">
        <f t="shared" si="67"/>
        <v>2.7238829897210992E-2</v>
      </c>
      <c r="F525" s="10">
        <f t="shared" si="63"/>
        <v>0.12522441589228872</v>
      </c>
      <c r="G525" s="66">
        <f t="shared" si="68"/>
        <v>4</v>
      </c>
      <c r="H525" s="10"/>
      <c r="I525" s="10">
        <f t="shared" si="64"/>
        <v>1.3293987054591998E-2</v>
      </c>
    </row>
    <row r="526" spans="1:9">
      <c r="A526" s="19">
        <f t="shared" si="65"/>
        <v>42.666666666666785</v>
      </c>
      <c r="B526" s="10">
        <f t="shared" ref="B526:B589" si="69">(B$9^A526)*B$10^((B$6^28)*((B$6^A526)-1))</f>
        <v>0.4150817975728231</v>
      </c>
      <c r="C526" s="10">
        <f t="shared" ref="C526:C589" si="70">(B$9^A526)*B$11^((B$7^24)*((B$7^A526)-1))</f>
        <v>0.68034339622420081</v>
      </c>
      <c r="D526" s="10">
        <f t="shared" si="66"/>
        <v>6.6411898993431057E-2</v>
      </c>
      <c r="E526" s="10">
        <f t="shared" si="67"/>
        <v>2.7392276787093887E-2</v>
      </c>
      <c r="F526" s="10">
        <f t="shared" si="63"/>
        <v>0.12471630622289724</v>
      </c>
      <c r="G526" s="66">
        <f t="shared" si="68"/>
        <v>2</v>
      </c>
      <c r="H526" s="10"/>
      <c r="I526" s="10">
        <f t="shared" si="64"/>
        <v>6.6075014890132526E-3</v>
      </c>
    </row>
    <row r="527" spans="1:9">
      <c r="A527" s="19">
        <f t="shared" si="65"/>
        <v>42.750000000000121</v>
      </c>
      <c r="B527" s="10">
        <f t="shared" si="69"/>
        <v>0.41278405755939562</v>
      </c>
      <c r="C527" s="10">
        <f t="shared" si="70"/>
        <v>0.67878779415187107</v>
      </c>
      <c r="D527" s="10">
        <f t="shared" si="66"/>
        <v>6.6812749053193315E-2</v>
      </c>
      <c r="E527" s="10">
        <f t="shared" si="67"/>
        <v>2.7546591288001403E-2</v>
      </c>
      <c r="F527" s="10">
        <f t="shared" ref="F527:F590" si="71">(1+B$8)^-A527</f>
        <v>0.12421025825556514</v>
      </c>
      <c r="G527" s="66">
        <f t="shared" si="68"/>
        <v>4</v>
      </c>
      <c r="H527" s="10"/>
      <c r="I527" s="10">
        <f t="shared" ref="I527:I590" si="72">B527*C527*(D527+E527)*F527*G527</f>
        <v>1.3135883624775477E-2</v>
      </c>
    </row>
    <row r="528" spans="1:9">
      <c r="A528" s="19">
        <f t="shared" ref="A528:A591" si="73">A527+1/12</f>
        <v>42.833333333333456</v>
      </c>
      <c r="B528" s="10">
        <f t="shared" si="69"/>
        <v>0.4104852834353695</v>
      </c>
      <c r="C528" s="10">
        <f t="shared" si="70"/>
        <v>0.67722701547384045</v>
      </c>
      <c r="D528" s="10">
        <f t="shared" si="66"/>
        <v>6.7216022219107829E-2</v>
      </c>
      <c r="E528" s="10">
        <f t="shared" si="67"/>
        <v>2.7701778305532481E-2</v>
      </c>
      <c r="F528" s="10">
        <f t="shared" si="71"/>
        <v>0.12370626362474531</v>
      </c>
      <c r="G528" s="66">
        <f t="shared" si="68"/>
        <v>2</v>
      </c>
      <c r="H528" s="10"/>
      <c r="I528" s="10">
        <f t="shared" si="72"/>
        <v>6.5283167421059541E-3</v>
      </c>
    </row>
    <row r="529" spans="1:9">
      <c r="A529" s="19">
        <f t="shared" si="73"/>
        <v>42.916666666666792</v>
      </c>
      <c r="B529" s="10">
        <f t="shared" si="69"/>
        <v>0.4081855518972094</v>
      </c>
      <c r="C529" s="10">
        <f t="shared" si="70"/>
        <v>0.67566106303574902</v>
      </c>
      <c r="D529" s="10">
        <f t="shared" ref="D529:D592" si="74">B$3+B$4*(B$6^(28+A529))</f>
        <v>6.7621733138654966E-2</v>
      </c>
      <c r="E529" s="10">
        <f t="shared" ref="E529:E592" si="75">B$3+B$5*(B$7^(24+A529))</f>
        <v>2.7857842773022896E-2</v>
      </c>
      <c r="F529" s="10">
        <f t="shared" si="71"/>
        <v>0.12320431399883457</v>
      </c>
      <c r="G529" s="66">
        <f t="shared" ref="G529:G592" si="76">IF(G528=4,2,4)</f>
        <v>4</v>
      </c>
      <c r="H529" s="10"/>
      <c r="I529" s="10">
        <f t="shared" si="72"/>
        <v>1.2977257080710933E-2</v>
      </c>
    </row>
    <row r="530" spans="1:9">
      <c r="A530" s="19">
        <f t="shared" si="73"/>
        <v>43.000000000000128</v>
      </c>
      <c r="B530" s="10">
        <f t="shared" si="69"/>
        <v>0.40588494020568583</v>
      </c>
      <c r="C530" s="10">
        <f t="shared" si="70"/>
        <v>0.67408993994140731</v>
      </c>
      <c r="D530" s="10">
        <f t="shared" si="74"/>
        <v>6.8029896547857918E-2</v>
      </c>
      <c r="E530" s="10">
        <f t="shared" si="75"/>
        <v>2.8014789651702308E-2</v>
      </c>
      <c r="F530" s="10">
        <f t="shared" si="71"/>
        <v>0.12270440108003607</v>
      </c>
      <c r="G530" s="66">
        <f t="shared" si="76"/>
        <v>2</v>
      </c>
      <c r="H530" s="10"/>
      <c r="I530" s="10">
        <f t="shared" si="72"/>
        <v>6.4488794866007304E-3</v>
      </c>
    </row>
    <row r="531" spans="1:9">
      <c r="A531" s="19">
        <f t="shared" si="73"/>
        <v>43.083333333333464</v>
      </c>
      <c r="B531" s="10">
        <f t="shared" si="69"/>
        <v>0.40358352618165749</v>
      </c>
      <c r="C531" s="10">
        <f t="shared" si="70"/>
        <v>0.67251364955532233</v>
      </c>
      <c r="D531" s="10">
        <f t="shared" si="74"/>
        <v>6.844052727181818E-2</v>
      </c>
      <c r="E531" s="10">
        <f t="shared" si="75"/>
        <v>2.8172623930851848E-2</v>
      </c>
      <c r="F531" s="10">
        <f t="shared" si="71"/>
        <v>0.12220651660422197</v>
      </c>
      <c r="G531" s="66">
        <f t="shared" si="76"/>
        <v>4</v>
      </c>
      <c r="H531" s="10"/>
      <c r="I531" s="10">
        <f t="shared" si="72"/>
        <v>1.2818143754704952E-2</v>
      </c>
    </row>
    <row r="532" spans="1:9">
      <c r="A532" s="19">
        <f t="shared" si="73"/>
        <v>43.166666666666799</v>
      </c>
      <c r="B532" s="10">
        <f t="shared" si="69"/>
        <v>0.40128138820170256</v>
      </c>
      <c r="C532" s="10">
        <f t="shared" si="70"/>
        <v>0.67093219550522953</v>
      </c>
      <c r="D532" s="10">
        <f t="shared" si="74"/>
        <v>6.8853640225253809E-2</v>
      </c>
      <c r="E532" s="10">
        <f t="shared" si="75"/>
        <v>2.8331350627962864E-2</v>
      </c>
      <c r="F532" s="10">
        <f t="shared" si="71"/>
        <v>0.12171065234079696</v>
      </c>
      <c r="G532" s="66">
        <f t="shared" si="76"/>
        <v>2</v>
      </c>
      <c r="H532" s="10"/>
      <c r="I532" s="10">
        <f t="shared" si="72"/>
        <v>6.3692080259307596E-3</v>
      </c>
    </row>
    <row r="533" spans="1:9">
      <c r="A533" s="19">
        <f t="shared" si="73"/>
        <v>43.250000000000135</v>
      </c>
      <c r="B533" s="10">
        <f t="shared" si="69"/>
        <v>0.3989786051935984</v>
      </c>
      <c r="C533" s="10">
        <f t="shared" si="70"/>
        <v>0.66934558168462976</v>
      </c>
      <c r="D533" s="10">
        <f t="shared" si="74"/>
        <v>6.9269250413040814E-2</v>
      </c>
      <c r="E533" s="10">
        <f t="shared" si="75"/>
        <v>2.849097478889619E-2</v>
      </c>
      <c r="F533" s="10">
        <f t="shared" si="71"/>
        <v>0.1212168000925621</v>
      </c>
      <c r="G533" s="66">
        <f t="shared" si="76"/>
        <v>4</v>
      </c>
      <c r="H533" s="10"/>
      <c r="I533" s="10">
        <f t="shared" si="72"/>
        <v>1.2658580524443212E-2</v>
      </c>
    </row>
    <row r="534" spans="1:9">
      <c r="A534" s="19">
        <f t="shared" si="73"/>
        <v>43.333333333333471</v>
      </c>
      <c r="B534" s="10">
        <f t="shared" si="69"/>
        <v>0.3966752566316451</v>
      </c>
      <c r="C534" s="10">
        <f t="shared" si="70"/>
        <v>0.66775381225533237</v>
      </c>
      <c r="D534" s="10">
        <f t="shared" si="74"/>
        <v>6.9687372930758551E-2</v>
      </c>
      <c r="E534" s="10">
        <f t="shared" si="75"/>
        <v>2.8651501488042769E-2</v>
      </c>
      <c r="F534" s="10">
        <f t="shared" si="71"/>
        <v>0.12072495169557933</v>
      </c>
      <c r="G534" s="66">
        <f t="shared" si="76"/>
        <v>2</v>
      </c>
      <c r="H534" s="10"/>
      <c r="I534" s="10">
        <f t="shared" si="72"/>
        <v>6.2893209324272805E-3</v>
      </c>
    </row>
    <row r="535" spans="1:9">
      <c r="A535" s="19">
        <f t="shared" si="73"/>
        <v>43.416666666666806</v>
      </c>
      <c r="B535" s="10">
        <f t="shared" si="69"/>
        <v>0.39437142253183588</v>
      </c>
      <c r="C535" s="10">
        <f t="shared" si="70"/>
        <v>0.66615689165000214</v>
      </c>
      <c r="D535" s="10">
        <f t="shared" si="74"/>
        <v>7.0108022965238187E-2</v>
      </c>
      <c r="E535" s="10">
        <f t="shared" si="75"/>
        <v>2.8812935828484862E-2</v>
      </c>
      <c r="F535" s="10">
        <f t="shared" si="71"/>
        <v>0.12023509901903653</v>
      </c>
      <c r="G535" s="66">
        <f t="shared" si="76"/>
        <v>4</v>
      </c>
      <c r="H535" s="10"/>
      <c r="I535" s="10">
        <f t="shared" si="72"/>
        <v>1.249860479762031E-2</v>
      </c>
    </row>
    <row r="536" spans="1:9">
      <c r="A536" s="19">
        <f t="shared" si="73"/>
        <v>43.500000000000142</v>
      </c>
      <c r="B536" s="10">
        <f t="shared" si="69"/>
        <v>0.39206718344687108</v>
      </c>
      <c r="C536" s="10">
        <f t="shared" si="70"/>
        <v>0.66455482457471038</v>
      </c>
      <c r="D536" s="10">
        <f t="shared" si="74"/>
        <v>7.0531215795113816E-2</v>
      </c>
      <c r="E536" s="10">
        <f t="shared" si="75"/>
        <v>2.8975282942158381E-2</v>
      </c>
      <c r="F536" s="10">
        <f t="shared" si="71"/>
        <v>0.11974723396511315</v>
      </c>
      <c r="G536" s="66">
        <f t="shared" si="76"/>
        <v>2</v>
      </c>
      <c r="H536" s="10"/>
      <c r="I536" s="10">
        <f t="shared" si="72"/>
        <v>6.2092370394300827E-3</v>
      </c>
    </row>
    <row r="537" spans="1:9">
      <c r="A537" s="19">
        <f t="shared" si="73"/>
        <v>43.583333333333478</v>
      </c>
      <c r="B537" s="10">
        <f t="shared" si="69"/>
        <v>0.38976262046101334</v>
      </c>
      <c r="C537" s="10">
        <f t="shared" si="70"/>
        <v>0.66294761601149166</v>
      </c>
      <c r="D537" s="10">
        <f t="shared" si="74"/>
        <v>7.0956966791377765E-2</v>
      </c>
      <c r="E537" s="10">
        <f t="shared" si="75"/>
        <v>2.913854799001581E-2</v>
      </c>
      <c r="F537" s="10">
        <f t="shared" si="71"/>
        <v>0.11926134846884624</v>
      </c>
      <c r="G537" s="66">
        <f t="shared" si="76"/>
        <v>4</v>
      </c>
      <c r="H537" s="10"/>
      <c r="I537" s="10">
        <f t="shared" si="72"/>
        <v>1.2338254495750744E-2</v>
      </c>
    </row>
    <row r="538" spans="1:9">
      <c r="A538" s="19">
        <f t="shared" si="73"/>
        <v>43.666666666666814</v>
      </c>
      <c r="B538" s="10">
        <f t="shared" si="69"/>
        <v>0.38745781518478567</v>
      </c>
      <c r="C538" s="10">
        <f t="shared" si="70"/>
        <v>0.66133527122090308</v>
      </c>
      <c r="D538" s="10">
        <f t="shared" si="74"/>
        <v>7.1385291417938521E-2</v>
      </c>
      <c r="E538" s="10">
        <f t="shared" si="75"/>
        <v>2.930273616219051E-2</v>
      </c>
      <c r="F538" s="10">
        <f t="shared" si="71"/>
        <v>0.11877743449799719</v>
      </c>
      <c r="G538" s="66">
        <f t="shared" si="76"/>
        <v>2</v>
      </c>
      <c r="H538" s="10"/>
      <c r="I538" s="10">
        <f t="shared" si="72"/>
        <v>6.1289754329872936E-3</v>
      </c>
    </row>
    <row r="539" spans="1:9">
      <c r="A539" s="19">
        <f t="shared" si="73"/>
        <v>43.750000000000149</v>
      </c>
      <c r="B539" s="10">
        <f t="shared" si="69"/>
        <v>0.38515284974950886</v>
      </c>
      <c r="C539" s="10">
        <f t="shared" si="70"/>
        <v>0.65971779574458744</v>
      </c>
      <c r="D539" s="10">
        <f t="shared" si="74"/>
        <v>7.1816205232183003E-2</v>
      </c>
      <c r="E539" s="10">
        <f t="shared" si="75"/>
        <v>2.946785267816155E-2</v>
      </c>
      <c r="F539" s="10">
        <f t="shared" si="71"/>
        <v>0.11829548405291904</v>
      </c>
      <c r="G539" s="66">
        <f t="shared" si="76"/>
        <v>4</v>
      </c>
      <c r="H539" s="10"/>
      <c r="I539" s="10">
        <f t="shared" si="72"/>
        <v>1.2177568037156306E-2</v>
      </c>
    </row>
    <row r="540" spans="1:9">
      <c r="A540" s="19">
        <f t="shared" si="73"/>
        <v>43.833333333333485</v>
      </c>
      <c r="B540" s="10">
        <f t="shared" si="69"/>
        <v>0.38284780680167813</v>
      </c>
      <c r="C540" s="10">
        <f t="shared" si="70"/>
        <v>0.65809519540783989</v>
      </c>
      <c r="D540" s="10">
        <f t="shared" si="74"/>
        <v>7.2249723885541045E-2</v>
      </c>
      <c r="E540" s="10">
        <f t="shared" si="75"/>
        <v>2.9633902786919811E-2</v>
      </c>
      <c r="F540" s="10">
        <f t="shared" si="71"/>
        <v>0.11781548916642394</v>
      </c>
      <c r="G540" s="66">
        <f t="shared" si="76"/>
        <v>2</v>
      </c>
      <c r="H540" s="10"/>
      <c r="I540" s="10">
        <f t="shared" si="72"/>
        <v>6.0485554431428329E-3</v>
      </c>
    </row>
    <row r="541" spans="1:9">
      <c r="A541" s="19">
        <f t="shared" si="73"/>
        <v>43.916666666666821</v>
      </c>
      <c r="B541" s="10">
        <f t="shared" si="69"/>
        <v>0.38054276949717808</v>
      </c>
      <c r="C541" s="10">
        <f t="shared" si="70"/>
        <v>0.65646747632217806</v>
      </c>
      <c r="D541" s="10">
        <f t="shared" si="74"/>
        <v>7.2685863124054229E-2</v>
      </c>
      <c r="E541" s="10">
        <f t="shared" si="75"/>
        <v>2.9800891767134553E-2</v>
      </c>
      <c r="F541" s="10">
        <f t="shared" si="71"/>
        <v>0.11733744190365179</v>
      </c>
      <c r="G541" s="66">
        <f t="shared" si="76"/>
        <v>4</v>
      </c>
      <c r="H541" s="10"/>
      <c r="I541" s="10">
        <f t="shared" si="72"/>
        <v>1.2016584319127881E-2</v>
      </c>
    </row>
    <row r="542" spans="1:9">
      <c r="A542" s="19">
        <f t="shared" si="73"/>
        <v>44.000000000000156</v>
      </c>
      <c r="B542" s="10">
        <f t="shared" si="69"/>
        <v>0.37823782149533425</v>
      </c>
      <c r="C542" s="10">
        <f t="shared" si="70"/>
        <v>0.6548346448879131</v>
      </c>
      <c r="D542" s="10">
        <f t="shared" si="74"/>
        <v>7.3124638788947399E-2</v>
      </c>
      <c r="E542" s="10">
        <f t="shared" si="75"/>
        <v>2.9968824927321523E-2</v>
      </c>
      <c r="F542" s="10">
        <f t="shared" si="71"/>
        <v>0.11686133436193892</v>
      </c>
      <c r="G542" s="66">
        <f t="shared" si="76"/>
        <v>2</v>
      </c>
      <c r="H542" s="10"/>
      <c r="I542" s="10">
        <f t="shared" si="72"/>
        <v>5.9679966348104158E-3</v>
      </c>
    </row>
    <row r="543" spans="1:9">
      <c r="A543" s="19">
        <f t="shared" si="73"/>
        <v>44.083333333333492</v>
      </c>
      <c r="B543" s="10">
        <f t="shared" si="69"/>
        <v>0.37593304695280128</v>
      </c>
      <c r="C543" s="10">
        <f t="shared" si="70"/>
        <v>0.65319670779672501</v>
      </c>
      <c r="D543" s="10">
        <f t="shared" si="74"/>
        <v>7.3566066817204748E-2</v>
      </c>
      <c r="E543" s="10">
        <f t="shared" si="75"/>
        <v>3.0137707606011532E-2</v>
      </c>
      <c r="F543" s="10">
        <f t="shared" si="71"/>
        <v>0.11638715867068741</v>
      </c>
      <c r="G543" s="66">
        <f t="shared" si="76"/>
        <v>4</v>
      </c>
      <c r="H543" s="10"/>
      <c r="I543" s="10">
        <f t="shared" si="72"/>
        <v>1.1855342699259511E-2</v>
      </c>
    </row>
    <row r="544" spans="1:9">
      <c r="A544" s="19">
        <f t="shared" si="73"/>
        <v>44.166666666666828</v>
      </c>
      <c r="B544" s="10">
        <f t="shared" si="69"/>
        <v>0.37362853051728528</v>
      </c>
      <c r="C544" s="10">
        <f t="shared" si="70"/>
        <v>0.65155367203423864</v>
      </c>
      <c r="D544" s="10">
        <f t="shared" si="74"/>
        <v>7.4010163242147972E-2</v>
      </c>
      <c r="E544" s="10">
        <f t="shared" si="75"/>
        <v>3.0307545171920323E-2</v>
      </c>
      <c r="F544" s="10">
        <f t="shared" si="71"/>
        <v>0.11591490699123502</v>
      </c>
      <c r="G544" s="66">
        <f t="shared" si="76"/>
        <v>2</v>
      </c>
      <c r="H544" s="10"/>
      <c r="I544" s="10">
        <f t="shared" si="72"/>
        <v>5.8873187982336856E-3</v>
      </c>
    </row>
    <row r="545" spans="1:9">
      <c r="A545" s="19">
        <f t="shared" si="73"/>
        <v>44.250000000000163</v>
      </c>
      <c r="B545" s="10">
        <f t="shared" si="69"/>
        <v>0.3713243573211007</v>
      </c>
      <c r="C545" s="10">
        <f t="shared" si="70"/>
        <v>0.64990554488260099</v>
      </c>
      <c r="D545" s="10">
        <f t="shared" si="74"/>
        <v>7.4456944194019006E-2</v>
      </c>
      <c r="E545" s="10">
        <f t="shared" si="75"/>
        <v>3.0478343024118979E-2</v>
      </c>
      <c r="F545" s="10">
        <f t="shared" si="71"/>
        <v>0.11544457151672563</v>
      </c>
      <c r="G545" s="66">
        <f t="shared" si="76"/>
        <v>4</v>
      </c>
      <c r="H545" s="10"/>
      <c r="I545" s="10">
        <f t="shared" si="72"/>
        <v>1.1693882975954847E-2</v>
      </c>
    </row>
    <row r="546" spans="1:9">
      <c r="A546" s="19">
        <f t="shared" si="73"/>
        <v>44.333333333333499</v>
      </c>
      <c r="B546" s="10">
        <f t="shared" si="69"/>
        <v>0.3690206129745609</v>
      </c>
      <c r="C546" s="10">
        <f t="shared" si="70"/>
        <v>0.6482523339230617</v>
      </c>
      <c r="D546" s="10">
        <f t="shared" si="74"/>
        <v>7.4906425900565579E-2</v>
      </c>
      <c r="E546" s="10">
        <f t="shared" si="75"/>
        <v>3.0650106592205819E-2</v>
      </c>
      <c r="F546" s="10">
        <f t="shared" si="71"/>
        <v>0.11497614447198014</v>
      </c>
      <c r="G546" s="66">
        <f t="shared" si="76"/>
        <v>2</v>
      </c>
      <c r="H546" s="10"/>
      <c r="I546" s="10">
        <f t="shared" si="72"/>
        <v>5.8065419390325064E-3</v>
      </c>
    </row>
    <row r="547" spans="1:9">
      <c r="A547" s="19">
        <f t="shared" si="73"/>
        <v>44.416666666666835</v>
      </c>
      <c r="B547" s="10">
        <f t="shared" si="69"/>
        <v>0.36671738355919969</v>
      </c>
      <c r="C547" s="10">
        <f t="shared" si="70"/>
        <v>0.64659404703855172</v>
      </c>
      <c r="D547" s="10">
        <f t="shared" si="74"/>
        <v>7.5358624687631187E-2</v>
      </c>
      <c r="E547" s="10">
        <f t="shared" si="75"/>
        <v>3.0822841336478855E-2</v>
      </c>
      <c r="F547" s="10">
        <f t="shared" si="71"/>
        <v>0.11450961811336795</v>
      </c>
      <c r="G547" s="66">
        <f t="shared" si="76"/>
        <v>4</v>
      </c>
      <c r="H547" s="10"/>
      <c r="I547" s="10">
        <f t="shared" si="72"/>
        <v>1.1532245368106332E-2</v>
      </c>
    </row>
    <row r="548" spans="1:9">
      <c r="A548" s="19">
        <f t="shared" si="73"/>
        <v>44.500000000000171</v>
      </c>
      <c r="B548" s="10">
        <f t="shared" si="69"/>
        <v>0.36441475562082548</v>
      </c>
      <c r="C548" s="10">
        <f t="shared" si="70"/>
        <v>0.64493069241626444</v>
      </c>
      <c r="D548" s="10">
        <f t="shared" si="74"/>
        <v>7.5813556979747482E-2</v>
      </c>
      <c r="E548" s="10">
        <f t="shared" si="75"/>
        <v>3.0996552748109526E-2</v>
      </c>
      <c r="F548" s="10">
        <f t="shared" si="71"/>
        <v>0.11404498472867902</v>
      </c>
      <c r="G548" s="66">
        <f t="shared" si="76"/>
        <v>2</v>
      </c>
      <c r="H548" s="10"/>
      <c r="I548" s="10">
        <f t="shared" si="72"/>
        <v>5.7256862678362911E-3</v>
      </c>
    </row>
    <row r="549" spans="1:9">
      <c r="A549" s="19">
        <f t="shared" si="73"/>
        <v>44.583333333333506</v>
      </c>
      <c r="B549" s="10">
        <f t="shared" si="69"/>
        <v>0.36211281616240559</v>
      </c>
      <c r="C549" s="10">
        <f t="shared" si="70"/>
        <v>0.64326227855023643</v>
      </c>
      <c r="D549" s="10">
        <f t="shared" si="74"/>
        <v>7.6271239300731236E-2</v>
      </c>
      <c r="E549" s="10">
        <f t="shared" si="75"/>
        <v>3.1171246349317006E-2</v>
      </c>
      <c r="F549" s="10">
        <f t="shared" si="71"/>
        <v>0.11358223663699624</v>
      </c>
      <c r="G549" s="66">
        <f t="shared" si="76"/>
        <v>4</v>
      </c>
      <c r="H549" s="10"/>
      <c r="I549" s="10">
        <f t="shared" si="72"/>
        <v>1.1370470493949967E-2</v>
      </c>
    </row>
    <row r="550" spans="1:9">
      <c r="A550" s="19">
        <f t="shared" si="73"/>
        <v>44.666666666666842</v>
      </c>
      <c r="B550" s="10">
        <f t="shared" si="69"/>
        <v>0.35981165263678028</v>
      </c>
      <c r="C550" s="10">
        <f t="shared" si="70"/>
        <v>0.64158881424392755</v>
      </c>
      <c r="D550" s="10">
        <f t="shared" si="74"/>
        <v>7.6731688274284046E-2</v>
      </c>
      <c r="E550" s="10">
        <f t="shared" si="75"/>
        <v>3.1346927693543906E-2</v>
      </c>
      <c r="F550" s="10">
        <f t="shared" si="71"/>
        <v>0.11312136618856865</v>
      </c>
      <c r="G550" s="66">
        <f t="shared" si="76"/>
        <v>2</v>
      </c>
      <c r="H550" s="10"/>
      <c r="I550" s="10">
        <f t="shared" si="72"/>
        <v>5.6447721895057359E-3</v>
      </c>
    </row>
    <row r="551" spans="1:9">
      <c r="A551" s="19">
        <f t="shared" si="73"/>
        <v>44.750000000000178</v>
      </c>
      <c r="B551" s="10">
        <f t="shared" si="69"/>
        <v>0.35751135293920672</v>
      </c>
      <c r="C551" s="10">
        <f t="shared" si="70"/>
        <v>0.63991030861280063</v>
      </c>
      <c r="D551" s="10">
        <f t="shared" si="74"/>
        <v>7.7194920624596874E-2</v>
      </c>
      <c r="E551" s="10">
        <f t="shared" si="75"/>
        <v>3.1523602365632925E-2</v>
      </c>
      <c r="F551" s="10">
        <f t="shared" si="71"/>
        <v>0.11266236576468464</v>
      </c>
      <c r="G551" s="66">
        <f t="shared" si="76"/>
        <v>4</v>
      </c>
      <c r="H551" s="10"/>
      <c r="I551" s="10">
        <f t="shared" si="72"/>
        <v>1.1208599349098581E-2</v>
      </c>
    </row>
    <row r="552" spans="1:9">
      <c r="A552" s="19">
        <f t="shared" si="73"/>
        <v>44.833333333333513</v>
      </c>
      <c r="B552" s="10">
        <f t="shared" si="69"/>
        <v>0.35521200539973008</v>
      </c>
      <c r="C552" s="10">
        <f t="shared" si="70"/>
        <v>0.6382267710869004</v>
      </c>
      <c r="D552" s="10">
        <f t="shared" si="74"/>
        <v>7.7660953176956773E-2</v>
      </c>
      <c r="E552" s="10">
        <f t="shared" si="75"/>
        <v>3.1701275982004257E-2</v>
      </c>
      <c r="F552" s="10">
        <f t="shared" si="71"/>
        <v>0.11220522777754643</v>
      </c>
      <c r="G552" s="66">
        <f t="shared" si="76"/>
        <v>2</v>
      </c>
      <c r="H552" s="10"/>
      <c r="I552" s="10">
        <f t="shared" si="72"/>
        <v>5.563820291945111E-3</v>
      </c>
    </row>
    <row r="553" spans="1:9">
      <c r="A553" s="19">
        <f t="shared" si="73"/>
        <v>44.916666666666849</v>
      </c>
      <c r="B553" s="10">
        <f t="shared" si="69"/>
        <v>0.35291369877538403</v>
      </c>
      <c r="C553" s="10">
        <f t="shared" si="70"/>
        <v>0.63653821141343092</v>
      </c>
      <c r="D553" s="10">
        <f t="shared" si="74"/>
        <v>7.8129802858358438E-2</v>
      </c>
      <c r="E553" s="10">
        <f t="shared" si="75"/>
        <v>3.1879954190834059E-2</v>
      </c>
      <c r="F553" s="10">
        <f t="shared" si="71"/>
        <v>0.1117499446701444</v>
      </c>
      <c r="G553" s="66">
        <f t="shared" si="76"/>
        <v>4</v>
      </c>
      <c r="H553" s="10"/>
      <c r="I553" s="10">
        <f t="shared" si="72"/>
        <v>1.1046673283759188E-2</v>
      </c>
    </row>
    <row r="554" spans="1:9">
      <c r="A554" s="19">
        <f t="shared" si="73"/>
        <v>45.000000000000185</v>
      </c>
      <c r="B554" s="10">
        <f t="shared" si="69"/>
        <v>0.35061652224221751</v>
      </c>
      <c r="C554" s="10">
        <f t="shared" si="70"/>
        <v>0.63484463965933036</v>
      </c>
      <c r="D554" s="10">
        <f t="shared" si="74"/>
        <v>7.8601486698118589E-2</v>
      </c>
      <c r="E554" s="10">
        <f t="shared" si="75"/>
        <v>3.2059642672234094E-2</v>
      </c>
      <c r="F554" s="10">
        <f t="shared" si="71"/>
        <v>0.11129650891613216</v>
      </c>
      <c r="G554" s="66">
        <f t="shared" si="76"/>
        <v>2</v>
      </c>
      <c r="H554" s="10"/>
      <c r="I554" s="10">
        <f t="shared" si="72"/>
        <v>5.4828513345079903E-3</v>
      </c>
    </row>
    <row r="555" spans="1:9">
      <c r="A555" s="19">
        <f t="shared" si="73"/>
        <v>45.08333333333352</v>
      </c>
      <c r="B555" s="10">
        <f t="shared" si="69"/>
        <v>0.34832056538714795</v>
      </c>
      <c r="C555" s="10">
        <f t="shared" si="70"/>
        <v>0.63314606621384439</v>
      </c>
      <c r="D555" s="10">
        <f t="shared" si="74"/>
        <v>7.9076021828495255E-2</v>
      </c>
      <c r="E555" s="10">
        <f t="shared" si="75"/>
        <v>3.2240347138432428E-2</v>
      </c>
      <c r="F555" s="10">
        <f t="shared" si="71"/>
        <v>0.11084491301970212</v>
      </c>
      <c r="G555" s="66">
        <f t="shared" si="76"/>
        <v>4</v>
      </c>
      <c r="H555" s="10"/>
      <c r="I555" s="10">
        <f t="shared" si="72"/>
        <v>1.0884733979140266E-2</v>
      </c>
    </row>
    <row r="556" spans="1:9">
      <c r="A556" s="19">
        <f t="shared" si="73"/>
        <v>45.166666666666856</v>
      </c>
      <c r="B556" s="10">
        <f t="shared" si="69"/>
        <v>0.34602591819964262</v>
      </c>
      <c r="C556" s="10">
        <f t="shared" si="70"/>
        <v>0.63144250179109684</v>
      </c>
      <c r="D556" s="10">
        <f t="shared" si="74"/>
        <v>7.9553425485309276E-2</v>
      </c>
      <c r="E556" s="10">
        <f t="shared" si="75"/>
        <v>3.2422073333954811E-2</v>
      </c>
      <c r="F556" s="10">
        <f t="shared" si="71"/>
        <v>0.11039514951546175</v>
      </c>
      <c r="G556" s="66">
        <f t="shared" si="76"/>
        <v>2</v>
      </c>
      <c r="H556" s="10"/>
      <c r="I556" s="10">
        <f t="shared" si="72"/>
        <v>5.4018862359999356E-3</v>
      </c>
    </row>
    <row r="557" spans="1:9">
      <c r="A557" s="19">
        <f t="shared" si="73"/>
        <v>45.250000000000192</v>
      </c>
      <c r="B557" s="10">
        <f t="shared" si="69"/>
        <v>0.34373267106322297</v>
      </c>
      <c r="C557" s="10">
        <f t="shared" si="70"/>
        <v>0.62973395743265681</v>
      </c>
      <c r="D557" s="10">
        <f t="shared" si="74"/>
        <v>8.003371500857058E-2</v>
      </c>
      <c r="E557" s="10">
        <f t="shared" si="75"/>
        <v>3.2604827035807395E-2</v>
      </c>
      <c r="F557" s="10">
        <f t="shared" si="71"/>
        <v>0.10994721096830996</v>
      </c>
      <c r="G557" s="66">
        <f t="shared" si="76"/>
        <v>4</v>
      </c>
      <c r="H557" s="10"/>
      <c r="I557" s="10">
        <f t="shared" si="72"/>
        <v>1.0722823423057472E-2</v>
      </c>
    </row>
    <row r="558" spans="1:9">
      <c r="A558" s="19">
        <f t="shared" si="73"/>
        <v>45.333333333333528</v>
      </c>
      <c r="B558" s="10">
        <f t="shared" si="69"/>
        <v>0.341440914746796</v>
      </c>
      <c r="C558" s="10">
        <f t="shared" si="70"/>
        <v>0.62802044451010264</v>
      </c>
      <c r="D558" s="10">
        <f t="shared" si="74"/>
        <v>8.0516907843108221E-2</v>
      </c>
      <c r="E558" s="10">
        <f t="shared" si="75"/>
        <v>3.2788614053660292E-2</v>
      </c>
      <c r="F558" s="10">
        <f t="shared" si="71"/>
        <v>0.10950108997331426</v>
      </c>
      <c r="G558" s="66">
        <f t="shared" si="76"/>
        <v>2</v>
      </c>
      <c r="H558" s="10"/>
      <c r="I558" s="10">
        <f t="shared" si="72"/>
        <v>5.3209460622825593E-3</v>
      </c>
    </row>
    <row r="559" spans="1:9">
      <c r="A559" s="19">
        <f t="shared" si="73"/>
        <v>45.416666666666863</v>
      </c>
      <c r="B559" s="10">
        <f t="shared" si="69"/>
        <v>0.33915074039581111</v>
      </c>
      <c r="C559" s="10">
        <f t="shared" si="70"/>
        <v>0.62630197472758131</v>
      </c>
      <c r="D559" s="10">
        <f t="shared" si="74"/>
        <v>8.1003021539203676E-2</v>
      </c>
      <c r="E559" s="10">
        <f t="shared" si="75"/>
        <v>3.2973440230032472E-2</v>
      </c>
      <c r="F559" s="10">
        <f t="shared" si="71"/>
        <v>0.10905677915558838</v>
      </c>
      <c r="G559" s="66">
        <f t="shared" si="76"/>
        <v>4</v>
      </c>
      <c r="H559" s="10"/>
      <c r="I559" s="10">
        <f t="shared" si="72"/>
        <v>1.0560983884746643E-2</v>
      </c>
    </row>
    <row r="560" spans="1:9">
      <c r="A560" s="19">
        <f t="shared" si="73"/>
        <v>45.500000000000199</v>
      </c>
      <c r="B560" s="10">
        <f t="shared" si="69"/>
        <v>0.33686223952324029</v>
      </c>
      <c r="C560" s="10">
        <f t="shared" si="70"/>
        <v>0.62457856012436364</v>
      </c>
      <c r="D560" s="10">
        <f t="shared" si="74"/>
        <v>8.1492073753228769E-2</v>
      </c>
      <c r="E560" s="10">
        <f t="shared" si="75"/>
        <v>3.3159311440477256E-2</v>
      </c>
      <c r="F560" s="10">
        <f t="shared" si="71"/>
        <v>0.10861427117017038</v>
      </c>
      <c r="G560" s="66">
        <f t="shared" si="76"/>
        <v>2</v>
      </c>
      <c r="H560" s="10"/>
      <c r="I560" s="10">
        <f t="shared" si="72"/>
        <v>5.2400520134840093E-3</v>
      </c>
    </row>
    <row r="561" spans="1:9">
      <c r="A561" s="19">
        <f t="shared" si="73"/>
        <v>45.583333333333535</v>
      </c>
      <c r="B561" s="10">
        <f t="shared" si="69"/>
        <v>0.33457550400038361</v>
      </c>
      <c r="C561" s="10">
        <f t="shared" si="70"/>
        <v>0.6228502130773953</v>
      </c>
      <c r="D561" s="10">
        <f t="shared" si="74"/>
        <v>8.1984082248286225E-2</v>
      </c>
      <c r="E561" s="10">
        <f t="shared" si="75"/>
        <v>3.3346233593769259E-2</v>
      </c>
      <c r="F561" s="10">
        <f t="shared" si="71"/>
        <v>0.10817355870190107</v>
      </c>
      <c r="G561" s="66">
        <f t="shared" si="76"/>
        <v>4</v>
      </c>
      <c r="H561" s="10"/>
      <c r="I561" s="10">
        <f t="shared" si="72"/>
        <v>1.0399257888895784E-2</v>
      </c>
    </row>
    <row r="562" spans="1:9">
      <c r="A562" s="19">
        <f t="shared" si="73"/>
        <v>45.66666666666687</v>
      </c>
      <c r="B562" s="10">
        <f t="shared" si="69"/>
        <v>0.33229062604749876</v>
      </c>
      <c r="C562" s="10">
        <f t="shared" si="70"/>
        <v>0.62111694630384118</v>
      </c>
      <c r="D562" s="10">
        <f t="shared" si="74"/>
        <v>8.2479064894855569E-2</v>
      </c>
      <c r="E562" s="10">
        <f t="shared" si="75"/>
        <v>3.3534212632092046E-2</v>
      </c>
      <c r="F562" s="10">
        <f t="shared" si="71"/>
        <v>0.10773463446530332</v>
      </c>
      <c r="G562" s="66">
        <f t="shared" si="76"/>
        <v>2</v>
      </c>
      <c r="H562" s="10"/>
      <c r="I562" s="10">
        <f t="shared" si="72"/>
        <v>5.1592254108218816E-3</v>
      </c>
    </row>
    <row r="563" spans="1:9">
      <c r="A563" s="19">
        <f t="shared" si="73"/>
        <v>45.750000000000206</v>
      </c>
      <c r="B563" s="10">
        <f t="shared" si="69"/>
        <v>0.33000769822425469</v>
      </c>
      <c r="C563" s="10">
        <f t="shared" si="70"/>
        <v>0.61937877286362486</v>
      </c>
      <c r="D563" s="10">
        <f t="shared" si="74"/>
        <v>8.297703967144178E-2</v>
      </c>
      <c r="E563" s="10">
        <f t="shared" si="75"/>
        <v>3.372325453122732E-2</v>
      </c>
      <c r="F563" s="10">
        <f t="shared" si="71"/>
        <v>0.1072974912044614</v>
      </c>
      <c r="G563" s="66">
        <f t="shared" si="76"/>
        <v>4</v>
      </c>
      <c r="H563" s="10"/>
      <c r="I563" s="10">
        <f t="shared" si="72"/>
        <v>1.0237688188908054E-2</v>
      </c>
    </row>
    <row r="564" spans="1:9">
      <c r="A564" s="19">
        <f t="shared" si="73"/>
        <v>45.833333333333542</v>
      </c>
      <c r="B564" s="10">
        <f t="shared" si="69"/>
        <v>0.3277268134200097</v>
      </c>
      <c r="C564" s="10">
        <f t="shared" si="70"/>
        <v>0.61763570616196095</v>
      </c>
      <c r="D564" s="10">
        <f t="shared" si="74"/>
        <v>8.3478024665228745E-2</v>
      </c>
      <c r="E564" s="10">
        <f t="shared" si="75"/>
        <v>3.3913365300744618E-2</v>
      </c>
      <c r="F564" s="10">
        <f t="shared" si="71"/>
        <v>0.10686212169290121</v>
      </c>
      <c r="G564" s="66">
        <f t="shared" si="76"/>
        <v>2</v>
      </c>
      <c r="H564" s="10"/>
      <c r="I564" s="10">
        <f t="shared" si="72"/>
        <v>5.0784876830452554E-3</v>
      </c>
    </row>
    <row r="565" spans="1:9">
      <c r="A565" s="19">
        <f t="shared" si="73"/>
        <v>45.916666666666877</v>
      </c>
      <c r="B565" s="10">
        <f t="shared" si="69"/>
        <v>0.32544806484391242</v>
      </c>
      <c r="C565" s="10">
        <f t="shared" si="70"/>
        <v>0.61588775995188139</v>
      </c>
      <c r="D565" s="10">
        <f t="shared" si="74"/>
        <v>8.3982038072735465E-2</v>
      </c>
      <c r="E565" s="10">
        <f t="shared" si="75"/>
        <v>3.410455098419251E-2</v>
      </c>
      <c r="F565" s="10">
        <f t="shared" si="71"/>
        <v>0.1064285187334707</v>
      </c>
      <c r="G565" s="66">
        <f t="shared" si="76"/>
        <v>4</v>
      </c>
      <c r="H565" s="10"/>
      <c r="I565" s="10">
        <f t="shared" si="72"/>
        <v>1.0076317739410728E-2</v>
      </c>
    </row>
    <row r="566" spans="1:9">
      <c r="A566" s="19">
        <f t="shared" si="73"/>
        <v>46.000000000000213</v>
      </c>
      <c r="B566" s="10">
        <f t="shared" si="69"/>
        <v>0.32317154601482839</v>
      </c>
      <c r="C566" s="10">
        <f t="shared" si="70"/>
        <v>0.6141349483367543</v>
      </c>
      <c r="D566" s="10">
        <f t="shared" si="74"/>
        <v>8.4489098200477716E-2</v>
      </c>
      <c r="E566" s="10">
        <f t="shared" si="75"/>
        <v>3.4296817659290539E-2</v>
      </c>
      <c r="F566" s="10">
        <f t="shared" si="71"/>
        <v>0.10599667515822093</v>
      </c>
      <c r="G566" s="66">
        <f t="shared" si="76"/>
        <v>2</v>
      </c>
      <c r="H566" s="10"/>
      <c r="I566" s="10">
        <f t="shared" si="72"/>
        <v>4.9978603525034576E-3</v>
      </c>
    </row>
    <row r="567" spans="1:9">
      <c r="A567" s="19">
        <f t="shared" si="73"/>
        <v>46.083333333333549</v>
      </c>
      <c r="B567" s="10">
        <f t="shared" si="69"/>
        <v>0.32089735075108944</v>
      </c>
      <c r="C567" s="10">
        <f t="shared" si="70"/>
        <v>0.61237728577279371</v>
      </c>
      <c r="D567" s="10">
        <f t="shared" si="74"/>
        <v>8.4999223465632531E-2</v>
      </c>
      <c r="E567" s="10">
        <f t="shared" si="75"/>
        <v>3.449017143812276E-2</v>
      </c>
      <c r="F567" s="10">
        <f t="shared" si="71"/>
        <v>0.1055665838282876</v>
      </c>
      <c r="G567" s="66">
        <f t="shared" si="76"/>
        <v>4</v>
      </c>
      <c r="H567" s="10"/>
      <c r="I567" s="10">
        <f t="shared" si="72"/>
        <v>9.9151896680255269E-3</v>
      </c>
    </row>
    <row r="568" spans="1:9">
      <c r="A568" s="19">
        <f t="shared" si="73"/>
        <v>46.166666666666885</v>
      </c>
      <c r="B568" s="10">
        <f t="shared" si="69"/>
        <v>0.31862557316006801</v>
      </c>
      <c r="C568" s="10">
        <f t="shared" si="70"/>
        <v>0.6106147870715638</v>
      </c>
      <c r="D568" s="10">
        <f t="shared" si="74"/>
        <v>8.5512432396707624E-2</v>
      </c>
      <c r="E568" s="10">
        <f t="shared" si="75"/>
        <v>3.4684618467331708E-2</v>
      </c>
      <c r="F568" s="10">
        <f t="shared" si="71"/>
        <v>0.10513823763377295</v>
      </c>
      <c r="G568" s="66">
        <f t="shared" si="76"/>
        <v>2</v>
      </c>
      <c r="H568" s="10"/>
      <c r="I568" s="10">
        <f t="shared" si="72"/>
        <v>4.9173650208500126E-3</v>
      </c>
    </row>
    <row r="569" spans="1:9">
      <c r="A569" s="19">
        <f t="shared" si="73"/>
        <v>46.25000000000022</v>
      </c>
      <c r="B569" s="10">
        <f t="shared" si="69"/>
        <v>0.31635630762757588</v>
      </c>
      <c r="C569" s="10">
        <f t="shared" si="70"/>
        <v>0.6088474674024702</v>
      </c>
      <c r="D569" s="10">
        <f t="shared" si="74"/>
        <v>8.602874363421352E-2</v>
      </c>
      <c r="E569" s="10">
        <f t="shared" si="75"/>
        <v>3.4880164928313979E-2</v>
      </c>
      <c r="F569" s="10">
        <f t="shared" si="71"/>
        <v>0.10471162949362839</v>
      </c>
      <c r="G569" s="66">
        <f t="shared" si="76"/>
        <v>4</v>
      </c>
      <c r="H569" s="10"/>
      <c r="I569" s="10">
        <f t="shared" si="72"/>
        <v>9.7543472464187153E-3</v>
      </c>
    </row>
    <row r="570" spans="1:9">
      <c r="A570" s="19">
        <f t="shared" si="73"/>
        <v>46.333333333333556</v>
      </c>
      <c r="B570" s="10">
        <f t="shared" si="69"/>
        <v>0.31408964880708734</v>
      </c>
      <c r="C570" s="10">
        <f t="shared" si="70"/>
        <v>0.60707534229524607</v>
      </c>
      <c r="D570" s="10">
        <f t="shared" si="74"/>
        <v>8.6548175931341481E-2</v>
      </c>
      <c r="E570" s="10">
        <f t="shared" si="75"/>
        <v>3.5076817037416573E-2</v>
      </c>
      <c r="F570" s="10">
        <f t="shared" si="71"/>
        <v>0.10428675235553722</v>
      </c>
      <c r="G570" s="66">
        <f t="shared" si="76"/>
        <v>2</v>
      </c>
      <c r="H570" s="10"/>
      <c r="I570" s="10">
        <f t="shared" si="72"/>
        <v>4.8370233543910627E-3</v>
      </c>
    </row>
    <row r="571" spans="1:9">
      <c r="A571" s="19">
        <f t="shared" si="73"/>
        <v>46.416666666666892</v>
      </c>
      <c r="B571" s="10">
        <f t="shared" si="69"/>
        <v>0.31182569160878787</v>
      </c>
      <c r="C571" s="10">
        <f t="shared" si="70"/>
        <v>0.60529842764242547</v>
      </c>
      <c r="D571" s="10">
        <f t="shared" si="74"/>
        <v>8.7070748154644106E-2</v>
      </c>
      <c r="E571" s="10">
        <f t="shared" si="75"/>
        <v>3.5274581046134811E-2</v>
      </c>
      <c r="F571" s="10">
        <f t="shared" si="71"/>
        <v>0.10386359919579834</v>
      </c>
      <c r="G571" s="66">
        <f t="shared" si="76"/>
        <v>4</v>
      </c>
      <c r="H571" s="10"/>
      <c r="I571" s="10">
        <f t="shared" si="72"/>
        <v>9.5938338606498339E-3</v>
      </c>
    </row>
    <row r="572" spans="1:9">
      <c r="A572" s="19">
        <f t="shared" si="73"/>
        <v>46.500000000000227</v>
      </c>
      <c r="B572" s="10">
        <f t="shared" si="69"/>
        <v>0.3095645311884479</v>
      </c>
      <c r="C572" s="10">
        <f t="shared" si="70"/>
        <v>0.60351673970180697</v>
      </c>
      <c r="D572" s="10">
        <f t="shared" si="74"/>
        <v>8.7596479284721085E-2</v>
      </c>
      <c r="E572" s="10">
        <f t="shared" si="75"/>
        <v>3.5473463241310732E-2</v>
      </c>
      <c r="F572" s="10">
        <f t="shared" si="71"/>
        <v>0.10344216301920973</v>
      </c>
      <c r="G572" s="66">
        <f t="shared" si="76"/>
        <v>2</v>
      </c>
      <c r="H572" s="10"/>
      <c r="I572" s="10">
        <f t="shared" si="72"/>
        <v>4.7568570690885133E-3</v>
      </c>
    </row>
    <row r="573" spans="1:9">
      <c r="A573" s="19">
        <f t="shared" si="73"/>
        <v>46.583333333333563</v>
      </c>
      <c r="B573" s="10">
        <f t="shared" si="69"/>
        <v>0.30730626293612329</v>
      </c>
      <c r="C573" s="10">
        <f t="shared" si="70"/>
        <v>0.60173029509890696</v>
      </c>
      <c r="D573" s="10">
        <f t="shared" si="74"/>
        <v>8.8125388416907854E-2</v>
      </c>
      <c r="E573" s="10">
        <f t="shared" si="75"/>
        <v>3.5673469945333172E-2</v>
      </c>
      <c r="F573" s="10">
        <f t="shared" si="71"/>
        <v>0.10302243685895324</v>
      </c>
      <c r="G573" s="66">
        <f t="shared" si="76"/>
        <v>4</v>
      </c>
      <c r="H573" s="10"/>
      <c r="I573" s="10">
        <f t="shared" si="72"/>
        <v>9.4336929808410269E-3</v>
      </c>
    </row>
    <row r="574" spans="1:9">
      <c r="A574" s="19">
        <f t="shared" si="73"/>
        <v>46.666666666666899</v>
      </c>
      <c r="B574" s="10">
        <f t="shared" si="69"/>
        <v>0.30505098246468076</v>
      </c>
      <c r="C574" s="10">
        <f t="shared" si="70"/>
        <v>0.59993911082940043</v>
      </c>
      <c r="D574" s="10">
        <f t="shared" si="74"/>
        <v>8.8657494761969893E-2</v>
      </c>
      <c r="E574" s="10">
        <f t="shared" si="75"/>
        <v>3.5874607516338551E-2</v>
      </c>
      <c r="F574" s="10">
        <f t="shared" si="71"/>
        <v>0.10260441377647918</v>
      </c>
      <c r="G574" s="66">
        <f t="shared" si="76"/>
        <v>2</v>
      </c>
      <c r="H574" s="10"/>
      <c r="I574" s="10">
        <f t="shared" si="72"/>
        <v>4.6768879152289597E-3</v>
      </c>
    </row>
    <row r="575" spans="1:9">
      <c r="A575" s="19">
        <f t="shared" si="73"/>
        <v>46.750000000000234</v>
      </c>
      <c r="B575" s="10">
        <f t="shared" si="69"/>
        <v>0.30279878559815249</v>
      </c>
      <c r="C575" s="10">
        <f t="shared" si="70"/>
        <v>0.5981432042615501</v>
      </c>
      <c r="D575" s="10">
        <f t="shared" si="74"/>
        <v>8.9192817646800066E-2</v>
      </c>
      <c r="E575" s="10">
        <f t="shared" si="75"/>
        <v>3.6076882348413296E-2</v>
      </c>
      <c r="F575" s="10">
        <f t="shared" si="71"/>
        <v>0.10218808686139165</v>
      </c>
      <c r="G575" s="66">
        <f t="shared" si="76"/>
        <v>4</v>
      </c>
      <c r="H575" s="10"/>
      <c r="I575" s="10">
        <f t="shared" si="72"/>
        <v>9.2739681301895333E-3</v>
      </c>
    </row>
    <row r="576" spans="1:9">
      <c r="A576" s="19">
        <f t="shared" si="73"/>
        <v>46.83333333333357</v>
      </c>
      <c r="B576" s="10">
        <f t="shared" si="69"/>
        <v>0.30054976835991642</v>
      </c>
      <c r="C576" s="10">
        <f t="shared" si="70"/>
        <v>0.59634259313862292</v>
      </c>
      <c r="D576" s="10">
        <f t="shared" si="74"/>
        <v>8.9731376515121059E-2</v>
      </c>
      <c r="E576" s="10">
        <f t="shared" si="75"/>
        <v>3.628030087179681E-2</v>
      </c>
      <c r="F576" s="10">
        <f t="shared" si="71"/>
        <v>0.10177344923133433</v>
      </c>
      <c r="G576" s="66">
        <f t="shared" si="76"/>
        <v>2</v>
      </c>
      <c r="H576" s="10"/>
      <c r="I576" s="10">
        <f t="shared" si="72"/>
        <v>4.5971376617704729E-3</v>
      </c>
    </row>
    <row r="577" spans="1:9">
      <c r="A577" s="19">
        <f t="shared" si="73"/>
        <v>46.916666666666906</v>
      </c>
      <c r="B577" s="10">
        <f t="shared" si="69"/>
        <v>0.29830402696070657</v>
      </c>
      <c r="C577" s="10">
        <f t="shared" si="70"/>
        <v>0.59453729558129231</v>
      </c>
      <c r="D577" s="10">
        <f t="shared" si="74"/>
        <v>9.0273190928190861E-2</v>
      </c>
      <c r="E577" s="10">
        <f t="shared" si="75"/>
        <v>3.6484869553086045E-2</v>
      </c>
      <c r="F577" s="10">
        <f t="shared" si="71"/>
        <v>0.10136049403187671</v>
      </c>
      <c r="G577" s="66">
        <f t="shared" si="76"/>
        <v>4</v>
      </c>
      <c r="H577" s="10"/>
      <c r="I577" s="10">
        <f t="shared" si="72"/>
        <v>9.1147028533487186E-3</v>
      </c>
    </row>
    <row r="578" spans="1:9">
      <c r="A578" s="19">
        <f t="shared" si="73"/>
        <v>47.000000000000242</v>
      </c>
      <c r="B578" s="10">
        <f t="shared" si="69"/>
        <v>0.29606165778645244</v>
      </c>
      <c r="C578" s="10">
        <f t="shared" si="70"/>
        <v>0.59272733009002887</v>
      </c>
      <c r="D578" s="10">
        <f t="shared" si="74"/>
        <v>9.0818280565513707E-2</v>
      </c>
      <c r="E578" s="10">
        <f t="shared" si="75"/>
        <v>3.6690594895440944E-2</v>
      </c>
      <c r="F578" s="10">
        <f t="shared" si="71"/>
        <v>0.10094921443640074</v>
      </c>
      <c r="G578" s="66">
        <f t="shared" si="76"/>
        <v>2</v>
      </c>
      <c r="H578" s="10"/>
      <c r="I578" s="10">
        <f t="shared" si="72"/>
        <v>4.5176280803801124E-3</v>
      </c>
    </row>
    <row r="579" spans="1:9">
      <c r="A579" s="19">
        <f t="shared" si="73"/>
        <v>47.083333333333577</v>
      </c>
      <c r="B579" s="10">
        <f t="shared" si="69"/>
        <v>0.29382275738594699</v>
      </c>
      <c r="C579" s="10">
        <f t="shared" si="70"/>
        <v>0.59091271554747249</v>
      </c>
      <c r="D579" s="10">
        <f t="shared" si="74"/>
        <v>9.1366665225555144E-2</v>
      </c>
      <c r="E579" s="10">
        <f t="shared" si="75"/>
        <v>3.6897483438791422E-2</v>
      </c>
      <c r="F579" s="10">
        <f t="shared" si="71"/>
        <v>0.10053960364598805</v>
      </c>
      <c r="G579" s="66">
        <f t="shared" si="76"/>
        <v>4</v>
      </c>
      <c r="H579" s="10"/>
      <c r="I579" s="10">
        <f t="shared" si="72"/>
        <v>8.9559406842040917E-3</v>
      </c>
    </row>
    <row r="580" spans="1:9">
      <c r="A580" s="19">
        <f t="shared" si="73"/>
        <v>47.166666666666913</v>
      </c>
      <c r="B580" s="10">
        <f t="shared" si="69"/>
        <v>0.29158742245834934</v>
      </c>
      <c r="C580" s="10">
        <f t="shared" si="70"/>
        <v>0.58909347122079503</v>
      </c>
      <c r="D580" s="10">
        <f t="shared" si="74"/>
        <v>9.191836482646086E-2</v>
      </c>
      <c r="E580" s="10">
        <f t="shared" si="75"/>
        <v>3.7105541760044991E-2</v>
      </c>
      <c r="F580" s="10">
        <f t="shared" si="71"/>
        <v>0.10013165488930743</v>
      </c>
      <c r="G580" s="66">
        <f t="shared" si="76"/>
        <v>2</v>
      </c>
      <c r="H580" s="10"/>
      <c r="I580" s="10">
        <f t="shared" si="72"/>
        <v>4.4383809291761202E-3</v>
      </c>
    </row>
    <row r="581" spans="1:9">
      <c r="A581" s="19">
        <f t="shared" si="73"/>
        <v>47.250000000000249</v>
      </c>
      <c r="B581" s="10">
        <f t="shared" si="69"/>
        <v>0.28935574984051493</v>
      </c>
      <c r="C581" s="10">
        <f t="shared" si="70"/>
        <v>0.58726961676404099</v>
      </c>
      <c r="D581" s="10">
        <f t="shared" si="74"/>
        <v>9.2473399406779788E-2</v>
      </c>
      <c r="E581" s="10">
        <f t="shared" si="75"/>
        <v>3.7314776473296021E-2</v>
      </c>
      <c r="F581" s="10">
        <f t="shared" si="71"/>
        <v>9.9725361422503073E-2</v>
      </c>
      <c r="G581" s="66">
        <f t="shared" si="76"/>
        <v>4</v>
      </c>
      <c r="H581" s="10"/>
      <c r="I581" s="10">
        <f t="shared" si="72"/>
        <v>8.7977251130734492E-3</v>
      </c>
    </row>
    <row r="582" spans="1:9">
      <c r="A582" s="19">
        <f t="shared" si="73"/>
        <v>47.333333333333584</v>
      </c>
      <c r="B582" s="10">
        <f t="shared" si="69"/>
        <v>0.28712783649416351</v>
      </c>
      <c r="C582" s="10">
        <f t="shared" si="70"/>
        <v>0.58544117222045755</v>
      </c>
      <c r="D582" s="10">
        <f t="shared" si="74"/>
        <v>9.3031789126192255E-2</v>
      </c>
      <c r="E582" s="10">
        <f t="shared" si="75"/>
        <v>3.7525194230035808E-2</v>
      </c>
      <c r="F582" s="10">
        <f t="shared" si="71"/>
        <v>9.9320716529082961E-2</v>
      </c>
      <c r="G582" s="66">
        <f t="shared" si="76"/>
        <v>2</v>
      </c>
      <c r="H582" s="10"/>
      <c r="I582" s="10">
        <f t="shared" si="72"/>
        <v>4.3594179361895529E-3</v>
      </c>
    </row>
    <row r="583" spans="1:9">
      <c r="A583" s="19">
        <f t="shared" si="73"/>
        <v>47.41666666666692</v>
      </c>
      <c r="B583" s="10">
        <f t="shared" si="69"/>
        <v>0.28490377949287837</v>
      </c>
      <c r="C583" s="10">
        <f t="shared" si="70"/>
        <v>0.58360815802480381</v>
      </c>
      <c r="D583" s="10">
        <f t="shared" si="74"/>
        <v>9.3593554266242662E-2</v>
      </c>
      <c r="E583" s="10">
        <f t="shared" si="75"/>
        <v>3.7736801719364312E-2</v>
      </c>
      <c r="F583" s="10">
        <f t="shared" si="71"/>
        <v>9.8917713519807798E-2</v>
      </c>
      <c r="G583" s="66">
        <f t="shared" si="76"/>
        <v>4</v>
      </c>
      <c r="H583" s="10"/>
      <c r="I583" s="10">
        <f t="shared" si="72"/>
        <v>8.6400995533611E-3</v>
      </c>
    </row>
    <row r="584" spans="1:9">
      <c r="A584" s="19">
        <f t="shared" si="73"/>
        <v>47.500000000000256</v>
      </c>
      <c r="B584" s="10">
        <f t="shared" si="69"/>
        <v>0.28268367600894345</v>
      </c>
      <c r="C584" s="10">
        <f t="shared" si="70"/>
        <v>0.58177059500564365</v>
      </c>
      <c r="D584" s="10">
        <f t="shared" si="74"/>
        <v>9.4158715231075329E-2</v>
      </c>
      <c r="E584" s="10">
        <f t="shared" si="75"/>
        <v>3.7949605668202546E-2</v>
      </c>
      <c r="F584" s="10">
        <f t="shared" si="71"/>
        <v>9.8516345732580557E-2</v>
      </c>
      <c r="G584" s="66">
        <f t="shared" si="76"/>
        <v>2</v>
      </c>
      <c r="H584" s="10"/>
      <c r="I584" s="10">
        <f t="shared" si="72"/>
        <v>4.2807607825610947E-3</v>
      </c>
    </row>
    <row r="585" spans="1:9">
      <c r="A585" s="19">
        <f t="shared" si="73"/>
        <v>47.583333333333591</v>
      </c>
      <c r="B585" s="10">
        <f t="shared" si="69"/>
        <v>0.28046762330001629</v>
      </c>
      <c r="C585" s="10">
        <f t="shared" si="70"/>
        <v>0.57992850438762134</v>
      </c>
      <c r="D585" s="10">
        <f t="shared" si="74"/>
        <v>9.472729254817619E-2</v>
      </c>
      <c r="E585" s="10">
        <f t="shared" si="75"/>
        <v>3.8163612841506565E-2</v>
      </c>
      <c r="F585" s="10">
        <f t="shared" si="71"/>
        <v>9.8116606532336281E-2</v>
      </c>
      <c r="G585" s="66">
        <f t="shared" si="76"/>
        <v>4</v>
      </c>
      <c r="H585" s="10"/>
      <c r="I585" s="10">
        <f t="shared" si="72"/>
        <v>8.4831073076992655E-3</v>
      </c>
    </row>
    <row r="586" spans="1:9">
      <c r="A586" s="19">
        <f t="shared" si="73"/>
        <v>47.666666666666927</v>
      </c>
      <c r="B586" s="10">
        <f t="shared" si="69"/>
        <v>0.27825571869564053</v>
      </c>
      <c r="C586" s="10">
        <f t="shared" si="70"/>
        <v>0.57808190779371649</v>
      </c>
      <c r="D586" s="10">
        <f t="shared" si="74"/>
        <v>9.5299306869117806E-2</v>
      </c>
      <c r="E586" s="10">
        <f t="shared" si="75"/>
        <v>3.8378830042482354E-2</v>
      </c>
      <c r="F586" s="10">
        <f t="shared" si="71"/>
        <v>9.771848931093241E-2</v>
      </c>
      <c r="G586" s="66">
        <f t="shared" si="76"/>
        <v>2</v>
      </c>
      <c r="H586" s="10"/>
      <c r="I586" s="10">
        <f t="shared" si="72"/>
        <v>4.2024310854897867E-3</v>
      </c>
    </row>
    <row r="587" spans="1:9">
      <c r="A587" s="19">
        <f t="shared" si="73"/>
        <v>47.750000000000263</v>
      </c>
      <c r="B587" s="10">
        <f t="shared" si="69"/>
        <v>0.27604805958359707</v>
      </c>
      <c r="C587" s="10">
        <f t="shared" si="70"/>
        <v>0.5762308272474812</v>
      </c>
      <c r="D587" s="10">
        <f t="shared" si="74"/>
        <v>9.587477897031034E-2</v>
      </c>
      <c r="E587" s="10">
        <f t="shared" si="75"/>
        <v>3.8595264112802299E-2</v>
      </c>
      <c r="F587" s="10">
        <f t="shared" si="71"/>
        <v>9.7321987487039519E-2</v>
      </c>
      <c r="G587" s="66">
        <f t="shared" si="76"/>
        <v>4</v>
      </c>
      <c r="H587" s="10"/>
      <c r="I587" s="10">
        <f t="shared" si="72"/>
        <v>8.3267915336104423E-3</v>
      </c>
    </row>
    <row r="588" spans="1:9">
      <c r="A588" s="19">
        <f t="shared" si="73"/>
        <v>47.833333333333599</v>
      </c>
      <c r="B588" s="10">
        <f t="shared" si="69"/>
        <v>0.27384474339609877</v>
      </c>
      <c r="C588" s="10">
        <f t="shared" si="70"/>
        <v>0.57437528517525549</v>
      </c>
      <c r="D588" s="10">
        <f t="shared" si="74"/>
        <v>9.645372975375531E-2</v>
      </c>
      <c r="E588" s="10">
        <f t="shared" si="75"/>
        <v>3.8812921932822687E-2</v>
      </c>
      <c r="F588" s="10">
        <f t="shared" si="71"/>
        <v>9.6927094506032568E-2</v>
      </c>
      <c r="G588" s="66">
        <f t="shared" si="76"/>
        <v>2</v>
      </c>
      <c r="H588" s="10"/>
      <c r="I588" s="10">
        <f t="shared" si="72"/>
        <v>4.1244503809512809E-3</v>
      </c>
    </row>
    <row r="589" spans="1:9">
      <c r="A589" s="19">
        <f t="shared" si="73"/>
        <v>47.916666666666934</v>
      </c>
      <c r="B589" s="10">
        <f t="shared" si="69"/>
        <v>0.27164586759582648</v>
      </c>
      <c r="C589" s="10">
        <f t="shared" si="70"/>
        <v>0.57251530440836262</v>
      </c>
      <c r="D589" s="10">
        <f t="shared" si="74"/>
        <v>9.7036180247805345E-2</v>
      </c>
      <c r="E589" s="10">
        <f t="shared" si="75"/>
        <v>3.9031810421802142E-2</v>
      </c>
      <c r="F589" s="10">
        <f t="shared" si="71"/>
        <v>9.6533803839882443E-2</v>
      </c>
      <c r="G589" s="66">
        <f t="shared" si="76"/>
        <v>4</v>
      </c>
      <c r="H589" s="10"/>
      <c r="I589" s="10">
        <f t="shared" si="72"/>
        <v>8.171195208727302E-3</v>
      </c>
    </row>
    <row r="590" spans="1:9">
      <c r="A590" s="19">
        <f t="shared" si="73"/>
        <v>48.00000000000027</v>
      </c>
      <c r="B590" s="10">
        <f t="shared" ref="B590:B653" si="77">(B$9^A590)*B$10^((B$6^28)*((B$6^A590)-1))</f>
        <v>0.26945152966181218</v>
      </c>
      <c r="C590" s="10">
        <f t="shared" ref="C590:C653" si="78">(B$9^A590)*B$11^((B$7^24)*((B$7^A590)-1))</f>
        <v>0.57065090818528308</v>
      </c>
      <c r="D590" s="10">
        <f t="shared" si="74"/>
        <v>9.7622151607927407E-2</v>
      </c>
      <c r="E590" s="10">
        <f t="shared" si="75"/>
        <v>3.9251936538121916E-2</v>
      </c>
      <c r="F590" s="10">
        <f t="shared" si="71"/>
        <v>9.6142108987048183E-2</v>
      </c>
      <c r="G590" s="66">
        <f t="shared" si="76"/>
        <v>2</v>
      </c>
      <c r="H590" s="10"/>
      <c r="I590" s="10">
        <f t="shared" si="72"/>
        <v>4.0468401062041682E-3</v>
      </c>
    </row>
    <row r="591" spans="1:9">
      <c r="A591" s="19">
        <f t="shared" si="73"/>
        <v>48.083333333333606</v>
      </c>
      <c r="B591" s="10">
        <f t="shared" si="77"/>
        <v>0.26726182707516744</v>
      </c>
      <c r="C591" s="10">
        <f t="shared" si="78"/>
        <v>0.56878212015380536</v>
      </c>
      <c r="D591" s="10">
        <f t="shared" si="74"/>
        <v>9.8211665117472036E-2</v>
      </c>
      <c r="E591" s="10">
        <f t="shared" si="75"/>
        <v>3.9473307279506896E-2</v>
      </c>
      <c r="F591" s="10">
        <f t="shared" ref="F591:F654" si="79">(1+B$8)^-A591</f>
        <v>9.5752003472369424E-2</v>
      </c>
      <c r="G591" s="66">
        <f t="shared" si="76"/>
        <v>4</v>
      </c>
      <c r="H591" s="10"/>
      <c r="I591" s="10">
        <f t="shared" ref="I591:I654" si="80">B591*C591*(D591+E591)*F591*G591</f>
        <v>8.0163610956078893E-3</v>
      </c>
    </row>
    <row r="592" spans="1:9">
      <c r="A592" s="19">
        <f t="shared" ref="A592:A655" si="81">A591+1/12</f>
        <v>48.166666666666941</v>
      </c>
      <c r="B592" s="10">
        <f t="shared" si="77"/>
        <v>0.26507685730466091</v>
      </c>
      <c r="C592" s="10">
        <f t="shared" si="78"/>
        <v>0.56690896437315552</v>
      </c>
      <c r="D592" s="10">
        <f t="shared" si="74"/>
        <v>9.8804742188445607E-2</v>
      </c>
      <c r="E592" s="10">
        <f t="shared" si="75"/>
        <v>3.9695929683248254E-2</v>
      </c>
      <c r="F592" s="10">
        <f t="shared" si="79"/>
        <v>9.536348084695935E-2</v>
      </c>
      <c r="G592" s="66">
        <f t="shared" si="76"/>
        <v>2</v>
      </c>
      <c r="H592" s="10"/>
      <c r="I592" s="10">
        <f t="shared" si="80"/>
        <v>3.9696215821039445E-3</v>
      </c>
    </row>
    <row r="593" spans="1:9">
      <c r="A593" s="19">
        <f t="shared" si="81"/>
        <v>48.250000000000277</v>
      </c>
      <c r="B593" s="10">
        <f t="shared" si="77"/>
        <v>0.26289671779214813</v>
      </c>
      <c r="C593" s="10">
        <f t="shared" si="78"/>
        <v>0.56503146531610016</v>
      </c>
      <c r="D593" s="10">
        <f t="shared" ref="D593:D656" si="82">B$3+B$4*(B$6^(28+A593))</f>
        <v>9.9401404362288448E-2</v>
      </c>
      <c r="E593" s="10">
        <f t="shared" ref="E593:E656" si="83">B$3+B$5*(B$7^(24+A593))</f>
        <v>3.9919810826426823E-2</v>
      </c>
      <c r="F593" s="10">
        <f t="shared" si="79"/>
        <v>9.4976534688098052E-2</v>
      </c>
      <c r="G593" s="66">
        <f t="shared" ref="G593:G656" si="84">IF(G592=4,2,4)</f>
        <v>4</v>
      </c>
      <c r="H593" s="10"/>
      <c r="I593" s="10">
        <f t="shared" si="80"/>
        <v>7.8623317061864342E-3</v>
      </c>
    </row>
    <row r="594" spans="1:9">
      <c r="A594" s="19">
        <f t="shared" si="81"/>
        <v>48.333333333333613</v>
      </c>
      <c r="B594" s="10">
        <f t="shared" si="77"/>
        <v>0.26072150593785254</v>
      </c>
      <c r="C594" s="10">
        <f t="shared" si="78"/>
        <v>0.56314964787102884</v>
      </c>
      <c r="D594" s="10">
        <f t="shared" si="82"/>
        <v>0.10000167331065686</v>
      </c>
      <c r="E594" s="10">
        <f t="shared" si="83"/>
        <v>4.0144957826138417E-2</v>
      </c>
      <c r="F594" s="10">
        <f t="shared" si="79"/>
        <v>9.4591158599126493E-2</v>
      </c>
      <c r="G594" s="66">
        <f t="shared" si="84"/>
        <v>2</v>
      </c>
      <c r="H594" s="10"/>
      <c r="I594" s="10">
        <f t="shared" si="80"/>
        <v>3.8928159952449594E-3</v>
      </c>
    </row>
    <row r="595" spans="1:9">
      <c r="A595" s="19">
        <f t="shared" si="81"/>
        <v>48.416666666666949</v>
      </c>
      <c r="B595" s="10">
        <f t="shared" si="77"/>
        <v>0.25855131908550261</v>
      </c>
      <c r="C595" s="10">
        <f t="shared" si="78"/>
        <v>0.56126353734400769</v>
      </c>
      <c r="D595" s="10">
        <f t="shared" si="82"/>
        <v>0.10060557083621104</v>
      </c>
      <c r="E595" s="10">
        <f t="shared" si="83"/>
        <v>4.0371377839719884E-2</v>
      </c>
      <c r="F595" s="10">
        <f t="shared" si="79"/>
        <v>9.4207346209340612E-2</v>
      </c>
      <c r="G595" s="66">
        <f t="shared" si="84"/>
        <v>4</v>
      </c>
      <c r="H595" s="10"/>
      <c r="I595" s="10">
        <f t="shared" si="80"/>
        <v>7.7091492659011164E-3</v>
      </c>
    </row>
    <row r="596" spans="1:9">
      <c r="A596" s="19">
        <f t="shared" si="81"/>
        <v>48.500000000000284</v>
      </c>
      <c r="B596" s="10">
        <f t="shared" si="77"/>
        <v>0.25638625450732633</v>
      </c>
      <c r="C596" s="10">
        <f t="shared" si="78"/>
        <v>0.5593731594608099</v>
      </c>
      <c r="D596" s="10">
        <f t="shared" si="82"/>
        <v>0.10121311887340616</v>
      </c>
      <c r="E596" s="10">
        <f t="shared" si="83"/>
        <v>4.0599078064976833E-2</v>
      </c>
      <c r="F596" s="10">
        <f t="shared" si="79"/>
        <v>9.3825091173886099E-2</v>
      </c>
      <c r="G596" s="66">
        <f t="shared" si="84"/>
        <v>2</v>
      </c>
      <c r="H596" s="10"/>
      <c r="I596" s="10">
        <f t="shared" si="80"/>
        <v>3.8164443799517953E-3</v>
      </c>
    </row>
    <row r="597" spans="1:9">
      <c r="A597" s="19">
        <f t="shared" si="81"/>
        <v>48.58333333333362</v>
      </c>
      <c r="B597" s="10">
        <f t="shared" si="77"/>
        <v>0.25422640938890523</v>
      </c>
      <c r="C597" s="10">
        <f t="shared" si="78"/>
        <v>0.55747854036891831</v>
      </c>
      <c r="D597" s="10">
        <f t="shared" si="82"/>
        <v>0.10182433948928959</v>
      </c>
      <c r="E597" s="10">
        <f t="shared" si="83"/>
        <v>4.0828065740412096E-2</v>
      </c>
      <c r="F597" s="10">
        <f t="shared" si="79"/>
        <v>9.3444387173653456E-2</v>
      </c>
      <c r="G597" s="66">
        <f t="shared" si="84"/>
        <v>4</v>
      </c>
      <c r="H597" s="10"/>
      <c r="I597" s="10">
        <f t="shared" si="80"/>
        <v>7.5568556775428295E-3</v>
      </c>
    </row>
    <row r="598" spans="1:9">
      <c r="A598" s="19">
        <f t="shared" si="81"/>
        <v>48.666666666666956</v>
      </c>
      <c r="B598" s="10">
        <f t="shared" si="77"/>
        <v>0.2520718808138912</v>
      </c>
      <c r="C598" s="10">
        <f t="shared" si="78"/>
        <v>0.55557970663950051</v>
      </c>
      <c r="D598" s="10">
        <f t="shared" si="82"/>
        <v>0.10243925488430182</v>
      </c>
      <c r="E598" s="10">
        <f t="shared" si="83"/>
        <v>4.1058348145456197E-2</v>
      </c>
      <c r="F598" s="10">
        <f t="shared" si="79"/>
        <v>9.306522791517359E-2</v>
      </c>
      <c r="G598" s="66">
        <f t="shared" si="84"/>
        <v>2</v>
      </c>
      <c r="H598" s="10"/>
      <c r="I598" s="10">
        <f t="shared" si="80"/>
        <v>3.7405276001422219E-3</v>
      </c>
    </row>
    <row r="599" spans="1:9">
      <c r="A599" s="19">
        <f t="shared" si="81"/>
        <v>48.750000000000291</v>
      </c>
      <c r="B599" s="10">
        <f t="shared" si="77"/>
        <v>0.24992276574858749</v>
      </c>
      <c r="C599" s="10">
        <f t="shared" si="78"/>
        <v>0.55367668526935754</v>
      </c>
      <c r="D599" s="10">
        <f t="shared" si="82"/>
        <v>0.1030578873930838</v>
      </c>
      <c r="E599" s="10">
        <f t="shared" si="83"/>
        <v>4.1289932600698534E-2</v>
      </c>
      <c r="F599" s="10">
        <f t="shared" si="79"/>
        <v>9.2687607130513702E-2</v>
      </c>
      <c r="G599" s="66">
        <f t="shared" si="84"/>
        <v>4</v>
      </c>
      <c r="H599" s="10"/>
      <c r="I599" s="10">
        <f t="shared" si="80"/>
        <v>7.4054924848698739E-3</v>
      </c>
    </row>
    <row r="600" spans="1:9">
      <c r="A600" s="19">
        <f t="shared" si="81"/>
        <v>48.833333333333627</v>
      </c>
      <c r="B600" s="10">
        <f t="shared" si="77"/>
        <v>0.24777916102639752</v>
      </c>
      <c r="C600" s="10">
        <f t="shared" si="78"/>
        <v>0.55176950368284139</v>
      </c>
      <c r="D600" s="10">
        <f t="shared" si="82"/>
        <v>0.10368025948528714</v>
      </c>
      <c r="E600" s="10">
        <f t="shared" si="83"/>
        <v>4.1522826468120347E-2</v>
      </c>
      <c r="F600" s="10">
        <f t="shared" si="79"/>
        <v>9.2311518577173721E-2</v>
      </c>
      <c r="G600" s="66">
        <f t="shared" si="84"/>
        <v>2</v>
      </c>
      <c r="H600" s="10"/>
      <c r="I600" s="10">
        <f t="shared" si="80"/>
        <v>3.6650863310849209E-3</v>
      </c>
    </row>
    <row r="601" spans="1:9">
      <c r="A601" s="19">
        <f t="shared" si="81"/>
        <v>48.916666666666963</v>
      </c>
      <c r="B601" s="10">
        <f t="shared" si="77"/>
        <v>0.24564116333214434</v>
      </c>
      <c r="C601" s="10">
        <f t="shared" si="78"/>
        <v>0.5498581897337449</v>
      </c>
      <c r="D601" s="10">
        <f t="shared" si="82"/>
        <v>0.10430639376639095</v>
      </c>
      <c r="E601" s="10">
        <f t="shared" si="83"/>
        <v>4.1757037151328363E-2</v>
      </c>
      <c r="F601" s="10">
        <f t="shared" si="79"/>
        <v>9.1936956037983131E-2</v>
      </c>
      <c r="G601" s="66">
        <f t="shared" si="84"/>
        <v>4</v>
      </c>
      <c r="H601" s="10"/>
      <c r="I601" s="10">
        <f t="shared" si="80"/>
        <v>7.2551008360361262E-3</v>
      </c>
    </row>
    <row r="602" spans="1:9">
      <c r="A602" s="19">
        <f t="shared" si="81"/>
        <v>49.000000000000298</v>
      </c>
      <c r="B602" s="10">
        <f t="shared" si="77"/>
        <v>0.24350886918626216</v>
      </c>
      <c r="C602" s="10">
        <f t="shared" si="78"/>
        <v>0.54794277170715999</v>
      </c>
      <c r="D602" s="10">
        <f t="shared" si="82"/>
        <v>0.10493631297852216</v>
      </c>
      <c r="E602" s="10">
        <f t="shared" si="83"/>
        <v>4.1992572095790527E-2</v>
      </c>
      <c r="F602" s="10">
        <f t="shared" si="79"/>
        <v>9.1563913320998128E-2</v>
      </c>
      <c r="G602" s="66">
        <f t="shared" si="84"/>
        <v>2</v>
      </c>
      <c r="H602" s="10"/>
      <c r="I602" s="10">
        <f t="shared" si="80"/>
        <v>3.5901410410759424E-3</v>
      </c>
    </row>
    <row r="603" spans="1:9">
      <c r="A603" s="19">
        <f t="shared" si="81"/>
        <v>49.083333333333634</v>
      </c>
      <c r="B603" s="10">
        <f t="shared" si="77"/>
        <v>0.24138237492886466</v>
      </c>
      <c r="C603" s="10">
        <f t="shared" si="78"/>
        <v>0.54602327832130626</v>
      </c>
      <c r="D603" s="10">
        <f t="shared" si="82"/>
        <v>0.10557004000128264</v>
      </c>
      <c r="E603" s="10">
        <f t="shared" si="83"/>
        <v>4.2229438789072454E-2</v>
      </c>
      <c r="F603" s="10">
        <f t="shared" si="79"/>
        <v>9.1192384259399337E-2</v>
      </c>
      <c r="G603" s="66">
        <f t="shared" si="84"/>
        <v>4</v>
      </c>
      <c r="H603" s="10"/>
      <c r="I603" s="10">
        <f t="shared" si="80"/>
        <v>7.105721446881123E-3</v>
      </c>
    </row>
    <row r="604" spans="1:9">
      <c r="A604" s="19">
        <f t="shared" si="81"/>
        <v>49.16666666666697</v>
      </c>
      <c r="B604" s="10">
        <f t="shared" si="77"/>
        <v>0.23926177670369245</v>
      </c>
      <c r="C604" s="10">
        <f t="shared" si="78"/>
        <v>0.54409973872932527</v>
      </c>
      <c r="D604" s="10">
        <f t="shared" si="82"/>
        <v>0.10620759785257931</v>
      </c>
      <c r="E604" s="10">
        <f t="shared" si="83"/>
        <v>4.2467644761075708E-2</v>
      </c>
      <c r="F604" s="10">
        <f t="shared" si="79"/>
        <v>9.0822362711389729E-2</v>
      </c>
      <c r="G604" s="66">
        <f t="shared" si="84"/>
        <v>2</v>
      </c>
      <c r="H604" s="10"/>
      <c r="I604" s="10">
        <f t="shared" si="80"/>
        <v>3.5157119730587407E-3</v>
      </c>
    </row>
    <row r="605" spans="1:9">
      <c r="A605" s="19">
        <f t="shared" si="81"/>
        <v>49.250000000000306</v>
      </c>
      <c r="B605" s="10">
        <f t="shared" si="77"/>
        <v>0.23714717044194111</v>
      </c>
      <c r="C605" s="10">
        <f t="shared" si="78"/>
        <v>0.54217218252104515</v>
      </c>
      <c r="D605" s="10">
        <f t="shared" si="82"/>
        <v>0.10684900968946028</v>
      </c>
      <c r="E605" s="10">
        <f t="shared" si="83"/>
        <v>4.2707197584276775E-2</v>
      </c>
      <c r="F605" s="10">
        <f t="shared" si="79"/>
        <v>9.0453842560093256E-2</v>
      </c>
      <c r="G605" s="66">
        <f t="shared" si="84"/>
        <v>4</v>
      </c>
      <c r="H605" s="10"/>
      <c r="I605" s="10">
        <f t="shared" si="80"/>
        <v>6.9573945641329361E-3</v>
      </c>
    </row>
    <row r="606" spans="1:9">
      <c r="A606" s="19">
        <f t="shared" si="81"/>
        <v>49.333333333333641</v>
      </c>
      <c r="B606" s="10">
        <f t="shared" si="77"/>
        <v>0.23503865184597666</v>
      </c>
      <c r="C606" s="10">
        <f t="shared" si="78"/>
        <v>0.54024063972470848</v>
      </c>
      <c r="D606" s="10">
        <f t="shared" si="82"/>
        <v>0.10749429880895642</v>
      </c>
      <c r="E606" s="10">
        <f t="shared" si="83"/>
        <v>4.2948104873968183E-2</v>
      </c>
      <c r="F606" s="10">
        <f t="shared" si="79"/>
        <v>9.0086817713453671E-2</v>
      </c>
      <c r="G606" s="66">
        <f t="shared" si="84"/>
        <v>2</v>
      </c>
      <c r="H606" s="10"/>
      <c r="I606" s="10">
        <f t="shared" si="80"/>
        <v>3.4418191262134143E-3</v>
      </c>
    </row>
    <row r="607" spans="1:9">
      <c r="A607" s="19">
        <f t="shared" si="81"/>
        <v>49.416666666666977</v>
      </c>
      <c r="B607" s="10">
        <f t="shared" si="77"/>
        <v>0.23293631637293832</v>
      </c>
      <c r="C607" s="10">
        <f t="shared" si="78"/>
        <v>0.53830514080866898</v>
      </c>
      <c r="D607" s="10">
        <f t="shared" si="82"/>
        <v>0.10814348864892705</v>
      </c>
      <c r="E607" s="10">
        <f t="shared" si="83"/>
        <v>4.3190374288500359E-2</v>
      </c>
      <c r="F607" s="10">
        <f t="shared" si="79"/>
        <v>8.9721282104133784E-2</v>
      </c>
      <c r="G607" s="66">
        <f t="shared" si="84"/>
        <v>4</v>
      </c>
      <c r="H607" s="10"/>
      <c r="I607" s="10">
        <f t="shared" si="80"/>
        <v>6.810159928575533E-3</v>
      </c>
    </row>
    <row r="608" spans="1:9">
      <c r="A608" s="19">
        <f t="shared" si="81"/>
        <v>49.500000000000313</v>
      </c>
      <c r="B608" s="10">
        <f t="shared" si="77"/>
        <v>0.23084025921823287</v>
      </c>
      <c r="C608" s="10">
        <f t="shared" si="78"/>
        <v>0.53636571668304989</v>
      </c>
      <c r="D608" s="10">
        <f t="shared" si="82"/>
        <v>0.10879660278891191</v>
      </c>
      <c r="E608" s="10">
        <f t="shared" si="83"/>
        <v>4.3434013529525299E-2</v>
      </c>
      <c r="F608" s="10">
        <f t="shared" si="79"/>
        <v>8.9357229689415202E-2</v>
      </c>
      <c r="G608" s="66">
        <f t="shared" si="84"/>
        <v>2</v>
      </c>
      <c r="H608" s="10"/>
      <c r="I608" s="10">
        <f t="shared" si="80"/>
        <v>3.3684822375416503E-3</v>
      </c>
    </row>
    <row r="609" spans="1:9">
      <c r="A609" s="19">
        <f t="shared" si="81"/>
        <v>49.583333333333648</v>
      </c>
      <c r="B609" s="10">
        <f t="shared" si="77"/>
        <v>0.2287505752989262</v>
      </c>
      <c r="C609" s="10">
        <f t="shared" si="78"/>
        <v>0.53442239870136965</v>
      </c>
      <c r="D609" s="10">
        <f t="shared" si="82"/>
        <v>0.1094536649509865</v>
      </c>
      <c r="E609" s="10">
        <f t="shared" si="83"/>
        <v>4.3679030342241021E-2</v>
      </c>
      <c r="F609" s="10">
        <f t="shared" si="79"/>
        <v>8.8994654451098401E-2</v>
      </c>
      <c r="G609" s="66">
        <f t="shared" si="84"/>
        <v>4</v>
      </c>
      <c r="H609" s="10"/>
      <c r="I609" s="10">
        <f t="shared" si="80"/>
        <v>6.6640567382346616E-3</v>
      </c>
    </row>
    <row r="610" spans="1:9">
      <c r="A610" s="19">
        <f t="shared" si="81"/>
        <v>49.666666666666984</v>
      </c>
      <c r="B610" s="10">
        <f t="shared" si="77"/>
        <v>0.22666735923703216</v>
      </c>
      <c r="C610" s="10">
        <f t="shared" si="78"/>
        <v>0.53247521866212777</v>
      </c>
      <c r="D610" s="10">
        <f t="shared" si="82"/>
        <v>0.11011469900062476</v>
      </c>
      <c r="E610" s="10">
        <f t="shared" si="83"/>
        <v>4.3925432515638206E-2</v>
      </c>
      <c r="F610" s="10">
        <f t="shared" si="79"/>
        <v>8.8633550395403285E-2</v>
      </c>
      <c r="G610" s="66">
        <f t="shared" si="84"/>
        <v>2</v>
      </c>
      <c r="H610" s="10"/>
      <c r="I610" s="10">
        <f t="shared" si="80"/>
        <v>3.2957207634744493E-3</v>
      </c>
    </row>
    <row r="611" spans="1:9">
      <c r="A611" s="19">
        <f t="shared" si="81"/>
        <v>49.75000000000032</v>
      </c>
      <c r="B611" s="10">
        <f t="shared" si="77"/>
        <v>0.22459070534270523</v>
      </c>
      <c r="C611" s="10">
        <f t="shared" si="78"/>
        <v>0.53052420881035534</v>
      </c>
      <c r="D611" s="10">
        <f t="shared" si="82"/>
        <v>0.11077972894756527</v>
      </c>
      <c r="E611" s="10">
        <f t="shared" si="83"/>
        <v>4.4173227882747516E-2</v>
      </c>
      <c r="F611" s="10">
        <f t="shared" si="79"/>
        <v>8.8273911552870052E-2</v>
      </c>
      <c r="G611" s="66">
        <f t="shared" si="84"/>
        <v>4</v>
      </c>
      <c r="H611" s="10"/>
      <c r="I611" s="10">
        <f t="shared" si="80"/>
        <v>6.5191236116369606E-3</v>
      </c>
    </row>
    <row r="612" spans="1:9">
      <c r="A612" s="19">
        <f t="shared" si="81"/>
        <v>49.833333333333655</v>
      </c>
      <c r="B612" s="10">
        <f t="shared" si="77"/>
        <v>0.22252070759733925</v>
      </c>
      <c r="C612" s="10">
        <f t="shared" si="78"/>
        <v>0.52856940183912526</v>
      </c>
      <c r="D612" s="10">
        <f t="shared" si="82"/>
        <v>0.11144877894668399</v>
      </c>
      <c r="E612" s="10">
        <f t="shared" si="83"/>
        <v>4.4422424320888859E-2</v>
      </c>
      <c r="F612" s="10">
        <f t="shared" si="79"/>
        <v>8.7915731978260567E-2</v>
      </c>
      <c r="G612" s="66">
        <f t="shared" si="84"/>
        <v>2</v>
      </c>
      <c r="H612" s="10"/>
      <c r="I612" s="10">
        <f t="shared" si="80"/>
        <v>3.2235538615306637E-3</v>
      </c>
    </row>
    <row r="613" spans="1:9">
      <c r="A613" s="19">
        <f t="shared" si="81"/>
        <v>49.916666666666991</v>
      </c>
      <c r="B613" s="10">
        <f t="shared" si="77"/>
        <v>0.22045745963657667</v>
      </c>
      <c r="C613" s="10">
        <f t="shared" si="78"/>
        <v>0.52661083089102523</v>
      </c>
      <c r="D613" s="10">
        <f t="shared" si="82"/>
        <v>0.11212187329887045</v>
      </c>
      <c r="E613" s="10">
        <f t="shared" si="83"/>
        <v>4.4673029751921438E-2</v>
      </c>
      <c r="F613" s="10">
        <f t="shared" si="79"/>
        <v>8.7559005750459995E-2</v>
      </c>
      <c r="G613" s="66">
        <f t="shared" si="84"/>
        <v>4</v>
      </c>
      <c r="H613" s="10"/>
      <c r="I613" s="10">
        <f t="shared" si="80"/>
        <v>6.3753985511992026E-3</v>
      </c>
    </row>
    <row r="614" spans="1:9">
      <c r="A614" s="19">
        <f t="shared" si="81"/>
        <v>50.000000000000327</v>
      </c>
      <c r="B614" s="10">
        <f t="shared" si="77"/>
        <v>0.21840105473323249</v>
      </c>
      <c r="C614" s="10">
        <f t="shared" si="78"/>
        <v>0.52464852955958774</v>
      </c>
      <c r="D614" s="10">
        <f t="shared" si="82"/>
        <v>0.11279903645191162</v>
      </c>
      <c r="E614" s="10">
        <f t="shared" si="83"/>
        <v>4.4925052142495953E-2</v>
      </c>
      <c r="F614" s="10">
        <f t="shared" si="79"/>
        <v>8.7203726972379075E-2</v>
      </c>
      <c r="G614" s="66">
        <f t="shared" si="84"/>
        <v>2</v>
      </c>
      <c r="H614" s="10"/>
      <c r="I614" s="10">
        <f t="shared" si="80"/>
        <v>3.1520003720548369E-3</v>
      </c>
    </row>
    <row r="615" spans="1:9">
      <c r="A615" s="19">
        <f t="shared" si="81"/>
        <v>50.083333333333663</v>
      </c>
      <c r="B615" s="10">
        <f t="shared" si="77"/>
        <v>0.21635158578013614</v>
      </c>
      <c r="C615" s="10">
        <f t="shared" si="78"/>
        <v>0.52268253189068248</v>
      </c>
      <c r="D615" s="10">
        <f t="shared" si="82"/>
        <v>0.11348029300137903</v>
      </c>
      <c r="E615" s="10">
        <f t="shared" si="83"/>
        <v>4.5178499504307607E-2</v>
      </c>
      <c r="F615" s="10">
        <f t="shared" si="79"/>
        <v>8.6849889770856392E-2</v>
      </c>
      <c r="G615" s="66">
        <f t="shared" si="84"/>
        <v>4</v>
      </c>
      <c r="H615" s="10"/>
      <c r="I615" s="10">
        <f t="shared" si="80"/>
        <v>6.2329189068050829E-3</v>
      </c>
    </row>
    <row r="616" spans="1:9">
      <c r="A616" s="19">
        <f t="shared" si="81"/>
        <v>50.166666666666998</v>
      </c>
      <c r="B616" s="10">
        <f t="shared" si="77"/>
        <v>0.21430914527289621</v>
      </c>
      <c r="C616" s="10">
        <f t="shared" si="78"/>
        <v>0.52071287238386288</v>
      </c>
      <c r="D616" s="10">
        <f t="shared" si="82"/>
        <v>0.11416566769152296</v>
      </c>
      <c r="E616" s="10">
        <f t="shared" si="83"/>
        <v>4.5433379894351089E-2</v>
      </c>
      <c r="F616" s="10">
        <f t="shared" si="79"/>
        <v>8.6497488296561509E-2</v>
      </c>
      <c r="G616" s="66">
        <f t="shared" si="84"/>
        <v>2</v>
      </c>
      <c r="H616" s="10"/>
      <c r="I616" s="10">
        <f t="shared" si="80"/>
        <v>3.0810788000636292E-3</v>
      </c>
    </row>
    <row r="617" spans="1:9">
      <c r="A617" s="19">
        <f t="shared" si="81"/>
        <v>50.250000000000334</v>
      </c>
      <c r="B617" s="10">
        <f t="shared" si="77"/>
        <v>0.2122738252925922</v>
      </c>
      <c r="C617" s="10">
        <f t="shared" si="78"/>
        <v>0.5187395859936742</v>
      </c>
      <c r="D617" s="10">
        <f t="shared" si="82"/>
        <v>0.11485518541616999</v>
      </c>
      <c r="E617" s="10">
        <f t="shared" si="83"/>
        <v>4.5689701415176233E-2</v>
      </c>
      <c r="F617" s="10">
        <f t="shared" si="79"/>
        <v>8.6146516723898212E-2</v>
      </c>
      <c r="G617" s="66">
        <f t="shared" si="84"/>
        <v>4</v>
      </c>
      <c r="H617" s="10"/>
      <c r="I617" s="10">
        <f t="shared" si="80"/>
        <v>6.0917213396289704E-3</v>
      </c>
    </row>
    <row r="618" spans="1:9">
      <c r="A618" s="19">
        <f t="shared" si="81"/>
        <v>50.33333333333367</v>
      </c>
      <c r="B618" s="10">
        <f t="shared" si="77"/>
        <v>0.21024571748839727</v>
      </c>
      <c r="C618" s="10">
        <f t="shared" si="78"/>
        <v>0.51676270813091352</v>
      </c>
      <c r="D618" s="10">
        <f t="shared" si="82"/>
        <v>0.11554887121962834</v>
      </c>
      <c r="E618" s="10">
        <f t="shared" si="83"/>
        <v>4.5947472215146043E-2</v>
      </c>
      <c r="F618" s="10">
        <f t="shared" si="79"/>
        <v>8.5796969250908128E-2</v>
      </c>
      <c r="G618" s="66">
        <f t="shared" si="84"/>
        <v>2</v>
      </c>
      <c r="H618" s="10"/>
      <c r="I618" s="10">
        <f t="shared" si="80"/>
        <v>3.0108072972305925E-3</v>
      </c>
    </row>
    <row r="619" spans="1:9">
      <c r="A619" s="19">
        <f t="shared" si="81"/>
        <v>50.416666666667005</v>
      </c>
      <c r="B619" s="10">
        <f t="shared" si="77"/>
        <v>0.20822491306013691</v>
      </c>
      <c r="C619" s="10">
        <f t="shared" si="78"/>
        <v>0.51478227466384907</v>
      </c>
      <c r="D619" s="10">
        <f t="shared" si="82"/>
        <v>0.11624675029759679</v>
      </c>
      <c r="E619" s="10">
        <f t="shared" si="83"/>
        <v>4.6206700488695469E-2</v>
      </c>
      <c r="F619" s="10">
        <f t="shared" si="79"/>
        <v>8.5448840099174903E-2</v>
      </c>
      <c r="G619" s="66">
        <f t="shared" si="84"/>
        <v>4</v>
      </c>
      <c r="H619" s="10"/>
      <c r="I619" s="10">
        <f t="shared" si="80"/>
        <v>5.9518417862665096E-3</v>
      </c>
    </row>
    <row r="620" spans="1:9">
      <c r="A620" s="19">
        <f t="shared" si="81"/>
        <v>50.500000000000341</v>
      </c>
      <c r="B620" s="10">
        <f t="shared" si="77"/>
        <v>0.2062115027407872</v>
      </c>
      <c r="C620" s="10">
        <f t="shared" si="78"/>
        <v>0.51279832191939134</v>
      </c>
      <c r="D620" s="10">
        <f t="shared" si="82"/>
        <v>0.11694884799808052</v>
      </c>
      <c r="E620" s="10">
        <f t="shared" si="83"/>
        <v>4.646739447659215E-2</v>
      </c>
      <c r="F620" s="10">
        <f t="shared" si="79"/>
        <v>8.5102123513728631E-2</v>
      </c>
      <c r="G620" s="66">
        <f t="shared" si="84"/>
        <v>2</v>
      </c>
      <c r="H620" s="10"/>
      <c r="I620" s="10">
        <f t="shared" si="80"/>
        <v>2.9412036440396947E-3</v>
      </c>
    </row>
    <row r="621" spans="1:9">
      <c r="A621" s="19">
        <f t="shared" si="81"/>
        <v>50.583333333333677</v>
      </c>
      <c r="B621" s="10">
        <f t="shared" si="77"/>
        <v>0.20420557677891904</v>
      </c>
      <c r="C621" s="10">
        <f t="shared" si="78"/>
        <v>0.51081088668421903</v>
      </c>
      <c r="D621" s="10">
        <f t="shared" si="82"/>
        <v>0.1176551898223107</v>
      </c>
      <c r="E621" s="10">
        <f t="shared" si="83"/>
        <v>4.6729562466198027E-2</v>
      </c>
      <c r="F621" s="10">
        <f t="shared" si="79"/>
        <v>8.4756813762950731E-2</v>
      </c>
      <c r="G621" s="66">
        <f t="shared" si="84"/>
        <v>4</v>
      </c>
      <c r="H621" s="10"/>
      <c r="I621" s="10">
        <f t="shared" si="80"/>
        <v>5.8133154232334686E-3</v>
      </c>
    </row>
    <row r="622" spans="1:9">
      <c r="A622" s="19">
        <f t="shared" si="81"/>
        <v>50.666666666667012</v>
      </c>
      <c r="B622" s="10">
        <f t="shared" si="77"/>
        <v>0.202207224921091</v>
      </c>
      <c r="C622" s="10">
        <f t="shared" si="78"/>
        <v>0.50882000620585821</v>
      </c>
      <c r="D622" s="10">
        <f t="shared" si="82"/>
        <v>0.11836580142567182</v>
      </c>
      <c r="E622" s="10">
        <f t="shared" si="83"/>
        <v>4.6993212791732963E-2</v>
      </c>
      <c r="F622" s="10">
        <f t="shared" si="79"/>
        <v>8.4412905138479197E-2</v>
      </c>
      <c r="G622" s="66">
        <f t="shared" si="84"/>
        <v>2</v>
      </c>
      <c r="H622" s="10"/>
      <c r="I622" s="10">
        <f t="shared" si="80"/>
        <v>2.8722852321383637E-3</v>
      </c>
    </row>
    <row r="623" spans="1:9">
      <c r="A623" s="19">
        <f t="shared" si="81"/>
        <v>50.750000000000348</v>
      </c>
      <c r="B623" s="10">
        <f t="shared" si="77"/>
        <v>0.20021653639419706</v>
      </c>
      <c r="C623" s="10">
        <f t="shared" si="78"/>
        <v>0.50682571819371214</v>
      </c>
      <c r="D623" s="10">
        <f t="shared" si="82"/>
        <v>0.1190807086186329</v>
      </c>
      <c r="E623" s="10">
        <f t="shared" si="83"/>
        <v>4.7258353834539919E-2</v>
      </c>
      <c r="F623" s="10">
        <f t="shared" si="79"/>
        <v>8.4070391955114204E-2</v>
      </c>
      <c r="G623" s="66">
        <f t="shared" si="84"/>
        <v>4</v>
      </c>
      <c r="H623" s="10"/>
      <c r="I623" s="10">
        <f t="shared" si="80"/>
        <v>5.6761766318947672E-3</v>
      </c>
    </row>
    <row r="624" spans="1:9">
      <c r="A624" s="19">
        <f t="shared" si="81"/>
        <v>50.833333333333684</v>
      </c>
      <c r="B624" s="10">
        <f t="shared" si="77"/>
        <v>0.19823359988777334</v>
      </c>
      <c r="C624" s="10">
        <f t="shared" si="78"/>
        <v>0.50482806082004283</v>
      </c>
      <c r="D624" s="10">
        <f t="shared" si="82"/>
        <v>0.1197999373676855</v>
      </c>
      <c r="E624" s="10">
        <f t="shared" si="83"/>
        <v>4.7524994023351169E-2</v>
      </c>
      <c r="F624" s="10">
        <f t="shared" si="79"/>
        <v>8.3729268550724253E-2</v>
      </c>
      <c r="G624" s="66">
        <f t="shared" si="84"/>
        <v>2</v>
      </c>
      <c r="H624" s="10"/>
      <c r="I624" s="10">
        <f t="shared" si="80"/>
        <v>2.8040690469214092E-3</v>
      </c>
    </row>
    <row r="625" spans="1:9">
      <c r="A625" s="19">
        <f t="shared" si="81"/>
        <v>50.91666666666702</v>
      </c>
      <c r="B625" s="10">
        <f t="shared" si="77"/>
        <v>0.19625850353626989</v>
      </c>
      <c r="C625" s="10">
        <f t="shared" si="78"/>
        <v>0.5028270727209021</v>
      </c>
      <c r="D625" s="10">
        <f t="shared" si="82"/>
        <v>0.12052351379628606</v>
      </c>
      <c r="E625" s="10">
        <f t="shared" si="83"/>
        <v>4.7793141834556067E-2</v>
      </c>
      <c r="F625" s="10">
        <f t="shared" si="79"/>
        <v>8.3389529286152286E-2</v>
      </c>
      <c r="G625" s="66">
        <f t="shared" si="84"/>
        <v>4</v>
      </c>
      <c r="H625" s="10"/>
      <c r="I625" s="10">
        <f t="shared" si="80"/>
        <v>5.5404589638868946E-3</v>
      </c>
    </row>
    <row r="626" spans="1:9">
      <c r="A626" s="19">
        <f t="shared" si="81"/>
        <v>51.000000000000355</v>
      </c>
      <c r="B626" s="10">
        <f t="shared" si="77"/>
        <v>0.19429133490129075</v>
      </c>
      <c r="C626" s="10">
        <f t="shared" si="78"/>
        <v>0.50082279299701249</v>
      </c>
      <c r="D626" s="10">
        <f t="shared" si="82"/>
        <v>0.12125146418580519</v>
      </c>
      <c r="E626" s="10">
        <f t="shared" si="83"/>
        <v>4.8062805792470749E-2</v>
      </c>
      <c r="F626" s="10">
        <f t="shared" si="79"/>
        <v>8.3051168545122817E-2</v>
      </c>
      <c r="G626" s="66">
        <f t="shared" si="84"/>
        <v>2</v>
      </c>
      <c r="H626" s="10"/>
      <c r="I626" s="10">
        <f t="shared" si="80"/>
        <v>2.7365716503773593E-3</v>
      </c>
    </row>
    <row r="627" spans="1:9">
      <c r="A627" s="19">
        <f t="shared" si="81"/>
        <v>51.083333333333691</v>
      </c>
      <c r="B627" s="10">
        <f t="shared" si="77"/>
        <v>0.19233218095381002</v>
      </c>
      <c r="C627" s="10">
        <f t="shared" si="78"/>
        <v>0.49881526121459535</v>
      </c>
      <c r="D627" s="10">
        <f t="shared" si="82"/>
        <v>0.12198381497648268</v>
      </c>
      <c r="E627" s="10">
        <f t="shared" si="83"/>
        <v>4.833399446960928E-2</v>
      </c>
      <c r="F627" s="10">
        <f t="shared" si="79"/>
        <v>8.2714180734148809E-2</v>
      </c>
      <c r="G627" s="66">
        <f t="shared" si="84"/>
        <v>4</v>
      </c>
      <c r="H627" s="10"/>
      <c r="I627" s="10">
        <f t="shared" si="80"/>
        <v>5.4061951070968417E-3</v>
      </c>
    </row>
    <row r="628" spans="1:9">
      <c r="A628" s="19">
        <f t="shared" si="81"/>
        <v>51.166666666667027</v>
      </c>
      <c r="B628" s="10">
        <f t="shared" si="77"/>
        <v>0.19038112805636748</v>
      </c>
      <c r="C628" s="10">
        <f t="shared" si="78"/>
        <v>0.49680451740614712</v>
      </c>
      <c r="D628" s="10">
        <f t="shared" si="82"/>
        <v>0.12272059276838738</v>
      </c>
      <c r="E628" s="10">
        <f t="shared" si="83"/>
        <v>4.8606716486955755E-2</v>
      </c>
      <c r="F628" s="10">
        <f t="shared" si="79"/>
        <v>8.2378560282439409E-2</v>
      </c>
      <c r="G628" s="66">
        <f t="shared" si="84"/>
        <v>2</v>
      </c>
      <c r="H628" s="10"/>
      <c r="I628" s="10">
        <f t="shared" si="80"/>
        <v>2.6698091642292266E-3</v>
      </c>
    </row>
    <row r="629" spans="1:9">
      <c r="A629" s="19">
        <f t="shared" si="81"/>
        <v>51.250000000000362</v>
      </c>
      <c r="B629" s="10">
        <f t="shared" si="77"/>
        <v>0.18843826194524813</v>
      </c>
      <c r="C629" s="10">
        <f t="shared" si="78"/>
        <v>0.49479060207116116</v>
      </c>
      <c r="D629" s="10">
        <f t="shared" si="82"/>
        <v>0.12346182432238308</v>
      </c>
      <c r="E629" s="10">
        <f t="shared" si="83"/>
        <v>4.8880980514238698E-2</v>
      </c>
      <c r="F629" s="10">
        <f t="shared" si="79"/>
        <v>8.2044301641807704E-2</v>
      </c>
      <c r="G629" s="66">
        <f t="shared" si="84"/>
        <v>4</v>
      </c>
      <c r="H629" s="10"/>
      <c r="I629" s="10">
        <f t="shared" si="80"/>
        <v>5.2734168522623566E-3</v>
      </c>
    </row>
    <row r="630" spans="1:9">
      <c r="A630" s="19">
        <f t="shared" si="81"/>
        <v>51.333333333333698</v>
      </c>
      <c r="B630" s="10">
        <f t="shared" si="77"/>
        <v>0.18650366771265472</v>
      </c>
      <c r="C630" s="10">
        <f t="shared" si="78"/>
        <v>0.49277355617679536</v>
      </c>
      <c r="D630" s="10">
        <f t="shared" si="82"/>
        <v>0.1242075365611007</v>
      </c>
      <c r="E630" s="10">
        <f t="shared" si="83"/>
        <v>4.915679527020636E-2</v>
      </c>
      <c r="F630" s="10">
        <f t="shared" si="79"/>
        <v>8.1711399286579056E-2</v>
      </c>
      <c r="G630" s="66">
        <f t="shared" si="84"/>
        <v>2</v>
      </c>
      <c r="H630" s="10"/>
      <c r="I630" s="10">
        <f t="shared" si="80"/>
        <v>2.6037972534018795E-3</v>
      </c>
    </row>
    <row r="631" spans="1:9">
      <c r="A631" s="19">
        <f t="shared" si="81"/>
        <v>51.416666666667034</v>
      </c>
      <c r="B631" s="10">
        <f t="shared" si="77"/>
        <v>0.18457742978887517</v>
      </c>
      <c r="C631" s="10">
        <f t="shared" si="78"/>
        <v>0.49075342115848358</v>
      </c>
      <c r="D631" s="10">
        <f t="shared" si="82"/>
        <v>0.12495775656991689</v>
      </c>
      <c r="E631" s="10">
        <f t="shared" si="83"/>
        <v>4.9434169522904289E-2</v>
      </c>
      <c r="F631" s="10">
        <f t="shared" si="79"/>
        <v>8.1379847713499778E-2</v>
      </c>
      <c r="G631" s="66">
        <f t="shared" si="84"/>
        <v>4</v>
      </c>
      <c r="H631" s="10"/>
      <c r="I631" s="10">
        <f t="shared" si="80"/>
        <v>5.1421550602572773E-3</v>
      </c>
    </row>
    <row r="632" spans="1:9">
      <c r="A632" s="19">
        <f t="shared" si="81"/>
        <v>51.500000000000369</v>
      </c>
      <c r="B632" s="10">
        <f t="shared" si="77"/>
        <v>0.18265963192445225</v>
      </c>
      <c r="C632" s="10">
        <f t="shared" si="78"/>
        <v>0.48873023892049189</v>
      </c>
      <c r="D632" s="10">
        <f t="shared" si="82"/>
        <v>0.12571251159793675</v>
      </c>
      <c r="E632" s="10">
        <f t="shared" si="83"/>
        <v>4.9713112089953694E-2</v>
      </c>
      <c r="F632" s="10">
        <f t="shared" si="79"/>
        <v>8.1049641441646197E-2</v>
      </c>
      <c r="G632" s="66">
        <f t="shared" si="84"/>
        <v>2</v>
      </c>
      <c r="H632" s="10"/>
      <c r="I632" s="10">
        <f t="shared" si="80"/>
        <v>2.5385511098483084E-3</v>
      </c>
    </row>
    <row r="633" spans="1:9">
      <c r="A633" s="19">
        <f t="shared" si="81"/>
        <v>51.583333333333705</v>
      </c>
      <c r="B633" s="10">
        <f t="shared" si="77"/>
        <v>0.18075035717236118</v>
      </c>
      <c r="C633" s="10">
        <f t="shared" si="78"/>
        <v>0.48670405183641535</v>
      </c>
      <c r="D633" s="10">
        <f t="shared" si="82"/>
        <v>0.12647182905898433</v>
      </c>
      <c r="E633" s="10">
        <f t="shared" si="83"/>
        <v>4.999363183883198E-2</v>
      </c>
      <c r="F633" s="10">
        <f t="shared" si="79"/>
        <v>8.0720775012333906E-2</v>
      </c>
      <c r="G633" s="66">
        <f t="shared" si="84"/>
        <v>4</v>
      </c>
      <c r="H633" s="10"/>
      <c r="I633" s="10">
        <f t="shared" si="80"/>
        <v>5.0124396301275565E-3</v>
      </c>
    </row>
    <row r="634" spans="1:9">
      <c r="A634" s="19">
        <f t="shared" si="81"/>
        <v>51.666666666667041</v>
      </c>
      <c r="B634" s="10">
        <f t="shared" si="77"/>
        <v>0.1788496878702002</v>
      </c>
      <c r="C634" s="10">
        <f t="shared" si="78"/>
        <v>0.48467490274961833</v>
      </c>
      <c r="D634" s="10">
        <f t="shared" si="82"/>
        <v>0.12723573653259743</v>
      </c>
      <c r="E634" s="10">
        <f t="shared" si="83"/>
        <v>5.0275737687154369E-2</v>
      </c>
      <c r="F634" s="10">
        <f t="shared" si="79"/>
        <v>8.0393242989027683E-2</v>
      </c>
      <c r="G634" s="66">
        <f t="shared" si="84"/>
        <v>2</v>
      </c>
      <c r="H634" s="10"/>
      <c r="I634" s="10">
        <f t="shared" si="80"/>
        <v>2.4740854367673246E-3</v>
      </c>
    </row>
    <row r="635" spans="1:9">
      <c r="A635" s="19">
        <f t="shared" si="81"/>
        <v>51.750000000000377</v>
      </c>
      <c r="B635" s="10">
        <f t="shared" si="77"/>
        <v>0.17695770562240157</v>
      </c>
      <c r="C635" s="10">
        <f t="shared" si="78"/>
        <v>0.48264283497361393</v>
      </c>
      <c r="D635" s="10">
        <f t="shared" si="82"/>
        <v>0.12800426176503069</v>
      </c>
      <c r="E635" s="10">
        <f t="shared" si="83"/>
        <v>5.0559438602957862E-2</v>
      </c>
      <c r="F635" s="10">
        <f t="shared" si="79"/>
        <v>8.0067039957251548E-2</v>
      </c>
      <c r="G635" s="66">
        <f t="shared" si="84"/>
        <v>4</v>
      </c>
      <c r="H635" s="10"/>
      <c r="I635" s="10">
        <f t="shared" si="80"/>
        <v>4.8842994679422526E-3</v>
      </c>
    </row>
    <row r="636" spans="1:9">
      <c r="A636" s="19">
        <f t="shared" si="81"/>
        <v>51.833333333333712</v>
      </c>
      <c r="B636" s="10">
        <f t="shared" si="77"/>
        <v>0.17507449128246605</v>
      </c>
      <c r="C636" s="10">
        <f t="shared" si="78"/>
        <v>0.48060789229238382</v>
      </c>
      <c r="D636" s="10">
        <f t="shared" si="82"/>
        <v>0.12877743267026212</v>
      </c>
      <c r="E636" s="10">
        <f t="shared" si="83"/>
        <v>5.0844743604985837E-2</v>
      </c>
      <c r="F636" s="10">
        <f t="shared" si="79"/>
        <v>7.9742160524499173E-2</v>
      </c>
      <c r="G636" s="66">
        <f t="shared" si="84"/>
        <v>2</v>
      </c>
      <c r="H636" s="10"/>
      <c r="I636" s="10">
        <f t="shared" si="80"/>
        <v>2.4104144332450965E-3</v>
      </c>
    </row>
    <row r="637" spans="1:9">
      <c r="A637" s="19">
        <f t="shared" si="81"/>
        <v>51.916666666667048</v>
      </c>
      <c r="B637" s="10">
        <f t="shared" si="77"/>
        <v>0.1732001249352309</v>
      </c>
      <c r="C637" s="10">
        <f t="shared" si="78"/>
        <v>0.47857011896063634</v>
      </c>
      <c r="D637" s="10">
        <f t="shared" si="82"/>
        <v>0.12955527733100772</v>
      </c>
      <c r="E637" s="10">
        <f t="shared" si="83"/>
        <v>5.1131661762975088E-2</v>
      </c>
      <c r="F637" s="10">
        <f t="shared" si="79"/>
        <v>7.9418599320144917E-2</v>
      </c>
      <c r="G637" s="66">
        <f t="shared" si="84"/>
        <v>4</v>
      </c>
      <c r="H637" s="10"/>
      <c r="I637" s="10">
        <f t="shared" si="80"/>
        <v>4.7577624565248479E-3</v>
      </c>
    </row>
    <row r="638" spans="1:9">
      <c r="A638" s="19">
        <f t="shared" si="81"/>
        <v>52.000000000000384</v>
      </c>
      <c r="B638" s="10">
        <f t="shared" si="77"/>
        <v>0.17133468587917369</v>
      </c>
      <c r="C638" s="10">
        <f t="shared" si="78"/>
        <v>0.47652955970400307</v>
      </c>
      <c r="D638" s="10">
        <f t="shared" si="82"/>
        <v>0.13033782399974081</v>
      </c>
      <c r="E638" s="10">
        <f t="shared" si="83"/>
        <v>5.1420202197943805E-2</v>
      </c>
      <c r="F638" s="10">
        <f t="shared" si="79"/>
        <v>7.9096350995354947E-2</v>
      </c>
      <c r="G638" s="66">
        <f t="shared" si="84"/>
        <v>2</v>
      </c>
      <c r="H638" s="10"/>
      <c r="I638" s="10">
        <f t="shared" si="80"/>
        <v>2.3475517793529362E-3</v>
      </c>
    </row>
    <row r="639" spans="1:9">
      <c r="A639" s="19">
        <f t="shared" si="81"/>
        <v>52.083333333333719</v>
      </c>
      <c r="B639" s="10">
        <f t="shared" si="77"/>
        <v>0.16947825260876057</v>
      </c>
      <c r="C639" s="10">
        <f t="shared" si="78"/>
        <v>0.47448625971917069</v>
      </c>
      <c r="D639" s="10">
        <f t="shared" si="82"/>
        <v>0.13112510109971923</v>
      </c>
      <c r="E639" s="10">
        <f t="shared" si="83"/>
        <v>5.1710374082482018E-2</v>
      </c>
      <c r="F639" s="10">
        <f t="shared" si="79"/>
        <v>7.8775410222998762E-2</v>
      </c>
      <c r="G639" s="66">
        <f t="shared" si="84"/>
        <v>4</v>
      </c>
      <c r="H639" s="10"/>
      <c r="I639" s="10">
        <f t="shared" si="80"/>
        <v>4.6328554261292872E-3</v>
      </c>
    </row>
    <row r="640" spans="1:9">
      <c r="A640" s="19">
        <f t="shared" si="81"/>
        <v>52.166666666667055</v>
      </c>
      <c r="B640" s="10">
        <f t="shared" si="77"/>
        <v>0.16763090279684451</v>
      </c>
      <c r="C640" s="10">
        <f t="shared" si="78"/>
        <v>0.47244026467395034</v>
      </c>
      <c r="D640" s="10">
        <f t="shared" si="82"/>
        <v>0.1319171372260167</v>
      </c>
      <c r="E640" s="10">
        <f t="shared" si="83"/>
        <v>5.2002186641042759E-2</v>
      </c>
      <c r="F640" s="10">
        <f t="shared" si="79"/>
        <v>7.8455771697561225E-2</v>
      </c>
      <c r="G640" s="66">
        <f t="shared" si="84"/>
        <v>2</v>
      </c>
      <c r="H640" s="10"/>
      <c r="I640" s="10">
        <f t="shared" si="80"/>
        <v>2.2855106217336382E-3</v>
      </c>
    </row>
    <row r="641" spans="1:9">
      <c r="A641" s="19">
        <f t="shared" si="81"/>
        <v>52.250000000000391</v>
      </c>
      <c r="B641" s="10">
        <f t="shared" si="77"/>
        <v>0.16579271327711934</v>
      </c>
      <c r="C641" s="10">
        <f t="shared" si="78"/>
        <v>0.4703916207072808</v>
      </c>
      <c r="D641" s="10">
        <f t="shared" si="82"/>
        <v>0.13271396114656203</v>
      </c>
      <c r="E641" s="10">
        <f t="shared" si="83"/>
        <v>5.2295649150235504E-2</v>
      </c>
      <c r="F641" s="10">
        <f t="shared" si="79"/>
        <v>7.8137430135054836E-2</v>
      </c>
      <c r="G641" s="66">
        <f t="shared" si="84"/>
        <v>4</v>
      </c>
      <c r="H641" s="10"/>
      <c r="I641" s="10">
        <f t="shared" si="80"/>
        <v>4.5096041261252677E-3</v>
      </c>
    </row>
    <row r="642" spans="1:9">
      <c r="A642" s="19">
        <f t="shared" si="81"/>
        <v>52.333333333333727</v>
      </c>
      <c r="B642" s="10">
        <f t="shared" si="77"/>
        <v>0.16396376002663715</v>
      </c>
      <c r="C642" s="10">
        <f t="shared" si="78"/>
        <v>0.46834037442916482</v>
      </c>
      <c r="D642" s="10">
        <f t="shared" si="82"/>
        <v>0.13351560180318348</v>
      </c>
      <c r="E642" s="10">
        <f t="shared" si="83"/>
        <v>5.2590770939120901E-2</v>
      </c>
      <c r="F642" s="10">
        <f t="shared" si="79"/>
        <v>7.782038027293231E-2</v>
      </c>
      <c r="G642" s="66">
        <f t="shared" si="84"/>
        <v>2</v>
      </c>
      <c r="H642" s="10"/>
      <c r="I642" s="10">
        <f t="shared" si="80"/>
        <v>2.2243035597083773E-3</v>
      </c>
    </row>
    <row r="643" spans="1:9">
      <c r="A643" s="19">
        <f t="shared" si="81"/>
        <v>52.416666666667062</v>
      </c>
      <c r="B643" s="10">
        <f t="shared" si="77"/>
        <v>0.16214411814839408</v>
      </c>
      <c r="C643" s="10">
        <f t="shared" si="78"/>
        <v>0.46628657292054038</v>
      </c>
      <c r="D643" s="10">
        <f t="shared" si="82"/>
        <v>0.13432208831266088</v>
      </c>
      <c r="E643" s="10">
        <f t="shared" si="83"/>
        <v>5.2887561389507683E-2</v>
      </c>
      <c r="F643" s="10">
        <f t="shared" si="79"/>
        <v>7.7504616869999682E-2</v>
      </c>
      <c r="G643" s="66">
        <f t="shared" si="84"/>
        <v>4</v>
      </c>
      <c r="H643" s="10"/>
      <c r="I643" s="10">
        <f t="shared" si="80"/>
        <v>4.3880331977563924E-3</v>
      </c>
    </row>
    <row r="644" spans="1:9">
      <c r="A644" s="19">
        <f t="shared" si="81"/>
        <v>52.500000000000398</v>
      </c>
      <c r="B644" s="10">
        <f t="shared" si="77"/>
        <v>0.16033386185399257</v>
      </c>
      <c r="C644" s="10">
        <f t="shared" si="78"/>
        <v>0.46423026373308141</v>
      </c>
      <c r="D644" s="10">
        <f t="shared" si="82"/>
        <v>0.13513344996778226</v>
      </c>
      <c r="E644" s="10">
        <f t="shared" si="83"/>
        <v>5.3186029936250552E-2</v>
      </c>
      <c r="F644" s="10">
        <f t="shared" si="79"/>
        <v>7.71901347063296E-2</v>
      </c>
      <c r="G644" s="66">
        <f t="shared" si="84"/>
        <v>2</v>
      </c>
      <c r="H644" s="10"/>
      <c r="I644" s="10">
        <f t="shared" si="80"/>
        <v>2.1639426319358833E-3</v>
      </c>
    </row>
    <row r="645" spans="1:9">
      <c r="A645" s="19">
        <f t="shared" si="81"/>
        <v>52.583333333333734</v>
      </c>
      <c r="B645" s="10">
        <f t="shared" si="77"/>
        <v>0.15853306444638562</v>
      </c>
      <c r="C645" s="10">
        <f t="shared" si="78"/>
        <v>0.46217149488893133</v>
      </c>
      <c r="D645" s="10">
        <f t="shared" si="82"/>
        <v>0.1359497162384084</v>
      </c>
      <c r="E645" s="10">
        <f t="shared" si="83"/>
        <v>5.3486186067550311E-2</v>
      </c>
      <c r="F645" s="10">
        <f t="shared" si="79"/>
        <v>7.6876928583175075E-2</v>
      </c>
      <c r="G645" s="66">
        <f t="shared" si="84"/>
        <v>4</v>
      </c>
      <c r="H645" s="10"/>
      <c r="I645" s="10">
        <f t="shared" si="80"/>
        <v>4.2681661480344253E-3</v>
      </c>
    </row>
    <row r="646" spans="1:9">
      <c r="A646" s="19">
        <f t="shared" si="81"/>
        <v>52.666666666667069</v>
      </c>
      <c r="B646" s="10">
        <f t="shared" si="77"/>
        <v>0.15674179830270968</v>
      </c>
      <c r="C646" s="10">
        <f t="shared" si="78"/>
        <v>0.46011031488036536</v>
      </c>
      <c r="D646" s="10">
        <f t="shared" si="82"/>
        <v>0.13677091677254247</v>
      </c>
      <c r="E646" s="10">
        <f t="shared" si="83"/>
        <v>5.378803932525527E-2</v>
      </c>
      <c r="F646" s="10">
        <f t="shared" si="79"/>
        <v>7.6564993322883426E-2</v>
      </c>
      <c r="G646" s="66">
        <f t="shared" si="84"/>
        <v>2</v>
      </c>
      <c r="H646" s="10"/>
      <c r="I646" s="10">
        <f t="shared" si="80"/>
        <v>2.1044393036552538E-3</v>
      </c>
    </row>
    <row r="647" spans="1:9">
      <c r="A647" s="19">
        <f t="shared" si="81"/>
        <v>52.750000000000405</v>
      </c>
      <c r="B647" s="10">
        <f t="shared" si="77"/>
        <v>0.15496013485721388</v>
      </c>
      <c r="C647" s="10">
        <f t="shared" si="78"/>
        <v>0.45804677266938232</v>
      </c>
      <c r="D647" s="10">
        <f t="shared" si="82"/>
        <v>0.13759708139740823</v>
      </c>
      <c r="E647" s="10">
        <f t="shared" si="83"/>
        <v>5.4091599305165008E-2</v>
      </c>
      <c r="F647" s="10">
        <f t="shared" si="79"/>
        <v>7.6254323768810889E-2</v>
      </c>
      <c r="G647" s="66">
        <f t="shared" si="84"/>
        <v>4</v>
      </c>
      <c r="H647" s="10"/>
      <c r="I647" s="10">
        <f t="shared" si="80"/>
        <v>4.1500253248316467E-3</v>
      </c>
    </row>
    <row r="648" spans="1:9">
      <c r="A648" s="19">
        <f t="shared" si="81"/>
        <v>52.833333333333741</v>
      </c>
      <c r="B648" s="10">
        <f t="shared" si="77"/>
        <v>0.15318814458429139</v>
      </c>
      <c r="C648" s="10">
        <f t="shared" si="78"/>
        <v>0.45598091768722421</v>
      </c>
      <c r="D648" s="10">
        <f t="shared" si="82"/>
        <v>0.13842824012053204</v>
      </c>
      <c r="E648" s="10">
        <f t="shared" si="83"/>
        <v>5.4396875657334948E-2</v>
      </c>
      <c r="F648" s="10">
        <f t="shared" si="79"/>
        <v>7.5944914785237197E-2</v>
      </c>
      <c r="G648" s="66">
        <f t="shared" si="84"/>
        <v>2</v>
      </c>
      <c r="H648" s="10"/>
      <c r="I648" s="10">
        <f t="shared" si="80"/>
        <v>2.0458044545431805E-3</v>
      </c>
    </row>
    <row r="649" spans="1:9">
      <c r="A649" s="19">
        <f t="shared" si="81"/>
        <v>52.916666666667076</v>
      </c>
      <c r="B649" s="10">
        <f t="shared" si="77"/>
        <v>0.15142589698162007</v>
      </c>
      <c r="C649" s="10">
        <f t="shared" si="78"/>
        <v>0.45391279983382254</v>
      </c>
      <c r="D649" s="10">
        <f t="shared" si="82"/>
        <v>0.13926442313083356</v>
      </c>
      <c r="E649" s="10">
        <f t="shared" si="83"/>
        <v>5.4703878086383446E-2</v>
      </c>
      <c r="F649" s="10">
        <f t="shared" si="79"/>
        <v>7.5636761257280763E-2</v>
      </c>
      <c r="G649" s="66">
        <f t="shared" si="84"/>
        <v>4</v>
      </c>
      <c r="H649" s="10"/>
      <c r="I649" s="10">
        <f t="shared" si="80"/>
        <v>4.0336318932325957E-3</v>
      </c>
    </row>
    <row r="650" spans="1:9">
      <c r="A650" s="19">
        <f t="shared" si="81"/>
        <v>53.000000000000412</v>
      </c>
      <c r="B650" s="10">
        <f t="shared" si="77"/>
        <v>0.14967346055341946</v>
      </c>
      <c r="C650" s="10">
        <f t="shared" si="78"/>
        <v>0.45184246947717177</v>
      </c>
      <c r="D650" s="10">
        <f t="shared" si="82"/>
        <v>0.14010566079972164</v>
      </c>
      <c r="E650" s="10">
        <f t="shared" si="83"/>
        <v>5.5012616351799964E-2</v>
      </c>
      <c r="F650" s="10">
        <f t="shared" si="79"/>
        <v>7.532985809081412E-2</v>
      </c>
      <c r="G650" s="66">
        <f t="shared" si="84"/>
        <v>2</v>
      </c>
      <c r="H650" s="10"/>
      <c r="I650" s="10">
        <f t="shared" si="80"/>
        <v>1.9880483672158819E-3</v>
      </c>
    </row>
    <row r="651" spans="1:9">
      <c r="A651" s="19">
        <f t="shared" si="81"/>
        <v>53.083333333333748</v>
      </c>
      <c r="B651" s="10">
        <f t="shared" si="77"/>
        <v>0.14793090279383075</v>
      </c>
      <c r="C651" s="10">
        <f t="shared" si="78"/>
        <v>0.44976997745262565</v>
      </c>
      <c r="D651" s="10">
        <f t="shared" si="82"/>
        <v>0.14095198368219841</v>
      </c>
      <c r="E651" s="10">
        <f t="shared" si="83"/>
        <v>5.5323100268255855E-2</v>
      </c>
      <c r="F651" s="10">
        <f t="shared" si="79"/>
        <v>7.5024200212379655E-2</v>
      </c>
      <c r="G651" s="66">
        <f t="shared" si="84"/>
        <v>4</v>
      </c>
      <c r="H651" s="10"/>
      <c r="I651" s="10">
        <f t="shared" si="80"/>
        <v>3.919005813204781E-3</v>
      </c>
    </row>
    <row r="652" spans="1:9">
      <c r="A652" s="19">
        <f t="shared" si="81"/>
        <v>53.166666666667084</v>
      </c>
      <c r="B652" s="10">
        <f t="shared" si="77"/>
        <v>0.14619829017042754</v>
      </c>
      <c r="C652" s="10">
        <f t="shared" si="78"/>
        <v>0.44769537506212048</v>
      </c>
      <c r="D652" s="10">
        <f t="shared" si="82"/>
        <v>0.14180342251796829</v>
      </c>
      <c r="E652" s="10">
        <f t="shared" si="83"/>
        <v>5.5635339705915846E-2</v>
      </c>
      <c r="F652" s="10">
        <f t="shared" si="79"/>
        <v>7.4719782569105817E-2</v>
      </c>
      <c r="G652" s="66">
        <f t="shared" si="84"/>
        <v>2</v>
      </c>
      <c r="H652" s="10"/>
      <c r="I652" s="10">
        <f t="shared" si="80"/>
        <v>1.9311807164052526E-3</v>
      </c>
    </row>
    <row r="653" spans="1:9">
      <c r="A653" s="19">
        <f t="shared" si="81"/>
        <v>53.250000000000419</v>
      </c>
      <c r="B653" s="10">
        <f t="shared" si="77"/>
        <v>0.14447568810786204</v>
      </c>
      <c r="C653" s="10">
        <f t="shared" si="78"/>
        <v>0.44561871407331877</v>
      </c>
      <c r="D653" s="10">
        <f t="shared" si="82"/>
        <v>0.14266000823255445</v>
      </c>
      <c r="E653" s="10">
        <f t="shared" si="83"/>
        <v>5.5949344590752098E-2</v>
      </c>
      <c r="F653" s="10">
        <f t="shared" si="79"/>
        <v>7.4416600128623542E-2</v>
      </c>
      <c r="G653" s="66">
        <f t="shared" si="84"/>
        <v>4</v>
      </c>
      <c r="H653" s="10"/>
      <c r="I653" s="10">
        <f t="shared" si="80"/>
        <v>3.8061658186469881E-3</v>
      </c>
    </row>
    <row r="654" spans="1:9">
      <c r="A654" s="19">
        <f t="shared" si="81"/>
        <v>53.333333333333755</v>
      </c>
      <c r="B654" s="10">
        <f t="shared" ref="B654:B717" si="85">(B$9^A654)*B$10^((B$6^28)*((B$6^A654)-1))</f>
        <v>0.1427631609716575</v>
      </c>
      <c r="C654" s="10">
        <f t="shared" ref="C654:C717" si="86">(B$9^A654)*B$11^((B$7^24)*((B$7^A654)-1))</f>
        <v>0.44354004671867697</v>
      </c>
      <c r="D654" s="10">
        <f t="shared" si="82"/>
        <v>0.14352177193842261</v>
      </c>
      <c r="E654" s="10">
        <f t="shared" si="83"/>
        <v>5.6265124904859465E-2</v>
      </c>
      <c r="F654" s="10">
        <f t="shared" si="79"/>
        <v>7.4114647878983045E-2</v>
      </c>
      <c r="G654" s="66">
        <f t="shared" si="84"/>
        <v>2</v>
      </c>
      <c r="H654" s="10"/>
      <c r="I654" s="10">
        <f t="shared" si="80"/>
        <v>1.8752105588380297E-3</v>
      </c>
    </row>
    <row r="655" spans="1:9">
      <c r="A655" s="19">
        <f t="shared" si="81"/>
        <v>53.416666666667091</v>
      </c>
      <c r="B655" s="10">
        <f t="shared" si="85"/>
        <v>0.14106077205215073</v>
      </c>
      <c r="C655" s="10">
        <f t="shared" si="86"/>
        <v>0.44145942569443297</v>
      </c>
      <c r="D655" s="10">
        <f t="shared" si="82"/>
        <v>0.1443887449361107</v>
      </c>
      <c r="E655" s="10">
        <f t="shared" si="83"/>
        <v>5.6582690686773317E-2</v>
      </c>
      <c r="F655" s="10">
        <f t="shared" ref="F655:F718" si="87">(1+B$8)^-A655</f>
        <v>7.3813920828571022E-2</v>
      </c>
      <c r="G655" s="66">
        <f t="shared" si="84"/>
        <v>4</v>
      </c>
      <c r="H655" s="10"/>
      <c r="I655" s="10">
        <f t="shared" ref="I655:I718" si="88">B655*C655*(D655+E655)*F655*G655</f>
        <v>3.695129397871567E-3</v>
      </c>
    </row>
    <row r="656" spans="1:9">
      <c r="A656" s="19">
        <f t="shared" ref="A656:A719" si="89">A655+1/12</f>
        <v>53.500000000000426</v>
      </c>
      <c r="B656" s="10">
        <f t="shared" si="85"/>
        <v>0.13936858354859327</v>
      </c>
      <c r="C656" s="10">
        <f t="shared" si="86"/>
        <v>0.4393769041595153</v>
      </c>
      <c r="D656" s="10">
        <f t="shared" si="82"/>
        <v>0.14526095871536635</v>
      </c>
      <c r="E656" s="10">
        <f t="shared" si="83"/>
        <v>5.6902052031788192E-2</v>
      </c>
      <c r="F656" s="10">
        <f t="shared" si="87"/>
        <v>7.3514414006028109E-2</v>
      </c>
      <c r="G656" s="66">
        <f t="shared" si="84"/>
        <v>2</v>
      </c>
      <c r="H656" s="10"/>
      <c r="I656" s="10">
        <f t="shared" si="88"/>
        <v>1.8201463238458619E-3</v>
      </c>
    </row>
    <row r="657" spans="1:9">
      <c r="A657" s="19">
        <f t="shared" si="89"/>
        <v>53.583333333333762</v>
      </c>
      <c r="B657" s="10">
        <f t="shared" si="85"/>
        <v>0.13768665655341811</v>
      </c>
      <c r="C657" s="10">
        <f t="shared" si="86"/>
        <v>0.43729253573437005</v>
      </c>
      <c r="D657" s="10">
        <f t="shared" ref="D657:D720" si="90">B$3+B$4*(B$6^(28+A657))</f>
        <v>0.1461384449562893</v>
      </c>
      <c r="E657" s="10">
        <f t="shared" ref="E657:E720" si="91">B$3+B$5*(B$7^(24+A657))</f>
        <v>5.722321909227894E-2</v>
      </c>
      <c r="F657" s="10">
        <f t="shared" si="87"/>
        <v>7.3216122460166635E-2</v>
      </c>
      <c r="G657" s="66">
        <f t="shared" ref="G657:G720" si="92">IF(G656=4,2,4)</f>
        <v>4</v>
      </c>
      <c r="H657" s="10"/>
      <c r="I657" s="10">
        <f t="shared" si="88"/>
        <v>3.5859127755759135E-3</v>
      </c>
    </row>
    <row r="658" spans="1:9">
      <c r="A658" s="19">
        <f t="shared" si="89"/>
        <v>53.666666666667098</v>
      </c>
      <c r="B658" s="10">
        <f t="shared" si="85"/>
        <v>0.13601505103667932</v>
      </c>
      <c r="C658" s="10">
        <f t="shared" si="86"/>
        <v>0.43520637449970723</v>
      </c>
      <c r="D658" s="10">
        <f t="shared" si="90"/>
        <v>0.14702123553048357</v>
      </c>
      <c r="E658" s="10">
        <f t="shared" si="91"/>
        <v>5.7546202078023301E-2</v>
      </c>
      <c r="F658" s="10">
        <f t="shared" si="87"/>
        <v>7.2919041259888878E-2</v>
      </c>
      <c r="G658" s="66">
        <f t="shared" si="92"/>
        <v>2</v>
      </c>
      <c r="H658" s="10"/>
      <c r="I658" s="10">
        <f t="shared" si="88"/>
        <v>1.7659958047332278E-3</v>
      </c>
    </row>
    <row r="659" spans="1:9">
      <c r="A659" s="19">
        <f t="shared" si="89"/>
        <v>53.750000000000433</v>
      </c>
      <c r="B659" s="10">
        <f t="shared" si="85"/>
        <v>0.13435382583067154</v>
      </c>
      <c r="C659" s="10">
        <f t="shared" si="86"/>
        <v>0.43311847499516359</v>
      </c>
      <c r="D659" s="10">
        <f t="shared" si="90"/>
        <v>0.14790936250221412</v>
      </c>
      <c r="E659" s="10">
        <f t="shared" si="91"/>
        <v>5.7871011256526661E-2</v>
      </c>
      <c r="F659" s="10">
        <f t="shared" si="87"/>
        <v>7.2623165494105496E-2</v>
      </c>
      <c r="G659" s="66">
        <f t="shared" si="92"/>
        <v>4</v>
      </c>
      <c r="H659" s="10"/>
      <c r="I659" s="10">
        <f t="shared" si="88"/>
        <v>3.4785308963555775E-3</v>
      </c>
    </row>
    <row r="660" spans="1:9">
      <c r="A660" s="19">
        <f t="shared" si="89"/>
        <v>53.833333333333769</v>
      </c>
      <c r="B660" s="10">
        <f t="shared" si="85"/>
        <v>0.13270303861473656</v>
      </c>
      <c r="C660" s="10">
        <f t="shared" si="86"/>
        <v>0.43102889221788265</v>
      </c>
      <c r="D660" s="10">
        <f t="shared" si="90"/>
        <v>0.14880285812957234</v>
      </c>
      <c r="E660" s="10">
        <f t="shared" si="91"/>
        <v>5.8197656953348553E-2</v>
      </c>
      <c r="F660" s="10">
        <f t="shared" si="87"/>
        <v>7.2328490271654361E-2</v>
      </c>
      <c r="G660" s="66">
        <f t="shared" si="92"/>
        <v>2</v>
      </c>
      <c r="H660" s="10"/>
      <c r="I660" s="10">
        <f t="shared" si="88"/>
        <v>1.7127661509290365E-3</v>
      </c>
    </row>
    <row r="661" spans="1:9">
      <c r="A661" s="19">
        <f t="shared" si="89"/>
        <v>53.916666666667105</v>
      </c>
      <c r="B661" s="10">
        <f t="shared" si="85"/>
        <v>0.13106274590026437</v>
      </c>
      <c r="C661" s="10">
        <f t="shared" si="86"/>
        <v>0.4289376816210097</v>
      </c>
      <c r="D661" s="10">
        <f t="shared" si="90"/>
        <v>0.14970175486564635</v>
      </c>
      <c r="E661" s="10">
        <f t="shared" si="91"/>
        <v>5.8526149552430393E-2</v>
      </c>
      <c r="F661" s="10">
        <f t="shared" si="87"/>
        <v>7.2035010721219664E-2</v>
      </c>
      <c r="G661" s="66">
        <f t="shared" si="92"/>
        <v>4</v>
      </c>
      <c r="H661" s="10"/>
      <c r="I661" s="10">
        <f t="shared" si="88"/>
        <v>3.3729974098098987E-3</v>
      </c>
    </row>
    <row r="662" spans="1:9">
      <c r="A662" s="19">
        <f t="shared" si="89"/>
        <v>54.000000000000441</v>
      </c>
      <c r="B662" s="10">
        <f t="shared" si="85"/>
        <v>0.12943300301589605</v>
      </c>
      <c r="C662" s="10">
        <f t="shared" si="86"/>
        <v>0.42684489911210111</v>
      </c>
      <c r="D662" s="10">
        <f t="shared" si="90"/>
        <v>0.15060608535970116</v>
      </c>
      <c r="E662" s="10">
        <f t="shared" si="91"/>
        <v>5.8856499496426122E-2</v>
      </c>
      <c r="F662" s="10">
        <f t="shared" si="87"/>
        <v>7.1742721991251424E-2</v>
      </c>
      <c r="G662" s="66">
        <f t="shared" si="92"/>
        <v>2</v>
      </c>
      <c r="H662" s="10"/>
      <c r="I662" s="10">
        <f t="shared" si="88"/>
        <v>1.6604638609466007E-3</v>
      </c>
    </row>
    <row r="663" spans="1:9">
      <c r="A663" s="19">
        <f t="shared" si="89"/>
        <v>54.083333333333776</v>
      </c>
      <c r="B663" s="10">
        <f t="shared" si="85"/>
        <v>0.12781386409293577</v>
      </c>
      <c r="C663" s="10">
        <f t="shared" si="86"/>
        <v>0.42475060105144824</v>
      </c>
      <c r="D663" s="10">
        <f t="shared" si="90"/>
        <v>0.15151588245836359</v>
      </c>
      <c r="E663" s="10">
        <f t="shared" si="91"/>
        <v>5.9188717287033885E-2</v>
      </c>
      <c r="F663" s="10">
        <f t="shared" si="87"/>
        <v>7.1451619249885287E-2</v>
      </c>
      <c r="G663" s="66">
        <f t="shared" si="92"/>
        <v>4</v>
      </c>
      <c r="H663" s="10"/>
      <c r="I663" s="10">
        <f t="shared" si="88"/>
        <v>3.2693246572879915E-3</v>
      </c>
    </row>
    <row r="664" spans="1:9">
      <c r="A664" s="19">
        <f t="shared" si="89"/>
        <v>54.166666666667112</v>
      </c>
      <c r="B664" s="10">
        <f t="shared" si="85"/>
        <v>0.12620538205097778</v>
      </c>
      <c r="C664" s="10">
        <f t="shared" si="86"/>
        <v>0.4226548442503123</v>
      </c>
      <c r="D664" s="10">
        <f t="shared" si="90"/>
        <v>0.1524311792068162</v>
      </c>
      <c r="E664" s="10">
        <f t="shared" si="91"/>
        <v>5.9522813485330124E-2</v>
      </c>
      <c r="F664" s="10">
        <f t="shared" si="87"/>
        <v>7.1161697684862579E-2</v>
      </c>
      <c r="G664" s="66">
        <f t="shared" si="92"/>
        <v>2</v>
      </c>
      <c r="H664" s="10"/>
      <c r="I664" s="10">
        <f t="shared" si="88"/>
        <v>1.6090947761754114E-3</v>
      </c>
    </row>
    <row r="665" spans="1:9">
      <c r="A665" s="19">
        <f t="shared" si="89"/>
        <v>54.250000000000448</v>
      </c>
      <c r="B665" s="10">
        <f t="shared" si="85"/>
        <v>0.12460760858375905</v>
      </c>
      <c r="C665" s="10">
        <f t="shared" si="86"/>
        <v>0.42055768596907261</v>
      </c>
      <c r="D665" s="10">
        <f t="shared" si="90"/>
        <v>0.15335200884999631</v>
      </c>
      <c r="E665" s="10">
        <f t="shared" si="91"/>
        <v>5.9858798712104852E-2</v>
      </c>
      <c r="F665" s="10">
        <f t="shared" si="87"/>
        <v>7.0872952503450881E-2</v>
      </c>
      <c r="G665" s="66">
        <f t="shared" si="92"/>
        <v>4</v>
      </c>
      <c r="H665" s="10"/>
      <c r="I665" s="10">
        <f t="shared" si="88"/>
        <v>3.1675236603208434E-3</v>
      </c>
    </row>
    <row r="666" spans="1:9">
      <c r="A666" s="19">
        <f t="shared" si="89"/>
        <v>54.333333333333783</v>
      </c>
      <c r="B666" s="10">
        <f t="shared" si="85"/>
        <v>0.12302059414524044</v>
      </c>
      <c r="C666" s="10">
        <f t="shared" si="86"/>
        <v>0.41845918391528464</v>
      </c>
      <c r="D666" s="10">
        <f t="shared" si="90"/>
        <v>0.15427840483380459</v>
      </c>
      <c r="E666" s="10">
        <f t="shared" si="91"/>
        <v>6.0196683648199786E-2</v>
      </c>
      <c r="F666" s="10">
        <f t="shared" si="87"/>
        <v>7.0585378932364704E-2</v>
      </c>
      <c r="G666" s="66">
        <f t="shared" si="92"/>
        <v>2</v>
      </c>
      <c r="H666" s="10"/>
      <c r="I666" s="10">
        <f t="shared" si="88"/>
        <v>1.5586640755267315E-3</v>
      </c>
    </row>
    <row r="667" spans="1:9">
      <c r="A667" s="19">
        <f t="shared" si="89"/>
        <v>54.416666666667119</v>
      </c>
      <c r="B667" s="10">
        <f t="shared" si="85"/>
        <v>0.12144438793592729</v>
      </c>
      <c r="C667" s="10">
        <f t="shared" si="86"/>
        <v>0.41635939624164864</v>
      </c>
      <c r="D667" s="10">
        <f t="shared" si="90"/>
        <v>0.15521040080631929</v>
      </c>
      <c r="E667" s="10">
        <f t="shared" si="91"/>
        <v>6.053647903484756E-2</v>
      </c>
      <c r="F667" s="10">
        <f t="shared" si="87"/>
        <v>7.0298972217686606E-2</v>
      </c>
      <c r="G667" s="66">
        <f t="shared" si="92"/>
        <v>4</v>
      </c>
      <c r="H667" s="10"/>
      <c r="I667" s="10">
        <f t="shared" si="88"/>
        <v>3.0676041107819563E-3</v>
      </c>
    </row>
    <row r="668" spans="1:9">
      <c r="A668" s="19">
        <f t="shared" si="89"/>
        <v>54.500000000000455</v>
      </c>
      <c r="B668" s="10">
        <f t="shared" si="85"/>
        <v>0.11987903788943471</v>
      </c>
      <c r="C668" s="10">
        <f t="shared" si="86"/>
        <v>0.41425838154388639</v>
      </c>
      <c r="D668" s="10">
        <f t="shared" si="90"/>
        <v>0.15614803061901908</v>
      </c>
      <c r="E668" s="10">
        <f t="shared" si="91"/>
        <v>6.0878195674013529E-2</v>
      </c>
      <c r="F668" s="10">
        <f t="shared" si="87"/>
        <v>7.001372762478858E-2</v>
      </c>
      <c r="G668" s="66">
        <f t="shared" si="92"/>
        <v>2</v>
      </c>
      <c r="H668" s="10"/>
      <c r="I668" s="10">
        <f t="shared" si="88"/>
        <v>1.5091762709536416E-3</v>
      </c>
    </row>
    <row r="669" spans="1:9">
      <c r="A669" s="19">
        <f t="shared" si="89"/>
        <v>54.58333333333379</v>
      </c>
      <c r="B669" s="10">
        <f t="shared" si="85"/>
        <v>0.11832459065930541</v>
      </c>
      <c r="C669" s="10">
        <f t="shared" si="86"/>
        <v>0.41215619885852711</v>
      </c>
      <c r="D669" s="10">
        <f t="shared" si="90"/>
        <v>0.15709132832801126</v>
      </c>
      <c r="E669" s="10">
        <f t="shared" si="91"/>
        <v>6.1221844428738577E-2</v>
      </c>
      <c r="F669" s="10">
        <f t="shared" si="87"/>
        <v>6.9729640438253832E-2</v>
      </c>
      <c r="G669" s="66">
        <f t="shared" si="92"/>
        <v>4</v>
      </c>
      <c r="H669" s="10"/>
      <c r="I669" s="10">
        <f t="shared" si="88"/>
        <v>2.9695743628163546E-3</v>
      </c>
    </row>
    <row r="670" spans="1:9">
      <c r="A670" s="19">
        <f t="shared" si="89"/>
        <v>54.666666666667126</v>
      </c>
      <c r="B670" s="10">
        <f t="shared" si="85"/>
        <v>0.11678109160608713</v>
      </c>
      <c r="C670" s="10">
        <f t="shared" si="86"/>
        <v>0.41005290766059949</v>
      </c>
      <c r="D670" s="10">
        <f t="shared" si="90"/>
        <v>0.15804032819527011</v>
      </c>
      <c r="E670" s="10">
        <f t="shared" si="91"/>
        <v>6.1567436223485046E-2</v>
      </c>
      <c r="F670" s="10">
        <f t="shared" si="87"/>
        <v>6.9446705961798819E-2</v>
      </c>
      <c r="G670" s="66">
        <f t="shared" si="92"/>
        <v>2</v>
      </c>
      <c r="H670" s="10"/>
      <c r="I670" s="10">
        <f t="shared" si="88"/>
        <v>1.4606352038645334E-3</v>
      </c>
    </row>
    <row r="671" spans="1:9">
      <c r="A671" s="19">
        <f t="shared" si="89"/>
        <v>54.750000000000462</v>
      </c>
      <c r="B671" s="10">
        <f t="shared" si="85"/>
        <v>0.11524858478467724</v>
      </c>
      <c r="C671" s="10">
        <f t="shared" si="86"/>
        <v>0.40794856786123151</v>
      </c>
      <c r="D671" s="10">
        <f t="shared" si="90"/>
        <v>0.15899506468988045</v>
      </c>
      <c r="E671" s="10">
        <f t="shared" si="91"/>
        <v>6.1914982044483639E-2</v>
      </c>
      <c r="F671" s="10">
        <f t="shared" si="87"/>
        <v>6.9164919518195603E-2</v>
      </c>
      <c r="G671" s="66">
        <f t="shared" si="92"/>
        <v>4</v>
      </c>
      <c r="H671" s="10"/>
      <c r="I671" s="10">
        <f t="shared" si="88"/>
        <v>2.8734414265742698E-3</v>
      </c>
    </row>
    <row r="672" spans="1:9">
      <c r="A672" s="19">
        <f t="shared" si="89"/>
        <v>54.833333333333798</v>
      </c>
      <c r="B672" s="10">
        <f t="shared" si="85"/>
        <v>0.11372711293194104</v>
      </c>
      <c r="C672" s="10">
        <f t="shared" si="86"/>
        <v>0.40584323980515419</v>
      </c>
      <c r="D672" s="10">
        <f t="shared" si="90"/>
        <v>0.15995557248929054</v>
      </c>
      <c r="E672" s="10">
        <f t="shared" si="91"/>
        <v>6.2264492940083065E-2</v>
      </c>
      <c r="F672" s="10">
        <f t="shared" si="87"/>
        <v>6.8884276449194523E-2</v>
      </c>
      <c r="G672" s="66">
        <f t="shared" si="92"/>
        <v>2</v>
      </c>
      <c r="H672" s="10"/>
      <c r="I672" s="10">
        <f t="shared" si="88"/>
        <v>1.4130440424474707E-3</v>
      </c>
    </row>
    <row r="673" spans="1:9">
      <c r="A673" s="19">
        <f t="shared" si="89"/>
        <v>54.916666666667133</v>
      </c>
      <c r="B673" s="10">
        <f t="shared" si="85"/>
        <v>0.11221671745461123</v>
      </c>
      <c r="C673" s="10">
        <f t="shared" si="86"/>
        <v>0.40373698426811111</v>
      </c>
      <c r="D673" s="10">
        <f t="shared" si="90"/>
        <v>0.16092188648057026</v>
      </c>
      <c r="E673" s="10">
        <f t="shared" si="91"/>
        <v>6.2615980021100637E-2</v>
      </c>
      <c r="F673" s="10">
        <f t="shared" si="87"/>
        <v>6.8604772115447202E-2</v>
      </c>
      <c r="G673" s="66">
        <f t="shared" si="92"/>
        <v>4</v>
      </c>
      <c r="H673" s="10"/>
      <c r="I673" s="10">
        <f t="shared" si="88"/>
        <v>2.7792109637827253E-3</v>
      </c>
    </row>
    <row r="674" spans="1:9">
      <c r="A674" s="19">
        <f t="shared" si="89"/>
        <v>55.000000000000469</v>
      </c>
      <c r="B674" s="10">
        <f t="shared" si="85"/>
        <v>0.11071743841747558</v>
      </c>
      <c r="C674" s="10">
        <f t="shared" si="86"/>
        <v>0.40162986245417087</v>
      </c>
      <c r="D674" s="10">
        <f t="shared" si="90"/>
        <v>0.16189404176167901</v>
      </c>
      <c r="E674" s="10">
        <f t="shared" si="91"/>
        <v>6.2969454461176064E-2</v>
      </c>
      <c r="F674" s="10">
        <f t="shared" si="87"/>
        <v>6.8326401896429842E-2</v>
      </c>
      <c r="G674" s="66">
        <f t="shared" si="92"/>
        <v>2</v>
      </c>
      <c r="H674" s="10"/>
      <c r="I674" s="10">
        <f t="shared" si="88"/>
        <v>1.3664052799210462E-3</v>
      </c>
    </row>
    <row r="675" spans="1:9">
      <c r="A675" s="19">
        <f t="shared" si="89"/>
        <v>55.083333333333805</v>
      </c>
      <c r="B675" s="10">
        <f t="shared" si="85"/>
        <v>0.10922931453186031</v>
      </c>
      <c r="C675" s="10">
        <f t="shared" si="86"/>
        <v>0.3995219359929435</v>
      </c>
      <c r="D675" s="10">
        <f t="shared" si="90"/>
        <v>0.16287207364274114</v>
      </c>
      <c r="E675" s="10">
        <f t="shared" si="91"/>
        <v>6.3324927497126371E-2</v>
      </c>
      <c r="F675" s="10">
        <f t="shared" si="87"/>
        <v>6.804916119036683E-2</v>
      </c>
      <c r="G675" s="66">
        <f t="shared" si="92"/>
        <v>4</v>
      </c>
      <c r="H675" s="10"/>
      <c r="I675" s="10">
        <f t="shared" si="88"/>
        <v>2.6868872851842814E-3</v>
      </c>
    </row>
    <row r="676" spans="1:9">
      <c r="A676" s="19">
        <f t="shared" si="89"/>
        <v>55.16666666666714</v>
      </c>
      <c r="B676" s="10">
        <f t="shared" si="85"/>
        <v>0.10775238314441501</v>
      </c>
      <c r="C676" s="10">
        <f t="shared" si="86"/>
        <v>0.39741326693669787</v>
      </c>
      <c r="D676" s="10">
        <f t="shared" si="90"/>
        <v>0.16385601764732771</v>
      </c>
      <c r="E676" s="10">
        <f t="shared" si="91"/>
        <v>6.3682410429303338E-2</v>
      </c>
      <c r="F676" s="10">
        <f t="shared" si="87"/>
        <v>6.7773045414154742E-2</v>
      </c>
      <c r="G676" s="66">
        <f t="shared" si="92"/>
        <v>2</v>
      </c>
      <c r="H676" s="10"/>
      <c r="I676" s="10">
        <f t="shared" si="88"/>
        <v>1.3207207337255643E-3</v>
      </c>
    </row>
    <row r="677" spans="1:9">
      <c r="A677" s="19">
        <f t="shared" si="89"/>
        <v>55.250000000000476</v>
      </c>
      <c r="B677" s="10">
        <f t="shared" si="85"/>
        <v>0.1062866802262073</v>
      </c>
      <c r="C677" s="10">
        <f t="shared" si="86"/>
        <v>0.39530391775738194</v>
      </c>
      <c r="D677" s="10">
        <f t="shared" si="90"/>
        <v>0.16484590951374645</v>
      </c>
      <c r="E677" s="10">
        <f t="shared" si="91"/>
        <v>6.4041914621952301E-2</v>
      </c>
      <c r="F677" s="10">
        <f t="shared" si="87"/>
        <v>6.7498050003286486E-2</v>
      </c>
      <c r="G677" s="66">
        <f t="shared" si="92"/>
        <v>4</v>
      </c>
      <c r="H677" s="10"/>
      <c r="I677" s="10">
        <f t="shared" si="88"/>
        <v>2.5964733498690102E-3</v>
      </c>
    </row>
    <row r="678" spans="1:9">
      <c r="A678" s="19">
        <f t="shared" si="89"/>
        <v>55.333333333333812</v>
      </c>
      <c r="B678" s="10">
        <f t="shared" si="85"/>
        <v>0.10483224036213322</v>
      </c>
      <c r="C678" s="10">
        <f t="shared" si="86"/>
        <v>0.39319395134354118</v>
      </c>
      <c r="D678" s="10">
        <f t="shared" si="90"/>
        <v>0.16584178519634021</v>
      </c>
      <c r="E678" s="10">
        <f t="shared" si="91"/>
        <v>6.4403451503573891E-2</v>
      </c>
      <c r="F678" s="10">
        <f t="shared" si="87"/>
        <v>6.7224170411775835E-2</v>
      </c>
      <c r="G678" s="66">
        <f t="shared" si="92"/>
        <v>2</v>
      </c>
      <c r="H678" s="10"/>
      <c r="I678" s="10">
        <f t="shared" si="88"/>
        <v>1.2759915456664883E-3</v>
      </c>
    </row>
    <row r="679" spans="1:9">
      <c r="A679" s="19">
        <f t="shared" si="89"/>
        <v>55.416666666667147</v>
      </c>
      <c r="B679" s="10">
        <f t="shared" si="85"/>
        <v>0.10338909674065078</v>
      </c>
      <c r="C679" s="10">
        <f t="shared" si="86"/>
        <v>0.3910834309971391</v>
      </c>
      <c r="D679" s="10">
        <f t="shared" si="90"/>
        <v>0.16684368086679366</v>
      </c>
      <c r="E679" s="10">
        <f t="shared" si="91"/>
        <v>6.4767032567287011E-2</v>
      </c>
      <c r="F679" s="10">
        <f t="shared" si="87"/>
        <v>6.6951402112082378E-2</v>
      </c>
      <c r="G679" s="66">
        <f t="shared" si="92"/>
        <v>4</v>
      </c>
      <c r="H679" s="10"/>
      <c r="I679" s="10">
        <f t="shared" si="88"/>
        <v>2.5079707665212449E-3</v>
      </c>
    </row>
    <row r="680" spans="1:9">
      <c r="A680" s="19">
        <f t="shared" si="89"/>
        <v>55.500000000000483</v>
      </c>
      <c r="B680" s="10">
        <f t="shared" si="85"/>
        <v>0.10195728114384307</v>
      </c>
      <c r="C680" s="10">
        <f t="shared" si="86"/>
        <v>0.38897242043027574</v>
      </c>
      <c r="D680" s="10">
        <f t="shared" si="90"/>
        <v>0.1678516329154458</v>
      </c>
      <c r="E680" s="10">
        <f t="shared" si="91"/>
        <v>6.5132669371194593E-2</v>
      </c>
      <c r="F680" s="10">
        <f t="shared" si="87"/>
        <v>6.6679740595036632E-2</v>
      </c>
      <c r="G680" s="66">
        <f t="shared" si="92"/>
        <v>2</v>
      </c>
      <c r="H680" s="10"/>
      <c r="I680" s="10">
        <f t="shared" si="88"/>
        <v>1.2322181830200425E-3</v>
      </c>
    </row>
    <row r="681" spans="1:9">
      <c r="A681" s="19">
        <f t="shared" si="89"/>
        <v>55.583333333333819</v>
      </c>
      <c r="B681" s="10">
        <f t="shared" si="85"/>
        <v>0.10053682393781778</v>
      </c>
      <c r="C681" s="10">
        <f t="shared" si="86"/>
        <v>0.38686098376180394</v>
      </c>
      <c r="D681" s="10">
        <f t="shared" si="90"/>
        <v>0.16886567795261256</v>
      </c>
      <c r="E681" s="10">
        <f t="shared" si="91"/>
        <v>6.5500373538750406E-2</v>
      </c>
      <c r="F681" s="10">
        <f t="shared" si="87"/>
        <v>6.6409181369765452E-2</v>
      </c>
      <c r="G681" s="66">
        <f t="shared" si="92"/>
        <v>4</v>
      </c>
      <c r="H681" s="10"/>
      <c r="I681" s="10">
        <f t="shared" si="88"/>
        <v>2.421379796599218E-3</v>
      </c>
    </row>
    <row r="682" spans="1:9">
      <c r="A682" s="19">
        <f t="shared" si="89"/>
        <v>55.666666666667155</v>
      </c>
      <c r="B682" s="10">
        <f t="shared" si="85"/>
        <v>9.912775406344948E-2</v>
      </c>
      <c r="C682" s="10">
        <f t="shared" si="86"/>
        <v>0.38474918551384374</v>
      </c>
      <c r="D682" s="10">
        <f t="shared" si="90"/>
        <v>0.16988585280991567</v>
      </c>
      <c r="E682" s="10">
        <f t="shared" si="91"/>
        <v>6.587015675912912E-2</v>
      </c>
      <c r="F682" s="10">
        <f t="shared" si="87"/>
        <v>6.6139719963617824E-2</v>
      </c>
      <c r="G682" s="66">
        <f t="shared" si="92"/>
        <v>2</v>
      </c>
      <c r="H682" s="10"/>
      <c r="I682" s="10">
        <f t="shared" si="88"/>
        <v>1.189400440608894E-3</v>
      </c>
    </row>
    <row r="683" spans="1:9">
      <c r="A683" s="19">
        <f t="shared" si="89"/>
        <v>55.75000000000049</v>
      </c>
      <c r="B683" s="10">
        <f t="shared" si="85"/>
        <v>9.7730099027471332E-2</v>
      </c>
      <c r="C683" s="10">
        <f t="shared" si="86"/>
        <v>0.38263709060819295</v>
      </c>
      <c r="D683" s="10">
        <f t="shared" si="90"/>
        <v>0.17091219454162193</v>
      </c>
      <c r="E683" s="10">
        <f t="shared" si="91"/>
        <v>6.6242030787597619E-2</v>
      </c>
      <c r="F683" s="10">
        <f t="shared" si="87"/>
        <v>6.5871351922090954E-2</v>
      </c>
      <c r="G683" s="66">
        <f t="shared" si="92"/>
        <v>4</v>
      </c>
      <c r="H683" s="10"/>
      <c r="I683" s="10">
        <f t="shared" si="88"/>
        <v>2.3366993594609599E-3</v>
      </c>
    </row>
    <row r="684" spans="1:9">
      <c r="A684" s="19">
        <f t="shared" si="89"/>
        <v>55.833333333333826</v>
      </c>
      <c r="B684" s="10">
        <f t="shared" si="85"/>
        <v>9.6343884893923371E-2</v>
      </c>
      <c r="C684" s="10">
        <f t="shared" si="86"/>
        <v>0.38052476436263499</v>
      </c>
      <c r="D684" s="10">
        <f t="shared" si="90"/>
        <v>0.17194474042598765</v>
      </c>
      <c r="E684" s="10">
        <f t="shared" si="91"/>
        <v>6.6616007445888997E-2</v>
      </c>
      <c r="F684" s="10">
        <f t="shared" si="87"/>
        <v>6.5604072808756603E-2</v>
      </c>
      <c r="G684" s="66">
        <f t="shared" si="92"/>
        <v>2</v>
      </c>
      <c r="H684" s="10"/>
      <c r="I684" s="10">
        <f t="shared" si="88"/>
        <v>1.1475374438535792E-3</v>
      </c>
    </row>
    <row r="685" spans="1:9">
      <c r="A685" s="19">
        <f t="shared" si="89"/>
        <v>55.916666666667162</v>
      </c>
      <c r="B685" s="10">
        <f t="shared" si="85"/>
        <v>9.4969136275962165E-2</v>
      </c>
      <c r="C685" s="10">
        <f t="shared" si="86"/>
        <v>0.37841227248713954</v>
      </c>
      <c r="D685" s="10">
        <f t="shared" si="90"/>
        <v>0.17298352796661334</v>
      </c>
      <c r="E685" s="10">
        <f t="shared" si="91"/>
        <v>6.6992098622577795E-2</v>
      </c>
      <c r="F685" s="10">
        <f t="shared" si="87"/>
        <v>6.5337878205187716E-2</v>
      </c>
      <c r="G685" s="66">
        <f t="shared" si="92"/>
        <v>4</v>
      </c>
      <c r="H685" s="10"/>
      <c r="I685" s="10">
        <f t="shared" si="88"/>
        <v>2.2539270394459393E-3</v>
      </c>
    </row>
    <row r="686" spans="1:9">
      <c r="A686" s="19">
        <f t="shared" si="89"/>
        <v>56.000000000000497</v>
      </c>
      <c r="B686" s="10">
        <f t="shared" si="85"/>
        <v>9.3605876328039503E-2</v>
      </c>
      <c r="C686" s="10">
        <f t="shared" si="86"/>
        <v>0.3762996810799607</v>
      </c>
      <c r="D686" s="10">
        <f t="shared" si="90"/>
        <v>0.17402859489380526</v>
      </c>
      <c r="E686" s="10">
        <f t="shared" si="91"/>
        <v>6.7370316273458519E-2</v>
      </c>
      <c r="F686" s="10">
        <f t="shared" si="87"/>
        <v>6.5072763710885453E-2</v>
      </c>
      <c r="G686" s="66">
        <f t="shared" si="92"/>
        <v>2</v>
      </c>
      <c r="H686" s="10"/>
      <c r="I686" s="10">
        <f t="shared" si="88"/>
        <v>1.1066276528032737E-3</v>
      </c>
    </row>
    <row r="687" spans="1:9">
      <c r="A687" s="19">
        <f t="shared" si="89"/>
        <v>56.083333333333833</v>
      </c>
      <c r="B687" s="10">
        <f t="shared" si="85"/>
        <v>9.2254126738455525E-2</v>
      </c>
      <c r="C687" s="10">
        <f t="shared" si="86"/>
        <v>0.37418705662362695</v>
      </c>
      <c r="D687" s="10">
        <f t="shared" si="90"/>
        <v>0.17507997916594717</v>
      </c>
      <c r="E687" s="10">
        <f t="shared" si="91"/>
        <v>6.775067242192534E-2</v>
      </c>
      <c r="F687" s="10">
        <f t="shared" si="87"/>
        <v>6.4808724943206414E-2</v>
      </c>
      <c r="G687" s="66">
        <f t="shared" si="92"/>
        <v>4</v>
      </c>
      <c r="H687" s="10"/>
      <c r="I687" s="10">
        <f t="shared" si="88"/>
        <v>2.1730590949170813E-3</v>
      </c>
    </row>
    <row r="688" spans="1:9">
      <c r="A688" s="19">
        <f t="shared" si="89"/>
        <v>56.166666666667169</v>
      </c>
      <c r="B688" s="10">
        <f t="shared" si="85"/>
        <v>9.0913907722292839E-2</v>
      </c>
      <c r="C688" s="10">
        <f t="shared" si="86"/>
        <v>0.37207446598082539</v>
      </c>
      <c r="D688" s="10">
        <f t="shared" si="90"/>
        <v>0.1761377189708776</v>
      </c>
      <c r="E688" s="10">
        <f t="shared" si="91"/>
        <v>6.8133179159354698E-2</v>
      </c>
      <c r="F688" s="10">
        <f t="shared" si="87"/>
        <v>6.4545757537290166E-2</v>
      </c>
      <c r="G688" s="66">
        <f t="shared" si="92"/>
        <v>2</v>
      </c>
      <c r="H688" s="10"/>
      <c r="I688" s="10">
        <f t="shared" si="88"/>
        <v>1.0666688671471178E-3</v>
      </c>
    </row>
    <row r="689" spans="1:9">
      <c r="A689" s="19">
        <f t="shared" si="89"/>
        <v>56.250000000000504</v>
      </c>
      <c r="B689" s="10">
        <f t="shared" si="85"/>
        <v>8.9585238014736987E-2</v>
      </c>
      <c r="C689" s="10">
        <f t="shared" si="86"/>
        <v>0.36996197639017847</v>
      </c>
      <c r="D689" s="10">
        <f t="shared" si="90"/>
        <v>0.17720185272727776</v>
      </c>
      <c r="E689" s="10">
        <f t="shared" si="91"/>
        <v>6.8517848645489099E-2</v>
      </c>
      <c r="F689" s="10">
        <f t="shared" si="87"/>
        <v>6.4283857145987028E-2</v>
      </c>
      <c r="G689" s="66">
        <f t="shared" si="92"/>
        <v>4</v>
      </c>
      <c r="H689" s="10"/>
      <c r="I689" s="10">
        <f t="shared" si="88"/>
        <v>2.0940904692635614E-3</v>
      </c>
    </row>
    <row r="690" spans="1:9">
      <c r="A690" s="19">
        <f t="shared" si="89"/>
        <v>56.33333333333384</v>
      </c>
      <c r="B690" s="10">
        <f t="shared" si="85"/>
        <v>8.8268134864789433E-2</v>
      </c>
      <c r="C690" s="10">
        <f t="shared" si="86"/>
        <v>0.36784965546191312</v>
      </c>
      <c r="D690" s="10">
        <f t="shared" si="90"/>
        <v>0.17827241908606606</v>
      </c>
      <c r="E690" s="10">
        <f t="shared" si="91"/>
        <v>6.8904693108824189E-2</v>
      </c>
      <c r="F690" s="10">
        <f t="shared" si="87"/>
        <v>6.4023019439786416E-2</v>
      </c>
      <c r="G690" s="66">
        <f t="shared" si="92"/>
        <v>2</v>
      </c>
      <c r="H690" s="10"/>
      <c r="I690" s="10">
        <f t="shared" si="88"/>
        <v>1.0276582322050879E-3</v>
      </c>
    </row>
    <row r="691" spans="1:9">
      <c r="A691" s="19">
        <f t="shared" si="89"/>
        <v>56.416666666667176</v>
      </c>
      <c r="B691" s="10">
        <f t="shared" si="85"/>
        <v>8.6962614029378701E-2</v>
      </c>
      <c r="C691" s="10">
        <f t="shared" si="86"/>
        <v>0.36573757117341998</v>
      </c>
      <c r="D691" s="10">
        <f t="shared" si="90"/>
        <v>0.17934945693180351</v>
      </c>
      <c r="E691" s="10">
        <f t="shared" si="91"/>
        <v>6.9293724846997223E-2</v>
      </c>
      <c r="F691" s="10">
        <f t="shared" si="87"/>
        <v>6.3763240106745028E-2</v>
      </c>
      <c r="G691" s="66">
        <f t="shared" si="92"/>
        <v>4</v>
      </c>
      <c r="H691" s="10"/>
      <c r="I691" s="10">
        <f t="shared" si="88"/>
        <v>2.0170148038597931E-3</v>
      </c>
    </row>
    <row r="692" spans="1:9">
      <c r="A692" s="19">
        <f t="shared" si="89"/>
        <v>56.500000000000512</v>
      </c>
      <c r="B692" s="10">
        <f t="shared" si="85"/>
        <v>8.5668689767875311E-2</v>
      </c>
      <c r="C692" s="10">
        <f t="shared" si="86"/>
        <v>0.36362579186470545</v>
      </c>
      <c r="D692" s="10">
        <f t="shared" si="90"/>
        <v>0.18043300538410459</v>
      </c>
      <c r="E692" s="10">
        <f t="shared" si="91"/>
        <v>6.9684956227178352E-2</v>
      </c>
      <c r="F692" s="10">
        <f t="shared" si="87"/>
        <v>6.3504514852415747E-2</v>
      </c>
      <c r="G692" s="66">
        <f t="shared" si="92"/>
        <v>2</v>
      </c>
      <c r="H692" s="10"/>
      <c r="I692" s="10">
        <f t="shared" si="88"/>
        <v>9.8959224589499303E-4</v>
      </c>
    </row>
    <row r="693" spans="1:9">
      <c r="A693" s="19">
        <f t="shared" si="89"/>
        <v>56.583333333333847</v>
      </c>
      <c r="B693" s="10">
        <f t="shared" si="85"/>
        <v>8.4386374837015637E-2</v>
      </c>
      <c r="C693" s="10">
        <f t="shared" si="86"/>
        <v>0.361514386233733</v>
      </c>
      <c r="D693" s="10">
        <f t="shared" si="90"/>
        <v>0.18152310379905881</v>
      </c>
      <c r="E693" s="10">
        <f t="shared" si="91"/>
        <v>7.0078399686463108E-2</v>
      </c>
      <c r="F693" s="10">
        <f t="shared" si="87"/>
        <v>6.324683939977653E-2</v>
      </c>
      <c r="G693" s="66">
        <f t="shared" si="92"/>
        <v>4</v>
      </c>
      <c r="H693" s="10"/>
      <c r="I693" s="10">
        <f t="shared" si="88"/>
        <v>1.9418244529715103E-3</v>
      </c>
    </row>
    <row r="694" spans="1:9">
      <c r="A694" s="19">
        <f t="shared" si="89"/>
        <v>56.666666666667183</v>
      </c>
      <c r="B694" s="10">
        <f t="shared" si="85"/>
        <v>8.311568048624024E-2</v>
      </c>
      <c r="C694" s="10">
        <f t="shared" si="86"/>
        <v>0.35940342333165398</v>
      </c>
      <c r="D694" s="10">
        <f t="shared" si="90"/>
        <v>0.18261979177065968</v>
      </c>
      <c r="E694" s="10">
        <f t="shared" si="91"/>
        <v>7.0474067732268275E-2</v>
      </c>
      <c r="F694" s="10">
        <f t="shared" si="87"/>
        <v>6.2990209489159732E-2</v>
      </c>
      <c r="G694" s="66">
        <f t="shared" si="92"/>
        <v>2</v>
      </c>
      <c r="H694" s="10"/>
      <c r="I694" s="10">
        <f t="shared" si="88"/>
        <v>9.5246676666977932E-4</v>
      </c>
    </row>
    <row r="695" spans="1:9">
      <c r="A695" s="19">
        <f t="shared" si="89"/>
        <v>56.750000000000519</v>
      </c>
      <c r="B695" s="10">
        <f t="shared" si="85"/>
        <v>8.1856616453451853E-2</v>
      </c>
      <c r="C695" s="10">
        <f t="shared" si="86"/>
        <v>0.35729297255792836</v>
      </c>
      <c r="D695" s="10">
        <f t="shared" si="90"/>
        <v>0.18372310913224391</v>
      </c>
      <c r="E695" s="10">
        <f t="shared" si="91"/>
        <v>7.087197294272958E-2</v>
      </c>
      <c r="F695" s="10">
        <f t="shared" si="87"/>
        <v>6.2734620878181768E-2</v>
      </c>
      <c r="G695" s="66">
        <f t="shared" si="92"/>
        <v>4</v>
      </c>
      <c r="H695" s="10"/>
      <c r="I695" s="10">
        <f t="shared" si="88"/>
        <v>1.8685105005947697E-3</v>
      </c>
    </row>
    <row r="696" spans="1:9">
      <c r="A696" s="19">
        <f t="shared" si="89"/>
        <v>56.833333333333854</v>
      </c>
      <c r="B696" s="10">
        <f t="shared" si="85"/>
        <v>8.0609190961197882E-2</v>
      </c>
      <c r="C696" s="10">
        <f t="shared" si="86"/>
        <v>0.35518310365533418</v>
      </c>
      <c r="D696" s="10">
        <f t="shared" si="90"/>
        <v>0.18483309595793704</v>
      </c>
      <c r="E696" s="10">
        <f t="shared" si="91"/>
        <v>7.1272127967101362E-2</v>
      </c>
      <c r="F696" s="10">
        <f t="shared" si="87"/>
        <v>6.2480069341672856E-2</v>
      </c>
      <c r="G696" s="66">
        <f t="shared" si="92"/>
        <v>2</v>
      </c>
      <c r="H696" s="10"/>
      <c r="I696" s="10">
        <f t="shared" si="88"/>
        <v>9.1627702241688222E-4</v>
      </c>
    </row>
    <row r="697" spans="1:9">
      <c r="A697" s="19">
        <f t="shared" si="89"/>
        <v>56.91666666666719</v>
      </c>
      <c r="B697" s="10">
        <f t="shared" si="85"/>
        <v>7.9373410713282036E-2</v>
      </c>
      <c r="C697" s="10">
        <f t="shared" si="86"/>
        <v>0.35307388670486517</v>
      </c>
      <c r="D697" s="10">
        <f t="shared" si="90"/>
        <v>0.18594979256410968</v>
      </c>
      <c r="E697" s="10">
        <f t="shared" si="91"/>
        <v>7.1674545526158442E-2</v>
      </c>
      <c r="F697" s="10">
        <f t="shared" si="87"/>
        <v>6.2226550671607261E-2</v>
      </c>
      <c r="G697" s="66">
        <f t="shared" si="92"/>
        <v>4</v>
      </c>
      <c r="H697" s="10"/>
      <c r="I697" s="10">
        <f t="shared" si="88"/>
        <v>1.7970627792090186E-3</v>
      </c>
    </row>
    <row r="698" spans="1:9">
      <c r="A698" s="19">
        <f t="shared" si="89"/>
        <v>57.000000000000526</v>
      </c>
      <c r="B698" s="10">
        <f t="shared" si="85"/>
        <v>7.8149280891810557E-2</v>
      </c>
      <c r="C698" s="10">
        <f t="shared" si="86"/>
        <v>0.35096539212051597</v>
      </c>
      <c r="D698" s="10">
        <f t="shared" si="90"/>
        <v>0.18707323951084115</v>
      </c>
      <c r="E698" s="10">
        <f t="shared" si="91"/>
        <v>7.2079238412600749E-2</v>
      </c>
      <c r="F698" s="10">
        <f t="shared" si="87"/>
        <v>6.1974060677033677E-2</v>
      </c>
      <c r="G698" s="66">
        <f t="shared" si="92"/>
        <v>2</v>
      </c>
      <c r="H698" s="10"/>
      <c r="I698" s="10">
        <f t="shared" si="88"/>
        <v>8.8101762030891935E-4</v>
      </c>
    </row>
    <row r="699" spans="1:9">
      <c r="A699" s="19">
        <f t="shared" si="89"/>
        <v>57.083333333333862</v>
      </c>
      <c r="B699" s="10">
        <f t="shared" si="85"/>
        <v>7.6936805154676463E-2</v>
      </c>
      <c r="C699" s="10">
        <f t="shared" si="86"/>
        <v>0.34885769064395578</v>
      </c>
      <c r="D699" s="10">
        <f t="shared" si="90"/>
        <v>0.18820347760339354</v>
      </c>
      <c r="E699" s="10">
        <f t="shared" si="91"/>
        <v>7.2486219491460308E-2</v>
      </c>
      <c r="F699" s="10">
        <f t="shared" si="87"/>
        <v>6.1722595184006038E-2</v>
      </c>
      <c r="G699" s="66">
        <f t="shared" si="92"/>
        <v>4</v>
      </c>
      <c r="H699" s="10"/>
      <c r="I699" s="10">
        <f t="shared" si="88"/>
        <v>1.7274698904201802E-3</v>
      </c>
    </row>
    <row r="700" spans="1:9">
      <c r="A700" s="19">
        <f t="shared" si="89"/>
        <v>57.166666666667197</v>
      </c>
      <c r="B700" s="10">
        <f t="shared" si="85"/>
        <v>7.5735985633487019E-2</v>
      </c>
      <c r="C700" s="10">
        <f t="shared" si="86"/>
        <v>0.34675085333908756</v>
      </c>
      <c r="D700" s="10">
        <f t="shared" si="90"/>
        <v>0.18934054789369392</v>
      </c>
      <c r="E700" s="10">
        <f t="shared" si="91"/>
        <v>7.2895501700509666E-2</v>
      </c>
      <c r="F700" s="10">
        <f t="shared" si="87"/>
        <v>6.1472150035514352E-2</v>
      </c>
      <c r="G700" s="66">
        <f t="shared" si="92"/>
        <v>2</v>
      </c>
      <c r="H700" s="10"/>
      <c r="I700" s="10">
        <f t="shared" si="88"/>
        <v>8.466825575925061E-4</v>
      </c>
    </row>
    <row r="701" spans="1:9">
      <c r="A701" s="19">
        <f t="shared" si="89"/>
        <v>57.250000000000533</v>
      </c>
      <c r="B701" s="10">
        <f t="shared" si="85"/>
        <v>7.454682293193847E-2</v>
      </c>
      <c r="C701" s="10">
        <f t="shared" si="86"/>
        <v>0.34464495158649555</v>
      </c>
      <c r="D701" s="10">
        <f t="shared" si="90"/>
        <v>0.19048449168182394</v>
      </c>
      <c r="E701" s="10">
        <f t="shared" si="91"/>
        <v>7.3307098050673536E-2</v>
      </c>
      <c r="F701" s="10">
        <f t="shared" si="87"/>
        <v>6.1222721091416132E-2</v>
      </c>
      <c r="G701" s="66">
        <f t="shared" si="92"/>
        <v>4</v>
      </c>
      <c r="H701" s="10"/>
      <c r="I701" s="10">
        <f t="shared" si="88"/>
        <v>1.6597192274649753E-3</v>
      </c>
    </row>
    <row r="702" spans="1:9">
      <c r="A702" s="19">
        <f t="shared" si="89"/>
        <v>57.333333333333869</v>
      </c>
      <c r="B702" s="10">
        <f t="shared" si="85"/>
        <v>7.3369316124641579E-2</v>
      </c>
      <c r="C702" s="10">
        <f t="shared" si="86"/>
        <v>0.34254005707777813</v>
      </c>
      <c r="D702" s="10">
        <f t="shared" si="90"/>
        <v>0.19163535051752154</v>
      </c>
      <c r="E702" s="10">
        <f t="shared" si="91"/>
        <v>7.3721021626442021E-2</v>
      </c>
      <c r="F702" s="10">
        <f t="shared" si="87"/>
        <v>6.0974304228367915E-2</v>
      </c>
      <c r="G702" s="66">
        <f t="shared" si="92"/>
        <v>2</v>
      </c>
      <c r="H702" s="10"/>
      <c r="I702" s="10">
        <f t="shared" si="88"/>
        <v>8.1326523329949504E-4</v>
      </c>
    </row>
    <row r="703" spans="1:9">
      <c r="A703" s="19">
        <f t="shared" si="89"/>
        <v>57.416666666667204</v>
      </c>
      <c r="B703" s="10">
        <f t="shared" si="85"/>
        <v>7.2203462756401979E-2</v>
      </c>
      <c r="C703" s="10">
        <f t="shared" si="86"/>
        <v>0.34043624180976689</v>
      </c>
      <c r="D703" s="10">
        <f t="shared" si="90"/>
        <v>0.19279316620168913</v>
      </c>
      <c r="E703" s="10">
        <f t="shared" si="91"/>
        <v>7.4137285586287238E-2</v>
      </c>
      <c r="F703" s="10">
        <f t="shared" si="87"/>
        <v>6.0726895339757087E-2</v>
      </c>
      <c r="G703" s="66">
        <f t="shared" si="92"/>
        <v>4</v>
      </c>
      <c r="H703" s="10"/>
      <c r="I703" s="10">
        <f t="shared" si="88"/>
        <v>1.5937969995424848E-3</v>
      </c>
    </row>
    <row r="704" spans="1:9">
      <c r="A704" s="19">
        <f t="shared" si="89"/>
        <v>57.50000000000054</v>
      </c>
      <c r="B704" s="10">
        <f t="shared" si="85"/>
        <v>7.1049258841959728E-2</v>
      </c>
      <c r="C704" s="10">
        <f t="shared" si="86"/>
        <v>0.33833357807863168</v>
      </c>
      <c r="D704" s="10">
        <f t="shared" si="90"/>
        <v>0.19395798078791293</v>
      </c>
      <c r="E704" s="10">
        <f t="shared" si="91"/>
        <v>7.4555903163080958E-2</v>
      </c>
      <c r="F704" s="10">
        <f t="shared" si="87"/>
        <v>6.0480490335633956E-2</v>
      </c>
      <c r="G704" s="66">
        <f t="shared" si="92"/>
        <v>2</v>
      </c>
      <c r="H704" s="10"/>
      <c r="I704" s="10">
        <f t="shared" si="88"/>
        <v>7.8075846086245626E-4</v>
      </c>
    </row>
    <row r="705" spans="1:9">
      <c r="A705" s="19">
        <f t="shared" si="89"/>
        <v>57.583333333333876</v>
      </c>
      <c r="B705" s="10">
        <f t="shared" si="85"/>
        <v>6.9906698866189873E-2</v>
      </c>
      <c r="C705" s="10">
        <f t="shared" si="86"/>
        <v>0.33623213847387096</v>
      </c>
      <c r="D705" s="10">
        <f t="shared" si="90"/>
        <v>0.19512983658398858</v>
      </c>
      <c r="E705" s="10">
        <f t="shared" si="91"/>
        <v>7.4976887664515671E-2</v>
      </c>
      <c r="F705" s="10">
        <f t="shared" si="87"/>
        <v>6.0235085142644217E-2</v>
      </c>
      <c r="G705" s="66">
        <f t="shared" si="92"/>
        <v>4</v>
      </c>
      <c r="H705" s="10"/>
      <c r="I705" s="10">
        <f t="shared" si="88"/>
        <v>1.5296882579341423E-3</v>
      </c>
    </row>
    <row r="706" spans="1:9">
      <c r="A706" s="19">
        <f t="shared" si="89"/>
        <v>57.666666666667211</v>
      </c>
      <c r="B706" s="10">
        <f t="shared" si="85"/>
        <v>6.8775775784768914E-2</v>
      </c>
      <c r="C706" s="10">
        <f t="shared" si="86"/>
        <v>0.33413199587218723</v>
      </c>
      <c r="D706" s="10">
        <f t="shared" si="90"/>
        <v>0.19630877615345968</v>
      </c>
      <c r="E706" s="10">
        <f t="shared" si="91"/>
        <v>7.5400252473527191E-2</v>
      </c>
      <c r="F706" s="10">
        <f t="shared" si="87"/>
        <v>5.999067570396157E-2</v>
      </c>
      <c r="G706" s="66">
        <f t="shared" si="92"/>
        <v>2</v>
      </c>
      <c r="H706" s="10"/>
      <c r="I706" s="10">
        <f t="shared" si="88"/>
        <v>7.491544816136959E-4</v>
      </c>
    </row>
    <row r="707" spans="1:9">
      <c r="A707" s="19">
        <f t="shared" si="89"/>
        <v>57.750000000000547</v>
      </c>
      <c r="B707" s="10">
        <f t="shared" si="85"/>
        <v>6.7656481025309273E-2</v>
      </c>
      <c r="C707" s="10">
        <f t="shared" si="86"/>
        <v>0.33203322343124814</v>
      </c>
      <c r="D707" s="10">
        <f t="shared" si="90"/>
        <v>0.19749484231716258</v>
      </c>
      <c r="E707" s="10">
        <f t="shared" si="91"/>
        <v>7.5826011048720859E-2</v>
      </c>
      <c r="F707" s="10">
        <f t="shared" si="87"/>
        <v>5.9747257979220654E-2</v>
      </c>
      <c r="G707" s="66">
        <f t="shared" si="92"/>
        <v>4</v>
      </c>
      <c r="H707" s="10"/>
      <c r="I707" s="10">
        <f t="shared" si="88"/>
        <v>1.4673769238682443E-3</v>
      </c>
    </row>
    <row r="708" spans="1:9">
      <c r="A708" s="19">
        <f t="shared" si="89"/>
        <v>57.833333333333883</v>
      </c>
      <c r="B708" s="10">
        <f t="shared" si="85"/>
        <v>6.6548804488964455E-2</v>
      </c>
      <c r="C708" s="10">
        <f t="shared" si="86"/>
        <v>0.32993589458333161</v>
      </c>
      <c r="D708" s="10">
        <f t="shared" si="90"/>
        <v>0.19868807815478284</v>
      </c>
      <c r="E708" s="10">
        <f t="shared" si="91"/>
        <v>7.6254176924798592E-2</v>
      </c>
      <c r="F708" s="10">
        <f t="shared" si="87"/>
        <v>5.950482794445025E-2</v>
      </c>
      <c r="G708" s="66">
        <f t="shared" si="92"/>
        <v>2</v>
      </c>
      <c r="H708" s="10"/>
      <c r="I708" s="10">
        <f t="shared" si="88"/>
        <v>7.1844497914467012E-4</v>
      </c>
    </row>
    <row r="709" spans="1:9">
      <c r="A709" s="19">
        <f t="shared" si="89"/>
        <v>57.916666666667219</v>
      </c>
      <c r="B709" s="10">
        <f t="shared" si="85"/>
        <v>6.5452734552508357E-2</v>
      </c>
      <c r="C709" s="10">
        <f t="shared" si="86"/>
        <v>0.32784008302885653</v>
      </c>
      <c r="D709" s="10">
        <f t="shared" si="90"/>
        <v>0.19988852700641827</v>
      </c>
      <c r="E709" s="10">
        <f t="shared" si="91"/>
        <v>7.668476371298967E-2</v>
      </c>
      <c r="F709" s="10">
        <f t="shared" si="87"/>
        <v>5.926338159200685E-2</v>
      </c>
      <c r="G709" s="66">
        <f t="shared" si="92"/>
        <v>4</v>
      </c>
      <c r="H709" s="10"/>
      <c r="I709" s="10">
        <f t="shared" si="88"/>
        <v>1.406845818080297E-3</v>
      </c>
    </row>
    <row r="710" spans="1:9">
      <c r="A710" s="19">
        <f t="shared" si="89"/>
        <v>58.000000000000554</v>
      </c>
      <c r="B710" s="10">
        <f t="shared" si="85"/>
        <v>6.436825807089E-2</v>
      </c>
      <c r="C710" s="10">
        <f t="shared" si="86"/>
        <v>0.32574586272979689</v>
      </c>
      <c r="D710" s="10">
        <f t="shared" si="90"/>
        <v>0.20109623247415462</v>
      </c>
      <c r="E710" s="10">
        <f t="shared" si="91"/>
        <v>7.7117785101482927E-2</v>
      </c>
      <c r="F710" s="10">
        <f t="shared" si="87"/>
        <v>5.9022914930508201E-2</v>
      </c>
      <c r="G710" s="66">
        <f t="shared" si="92"/>
        <v>2</v>
      </c>
      <c r="H710" s="10"/>
      <c r="I710" s="10">
        <f t="shared" si="88"/>
        <v>6.8862109450019071E-4</v>
      </c>
    </row>
    <row r="711" spans="1:9">
      <c r="A711" s="19">
        <f t="shared" si="89"/>
        <v>58.08333333333389</v>
      </c>
      <c r="B711" s="10">
        <f t="shared" si="85"/>
        <v>6.3295360380267368E-2</v>
      </c>
      <c r="C711" s="10">
        <f t="shared" si="86"/>
        <v>0.32365330790298191</v>
      </c>
      <c r="D711" s="10">
        <f t="shared" si="90"/>
        <v>0.20231123842364843</v>
      </c>
      <c r="E711" s="10">
        <f t="shared" si="91"/>
        <v>7.7553254855862661E-2</v>
      </c>
      <c r="F711" s="10">
        <f t="shared" si="87"/>
        <v>5.8783423984767574E-2</v>
      </c>
      <c r="G711" s="66">
        <f t="shared" si="92"/>
        <v>4</v>
      </c>
      <c r="H711" s="10"/>
      <c r="I711" s="10">
        <f t="shared" si="88"/>
        <v>1.3480766920154869E-3</v>
      </c>
    </row>
    <row r="712" spans="1:9">
      <c r="A712" s="19">
        <f t="shared" si="89"/>
        <v>58.166666666667226</v>
      </c>
      <c r="B712" s="10">
        <f t="shared" si="85"/>
        <v>6.2234025301519579E-2</v>
      </c>
      <c r="C712" s="10">
        <f t="shared" si="86"/>
        <v>0.32156249301327933</v>
      </c>
      <c r="D712" s="10">
        <f t="shared" si="90"/>
        <v>0.20353358898572135</v>
      </c>
      <c r="E712" s="10">
        <f t="shared" si="91"/>
        <v>7.7991186819545477E-2</v>
      </c>
      <c r="F712" s="10">
        <f t="shared" si="87"/>
        <v>5.854490479572786E-2</v>
      </c>
      <c r="G712" s="66">
        <f t="shared" si="92"/>
        <v>2</v>
      </c>
      <c r="H712" s="10"/>
      <c r="I712" s="10">
        <f t="shared" si="88"/>
        <v>6.5967344217941867E-4</v>
      </c>
    </row>
    <row r="713" spans="1:9">
      <c r="A713" s="19">
        <f t="shared" si="89"/>
        <v>58.250000000000561</v>
      </c>
      <c r="B713" s="10">
        <f t="shared" si="85"/>
        <v>6.1184235144242732E-2</v>
      </c>
      <c r="C713" s="10">
        <f t="shared" si="86"/>
        <v>0.31947349276666392</v>
      </c>
      <c r="D713" s="10">
        <f t="shared" si="90"/>
        <v>0.20476332855796112</v>
      </c>
      <c r="E713" s="10">
        <f t="shared" si="91"/>
        <v>7.8431594914220831E-2</v>
      </c>
      <c r="F713" s="10">
        <f t="shared" si="87"/>
        <v>5.8307353420396224E-2</v>
      </c>
      <c r="G713" s="66">
        <f t="shared" si="92"/>
        <v>4</v>
      </c>
      <c r="H713" s="10"/>
      <c r="I713" s="10">
        <f t="shared" si="88"/>
        <v>1.2910502606149844E-3</v>
      </c>
    </row>
    <row r="714" spans="1:9">
      <c r="A714" s="19">
        <f t="shared" si="89"/>
        <v>58.333333333333897</v>
      </c>
      <c r="B714" s="10">
        <f t="shared" si="85"/>
        <v>6.0145970711227764E-2</v>
      </c>
      <c r="C714" s="10">
        <f t="shared" si="86"/>
        <v>0.31738638210317033</v>
      </c>
      <c r="D714" s="10">
        <f t="shared" si="90"/>
        <v>0.20600050180633603</v>
      </c>
      <c r="E714" s="10">
        <f t="shared" si="91"/>
        <v>7.88744931402931E-2</v>
      </c>
      <c r="F714" s="10">
        <f t="shared" si="87"/>
        <v>5.8070765931778887E-2</v>
      </c>
      <c r="G714" s="66">
        <f t="shared" si="92"/>
        <v>2</v>
      </c>
      <c r="H714" s="10"/>
      <c r="I714" s="10">
        <f t="shared" si="88"/>
        <v>6.315921269132535E-4</v>
      </c>
    </row>
    <row r="715" spans="1:9">
      <c r="A715" s="19">
        <f t="shared" si="89"/>
        <v>58.416666666667233</v>
      </c>
      <c r="B715" s="10">
        <f t="shared" si="85"/>
        <v>5.9119211303423486E-2</v>
      </c>
      <c r="C715" s="10">
        <f t="shared" si="86"/>
        <v>0.31530123618972999</v>
      </c>
      <c r="D715" s="10">
        <f t="shared" si="90"/>
        <v>0.2072451536668162</v>
      </c>
      <c r="E715" s="10">
        <f t="shared" si="91"/>
        <v>7.9319895577327493E-2</v>
      </c>
      <c r="F715" s="10">
        <f t="shared" si="87"/>
        <v>5.7835138418816184E-2</v>
      </c>
      <c r="G715" s="66">
        <f t="shared" si="92"/>
        <v>4</v>
      </c>
      <c r="H715" s="10"/>
      <c r="I715" s="10">
        <f t="shared" si="88"/>
        <v>1.2357462366228802E-3</v>
      </c>
    </row>
    <row r="716" spans="1:9">
      <c r="A716" s="19">
        <f t="shared" si="89"/>
        <v>58.500000000000568</v>
      </c>
      <c r="B716" s="10">
        <f t="shared" si="85"/>
        <v>5.8103934725384283E-2</v>
      </c>
      <c r="C716" s="10">
        <f t="shared" si="86"/>
        <v>0.31321813041289259</v>
      </c>
      <c r="D716" s="10">
        <f t="shared" si="90"/>
        <v>0.20849732934700677</v>
      </c>
      <c r="E716" s="10">
        <f t="shared" si="91"/>
        <v>7.9767816384496773E-2</v>
      </c>
      <c r="F716" s="10">
        <f t="shared" si="87"/>
        <v>5.7600466986317968E-2</v>
      </c>
      <c r="G716" s="66">
        <f t="shared" si="92"/>
        <v>2</v>
      </c>
      <c r="H716" s="10"/>
      <c r="I716" s="10">
        <f t="shared" si="88"/>
        <v>6.0436676118546162E-4</v>
      </c>
    </row>
    <row r="717" spans="1:9">
      <c r="A717" s="19">
        <f t="shared" si="89"/>
        <v>58.583333333333904</v>
      </c>
      <c r="B717" s="10">
        <f t="shared" si="85"/>
        <v>5.7100117291204983E-2</v>
      </c>
      <c r="C717" s="10">
        <f t="shared" si="86"/>
        <v>0.31113714037143358</v>
      </c>
      <c r="D717" s="10">
        <f t="shared" si="90"/>
        <v>0.20975707432778812</v>
      </c>
      <c r="E717" s="10">
        <f t="shared" si="91"/>
        <v>8.0218269801031916E-2</v>
      </c>
      <c r="F717" s="10">
        <f t="shared" si="87"/>
        <v>5.7366747754899174E-2</v>
      </c>
      <c r="G717" s="66">
        <f t="shared" si="92"/>
        <v>4</v>
      </c>
      <c r="H717" s="10"/>
      <c r="I717" s="10">
        <f t="shared" si="88"/>
        <v>1.1821433663462668E-3</v>
      </c>
    </row>
    <row r="718" spans="1:9">
      <c r="A718" s="19">
        <f t="shared" si="89"/>
        <v>58.66666666666724</v>
      </c>
      <c r="B718" s="10">
        <f t="shared" ref="B718:B781" si="93">(B$9^A718)*B$10^((B$6^28)*((B$6^A718)-1))</f>
        <v>5.6107733830941545E-2</v>
      </c>
      <c r="C718" s="10">
        <f t="shared" ref="C718:C781" si="94">(B$9^A718)*B$11^((B$7^24)*((B$7^A718)-1))</f>
        <v>0.30905834186884434</v>
      </c>
      <c r="D718" s="10">
        <f t="shared" si="90"/>
        <v>0.21102443436496951</v>
      </c>
      <c r="E718" s="10">
        <f t="shared" si="91"/>
        <v>8.0671270146674245E-2</v>
      </c>
      <c r="F718" s="10">
        <f t="shared" si="87"/>
        <v>5.7133976860915696E-2</v>
      </c>
      <c r="G718" s="66">
        <f t="shared" si="92"/>
        <v>2</v>
      </c>
      <c r="H718" s="10"/>
      <c r="I718" s="10">
        <f t="shared" si="88"/>
        <v>5.7798648346260204E-4</v>
      </c>
    </row>
    <row r="719" spans="1:9">
      <c r="A719" s="19">
        <f t="shared" si="89"/>
        <v>58.750000000000576</v>
      </c>
      <c r="B719" s="10">
        <f t="shared" si="93"/>
        <v>5.5126757697518923E-2</v>
      </c>
      <c r="C719" s="10">
        <f t="shared" si="94"/>
        <v>0.30698181090570958</v>
      </c>
      <c r="D719" s="10">
        <f t="shared" si="90"/>
        <v>0.21229945549095014</v>
      </c>
      <c r="E719" s="10">
        <f t="shared" si="91"/>
        <v>8.112683182213147E-2</v>
      </c>
      <c r="F719" s="10">
        <f t="shared" ref="F719:F782" si="95">(1+B$8)^-A719</f>
        <v>5.6902150456400534E-2</v>
      </c>
      <c r="G719" s="66">
        <f t="shared" si="92"/>
        <v>4</v>
      </c>
      <c r="H719" s="10"/>
      <c r="I719" s="10">
        <f t="shared" ref="I719:I782" si="96">B719*C719*(D719+E719)*F719*G719</f>
        <v>1.1302194667963312E-3</v>
      </c>
    </row>
    <row r="720" spans="1:9">
      <c r="A720" s="19">
        <f t="shared" ref="A720:A783" si="97">A719+1/12</f>
        <v>58.833333333333911</v>
      </c>
      <c r="B720" s="10">
        <f t="shared" si="93"/>
        <v>5.4157160774126224E-2</v>
      </c>
      <c r="C720" s="10">
        <f t="shared" si="94"/>
        <v>0.30490762367196805</v>
      </c>
      <c r="D720" s="10">
        <f t="shared" si="90"/>
        <v>0.21358218401639195</v>
      </c>
      <c r="E720" s="10">
        <f t="shared" si="91"/>
        <v>8.1584969309534641E-2</v>
      </c>
      <c r="F720" s="10">
        <f t="shared" si="95"/>
        <v>5.6671264709000184E-2</v>
      </c>
      <c r="G720" s="66">
        <f t="shared" si="92"/>
        <v>2</v>
      </c>
      <c r="H720" s="10"/>
      <c r="I720" s="10">
        <f t="shared" si="96"/>
        <v>5.5243997709566496E-4</v>
      </c>
    </row>
    <row r="721" spans="1:9">
      <c r="A721" s="19">
        <f t="shared" si="97"/>
        <v>58.916666666667247</v>
      </c>
      <c r="B721" s="10">
        <f t="shared" si="93"/>
        <v>5.3198913482097612E-2</v>
      </c>
      <c r="C721" s="10">
        <f t="shared" si="94"/>
        <v>0.30283585653906014</v>
      </c>
      <c r="D721" s="10">
        <f t="shared" ref="D721:D784" si="98">B$3+B$4*(B$6^(28+A721))</f>
        <v>0.21487266653190021</v>
      </c>
      <c r="E721" s="10">
        <f t="shared" ref="E721:E784" si="99">B$3+B$5*(B$7^(24+A721))</f>
        <v>8.2045697172899099E-2</v>
      </c>
      <c r="F721" s="10">
        <f t="shared" si="95"/>
        <v>5.6441315801911203E-2</v>
      </c>
      <c r="G721" s="66">
        <f t="shared" ref="G721:G784" si="100">IF(G720=4,2,4)</f>
        <v>4</v>
      </c>
      <c r="H721" s="10"/>
      <c r="I721" s="10">
        <f t="shared" si="96"/>
        <v>1.0799514641342256E-3</v>
      </c>
    </row>
    <row r="722" spans="1:9">
      <c r="A722" s="19">
        <f t="shared" si="97"/>
        <v>59.000000000000583</v>
      </c>
      <c r="B722" s="10">
        <f t="shared" si="93"/>
        <v>5.2251984789280032E-2</v>
      </c>
      <c r="C722" s="10">
        <f t="shared" si="94"/>
        <v>0.30076658605196116</v>
      </c>
      <c r="D722" s="10">
        <f t="shared" si="98"/>
        <v>0.21617094990971658</v>
      </c>
      <c r="E722" s="10">
        <f t="shared" si="99"/>
        <v>8.2509030058586896E-2</v>
      </c>
      <c r="F722" s="10">
        <f t="shared" si="95"/>
        <v>5.6212299933817253E-2</v>
      </c>
      <c r="G722" s="66">
        <f t="shared" si="100"/>
        <v>2</v>
      </c>
      <c r="H722" s="10"/>
      <c r="I722" s="10">
        <f t="shared" si="96"/>
        <v>5.2771548985424787E-4</v>
      </c>
    </row>
    <row r="723" spans="1:9">
      <c r="A723" s="19">
        <f t="shared" si="97"/>
        <v>59.083333333333918</v>
      </c>
      <c r="B723" s="10">
        <f t="shared" si="93"/>
        <v>5.1316342218885654E-2</v>
      </c>
      <c r="C723" s="10">
        <f t="shared" si="94"/>
        <v>0.29869988892109972</v>
      </c>
      <c r="D723" s="10">
        <f t="shared" si="98"/>
        <v>0.21747708130542245</v>
      </c>
      <c r="E723" s="10">
        <f t="shared" si="99"/>
        <v>8.2974982695773206E-2</v>
      </c>
      <c r="F723" s="10">
        <f t="shared" si="95"/>
        <v>5.5984213318826179E-2</v>
      </c>
      <c r="G723" s="66">
        <f t="shared" si="100"/>
        <v>4</v>
      </c>
      <c r="H723" s="10"/>
      <c r="I723" s="10">
        <f t="shared" si="96"/>
        <v>1.0313154333413089E-3</v>
      </c>
    </row>
    <row r="724" spans="1:9">
      <c r="A724" s="19">
        <f t="shared" si="97"/>
        <v>59.166666666667254</v>
      </c>
      <c r="B724" s="10">
        <f t="shared" si="93"/>
        <v>5.0391951858828735E-2</v>
      </c>
      <c r="C724" s="10">
        <f t="shared" si="94"/>
        <v>0.29663584201416393</v>
      </c>
      <c r="D724" s="10">
        <f t="shared" si="98"/>
        <v>0.21879110815965083</v>
      </c>
      <c r="E724" s="10">
        <f t="shared" si="99"/>
        <v>8.3443569896913816E-2</v>
      </c>
      <c r="F724" s="10">
        <f t="shared" si="95"/>
        <v>5.5757052186407405E-2</v>
      </c>
      <c r="G724" s="66">
        <f t="shared" si="100"/>
        <v>2</v>
      </c>
      <c r="H724" s="10"/>
      <c r="I724" s="10">
        <f t="shared" si="96"/>
        <v>5.0380085405210898E-4</v>
      </c>
    </row>
    <row r="725" spans="1:9">
      <c r="A725" s="19">
        <f t="shared" si="97"/>
        <v>59.25000000000059</v>
      </c>
      <c r="B725" s="10">
        <f t="shared" si="93"/>
        <v>4.947877837154506E-2</v>
      </c>
      <c r="C725" s="10">
        <f t="shared" si="94"/>
        <v>0.29457452234779374</v>
      </c>
      <c r="D725" s="10">
        <f t="shared" si="98"/>
        <v>0.22011307819980874</v>
      </c>
      <c r="E725" s="10">
        <f t="shared" si="99"/>
        <v>8.3914806558216426E-2</v>
      </c>
      <c r="F725" s="10">
        <f t="shared" si="95"/>
        <v>5.5530812781329653E-2</v>
      </c>
      <c r="G725" s="66">
        <f t="shared" si="100"/>
        <v>4</v>
      </c>
      <c r="H725" s="10"/>
      <c r="I725" s="10">
        <f t="shared" si="96"/>
        <v>9.842866390295964E-4</v>
      </c>
    </row>
    <row r="726" spans="1:9">
      <c r="A726" s="19">
        <f t="shared" si="97"/>
        <v>59.333333333333925</v>
      </c>
      <c r="B726" s="10">
        <f t="shared" si="93"/>
        <v>4.8576785004292633E-2</v>
      </c>
      <c r="C726" s="10">
        <f t="shared" si="94"/>
        <v>0.29251600707916137</v>
      </c>
      <c r="D726" s="10">
        <f t="shared" si="98"/>
        <v>0.2214430394418116</v>
      </c>
      <c r="E726" s="10">
        <f t="shared" si="99"/>
        <v>8.4388707660113763E-2</v>
      </c>
      <c r="F726" s="10">
        <f t="shared" si="95"/>
        <v>5.5305491363598858E-2</v>
      </c>
      <c r="G726" s="66">
        <f t="shared" si="100"/>
        <v>2</v>
      </c>
      <c r="H726" s="10"/>
      <c r="I726" s="10">
        <f t="shared" si="96"/>
        <v>4.8068350722105268E-4</v>
      </c>
    </row>
    <row r="727" spans="1:9">
      <c r="A727" s="19">
        <f t="shared" si="97"/>
        <v>59.416666666667261</v>
      </c>
      <c r="B727" s="10">
        <f t="shared" si="93"/>
        <v>4.7685933599931549E-2</v>
      </c>
      <c r="C727" s="10">
        <f t="shared" si="94"/>
        <v>0.29046037349743919</v>
      </c>
      <c r="D727" s="10">
        <f t="shared" si="98"/>
        <v>0.22278104019182801</v>
      </c>
      <c r="E727" s="10">
        <f t="shared" si="99"/>
        <v>8.4865288267740577E-2</v>
      </c>
      <c r="F727" s="10">
        <f t="shared" si="95"/>
        <v>5.5081084208396282E-2</v>
      </c>
      <c r="G727" s="66">
        <f t="shared" si="100"/>
        <v>4</v>
      </c>
      <c r="H727" s="10"/>
      <c r="I727" s="10">
        <f t="shared" si="96"/>
        <v>9.388395773044523E-4</v>
      </c>
    </row>
    <row r="728" spans="1:9">
      <c r="A728" s="19">
        <f t="shared" si="97"/>
        <v>59.500000000000597</v>
      </c>
      <c r="B728" s="10">
        <f t="shared" si="93"/>
        <v>4.6806184608180965E-2</v>
      </c>
      <c r="C728" s="10">
        <f t="shared" si="94"/>
        <v>0.28840769901515589</v>
      </c>
      <c r="D728" s="10">
        <f t="shared" si="98"/>
        <v>0.2241271290480327</v>
      </c>
      <c r="E728" s="10">
        <f t="shared" si="99"/>
        <v>8.5344563531411705E-2</v>
      </c>
      <c r="F728" s="10">
        <f t="shared" si="95"/>
        <v>5.4857587606017034E-2</v>
      </c>
      <c r="G728" s="66">
        <f t="shared" si="100"/>
        <v>2</v>
      </c>
      <c r="H728" s="10"/>
      <c r="I728" s="10">
        <f t="shared" si="96"/>
        <v>4.5835051328834423E-4</v>
      </c>
    </row>
    <row r="729" spans="1:9">
      <c r="A729" s="19">
        <f t="shared" si="97"/>
        <v>59.583333333333933</v>
      </c>
      <c r="B729" s="10">
        <f t="shared" si="93"/>
        <v>4.5937497097350531E-2</v>
      </c>
      <c r="C729" s="10">
        <f t="shared" si="94"/>
        <v>0.28635806115944229</v>
      </c>
      <c r="D729" s="10">
        <f t="shared" si="98"/>
        <v>0.22548135490237281</v>
      </c>
      <c r="E729" s="10">
        <f t="shared" si="99"/>
        <v>8.5826548687104307E-2</v>
      </c>
      <c r="F729" s="10">
        <f t="shared" si="95"/>
        <v>5.4634997861808657E-2</v>
      </c>
      <c r="G729" s="66">
        <f t="shared" si="100"/>
        <v>4</v>
      </c>
      <c r="H729" s="10"/>
      <c r="I729" s="10">
        <f t="shared" si="96"/>
        <v>8.9494801858830918E-4</v>
      </c>
    </row>
    <row r="730" spans="1:9">
      <c r="A730" s="19">
        <f t="shared" si="97"/>
        <v>59.666666666667268</v>
      </c>
      <c r="B730" s="10">
        <f t="shared" si="93"/>
        <v>4.5079828766543657E-2</v>
      </c>
      <c r="C730" s="10">
        <f t="shared" si="94"/>
        <v>0.28431153756316663</v>
      </c>
      <c r="D730" s="10">
        <f t="shared" si="98"/>
        <v>0.22684376694234265</v>
      </c>
      <c r="E730" s="10">
        <f t="shared" si="99"/>
        <v>8.6311259056941605E-2</v>
      </c>
      <c r="F730" s="10">
        <f t="shared" si="95"/>
        <v>5.4413311296110108E-2</v>
      </c>
      <c r="G730" s="66">
        <f t="shared" si="100"/>
        <v>2</v>
      </c>
      <c r="H730" s="10"/>
      <c r="I730" s="10">
        <f t="shared" si="96"/>
        <v>4.367885842111859E-4</v>
      </c>
    </row>
    <row r="731" spans="1:9">
      <c r="A731" s="19">
        <f t="shared" si="97"/>
        <v>59.750000000000604</v>
      </c>
      <c r="B731" s="10">
        <f t="shared" si="93"/>
        <v>4.4233135958329818E-2</v>
      </c>
      <c r="C731" s="10">
        <f t="shared" si="94"/>
        <v>0.28226820595595936</v>
      </c>
      <c r="D731" s="10">
        <f t="shared" si="98"/>
        <v>0.22821441465277204</v>
      </c>
      <c r="E731" s="10">
        <f t="shared" si="99"/>
        <v>8.679871004968083E-2</v>
      </c>
      <c r="F731" s="10">
        <f t="shared" si="95"/>
        <v>5.4192524244190923E-2</v>
      </c>
      <c r="G731" s="66">
        <f t="shared" si="100"/>
        <v>4</v>
      </c>
      <c r="H731" s="10"/>
      <c r="I731" s="10">
        <f t="shared" si="96"/>
        <v>8.5258505131087547E-4</v>
      </c>
    </row>
    <row r="732" spans="1:9">
      <c r="A732" s="19">
        <f t="shared" si="97"/>
        <v>59.83333333333394</v>
      </c>
      <c r="B732" s="10">
        <f t="shared" si="93"/>
        <v>4.3397373671882032E-2</v>
      </c>
      <c r="C732" s="10">
        <f t="shared" si="94"/>
        <v>0.28022814415513148</v>
      </c>
      <c r="D732" s="10">
        <f t="shared" si="98"/>
        <v>0.22959334781762178</v>
      </c>
      <c r="E732" s="10">
        <f t="shared" si="99"/>
        <v>8.7288917161202295E-2</v>
      </c>
      <c r="F732" s="10">
        <f t="shared" si="95"/>
        <v>5.3972633056190565E-2</v>
      </c>
      <c r="G732" s="66">
        <f t="shared" si="100"/>
        <v>2</v>
      </c>
      <c r="H732" s="10"/>
      <c r="I732" s="10">
        <f t="shared" si="96"/>
        <v>4.1598410202029628E-4</v>
      </c>
    </row>
    <row r="733" spans="1:9">
      <c r="A733" s="19">
        <f t="shared" si="97"/>
        <v>59.916666666667275</v>
      </c>
      <c r="B733" s="10">
        <f t="shared" si="93"/>
        <v>4.2572495576576205E-2</v>
      </c>
      <c r="C733" s="10">
        <f t="shared" si="94"/>
        <v>0.27819143005648123</v>
      </c>
      <c r="D733" s="10">
        <f t="shared" si="98"/>
        <v>0.23098061652179314</v>
      </c>
      <c r="E733" s="10">
        <f t="shared" si="99"/>
        <v>8.7781895975002189E-2</v>
      </c>
      <c r="F733" s="10">
        <f t="shared" si="95"/>
        <v>5.375363409705821E-2</v>
      </c>
      <c r="G733" s="66">
        <f t="shared" si="100"/>
        <v>4</v>
      </c>
      <c r="H733" s="10"/>
      <c r="I733" s="10">
        <f t="shared" si="96"/>
        <v>8.1172312636857032E-4</v>
      </c>
    </row>
    <row r="734" spans="1:9">
      <c r="A734" s="19">
        <f t="shared" si="97"/>
        <v>60.000000000000611</v>
      </c>
      <c r="B734" s="10">
        <f t="shared" si="93"/>
        <v>4.1758454026048782E-2</v>
      </c>
      <c r="C734" s="10">
        <f t="shared" si="94"/>
        <v>0.27615814162499591</v>
      </c>
      <c r="D734" s="10">
        <f t="shared" si="98"/>
        <v>0.23237627115294576</v>
      </c>
      <c r="E734" s="10">
        <f t="shared" si="99"/>
        <v>8.8277662162688217E-2</v>
      </c>
      <c r="F734" s="10">
        <f t="shared" si="95"/>
        <v>5.3535523746492543E-2</v>
      </c>
      <c r="G734" s="66">
        <f t="shared" si="100"/>
        <v>2</v>
      </c>
      <c r="H734" s="10"/>
      <c r="I734" s="10">
        <f t="shared" si="96"/>
        <v>3.9592314122325191E-4</v>
      </c>
    </row>
    <row r="735" spans="1:9">
      <c r="A735" s="19">
        <f t="shared" si="97"/>
        <v>60.083333333333947</v>
      </c>
      <c r="B735" s="10">
        <f t="shared" si="93"/>
        <v>4.0955200072707802E-2</v>
      </c>
      <c r="C735" s="10">
        <f t="shared" si="94"/>
        <v>0.27412835688544662</v>
      </c>
      <c r="D735" s="10">
        <f t="shared" si="98"/>
        <v>0.23378036240332978</v>
      </c>
      <c r="E735" s="10">
        <f t="shared" si="99"/>
        <v>8.8776231484477497E-2</v>
      </c>
      <c r="F735" s="10">
        <f t="shared" si="95"/>
        <v>5.3318298398881997E-2</v>
      </c>
      <c r="G735" s="66">
        <f t="shared" si="100"/>
        <v>4</v>
      </c>
      <c r="H735" s="10"/>
      <c r="I735" s="10">
        <f t="shared" si="96"/>
        <v>7.7233410225316206E-4</v>
      </c>
    </row>
    <row r="736" spans="1:9">
      <c r="A736" s="19">
        <f t="shared" si="97"/>
        <v>60.166666666667282</v>
      </c>
      <c r="B736" s="10">
        <f t="shared" si="93"/>
        <v>4.0162683482693577E-2</v>
      </c>
      <c r="C736" s="10">
        <f t="shared" si="94"/>
        <v>0.27210215391287745</v>
      </c>
      <c r="D736" s="10">
        <f t="shared" si="98"/>
        <v>0.23519294127162507</v>
      </c>
      <c r="E736" s="10">
        <f t="shared" si="99"/>
        <v>8.9277619789698032E-2</v>
      </c>
      <c r="F736" s="10">
        <f t="shared" si="95"/>
        <v>5.3101954463245067E-2</v>
      </c>
      <c r="G736" s="66">
        <f t="shared" si="100"/>
        <v>2</v>
      </c>
      <c r="H736" s="10"/>
      <c r="I736" s="10">
        <f t="shared" si="96"/>
        <v>3.7659149151702263E-4</v>
      </c>
    </row>
    <row r="737" spans="1:9">
      <c r="A737" s="19">
        <f t="shared" si="97"/>
        <v>60.250000000000618</v>
      </c>
      <c r="B737" s="10">
        <f t="shared" si="93"/>
        <v>3.9380852751283855E-2</v>
      </c>
      <c r="C737" s="10">
        <f t="shared" si="94"/>
        <v>0.27007961082298926</v>
      </c>
      <c r="D737" s="10">
        <f t="shared" si="98"/>
        <v>0.23661405906479485</v>
      </c>
      <c r="E737" s="10">
        <f t="shared" si="99"/>
        <v>8.9781843017291751E-2</v>
      </c>
      <c r="F737" s="10">
        <f t="shared" si="95"/>
        <v>5.2886488363171023E-2</v>
      </c>
      <c r="G737" s="66">
        <f t="shared" si="100"/>
        <v>4</v>
      </c>
      <c r="H737" s="10"/>
      <c r="I737" s="10">
        <f t="shared" si="96"/>
        <v>7.3438929074745834E-4</v>
      </c>
    </row>
    <row r="738" spans="1:9">
      <c r="A738" s="19">
        <f t="shared" si="97"/>
        <v>60.333333333333954</v>
      </c>
      <c r="B738" s="10">
        <f t="shared" si="93"/>
        <v>3.8609655118738345E-2</v>
      </c>
      <c r="C738" s="10">
        <f t="shared" si="94"/>
        <v>0.26806080576242103</v>
      </c>
      <c r="D738" s="10">
        <f t="shared" si="98"/>
        <v>0.2380437673999479</v>
      </c>
      <c r="E738" s="10">
        <f t="shared" si="99"/>
        <v>9.0288917196321983E-2</v>
      </c>
      <c r="F738" s="10">
        <f t="shared" si="95"/>
        <v>5.2671896536760736E-2</v>
      </c>
      <c r="G738" s="66">
        <f t="shared" si="100"/>
        <v>2</v>
      </c>
      <c r="H738" s="10"/>
      <c r="I738" s="10">
        <f t="shared" si="96"/>
        <v>3.5797468075808001E-4</v>
      </c>
    </row>
    <row r="739" spans="1:9">
      <c r="A739" s="19">
        <f t="shared" si="97"/>
        <v>60.41666666666729</v>
      </c>
      <c r="B739" s="10">
        <f t="shared" si="93"/>
        <v>3.7849036586577976E-2</v>
      </c>
      <c r="C739" s="10">
        <f t="shared" si="94"/>
        <v>0.26604581689892737</v>
      </c>
      <c r="D739" s="10">
        <f t="shared" si="98"/>
        <v>0.23948211820621554</v>
      </c>
      <c r="E739" s="10">
        <f t="shared" si="99"/>
        <v>9.0798858446482583E-2</v>
      </c>
      <c r="F739" s="10">
        <f t="shared" si="95"/>
        <v>5.2458175436567812E-2</v>
      </c>
      <c r="G739" s="66">
        <f t="shared" si="100"/>
        <v>4</v>
      </c>
      <c r="H739" s="10"/>
      <c r="I739" s="10">
        <f t="shared" si="96"/>
        <v>6.9785950308377202E-4</v>
      </c>
    </row>
    <row r="740" spans="1:9">
      <c r="A740" s="19">
        <f t="shared" si="97"/>
        <v>60.500000000000625</v>
      </c>
      <c r="B740" s="10">
        <f t="shared" si="93"/>
        <v>3.7098941934292251E-2</v>
      </c>
      <c r="C740" s="10">
        <f t="shared" si="94"/>
        <v>0.26403472241145554</v>
      </c>
      <c r="D740" s="10">
        <f t="shared" si="98"/>
        <v>0.24092916372663559</v>
      </c>
      <c r="E740" s="10">
        <f t="shared" si="99"/>
        <v>9.1311682978610781E-2</v>
      </c>
      <c r="F740" s="10">
        <f t="shared" si="95"/>
        <v>5.2245321529539958E-2</v>
      </c>
      <c r="G740" s="66">
        <f t="shared" si="100"/>
        <v>2</v>
      </c>
      <c r="H740" s="10"/>
      <c r="I740" s="10">
        <f t="shared" si="96"/>
        <v>3.4005799813753898E-4</v>
      </c>
    </row>
    <row r="741" spans="1:9">
      <c r="A741" s="19">
        <f t="shared" si="97"/>
        <v>60.583333333333961</v>
      </c>
      <c r="B741" s="10">
        <f t="shared" si="93"/>
        <v>3.6359314736469445E-2</v>
      </c>
      <c r="C741" s="10">
        <f t="shared" si="94"/>
        <v>0.26202760048012164</v>
      </c>
      <c r="D741" s="10">
        <f t="shared" si="98"/>
        <v>0.24238495652005121</v>
      </c>
      <c r="E741" s="10">
        <f t="shared" si="99"/>
        <v>9.1827407095201777E-2</v>
      </c>
      <c r="F741" s="10">
        <f t="shared" si="95"/>
        <v>5.2033331296960576E-2</v>
      </c>
      <c r="G741" s="66">
        <f t="shared" si="100"/>
        <v>4</v>
      </c>
      <c r="H741" s="10"/>
      <c r="I741" s="10">
        <f t="shared" si="96"/>
        <v>6.6271509645939323E-4</v>
      </c>
    </row>
    <row r="742" spans="1:9">
      <c r="A742" s="19">
        <f t="shared" si="97"/>
        <v>60.666666666667297</v>
      </c>
      <c r="B742" s="10">
        <f t="shared" si="93"/>
        <v>3.5630097380343631E-2</v>
      </c>
      <c r="C742" s="10">
        <f t="shared" si="94"/>
        <v>0.26002452927608694</v>
      </c>
      <c r="D742" s="10">
        <f t="shared" si="98"/>
        <v>0.24384954946301879</v>
      </c>
      <c r="E742" s="10">
        <f t="shared" si="99"/>
        <v>9.2346047190927774E-2</v>
      </c>
      <c r="F742" s="10">
        <f t="shared" si="95"/>
        <v>5.1822201234390526E-2</v>
      </c>
      <c r="G742" s="66">
        <f t="shared" si="100"/>
        <v>2</v>
      </c>
      <c r="H742" s="10"/>
      <c r="I742" s="10">
        <f t="shared" si="96"/>
        <v>3.2282651750807601E-4</v>
      </c>
    </row>
    <row r="743" spans="1:9">
      <c r="A743" s="19">
        <f t="shared" si="97"/>
        <v>60.750000000000632</v>
      </c>
      <c r="B743" s="10">
        <f t="shared" si="93"/>
        <v>3.4911231083751361E-2</v>
      </c>
      <c r="C743" s="10">
        <f t="shared" si="94"/>
        <v>0.25802558695133776</v>
      </c>
      <c r="D743" s="10">
        <f t="shared" si="98"/>
        <v>0.24532299575173039</v>
      </c>
      <c r="E743" s="10">
        <f t="shared" si="99"/>
        <v>9.2867619753158659E-2</v>
      </c>
      <c r="F743" s="10">
        <f t="shared" si="95"/>
        <v>5.1611927851610326E-2</v>
      </c>
      <c r="G743" s="66">
        <f t="shared" si="100"/>
        <v>4</v>
      </c>
      <c r="H743" s="10"/>
      <c r="I743" s="10">
        <f t="shared" si="96"/>
        <v>6.2892602080186482E-4</v>
      </c>
    </row>
    <row r="744" spans="1:9">
      <c r="A744" s="19">
        <f t="shared" si="97"/>
        <v>60.833333333333968</v>
      </c>
      <c r="B744" s="10">
        <f t="shared" si="93"/>
        <v>3.4202655913491961E-2</v>
      </c>
      <c r="C744" s="10">
        <f t="shared" si="94"/>
        <v>0.2560308516283672</v>
      </c>
      <c r="D744" s="10">
        <f t="shared" si="98"/>
        <v>0.24680534890394384</v>
      </c>
      <c r="E744" s="10">
        <f t="shared" si="99"/>
        <v>9.3392141362486636E-2</v>
      </c>
      <c r="F744" s="10">
        <f t="shared" si="95"/>
        <v>5.1402507672562367E-2</v>
      </c>
      <c r="G744" s="66">
        <f t="shared" si="100"/>
        <v>2</v>
      </c>
      <c r="H744" s="10"/>
      <c r="I744" s="10">
        <f t="shared" si="96"/>
        <v>3.0626512080879337E-4</v>
      </c>
    </row>
    <row r="745" spans="1:9">
      <c r="A745" s="19">
        <f t="shared" si="97"/>
        <v>60.916666666667304</v>
      </c>
      <c r="B745" s="10">
        <f t="shared" si="93"/>
        <v>3.3504310804083982E-2</v>
      </c>
      <c r="C745" s="10">
        <f t="shared" si="94"/>
        <v>0.2540404013897623</v>
      </c>
      <c r="D745" s="10">
        <f t="shared" si="98"/>
        <v>0.24829666276092807</v>
      </c>
      <c r="E745" s="10">
        <f t="shared" si="99"/>
        <v>9.391962869325253E-2</v>
      </c>
      <c r="F745" s="10">
        <f t="shared" si="95"/>
        <v>5.1193937235293453E-2</v>
      </c>
      <c r="G745" s="66">
        <f t="shared" si="100"/>
        <v>4</v>
      </c>
      <c r="H745" s="10"/>
      <c r="I745" s="10">
        <f t="shared" si="96"/>
        <v>5.9646186567605922E-4</v>
      </c>
    </row>
    <row r="746" spans="1:9">
      <c r="A746" s="19">
        <f t="shared" si="97"/>
        <v>61.000000000000639</v>
      </c>
      <c r="B746" s="10">
        <f t="shared" si="93"/>
        <v>3.2816133576910808E-2</v>
      </c>
      <c r="C746" s="10">
        <f t="shared" si="94"/>
        <v>0.25205431426769753</v>
      </c>
      <c r="D746" s="10">
        <f t="shared" si="98"/>
        <v>0.24979699148941736</v>
      </c>
      <c r="E746" s="10">
        <f t="shared" si="99"/>
        <v>9.4450098514076555E-2</v>
      </c>
      <c r="F746" s="10">
        <f t="shared" si="95"/>
        <v>5.0986213091897589E-2</v>
      </c>
      <c r="G746" s="66">
        <f t="shared" si="100"/>
        <v>2</v>
      </c>
      <c r="H746" s="10"/>
      <c r="I746" s="10">
        <f t="shared" si="96"/>
        <v>2.9035852153383435E-4</v>
      </c>
    </row>
    <row r="747" spans="1:9">
      <c r="A747" s="19">
        <f t="shared" si="97"/>
        <v>61.083333333333975</v>
      </c>
      <c r="B747" s="10">
        <f t="shared" si="93"/>
        <v>3.2138060959747479E-2</v>
      </c>
      <c r="C747" s="10">
        <f t="shared" si="94"/>
        <v>0.25007266823333441</v>
      </c>
      <c r="D747" s="10">
        <f t="shared" si="98"/>
        <v>0.25130638958357993</v>
      </c>
      <c r="E747" s="10">
        <f t="shared" si="99"/>
        <v>9.4983567688391085E-2</v>
      </c>
      <c r="F747" s="10">
        <f t="shared" si="95"/>
        <v>5.0779331808458963E-2</v>
      </c>
      <c r="G747" s="66">
        <f t="shared" si="100"/>
        <v>4</v>
      </c>
      <c r="H747" s="10"/>
      <c r="I747" s="10">
        <f t="shared" si="96"/>
        <v>5.6529190722436659E-4</v>
      </c>
    </row>
    <row r="748" spans="1:9">
      <c r="A748" s="19">
        <f t="shared" si="97"/>
        <v>61.166666666667311</v>
      </c>
      <c r="B748" s="10">
        <f t="shared" si="93"/>
        <v>3.1470028606661267E-2</v>
      </c>
      <c r="C748" s="10">
        <f t="shared" si="94"/>
        <v>0.24809554118613197</v>
      </c>
      <c r="D748" s="10">
        <f t="shared" si="98"/>
        <v>0.25282491186699763</v>
      </c>
      <c r="E748" s="10">
        <f t="shared" si="99"/>
        <v>9.5520053174977068E-2</v>
      </c>
      <c r="F748" s="10">
        <f t="shared" si="95"/>
        <v>5.057328996499523E-2</v>
      </c>
      <c r="G748" s="66">
        <f t="shared" si="100"/>
        <v>2</v>
      </c>
      <c r="H748" s="10"/>
      <c r="I748" s="10">
        <f t="shared" si="96"/>
        <v>2.7509128819035844E-4</v>
      </c>
    </row>
    <row r="749" spans="1:9">
      <c r="A749" s="19">
        <f t="shared" si="97"/>
        <v>61.250000000000647</v>
      </c>
      <c r="B749" s="10">
        <f t="shared" si="93"/>
        <v>3.081197111827769E-2</v>
      </c>
      <c r="C749" s="10">
        <f t="shared" si="94"/>
        <v>0.24612301094306635</v>
      </c>
      <c r="D749" s="10">
        <f t="shared" si="98"/>
        <v>0.25435261349465493</v>
      </c>
      <c r="E749" s="10">
        <f t="shared" si="99"/>
        <v>9.6059572028502349E-2</v>
      </c>
      <c r="F749" s="10">
        <f t="shared" si="95"/>
        <v>5.0368084155400901E-2</v>
      </c>
      <c r="G749" s="66">
        <f t="shared" si="100"/>
        <v>4</v>
      </c>
      <c r="H749" s="10"/>
      <c r="I749" s="10">
        <f t="shared" si="96"/>
        <v>5.353851550312014E-4</v>
      </c>
    </row>
    <row r="750" spans="1:9">
      <c r="A750" s="19">
        <f t="shared" si="97"/>
        <v>61.333333333333982</v>
      </c>
      <c r="B750" s="10">
        <f t="shared" si="93"/>
        <v>3.0163822062403461E-2</v>
      </c>
      <c r="C750" s="10">
        <f t="shared" si="94"/>
        <v>0.24415515522776313</v>
      </c>
      <c r="D750" s="10">
        <f t="shared" si="98"/>
        <v>0.25588954995494467</v>
      </c>
      <c r="E750" s="10">
        <f t="shared" si="99"/>
        <v>9.6602141400064692E-2</v>
      </c>
      <c r="F750" s="10">
        <f t="shared" si="95"/>
        <v>5.0163710987391107E-2</v>
      </c>
      <c r="G750" s="66">
        <f t="shared" si="100"/>
        <v>2</v>
      </c>
      <c r="H750" s="10"/>
      <c r="I750" s="10">
        <f t="shared" si="96"/>
        <v>2.604478676914833E-4</v>
      </c>
    </row>
    <row r="751" spans="1:9">
      <c r="A751" s="19">
        <f t="shared" si="97"/>
        <v>61.416666666667318</v>
      </c>
      <c r="B751" s="10">
        <f t="shared" si="93"/>
        <v>2.9525513994997997E-2</v>
      </c>
      <c r="C751" s="10">
        <f t="shared" si="94"/>
        <v>0.24219205165954363</v>
      </c>
      <c r="D751" s="10">
        <f t="shared" si="98"/>
        <v>0.25743577707168214</v>
      </c>
      <c r="E751" s="10">
        <f t="shared" si="99"/>
        <v>9.7147778537736526E-2</v>
      </c>
      <c r="F751" s="10">
        <f t="shared" si="95"/>
        <v>4.9960167082445467E-2</v>
      </c>
      <c r="G751" s="66">
        <f t="shared" si="100"/>
        <v>4</v>
      </c>
      <c r="H751" s="10"/>
      <c r="I751" s="10">
        <f t="shared" si="96"/>
        <v>5.0671039880314974E-4</v>
      </c>
    </row>
    <row r="752" spans="1:9">
      <c r="A752" s="19">
        <f t="shared" si="97"/>
        <v>61.500000000000654</v>
      </c>
      <c r="B752" s="10">
        <f t="shared" si="93"/>
        <v>2.8896978481484578E-2</v>
      </c>
      <c r="C752" s="10">
        <f t="shared" si="94"/>
        <v>0.24023377774238561</v>
      </c>
      <c r="D752" s="10">
        <f t="shared" si="98"/>
        <v>0.25899135100613396</v>
      </c>
      <c r="E752" s="10">
        <f t="shared" si="99"/>
        <v>9.7696500787113713E-2</v>
      </c>
      <c r="F752" s="10">
        <f t="shared" si="95"/>
        <v>4.9757449075752282E-2</v>
      </c>
      <c r="G752" s="66">
        <f t="shared" si="100"/>
        <v>2</v>
      </c>
      <c r="H752" s="10"/>
      <c r="I752" s="10">
        <f t="shared" si="96"/>
        <v>2.4641260862998273E-4</v>
      </c>
    </row>
    <row r="753" spans="1:9">
      <c r="A753" s="19">
        <f t="shared" si="97"/>
        <v>61.583333333333989</v>
      </c>
      <c r="B753" s="10">
        <f t="shared" si="93"/>
        <v>2.8278146118391519E-2</v>
      </c>
      <c r="C753" s="10">
        <f t="shared" si="94"/>
        <v>0.23828041085380308</v>
      </c>
      <c r="D753" s="10">
        <f t="shared" si="98"/>
        <v>0.26055632825905556</v>
      </c>
      <c r="E753" s="10">
        <f t="shared" si="99"/>
        <v>9.8248325591866081E-2</v>
      </c>
      <c r="F753" s="10">
        <f t="shared" si="95"/>
        <v>4.9555553616152846E-2</v>
      </c>
      <c r="G753" s="66">
        <f t="shared" si="100"/>
        <v>4</v>
      </c>
      <c r="H753" s="10"/>
      <c r="I753" s="10">
        <f t="shared" si="96"/>
        <v>4.7923625475670539E-4</v>
      </c>
    </row>
    <row r="754" spans="1:9">
      <c r="A754" s="19">
        <f t="shared" si="97"/>
        <v>61.666666666667325</v>
      </c>
      <c r="B754" s="10">
        <f t="shared" si="93"/>
        <v>2.7668946555314721E-2</v>
      </c>
      <c r="C754" s="10">
        <f t="shared" si="94"/>
        <v>0.23633202823364338</v>
      </c>
      <c r="D754" s="10">
        <f t="shared" si="98"/>
        <v>0.2621307656727459</v>
      </c>
      <c r="E754" s="10">
        <f t="shared" si="99"/>
        <v>9.8803270494292883E-2</v>
      </c>
      <c r="F754" s="10">
        <f t="shared" si="95"/>
        <v>4.9354477366086141E-2</v>
      </c>
      <c r="G754" s="66">
        <f t="shared" si="100"/>
        <v>2</v>
      </c>
      <c r="H754" s="10"/>
      <c r="I754" s="10">
        <f t="shared" si="96"/>
        <v>2.3296978437892493E-4</v>
      </c>
    </row>
    <row r="755" spans="1:9">
      <c r="A755" s="19">
        <f t="shared" si="97"/>
        <v>61.750000000000661</v>
      </c>
      <c r="B755" s="10">
        <f t="shared" si="93"/>
        <v>2.7069308517191183E-2</v>
      </c>
      <c r="C755" s="10">
        <f t="shared" si="94"/>
        <v>0.23438870697280606</v>
      </c>
      <c r="D755" s="10">
        <f t="shared" si="98"/>
        <v>0.26371472043311062</v>
      </c>
      <c r="E755" s="10">
        <f t="shared" si="99"/>
        <v>9.9361353135879946E-2</v>
      </c>
      <c r="F755" s="10">
        <f t="shared" si="95"/>
        <v>4.9154217001533572E-2</v>
      </c>
      <c r="G755" s="66">
        <f t="shared" si="100"/>
        <v>4</v>
      </c>
      <c r="H755" s="10"/>
      <c r="I755" s="10">
        <f t="shared" si="96"/>
        <v>4.5293121160645057E-4</v>
      </c>
    </row>
    <row r="756" spans="1:9">
      <c r="A756" s="19">
        <f t="shared" si="97"/>
        <v>61.833333333333997</v>
      </c>
      <c r="B756" s="10">
        <f t="shared" si="93"/>
        <v>2.6479159826874158E-2</v>
      </c>
      <c r="C756" s="10">
        <f t="shared" si="94"/>
        <v>0.2324505240018846</v>
      </c>
      <c r="D756" s="10">
        <f t="shared" si="98"/>
        <v>0.26530825007174036</v>
      </c>
      <c r="E756" s="10">
        <f t="shared" si="99"/>
        <v>9.992259125786089E-2</v>
      </c>
      <c r="F756" s="10">
        <f t="shared" si="95"/>
        <v>4.8954769211964087E-2</v>
      </c>
      <c r="G756" s="66">
        <f t="shared" si="100"/>
        <v>2</v>
      </c>
      <c r="H756" s="10"/>
      <c r="I756" s="10">
        <f t="shared" si="96"/>
        <v>2.2010361596599693E-4</v>
      </c>
    </row>
    <row r="757" spans="1:9">
      <c r="A757" s="19">
        <f t="shared" si="97"/>
        <v>61.916666666667332</v>
      </c>
      <c r="B757" s="10">
        <f t="shared" si="93"/>
        <v>2.5898427427999447E-2</v>
      </c>
      <c r="C757" s="10">
        <f t="shared" si="94"/>
        <v>0.23051755607973304</v>
      </c>
      <c r="D757" s="10">
        <f t="shared" si="98"/>
        <v>0.26691141246799815</v>
      </c>
      <c r="E757" s="10">
        <f t="shared" si="99"/>
        <v>0.10048700270178038</v>
      </c>
      <c r="F757" s="10">
        <f t="shared" si="95"/>
        <v>4.8756130700279406E-2</v>
      </c>
      <c r="G757" s="66">
        <f t="shared" si="100"/>
        <v>4</v>
      </c>
      <c r="H757" s="10"/>
      <c r="I757" s="10">
        <f t="shared" si="96"/>
        <v>4.2776367604792744E-4</v>
      </c>
    </row>
    <row r="758" spans="1:9">
      <c r="A758" s="19">
        <f t="shared" si="97"/>
        <v>62.000000000000668</v>
      </c>
      <c r="B758" s="10">
        <f t="shared" si="93"/>
        <v>2.5327037408132656E-2</v>
      </c>
      <c r="C758" s="10">
        <f t="shared" si="94"/>
        <v>0.22858987978195847</v>
      </c>
      <c r="D758" s="10">
        <f t="shared" si="98"/>
        <v>0.2685242658511241</v>
      </c>
      <c r="E758" s="10">
        <f t="shared" si="99"/>
        <v>0.10105460541006211</v>
      </c>
      <c r="F758" s="10">
        <f t="shared" si="95"/>
        <v>4.8558298182759529E-2</v>
      </c>
      <c r="G758" s="66">
        <f t="shared" si="100"/>
        <v>2</v>
      </c>
      <c r="H758" s="10"/>
      <c r="I758" s="10">
        <f t="shared" si="96"/>
        <v>2.0779829466903619E-4</v>
      </c>
    </row>
    <row r="759" spans="1:9">
      <c r="A759" s="19">
        <f t="shared" si="97"/>
        <v>62.083333333334004</v>
      </c>
      <c r="B759" s="10">
        <f t="shared" si="93"/>
        <v>2.4764915022187101E-2</v>
      </c>
      <c r="C759" s="10">
        <f t="shared" si="94"/>
        <v>0.22666757148934435</v>
      </c>
      <c r="D759" s="10">
        <f t="shared" si="98"/>
        <v>0.27014686880234895</v>
      </c>
      <c r="E759" s="10">
        <f t="shared" si="99"/>
        <v>0.10162541742657866</v>
      </c>
      <c r="F759" s="10">
        <f t="shared" si="95"/>
        <v>4.836126838900847E-2</v>
      </c>
      <c r="G759" s="66">
        <f t="shared" si="100"/>
        <v>4</v>
      </c>
      <c r="H759" s="10"/>
      <c r="I759" s="10">
        <f t="shared" si="96"/>
        <v>4.0370201763113329E-4</v>
      </c>
    </row>
    <row r="760" spans="1:9">
      <c r="A760" s="19">
        <f t="shared" si="97"/>
        <v>62.166666666667339</v>
      </c>
      <c r="B760" s="10">
        <f t="shared" si="93"/>
        <v>2.4211984716100459E-2</v>
      </c>
      <c r="C760" s="10">
        <f t="shared" si="94"/>
        <v>0.22475070737620256</v>
      </c>
      <c r="D760" s="10">
        <f t="shared" si="98"/>
        <v>0.27177928025702297</v>
      </c>
      <c r="E760" s="10">
        <f t="shared" si="99"/>
        <v>0.10219945689722565</v>
      </c>
      <c r="F760" s="10">
        <f t="shared" si="95"/>
        <v>4.8165038061900145E-2</v>
      </c>
      <c r="G760" s="66">
        <f t="shared" si="100"/>
        <v>2</v>
      </c>
      <c r="H760" s="10"/>
      <c r="I760" s="10">
        <f t="shared" si="96"/>
        <v>1.9603800428125999E-4</v>
      </c>
    </row>
    <row r="761" spans="1:9">
      <c r="A761" s="19">
        <f t="shared" si="97"/>
        <v>62.250000000000675</v>
      </c>
      <c r="B761" s="10">
        <f t="shared" si="93"/>
        <v>2.366817015076075E-2</v>
      </c>
      <c r="C761" s="10">
        <f t="shared" si="94"/>
        <v>0.22283936339866117</v>
      </c>
      <c r="D761" s="10">
        <f t="shared" si="98"/>
        <v>0.27342155950675451</v>
      </c>
      <c r="E761" s="10">
        <f t="shared" si="99"/>
        <v>0.1027767420704977</v>
      </c>
      <c r="F761" s="10">
        <f t="shared" si="95"/>
        <v>4.7969603957524594E-2</v>
      </c>
      <c r="G761" s="66">
        <f t="shared" si="100"/>
        <v>4</v>
      </c>
      <c r="H761" s="10"/>
      <c r="I761" s="10">
        <f t="shared" si="96"/>
        <v>3.8071461292274531E-4</v>
      </c>
    </row>
    <row r="762" spans="1:9">
      <c r="A762" s="19">
        <f t="shared" si="97"/>
        <v>62.333333333334011</v>
      </c>
      <c r="B762" s="10">
        <f t="shared" si="93"/>
        <v>2.3133394226169259E-2</v>
      </c>
      <c r="C762" s="10">
        <f t="shared" si="94"/>
        <v>0.2209336152828856</v>
      </c>
      <c r="D762" s="10">
        <f t="shared" si="98"/>
        <v>0.27507376620156604</v>
      </c>
      <c r="E762" s="10">
        <f t="shared" si="99"/>
        <v>0.10335729129806942</v>
      </c>
      <c r="F762" s="10">
        <f t="shared" si="95"/>
        <v>4.7774962845134314E-2</v>
      </c>
      <c r="G762" s="66">
        <f t="shared" si="100"/>
        <v>2</v>
      </c>
      <c r="H762" s="10"/>
      <c r="I762" s="10">
        <f t="shared" si="96"/>
        <v>1.8480694299581691E-4</v>
      </c>
    </row>
    <row r="763" spans="1:9">
      <c r="A763" s="19">
        <f t="shared" si="97"/>
        <v>62.416666666667346</v>
      </c>
      <c r="B763" s="10">
        <f t="shared" si="93"/>
        <v>2.2607579105829247E-2</v>
      </c>
      <c r="C763" s="10">
        <f t="shared" si="94"/>
        <v>0.21903353851323881</v>
      </c>
      <c r="D763" s="10">
        <f t="shared" si="98"/>
        <v>0.27673596035205883</v>
      </c>
      <c r="E763" s="10">
        <f t="shared" si="99"/>
        <v>0.10394112303537828</v>
      </c>
      <c r="F763" s="10">
        <f t="shared" si="95"/>
        <v>4.7581111507090865E-2</v>
      </c>
      <c r="G763" s="66">
        <f t="shared" si="100"/>
        <v>4</v>
      </c>
      <c r="H763" s="10"/>
      <c r="I763" s="10">
        <f t="shared" si="96"/>
        <v>3.5876988885760394E-4</v>
      </c>
    </row>
    <row r="764" spans="1:9">
      <c r="A764" s="19">
        <f t="shared" si="97"/>
        <v>62.500000000000682</v>
      </c>
      <c r="B764" s="10">
        <f t="shared" si="93"/>
        <v>2.2090646241349127E-2</v>
      </c>
      <c r="C764" s="10">
        <f t="shared" si="94"/>
        <v>0.21713920832038164</v>
      </c>
      <c r="D764" s="10">
        <f t="shared" si="98"/>
        <v>0.27840820233159447</v>
      </c>
      <c r="E764" s="10">
        <f t="shared" si="99"/>
        <v>0.10452825584221186</v>
      </c>
      <c r="F764" s="10">
        <f t="shared" si="95"/>
        <v>4.7388046738811626E-2</v>
      </c>
      <c r="G764" s="66">
        <f t="shared" si="100"/>
        <v>2</v>
      </c>
      <c r="H764" s="10"/>
      <c r="I764" s="10">
        <f t="shared" si="96"/>
        <v>1.7408934486065595E-4</v>
      </c>
    </row>
    <row r="765" spans="1:9">
      <c r="A765" s="19">
        <f t="shared" si="97"/>
        <v>62.583333333334018</v>
      </c>
      <c r="B765" s="10">
        <f t="shared" si="93"/>
        <v>2.1582516397247967E-2</v>
      </c>
      <c r="C765" s="10">
        <f t="shared" si="94"/>
        <v>0.21525069966931493</v>
      </c>
      <c r="D765" s="10">
        <f t="shared" si="98"/>
        <v>0.28009055287848517</v>
      </c>
      <c r="E765" s="10">
        <f t="shared" si="99"/>
        <v>0.10511870838329698</v>
      </c>
      <c r="F765" s="10">
        <f t="shared" si="95"/>
        <v>4.7195765348716924E-2</v>
      </c>
      <c r="G765" s="66">
        <f t="shared" si="100"/>
        <v>4</v>
      </c>
      <c r="H765" s="10"/>
      <c r="I765" s="10">
        <f t="shared" si="96"/>
        <v>3.3783636518293472E-4</v>
      </c>
    </row>
    <row r="766" spans="1:9">
      <c r="A766" s="19">
        <f t="shared" si="97"/>
        <v>62.666666666667354</v>
      </c>
      <c r="B766" s="10">
        <f t="shared" si="93"/>
        <v>2.1083109675951488E-2</v>
      </c>
      <c r="C766" s="10">
        <f t="shared" si="94"/>
        <v>0.21336808724736794</v>
      </c>
      <c r="D766" s="10">
        <f t="shared" si="98"/>
        <v>0.28178307309820233</v>
      </c>
      <c r="E766" s="10">
        <f t="shared" si="99"/>
        <v>0.10571249942889359</v>
      </c>
      <c r="F766" s="10">
        <f t="shared" si="95"/>
        <v>4.7004264158177204E-2</v>
      </c>
      <c r="G766" s="66">
        <f t="shared" si="100"/>
        <v>2</v>
      </c>
      <c r="H766" s="10"/>
      <c r="I766" s="10">
        <f t="shared" si="96"/>
        <v>1.638695007562059E-4</v>
      </c>
    </row>
    <row r="767" spans="1:9">
      <c r="A767" s="19">
        <f t="shared" si="97"/>
        <v>62.750000000000689</v>
      </c>
      <c r="B767" s="10">
        <f t="shared" si="93"/>
        <v>2.0592345542966409E-2</v>
      </c>
      <c r="C767" s="10">
        <f t="shared" si="94"/>
        <v>0.21149144545213278</v>
      </c>
      <c r="D767" s="10">
        <f t="shared" si="98"/>
        <v>0.28348582446559439</v>
      </c>
      <c r="E767" s="10">
        <f t="shared" si="99"/>
        <v>0.10630964785539172</v>
      </c>
      <c r="F767" s="10">
        <f t="shared" si="95"/>
        <v>4.6813540001460471E-2</v>
      </c>
      <c r="G767" s="66">
        <f t="shared" si="100"/>
        <v>4</v>
      </c>
      <c r="H767" s="10"/>
      <c r="I767" s="10">
        <f t="shared" si="96"/>
        <v>3.1788269590195262E-4</v>
      </c>
    </row>
    <row r="768" spans="1:9">
      <c r="A768" s="19">
        <f t="shared" si="97"/>
        <v>62.833333333334025</v>
      </c>
      <c r="B768" s="10">
        <f t="shared" si="93"/>
        <v>2.0110142852220861E-2</v>
      </c>
      <c r="C768" s="10">
        <f t="shared" si="94"/>
        <v>0.20962084837935105</v>
      </c>
      <c r="D768" s="10">
        <f t="shared" si="98"/>
        <v>0.28519886882712137</v>
      </c>
      <c r="E768" s="10">
        <f t="shared" si="99"/>
        <v>0.10691017264591134</v>
      </c>
      <c r="F768" s="10">
        <f t="shared" si="95"/>
        <v>4.6623589725680009E-2</v>
      </c>
      <c r="G768" s="66">
        <f t="shared" si="100"/>
        <v>2</v>
      </c>
      <c r="H768" s="10"/>
      <c r="I768" s="10">
        <f t="shared" si="96"/>
        <v>1.541317788500813E-4</v>
      </c>
    </row>
    <row r="769" spans="1:9">
      <c r="A769" s="19">
        <f t="shared" si="97"/>
        <v>62.916666666667361</v>
      </c>
      <c r="B769" s="10">
        <f t="shared" si="93"/>
        <v>1.9636419871558251E-2</v>
      </c>
      <c r="C769" s="10">
        <f t="shared" si="94"/>
        <v>0.2077563698107511</v>
      </c>
      <c r="D769" s="10">
        <f t="shared" si="98"/>
        <v>0.28692226840309876</v>
      </c>
      <c r="E769" s="10">
        <f t="shared" si="99"/>
        <v>0.1075140928909053</v>
      </c>
      <c r="F769" s="10">
        <f t="shared" si="95"/>
        <v>4.6434410190742216E-2</v>
      </c>
      <c r="G769" s="66">
        <f t="shared" si="100"/>
        <v>4</v>
      </c>
      <c r="H769" s="10"/>
      <c r="I769" s="10">
        <f t="shared" si="96"/>
        <v>2.9887770962712114E-4</v>
      </c>
    </row>
    <row r="770" spans="1:9">
      <c r="A770" s="19">
        <f t="shared" si="97"/>
        <v>63.000000000000696</v>
      </c>
      <c r="B770" s="10">
        <f t="shared" si="93"/>
        <v>1.9171094308372161E-2</v>
      </c>
      <c r="C770" s="10">
        <f t="shared" si="94"/>
        <v>0.20589808320184247</v>
      </c>
      <c r="D770" s="10">
        <f t="shared" si="98"/>
        <v>0.28865608578995899</v>
      </c>
      <c r="E770" s="10">
        <f t="shared" si="99"/>
        <v>0.10812142778876667</v>
      </c>
      <c r="F770" s="10">
        <f t="shared" si="95"/>
        <v>4.6245998269294722E-2</v>
      </c>
      <c r="G770" s="66">
        <f t="shared" si="100"/>
        <v>2</v>
      </c>
      <c r="H770" s="10"/>
      <c r="I770" s="10">
        <f t="shared" si="96"/>
        <v>1.4486064448490215E-4</v>
      </c>
    </row>
    <row r="771" spans="1:9">
      <c r="A771" s="19">
        <f t="shared" si="97"/>
        <v>63.083333333334032</v>
      </c>
      <c r="B771" s="10">
        <f t="shared" si="93"/>
        <v>1.8714083335369499E-2</v>
      </c>
      <c r="C771" s="10">
        <f t="shared" si="94"/>
        <v>0.20404606166966768</v>
      </c>
      <c r="D771" s="10">
        <f t="shared" si="98"/>
        <v>0.2904003839625256</v>
      </c>
      <c r="E771" s="10">
        <f t="shared" si="99"/>
        <v>0.10873219664643946</v>
      </c>
      <c r="F771" s="10">
        <f t="shared" si="95"/>
        <v>4.6058350846674659E-2</v>
      </c>
      <c r="G771" s="66">
        <f t="shared" si="100"/>
        <v>4</v>
      </c>
      <c r="H771" s="10"/>
      <c r="I771" s="10">
        <f t="shared" si="96"/>
        <v>2.8079044875722745E-4</v>
      </c>
    </row>
    <row r="772" spans="1:9">
      <c r="A772" s="19">
        <f t="shared" si="97"/>
        <v>63.166666666667368</v>
      </c>
      <c r="B772" s="10">
        <f t="shared" si="93"/>
        <v>1.8265303616448868E-2</v>
      </c>
      <c r="C772" s="10">
        <f t="shared" si="94"/>
        <v>0.20220037798051549</v>
      </c>
      <c r="D772" s="10">
        <f t="shared" si="98"/>
        <v>0.29215522627630014</v>
      </c>
      <c r="E772" s="10">
        <f t="shared" si="99"/>
        <v>0.10934641888003165</v>
      </c>
      <c r="F772" s="10">
        <f t="shared" si="95"/>
        <v>4.5871464820857216E-2</v>
      </c>
      <c r="G772" s="66">
        <f t="shared" si="100"/>
        <v>2</v>
      </c>
      <c r="H772" s="10"/>
      <c r="I772" s="10">
        <f t="shared" si="96"/>
        <v>1.3604067945735795E-4</v>
      </c>
    </row>
    <row r="773" spans="1:9">
      <c r="A773" s="19">
        <f t="shared" si="97"/>
        <v>63.250000000000703</v>
      </c>
      <c r="B773" s="10">
        <f t="shared" si="93"/>
        <v>1.782467133268139E-2</v>
      </c>
      <c r="C773" s="10">
        <f t="shared" si="94"/>
        <v>0.20036110453759778</v>
      </c>
      <c r="D773" s="10">
        <f t="shared" si="98"/>
        <v>0.29392067646976194</v>
      </c>
      <c r="E773" s="10">
        <f t="shared" si="99"/>
        <v>0.10996411401543284</v>
      </c>
      <c r="F773" s="10">
        <f t="shared" si="95"/>
        <v>4.5685337102404328E-2</v>
      </c>
      <c r="G773" s="66">
        <f t="shared" si="100"/>
        <v>4</v>
      </c>
      <c r="H773" s="10"/>
      <c r="I773" s="10">
        <f t="shared" si="96"/>
        <v>2.6359020739673332E-4</v>
      </c>
    </row>
    <row r="774" spans="1:9">
      <c r="A774" s="19">
        <f t="shared" si="97"/>
        <v>63.333333333334039</v>
      </c>
      <c r="B774" s="10">
        <f t="shared" si="93"/>
        <v>1.7392102208380673E-2</v>
      </c>
      <c r="C774" s="10">
        <f t="shared" si="94"/>
        <v>0.19852831336869339</v>
      </c>
      <c r="D774" s="10">
        <f t="shared" si="98"/>
        <v>0.29569679866668402</v>
      </c>
      <c r="E774" s="10">
        <f t="shared" si="99"/>
        <v>0.11058530168893449</v>
      </c>
      <c r="F774" s="10">
        <f t="shared" si="95"/>
        <v>4.5499964614413579E-2</v>
      </c>
      <c r="G774" s="66">
        <f t="shared" si="100"/>
        <v>2</v>
      </c>
      <c r="H774" s="10"/>
      <c r="I774" s="10">
        <f t="shared" si="96"/>
        <v>1.2765660064885571E-4</v>
      </c>
    </row>
    <row r="775" spans="1:9">
      <c r="A775" s="19">
        <f t="shared" si="97"/>
        <v>63.416666666667375</v>
      </c>
      <c r="B775" s="10">
        <f t="shared" si="93"/>
        <v>1.696751153724893E-2</v>
      </c>
      <c r="C775" s="10">
        <f t="shared" si="94"/>
        <v>0.19670207611376167</v>
      </c>
      <c r="D775" s="10">
        <f t="shared" si="98"/>
        <v>0.29748365737846405</v>
      </c>
      <c r="E775" s="10">
        <f t="shared" si="99"/>
        <v>0.11121000164785506</v>
      </c>
      <c r="F775" s="10">
        <f t="shared" si="95"/>
        <v>4.5315344292467426E-2</v>
      </c>
      <c r="G775" s="66">
        <f t="shared" si="100"/>
        <v>4</v>
      </c>
      <c r="H775" s="10"/>
      <c r="I775" s="10">
        <f t="shared" si="96"/>
        <v>2.472465679403502E-4</v>
      </c>
    </row>
    <row r="776" spans="1:9">
      <c r="A776" s="19">
        <f t="shared" si="97"/>
        <v>63.500000000000711</v>
      </c>
      <c r="B776" s="10">
        <f t="shared" si="93"/>
        <v>1.655081420858585E-2</v>
      </c>
      <c r="C776" s="10">
        <f t="shared" si="94"/>
        <v>0.19488246401252882</v>
      </c>
      <c r="D776" s="10">
        <f t="shared" si="98"/>
        <v>0.29928131750646458</v>
      </c>
      <c r="E776" s="10">
        <f t="shared" si="99"/>
        <v>0.1118382337511669</v>
      </c>
      <c r="F776" s="10">
        <f t="shared" si="95"/>
        <v>4.5131473084582437E-2</v>
      </c>
      <c r="G776" s="66">
        <f t="shared" si="100"/>
        <v>2</v>
      </c>
      <c r="H776" s="10"/>
      <c r="I776" s="10">
        <f t="shared" si="96"/>
        <v>1.1969327797043354E-4</v>
      </c>
    </row>
    <row r="777" spans="1:9">
      <c r="A777" s="19">
        <f t="shared" si="97"/>
        <v>63.583333333334046</v>
      </c>
      <c r="B777" s="10">
        <f t="shared" si="93"/>
        <v>1.6141924733546722E-2</v>
      </c>
      <c r="C777" s="10">
        <f t="shared" si="94"/>
        <v>0.19306954789205025</v>
      </c>
      <c r="D777" s="10">
        <f t="shared" si="98"/>
        <v>0.30108984434437241</v>
      </c>
      <c r="E777" s="10">
        <f t="shared" si="99"/>
        <v>0.112470017970128</v>
      </c>
      <c r="F777" s="10">
        <f t="shared" si="95"/>
        <v>4.4948347951158908E-2</v>
      </c>
      <c r="G777" s="66">
        <f t="shared" si="100"/>
        <v>4</v>
      </c>
      <c r="H777" s="10"/>
      <c r="I777" s="10">
        <f t="shared" si="96"/>
        <v>2.3172943625070864E-4</v>
      </c>
    </row>
    <row r="778" spans="1:9">
      <c r="A778" s="19">
        <f t="shared" si="97"/>
        <v>63.666666666667382</v>
      </c>
      <c r="B778" s="10">
        <f t="shared" si="93"/>
        <v>1.5740757271436659E-2</v>
      </c>
      <c r="C778" s="10">
        <f t="shared" si="94"/>
        <v>0.19126339815425128</v>
      </c>
      <c r="D778" s="10">
        <f t="shared" si="98"/>
        <v>0.30290930358056806</v>
      </c>
      <c r="E778" s="10">
        <f t="shared" si="99"/>
        <v>0.11310537438891635</v>
      </c>
      <c r="F778" s="10">
        <f t="shared" si="95"/>
        <v>4.4765965864930604E-2</v>
      </c>
      <c r="G778" s="66">
        <f t="shared" si="100"/>
        <v>2</v>
      </c>
      <c r="H778" s="10"/>
      <c r="I778" s="10">
        <f t="shared" si="96"/>
        <v>1.1213575158712494E-4</v>
      </c>
    </row>
    <row r="779" spans="1:9">
      <c r="A779" s="19">
        <f t="shared" si="97"/>
        <v>63.750000000000718</v>
      </c>
      <c r="B779" s="10">
        <f t="shared" si="93"/>
        <v>1.5347225656027185E-2</v>
      </c>
      <c r="C779" s="10">
        <f t="shared" si="94"/>
        <v>0.1894640847634512</v>
      </c>
      <c r="D779" s="10">
        <f t="shared" si="98"/>
        <v>0.30473976130051478</v>
      </c>
      <c r="E779" s="10">
        <f t="shared" si="99"/>
        <v>0.11374432320526946</v>
      </c>
      <c r="F779" s="10">
        <f t="shared" si="95"/>
        <v>4.4584323810914671E-2</v>
      </c>
      <c r="G779" s="66">
        <f t="shared" si="100"/>
        <v>4</v>
      </c>
      <c r="H779" s="10"/>
      <c r="I779" s="10">
        <f t="shared" si="96"/>
        <v>2.1700907536203619E-4</v>
      </c>
    </row>
    <row r="780" spans="1:9">
      <c r="A780" s="19">
        <f t="shared" si="97"/>
        <v>63.833333333334053</v>
      </c>
      <c r="B780" s="10">
        <f t="shared" si="93"/>
        <v>1.4961243421881796E-2</v>
      </c>
      <c r="C780" s="10">
        <f t="shared" si="94"/>
        <v>0.18767167723387132</v>
      </c>
      <c r="D780" s="10">
        <f t="shared" si="98"/>
        <v>0.30658128398915602</v>
      </c>
      <c r="E780" s="10">
        <f t="shared" si="99"/>
        <v>0.11438688473112536</v>
      </c>
      <c r="F780" s="10">
        <f t="shared" si="95"/>
        <v>4.4403418786361851E-2</v>
      </c>
      <c r="G780" s="66">
        <f t="shared" si="100"/>
        <v>2</v>
      </c>
      <c r="H780" s="10"/>
      <c r="I780" s="10">
        <f t="shared" si="96"/>
        <v>1.0496924838956623E-4</v>
      </c>
    </row>
    <row r="781" spans="1:9">
      <c r="A781" s="19">
        <f t="shared" si="97"/>
        <v>63.916666666667389</v>
      </c>
      <c r="B781" s="10">
        <f t="shared" si="93"/>
        <v>1.4582723830676676E-2</v>
      </c>
      <c r="C781" s="10">
        <f t="shared" si="94"/>
        <v>0.18588624461713252</v>
      </c>
      <c r="D781" s="10">
        <f t="shared" si="98"/>
        <v>0.30843393853333173</v>
      </c>
      <c r="E781" s="10">
        <f t="shared" si="99"/>
        <v>0.11503307939326889</v>
      </c>
      <c r="F781" s="10">
        <f t="shared" si="95"/>
        <v>4.4223247800706814E-2</v>
      </c>
      <c r="G781" s="66">
        <f t="shared" si="100"/>
        <v>4</v>
      </c>
      <c r="H781" s="10"/>
      <c r="I781" s="10">
        <f t="shared" si="96"/>
        <v>2.030561376481803E-4</v>
      </c>
    </row>
    <row r="782" spans="1:9">
      <c r="A782" s="19">
        <f t="shared" si="97"/>
        <v>64.000000000000725</v>
      </c>
      <c r="B782" s="10">
        <f t="shared" ref="B782:B845" si="101">(B$9^A782)*B$10^((B$6^28)*((B$6^A782)-1))</f>
        <v>1.421157989750327E-2</v>
      </c>
      <c r="C782" s="10">
        <f t="shared" ref="C782:C845" si="102">(B$9^A782)*B$11^((B$7^24)*((B$7^A782)-1))</f>
        <v>0.18410785548974465</v>
      </c>
      <c r="D782" s="10">
        <f t="shared" si="98"/>
        <v>0.31029779222420645</v>
      </c>
      <c r="E782" s="10">
        <f t="shared" si="99"/>
        <v>0.11568292773398053</v>
      </c>
      <c r="F782" s="10">
        <f t="shared" si="95"/>
        <v>4.4043807875518717E-2</v>
      </c>
      <c r="G782" s="66">
        <f t="shared" si="100"/>
        <v>2</v>
      </c>
      <c r="H782" s="10"/>
      <c r="I782" s="10">
        <f t="shared" si="96"/>
        <v>9.8179197683390527E-5</v>
      </c>
    </row>
    <row r="783" spans="1:9">
      <c r="A783" s="19">
        <f t="shared" si="97"/>
        <v>64.083333333334053</v>
      </c>
      <c r="B783" s="10">
        <f t="shared" si="101"/>
        <v>1.3847724417138831E-2</v>
      </c>
      <c r="C783" s="10">
        <f t="shared" si="102"/>
        <v>0.18233657794059105</v>
      </c>
      <c r="D783" s="10">
        <f t="shared" si="98"/>
        <v>0.31217291275971587</v>
      </c>
      <c r="E783" s="10">
        <f t="shared" si="99"/>
        <v>0.11633645041169044</v>
      </c>
      <c r="F783" s="10">
        <f t="shared" ref="F783:F846" si="103">(1+B$8)^-A783</f>
        <v>4.3865096044452011E-2</v>
      </c>
      <c r="G783" s="66">
        <f t="shared" si="100"/>
        <v>4</v>
      </c>
      <c r="H783" s="10"/>
      <c r="I783" s="10">
        <f t="shared" ref="I783:I846" si="104">B783*C783*(D783+E783)*F783*G783</f>
        <v>1.898416953988456E-4</v>
      </c>
    </row>
    <row r="784" spans="1:9">
      <c r="A784" s="19">
        <f t="shared" ref="A784:A847" si="105">A783+1/12</f>
        <v>64.166666666667382</v>
      </c>
      <c r="B784" s="10">
        <f t="shared" si="101"/>
        <v>1.3491069990271195E-2</v>
      </c>
      <c r="C784" s="10">
        <f t="shared" si="102"/>
        <v>0.18057247955841241</v>
      </c>
      <c r="D784" s="10">
        <f t="shared" si="98"/>
        <v>0.31405936824702296</v>
      </c>
      <c r="E784" s="10">
        <f t="shared" si="99"/>
        <v>0.11699366820163398</v>
      </c>
      <c r="F784" s="10">
        <f t="shared" si="103"/>
        <v>4.368710935319732E-2</v>
      </c>
      <c r="G784" s="66">
        <f t="shared" si="100"/>
        <v>2</v>
      </c>
      <c r="H784" s="10"/>
      <c r="I784" s="10">
        <f t="shared" si="104"/>
        <v>9.175124606978496E-5</v>
      </c>
    </row>
    <row r="785" spans="1:9">
      <c r="A785" s="19">
        <f t="shared" si="105"/>
        <v>64.250000000000711</v>
      </c>
      <c r="B785" s="10">
        <f t="shared" si="101"/>
        <v>1.3141529049664879E-2</v>
      </c>
      <c r="C785" s="10">
        <f t="shared" si="102"/>
        <v>0.17881562741929102</v>
      </c>
      <c r="D785" s="10">
        <f t="shared" ref="D785:D848" si="106">B$3+B$4*(B$6^(28+A785))</f>
        <v>0.31595722720499408</v>
      </c>
      <c r="E785" s="10">
        <f t="shared" ref="E785:E848" si="107">B$3+B$5*(B$7^(24+A785))</f>
        <v>0.11765460199651313</v>
      </c>
      <c r="F785" s="10">
        <f t="shared" si="103"/>
        <v>4.350984485943267E-2</v>
      </c>
      <c r="G785" s="66">
        <f t="shared" ref="G785:G848" si="108">IF(G784=4,2,4)</f>
        <v>4</v>
      </c>
      <c r="H785" s="10"/>
      <c r="I785" s="10">
        <f t="shared" si="104"/>
        <v>1.7733726975373981E-4</v>
      </c>
    </row>
    <row r="786" spans="1:9">
      <c r="A786" s="19">
        <f t="shared" si="105"/>
        <v>64.333333333334039</v>
      </c>
      <c r="B786" s="10">
        <f t="shared" si="101"/>
        <v>1.279901388625347E-2</v>
      </c>
      <c r="C786" s="10">
        <f t="shared" si="102"/>
        <v>0.17706608807414481</v>
      </c>
      <c r="D786" s="10">
        <f t="shared" si="106"/>
        <v>0.31786655856668533</v>
      </c>
      <c r="E786" s="10">
        <f t="shared" si="107"/>
        <v>0.1183192728071599</v>
      </c>
      <c r="F786" s="10">
        <f t="shared" si="103"/>
        <v>4.3333299632774831E-2</v>
      </c>
      <c r="G786" s="66">
        <f t="shared" si="108"/>
        <v>2</v>
      </c>
      <c r="H786" s="10"/>
      <c r="I786" s="10">
        <f t="shared" si="104"/>
        <v>8.5671271493528939E-5</v>
      </c>
    </row>
    <row r="787" spans="1:9">
      <c r="A787" s="19">
        <f t="shared" si="105"/>
        <v>64.416666666667368</v>
      </c>
      <c r="B787" s="10">
        <f t="shared" si="101"/>
        <v>1.2463436675146471E-2</v>
      </c>
      <c r="C787" s="10">
        <f t="shared" si="102"/>
        <v>0.17532392753622514</v>
      </c>
      <c r="D787" s="10">
        <f t="shared" si="106"/>
        <v>0.31978743168184859</v>
      </c>
      <c r="E787" s="10">
        <f t="shared" si="107"/>
        <v>0.11898770176320493</v>
      </c>
      <c r="F787" s="10">
        <f t="shared" si="103"/>
        <v>4.3157470754730892E-2</v>
      </c>
      <c r="G787" s="66">
        <f t="shared" si="108"/>
        <v>4</v>
      </c>
      <c r="H787" s="10"/>
      <c r="I787" s="10">
        <f t="shared" si="104"/>
        <v>1.655148579502496E-4</v>
      </c>
    </row>
    <row r="788" spans="1:9">
      <c r="A788" s="19">
        <f t="shared" si="105"/>
        <v>64.500000000000696</v>
      </c>
      <c r="B788" s="10">
        <f t="shared" si="101"/>
        <v>1.213470950153527E-2</v>
      </c>
      <c r="C788" s="10">
        <f t="shared" si="102"/>
        <v>0.17358921126863341</v>
      </c>
      <c r="D788" s="10">
        <f t="shared" si="106"/>
        <v>0.32171991631944918</v>
      </c>
      <c r="E788" s="10">
        <f t="shared" si="107"/>
        <v>0.11965991011374848</v>
      </c>
      <c r="F788" s="10">
        <f t="shared" si="103"/>
        <v>4.2982355318649967E-2</v>
      </c>
      <c r="G788" s="66">
        <f t="shared" si="108"/>
        <v>2</v>
      </c>
      <c r="H788" s="10"/>
      <c r="I788" s="10">
        <f t="shared" si="104"/>
        <v>7.9925396437846734E-5</v>
      </c>
    </row>
    <row r="789" spans="1:9">
      <c r="A789" s="19">
        <f t="shared" si="105"/>
        <v>64.583333333334025</v>
      </c>
      <c r="B789" s="10">
        <f t="shared" si="101"/>
        <v>1.1812744386486424E-2</v>
      </c>
      <c r="C789" s="10">
        <f t="shared" si="102"/>
        <v>0.1718620041718493</v>
      </c>
      <c r="D789" s="10">
        <f t="shared" si="106"/>
        <v>0.32366408267019947</v>
      </c>
      <c r="E789" s="10">
        <f t="shared" si="107"/>
        <v>0.12033591922803674</v>
      </c>
      <c r="F789" s="10">
        <f t="shared" si="103"/>
        <v>4.2807950429675189E-2</v>
      </c>
      <c r="G789" s="66">
        <f t="shared" si="108"/>
        <v>4</v>
      </c>
      <c r="H789" s="10"/>
      <c r="I789" s="10">
        <f t="shared" si="104"/>
        <v>1.5434695884637608E-4</v>
      </c>
    </row>
    <row r="790" spans="1:9">
      <c r="A790" s="19">
        <f t="shared" si="105"/>
        <v>64.666666666667354</v>
      </c>
      <c r="B790" s="10">
        <f t="shared" si="101"/>
        <v>1.1497453312607051E-2</v>
      </c>
      <c r="C790" s="10">
        <f t="shared" si="102"/>
        <v>0.1701423705712832</v>
      </c>
      <c r="D790" s="10">
        <f t="shared" si="106"/>
        <v>0.32562000134911007</v>
      </c>
      <c r="E790" s="10">
        <f t="shared" si="107"/>
        <v>0.12101575059614028</v>
      </c>
      <c r="F790" s="10">
        <f t="shared" si="103"/>
        <v>4.2634253204695861E-2</v>
      </c>
      <c r="G790" s="66">
        <f t="shared" si="108"/>
        <v>2</v>
      </c>
      <c r="H790" s="10"/>
      <c r="I790" s="10">
        <f t="shared" si="104"/>
        <v>7.4500000248484157E-5</v>
      </c>
    </row>
    <row r="791" spans="1:9">
      <c r="A791" s="19">
        <f t="shared" si="105"/>
        <v>64.750000000000682</v>
      </c>
      <c r="B791" s="10">
        <f t="shared" si="101"/>
        <v>1.1188748249570828E-2</v>
      </c>
      <c r="C791" s="10">
        <f t="shared" si="102"/>
        <v>0.16843037420484966</v>
      </c>
      <c r="D791" s="10">
        <f t="shared" si="106"/>
        <v>0.32758774339805252</v>
      </c>
      <c r="E791" s="10">
        <f t="shared" si="107"/>
        <v>0.12169942582963801</v>
      </c>
      <c r="F791" s="10">
        <f t="shared" si="103"/>
        <v>4.2461260772299753E-2</v>
      </c>
      <c r="G791" s="66">
        <f t="shared" si="108"/>
        <v>4</v>
      </c>
      <c r="H791" s="10"/>
      <c r="I791" s="10">
        <f t="shared" si="104"/>
        <v>1.43806596686875E-4</v>
      </c>
    </row>
    <row r="792" spans="1:9">
      <c r="A792" s="19">
        <f t="shared" si="105"/>
        <v>64.833333333334011</v>
      </c>
      <c r="B792" s="10">
        <f t="shared" si="101"/>
        <v>1.0886541179489399E-2</v>
      </c>
      <c r="C792" s="10">
        <f t="shared" si="102"/>
        <v>0.16672607821057089</v>
      </c>
      <c r="D792" s="10">
        <f t="shared" si="106"/>
        <v>0.32956738028834182</v>
      </c>
      <c r="E792" s="10">
        <f t="shared" si="107"/>
        <v>0.12238696666230379</v>
      </c>
      <c r="F792" s="10">
        <f t="shared" si="103"/>
        <v>4.2288970272725664E-2</v>
      </c>
      <c r="G792" s="66">
        <f t="shared" si="108"/>
        <v>2</v>
      </c>
      <c r="H792" s="10"/>
      <c r="I792" s="10">
        <f t="shared" si="104"/>
        <v>6.9381730572550906E-5</v>
      </c>
    </row>
    <row r="793" spans="1:9">
      <c r="A793" s="19">
        <f t="shared" si="105"/>
        <v>64.916666666667339</v>
      </c>
      <c r="B793" s="10">
        <f t="shared" si="101"/>
        <v>1.0590744122117489E-2</v>
      </c>
      <c r="C793" s="10">
        <f t="shared" si="102"/>
        <v>0.16502954511421183</v>
      </c>
      <c r="D793" s="10">
        <f t="shared" si="106"/>
        <v>0.33155898392333016</v>
      </c>
      <c r="E793" s="10">
        <f t="shared" si="107"/>
        <v>0.12307839495079717</v>
      </c>
      <c r="F793" s="10">
        <f t="shared" si="103"/>
        <v>4.2117378857816114E-2</v>
      </c>
      <c r="G793" s="66">
        <f t="shared" si="108"/>
        <v>4</v>
      </c>
      <c r="H793" s="10"/>
      <c r="I793" s="10">
        <f t="shared" si="104"/>
        <v>1.3386734308683921E-4</v>
      </c>
    </row>
    <row r="794" spans="1:9">
      <c r="A794" s="19">
        <f t="shared" si="105"/>
        <v>65.000000000000668</v>
      </c>
      <c r="B794" s="10">
        <f t="shared" si="101"/>
        <v>1.0301269159878074E-2</v>
      </c>
      <c r="C794" s="10">
        <f t="shared" si="102"/>
        <v>0.16334083681694869</v>
      </c>
      <c r="D794" s="10">
        <f t="shared" si="106"/>
        <v>0.33356262664102077</v>
      </c>
      <c r="E794" s="10">
        <f t="shared" si="107"/>
        <v>0.12377373267535874</v>
      </c>
      <c r="F794" s="10">
        <f t="shared" si="103"/>
        <v>4.1946483690970336E-2</v>
      </c>
      <c r="G794" s="66">
        <f t="shared" si="108"/>
        <v>2</v>
      </c>
      <c r="H794" s="10"/>
      <c r="I794" s="10">
        <f t="shared" si="104"/>
        <v>6.455751390083447E-5</v>
      </c>
    </row>
    <row r="795" spans="1:9">
      <c r="A795" s="19">
        <f t="shared" si="105"/>
        <v>65.083333333333997</v>
      </c>
      <c r="B795" s="10">
        <f t="shared" si="101"/>
        <v>1.0018028462694086E-2</v>
      </c>
      <c r="C795" s="10">
        <f t="shared" si="102"/>
        <v>0.1616600145830806</v>
      </c>
      <c r="D795" s="10">
        <f t="shared" si="106"/>
        <v>0.33557838121669309</v>
      </c>
      <c r="E795" s="10">
        <f t="shared" si="107"/>
        <v>0.12447300194050821</v>
      </c>
      <c r="F795" s="10">
        <f t="shared" si="103"/>
        <v>4.1776281947097274E-2</v>
      </c>
      <c r="G795" s="66">
        <f t="shared" si="108"/>
        <v>4</v>
      </c>
      <c r="H795" s="10"/>
      <c r="I795" s="10">
        <f t="shared" si="104"/>
        <v>1.2450333721332319E-4</v>
      </c>
    </row>
    <row r="796" spans="1:9">
      <c r="A796" s="19">
        <f t="shared" si="105"/>
        <v>65.166666666667325</v>
      </c>
      <c r="B796" s="10">
        <f t="shared" si="101"/>
        <v>9.7409343126149666E-3</v>
      </c>
      <c r="C796" s="10">
        <f t="shared" si="102"/>
        <v>0.15998713902778058</v>
      </c>
      <c r="D796" s="10">
        <f t="shared" si="106"/>
        <v>0.3376063208655482</v>
      </c>
      <c r="E796" s="10">
        <f t="shared" si="107"/>
        <v>0.1251762249757479</v>
      </c>
      <c r="F796" s="10">
        <f t="shared" si="103"/>
        <v>4.1606770812568999E-2</v>
      </c>
      <c r="G796" s="66">
        <f t="shared" si="108"/>
        <v>2</v>
      </c>
      <c r="H796" s="10"/>
      <c r="I796" s="10">
        <f t="shared" si="104"/>
        <v>6.0014565205484424E-5</v>
      </c>
    </row>
    <row r="797" spans="1:9">
      <c r="A797" s="19">
        <f t="shared" si="105"/>
        <v>65.250000000000654</v>
      </c>
      <c r="B797" s="10">
        <f t="shared" si="101"/>
        <v>9.4698991282240429E-3</v>
      </c>
      <c r="C797" s="10">
        <f t="shared" si="102"/>
        <v>0.1583222701048986</v>
      </c>
      <c r="D797" s="10">
        <f t="shared" si="106"/>
        <v>0.3396465192453671</v>
      </c>
      <c r="E797" s="10">
        <f t="shared" si="107"/>
        <v>0.12588342413626849</v>
      </c>
      <c r="F797" s="10">
        <f t="shared" si="103"/>
        <v>4.1437947485174077E-2</v>
      </c>
      <c r="G797" s="66">
        <f t="shared" si="108"/>
        <v>4</v>
      </c>
      <c r="H797" s="10"/>
      <c r="I797" s="10">
        <f t="shared" si="104"/>
        <v>1.1568930415198951E-4</v>
      </c>
    </row>
    <row r="798" spans="1:9">
      <c r="A798" s="19">
        <f t="shared" si="105"/>
        <v>65.333333333333982</v>
      </c>
      <c r="B798" s="10">
        <f t="shared" si="101"/>
        <v>9.2048354888154445E-3</v>
      </c>
      <c r="C798" s="10">
        <f t="shared" si="102"/>
        <v>0.15666546709481138</v>
      </c>
      <c r="D798" s="10">
        <f t="shared" si="106"/>
        <v>0.34169905045918525</v>
      </c>
      <c r="E798" s="10">
        <f t="shared" si="107"/>
        <v>0.12659462190366064</v>
      </c>
      <c r="F798" s="10">
        <f t="shared" si="103"/>
        <v>4.126980917407138E-2</v>
      </c>
      <c r="G798" s="66">
        <f t="shared" si="108"/>
        <v>2</v>
      </c>
      <c r="H798" s="10"/>
      <c r="I798" s="10">
        <f t="shared" si="104"/>
        <v>5.5740396668143297E-5</v>
      </c>
    </row>
    <row r="799" spans="1:9">
      <c r="A799" s="19">
        <f t="shared" si="105"/>
        <v>65.416666666667311</v>
      </c>
      <c r="B799" s="10">
        <f t="shared" si="101"/>
        <v>8.9456561583269138E-3</v>
      </c>
      <c r="C799" s="10">
        <f t="shared" si="102"/>
        <v>0.15501678859233242</v>
      </c>
      <c r="D799" s="10">
        <f t="shared" si="106"/>
        <v>0.343763989057986</v>
      </c>
      <c r="E799" s="10">
        <f t="shared" si="107"/>
        <v>0.12730984088662869</v>
      </c>
      <c r="F799" s="10">
        <f t="shared" si="103"/>
        <v>4.1102353099743812E-2</v>
      </c>
      <c r="G799" s="66">
        <f t="shared" si="108"/>
        <v>4</v>
      </c>
      <c r="H799" s="10"/>
      <c r="I799" s="10">
        <f t="shared" si="104"/>
        <v>1.0740057145212425E-4</v>
      </c>
    </row>
    <row r="800" spans="1:9">
      <c r="A800" s="19">
        <f t="shared" si="105"/>
        <v>65.500000000000639</v>
      </c>
      <c r="B800" s="10">
        <f t="shared" si="101"/>
        <v>8.6922741090174858E-3</v>
      </c>
      <c r="C800" s="10">
        <f t="shared" si="102"/>
        <v>0.15337629249467744</v>
      </c>
      <c r="D800" s="10">
        <f t="shared" si="106"/>
        <v>0.34584141004340629</v>
      </c>
      <c r="E800" s="10">
        <f t="shared" si="107"/>
        <v>0.12802910382171043</v>
      </c>
      <c r="F800" s="10">
        <f t="shared" si="103"/>
        <v>4.0935576493952457E-2</v>
      </c>
      <c r="G800" s="66">
        <f t="shared" si="108"/>
        <v>2</v>
      </c>
      <c r="H800" s="10"/>
      <c r="I800" s="10">
        <f t="shared" si="104"/>
        <v>5.1722825496793037E-5</v>
      </c>
    </row>
    <row r="801" spans="1:9">
      <c r="A801" s="19">
        <f t="shared" si="105"/>
        <v>65.583333333333968</v>
      </c>
      <c r="B801" s="10">
        <f t="shared" si="101"/>
        <v>8.4446025448768006E-3</v>
      </c>
      <c r="C801" s="10">
        <f t="shared" si="102"/>
        <v>0.15174403598949793</v>
      </c>
      <c r="D801" s="10">
        <f t="shared" si="106"/>
        <v>0.34793138887046321</v>
      </c>
      <c r="E801" s="10">
        <f t="shared" si="107"/>
        <v>0.12875243357399874</v>
      </c>
      <c r="F801" s="10">
        <f t="shared" si="103"/>
        <v>4.0769476599690775E-2</v>
      </c>
      <c r="G801" s="66">
        <f t="shared" si="108"/>
        <v>4</v>
      </c>
      <c r="H801" s="10"/>
      <c r="I801" s="10">
        <f t="shared" si="104"/>
        <v>9.961308384971772E-5</v>
      </c>
    </row>
    <row r="802" spans="1:9">
      <c r="A802" s="19">
        <f t="shared" si="105"/>
        <v>65.666666666667297</v>
      </c>
      <c r="B802" s="10">
        <f t="shared" si="101"/>
        <v>8.2025549247552159E-3</v>
      </c>
      <c r="C802" s="10">
        <f t="shared" si="102"/>
        <v>0.15012007554297827</v>
      </c>
      <c r="D802" s="10">
        <f t="shared" si="106"/>
        <v>0.35003400145029184</v>
      </c>
      <c r="E802" s="10">
        <f t="shared" si="107"/>
        <v>0.12947985313786964</v>
      </c>
      <c r="F802" s="10">
        <f t="shared" si="103"/>
        <v>4.0604050671139036E-2</v>
      </c>
      <c r="G802" s="66">
        <f t="shared" si="108"/>
        <v>2</v>
      </c>
      <c r="H802" s="10"/>
      <c r="I802" s="10">
        <f t="shared" si="104"/>
        <v>4.7949980832734433E-5</v>
      </c>
    </row>
    <row r="803" spans="1:9">
      <c r="A803" s="19">
        <f t="shared" si="105"/>
        <v>65.750000000000625</v>
      </c>
      <c r="B803" s="10">
        <f t="shared" si="101"/>
        <v>7.9660449852025726E-3</v>
      </c>
      <c r="C803" s="10">
        <f t="shared" si="102"/>
        <v>0.14850446688800961</v>
      </c>
      <c r="D803" s="10">
        <f t="shared" si="106"/>
        <v>0.35214932415290523</v>
      </c>
      <c r="E803" s="10">
        <f t="shared" si="107"/>
        <v>0.1302113856377122</v>
      </c>
      <c r="F803" s="10">
        <f t="shared" si="103"/>
        <v>4.0439295973618936E-2</v>
      </c>
      <c r="G803" s="66">
        <f t="shared" si="108"/>
        <v>4</v>
      </c>
      <c r="H803" s="10"/>
      <c r="I803" s="10">
        <f t="shared" si="104"/>
        <v>9.230341617456554E-5</v>
      </c>
    </row>
    <row r="804" spans="1:9">
      <c r="A804" s="19">
        <f t="shared" si="105"/>
        <v>65.833333333333954</v>
      </c>
      <c r="B804" s="10">
        <f t="shared" si="101"/>
        <v>7.7349867630039423E-3</v>
      </c>
      <c r="C804" s="10">
        <f t="shared" si="102"/>
        <v>0.14689726501243611</v>
      </c>
      <c r="D804" s="10">
        <f t="shared" si="106"/>
        <v>0.3542774338099659</v>
      </c>
      <c r="E804" s="10">
        <f t="shared" si="107"/>
        <v>0.1309470543286646</v>
      </c>
      <c r="F804" s="10">
        <f t="shared" si="103"/>
        <v>4.0275209783548364E-2</v>
      </c>
      <c r="G804" s="66">
        <f t="shared" si="108"/>
        <v>2</v>
      </c>
      <c r="H804" s="10"/>
      <c r="I804" s="10">
        <f t="shared" si="104"/>
        <v>4.4410309752228671E-5</v>
      </c>
    </row>
    <row r="805" spans="1:9">
      <c r="A805" s="19">
        <f t="shared" si="105"/>
        <v>65.916666666667282</v>
      </c>
      <c r="B805" s="10">
        <f t="shared" si="101"/>
        <v>7.5092946174019149E-3</v>
      </c>
      <c r="C805" s="10">
        <f t="shared" si="102"/>
        <v>0.14529852414738514</v>
      </c>
      <c r="D805" s="10">
        <f t="shared" si="106"/>
        <v>0.35641840771757832</v>
      </c>
      <c r="E805" s="10">
        <f t="shared" si="107"/>
        <v>0.13168688259735248</v>
      </c>
      <c r="F805" s="10">
        <f t="shared" si="103"/>
        <v>4.01117893883964E-2</v>
      </c>
      <c r="G805" s="66">
        <f t="shared" si="108"/>
        <v>4</v>
      </c>
      <c r="H805" s="10"/>
      <c r="I805" s="10">
        <f t="shared" si="104"/>
        <v>8.5448784453531212E-5</v>
      </c>
    </row>
    <row r="806" spans="1:9">
      <c r="A806" s="19">
        <f t="shared" si="105"/>
        <v>66.000000000000611</v>
      </c>
      <c r="B806" s="10">
        <f t="shared" si="101"/>
        <v>7.288883251993534E-3</v>
      </c>
      <c r="C806" s="10">
        <f t="shared" si="102"/>
        <v>0.14370829775567992</v>
      </c>
      <c r="D806" s="10">
        <f t="shared" si="106"/>
        <v>0.35857232363909569</v>
      </c>
      <c r="E806" s="10">
        <f t="shared" si="107"/>
        <v>0.13243089396263338</v>
      </c>
      <c r="F806" s="10">
        <f t="shared" si="103"/>
        <v>3.9949032086638511E-2</v>
      </c>
      <c r="G806" s="66">
        <f t="shared" si="108"/>
        <v>2</v>
      </c>
      <c r="H806" s="10"/>
      <c r="I806" s="10">
        <f t="shared" si="104"/>
        <v>4.1092582370388288E-5</v>
      </c>
    </row>
    <row r="807" spans="1:9">
      <c r="A807" s="19">
        <f t="shared" si="105"/>
        <v>66.08333333333394</v>
      </c>
      <c r="B807" s="10">
        <f t="shared" si="101"/>
        <v>7.0736677362920582E-3</v>
      </c>
      <c r="C807" s="10">
        <f t="shared" si="102"/>
        <v>0.14212663852034391</v>
      </c>
      <c r="D807" s="10">
        <f t="shared" si="106"/>
        <v>0.36073925980794347</v>
      </c>
      <c r="E807" s="10">
        <f t="shared" si="107"/>
        <v>0.13317911207634331</v>
      </c>
      <c r="F807" s="10">
        <f t="shared" si="103"/>
        <v>3.9786935187711793E-2</v>
      </c>
      <c r="G807" s="66">
        <f t="shared" si="108"/>
        <v>4</v>
      </c>
      <c r="H807" s="10"/>
      <c r="I807" s="10">
        <f t="shared" si="104"/>
        <v>7.902705522813622E-5</v>
      </c>
    </row>
    <row r="808" spans="1:9">
      <c r="A808" s="19">
        <f t="shared" si="105"/>
        <v>66.166666666667268</v>
      </c>
      <c r="B808" s="10">
        <f t="shared" si="101"/>
        <v>6.8635635269421553E-3</v>
      </c>
      <c r="C808" s="10">
        <f t="shared" si="102"/>
        <v>0.1405535983331965</v>
      </c>
      <c r="D808" s="10">
        <f t="shared" si="106"/>
        <v>0.36291929493046304</v>
      </c>
      <c r="E808" s="10">
        <f t="shared" si="107"/>
        <v>0.13393156072404966</v>
      </c>
      <c r="F808" s="10">
        <f t="shared" si="103"/>
        <v>3.9625496011970573E-2</v>
      </c>
      <c r="G808" s="66">
        <f t="shared" si="108"/>
        <v>2</v>
      </c>
      <c r="H808" s="10"/>
      <c r="I808" s="10">
        <f t="shared" si="104"/>
        <v>3.7985896057887764E-5</v>
      </c>
    </row>
    <row r="809" spans="1:9">
      <c r="A809" s="19">
        <f t="shared" si="105"/>
        <v>66.250000000000597</v>
      </c>
      <c r="B809" s="10">
        <f t="shared" si="101"/>
        <v>6.6584864885793063E-3</v>
      </c>
      <c r="C809" s="10">
        <f t="shared" si="102"/>
        <v>0.13898922828354798</v>
      </c>
      <c r="D809" s="10">
        <f t="shared" si="106"/>
        <v>0.365112508188768</v>
      </c>
      <c r="E809" s="10">
        <f t="shared" si="107"/>
        <v>0.13468826382580681</v>
      </c>
      <c r="F809" s="10">
        <f t="shared" si="103"/>
        <v>3.9464711890642087E-2</v>
      </c>
      <c r="G809" s="66">
        <f t="shared" si="108"/>
        <v>4</v>
      </c>
      <c r="H809" s="10"/>
      <c r="I809" s="10">
        <f t="shared" si="104"/>
        <v>7.3016753110546114E-5</v>
      </c>
    </row>
    <row r="810" spans="1:9">
      <c r="A810" s="19">
        <f t="shared" si="105"/>
        <v>66.333333333333925</v>
      </c>
      <c r="B810" s="10">
        <f t="shared" si="101"/>
        <v>6.4583529143225366E-3</v>
      </c>
      <c r="C810" s="10">
        <f t="shared" si="102"/>
        <v>0.13743357864699779</v>
      </c>
      <c r="D810" s="10">
        <f t="shared" si="106"/>
        <v>0.36731897924362278</v>
      </c>
      <c r="E810" s="10">
        <f t="shared" si="107"/>
        <v>0.13544924543691628</v>
      </c>
      <c r="F810" s="10">
        <f t="shared" si="103"/>
        <v>3.930458016578238E-2</v>
      </c>
      <c r="G810" s="66">
        <f t="shared" si="108"/>
        <v>2</v>
      </c>
      <c r="H810" s="10"/>
      <c r="I810" s="10">
        <f t="shared" si="104"/>
        <v>3.5079678783960355E-5</v>
      </c>
    </row>
    <row r="811" spans="1:9">
      <c r="A811" s="19">
        <f t="shared" si="105"/>
        <v>66.416666666667254</v>
      </c>
      <c r="B811" s="10">
        <f t="shared" si="101"/>
        <v>6.2630795458915511E-3</v>
      </c>
      <c r="C811" s="10">
        <f t="shared" si="102"/>
        <v>0.13588669887433641</v>
      </c>
      <c r="D811" s="10">
        <f t="shared" si="106"/>
        <v>0.36953878823733327</v>
      </c>
      <c r="E811" s="10">
        <f t="shared" si="107"/>
        <v>0.13621452974869225</v>
      </c>
      <c r="F811" s="10">
        <f t="shared" si="103"/>
        <v>3.9145098190232319E-2</v>
      </c>
      <c r="G811" s="66">
        <f t="shared" si="108"/>
        <v>4</v>
      </c>
      <c r="H811" s="10"/>
      <c r="I811" s="10">
        <f t="shared" si="104"/>
        <v>6.7397066607710889E-5</v>
      </c>
    </row>
    <row r="812" spans="1:9">
      <c r="A812" s="19">
        <f t="shared" si="105"/>
        <v>66.500000000000583</v>
      </c>
      <c r="B812" s="10">
        <f t="shared" si="101"/>
        <v>6.0725835933386693E-3</v>
      </c>
      <c r="C812" s="10">
        <f t="shared" si="102"/>
        <v>0.13434863758056273</v>
      </c>
      <c r="D812" s="10">
        <f t="shared" si="106"/>
        <v>0.37177201579666047</v>
      </c>
      <c r="E812" s="10">
        <f t="shared" si="107"/>
        <v>0.13698414108922954</v>
      </c>
      <c r="F812" s="10">
        <f t="shared" si="103"/>
        <v>3.8986263327573885E-2</v>
      </c>
      <c r="G812" s="66">
        <f t="shared" si="108"/>
        <v>2</v>
      </c>
      <c r="H812" s="10"/>
      <c r="I812" s="10">
        <f t="shared" si="104"/>
        <v>3.2363691601948238E-5</v>
      </c>
    </row>
    <row r="813" spans="1:9">
      <c r="A813" s="19">
        <f t="shared" si="105"/>
        <v>66.583333333333911</v>
      </c>
      <c r="B813" s="10">
        <f t="shared" si="101"/>
        <v>5.8867827543862298E-3</v>
      </c>
      <c r="C813" s="10">
        <f t="shared" si="102"/>
        <v>0.13281944253401234</v>
      </c>
      <c r="D813" s="10">
        <f t="shared" si="106"/>
        <v>0.37401874303574628</v>
      </c>
      <c r="E813" s="10">
        <f t="shared" si="107"/>
        <v>0.13775810392417817</v>
      </c>
      <c r="F813" s="10">
        <f t="shared" si="103"/>
        <v>3.8828072952086547E-2</v>
      </c>
      <c r="G813" s="66">
        <f t="shared" si="108"/>
        <v>4</v>
      </c>
      <c r="H813" s="10"/>
      <c r="I813" s="10">
        <f t="shared" si="104"/>
        <v>6.2147852248903949E-5</v>
      </c>
    </row>
    <row r="814" spans="1:9">
      <c r="A814" s="19">
        <f t="shared" si="105"/>
        <v>66.66666666666724</v>
      </c>
      <c r="B814" s="10">
        <f t="shared" si="101"/>
        <v>5.7055952333613311E-3</v>
      </c>
      <c r="C814" s="10">
        <f t="shared" si="102"/>
        <v>0.13129916064561054</v>
      </c>
      <c r="D814" s="10">
        <f t="shared" si="106"/>
        <v>0.37627905155906199</v>
      </c>
      <c r="E814" s="10">
        <f t="shared" si="107"/>
        <v>0.1385364428575199</v>
      </c>
      <c r="F814" s="10">
        <f t="shared" si="103"/>
        <v>3.867052444870394E-2</v>
      </c>
      <c r="G814" s="66">
        <f t="shared" si="108"/>
        <v>2</v>
      </c>
      <c r="H814" s="10"/>
      <c r="I814" s="10">
        <f t="shared" si="104"/>
        <v>2.982803029635581E-5</v>
      </c>
    </row>
    <row r="815" spans="1:9">
      <c r="A815" s="19">
        <f t="shared" si="105"/>
        <v>66.750000000000568</v>
      </c>
      <c r="B815" s="10">
        <f t="shared" si="101"/>
        <v>5.52893975971882E-3</v>
      </c>
      <c r="C815" s="10">
        <f t="shared" si="102"/>
        <v>0.12978783795824511</v>
      </c>
      <c r="D815" s="10">
        <f t="shared" si="106"/>
        <v>0.37855302346437147</v>
      </c>
      <c r="E815" s="10">
        <f t="shared" si="107"/>
        <v>0.13931918263235157</v>
      </c>
      <c r="F815" s="10">
        <f t="shared" si="103"/>
        <v>3.851361521297051E-2</v>
      </c>
      <c r="G815" s="66">
        <f t="shared" si="108"/>
        <v>4</v>
      </c>
      <c r="H815" s="10"/>
      <c r="I815" s="10">
        <f t="shared" si="104"/>
        <v>5.7249637057151884E-5</v>
      </c>
    </row>
    <row r="816" spans="1:9">
      <c r="A816" s="19">
        <f t="shared" si="105"/>
        <v>66.833333333333897</v>
      </c>
      <c r="B816" s="10">
        <f t="shared" si="101"/>
        <v>5.35673560614506E-3</v>
      </c>
      <c r="C816" s="10">
        <f t="shared" si="102"/>
        <v>0.12828551963627277</v>
      </c>
      <c r="D816" s="10">
        <f t="shared" si="106"/>
        <v>0.38084074134571172</v>
      </c>
      <c r="E816" s="10">
        <f t="shared" si="107"/>
        <v>0.1401063481316705</v>
      </c>
      <c r="F816" s="10">
        <f t="shared" si="103"/>
        <v>3.8357342650998542E-2</v>
      </c>
      <c r="G816" s="66">
        <f t="shared" si="108"/>
        <v>2</v>
      </c>
      <c r="H816" s="10"/>
      <c r="I816" s="10">
        <f t="shared" si="104"/>
        <v>2.746312621291198E-5</v>
      </c>
    </row>
    <row r="817" spans="1:9">
      <c r="A817" s="19">
        <f t="shared" si="105"/>
        <v>66.916666666667226</v>
      </c>
      <c r="B817" s="10">
        <f t="shared" si="101"/>
        <v>5.1889026062340946E-3</v>
      </c>
      <c r="C817" s="10">
        <f t="shared" si="102"/>
        <v>0.12679224995515409</v>
      </c>
      <c r="D817" s="10">
        <f t="shared" si="106"/>
        <v>0.38314228829639541</v>
      </c>
      <c r="E817" s="10">
        <f t="shared" si="107"/>
        <v>0.14089796437916668</v>
      </c>
      <c r="F817" s="10">
        <f t="shared" si="103"/>
        <v>3.8201704179425255E-2</v>
      </c>
      <c r="G817" s="66">
        <f t="shared" si="108"/>
        <v>4</v>
      </c>
      <c r="H817" s="10"/>
      <c r="I817" s="10">
        <f t="shared" si="104"/>
        <v>5.2683619410024455E-5</v>
      </c>
    </row>
    <row r="818" spans="1:9">
      <c r="A818" s="19">
        <f t="shared" si="105"/>
        <v>67.000000000000554</v>
      </c>
      <c r="B818" s="10">
        <f t="shared" si="101"/>
        <v>5.0253611717293529E-3</v>
      </c>
      <c r="C818" s="10">
        <f t="shared" si="102"/>
        <v>0.12530807229123109</v>
      </c>
      <c r="D818" s="10">
        <f t="shared" si="106"/>
        <v>0.38545774791202619</v>
      </c>
      <c r="E818" s="10">
        <f t="shared" si="107"/>
        <v>0.14169405654001707</v>
      </c>
      <c r="F818" s="10">
        <f t="shared" si="103"/>
        <v>3.8046697225370123E-2</v>
      </c>
      <c r="G818" s="66">
        <f t="shared" si="108"/>
        <v>2</v>
      </c>
      <c r="H818" s="10"/>
      <c r="I818" s="10">
        <f t="shared" si="104"/>
        <v>2.5259746295570074E-5</v>
      </c>
    </row>
    <row r="819" spans="1:9">
      <c r="A819" s="19">
        <f t="shared" si="105"/>
        <v>67.083333333333883</v>
      </c>
      <c r="B819" s="10">
        <f t="shared" si="101"/>
        <v>4.8660323093235036E-3</v>
      </c>
      <c r="C819" s="10">
        <f t="shared" si="102"/>
        <v>0.12383302911164272</v>
      </c>
      <c r="D819" s="10">
        <f t="shared" si="106"/>
        <v>0.38778720429353786</v>
      </c>
      <c r="E819" s="10">
        <f t="shared" si="107"/>
        <v>0.14249464992168684</v>
      </c>
      <c r="F819" s="10">
        <f t="shared" si="103"/>
        <v>3.7892319226392294E-2</v>
      </c>
      <c r="G819" s="66">
        <f t="shared" si="108"/>
        <v>4</v>
      </c>
      <c r="H819" s="10"/>
      <c r="I819" s="10">
        <f t="shared" si="104"/>
        <v>4.8431668339947571E-5</v>
      </c>
    </row>
    <row r="820" spans="1:9">
      <c r="A820" s="19">
        <f t="shared" si="105"/>
        <v>67.166666666667211</v>
      </c>
      <c r="B820" s="10">
        <f t="shared" si="101"/>
        <v>4.7108376370096584E-3</v>
      </c>
      <c r="C820" s="10">
        <f t="shared" si="102"/>
        <v>0.12236716196439087</v>
      </c>
      <c r="D820" s="10">
        <f t="shared" si="106"/>
        <v>0.39013074205024606</v>
      </c>
      <c r="E820" s="10">
        <f t="shared" si="107"/>
        <v>0.14329976997473265</v>
      </c>
      <c r="F820" s="10">
        <f t="shared" si="103"/>
        <v>3.7738567630448278E-2</v>
      </c>
      <c r="G820" s="66">
        <f t="shared" si="108"/>
        <v>2</v>
      </c>
      <c r="H820" s="10"/>
      <c r="I820" s="10">
        <f t="shared" si="104"/>
        <v>2.320899235664336E-5</v>
      </c>
    </row>
    <row r="821" spans="1:9">
      <c r="A821" s="19">
        <f t="shared" si="105"/>
        <v>67.25000000000054</v>
      </c>
      <c r="B821" s="10">
        <f t="shared" si="101"/>
        <v>4.5596993999779357E-3</v>
      </c>
      <c r="C821" s="10">
        <f t="shared" si="102"/>
        <v>0.12091051146855436</v>
      </c>
      <c r="D821" s="10">
        <f t="shared" si="106"/>
        <v>0.39248844630292423</v>
      </c>
      <c r="E821" s="10">
        <f t="shared" si="107"/>
        <v>0.1441094422936128</v>
      </c>
      <c r="F821" s="10">
        <f t="shared" si="103"/>
        <v>3.7585439895849705E-2</v>
      </c>
      <c r="G821" s="66">
        <f t="shared" si="108"/>
        <v>4</v>
      </c>
      <c r="H821" s="10"/>
      <c r="I821" s="10">
        <f t="shared" si="104"/>
        <v>4.447632132859165E-5</v>
      </c>
    </row>
    <row r="822" spans="1:9">
      <c r="A822" s="19">
        <f t="shared" si="105"/>
        <v>67.333333333333869</v>
      </c>
      <c r="B822" s="10">
        <f t="shared" si="101"/>
        <v>4.4125404860509004E-3</v>
      </c>
      <c r="C822" s="10">
        <f t="shared" si="102"/>
        <v>0.11946311730466143</v>
      </c>
      <c r="D822" s="10">
        <f t="shared" si="106"/>
        <v>0.39486040268689276</v>
      </c>
      <c r="E822" s="10">
        <f t="shared" si="107"/>
        <v>0.14492369261749993</v>
      </c>
      <c r="F822" s="10">
        <f t="shared" si="103"/>
        <v>3.7432933491221405E-2</v>
      </c>
      <c r="G822" s="66">
        <f t="shared" si="108"/>
        <v>2</v>
      </c>
      <c r="H822" s="10"/>
      <c r="I822" s="10">
        <f t="shared" si="104"/>
        <v>2.1302299608384299E-5</v>
      </c>
    </row>
    <row r="823" spans="1:9">
      <c r="A823" s="19">
        <f t="shared" si="105"/>
        <v>67.416666666667197</v>
      </c>
      <c r="B823" s="10">
        <f t="shared" si="101"/>
        <v>4.2692844406527842E-3</v>
      </c>
      <c r="C823" s="10">
        <f t="shared" si="102"/>
        <v>0.11802501820521971</v>
      </c>
      <c r="D823" s="10">
        <f t="shared" si="106"/>
        <v>0.39724669735513152</v>
      </c>
      <c r="E823" s="10">
        <f t="shared" si="107"/>
        <v>0.14574254683110019</v>
      </c>
      <c r="F823" s="10">
        <f t="shared" si="103"/>
        <v>3.7281045895459441E-2</v>
      </c>
      <c r="G823" s="66">
        <f t="shared" si="108"/>
        <v>4</v>
      </c>
      <c r="H823" s="10"/>
      <c r="I823" s="10">
        <f t="shared" si="104"/>
        <v>4.0800780653932891E-5</v>
      </c>
    </row>
    <row r="824" spans="1:9">
      <c r="A824" s="19">
        <f t="shared" si="105"/>
        <v>67.500000000000526</v>
      </c>
      <c r="B824" s="10">
        <f t="shared" si="101"/>
        <v>4.1298554813066499E-3</v>
      </c>
      <c r="C824" s="10">
        <f t="shared" si="102"/>
        <v>0.11659625194541377</v>
      </c>
      <c r="D824" s="10">
        <f t="shared" si="106"/>
        <v>0.39964741698140827</v>
      </c>
      <c r="E824" s="10">
        <f t="shared" si="107"/>
        <v>0.1465660309654751</v>
      </c>
      <c r="F824" s="10">
        <f t="shared" si="103"/>
        <v>3.7129774597689506E-2</v>
      </c>
      <c r="G824" s="66">
        <f t="shared" si="108"/>
        <v>2</v>
      </c>
      <c r="H824" s="10"/>
      <c r="I824" s="10">
        <f t="shared" si="104"/>
        <v>1.9531434486260189E-5</v>
      </c>
    </row>
    <row r="825" spans="1:9">
      <c r="A825" s="19">
        <f t="shared" si="105"/>
        <v>67.583333333333854</v>
      </c>
      <c r="B825" s="10">
        <f t="shared" si="101"/>
        <v>3.9941785116552634E-3</v>
      </c>
      <c r="C825" s="10">
        <f t="shared" si="102"/>
        <v>0.11517685533396796</v>
      </c>
      <c r="D825" s="10">
        <f t="shared" si="106"/>
        <v>0.40206264876342551</v>
      </c>
      <c r="E825" s="10">
        <f t="shared" si="107"/>
        <v>0.14739417119887013</v>
      </c>
      <c r="F825" s="10">
        <f t="shared" si="103"/>
        <v>3.6979117097225393E-2</v>
      </c>
      <c r="G825" s="66">
        <f t="shared" si="108"/>
        <v>4</v>
      </c>
      <c r="H825" s="10"/>
      <c r="I825" s="10">
        <f t="shared" si="104"/>
        <v>3.738890835230873E-5</v>
      </c>
    </row>
    <row r="826" spans="1:9">
      <c r="A826" s="19">
        <f t="shared" si="105"/>
        <v>67.666666666667183</v>
      </c>
      <c r="B826" s="10">
        <f t="shared" si="101"/>
        <v>3.8621791350005393E-3</v>
      </c>
      <c r="C826" s="10">
        <f t="shared" si="102"/>
        <v>0.11376686420418701</v>
      </c>
      <c r="D826" s="10">
        <f t="shared" si="106"/>
        <v>0.40449248042599023</v>
      </c>
      <c r="E826" s="10">
        <f t="shared" si="107"/>
        <v>0.14822699385754579</v>
      </c>
      <c r="F826" s="10">
        <f t="shared" si="103"/>
        <v>3.6829070903527668E-2</v>
      </c>
      <c r="G826" s="66">
        <f t="shared" si="108"/>
        <v>2</v>
      </c>
      <c r="H826" s="10"/>
      <c r="I826" s="10">
        <f t="shared" si="104"/>
        <v>1.7888491795943835E-5</v>
      </c>
    </row>
    <row r="827" spans="1:9">
      <c r="A827" s="19">
        <f t="shared" si="105"/>
        <v>67.750000000000512</v>
      </c>
      <c r="B827" s="10">
        <f t="shared" si="101"/>
        <v>3.7337836673579901E-3</v>
      </c>
      <c r="C827" s="10">
        <f t="shared" si="102"/>
        <v>0.11236631340517002</v>
      </c>
      <c r="D827" s="10">
        <f t="shared" si="106"/>
        <v>0.40693700022419754</v>
      </c>
      <c r="E827" s="10">
        <f t="shared" si="107"/>
        <v>0.14906452541661552</v>
      </c>
      <c r="F827" s="10">
        <f t="shared" si="103"/>
        <v>3.6679633536162499E-2</v>
      </c>
      <c r="G827" s="66">
        <f t="shared" si="108"/>
        <v>4</v>
      </c>
      <c r="H827" s="10"/>
      <c r="I827" s="10">
        <f t="shared" si="104"/>
        <v>3.4225219861132296E-5</v>
      </c>
    </row>
    <row r="828" spans="1:9">
      <c r="A828" s="19">
        <f t="shared" si="105"/>
        <v>67.83333333333384</v>
      </c>
      <c r="B828" s="10">
        <f t="shared" si="101"/>
        <v>3.6089191500222619E-3</v>
      </c>
      <c r="C828" s="10">
        <f t="shared" si="102"/>
        <v>0.11097523679320993</v>
      </c>
      <c r="D828" s="10">
        <f t="shared" si="106"/>
        <v>0.40939629694663859</v>
      </c>
      <c r="E828" s="10">
        <f t="shared" si="107"/>
        <v>0.14990679250088693</v>
      </c>
      <c r="F828" s="10">
        <f t="shared" si="103"/>
        <v>3.6530802524760625E-2</v>
      </c>
      <c r="G828" s="66">
        <f t="shared" si="108"/>
        <v>2</v>
      </c>
      <c r="H828" s="10"/>
      <c r="I828" s="10">
        <f t="shared" si="104"/>
        <v>1.6365891217621132E-5</v>
      </c>
    </row>
    <row r="829" spans="1:9">
      <c r="A829" s="19">
        <f t="shared" si="105"/>
        <v>67.916666666667169</v>
      </c>
      <c r="B829" s="10">
        <f t="shared" si="101"/>
        <v>3.4875133616402406E-3</v>
      </c>
      <c r="C829" s="10">
        <f t="shared" si="102"/>
        <v>0.1095936672233789</v>
      </c>
      <c r="D829" s="10">
        <f t="shared" si="106"/>
        <v>0.41187045991862314</v>
      </c>
      <c r="E829" s="10">
        <f t="shared" si="107"/>
        <v>0.15075382188570768</v>
      </c>
      <c r="F829" s="10">
        <f t="shared" si="103"/>
        <v>3.6382575408976527E-2</v>
      </c>
      <c r="G829" s="66">
        <f t="shared" si="108"/>
        <v>4</v>
      </c>
      <c r="H829" s="10"/>
      <c r="I829" s="10">
        <f t="shared" si="104"/>
        <v>3.129487641091395E-5</v>
      </c>
    </row>
    <row r="830" spans="1:9">
      <c r="A830" s="19">
        <f t="shared" si="105"/>
        <v>68.000000000000497</v>
      </c>
      <c r="B830" s="10">
        <f t="shared" si="101"/>
        <v>3.3694948297892675E-3</v>
      </c>
      <c r="C830" s="10">
        <f t="shared" si="102"/>
        <v>0.1082216365413026</v>
      </c>
      <c r="D830" s="10">
        <f t="shared" si="106"/>
        <v>0.41435957900542636</v>
      </c>
      <c r="E830" s="10">
        <f t="shared" si="107"/>
        <v>0.15160564049781775</v>
      </c>
      <c r="F830" s="10">
        <f t="shared" si="103"/>
        <v>3.6234949738447826E-2</v>
      </c>
      <c r="G830" s="66">
        <f t="shared" si="108"/>
        <v>2</v>
      </c>
      <c r="H830" s="10"/>
      <c r="I830" s="10">
        <f t="shared" si="104"/>
        <v>1.4956373202614126E-5</v>
      </c>
    </row>
    <row r="831" spans="1:9">
      <c r="A831" s="19">
        <f t="shared" si="105"/>
        <v>68.083333333333826</v>
      </c>
      <c r="B831" s="10">
        <f t="shared" si="101"/>
        <v>3.2547928420574462E-3</v>
      </c>
      <c r="C831" s="10">
        <f t="shared" si="102"/>
        <v>0.10685917557513314</v>
      </c>
      <c r="D831" s="10">
        <f t="shared" si="106"/>
        <v>0.41686374461555137</v>
      </c>
      <c r="E831" s="10">
        <f t="shared" si="107"/>
        <v>0.15246227541620425</v>
      </c>
      <c r="F831" s="10">
        <f t="shared" si="103"/>
        <v>3.6087923072754657E-2</v>
      </c>
      <c r="G831" s="66">
        <f t="shared" si="108"/>
        <v>4</v>
      </c>
      <c r="H831" s="10"/>
      <c r="I831" s="10">
        <f t="shared" si="104"/>
        <v>2.8583676237835752E-5</v>
      </c>
    </row>
    <row r="832" spans="1:9">
      <c r="A832" s="19">
        <f t="shared" si="105"/>
        <v>68.166666666667155</v>
      </c>
      <c r="B832" s="10">
        <f t="shared" si="101"/>
        <v>3.1433374566243685E-3</v>
      </c>
      <c r="C832" s="10">
        <f t="shared" si="102"/>
        <v>0.10550631412771784</v>
      </c>
      <c r="D832" s="10">
        <f t="shared" si="106"/>
        <v>0.41938304770401263</v>
      </c>
      <c r="E832" s="10">
        <f t="shared" si="107"/>
        <v>0.15332375387296338</v>
      </c>
      <c r="F832" s="10">
        <f t="shared" si="103"/>
        <v>3.59414929813794E-2</v>
      </c>
      <c r="G832" s="66">
        <f t="shared" si="108"/>
        <v>2</v>
      </c>
      <c r="H832" s="10"/>
      <c r="I832" s="10">
        <f t="shared" si="104"/>
        <v>1.3652994298516894E-5</v>
      </c>
    </row>
    <row r="833" spans="1:9">
      <c r="A833" s="19">
        <f t="shared" si="105"/>
        <v>68.250000000000483</v>
      </c>
      <c r="B833" s="10">
        <f t="shared" si="101"/>
        <v>3.0350595123401097E-3</v>
      </c>
      <c r="C833" s="10">
        <f t="shared" si="102"/>
        <v>0.10416308096897535</v>
      </c>
      <c r="D833" s="10">
        <f t="shared" si="106"/>
        <v>0.42191757977564165</v>
      </c>
      <c r="E833" s="10">
        <f t="shared" si="107"/>
        <v>0.15419010325416499</v>
      </c>
      <c r="F833" s="10">
        <f t="shared" si="103"/>
        <v>3.5795657043666496E-2</v>
      </c>
      <c r="G833" s="66">
        <f t="shared" si="108"/>
        <v>4</v>
      </c>
      <c r="H833" s="10"/>
      <c r="I833" s="10">
        <f t="shared" si="104"/>
        <v>2.6078044690330497E-5</v>
      </c>
    </row>
    <row r="834" spans="1:9">
      <c r="A834" s="19">
        <f t="shared" si="105"/>
        <v>68.333333333333812</v>
      </c>
      <c r="B834" s="10">
        <f t="shared" si="101"/>
        <v>2.9298906383016174E-3</v>
      </c>
      <c r="C834" s="10">
        <f t="shared" si="102"/>
        <v>0.10282950382847637</v>
      </c>
      <c r="D834" s="10">
        <f t="shared" si="106"/>
        <v>0.42446743288840783</v>
      </c>
      <c r="E834" s="10">
        <f t="shared" si="107"/>
        <v>0.15506135110072439</v>
      </c>
      <c r="F834" s="10">
        <f t="shared" si="103"/>
        <v>3.5650412848782398E-2</v>
      </c>
      <c r="G834" s="66">
        <f t="shared" si="108"/>
        <v>2</v>
      </c>
      <c r="H834" s="10"/>
      <c r="I834" s="10">
        <f t="shared" si="104"/>
        <v>1.2449121940049979E-5</v>
      </c>
    </row>
    <row r="835" spans="1:9">
      <c r="A835" s="19">
        <f t="shared" si="105"/>
        <v>68.41666666666714</v>
      </c>
      <c r="B835" s="10">
        <f t="shared" si="101"/>
        <v>2.8277632629251379E-3</v>
      </c>
      <c r="C835" s="10">
        <f t="shared" si="102"/>
        <v>0.10150560938823995</v>
      </c>
      <c r="D835" s="10">
        <f t="shared" si="106"/>
        <v>0.42703269965676494</v>
      </c>
      <c r="E835" s="10">
        <f t="shared" si="107"/>
        <v>0.15593752510927653</v>
      </c>
      <c r="F835" s="10">
        <f t="shared" si="103"/>
        <v>3.5505757995675763E-2</v>
      </c>
      <c r="G835" s="66">
        <f t="shared" si="108"/>
        <v>4</v>
      </c>
      <c r="H835" s="10"/>
      <c r="I835" s="10">
        <f t="shared" si="104"/>
        <v>2.3765023304932498E-5</v>
      </c>
    </row>
    <row r="836" spans="1:9">
      <c r="A836" s="19">
        <f t="shared" si="105"/>
        <v>68.500000000000469</v>
      </c>
      <c r="B836" s="10">
        <f t="shared" si="101"/>
        <v>2.7286106225145202E-3</v>
      </c>
      <c r="C836" s="10">
        <f t="shared" si="102"/>
        <v>0.10019142327574243</v>
      </c>
      <c r="D836" s="10">
        <f t="shared" si="106"/>
        <v>0.42961347325501192</v>
      </c>
      <c r="E836" s="10">
        <f t="shared" si="107"/>
        <v>0.15681865313305779</v>
      </c>
      <c r="F836" s="10">
        <f t="shared" si="103"/>
        <v>3.5361690093037725E-2</v>
      </c>
      <c r="G836" s="66">
        <f t="shared" si="108"/>
        <v>2</v>
      </c>
      <c r="H836" s="10"/>
      <c r="I836" s="10">
        <f t="shared" si="104"/>
        <v>1.1338428743645274E-5</v>
      </c>
    </row>
    <row r="837" spans="1:9">
      <c r="A837" s="19">
        <f t="shared" si="105"/>
        <v>68.583333333333798</v>
      </c>
      <c r="B837" s="10">
        <f t="shared" si="101"/>
        <v>2.6323667693251072E-3</v>
      </c>
      <c r="C837" s="10">
        <f t="shared" si="102"/>
        <v>9.8886970057150914E-2</v>
      </c>
      <c r="D837" s="10">
        <f t="shared" si="106"/>
        <v>0.43220984742068086</v>
      </c>
      <c r="E837" s="10">
        <f t="shared" si="107"/>
        <v>0.15770476318279034</v>
      </c>
      <c r="F837" s="10">
        <f t="shared" si="103"/>
        <v>3.521820675926237E-2</v>
      </c>
      <c r="G837" s="66">
        <f t="shared" si="108"/>
        <v>4</v>
      </c>
      <c r="H837" s="10"/>
      <c r="I837" s="10">
        <f t="shared" si="104"/>
        <v>2.163225792808233E-5</v>
      </c>
    </row>
    <row r="838" spans="1:9">
      <c r="A838" s="19">
        <f t="shared" si="105"/>
        <v>68.666666666667126</v>
      </c>
      <c r="B838" s="10">
        <f t="shared" si="101"/>
        <v>2.5389665791234412E-3</v>
      </c>
      <c r="C838" s="10">
        <f t="shared" si="102"/>
        <v>9.7592273230777224E-2</v>
      </c>
      <c r="D838" s="10">
        <f t="shared" si="106"/>
        <v>0.43482191645793755</v>
      </c>
      <c r="E838" s="10">
        <f t="shared" si="107"/>
        <v>0.15859588342757341</v>
      </c>
      <c r="F838" s="10">
        <f t="shared" si="103"/>
        <v>3.5075305622407391E-2</v>
      </c>
      <c r="G838" s="66">
        <f t="shared" si="108"/>
        <v>2</v>
      </c>
      <c r="H838" s="10"/>
      <c r="I838" s="10">
        <f t="shared" si="104"/>
        <v>1.0314886344381984E-5</v>
      </c>
    </row>
    <row r="839" spans="1:9">
      <c r="A839" s="19">
        <f t="shared" si="105"/>
        <v>68.750000000000455</v>
      </c>
      <c r="B839" s="10">
        <f t="shared" si="101"/>
        <v>2.448345758243702E-3</v>
      </c>
      <c r="C839" s="10">
        <f t="shared" si="102"/>
        <v>9.6307355220763974E-2</v>
      </c>
      <c r="D839" s="10">
        <f t="shared" si="106"/>
        <v>0.43744977524101042</v>
      </c>
      <c r="E839" s="10">
        <f t="shared" si="107"/>
        <v>0.15949204219577806</v>
      </c>
      <c r="F839" s="10">
        <f t="shared" si="103"/>
        <v>3.4932984320154854E-2</v>
      </c>
      <c r="G839" s="66">
        <f t="shared" si="108"/>
        <v>4</v>
      </c>
      <c r="H839" s="10"/>
      <c r="I839" s="10">
        <f t="shared" si="104"/>
        <v>1.9667985961588442E-5</v>
      </c>
    </row>
    <row r="840" spans="1:9">
      <c r="A840" s="19">
        <f t="shared" si="105"/>
        <v>68.833333333333783</v>
      </c>
      <c r="B840" s="10">
        <f t="shared" si="101"/>
        <v>2.3604408501416135E-3</v>
      </c>
      <c r="C840" s="10">
        <f t="shared" si="102"/>
        <v>9.5032237371000028E-2</v>
      </c>
      <c r="D840" s="10">
        <f t="shared" si="106"/>
        <v>0.44009351921763457</v>
      </c>
      <c r="E840" s="10">
        <f t="shared" si="107"/>
        <v>0.16039326797594844</v>
      </c>
      <c r="F840" s="10">
        <f t="shared" si="103"/>
        <v>3.4791240499772107E-2</v>
      </c>
      <c r="G840" s="66">
        <f t="shared" si="108"/>
        <v>2</v>
      </c>
      <c r="H840" s="10"/>
      <c r="I840" s="10">
        <f t="shared" si="104"/>
        <v>9.3727588143055792E-6</v>
      </c>
    </row>
    <row r="841" spans="1:9">
      <c r="A841" s="19">
        <f t="shared" si="105"/>
        <v>68.916666666667112</v>
      </c>
      <c r="B841" s="10">
        <f t="shared" si="101"/>
        <v>2.2751892414476838E-3</v>
      </c>
      <c r="C841" s="10">
        <f t="shared" si="102"/>
        <v>9.3766939939275165E-2</v>
      </c>
      <c r="D841" s="10">
        <f t="shared" si="106"/>
        <v>0.44275324441251795</v>
      </c>
      <c r="E841" s="10">
        <f t="shared" si="107"/>
        <v>0.16129958941770667</v>
      </c>
      <c r="F841" s="10">
        <f t="shared" si="103"/>
        <v>3.4650071818072989E-2</v>
      </c>
      <c r="G841" s="66">
        <f t="shared" si="108"/>
        <v>4</v>
      </c>
      <c r="H841" s="10"/>
      <c r="I841" s="10">
        <f t="shared" si="104"/>
        <v>1.7861022810070555E-5</v>
      </c>
    </row>
    <row r="842" spans="1:9">
      <c r="A842" s="19">
        <f t="shared" si="105"/>
        <v>69.000000000000441</v>
      </c>
      <c r="B842" s="10">
        <f t="shared" si="101"/>
        <v>2.1925291675212164E-3</v>
      </c>
      <c r="C842" s="10">
        <f t="shared" si="102"/>
        <v>9.2511482091672509E-2</v>
      </c>
      <c r="D842" s="10">
        <f t="shared" si="106"/>
        <v>0.44542904743083173</v>
      </c>
      <c r="E842" s="10">
        <f t="shared" si="107"/>
        <v>0.16221103533266445</v>
      </c>
      <c r="F842" s="10">
        <f t="shared" si="103"/>
        <v>3.4509475941378986E-2</v>
      </c>
      <c r="G842" s="66">
        <f t="shared" si="108"/>
        <v>2</v>
      </c>
      <c r="H842" s="10"/>
      <c r="I842" s="10">
        <f t="shared" si="104"/>
        <v>8.5065957013759882E-6</v>
      </c>
    </row>
    <row r="843" spans="1:9">
      <c r="A843" s="19">
        <f t="shared" si="105"/>
        <v>69.083333333333769</v>
      </c>
      <c r="B843" s="10">
        <f t="shared" si="101"/>
        <v>2.1123997175077512E-3</v>
      </c>
      <c r="C843" s="10">
        <f t="shared" si="102"/>
        <v>9.1265881897207579E-2</v>
      </c>
      <c r="D843" s="10">
        <f t="shared" si="106"/>
        <v>0.44812102546171573</v>
      </c>
      <c r="E843" s="10">
        <f t="shared" si="107"/>
        <v>0.163127634695338</v>
      </c>
      <c r="F843" s="10">
        <f t="shared" si="103"/>
        <v>3.4369450545480733E-2</v>
      </c>
      <c r="G843" s="66">
        <f t="shared" si="108"/>
        <v>4</v>
      </c>
      <c r="H843" s="10"/>
      <c r="I843" s="10">
        <f t="shared" si="104"/>
        <v>1.6200747608949229E-5</v>
      </c>
    </row>
    <row r="844" spans="1:9">
      <c r="A844" s="19">
        <f t="shared" si="105"/>
        <v>69.166666666667098</v>
      </c>
      <c r="B844" s="10">
        <f t="shared" si="101"/>
        <v>2.0347408389021818E-3</v>
      </c>
      <c r="C844" s="10">
        <f t="shared" si="102"/>
        <v>9.0030156322712288E-2</v>
      </c>
      <c r="D844" s="10">
        <f t="shared" si="106"/>
        <v>0.45082927628181196</v>
      </c>
      <c r="E844" s="10">
        <f t="shared" si="107"/>
        <v>0.16404941664407025</v>
      </c>
      <c r="F844" s="10">
        <f t="shared" si="103"/>
        <v>3.4229993315599533E-2</v>
      </c>
      <c r="G844" s="66">
        <f t="shared" si="108"/>
        <v>2</v>
      </c>
      <c r="H844" s="10"/>
      <c r="I844" s="10">
        <f t="shared" si="104"/>
        <v>7.7112247283139975E-6</v>
      </c>
    </row>
    <row r="845" spans="1:9">
      <c r="A845" s="19">
        <f t="shared" si="105"/>
        <v>69.250000000000426</v>
      </c>
      <c r="B845" s="10">
        <f t="shared" si="101"/>
        <v>1.9594933416208511E-3</v>
      </c>
      <c r="C845" s="10">
        <f t="shared" si="102"/>
        <v>8.8804321227973729E-2</v>
      </c>
      <c r="D845" s="10">
        <f t="shared" si="106"/>
        <v>0.45355389825881287</v>
      </c>
      <c r="E845" s="10">
        <f t="shared" si="107"/>
        <v>0.16497641048195599</v>
      </c>
      <c r="F845" s="10">
        <f t="shared" si="103"/>
        <v>3.409110194634913E-2</v>
      </c>
      <c r="G845" s="66">
        <f t="shared" si="108"/>
        <v>4</v>
      </c>
      <c r="H845" s="10"/>
      <c r="I845" s="10">
        <f t="shared" si="104"/>
        <v>1.4677088311398377E-5</v>
      </c>
    </row>
    <row r="846" spans="1:9">
      <c r="A846" s="19">
        <f t="shared" si="105"/>
        <v>69.333333333333755</v>
      </c>
      <c r="B846" s="10">
        <f t="shared" ref="B846:B909" si="109">(B$9^A846)*B$10^((B$6^28)*((B$6^A846)-1))</f>
        <v>1.886598901585878E-3</v>
      </c>
      <c r="C846" s="10">
        <f t="shared" ref="C846:C909" si="110">(B$9^A846)*B$11^((B$7^24)*((B$7^A846)-1))</f>
        <v>8.7588391361124909E-2</v>
      </c>
      <c r="D846" s="10">
        <f t="shared" si="106"/>
        <v>0.45629499035503679</v>
      </c>
      <c r="E846" s="10">
        <f t="shared" si="107"/>
        <v>0.16590864567777436</v>
      </c>
      <c r="F846" s="10">
        <f t="shared" si="103"/>
        <v>3.395277414169761E-2</v>
      </c>
      <c r="G846" s="66">
        <f t="shared" si="108"/>
        <v>2</v>
      </c>
      <c r="H846" s="10"/>
      <c r="I846" s="10">
        <f t="shared" si="104"/>
        <v>6.9817441904476019E-6</v>
      </c>
    </row>
    <row r="847" spans="1:9">
      <c r="A847" s="19">
        <f t="shared" si="105"/>
        <v>69.416666666667084</v>
      </c>
      <c r="B847" s="10">
        <f t="shared" si="109"/>
        <v>1.816000063825365E-3</v>
      </c>
      <c r="C847" s="10">
        <f t="shared" si="110"/>
        <v>8.6382380354296323E-2</v>
      </c>
      <c r="D847" s="10">
        <f t="shared" si="106"/>
        <v>0.4590526521310202</v>
      </c>
      <c r="E847" s="10">
        <f t="shared" si="107"/>
        <v>0.16684615186692531</v>
      </c>
      <c r="F847" s="10">
        <f t="shared" ref="F847:F910" si="111">(1+B$8)^-A847</f>
        <v>3.3815007614929386E-2</v>
      </c>
      <c r="G847" s="66">
        <f t="shared" si="108"/>
        <v>4</v>
      </c>
      <c r="H847" s="10"/>
      <c r="I847" s="10">
        <f t="shared" ref="I847:I910" si="112">B847*C847*(D847+E847)*F847*G847</f>
        <v>1.328050621216112E-5</v>
      </c>
    </row>
    <row r="848" spans="1:9">
      <c r="A848" s="19">
        <f t="shared" ref="A848:A911" si="113">A847+1/12</f>
        <v>69.500000000000412</v>
      </c>
      <c r="B848" s="10">
        <f t="shared" si="109"/>
        <v>1.7476402450938536E-3</v>
      </c>
      <c r="C848" s="10">
        <f t="shared" si="110"/>
        <v>8.5186300719529581E-2</v>
      </c>
      <c r="D848" s="10">
        <f t="shared" si="106"/>
        <v>0.46182698374913583</v>
      </c>
      <c r="E848" s="10">
        <f t="shared" si="107"/>
        <v>0.16778895885237113</v>
      </c>
      <c r="F848" s="10">
        <f t="shared" si="111"/>
        <v>3.3677800088607449E-2</v>
      </c>
      <c r="G848" s="66">
        <f t="shared" si="108"/>
        <v>2</v>
      </c>
      <c r="H848" s="10"/>
      <c r="I848" s="10">
        <f t="shared" si="112"/>
        <v>6.3135150913122735E-6</v>
      </c>
    </row>
    <row r="849" spans="1:9">
      <c r="A849" s="19">
        <f t="shared" si="113"/>
        <v>69.583333333333741</v>
      </c>
      <c r="B849" s="10">
        <f t="shared" si="109"/>
        <v>1.6814637360171851E-3</v>
      </c>
      <c r="C849" s="10">
        <f t="shared" si="110"/>
        <v>8.4000163844954692E-2</v>
      </c>
      <c r="D849" s="10">
        <f t="shared" ref="D849:D912" si="114">B$3+B$4*(B$6^(28+A849))</f>
        <v>0.46461808597722987</v>
      </c>
      <c r="E849" s="10">
        <f t="shared" ref="E849:E912" si="115">B$3+B$5*(B$7^(24+A849))</f>
        <v>0.16873709660558509</v>
      </c>
      <c r="F849" s="10">
        <f t="shared" si="111"/>
        <v>3.3541149294535687E-2</v>
      </c>
      <c r="G849" s="66">
        <f t="shared" ref="G849:G912" si="116">IF(G848=4,2,4)</f>
        <v>4</v>
      </c>
      <c r="H849" s="10"/>
      <c r="I849" s="10">
        <f t="shared" si="112"/>
        <v>1.2001979985253495E-5</v>
      </c>
    </row>
    <row r="850" spans="1:9">
      <c r="A850" s="19">
        <f t="shared" si="113"/>
        <v>69.666666666667069</v>
      </c>
      <c r="B850" s="10">
        <f t="shared" si="109"/>
        <v>1.6174157027668522E-3</v>
      </c>
      <c r="C850" s="10">
        <f t="shared" si="110"/>
        <v>8.2823979991239208E-2</v>
      </c>
      <c r="D850" s="10">
        <f t="shared" si="114"/>
        <v>0.46742606019228078</v>
      </c>
      <c r="E850" s="10">
        <f t="shared" si="115"/>
        <v>0.16969059526750283</v>
      </c>
      <c r="F850" s="10">
        <f t="shared" si="111"/>
        <v>3.3405052973721427E-2</v>
      </c>
      <c r="G850" s="66">
        <f t="shared" si="116"/>
        <v>2</v>
      </c>
      <c r="H850" s="10"/>
      <c r="I850" s="10">
        <f t="shared" si="112"/>
        <v>5.7021530542326863E-6</v>
      </c>
    </row>
    <row r="851" spans="1:9">
      <c r="A851" s="19">
        <f t="shared" si="113"/>
        <v>69.750000000000398</v>
      </c>
      <c r="B851" s="10">
        <f t="shared" si="109"/>
        <v>1.5554421882687818E-3</v>
      </c>
      <c r="C851" s="10">
        <f t="shared" si="110"/>
        <v>8.1657758288306126E-2</v>
      </c>
      <c r="D851" s="10">
        <f t="shared" si="114"/>
        <v>0.47025100838408451</v>
      </c>
      <c r="E851" s="10">
        <f t="shared" si="115"/>
        <v>0.17064948514948192</v>
      </c>
      <c r="F851" s="10">
        <f t="shared" si="111"/>
        <v>3.3269508876338047E-2</v>
      </c>
      <c r="G851" s="66">
        <f t="shared" si="116"/>
        <v>4</v>
      </c>
      <c r="H851" s="10"/>
      <c r="I851" s="10">
        <f t="shared" si="112"/>
        <v>1.0832989311360253E-5</v>
      </c>
    </row>
    <row r="852" spans="1:9">
      <c r="A852" s="19">
        <f t="shared" si="113"/>
        <v>69.833333333333727</v>
      </c>
      <c r="B852" s="10">
        <f t="shared" si="109"/>
        <v>1.4954901129522226E-3</v>
      </c>
      <c r="C852" s="10">
        <f t="shared" si="110"/>
        <v>8.0501506732330752E-2</v>
      </c>
      <c r="D852" s="10">
        <f t="shared" si="114"/>
        <v>0.47309303315895507</v>
      </c>
      <c r="E852" s="10">
        <f t="shared" si="115"/>
        <v>0.17161379673426408</v>
      </c>
      <c r="F852" s="10">
        <f t="shared" si="111"/>
        <v>3.3134514761687821E-2</v>
      </c>
      <c r="G852" s="66">
        <f t="shared" si="116"/>
        <v>2</v>
      </c>
      <c r="H852" s="10"/>
      <c r="I852" s="10">
        <f t="shared" si="112"/>
        <v>5.1435200474209232E-6</v>
      </c>
    </row>
    <row r="853" spans="1:9">
      <c r="A853" s="19">
        <f t="shared" si="113"/>
        <v>69.916666666667055</v>
      </c>
      <c r="B853" s="10">
        <f t="shared" si="109"/>
        <v>1.4375072750443731E-3</v>
      </c>
      <c r="C853" s="10">
        <f t="shared" si="110"/>
        <v>7.9355232183012228E-2</v>
      </c>
      <c r="D853" s="10">
        <f t="shared" si="114"/>
        <v>0.47595223774345513</v>
      </c>
      <c r="E853" s="10">
        <f t="shared" si="115"/>
        <v>0.1725835606769455</v>
      </c>
      <c r="F853" s="10">
        <f t="shared" si="111"/>
        <v>3.3000068398164835E-2</v>
      </c>
      <c r="G853" s="66">
        <f t="shared" si="116"/>
        <v>4</v>
      </c>
      <c r="H853" s="10"/>
      <c r="I853" s="10">
        <f t="shared" si="112"/>
        <v>9.7654981691778256E-6</v>
      </c>
    </row>
    <row r="854" spans="1:9">
      <c r="A854" s="19">
        <f t="shared" si="113"/>
        <v>70.000000000000384</v>
      </c>
      <c r="B854" s="10">
        <f t="shared" si="109"/>
        <v>1.3814423504170661E-3</v>
      </c>
      <c r="C854" s="10">
        <f t="shared" si="110"/>
        <v>7.8218940361129793E-2</v>
      </c>
      <c r="D854" s="10">
        <f t="shared" si="114"/>
        <v>0.47882872598814191</v>
      </c>
      <c r="E854" s="10">
        <f t="shared" si="115"/>
        <v>0.17355880780595018</v>
      </c>
      <c r="F854" s="10">
        <f t="shared" si="111"/>
        <v>3.2866167563218161E-2</v>
      </c>
      <c r="G854" s="66">
        <f t="shared" si="116"/>
        <v>2</v>
      </c>
      <c r="H854" s="10"/>
      <c r="I854" s="10">
        <f t="shared" si="112"/>
        <v>4.6337159592730557E-6</v>
      </c>
    </row>
    <row r="855" spans="1:9">
      <c r="A855" s="19">
        <f t="shared" si="113"/>
        <v>70.083333333333712</v>
      </c>
      <c r="B855" s="10">
        <f t="shared" si="109"/>
        <v>1.3272448919918508E-3</v>
      </c>
      <c r="C855" s="10">
        <f t="shared" si="110"/>
        <v>7.7092635846380375E-2</v>
      </c>
      <c r="D855" s="10">
        <f t="shared" si="114"/>
        <v>0.48172260237134268</v>
      </c>
      <c r="E855" s="10">
        <f t="shared" si="115"/>
        <v>0.17453956912401106</v>
      </c>
      <c r="F855" s="10">
        <f t="shared" si="111"/>
        <v>3.2732810043315061E-2</v>
      </c>
      <c r="G855" s="66">
        <f t="shared" si="116"/>
        <v>4</v>
      </c>
      <c r="H855" s="10"/>
      <c r="I855" s="10">
        <f t="shared" si="112"/>
        <v>8.7919378631011123E-6</v>
      </c>
    </row>
    <row r="856" spans="1:9">
      <c r="A856" s="19">
        <f t="shared" si="113"/>
        <v>70.166666666667041</v>
      </c>
      <c r="B856" s="10">
        <f t="shared" si="109"/>
        <v>1.2748653287101952E-3</v>
      </c>
      <c r="C856" s="10">
        <f t="shared" si="110"/>
        <v>7.597632207550617E-2</v>
      </c>
      <c r="D856" s="10">
        <f t="shared" si="114"/>
        <v>0.48463397200294578</v>
      </c>
      <c r="E856" s="10">
        <f t="shared" si="115"/>
        <v>0.17552587580915441</v>
      </c>
      <c r="F856" s="10">
        <f t="shared" si="111"/>
        <v>3.2599993633904395E-2</v>
      </c>
      <c r="G856" s="66">
        <f t="shared" si="116"/>
        <v>2</v>
      </c>
      <c r="H856" s="10"/>
      <c r="I856" s="10">
        <f t="shared" si="112"/>
        <v>4.1690700595427604E-6</v>
      </c>
    </row>
    <row r="857" spans="1:9">
      <c r="A857" s="19">
        <f t="shared" si="113"/>
        <v>70.250000000000369</v>
      </c>
      <c r="B857" s="10">
        <f t="shared" si="109"/>
        <v>1.2242549640760234E-3</v>
      </c>
      <c r="C857" s="10">
        <f t="shared" si="110"/>
        <v>7.4870001340708675E-2</v>
      </c>
      <c r="D857" s="10">
        <f t="shared" si="114"/>
        <v>0.48756294062822164</v>
      </c>
      <c r="E857" s="10">
        <f t="shared" si="115"/>
        <v>0.17651775921569229</v>
      </c>
      <c r="F857" s="10">
        <f t="shared" si="111"/>
        <v>3.2467716139380216E-2</v>
      </c>
      <c r="G857" s="66">
        <f t="shared" si="116"/>
        <v>4</v>
      </c>
      <c r="H857" s="10"/>
      <c r="I857" s="10">
        <f t="shared" si="112"/>
        <v>7.9051898575032368E-6</v>
      </c>
    </row>
    <row r="858" spans="1:9">
      <c r="A858" s="19">
        <f t="shared" si="113"/>
        <v>70.333333333333698</v>
      </c>
      <c r="B858" s="10">
        <f t="shared" si="109"/>
        <v>1.1753659742776484E-3</v>
      </c>
      <c r="C858" s="10">
        <f t="shared" si="110"/>
        <v>7.3773674788358612E-2</v>
      </c>
      <c r="D858" s="10">
        <f t="shared" si="114"/>
        <v>0.49050961463166243</v>
      </c>
      <c r="E858" s="10">
        <f t="shared" si="115"/>
        <v>0.17751525087521794</v>
      </c>
      <c r="F858" s="10">
        <f t="shared" si="111"/>
        <v>3.2335975373045431E-2</v>
      </c>
      <c r="G858" s="66">
        <f t="shared" si="116"/>
        <v>2</v>
      </c>
      <c r="H858" s="10"/>
      <c r="I858" s="10">
        <f t="shared" si="112"/>
        <v>3.7461323809280963E-6</v>
      </c>
    </row>
    <row r="859" spans="1:9">
      <c r="A859" s="19">
        <f t="shared" si="113"/>
        <v>70.416666666667027</v>
      </c>
      <c r="B859" s="10">
        <f t="shared" si="109"/>
        <v>1.1281514058970178E-3</v>
      </c>
      <c r="C859" s="10">
        <f t="shared" si="110"/>
        <v>7.268734241799775E-2</v>
      </c>
      <c r="D859" s="10">
        <f t="shared" si="114"/>
        <v>0.49347410104084455</v>
      </c>
      <c r="E859" s="10">
        <f t="shared" si="115"/>
        <v>0.17851838249760943</v>
      </c>
      <c r="F859" s="10">
        <f t="shared" si="111"/>
        <v>3.2204769157075701E-2</v>
      </c>
      <c r="G859" s="66">
        <f t="shared" si="116"/>
        <v>4</v>
      </c>
      <c r="H859" s="10"/>
      <c r="I859" s="10">
        <f t="shared" si="112"/>
        <v>7.0985684854393509E-6</v>
      </c>
    </row>
    <row r="860" spans="1:9">
      <c r="A860" s="19">
        <f t="shared" si="113"/>
        <v>70.500000000000355</v>
      </c>
      <c r="B860" s="10">
        <f t="shared" si="109"/>
        <v>1.08256517321382E-3</v>
      </c>
      <c r="C860" s="10">
        <f t="shared" si="110"/>
        <v>7.1611003081640187E-2</v>
      </c>
      <c r="D860" s="10">
        <f t="shared" si="114"/>
        <v>0.49645650753031922</v>
      </c>
      <c r="E860" s="10">
        <f t="shared" si="115"/>
        <v>0.17952718597203648</v>
      </c>
      <c r="F860" s="10">
        <f t="shared" si="111"/>
        <v>3.2074095322483377E-2</v>
      </c>
      <c r="G860" s="66">
        <f t="shared" si="116"/>
        <v>2</v>
      </c>
      <c r="H860" s="10"/>
      <c r="I860" s="10">
        <f t="shared" si="112"/>
        <v>3.3616650543366829E-6</v>
      </c>
    </row>
    <row r="861" spans="1:9">
      <c r="A861" s="19">
        <f t="shared" si="113"/>
        <v>70.583333333333684</v>
      </c>
      <c r="B861" s="10">
        <f t="shared" si="109"/>
        <v>1.0385620551128527E-3</v>
      </c>
      <c r="C861" s="10">
        <f t="shared" si="110"/>
        <v>7.0544654483371591E-2</v>
      </c>
      <c r="D861" s="10">
        <f t="shared" si="114"/>
        <v>0.49945694242551991</v>
      </c>
      <c r="E861" s="10">
        <f t="shared" si="115"/>
        <v>0.1805416933679754</v>
      </c>
      <c r="F861" s="10">
        <f t="shared" si="111"/>
        <v>3.1943951709081687E-2</v>
      </c>
      <c r="G861" s="66">
        <f t="shared" si="116"/>
        <v>4</v>
      </c>
      <c r="H861" s="10"/>
      <c r="I861" s="10">
        <f t="shared" si="112"/>
        <v>6.3658035969453142E-6</v>
      </c>
    </row>
    <row r="862" spans="1:9">
      <c r="A862" s="19">
        <f t="shared" si="113"/>
        <v>70.666666666667012</v>
      </c>
      <c r="B862" s="10">
        <f t="shared" si="109"/>
        <v>9.9609769160278615E-4</v>
      </c>
      <c r="C862" s="10">
        <f t="shared" si="110"/>
        <v>6.9488293179251759E-2</v>
      </c>
      <c r="D862" s="10">
        <f t="shared" si="114"/>
        <v>0.50247551470670015</v>
      </c>
      <c r="E862" s="10">
        <f t="shared" si="115"/>
        <v>0.18156193693622741</v>
      </c>
      <c r="F862" s="10">
        <f t="shared" si="111"/>
        <v>3.1814336165449063E-2</v>
      </c>
      <c r="G862" s="66">
        <f t="shared" si="116"/>
        <v>2</v>
      </c>
      <c r="H862" s="10"/>
      <c r="I862" s="10">
        <f t="shared" si="112"/>
        <v>3.0126336297065175E-6</v>
      </c>
    </row>
    <row r="863" spans="1:9">
      <c r="A863" s="19">
        <f t="shared" si="113"/>
        <v>70.750000000000341</v>
      </c>
      <c r="B863" s="10">
        <f t="shared" si="109"/>
        <v>9.5512857995507764E-4</v>
      </c>
      <c r="C863" s="10">
        <f t="shared" si="110"/>
        <v>6.8441914577519358E-2</v>
      </c>
      <c r="D863" s="10">
        <f t="shared" si="114"/>
        <v>0.50551233401288864</v>
      </c>
      <c r="E863" s="10">
        <f t="shared" si="115"/>
        <v>0.18258794910994486</v>
      </c>
      <c r="F863" s="10">
        <f t="shared" si="111"/>
        <v>3.1685246548893459E-2</v>
      </c>
      <c r="G863" s="66">
        <f t="shared" si="116"/>
        <v>4</v>
      </c>
      <c r="H863" s="10"/>
      <c r="I863" s="10">
        <f t="shared" si="112"/>
        <v>5.701023209217529E-6</v>
      </c>
    </row>
    <row r="864" spans="1:9">
      <c r="A864" s="19">
        <f t="shared" si="113"/>
        <v>70.83333333333367</v>
      </c>
      <c r="B864" s="10">
        <f t="shared" si="109"/>
        <v>9.1561207047178791E-4</v>
      </c>
      <c r="C864" s="10">
        <f t="shared" si="110"/>
        <v>6.7405512939103907E-2</v>
      </c>
      <c r="D864" s="10">
        <f t="shared" si="114"/>
        <v>0.50856751064587491</v>
      </c>
      <c r="E864" s="10">
        <f t="shared" si="115"/>
        <v>0.18361976250566195</v>
      </c>
      <c r="F864" s="10">
        <f t="shared" si="111"/>
        <v>3.1556680725417049E-2</v>
      </c>
      <c r="G864" s="66">
        <f t="shared" si="116"/>
        <v>2</v>
      </c>
      <c r="H864" s="10"/>
      <c r="I864" s="10">
        <f t="shared" si="112"/>
        <v>2.6961984127671792E-6</v>
      </c>
    </row>
    <row r="865" spans="1:9">
      <c r="A865" s="19">
        <f t="shared" si="113"/>
        <v>70.916666666666998</v>
      </c>
      <c r="B865" s="10">
        <f t="shared" si="109"/>
        <v>8.7750636189126761E-4</v>
      </c>
      <c r="C865" s="10">
        <f t="shared" si="110"/>
        <v>6.6379081378444948E-2</v>
      </c>
      <c r="D865" s="10">
        <f t="shared" si="114"/>
        <v>0.51164115557421197</v>
      </c>
      <c r="E865" s="10">
        <f t="shared" si="115"/>
        <v>0.18465740992433088</v>
      </c>
      <c r="F865" s="10">
        <f t="shared" si="111"/>
        <v>3.1428636569680889E-2</v>
      </c>
      <c r="G865" s="66">
        <f t="shared" si="116"/>
        <v>4</v>
      </c>
      <c r="H865" s="10"/>
      <c r="I865" s="10">
        <f t="shared" si="112"/>
        <v>5.0987362178808876E-6</v>
      </c>
    </row>
    <row r="866" spans="1:9">
      <c r="A866" s="19">
        <f t="shared" si="113"/>
        <v>71.000000000000327</v>
      </c>
      <c r="B866" s="10">
        <f t="shared" si="109"/>
        <v>8.4077049644109235E-4</v>
      </c>
      <c r="C866" s="10">
        <f t="shared" si="110"/>
        <v>6.5362611864619738E-2</v>
      </c>
      <c r="D866" s="10">
        <f t="shared" si="114"/>
        <v>0.51473338043725037</v>
      </c>
      <c r="E866" s="10">
        <f t="shared" si="115"/>
        <v>0.18570092435236604</v>
      </c>
      <c r="F866" s="10">
        <f t="shared" si="111"/>
        <v>3.130111196496977E-2</v>
      </c>
      <c r="G866" s="66">
        <f t="shared" si="116"/>
        <v>2</v>
      </c>
      <c r="H866" s="10"/>
      <c r="I866" s="10">
        <f t="shared" si="112"/>
        <v>2.4097058465422479E-6</v>
      </c>
    </row>
    <row r="867" spans="1:9">
      <c r="A867" s="19">
        <f t="shared" si="113"/>
        <v>71.083333333333655</v>
      </c>
      <c r="B867" s="10">
        <f t="shared" si="109"/>
        <v>8.053643545474406E-4</v>
      </c>
      <c r="C867" s="10">
        <f t="shared" si="110"/>
        <v>6.4356095222783599E-2</v>
      </c>
      <c r="D867" s="10">
        <f t="shared" si="114"/>
        <v>0.51784429754919115</v>
      </c>
      <c r="E867" s="10">
        <f t="shared" si="115"/>
        <v>0.186750338962691</v>
      </c>
      <c r="F867" s="10">
        <f t="shared" si="111"/>
        <v>3.1174104803157292E-2</v>
      </c>
      <c r="G867" s="66">
        <f t="shared" si="116"/>
        <v>4</v>
      </c>
      <c r="H867" s="10"/>
      <c r="I867" s="10">
        <f t="shared" si="112"/>
        <v>4.5538152253008305E-6</v>
      </c>
    </row>
    <row r="868" spans="1:9">
      <c r="A868" s="19">
        <f t="shared" si="113"/>
        <v>71.166666666666984</v>
      </c>
      <c r="B868" s="10">
        <f t="shared" si="109"/>
        <v>7.7124864921073605E-4</v>
      </c>
      <c r="C868" s="10">
        <f t="shared" si="110"/>
        <v>6.3359521135920568E-2</v>
      </c>
      <c r="D868" s="10">
        <f t="shared" si="114"/>
        <v>0.52097401990316439</v>
      </c>
      <c r="E868" s="10">
        <f t="shared" si="115"/>
        <v>0.18780568711579457</v>
      </c>
      <c r="F868" s="10">
        <f t="shared" si="111"/>
        <v>3.1047612984670944E-2</v>
      </c>
      <c r="G868" s="66">
        <f t="shared" si="116"/>
        <v>2</v>
      </c>
      <c r="H868" s="10"/>
      <c r="I868" s="10">
        <f t="shared" si="112"/>
        <v>2.1506799647298008E-6</v>
      </c>
    </row>
    <row r="869" spans="1:9">
      <c r="A869" s="19">
        <f t="shared" si="113"/>
        <v>71.250000000000313</v>
      </c>
      <c r="B869" s="10">
        <f t="shared" si="109"/>
        <v>7.3838492005706756E-4</v>
      </c>
      <c r="C869" s="10">
        <f t="shared" si="110"/>
        <v>6.2372878146910268E-2</v>
      </c>
      <c r="D869" s="10">
        <f t="shared" si="114"/>
        <v>0.52412266117533635</v>
      </c>
      <c r="E869" s="10">
        <f t="shared" si="115"/>
        <v>0.1888670023607899</v>
      </c>
      <c r="F869" s="10">
        <f t="shared" si="111"/>
        <v>3.0921634418457428E-2</v>
      </c>
      <c r="G869" s="66">
        <f t="shared" si="116"/>
        <v>4</v>
      </c>
      <c r="H869" s="10"/>
      <c r="I869" s="10">
        <f t="shared" si="112"/>
        <v>4.0614795384991024E-6</v>
      </c>
    </row>
    <row r="870" spans="1:9">
      <c r="A870" s="19">
        <f t="shared" si="113"/>
        <v>71.333333333333641</v>
      </c>
      <c r="B870" s="10">
        <f t="shared" si="109"/>
        <v>7.06735527075491E-4</v>
      </c>
      <c r="C870" s="10">
        <f t="shared" si="110"/>
        <v>6.1396153660906928E-2</v>
      </c>
      <c r="D870" s="10">
        <f t="shared" si="114"/>
        <v>0.52729033572903472</v>
      </c>
      <c r="E870" s="10">
        <f t="shared" si="115"/>
        <v>0.18993431843648254</v>
      </c>
      <c r="F870" s="10">
        <f t="shared" si="111"/>
        <v>3.0796167021948113E-2</v>
      </c>
      <c r="G870" s="66">
        <f t="shared" si="116"/>
        <v>2</v>
      </c>
      <c r="H870" s="10"/>
      <c r="I870" s="10">
        <f t="shared" si="112"/>
        <v>1.9168139423691043E-6</v>
      </c>
    </row>
    <row r="871" spans="1:9">
      <c r="A871" s="19">
        <f t="shared" si="113"/>
        <v>71.41666666666697</v>
      </c>
      <c r="B871" s="10">
        <f t="shared" si="109"/>
        <v>6.7626364405106625E-4</v>
      </c>
      <c r="C871" s="10">
        <f t="shared" si="110"/>
        <v>6.0429333948037685E-2</v>
      </c>
      <c r="D871" s="10">
        <f t="shared" si="114"/>
        <v>0.53047715861890599</v>
      </c>
      <c r="E871" s="10">
        <f t="shared" si="115"/>
        <v>0.19100766927244126</v>
      </c>
      <c r="F871" s="10">
        <f t="shared" si="111"/>
        <v>3.0671208721024554E-2</v>
      </c>
      <c r="G871" s="66">
        <f t="shared" si="116"/>
        <v>4</v>
      </c>
      <c r="H871" s="10"/>
      <c r="I871" s="10">
        <f t="shared" si="112"/>
        <v>3.6172783857188539E-6</v>
      </c>
    </row>
    <row r="872" spans="1:9">
      <c r="A872" s="19">
        <f t="shared" si="113"/>
        <v>71.500000000000298</v>
      </c>
      <c r="B872" s="10">
        <f t="shared" si="109"/>
        <v>6.4693325170393388E-4</v>
      </c>
      <c r="C872" s="10">
        <f t="shared" si="110"/>
        <v>5.9472404146414505E-2</v>
      </c>
      <c r="D872" s="10">
        <f t="shared" si="114"/>
        <v>0.53368324559509084</v>
      </c>
      <c r="E872" s="10">
        <f t="shared" si="115"/>
        <v>0.19208708899007834</v>
      </c>
      <c r="F872" s="10">
        <f t="shared" si="111"/>
        <v>3.0546757449984245E-2</v>
      </c>
      <c r="G872" s="66">
        <f t="shared" si="116"/>
        <v>2</v>
      </c>
      <c r="H872" s="10"/>
      <c r="I872" s="10">
        <f t="shared" si="112"/>
        <v>1.7059617674192118E-6</v>
      </c>
    </row>
    <row r="873" spans="1:9">
      <c r="A873" s="19">
        <f t="shared" si="113"/>
        <v>71.583333333333627</v>
      </c>
      <c r="B873" s="10">
        <f t="shared" si="109"/>
        <v>6.1870913054462573E-4</v>
      </c>
      <c r="C873" s="10">
        <f t="shared" si="110"/>
        <v>5.8525348265467091E-2</v>
      </c>
      <c r="D873" s="10">
        <f t="shared" si="114"/>
        <v>0.53690871310743193</v>
      </c>
      <c r="E873" s="10">
        <f t="shared" si="115"/>
        <v>0.19317261190373286</v>
      </c>
      <c r="F873" s="10">
        <f t="shared" si="111"/>
        <v>3.0422811151506461E-2</v>
      </c>
      <c r="G873" s="66">
        <f t="shared" si="116"/>
        <v>4</v>
      </c>
      <c r="H873" s="10"/>
      <c r="I873" s="10">
        <f t="shared" si="112"/>
        <v>3.2170743970766745E-6</v>
      </c>
    </row>
    <row r="874" spans="1:9">
      <c r="A874" s="19">
        <f t="shared" si="113"/>
        <v>71.666666666666956</v>
      </c>
      <c r="B874" s="10">
        <f t="shared" si="109"/>
        <v>5.915568534559818E-4</v>
      </c>
      <c r="C874" s="10">
        <f t="shared" si="110"/>
        <v>5.7588149189591528E-2</v>
      </c>
      <c r="D874" s="10">
        <f t="shared" si="114"/>
        <v>0.54015367830970029</v>
      </c>
      <c r="E874" s="10">
        <f t="shared" si="115"/>
        <v>0.19426427252176265</v>
      </c>
      <c r="F874" s="10">
        <f t="shared" si="111"/>
        <v>3.0299367776618243E-2</v>
      </c>
      <c r="G874" s="66">
        <f t="shared" si="116"/>
        <v>2</v>
      </c>
      <c r="H874" s="10"/>
      <c r="I874" s="10">
        <f t="shared" si="112"/>
        <v>1.5161300550533733E-6</v>
      </c>
    </row>
    <row r="875" spans="1:9">
      <c r="A875" s="19">
        <f t="shared" si="113"/>
        <v>71.750000000000284</v>
      </c>
      <c r="B875" s="10">
        <f t="shared" si="109"/>
        <v>5.6544277801219849E-4</v>
      </c>
      <c r="C875" s="10">
        <f t="shared" si="110"/>
        <v>5.6660788682120343E-2</v>
      </c>
      <c r="D875" s="10">
        <f t="shared" si="114"/>
        <v>0.54341825906385288</v>
      </c>
      <c r="E875" s="10">
        <f t="shared" si="115"/>
        <v>0.19536210554764033</v>
      </c>
      <c r="F875" s="10">
        <f t="shared" si="111"/>
        <v>3.0176425284660531E-2</v>
      </c>
      <c r="G875" s="66">
        <f t="shared" si="116"/>
        <v>4</v>
      </c>
      <c r="H875" s="10"/>
      <c r="I875" s="10">
        <f t="shared" si="112"/>
        <v>2.8570273910663657E-6</v>
      </c>
    </row>
    <row r="876" spans="1:9">
      <c r="A876" s="19">
        <f t="shared" si="113"/>
        <v>71.833333333333613</v>
      </c>
      <c r="B876" s="10">
        <f t="shared" si="109"/>
        <v>5.403340385454553E-4</v>
      </c>
      <c r="C876" s="10">
        <f t="shared" si="110"/>
        <v>5.5743247389609805E-2</v>
      </c>
      <c r="D876" s="10">
        <f t="shared" si="114"/>
        <v>0.5467025739443131</v>
      </c>
      <c r="E876" s="10">
        <f t="shared" si="115"/>
        <v>0.1964661458810576</v>
      </c>
      <c r="F876" s="10">
        <f t="shared" si="111"/>
        <v>3.0053981643254422E-2</v>
      </c>
      <c r="G876" s="66">
        <f t="shared" si="116"/>
        <v>2</v>
      </c>
      <c r="H876" s="10"/>
      <c r="I876" s="10">
        <f t="shared" si="112"/>
        <v>1.3454700246246436E-6</v>
      </c>
    </row>
    <row r="877" spans="1:9">
      <c r="A877" s="19">
        <f t="shared" si="113"/>
        <v>71.916666666666941</v>
      </c>
      <c r="B877" s="10">
        <f t="shared" si="109"/>
        <v>5.1619853797082668E-4</v>
      </c>
      <c r="C877" s="10">
        <f t="shared" si="110"/>
        <v>5.4835504846449036E-2</v>
      </c>
      <c r="D877" s="10">
        <f t="shared" si="114"/>
        <v>0.55000674224227541</v>
      </c>
      <c r="E877" s="10">
        <f t="shared" si="115"/>
        <v>0.19757642861903338</v>
      </c>
      <c r="F877" s="10">
        <f t="shared" si="111"/>
        <v>2.9932034828267583E-2</v>
      </c>
      <c r="G877" s="66">
        <f t="shared" si="116"/>
        <v>4</v>
      </c>
      <c r="H877" s="10"/>
      <c r="I877" s="10">
        <f t="shared" si="112"/>
        <v>2.5335785049639893E-6</v>
      </c>
    </row>
    <row r="878" spans="1:9">
      <c r="A878" s="19">
        <f t="shared" si="113"/>
        <v>72.00000000000027</v>
      </c>
      <c r="B878" s="10">
        <f t="shared" si="109"/>
        <v>4.9300493938002517E-4</v>
      </c>
      <c r="C878" s="10">
        <f t="shared" si="110"/>
        <v>5.3937539479786425E-2</v>
      </c>
      <c r="D878" s="10">
        <f t="shared" si="114"/>
        <v>0.55333088397004215</v>
      </c>
      <c r="E878" s="10">
        <f t="shared" si="115"/>
        <v>0.19869298905703098</v>
      </c>
      <c r="F878" s="10">
        <f t="shared" si="111"/>
        <v>2.9810582823780813E-2</v>
      </c>
      <c r="G878" s="66">
        <f t="shared" si="116"/>
        <v>2</v>
      </c>
      <c r="H878" s="10"/>
      <c r="I878" s="10">
        <f t="shared" si="112"/>
        <v>1.1922696573953267E-6</v>
      </c>
    </row>
    <row r="879" spans="1:9">
      <c r="A879" s="19">
        <f t="shared" si="113"/>
        <v>72.083333333333599</v>
      </c>
      <c r="B879" s="10">
        <f t="shared" si="109"/>
        <v>4.7072265741475466E-4</v>
      </c>
      <c r="C879" s="10">
        <f t="shared" si="110"/>
        <v>5.3049328614778374E-2</v>
      </c>
      <c r="D879" s="10">
        <f t="shared" si="114"/>
        <v>0.55667511986537799</v>
      </c>
      <c r="E879" s="10">
        <f t="shared" si="115"/>
        <v>0.19981586269007867</v>
      </c>
      <c r="F879" s="10">
        <f t="shared" si="111"/>
        <v>2.9689623622054639E-2</v>
      </c>
      <c r="G879" s="66">
        <f t="shared" si="116"/>
        <v>4</v>
      </c>
      <c r="H879" s="10"/>
      <c r="I879" s="10">
        <f t="shared" si="112"/>
        <v>2.2434347034543351E-6</v>
      </c>
    </row>
    <row r="880" spans="1:9">
      <c r="A880" s="19">
        <f t="shared" si="113"/>
        <v>72.166666666666927</v>
      </c>
      <c r="B880" s="10">
        <f t="shared" si="109"/>
        <v>4.4932184943035112E-4</v>
      </c>
      <c r="C880" s="10">
        <f t="shared" si="110"/>
        <v>5.2170848480155095E-2</v>
      </c>
      <c r="D880" s="10">
        <f t="shared" si="114"/>
        <v>0.56003957139589966</v>
      </c>
      <c r="E880" s="10">
        <f t="shared" si="115"/>
        <v>0.20094508521389948</v>
      </c>
      <c r="F880" s="10">
        <f t="shared" si="111"/>
        <v>2.9569155223496214E-2</v>
      </c>
      <c r="G880" s="66">
        <f t="shared" si="116"/>
        <v>2</v>
      </c>
      <c r="H880" s="10"/>
      <c r="I880" s="10">
        <f t="shared" si="112"/>
        <v>1.0549460512584854E-6</v>
      </c>
    </row>
    <row r="881" spans="1:9">
      <c r="A881" s="19">
        <f t="shared" si="113"/>
        <v>72.250000000000256</v>
      </c>
      <c r="B881" s="10">
        <f t="shared" si="109"/>
        <v>4.2877340646042231E-4</v>
      </c>
      <c r="C881" s="10">
        <f t="shared" si="110"/>
        <v>5.1302074214107631E-2</v>
      </c>
      <c r="D881" s="10">
        <f t="shared" si="114"/>
        <v>0.56342436076348412</v>
      </c>
      <c r="E881" s="10">
        <f t="shared" si="115"/>
        <v>0.20208069252604452</v>
      </c>
      <c r="F881" s="10">
        <f t="shared" si="111"/>
        <v>2.9449175636626208E-2</v>
      </c>
      <c r="G881" s="66">
        <f t="shared" si="116"/>
        <v>4</v>
      </c>
      <c r="H881" s="10"/>
      <c r="I881" s="10">
        <f t="shared" si="112"/>
        <v>1.9835536960769751E-6</v>
      </c>
    </row>
    <row r="882" spans="1:9">
      <c r="A882" s="19">
        <f t="shared" si="113"/>
        <v>72.333333333333584</v>
      </c>
      <c r="B882" s="10">
        <f t="shared" si="109"/>
        <v>4.0904894399328417E-4</v>
      </c>
      <c r="C882" s="10">
        <f t="shared" si="110"/>
        <v>5.0442979870491518E-2</v>
      </c>
      <c r="D882" s="10">
        <f t="shared" si="114"/>
        <v>0.56682961090871031</v>
      </c>
      <c r="E882" s="10">
        <f t="shared" si="115"/>
        <v>0.20322272072703543</v>
      </c>
      <c r="F882" s="10">
        <f t="shared" si="111"/>
        <v>2.9329682878045903E-2</v>
      </c>
      <c r="G882" s="66">
        <f t="shared" si="116"/>
        <v>2</v>
      </c>
      <c r="H882" s="10"/>
      <c r="I882" s="10">
        <f t="shared" si="112"/>
        <v>9.3203798682565677E-7</v>
      </c>
    </row>
    <row r="883" spans="1:9">
      <c r="A883" s="19">
        <f t="shared" si="113"/>
        <v>72.416666666666913</v>
      </c>
      <c r="B883" s="10">
        <f t="shared" si="109"/>
        <v>3.9012079257083208E-4</v>
      </c>
      <c r="C883" s="10">
        <f t="shared" si="110"/>
        <v>4.9593538425350144E-2</v>
      </c>
      <c r="D883" s="10">
        <f t="shared" si="114"/>
        <v>0.57025544551532137</v>
      </c>
      <c r="E883" s="10">
        <f t="shared" si="115"/>
        <v>0.20437120612151141</v>
      </c>
      <c r="F883" s="10">
        <f t="shared" si="111"/>
        <v>2.9210674972404423E-2</v>
      </c>
      <c r="G883" s="66">
        <f t="shared" si="116"/>
        <v>4</v>
      </c>
      <c r="H883" s="10"/>
      <c r="I883" s="10">
        <f t="shared" si="112"/>
        <v>1.7511292904004954E-6</v>
      </c>
    </row>
    <row r="884" spans="1:9">
      <c r="A884" s="19">
        <f t="shared" si="113"/>
        <v>72.500000000000242</v>
      </c>
      <c r="B884" s="10">
        <f t="shared" si="109"/>
        <v>3.7196198822063285E-4</v>
      </c>
      <c r="C884" s="10">
        <f t="shared" si="110"/>
        <v>4.8753721783754471E-2</v>
      </c>
      <c r="D884" s="10">
        <f t="shared" si="114"/>
        <v>0.57370198901472003</v>
      </c>
      <c r="E884" s="10">
        <f t="shared" si="115"/>
        <v>0.20552618521938293</v>
      </c>
      <c r="F884" s="10">
        <f t="shared" si="111"/>
        <v>2.9092149952366031E-2</v>
      </c>
      <c r="G884" s="66">
        <f t="shared" si="116"/>
        <v>2</v>
      </c>
      <c r="H884" s="10"/>
      <c r="I884" s="10">
        <f t="shared" si="112"/>
        <v>8.2219871742189096E-7</v>
      </c>
    </row>
    <row r="885" spans="1:9">
      <c r="A885" s="19">
        <f t="shared" si="113"/>
        <v>72.58333333333357</v>
      </c>
      <c r="B885" s="10">
        <f t="shared" si="109"/>
        <v>3.5454626273182394E-4</v>
      </c>
      <c r="C885" s="10">
        <f t="shared" si="110"/>
        <v>4.7923500786958402E-2</v>
      </c>
      <c r="D885" s="10">
        <f t="shared" si="114"/>
        <v>0.57716936659048679</v>
      </c>
      <c r="E885" s="10">
        <f t="shared" si="115"/>
        <v>0.20668769473699342</v>
      </c>
      <c r="F885" s="10">
        <f t="shared" si="111"/>
        <v>2.8974105858577653E-2</v>
      </c>
      <c r="G885" s="66">
        <f t="shared" si="116"/>
        <v>4</v>
      </c>
      <c r="H885" s="10"/>
      <c r="I885" s="10">
        <f t="shared" si="112"/>
        <v>1.5435772041976935E-6</v>
      </c>
    </row>
    <row r="886" spans="1:9">
      <c r="A886" s="19">
        <f t="shared" si="113"/>
        <v>72.666666666666899</v>
      </c>
      <c r="B886" s="10">
        <f t="shared" si="109"/>
        <v>3.3784803378550908E-4</v>
      </c>
      <c r="C886" s="10">
        <f t="shared" si="110"/>
        <v>4.7102845219870626E-2</v>
      </c>
      <c r="D886" s="10">
        <f t="shared" si="114"/>
        <v>0.58065770418292517</v>
      </c>
      <c r="E886" s="10">
        <f t="shared" si="115"/>
        <v>0.20785577159828511</v>
      </c>
      <c r="F886" s="10">
        <f t="shared" si="111"/>
        <v>2.8856540739636491E-2</v>
      </c>
      <c r="G886" s="66">
        <f t="shared" si="116"/>
        <v>2</v>
      </c>
      <c r="H886" s="10"/>
      <c r="I886" s="10">
        <f t="shared" si="112"/>
        <v>7.2418899372912647E-7</v>
      </c>
    </row>
    <row r="887" spans="1:9">
      <c r="A887" s="19">
        <f t="shared" si="113"/>
        <v>72.750000000000227</v>
      </c>
      <c r="B887" s="10">
        <f t="shared" si="109"/>
        <v>3.2184239495015263E-4</v>
      </c>
      <c r="C887" s="10">
        <f t="shared" si="110"/>
        <v>4.629172381883831E-2</v>
      </c>
      <c r="D887" s="10">
        <f t="shared" si="114"/>
        <v>0.58416712849363972</v>
      </c>
      <c r="E887" s="10">
        <f t="shared" si="115"/>
        <v>0.20903045293597441</v>
      </c>
      <c r="F887" s="10">
        <f t="shared" si="111"/>
        <v>2.8739452652057719E-2</v>
      </c>
      <c r="G887" s="66">
        <f t="shared" si="116"/>
        <v>4</v>
      </c>
      <c r="H887" s="10"/>
      <c r="I887" s="10">
        <f t="shared" si="112"/>
        <v>1.3585213563335651E-6</v>
      </c>
    </row>
    <row r="888" spans="1:9">
      <c r="A888" s="19">
        <f t="shared" si="113"/>
        <v>72.833333333333556</v>
      </c>
      <c r="B888" s="10">
        <f t="shared" si="109"/>
        <v>3.0650510555251307E-4</v>
      </c>
      <c r="C888" s="10">
        <f t="shared" si="110"/>
        <v>4.5490104279745154E-2</v>
      </c>
      <c r="D888" s="10">
        <f t="shared" si="114"/>
        <v>0.58769776699013399</v>
      </c>
      <c r="E888" s="10">
        <f t="shared" si="115"/>
        <v>0.2102117760927307</v>
      </c>
      <c r="F888" s="10">
        <f t="shared" si="111"/>
        <v>2.8622839660242379E-2</v>
      </c>
      <c r="G888" s="66">
        <f t="shared" si="116"/>
        <v>2</v>
      </c>
      <c r="H888" s="10"/>
      <c r="I888" s="10">
        <f t="shared" si="112"/>
        <v>6.3687033206055708E-7</v>
      </c>
    </row>
    <row r="889" spans="1:9">
      <c r="A889" s="19">
        <f t="shared" si="113"/>
        <v>72.916666666666885</v>
      </c>
      <c r="B889" s="10">
        <f t="shared" si="109"/>
        <v>2.9181258043451319E-4</v>
      </c>
      <c r="C889" s="10">
        <f t="shared" si="110"/>
        <v>4.4697953266417997E-2</v>
      </c>
      <c r="D889" s="10">
        <f t="shared" si="114"/>
        <v>0.59124974791044405</v>
      </c>
      <c r="E889" s="10">
        <f t="shared" si="115"/>
        <v>0.21139977862236498</v>
      </c>
      <c r="F889" s="10">
        <f t="shared" si="111"/>
        <v>2.8506699836445406E-2</v>
      </c>
      <c r="G889" s="66">
        <f t="shared" si="116"/>
        <v>4</v>
      </c>
      <c r="H889" s="10"/>
      <c r="I889" s="10">
        <f t="shared" si="112"/>
        <v>1.1937806526110735E-6</v>
      </c>
    </row>
    <row r="890" spans="1:9">
      <c r="A890" s="19">
        <f t="shared" si="113"/>
        <v>73.000000000000213</v>
      </c>
      <c r="B890" s="10">
        <f t="shared" si="109"/>
        <v>2.7774187960634427E-4</v>
      </c>
      <c r="C890" s="10">
        <f t="shared" si="110"/>
        <v>4.3915236419344236E-2</v>
      </c>
      <c r="D890" s="10">
        <f t="shared" si="114"/>
        <v>0.59482320026779267</v>
      </c>
      <c r="E890" s="10">
        <f t="shared" si="115"/>
        <v>0.21259449829102223</v>
      </c>
      <c r="F890" s="10">
        <f t="shared" si="111"/>
        <v>2.8391031260743712E-2</v>
      </c>
      <c r="G890" s="66">
        <f t="shared" si="116"/>
        <v>2</v>
      </c>
      <c r="H890" s="10"/>
      <c r="I890" s="10">
        <f t="shared" si="112"/>
        <v>5.5919853354235462E-7</v>
      </c>
    </row>
    <row r="891" spans="1:9">
      <c r="A891" s="19">
        <f t="shared" si="113"/>
        <v>73.083333333333542</v>
      </c>
      <c r="B891" s="10">
        <f t="shared" si="109"/>
        <v>2.6427069780609079E-4</v>
      </c>
      <c r="C891" s="10">
        <f t="shared" si="110"/>
        <v>4.3141918364694644E-2</v>
      </c>
      <c r="D891" s="10">
        <f t="shared" si="114"/>
        <v>0.59841825385527869</v>
      </c>
      <c r="E891" s="10">
        <f t="shared" si="115"/>
        <v>0.21379597307838344</v>
      </c>
      <c r="F891" s="10">
        <f t="shared" si="111"/>
        <v>2.8275832021004504E-2</v>
      </c>
      <c r="G891" s="66">
        <f t="shared" si="116"/>
        <v>4</v>
      </c>
      <c r="H891" s="10"/>
      <c r="I891" s="10">
        <f t="shared" si="112"/>
        <v>1.0473562794651514E-6</v>
      </c>
    </row>
    <row r="892" spans="1:9">
      <c r="A892" s="19">
        <f t="shared" si="113"/>
        <v>73.16666666666687</v>
      </c>
      <c r="B892" s="10">
        <f t="shared" si="109"/>
        <v>2.5137735397591043E-4</v>
      </c>
      <c r="C892" s="10">
        <f t="shared" si="110"/>
        <v>4.237796272365231E-2</v>
      </c>
      <c r="D892" s="10">
        <f t="shared" si="114"/>
        <v>0.60203503925058954</v>
      </c>
      <c r="E892" s="10">
        <f t="shared" si="115"/>
        <v>0.21500424117887149</v>
      </c>
      <c r="F892" s="10">
        <f t="shared" si="111"/>
        <v>2.8161100212853622E-2</v>
      </c>
      <c r="G892" s="66">
        <f t="shared" si="116"/>
        <v>2</v>
      </c>
      <c r="H892" s="10"/>
      <c r="I892" s="10">
        <f t="shared" si="112"/>
        <v>4.9021745983276955E-7</v>
      </c>
    </row>
    <row r="893" spans="1:9">
      <c r="A893" s="19">
        <f t="shared" si="113"/>
        <v>73.250000000000199</v>
      </c>
      <c r="B893" s="10">
        <f t="shared" si="109"/>
        <v>2.3904078066483433E-4</v>
      </c>
      <c r="C893" s="10">
        <f t="shared" si="110"/>
        <v>4.1623332122042694E-2</v>
      </c>
      <c r="D893" s="10">
        <f t="shared" si="114"/>
        <v>0.60567368782074271</v>
      </c>
      <c r="E893" s="10">
        <f t="shared" si="115"/>
        <v>0.21621934100286688</v>
      </c>
      <c r="F893" s="10">
        <f t="shared" si="111"/>
        <v>2.8046833939644075E-2</v>
      </c>
      <c r="G893" s="66">
        <f t="shared" si="116"/>
        <v>4</v>
      </c>
      <c r="H893" s="10"/>
      <c r="I893" s="10">
        <f t="shared" si="112"/>
        <v>9.1741951516865957E-7</v>
      </c>
    </row>
    <row r="894" spans="1:9">
      <c r="A894" s="19">
        <f t="shared" si="113"/>
        <v>73.333333333333528</v>
      </c>
      <c r="B894" s="10">
        <f t="shared" si="109"/>
        <v>2.2724051336798256E-4</v>
      </c>
      <c r="C894" s="10">
        <f t="shared" si="110"/>
        <v>4.0877988200265634E-2</v>
      </c>
      <c r="D894" s="10">
        <f t="shared" si="114"/>
        <v>0.60933433172686091</v>
      </c>
      <c r="E894" s="10">
        <f t="shared" si="115"/>
        <v>0.21744131117792714</v>
      </c>
      <c r="F894" s="10">
        <f t="shared" si="111"/>
        <v>2.7933031312424743E-2</v>
      </c>
      <c r="G894" s="66">
        <f t="shared" si="116"/>
        <v>2</v>
      </c>
      <c r="H894" s="10"/>
      <c r="I894" s="10">
        <f t="shared" si="112"/>
        <v>4.2905306943030461E-7</v>
      </c>
    </row>
    <row r="895" spans="1:9">
      <c r="A895" s="19">
        <f t="shared" si="113"/>
        <v>73.416666666666856</v>
      </c>
      <c r="B895" s="10">
        <f t="shared" si="109"/>
        <v>2.159566798119724E-4</v>
      </c>
      <c r="C895" s="10">
        <f t="shared" si="110"/>
        <v>4.0141891623522802E-2</v>
      </c>
      <c r="D895" s="10">
        <f t="shared" si="114"/>
        <v>0.61301710392896791</v>
      </c>
      <c r="E895" s="10">
        <f t="shared" si="115"/>
        <v>0.21867019055001646</v>
      </c>
      <c r="F895" s="10">
        <f t="shared" si="111"/>
        <v>2.7819690449909042E-2</v>
      </c>
      <c r="G895" s="66">
        <f t="shared" si="116"/>
        <v>4</v>
      </c>
      <c r="H895" s="10"/>
      <c r="I895" s="10">
        <f t="shared" si="112"/>
        <v>8.0230006513052201E-7</v>
      </c>
    </row>
    <row r="896" spans="1:9">
      <c r="A896" s="19">
        <f t="shared" si="113"/>
        <v>73.500000000000185</v>
      </c>
      <c r="B896" s="10">
        <f t="shared" si="109"/>
        <v>2.0516998919603924E-4</v>
      </c>
      <c r="C896" s="10">
        <f t="shared" si="110"/>
        <v>3.9415002092342069E-2</v>
      </c>
      <c r="D896" s="10">
        <f t="shared" si="114"/>
        <v>0.61672213819082189</v>
      </c>
      <c r="E896" s="10">
        <f t="shared" si="115"/>
        <v>0.21990601818473898</v>
      </c>
      <c r="F896" s="10">
        <f t="shared" si="111"/>
        <v>2.7706809478443908E-2</v>
      </c>
      <c r="G896" s="66">
        <f t="shared" si="116"/>
        <v>2</v>
      </c>
      <c r="H896" s="10"/>
      <c r="I896" s="10">
        <f t="shared" si="112"/>
        <v>3.7490771711887651E-7</v>
      </c>
    </row>
    <row r="897" spans="1:9">
      <c r="A897" s="19">
        <f t="shared" si="113"/>
        <v>73.583333333333513</v>
      </c>
      <c r="B897" s="10">
        <f t="shared" si="109"/>
        <v>1.948617213983243E-4</v>
      </c>
      <c r="C897" s="10">
        <f t="shared" si="110"/>
        <v>3.8697278353391609E-2</v>
      </c>
      <c r="D897" s="10">
        <f t="shared" si="114"/>
        <v>0.62044956908477067</v>
      </c>
      <c r="E897" s="10">
        <f t="shared" si="115"/>
        <v>0.22114883336858218</v>
      </c>
      <c r="F897" s="10">
        <f t="shared" si="111"/>
        <v>2.7594386531978796E-2</v>
      </c>
      <c r="G897" s="66">
        <f t="shared" si="116"/>
        <v>4</v>
      </c>
      <c r="H897" s="10"/>
      <c r="I897" s="10">
        <f t="shared" si="112"/>
        <v>7.0047492493791894E-7</v>
      </c>
    </row>
    <row r="898" spans="1:9">
      <c r="A898" s="19">
        <f t="shared" si="113"/>
        <v>73.666666666666842</v>
      </c>
      <c r="B898" s="10">
        <f t="shared" si="109"/>
        <v>1.8501371615655654E-4</v>
      </c>
      <c r="C898" s="10">
        <f t="shared" si="110"/>
        <v>3.7988678210584791E-2</v>
      </c>
      <c r="D898" s="10">
        <f t="shared" si="114"/>
        <v>0.62419953199664235</v>
      </c>
      <c r="E898" s="10">
        <f t="shared" si="115"/>
        <v>0.2223986756101643</v>
      </c>
      <c r="F898" s="10">
        <f t="shared" si="111"/>
        <v>2.7482419752034835E-2</v>
      </c>
      <c r="G898" s="66">
        <f t="shared" si="116"/>
        <v>2</v>
      </c>
      <c r="H898" s="10"/>
      <c r="I898" s="10">
        <f t="shared" si="112"/>
        <v>3.2705471767470697E-7</v>
      </c>
    </row>
    <row r="899" spans="1:9">
      <c r="A899" s="19">
        <f t="shared" si="113"/>
        <v>73.750000000000171</v>
      </c>
      <c r="B899" s="10">
        <f t="shared" si="109"/>
        <v>1.7560836223219064E-4</v>
      </c>
      <c r="C899" s="10">
        <f t="shared" si="110"/>
        <v>3.7289158536468497E-2</v>
      </c>
      <c r="D899" s="10">
        <f t="shared" si="114"/>
        <v>0.62797216313065995</v>
      </c>
      <c r="E899" s="10">
        <f t="shared" si="115"/>
        <v>0.22365558464149166</v>
      </c>
      <c r="F899" s="10">
        <f t="shared" si="111"/>
        <v>2.7370907287674096E-2</v>
      </c>
      <c r="G899" s="66">
        <f t="shared" si="116"/>
        <v>4</v>
      </c>
      <c r="H899" s="10"/>
      <c r="I899" s="10">
        <f t="shared" si="112"/>
        <v>6.1055777203248525E-7</v>
      </c>
    </row>
    <row r="900" spans="1:9">
      <c r="A900" s="19">
        <f t="shared" si="113"/>
        <v>73.833333333333499</v>
      </c>
      <c r="B900" s="10">
        <f t="shared" si="109"/>
        <v>1.6662858656692301E-4</v>
      </c>
      <c r="C900" s="10">
        <f t="shared" si="110"/>
        <v>3.6598675283895162E-2</v>
      </c>
      <c r="D900" s="10">
        <f t="shared" si="114"/>
        <v>0.63176759951439121</v>
      </c>
      <c r="E900" s="10">
        <f t="shared" si="115"/>
        <v>0.22491960041922107</v>
      </c>
      <c r="F900" s="10">
        <f t="shared" si="111"/>
        <v>2.7259847295469018E-2</v>
      </c>
      <c r="G900" s="66">
        <f t="shared" si="116"/>
        <v>2</v>
      </c>
      <c r="H900" s="10"/>
      <c r="I900" s="10">
        <f t="shared" si="112"/>
        <v>2.8483317362211125E-7</v>
      </c>
    </row>
    <row r="901" spans="1:9">
      <c r="A901" s="19">
        <f t="shared" si="113"/>
        <v>73.916666666666828</v>
      </c>
      <c r="B901" s="10">
        <f t="shared" si="109"/>
        <v>1.5805784344024998E-4</v>
      </c>
      <c r="C901" s="10">
        <f t="shared" si="110"/>
        <v>3.591718349797262E-2</v>
      </c>
      <c r="D901" s="10">
        <f t="shared" si="114"/>
        <v>0.63558597900372449</v>
      </c>
      <c r="E901" s="10">
        <f t="shared" si="115"/>
        <v>0.22619076312592951</v>
      </c>
      <c r="F901" s="10">
        <f t="shared" si="111"/>
        <v>2.7149237939471878E-2</v>
      </c>
      <c r="G901" s="66">
        <f t="shared" si="116"/>
        <v>4</v>
      </c>
      <c r="H901" s="10"/>
      <c r="I901" s="10">
        <f t="shared" si="112"/>
        <v>5.3128888432379922E-7</v>
      </c>
    </row>
    <row r="902" spans="1:9">
      <c r="A902" s="19">
        <f t="shared" si="113"/>
        <v>74.000000000000156</v>
      </c>
      <c r="B902" s="10">
        <f t="shared" si="109"/>
        <v>1.4988010363660887E-4</v>
      </c>
      <c r="C902" s="10">
        <f t="shared" si="110"/>
        <v>3.5244637328288184E-2</v>
      </c>
      <c r="D902" s="10">
        <f t="shared" si="114"/>
        <v>0.63942744028787435</v>
      </c>
      <c r="E902" s="10">
        <f t="shared" si="115"/>
        <v>0.22746911317139298</v>
      </c>
      <c r="F902" s="10">
        <f t="shared" si="111"/>
        <v>2.7039077391184555E-2</v>
      </c>
      <c r="G902" s="66">
        <f t="shared" si="116"/>
        <v>2</v>
      </c>
      <c r="H902" s="10"/>
      <c r="I902" s="10">
        <f t="shared" si="112"/>
        <v>2.4764306557716048E-7</v>
      </c>
    </row>
    <row r="903" spans="1:9">
      <c r="A903" s="19">
        <f t="shared" si="113"/>
        <v>74.083333333333485</v>
      </c>
      <c r="B903" s="10">
        <f t="shared" si="109"/>
        <v>1.4207984363037013E-4</v>
      </c>
      <c r="C903" s="10">
        <f t="shared" si="110"/>
        <v>3.4580990041404649E-2</v>
      </c>
      <c r="D903" s="10">
        <f t="shared" si="114"/>
        <v>0.64329212289442228</v>
      </c>
      <c r="E903" s="10">
        <f t="shared" si="115"/>
        <v>0.22875469119386929</v>
      </c>
      <c r="F903" s="10">
        <f t="shared" si="111"/>
        <v>2.6929363829528166E-2</v>
      </c>
      <c r="G903" s="66">
        <f t="shared" si="116"/>
        <v>4</v>
      </c>
      <c r="H903" s="10"/>
      <c r="I903" s="10">
        <f t="shared" si="112"/>
        <v>4.6152558163950213E-7</v>
      </c>
    </row>
    <row r="904" spans="1:9">
      <c r="A904" s="19">
        <f t="shared" si="113"/>
        <v>74.166666666666814</v>
      </c>
      <c r="B904" s="10">
        <f t="shared" si="109"/>
        <v>1.3464203479680579E-4</v>
      </c>
      <c r="C904" s="10">
        <f t="shared" si="110"/>
        <v>3.3926194033621522E-2</v>
      </c>
      <c r="D904" s="10">
        <f t="shared" si="114"/>
        <v>0.64718016719438087</v>
      </c>
      <c r="E904" s="10">
        <f t="shared" si="115"/>
        <v>0.23004753806139169</v>
      </c>
      <c r="F904" s="10">
        <f t="shared" si="111"/>
        <v>2.6820095440813038E-2</v>
      </c>
      <c r="G904" s="66">
        <f t="shared" si="116"/>
        <v>2</v>
      </c>
      <c r="H904" s="10"/>
      <c r="I904" s="10">
        <f t="shared" si="112"/>
        <v>2.1494060256301068E-7</v>
      </c>
    </row>
    <row r="905" spans="1:9">
      <c r="A905" s="19">
        <f t="shared" si="113"/>
        <v>74.250000000000142</v>
      </c>
      <c r="B905" s="10">
        <f t="shared" si="109"/>
        <v>1.2755213265688351E-4</v>
      </c>
      <c r="C905" s="10">
        <f t="shared" si="110"/>
        <v>3.3280200844000608E-2</v>
      </c>
      <c r="D905" s="10">
        <f t="shared" si="114"/>
        <v>0.65109171440729618</v>
      </c>
      <c r="E905" s="10">
        <f t="shared" si="115"/>
        <v>0.23134769487306656</v>
      </c>
      <c r="F905" s="10">
        <f t="shared" si="111"/>
        <v>2.6711270418708726E-2</v>
      </c>
      <c r="G905" s="66">
        <f t="shared" si="116"/>
        <v>4</v>
      </c>
      <c r="H905" s="10"/>
      <c r="I905" s="10">
        <f t="shared" si="112"/>
        <v>4.0023318369513584E-7</v>
      </c>
    </row>
    <row r="906" spans="1:9">
      <c r="A906" s="19">
        <f t="shared" si="113"/>
        <v>74.333333333333471</v>
      </c>
      <c r="B906" s="10">
        <f t="shared" si="109"/>
        <v>1.2079606616356931E-4</v>
      </c>
      <c r="C906" s="10">
        <f t="shared" si="110"/>
        <v>3.2642961167647505E-2</v>
      </c>
      <c r="D906" s="10">
        <f t="shared" si="114"/>
        <v>0.65502690660637253</v>
      </c>
      <c r="E906" s="10">
        <f t="shared" si="115"/>
        <v>0.23265520296038122</v>
      </c>
      <c r="F906" s="10">
        <f t="shared" si="111"/>
        <v>2.6602886964214117E-2</v>
      </c>
      <c r="G906" s="66">
        <f t="shared" si="116"/>
        <v>2</v>
      </c>
      <c r="H906" s="10"/>
      <c r="I906" s="10">
        <f t="shared" si="112"/>
        <v>1.8623382862021315E-7</v>
      </c>
    </row>
    <row r="907" spans="1:9">
      <c r="A907" s="19">
        <f t="shared" si="113"/>
        <v>74.416666666666799</v>
      </c>
      <c r="B907" s="10">
        <f t="shared" si="109"/>
        <v>1.1436022703706304E-4</v>
      </c>
      <c r="C907" s="10">
        <f t="shared" si="110"/>
        <v>3.2014424869248673E-2</v>
      </c>
      <c r="D907" s="10">
        <f t="shared" si="114"/>
        <v>0.658985886723638</v>
      </c>
      <c r="E907" s="10">
        <f t="shared" si="115"/>
        <v>0.23397010388851658</v>
      </c>
      <c r="F907" s="10">
        <f t="shared" si="111"/>
        <v>2.6494943285627737E-2</v>
      </c>
      <c r="G907" s="66">
        <f t="shared" si="116"/>
        <v>4</v>
      </c>
      <c r="H907" s="10"/>
      <c r="I907" s="10">
        <f t="shared" si="112"/>
        <v>3.4647647624215935E-7</v>
      </c>
    </row>
    <row r="908" spans="1:9">
      <c r="A908" s="19">
        <f t="shared" si="113"/>
        <v>74.500000000000128</v>
      </c>
      <c r="B908" s="10">
        <f t="shared" si="109"/>
        <v>1.0823145915616112E-4</v>
      </c>
      <c r="C908" s="10">
        <f t="shared" si="110"/>
        <v>3.139454099685568E-2</v>
      </c>
      <c r="D908" s="10">
        <f t="shared" si="114"/>
        <v>0.66296879855513069</v>
      </c>
      <c r="E908" s="10">
        <f t="shared" si="115"/>
        <v>0.23529243945766987</v>
      </c>
      <c r="F908" s="10">
        <f t="shared" si="111"/>
        <v>2.6387437598518085E-2</v>
      </c>
      <c r="G908" s="66">
        <f t="shared" si="116"/>
        <v>2</v>
      </c>
      <c r="H908" s="10"/>
      <c r="I908" s="10">
        <f t="shared" si="112"/>
        <v>1.6107848107130922E-7</v>
      </c>
    </row>
    <row r="909" spans="1:9">
      <c r="A909" s="19">
        <f t="shared" si="113"/>
        <v>74.583333333333456</v>
      </c>
      <c r="B909" s="10">
        <f t="shared" si="109"/>
        <v>1.023970480127427E-4</v>
      </c>
      <c r="C909" s="10">
        <f t="shared" si="110"/>
        <v>3.0783257795914693E-2</v>
      </c>
      <c r="D909" s="10">
        <f t="shared" si="114"/>
        <v>0.66697578676612546</v>
      </c>
      <c r="E909" s="10">
        <f t="shared" si="115"/>
        <v>0.23662225170438189</v>
      </c>
      <c r="F909" s="10">
        <f t="shared" si="111"/>
        <v>2.6280368125694162E-2</v>
      </c>
      <c r="G909" s="66">
        <f t="shared" si="116"/>
        <v>4</v>
      </c>
      <c r="H909" s="10"/>
      <c r="I909" s="10">
        <f t="shared" si="112"/>
        <v>2.99411675221317E-7</v>
      </c>
    </row>
    <row r="910" spans="1:9">
      <c r="A910" s="19">
        <f t="shared" si="113"/>
        <v>74.666666666666785</v>
      </c>
      <c r="B910" s="10">
        <f t="shared" ref="B910:B973" si="117">(B$9^A910)*B$10^((B$6^28)*((B$6^A910)-1))</f>
        <v>9.6844710236082982E-5</v>
      </c>
      <c r="C910" s="10">
        <f t="shared" ref="C910:C973" si="118">(B$9^A910)*B$11^((B$7^24)*((B$7^A910)-1))</f>
        <v>3.0180522723533609E-2</v>
      </c>
      <c r="D910" s="10">
        <f t="shared" si="114"/>
        <v>0.67100699689638765</v>
      </c>
      <c r="E910" s="10">
        <f t="shared" si="115"/>
        <v>0.23795958290287497</v>
      </c>
      <c r="F910" s="10">
        <f t="shared" si="111"/>
        <v>2.6173733097176102E-2</v>
      </c>
      <c r="G910" s="66">
        <f t="shared" si="116"/>
        <v>2</v>
      </c>
      <c r="H910" s="10"/>
      <c r="I910" s="10">
        <f t="shared" si="112"/>
        <v>1.3907409493174348E-7</v>
      </c>
    </row>
    <row r="911" spans="1:9">
      <c r="A911" s="19">
        <f t="shared" si="113"/>
        <v>74.750000000000114</v>
      </c>
      <c r="B911" s="10">
        <f t="shared" si="117"/>
        <v>9.1562583193516661E-5</v>
      </c>
      <c r="C911" s="10">
        <f t="shared" si="118"/>
        <v>2.9586282462984264E-2</v>
      </c>
      <c r="D911" s="10">
        <f t="shared" si="114"/>
        <v>0.67506257536545644</v>
      </c>
      <c r="E911" s="10">
        <f t="shared" si="115"/>
        <v>0.23930447556639525</v>
      </c>
      <c r="F911" s="10">
        <f t="shared" ref="F911:F974" si="119">(1+B$8)^-A911</f>
        <v>2.6067530750165869E-2</v>
      </c>
      <c r="G911" s="66">
        <f t="shared" si="116"/>
        <v>4</v>
      </c>
      <c r="H911" s="10"/>
      <c r="I911" s="10">
        <f t="shared" ref="I911:I974" si="120">B911*C911*(D911+E911)*F911*G911</f>
        <v>2.5827887711057455E-7</v>
      </c>
    </row>
    <row r="912" spans="1:9">
      <c r="A912" s="19">
        <f t="shared" ref="A912:A975" si="121">A911+1/12</f>
        <v>74.833333333333442</v>
      </c>
      <c r="B912" s="10">
        <f t="shared" si="117"/>
        <v>8.6539214673675164E-5</v>
      </c>
      <c r="C912" s="10">
        <f t="shared" si="118"/>
        <v>2.9000482938431667E-2</v>
      </c>
      <c r="D912" s="10">
        <f t="shared" si="114"/>
        <v>0.6791426694779682</v>
      </c>
      <c r="E912" s="10">
        <f t="shared" si="115"/>
        <v>0.24065697244856571</v>
      </c>
      <c r="F912" s="10">
        <f t="shared" si="119"/>
        <v>2.5961759329018171E-2</v>
      </c>
      <c r="G912" s="66">
        <f t="shared" si="116"/>
        <v>2</v>
      </c>
      <c r="H912" s="10"/>
      <c r="I912" s="10">
        <f t="shared" si="120"/>
        <v>1.1986034718836023E-7</v>
      </c>
    </row>
    <row r="913" spans="1:9">
      <c r="A913" s="19">
        <f t="shared" si="121"/>
        <v>74.916666666666771</v>
      </c>
      <c r="B913" s="10">
        <f t="shared" si="117"/>
        <v>8.1763552658327084E-5</v>
      </c>
      <c r="C913" s="10">
        <f t="shared" si="118"/>
        <v>2.8423069329887567E-2</v>
      </c>
      <c r="D913" s="10">
        <f t="shared" ref="D913:D976" si="122">B$3+B$4*(B$6^(28+A913))</f>
        <v>0.6832474274290008</v>
      </c>
      <c r="E913" s="10">
        <f t="shared" ref="E913:E976" si="123">B$3+B$5*(B$7^(24+A913))</f>
        <v>0.24201711654474373</v>
      </c>
      <c r="F913" s="10">
        <f t="shared" si="119"/>
        <v>2.585641708521139E-2</v>
      </c>
      <c r="G913" s="66">
        <f t="shared" ref="G913:G976" si="124">IF(G912=4,2,4)</f>
        <v>4</v>
      </c>
      <c r="H913" s="10"/>
      <c r="I913" s="10">
        <f t="shared" si="120"/>
        <v>2.2239498221120824E-7</v>
      </c>
    </row>
    <row r="914" spans="1:9">
      <c r="A914" s="19">
        <f t="shared" si="121"/>
        <v>75.000000000000099</v>
      </c>
      <c r="B914" s="10">
        <f t="shared" si="117"/>
        <v>7.7224935188553094E-5</v>
      </c>
      <c r="C914" s="10">
        <f t="shared" si="118"/>
        <v>2.7853986088379985E-2</v>
      </c>
      <c r="D914" s="10">
        <f t="shared" si="122"/>
        <v>0.68737699830946242</v>
      </c>
      <c r="E914" s="10">
        <f t="shared" si="123"/>
        <v>0.24338495109338965</v>
      </c>
      <c r="F914" s="10">
        <f t="shared" si="119"/>
        <v>2.5751502277318702E-2</v>
      </c>
      <c r="G914" s="66">
        <f t="shared" si="124"/>
        <v>2</v>
      </c>
      <c r="H914" s="10"/>
      <c r="I914" s="10">
        <f t="shared" si="120"/>
        <v>1.0311363399143274E-7</v>
      </c>
    </row>
    <row r="915" spans="1:9">
      <c r="A915" s="19">
        <f t="shared" si="121"/>
        <v>75.083333333333428</v>
      </c>
      <c r="B915" s="10">
        <f t="shared" si="117"/>
        <v>7.2913080330785872E-5</v>
      </c>
      <c r="C915" s="10">
        <f t="shared" si="118"/>
        <v>2.729317695133545E-2</v>
      </c>
      <c r="D915" s="10">
        <f t="shared" si="122"/>
        <v>0.69153153211150098</v>
      </c>
      <c r="E915" s="10">
        <f t="shared" si="123"/>
        <v>0.24476051957743927</v>
      </c>
      <c r="F915" s="10">
        <f t="shared" si="119"/>
        <v>2.5647013170979279E-2</v>
      </c>
      <c r="G915" s="66">
        <f t="shared" si="124"/>
        <v>4</v>
      </c>
      <c r="H915" s="10"/>
      <c r="I915" s="10">
        <f t="shared" si="120"/>
        <v>1.9114707635908455E-7</v>
      </c>
    </row>
    <row r="916" spans="1:9">
      <c r="A916" s="19">
        <f t="shared" si="121"/>
        <v>75.166666666666757</v>
      </c>
      <c r="B916" s="10">
        <f t="shared" si="117"/>
        <v>6.8818076247957429E-5</v>
      </c>
      <c r="C916" s="10">
        <f t="shared" si="118"/>
        <v>2.674058495816585E-2</v>
      </c>
      <c r="D916" s="10">
        <f t="shared" si="122"/>
        <v>0.69571117973395702</v>
      </c>
      <c r="E916" s="10">
        <f t="shared" si="123"/>
        <v>0.24614386572568825</v>
      </c>
      <c r="F916" s="10">
        <f t="shared" si="119"/>
        <v>2.5542948038869636E-2</v>
      </c>
      <c r="G916" s="66">
        <f t="shared" si="124"/>
        <v>2</v>
      </c>
      <c r="H916" s="10"/>
      <c r="I916" s="10">
        <f t="shared" si="120"/>
        <v>8.8543873224434778E-8</v>
      </c>
    </row>
    <row r="917" spans="1:9">
      <c r="A917" s="19">
        <f t="shared" si="121"/>
        <v>75.250000000000085</v>
      </c>
      <c r="B917" s="10">
        <f t="shared" si="117"/>
        <v>6.4930371380759482E-5</v>
      </c>
      <c r="C917" s="10">
        <f t="shared" si="118"/>
        <v>2.6196152466055975E-2</v>
      </c>
      <c r="D917" s="10">
        <f t="shared" si="122"/>
        <v>0.6999160929878403</v>
      </c>
      <c r="E917" s="10">
        <f t="shared" si="123"/>
        <v>0.24753503351418035</v>
      </c>
      <c r="F917" s="10">
        <f t="shared" si="119"/>
        <v>2.5439305160675038E-2</v>
      </c>
      <c r="G917" s="66">
        <f t="shared" si="124"/>
        <v>4</v>
      </c>
      <c r="H917" s="10"/>
      <c r="I917" s="10">
        <f t="shared" si="120"/>
        <v>1.639862554765717E-7</v>
      </c>
    </row>
    <row r="918" spans="1:9">
      <c r="A918" s="19">
        <f t="shared" si="121"/>
        <v>75.333333333333414</v>
      </c>
      <c r="B918" s="10">
        <f t="shared" si="117"/>
        <v>6.1240764743778994E-5</v>
      </c>
      <c r="C918" s="10">
        <f t="shared" si="118"/>
        <v>2.5659821165943324E-2</v>
      </c>
      <c r="D918" s="10">
        <f t="shared" si="122"/>
        <v>0.7041464246018474</v>
      </c>
      <c r="E918" s="10">
        <f t="shared" si="123"/>
        <v>0.24893406716760683</v>
      </c>
      <c r="F918" s="10">
        <f t="shared" si="119"/>
        <v>2.5336082823061129E-2</v>
      </c>
      <c r="G918" s="66">
        <f t="shared" si="124"/>
        <v>2</v>
      </c>
      <c r="H918" s="10"/>
      <c r="I918" s="10">
        <f t="shared" si="120"/>
        <v>7.5891524425251789E-8</v>
      </c>
    </row>
    <row r="919" spans="1:9">
      <c r="A919" s="19">
        <f t="shared" si="121"/>
        <v>75.416666666666742</v>
      </c>
      <c r="B919" s="10">
        <f t="shared" si="117"/>
        <v>5.7740396340998052E-5</v>
      </c>
      <c r="C919" s="10">
        <f t="shared" si="118"/>
        <v>2.513153209868569E-2</v>
      </c>
      <c r="D919" s="10">
        <f t="shared" si="122"/>
        <v>0.70840232822790783</v>
      </c>
      <c r="E919" s="10">
        <f t="shared" si="123"/>
        <v>0.25034101116071189</v>
      </c>
      <c r="F919" s="10">
        <f t="shared" si="119"/>
        <v>2.5233279319645526E-2</v>
      </c>
      <c r="G919" s="66">
        <f t="shared" si="124"/>
        <v>4</v>
      </c>
      <c r="H919" s="10"/>
      <c r="I919" s="10">
        <f t="shared" si="120"/>
        <v>1.4042187648842764E-7</v>
      </c>
    </row>
    <row r="920" spans="1:9">
      <c r="A920" s="19">
        <f t="shared" si="121"/>
        <v>75.500000000000071</v>
      </c>
      <c r="B920" s="10">
        <f t="shared" si="117"/>
        <v>5.4420737704919108E-5</v>
      </c>
      <c r="C920" s="10">
        <f t="shared" si="118"/>
        <v>2.4611225671409647E-2</v>
      </c>
      <c r="D920" s="10">
        <f t="shared" si="122"/>
        <v>0.71268395844676224</v>
      </c>
      <c r="E920" s="10">
        <f t="shared" si="123"/>
        <v>0.25175591021970567</v>
      </c>
      <c r="F920" s="10">
        <f t="shared" si="119"/>
        <v>2.5130892950969669E-2</v>
      </c>
      <c r="G920" s="66">
        <f t="shared" si="124"/>
        <v>2</v>
      </c>
      <c r="H920" s="10"/>
      <c r="I920" s="10">
        <f t="shared" si="120"/>
        <v>6.4924817630060937E-8</v>
      </c>
    </row>
    <row r="921" spans="1:9">
      <c r="A921" s="19">
        <f t="shared" si="121"/>
        <v>75.5833333333334</v>
      </c>
      <c r="B921" s="10">
        <f t="shared" si="117"/>
        <v>5.1273582563303067E-5</v>
      </c>
      <c r="C921" s="10">
        <f t="shared" si="118"/>
        <v>2.4098841674031962E-2</v>
      </c>
      <c r="D921" s="10">
        <f t="shared" si="122"/>
        <v>0.71699147077358227</v>
      </c>
      <c r="E921" s="10">
        <f t="shared" si="123"/>
        <v>0.25317880932368775</v>
      </c>
      <c r="F921" s="10">
        <f t="shared" si="119"/>
        <v>2.5028922024470702E-2</v>
      </c>
      <c r="G921" s="66">
        <f t="shared" si="124"/>
        <v>4</v>
      </c>
      <c r="H921" s="10"/>
      <c r="I921" s="10">
        <f t="shared" si="120"/>
        <v>1.2001621740561584E-7</v>
      </c>
    </row>
    <row r="922" spans="1:9">
      <c r="A922" s="19">
        <f t="shared" si="121"/>
        <v>75.666666666666728</v>
      </c>
      <c r="B922" s="10">
        <f t="shared" si="117"/>
        <v>4.8291037637279648E-5</v>
      </c>
      <c r="C922" s="10">
        <f t="shared" si="118"/>
        <v>2.3594319295949965E-2</v>
      </c>
      <c r="D922" s="10">
        <f t="shared" si="122"/>
        <v>0.72132502166361345</v>
      </c>
      <c r="E922" s="10">
        <f t="shared" si="123"/>
        <v>0.25460975370607514</v>
      </c>
      <c r="F922" s="10">
        <f t="shared" si="119"/>
        <v>2.4927364854453498E-2</v>
      </c>
      <c r="G922" s="66">
        <f t="shared" si="124"/>
        <v>2</v>
      </c>
      <c r="H922" s="10"/>
      <c r="I922" s="10">
        <f t="shared" si="120"/>
        <v>5.5437182393256917E-8</v>
      </c>
    </row>
    <row r="923" spans="1:9">
      <c r="A923" s="19">
        <f t="shared" si="121"/>
        <v>75.750000000000057</v>
      </c>
      <c r="B923" s="10">
        <f t="shared" si="117"/>
        <v>4.546551357431964E-5</v>
      </c>
      <c r="C923" s="10">
        <f t="shared" si="118"/>
        <v>2.3097597142890853E-2</v>
      </c>
      <c r="D923" s="10">
        <f t="shared" si="122"/>
        <v>0.72568476851786312</v>
      </c>
      <c r="E923" s="10">
        <f t="shared" si="123"/>
        <v>0.25604878885604204</v>
      </c>
      <c r="F923" s="10">
        <f t="shared" si="119"/>
        <v>2.4826219762062809E-2</v>
      </c>
      <c r="G923" s="66">
        <f t="shared" si="124"/>
        <v>4</v>
      </c>
      <c r="H923" s="10"/>
      <c r="I923" s="10">
        <f t="shared" si="120"/>
        <v>1.0237952882677477E-7</v>
      </c>
    </row>
    <row r="924" spans="1:9">
      <c r="A924" s="19">
        <f t="shared" si="121"/>
        <v>75.833333333333385</v>
      </c>
      <c r="B924" s="10">
        <f t="shared" si="117"/>
        <v>4.2789716019332455E-5</v>
      </c>
      <c r="C924" s="10">
        <f t="shared" si="118"/>
        <v>2.2608613253916065E-2</v>
      </c>
      <c r="D924" s="10">
        <f t="shared" si="122"/>
        <v>0.73007086968881252</v>
      </c>
      <c r="E924" s="10">
        <f t="shared" si="123"/>
        <v>0.25749596051996421</v>
      </c>
      <c r="F924" s="10">
        <f t="shared" si="119"/>
        <v>2.4725485075255477E-2</v>
      </c>
      <c r="G924" s="66">
        <f t="shared" si="124"/>
        <v>2</v>
      </c>
      <c r="H924" s="10"/>
      <c r="I924" s="10">
        <f t="shared" si="120"/>
        <v>4.7244867999349368E-8</v>
      </c>
    </row>
    <row r="925" spans="1:9">
      <c r="A925" s="19">
        <f t="shared" si="121"/>
        <v>75.916666666666714</v>
      </c>
      <c r="B925" s="10">
        <f t="shared" si="117"/>
        <v>4.0256636826892606E-5</v>
      </c>
      <c r="C925" s="10">
        <f t="shared" si="118"/>
        <v>2.2127305118570993E-2</v>
      </c>
      <c r="D925" s="10">
        <f t="shared" si="122"/>
        <v>0.73448348448617329</v>
      </c>
      <c r="E925" s="10">
        <f t="shared" si="123"/>
        <v>0.25895131470287491</v>
      </c>
      <c r="F925" s="10">
        <f t="shared" si="119"/>
        <v>2.4625159128772816E-2</v>
      </c>
      <c r="G925" s="66">
        <f t="shared" si="124"/>
        <v>4</v>
      </c>
      <c r="H925" s="10"/>
      <c r="I925" s="10">
        <f t="shared" si="120"/>
        <v>8.7165458709381352E-8</v>
      </c>
    </row>
    <row r="926" spans="1:9">
      <c r="A926" s="19">
        <f t="shared" si="121"/>
        <v>76.000000000000043</v>
      </c>
      <c r="B926" s="10">
        <f t="shared" si="117"/>
        <v>3.7859545417361575E-5</v>
      </c>
      <c r="C926" s="10">
        <f t="shared" si="118"/>
        <v>2.1653609694175222E-2</v>
      </c>
      <c r="D926" s="10">
        <f t="shared" si="122"/>
        <v>0.73892277318266886</v>
      </c>
      <c r="E926" s="10">
        <f t="shared" si="123"/>
        <v>0.26041489766992582</v>
      </c>
      <c r="F926" s="10">
        <f t="shared" si="119"/>
        <v>2.452524026411311E-2</v>
      </c>
      <c r="G926" s="66">
        <f t="shared" si="124"/>
        <v>2</v>
      </c>
      <c r="H926" s="10"/>
      <c r="I926" s="10">
        <f t="shared" si="120"/>
        <v>4.0184745721374366E-8</v>
      </c>
    </row>
    <row r="927" spans="1:9">
      <c r="A927" s="19">
        <f t="shared" si="121"/>
        <v>76.083333333333371</v>
      </c>
      <c r="B927" s="10">
        <f t="shared" si="117"/>
        <v>3.5591980279438405E-5</v>
      </c>
      <c r="C927" s="10">
        <f t="shared" si="118"/>
        <v>2.1187463423243853E-2</v>
      </c>
      <c r="D927" s="10">
        <f t="shared" si="122"/>
        <v>0.74338889701986022</v>
      </c>
      <c r="E927" s="10">
        <f t="shared" si="123"/>
        <v>0.2618867559478591</v>
      </c>
      <c r="F927" s="10">
        <f t="shared" si="119"/>
        <v>2.4425726829504137E-2</v>
      </c>
      <c r="G927" s="66">
        <f t="shared" si="124"/>
        <v>4</v>
      </c>
      <c r="H927" s="10"/>
      <c r="I927" s="10">
        <f t="shared" si="120"/>
        <v>7.4066832012350928E-8</v>
      </c>
    </row>
    <row r="928" spans="1:9">
      <c r="A928" s="19">
        <f t="shared" si="121"/>
        <v>76.1666666666667</v>
      </c>
      <c r="B928" s="10">
        <f t="shared" si="117"/>
        <v>3.3447740621424032E-5</v>
      </c>
      <c r="C928" s="10">
        <f t="shared" si="118"/>
        <v>2.0728802251034635E-2</v>
      </c>
      <c r="D928" s="10">
        <f t="shared" si="122"/>
        <v>0.74788201821400047</v>
      </c>
      <c r="E928" s="10">
        <f t="shared" si="123"/>
        <v>0.26336693632648528</v>
      </c>
      <c r="F928" s="10">
        <f t="shared" si="119"/>
        <v>2.4326617179875904E-2</v>
      </c>
      <c r="G928" s="66">
        <f t="shared" si="124"/>
        <v>2</v>
      </c>
      <c r="H928" s="10"/>
      <c r="I928" s="10">
        <f t="shared" si="120"/>
        <v>3.4112283890189146E-8</v>
      </c>
    </row>
    <row r="929" spans="1:9">
      <c r="A929" s="19">
        <f t="shared" si="121"/>
        <v>76.250000000000028</v>
      </c>
      <c r="B929" s="10">
        <f t="shared" si="117"/>
        <v>3.1420878173266352E-5</v>
      </c>
      <c r="C929" s="10">
        <f t="shared" si="118"/>
        <v>2.0277561643211386E-2</v>
      </c>
      <c r="D929" s="10">
        <f t="shared" si="122"/>
        <v>0.75240229996192498</v>
      </c>
      <c r="E929" s="10">
        <f t="shared" si="123"/>
        <v>0.26485548586017205</v>
      </c>
      <c r="F929" s="10">
        <f t="shared" si="119"/>
        <v>2.4227909676833442E-2</v>
      </c>
      <c r="G929" s="66">
        <f t="shared" si="124"/>
        <v>4</v>
      </c>
      <c r="H929" s="10"/>
      <c r="I929" s="10">
        <f t="shared" si="120"/>
        <v>6.2811766698903804E-8</v>
      </c>
    </row>
    <row r="930" spans="1:9">
      <c r="A930" s="19">
        <f t="shared" si="121"/>
        <v>76.333333333333357</v>
      </c>
      <c r="B930" s="10">
        <f t="shared" si="117"/>
        <v>2.9505689141207471E-5</v>
      </c>
      <c r="C930" s="10">
        <f t="shared" si="118"/>
        <v>1.9833676603618306E-2</v>
      </c>
      <c r="D930" s="10">
        <f t="shared" si="122"/>
        <v>0.75694990644698334</v>
      </c>
      <c r="E930" s="10">
        <f t="shared" si="123"/>
        <v>0.26635245186933837</v>
      </c>
      <c r="F930" s="10">
        <f t="shared" si="119"/>
        <v>2.4129602688629716E-2</v>
      </c>
      <c r="G930" s="66">
        <f t="shared" si="124"/>
        <v>2</v>
      </c>
      <c r="H930" s="10"/>
      <c r="I930" s="10">
        <f t="shared" si="120"/>
        <v>2.8899686515034178E-8</v>
      </c>
    </row>
    <row r="931" spans="1:9">
      <c r="A931" s="19">
        <f t="shared" si="121"/>
        <v>76.416666666666686</v>
      </c>
      <c r="B931" s="10">
        <f t="shared" si="117"/>
        <v>2.7696706316645793E-5</v>
      </c>
      <c r="C931" s="10">
        <f t="shared" si="118"/>
        <v>1.9397081692155229E-2</v>
      </c>
      <c r="D931" s="10">
        <f t="shared" si="122"/>
        <v>0.76152500284499747</v>
      </c>
      <c r="E931" s="10">
        <f t="shared" si="123"/>
        <v>0.26785788194196081</v>
      </c>
      <c r="F931" s="10">
        <f t="shared" si="119"/>
        <v>2.403169459013867E-2</v>
      </c>
      <c r="G931" s="66">
        <f t="shared" si="124"/>
        <v>4</v>
      </c>
      <c r="H931" s="10"/>
      <c r="I931" s="10">
        <f t="shared" si="120"/>
        <v>5.3160107602878531E-8</v>
      </c>
    </row>
    <row r="932" spans="1:9">
      <c r="A932" s="19">
        <f t="shared" si="121"/>
        <v>76.500000000000014</v>
      </c>
      <c r="B932" s="10">
        <f t="shared" si="117"/>
        <v>2.5988691340594035E-5</v>
      </c>
      <c r="C932" s="10">
        <f t="shared" si="118"/>
        <v>1.89677110427484E-2</v>
      </c>
      <c r="D932" s="10">
        <f t="shared" si="122"/>
        <v>0.76612775533026678</v>
      </c>
      <c r="E932" s="10">
        <f t="shared" si="123"/>
        <v>0.26937182393508413</v>
      </c>
      <c r="F932" s="10">
        <f t="shared" si="119"/>
        <v>2.3934183762828326E-2</v>
      </c>
      <c r="G932" s="66">
        <f t="shared" si="124"/>
        <v>2</v>
      </c>
      <c r="H932" s="10"/>
      <c r="I932" s="10">
        <f t="shared" si="120"/>
        <v>2.4434186232702343E-8</v>
      </c>
    </row>
    <row r="933" spans="1:9">
      <c r="A933" s="19">
        <f t="shared" si="121"/>
        <v>76.583333333333343</v>
      </c>
      <c r="B933" s="10">
        <f t="shared" si="117"/>
        <v>2.4376627124898081E-5</v>
      </c>
      <c r="C933" s="10">
        <f t="shared" si="118"/>
        <v>1.854549838140675E-2</v>
      </c>
      <c r="D933" s="10">
        <f t="shared" si="122"/>
        <v>0.77075833108159753</v>
      </c>
      <c r="E933" s="10">
        <f t="shared" si="123"/>
        <v>0.27089432597634494</v>
      </c>
      <c r="F933" s="10">
        <f t="shared" si="119"/>
        <v>2.3837068594734064E-2</v>
      </c>
      <c r="G933" s="66">
        <f t="shared" si="124"/>
        <v>4</v>
      </c>
      <c r="H933" s="10"/>
      <c r="I933" s="10">
        <f t="shared" si="120"/>
        <v>4.4900159792458561E-8</v>
      </c>
    </row>
    <row r="934" spans="1:9">
      <c r="A934" s="19">
        <f t="shared" si="121"/>
        <v>76.666666666666671</v>
      </c>
      <c r="B934" s="10">
        <f t="shared" si="117"/>
        <v>2.2855710431179766E-5</v>
      </c>
      <c r="C934" s="10">
        <f t="shared" si="118"/>
        <v>1.8130377044358041E-2</v>
      </c>
      <c r="D934" s="10">
        <f t="shared" si="122"/>
        <v>0.77541689828838178</v>
      </c>
      <c r="E934" s="10">
        <f t="shared" si="123"/>
        <v>0.27242543646549938</v>
      </c>
      <c r="F934" s="10">
        <f t="shared" si="119"/>
        <v>2.3740347480431963E-2</v>
      </c>
      <c r="G934" s="66">
        <f t="shared" si="124"/>
        <v>2</v>
      </c>
      <c r="H934" s="10"/>
      <c r="I934" s="10">
        <f t="shared" si="120"/>
        <v>2.0616482455168089E-8</v>
      </c>
    </row>
    <row r="935" spans="1:9">
      <c r="A935" s="19">
        <f t="shared" si="121"/>
        <v>76.75</v>
      </c>
      <c r="B935" s="10">
        <f t="shared" si="117"/>
        <v>2.1421344608244484E-5</v>
      </c>
      <c r="C935" s="10">
        <f t="shared" si="118"/>
        <v>1.7722279996254506E-2</v>
      </c>
      <c r="D935" s="10">
        <f t="shared" si="122"/>
        <v>0.78010362615669937</v>
      </c>
      <c r="E935" s="10">
        <f t="shared" si="123"/>
        <v>0.27396520407596375</v>
      </c>
      <c r="F935" s="10">
        <f t="shared" si="119"/>
        <v>2.3644018821012257E-2</v>
      </c>
      <c r="G935" s="66">
        <f t="shared" si="124"/>
        <v>4</v>
      </c>
      <c r="H935" s="10"/>
      <c r="I935" s="10">
        <f t="shared" si="120"/>
        <v>3.7845703301800368E-8</v>
      </c>
    </row>
    <row r="936" spans="1:9">
      <c r="A936" s="19">
        <f t="shared" si="121"/>
        <v>76.833333333333329</v>
      </c>
      <c r="B936" s="10">
        <f t="shared" si="117"/>
        <v>2.0069132488509361E-5</v>
      </c>
      <c r="C936" s="10">
        <f t="shared" si="118"/>
        <v>1.7321139848442239E-2</v>
      </c>
      <c r="D936" s="10">
        <f t="shared" si="122"/>
        <v>0.78481868491546991</v>
      </c>
      <c r="E936" s="10">
        <f t="shared" si="123"/>
        <v>0.27551367775636071</v>
      </c>
      <c r="F936" s="10">
        <f t="shared" si="119"/>
        <v>2.3548081024052894E-2</v>
      </c>
      <c r="G936" s="66">
        <f t="shared" si="124"/>
        <v>2</v>
      </c>
      <c r="H936" s="10"/>
      <c r="I936" s="10">
        <f t="shared" si="120"/>
        <v>1.7359315728151501E-8</v>
      </c>
    </row>
    <row r="937" spans="1:9">
      <c r="A937" s="19">
        <f t="shared" si="121"/>
        <v>76.916666666666657</v>
      </c>
      <c r="B937" s="10">
        <f t="shared" si="117"/>
        <v>1.8794869443795256E-5</v>
      </c>
      <c r="C937" s="10">
        <f t="shared" si="118"/>
        <v>1.6926888877284805E-2</v>
      </c>
      <c r="D937" s="10">
        <f t="shared" si="122"/>
        <v>0.78956224582263279</v>
      </c>
      <c r="E937" s="10">
        <f t="shared" si="123"/>
        <v>0.27707090673207491</v>
      </c>
      <c r="F937" s="10">
        <f t="shared" si="119"/>
        <v>2.3452532503593224E-2</v>
      </c>
      <c r="G937" s="66">
        <f t="shared" si="124"/>
        <v>4</v>
      </c>
      <c r="H937" s="10"/>
      <c r="I937" s="10">
        <f t="shared" si="120"/>
        <v>3.183327143232393E-8</v>
      </c>
    </row>
    <row r="938" spans="1:9">
      <c r="A938" s="19">
        <f t="shared" si="121"/>
        <v>76.999999999999986</v>
      </c>
      <c r="B938" s="10">
        <f t="shared" si="117"/>
        <v>1.7594536600650522E-5</v>
      </c>
      <c r="C938" s="10">
        <f t="shared" si="118"/>
        <v>1.6539459042533223E-2</v>
      </c>
      <c r="D938" s="10">
        <f t="shared" si="122"/>
        <v>0.79433448117136551</v>
      </c>
      <c r="E938" s="10">
        <f t="shared" si="123"/>
        <v>0.27863694050681959</v>
      </c>
      <c r="F938" s="10">
        <f t="shared" si="119"/>
        <v>2.3357371680107795E-2</v>
      </c>
      <c r="G938" s="66">
        <f t="shared" si="124"/>
        <v>2</v>
      </c>
      <c r="H938" s="10"/>
      <c r="I938" s="10">
        <f t="shared" si="120"/>
        <v>1.4586169500391255E-8</v>
      </c>
    </row>
    <row r="939" spans="1:9">
      <c r="A939" s="19">
        <f t="shared" si="121"/>
        <v>77.083333333333314</v>
      </c>
      <c r="B939" s="10">
        <f t="shared" si="117"/>
        <v>1.6464294215174166E-5</v>
      </c>
      <c r="C939" s="10">
        <f t="shared" si="118"/>
        <v>1.6158782005734704E-2</v>
      </c>
      <c r="D939" s="10">
        <f t="shared" si="122"/>
        <v>0.7991355642963468</v>
      </c>
      <c r="E939" s="10">
        <f t="shared" si="123"/>
        <v>0.28021182886420803</v>
      </c>
      <c r="F939" s="10">
        <f t="shared" si="119"/>
        <v>2.32625969804802E-2</v>
      </c>
      <c r="G939" s="66">
        <f t="shared" si="124"/>
        <v>4</v>
      </c>
      <c r="H939" s="10"/>
      <c r="I939" s="10">
        <f t="shared" si="120"/>
        <v>2.6719675240613737E-8</v>
      </c>
    </row>
    <row r="940" spans="1:9">
      <c r="A940" s="19">
        <f t="shared" si="121"/>
        <v>77.166666666666643</v>
      </c>
      <c r="B940" s="10">
        <f t="shared" si="117"/>
        <v>1.5400475207139821E-5</v>
      </c>
      <c r="C940" s="10">
        <f t="shared" si="118"/>
        <v>1.5784789148670958E-2</v>
      </c>
      <c r="D940" s="10">
        <f t="shared" si="122"/>
        <v>0.80396566958004689</v>
      </c>
      <c r="E940" s="10">
        <f t="shared" si="123"/>
        <v>0.28179562186933826</v>
      </c>
      <c r="F940" s="10">
        <f t="shared" si="119"/>
        <v>2.3168206837977122E-2</v>
      </c>
      <c r="G940" s="66">
        <f t="shared" si="124"/>
        <v>2</v>
      </c>
      <c r="H940" s="10"/>
      <c r="I940" s="10">
        <f t="shared" si="120"/>
        <v>1.2230090729945212E-8</v>
      </c>
    </row>
    <row r="941" spans="1:9">
      <c r="A941" s="19">
        <f t="shared" si="121"/>
        <v>77.249999999999972</v>
      </c>
      <c r="B941" s="10">
        <f t="shared" si="117"/>
        <v>1.4399578853039749E-5</v>
      </c>
      <c r="C941" s="10">
        <f t="shared" si="118"/>
        <v>1.541741159181898E-2</v>
      </c>
      <c r="D941" s="10">
        <f t="shared" si="122"/>
        <v>0.80882497245906648</v>
      </c>
      <c r="E941" s="10">
        <f t="shared" si="123"/>
        <v>0.28338836987038285</v>
      </c>
      <c r="F941" s="10">
        <f t="shared" si="119"/>
        <v>2.3074199692222384E-2</v>
      </c>
      <c r="G941" s="66">
        <f t="shared" si="124"/>
        <v>4</v>
      </c>
      <c r="H941" s="10"/>
      <c r="I941" s="10">
        <f t="shared" si="120"/>
        <v>2.2379757318229724E-8</v>
      </c>
    </row>
    <row r="942" spans="1:9">
      <c r="A942" s="19">
        <f t="shared" si="121"/>
        <v>77.3333333333333</v>
      </c>
      <c r="B942" s="10">
        <f t="shared" si="117"/>
        <v>1.3458264637501822E-5</v>
      </c>
      <c r="C942" s="10">
        <f t="shared" si="118"/>
        <v>1.5056580212824683E-2</v>
      </c>
      <c r="D942" s="10">
        <f t="shared" si="122"/>
        <v>0.81371364943050339</v>
      </c>
      <c r="E942" s="10">
        <f t="shared" si="123"/>
        <v>0.28499012350019109</v>
      </c>
      <c r="F942" s="10">
        <f t="shared" si="119"/>
        <v>2.2980573989171218E-2</v>
      </c>
      <c r="G942" s="66">
        <f t="shared" si="124"/>
        <v>2</v>
      </c>
      <c r="H942" s="10"/>
      <c r="I942" s="10">
        <f t="shared" si="120"/>
        <v>1.0232621014337788E-8</v>
      </c>
    </row>
    <row r="943" spans="1:9">
      <c r="A943" s="19">
        <f t="shared" si="121"/>
        <v>77.416666666666629</v>
      </c>
      <c r="B943" s="10">
        <f t="shared" si="117"/>
        <v>1.2573346262377247E-5</v>
      </c>
      <c r="C943" s="10">
        <f t="shared" si="118"/>
        <v>1.4702225664982461E-2</v>
      </c>
      <c r="D943" s="10">
        <f t="shared" si="122"/>
        <v>0.81863187805836868</v>
      </c>
      <c r="E943" s="10">
        <f t="shared" si="123"/>
        <v>0.2866009336778968</v>
      </c>
      <c r="F943" s="10">
        <f t="shared" si="119"/>
        <v>2.2887328181084503E-2</v>
      </c>
      <c r="G943" s="66">
        <f t="shared" si="124"/>
        <v>4</v>
      </c>
      <c r="H943" s="10"/>
      <c r="I943" s="10">
        <f t="shared" si="120"/>
        <v>1.8704358519797159E-8</v>
      </c>
    </row>
    <row r="944" spans="1:9">
      <c r="A944" s="19">
        <f t="shared" si="121"/>
        <v>77.499999999999957</v>
      </c>
      <c r="B944" s="10">
        <f t="shared" si="117"/>
        <v>1.174178581263136E-5</v>
      </c>
      <c r="C944" s="10">
        <f t="shared" si="118"/>
        <v>1.4354278395710806E-2</v>
      </c>
      <c r="D944" s="10">
        <f t="shared" si="122"/>
        <v>0.82357983698003301</v>
      </c>
      <c r="E944" s="10">
        <f t="shared" si="123"/>
        <v>0.28822085161053901</v>
      </c>
      <c r="F944" s="10">
        <f t="shared" si="119"/>
        <v>2.2794460726503228E-2</v>
      </c>
      <c r="G944" s="66">
        <f t="shared" si="124"/>
        <v>2</v>
      </c>
      <c r="H944" s="10"/>
      <c r="I944" s="10">
        <f t="shared" si="120"/>
        <v>8.5428302206632062E-9</v>
      </c>
    </row>
    <row r="945" spans="1:9">
      <c r="A945" s="19">
        <f t="shared" si="121"/>
        <v>77.583333333333286</v>
      </c>
      <c r="B945" s="10">
        <f t="shared" si="117"/>
        <v>1.0960688078031527E-5</v>
      </c>
      <c r="C945" s="10">
        <f t="shared" si="118"/>
        <v>1.4012668665017351E-2</v>
      </c>
      <c r="D945" s="10">
        <f t="shared" si="122"/>
        <v>0.82855770591271383</v>
      </c>
      <c r="E945" s="10">
        <f t="shared" si="123"/>
        <v>0.28984992879468785</v>
      </c>
      <c r="F945" s="10">
        <f t="shared" si="119"/>
        <v>2.270197009022298E-2</v>
      </c>
      <c r="G945" s="66">
        <f t="shared" si="124"/>
        <v>4</v>
      </c>
      <c r="H945" s="10"/>
      <c r="I945" s="10">
        <f t="shared" si="120"/>
        <v>1.5598481899343515E-8</v>
      </c>
    </row>
    <row r="946" spans="1:9">
      <c r="A946" s="19">
        <f t="shared" si="121"/>
        <v>77.666666666666615</v>
      </c>
      <c r="B946" s="10">
        <f t="shared" si="117"/>
        <v>1.0227295029475053E-5</v>
      </c>
      <c r="C946" s="10">
        <f t="shared" si="118"/>
        <v>1.3677326563943076E-2</v>
      </c>
      <c r="D946" s="10">
        <f t="shared" si="122"/>
        <v>0.83356566566000656</v>
      </c>
      <c r="E946" s="10">
        <f t="shared" si="123"/>
        <v>0.29148821701808336</v>
      </c>
      <c r="F946" s="10">
        <f t="shared" si="119"/>
        <v>2.2609854743268605E-2</v>
      </c>
      <c r="G946" s="66">
        <f t="shared" si="124"/>
        <v>2</v>
      </c>
      <c r="H946" s="10"/>
      <c r="I946" s="10">
        <f t="shared" si="120"/>
        <v>7.1164449048592181E-9</v>
      </c>
    </row>
    <row r="947" spans="1:9">
      <c r="A947" s="19">
        <f t="shared" si="121"/>
        <v>77.749999999999943</v>
      </c>
      <c r="B947" s="10">
        <f t="shared" si="117"/>
        <v>9.5389804486710465E-6</v>
      </c>
      <c r="C947" s="10">
        <f t="shared" si="118"/>
        <v>1.334818203297912E-2</v>
      </c>
      <c r="D947" s="10">
        <f t="shared" si="122"/>
        <v>0.83860389811844815</v>
      </c>
      <c r="E947" s="10">
        <f t="shared" si="123"/>
        <v>0.29313576836128019</v>
      </c>
      <c r="F947" s="10">
        <f t="shared" si="119"/>
        <v>2.2518113162868884E-2</v>
      </c>
      <c r="G947" s="66">
        <f t="shared" si="124"/>
        <v>4</v>
      </c>
      <c r="H947" s="10"/>
      <c r="I947" s="10">
        <f t="shared" si="120"/>
        <v>1.2979638761292616E-8</v>
      </c>
    </row>
    <row r="948" spans="1:9">
      <c r="A948" s="19">
        <f t="shared" si="121"/>
        <v>77.833333333333272</v>
      </c>
      <c r="B948" s="10">
        <f t="shared" si="117"/>
        <v>8.8932447097543329E-6</v>
      </c>
      <c r="C948" s="10">
        <f t="shared" si="118"/>
        <v>1.3025164880446206E-2</v>
      </c>
      <c r="D948" s="10">
        <f t="shared" si="122"/>
        <v>0.84367258628412733</v>
      </c>
      <c r="E948" s="10">
        <f t="shared" si="123"/>
        <v>0.29479263519930493</v>
      </c>
      <c r="F948" s="10">
        <f t="shared" si="119"/>
        <v>2.2426743832431394E-2</v>
      </c>
      <c r="G948" s="66">
        <f t="shared" si="124"/>
        <v>2</v>
      </c>
      <c r="H948" s="10"/>
      <c r="I948" s="10">
        <f t="shared" si="120"/>
        <v>5.9150641415348819E-9</v>
      </c>
    </row>
    <row r="949" spans="1:9">
      <c r="A949" s="19">
        <f t="shared" si="121"/>
        <v>77.9166666666666</v>
      </c>
      <c r="B949" s="10">
        <f t="shared" si="117"/>
        <v>8.2877097112919177E-6</v>
      </c>
      <c r="C949" s="10">
        <f t="shared" si="118"/>
        <v>1.2708204800829724E-2</v>
      </c>
      <c r="D949" s="10">
        <f t="shared" si="122"/>
        <v>0.84877191425932652</v>
      </c>
      <c r="E949" s="10">
        <f t="shared" si="123"/>
        <v>0.29645887020331918</v>
      </c>
      <c r="F949" s="10">
        <f t="shared" si="119"/>
        <v>2.2335745241517414E-2</v>
      </c>
      <c r="G949" s="66">
        <f t="shared" si="124"/>
        <v>4</v>
      </c>
      <c r="H949" s="10"/>
      <c r="I949" s="10">
        <f t="shared" si="120"/>
        <v>1.07763624125211E-8</v>
      </c>
    </row>
    <row r="950" spans="1:9">
      <c r="A950" s="19">
        <f t="shared" si="121"/>
        <v>77.999999999999929</v>
      </c>
      <c r="B950" s="10">
        <f t="shared" si="117"/>
        <v>7.7201139570224656E-6</v>
      </c>
      <c r="C950" s="10">
        <f t="shared" si="118"/>
        <v>1.2397231393060723E-2</v>
      </c>
      <c r="D950" s="10">
        <f t="shared" si="122"/>
        <v>0.85390206725921491</v>
      </c>
      <c r="E950" s="10">
        <f t="shared" si="123"/>
        <v>0.29813452634229592</v>
      </c>
      <c r="F950" s="10">
        <f t="shared" si="119"/>
        <v>2.2245115885817002E-2</v>
      </c>
      <c r="G950" s="66">
        <f t="shared" si="124"/>
        <v>2</v>
      </c>
      <c r="H950" s="10"/>
      <c r="I950" s="10">
        <f t="shared" si="120"/>
        <v>4.9054557324752593E-9</v>
      </c>
    </row>
    <row r="951" spans="1:9">
      <c r="A951" s="19">
        <f t="shared" si="121"/>
        <v>78.083333333333258</v>
      </c>
      <c r="B951" s="10">
        <f t="shared" si="117"/>
        <v>7.1883077835592495E-6</v>
      </c>
      <c r="C951" s="10">
        <f t="shared" si="118"/>
        <v>1.2092174178736018E-2</v>
      </c>
      <c r="D951" s="10">
        <f t="shared" si="122"/>
        <v>0.85906323161856912</v>
      </c>
      <c r="E951" s="10">
        <f t="shared" si="123"/>
        <v>0.29981965688470152</v>
      </c>
      <c r="F951" s="10">
        <f t="shared" si="119"/>
        <v>2.2154854267124054E-2</v>
      </c>
      <c r="G951" s="66">
        <f t="shared" si="124"/>
        <v>4</v>
      </c>
      <c r="H951" s="10"/>
      <c r="I951" s="10">
        <f t="shared" si="120"/>
        <v>8.9268759067286805E-9</v>
      </c>
    </row>
    <row r="952" spans="1:9">
      <c r="A952" s="19">
        <f t="shared" si="121"/>
        <v>78.166666666666586</v>
      </c>
      <c r="B952" s="10">
        <f t="shared" si="117"/>
        <v>6.6902487331863612E-6</v>
      </c>
      <c r="C952" s="10">
        <f t="shared" si="118"/>
        <v>1.1792962620267342E-2</v>
      </c>
      <c r="D952" s="10">
        <f t="shared" si="122"/>
        <v>0.86425559479854663</v>
      </c>
      <c r="E952" s="10">
        <f t="shared" si="123"/>
        <v>0.30151431540019091</v>
      </c>
      <c r="F952" s="10">
        <f t="shared" si="119"/>
        <v>2.2064958893311601E-2</v>
      </c>
      <c r="G952" s="66">
        <f t="shared" si="124"/>
        <v>2</v>
      </c>
      <c r="H952" s="10"/>
      <c r="I952" s="10">
        <f t="shared" si="120"/>
        <v>4.0589261190377063E-9</v>
      </c>
    </row>
    <row r="953" spans="1:9">
      <c r="A953" s="19">
        <f t="shared" si="121"/>
        <v>78.249999999999915</v>
      </c>
      <c r="B953" s="10">
        <f t="shared" si="117"/>
        <v>6.2239970697759968E-6</v>
      </c>
      <c r="C953" s="10">
        <f t="shared" si="118"/>
        <v>1.1499526138953071E-2</v>
      </c>
      <c r="D953" s="10">
        <f t="shared" si="122"/>
        <v>0.8694793453934927</v>
      </c>
      <c r="E953" s="10">
        <f t="shared" si="123"/>
        <v>0.30321855576130857</v>
      </c>
      <c r="F953" s="10">
        <f t="shared" si="119"/>
        <v>2.1975428278307094E-2</v>
      </c>
      <c r="G953" s="66">
        <f t="shared" si="124"/>
        <v>4</v>
      </c>
      <c r="H953" s="10"/>
      <c r="I953" s="10">
        <f t="shared" si="120"/>
        <v>7.3779007939356641E-9</v>
      </c>
    </row>
    <row r="954" spans="1:9">
      <c r="A954" s="19">
        <f t="shared" si="121"/>
        <v>78.333333333333243</v>
      </c>
      <c r="B954" s="10">
        <f t="shared" si="117"/>
        <v>5.787711435768943E-6</v>
      </c>
      <c r="C954" s="10">
        <f t="shared" si="118"/>
        <v>1.1211794132962612E-2</v>
      </c>
      <c r="D954" s="10">
        <f t="shared" si="122"/>
        <v>0.8747346731377873</v>
      </c>
      <c r="E954" s="10">
        <f t="shared" si="123"/>
        <v>0.3049324321452031</v>
      </c>
      <c r="F954" s="10">
        <f t="shared" si="119"/>
        <v>2.1886260942067894E-2</v>
      </c>
      <c r="G954" s="66">
        <f t="shared" si="124"/>
        <v>2</v>
      </c>
      <c r="H954" s="10"/>
      <c r="I954" s="10">
        <f t="shared" si="120"/>
        <v>3.3507576871815495E-9</v>
      </c>
    </row>
    <row r="955" spans="1:9">
      <c r="A955" s="19">
        <f t="shared" si="121"/>
        <v>78.416666666666572</v>
      </c>
      <c r="B955" s="10">
        <f t="shared" si="117"/>
        <v>5.3796446480707191E-6</v>
      </c>
      <c r="C955" s="10">
        <f t="shared" si="118"/>
        <v>1.0929695995226502E-2</v>
      </c>
      <c r="D955" s="10">
        <f t="shared" si="122"/>
        <v>0.8800217689127432</v>
      </c>
      <c r="E955" s="10">
        <f t="shared" si="123"/>
        <v>0.30665599903534851</v>
      </c>
      <c r="F955" s="10">
        <f t="shared" si="119"/>
        <v>2.1797455410556735E-2</v>
      </c>
      <c r="G955" s="66">
        <f t="shared" si="124"/>
        <v>4</v>
      </c>
      <c r="H955" s="10"/>
      <c r="I955" s="10">
        <f t="shared" si="120"/>
        <v>6.0835946186748298E-9</v>
      </c>
    </row>
    <row r="956" spans="1:9">
      <c r="A956" s="19">
        <f t="shared" si="121"/>
        <v>78.499999999999901</v>
      </c>
      <c r="B956" s="10">
        <f t="shared" si="117"/>
        <v>4.9981396306424631E-6</v>
      </c>
      <c r="C956" s="10">
        <f t="shared" si="118"/>
        <v>1.0653161131223561E-2</v>
      </c>
      <c r="D956" s="10">
        <f t="shared" si="122"/>
        <v>0.88534082475353171</v>
      </c>
      <c r="E956" s="10">
        <f t="shared" si="123"/>
        <v>0.30838931122327545</v>
      </c>
      <c r="F956" s="10">
        <f t="shared" si="119"/>
        <v>2.1709010215717424E-2</v>
      </c>
      <c r="G956" s="66">
        <f t="shared" si="124"/>
        <v>2</v>
      </c>
      <c r="H956" s="10"/>
      <c r="I956" s="10">
        <f t="shared" si="120"/>
        <v>2.7597075202414663E-9</v>
      </c>
    </row>
    <row r="957" spans="1:9">
      <c r="A957" s="19">
        <f t="shared" si="121"/>
        <v>78.583333333333229</v>
      </c>
      <c r="B957" s="10">
        <f t="shared" si="117"/>
        <v>4.6416254814890905E-6</v>
      </c>
      <c r="C957" s="10">
        <f t="shared" si="118"/>
        <v>1.0382118976656567E-2</v>
      </c>
      <c r="D957" s="10">
        <f t="shared" si="122"/>
        <v>0.89069203385616402</v>
      </c>
      <c r="E957" s="10">
        <f t="shared" si="123"/>
        <v>0.31013242381031492</v>
      </c>
      <c r="F957" s="10">
        <f t="shared" si="119"/>
        <v>2.1620923895450513E-2</v>
      </c>
      <c r="G957" s="66">
        <f t="shared" si="124"/>
        <v>4</v>
      </c>
      <c r="H957" s="10"/>
      <c r="I957" s="10">
        <f t="shared" si="120"/>
        <v>5.0046056435196297E-9</v>
      </c>
    </row>
    <row r="958" spans="1:9">
      <c r="A958" s="19">
        <f t="shared" si="121"/>
        <v>78.666666666666558</v>
      </c>
      <c r="B958" s="10">
        <f t="shared" si="117"/>
        <v>4.3086136716848311E-6</v>
      </c>
      <c r="C958" s="10">
        <f t="shared" si="118"/>
        <v>1.0116499015009521E-2</v>
      </c>
      <c r="D958" s="10">
        <f t="shared" si="122"/>
        <v>0.89607559058450315</v>
      </c>
      <c r="E958" s="10">
        <f t="shared" si="123"/>
        <v>0.31188539220934786</v>
      </c>
      <c r="F958" s="10">
        <f t="shared" si="119"/>
        <v>2.1533194993589203E-2</v>
      </c>
      <c r="G958" s="66">
        <f t="shared" si="124"/>
        <v>2</v>
      </c>
      <c r="H958" s="10"/>
      <c r="I958" s="10">
        <f t="shared" si="120"/>
        <v>2.2675620204839444E-9</v>
      </c>
    </row>
    <row r="959" spans="1:9">
      <c r="A959" s="19">
        <f t="shared" si="121"/>
        <v>78.749999999999886</v>
      </c>
      <c r="B959" s="10">
        <f t="shared" si="117"/>
        <v>3.9976943740142166E-6</v>
      </c>
      <c r="C959" s="10">
        <f t="shared" si="118"/>
        <v>9.8562307949772322E-3</v>
      </c>
      <c r="D959" s="10">
        <f t="shared" si="122"/>
        <v>0.90149169047732847</v>
      </c>
      <c r="E959" s="10">
        <f t="shared" si="123"/>
        <v>0.31364827214656871</v>
      </c>
      <c r="F959" s="10">
        <f t="shared" si="119"/>
        <v>2.1445822059875181E-2</v>
      </c>
      <c r="G959" s="66">
        <f t="shared" si="124"/>
        <v>4</v>
      </c>
      <c r="H959" s="10"/>
      <c r="I959" s="10">
        <f t="shared" si="120"/>
        <v>4.1072340037651741E-9</v>
      </c>
    </row>
    <row r="960" spans="1:9">
      <c r="A960" s="19">
        <f t="shared" si="121"/>
        <v>78.833333333333215</v>
      </c>
      <c r="B960" s="10">
        <f t="shared" si="117"/>
        <v>3.7075329187526352E-6</v>
      </c>
      <c r="C960" s="10">
        <f t="shared" si="118"/>
        <v>9.6012439477604974E-3</v>
      </c>
      <c r="D960" s="10">
        <f t="shared" si="122"/>
        <v>0.90694053025543275</v>
      </c>
      <c r="E960" s="10">
        <f t="shared" si="123"/>
        <v>0.31542111966325492</v>
      </c>
      <c r="F960" s="10">
        <f t="shared" si="119"/>
        <v>2.1358803649934713E-2</v>
      </c>
      <c r="G960" s="66">
        <f t="shared" si="124"/>
        <v>2</v>
      </c>
      <c r="H960" s="10"/>
      <c r="I960" s="10">
        <f t="shared" si="120"/>
        <v>1.8587421830371728E-9</v>
      </c>
    </row>
    <row r="961" spans="1:9">
      <c r="A961" s="19">
        <f t="shared" si="121"/>
        <v>78.916666666666544</v>
      </c>
      <c r="B961" s="10">
        <f t="shared" si="117"/>
        <v>3.4368663740636023E-6</v>
      </c>
      <c r="C961" s="10">
        <f t="shared" si="118"/>
        <v>9.3514682042180816E-3</v>
      </c>
      <c r="D961" s="10">
        <f t="shared" si="122"/>
        <v>0.91242230782877198</v>
      </c>
      <c r="E961" s="10">
        <f t="shared" si="123"/>
        <v>0.31720399111755038</v>
      </c>
      <c r="F961" s="10">
        <f t="shared" si="119"/>
        <v>2.1272138325254743E-2</v>
      </c>
      <c r="G961" s="66">
        <f t="shared" si="124"/>
        <v>4</v>
      </c>
      <c r="H961" s="10"/>
      <c r="I961" s="10">
        <f t="shared" si="120"/>
        <v>3.3626892188023942E-9</v>
      </c>
    </row>
    <row r="962" spans="1:9">
      <c r="A962" s="19">
        <f t="shared" si="121"/>
        <v>78.999999999999872</v>
      </c>
      <c r="B962" s="10">
        <f t="shared" si="117"/>
        <v>3.1845002484452435E-6</v>
      </c>
      <c r="C962" s="10">
        <f t="shared" si="118"/>
        <v>9.106833411868645E-3</v>
      </c>
      <c r="D962" s="10">
        <f t="shared" si="122"/>
        <v>0.91793722230365182</v>
      </c>
      <c r="E962" s="10">
        <f t="shared" si="123"/>
        <v>0.31899694318625521</v>
      </c>
      <c r="F962" s="10">
        <f t="shared" si="119"/>
        <v>2.1185824653159113E-2</v>
      </c>
      <c r="G962" s="66">
        <f t="shared" si="124"/>
        <v>2</v>
      </c>
      <c r="H962" s="10"/>
      <c r="I962" s="10">
        <f t="shared" si="120"/>
        <v>1.5199546623452909E-9</v>
      </c>
    </row>
    <row r="963" spans="1:9">
      <c r="A963" s="19">
        <f t="shared" si="121"/>
        <v>79.083333333333201</v>
      </c>
      <c r="B963" s="10">
        <f t="shared" si="117"/>
        <v>2.9493053126236014E-6</v>
      </c>
      <c r="C963" s="10">
        <f t="shared" si="118"/>
        <v>8.867269551734008E-3</v>
      </c>
      <c r="D963" s="10">
        <f t="shared" si="122"/>
        <v>0.92348547398995762</v>
      </c>
      <c r="E963" s="10">
        <f t="shared" si="123"/>
        <v>0.3208000328666295</v>
      </c>
      <c r="F963" s="10">
        <f t="shared" si="119"/>
        <v>2.1099861206784878E-2</v>
      </c>
      <c r="G963" s="66">
        <f t="shared" si="124"/>
        <v>4</v>
      </c>
      <c r="H963" s="10"/>
      <c r="I963" s="10">
        <f t="shared" si="120"/>
        <v>2.7464346911001874E-9</v>
      </c>
    </row>
    <row r="964" spans="1:9">
      <c r="A964" s="19">
        <f t="shared" si="121"/>
        <v>79.166666666666529</v>
      </c>
      <c r="B964" s="10">
        <f t="shared" si="117"/>
        <v>2.7302145382561505E-6</v>
      </c>
      <c r="C964" s="10">
        <f t="shared" si="118"/>
        <v>8.6327067550173893E-3</v>
      </c>
      <c r="D964" s="10">
        <f t="shared" si="122"/>
        <v>0.92906726440843435</v>
      </c>
      <c r="E964" s="10">
        <f t="shared" si="123"/>
        <v>0.32261331747820282</v>
      </c>
      <c r="F964" s="10">
        <f t="shared" si="119"/>
        <v>2.1014246565058729E-2</v>
      </c>
      <c r="G964" s="66">
        <f t="shared" si="124"/>
        <v>2</v>
      </c>
      <c r="H964" s="10"/>
      <c r="I964" s="10">
        <f t="shared" si="120"/>
        <v>1.239884119583535E-9</v>
      </c>
    </row>
    <row r="965" spans="1:9">
      <c r="A965" s="19">
        <f t="shared" si="121"/>
        <v>79.249999999999858</v>
      </c>
      <c r="B965" s="10">
        <f t="shared" si="117"/>
        <v>2.5262201507852026E-6</v>
      </c>
      <c r="C965" s="10">
        <f t="shared" si="118"/>
        <v>8.4030753196079021E-3</v>
      </c>
      <c r="D965" s="10">
        <f t="shared" si="122"/>
        <v>0.93468279629800044</v>
      </c>
      <c r="E965" s="10">
        <f t="shared" si="123"/>
        <v>0.32443685466459904</v>
      </c>
      <c r="F965" s="10">
        <f t="shared" si="119"/>
        <v>2.0928979312673478E-2</v>
      </c>
      <c r="G965" s="66">
        <f t="shared" si="124"/>
        <v>4</v>
      </c>
      <c r="H965" s="10"/>
      <c r="I965" s="10">
        <f t="shared" si="120"/>
        <v>2.2376105105000502E-9</v>
      </c>
    </row>
    <row r="966" spans="1:9">
      <c r="A966" s="19">
        <f t="shared" si="121"/>
        <v>79.333333333333186</v>
      </c>
      <c r="B966" s="10">
        <f t="shared" si="117"/>
        <v>2.3363707937566944E-6</v>
      </c>
      <c r="C966" s="10">
        <f t="shared" si="118"/>
        <v>8.1783057264051637E-3</v>
      </c>
      <c r="D966" s="10">
        <f t="shared" si="122"/>
        <v>0.94033227362311811</v>
      </c>
      <c r="E966" s="10">
        <f t="shared" si="123"/>
        <v>0.32627070239536621</v>
      </c>
      <c r="F966" s="10">
        <f t="shared" si="119"/>
        <v>2.0844058040064711E-2</v>
      </c>
      <c r="G966" s="66">
        <f t="shared" si="124"/>
        <v>2</v>
      </c>
      <c r="H966" s="10"/>
      <c r="I966" s="10">
        <f t="shared" si="120"/>
        <v>1.0089226775215618E-9</v>
      </c>
    </row>
    <row r="967" spans="1:9">
      <c r="A967" s="19">
        <f t="shared" si="121"/>
        <v>79.416666666666515</v>
      </c>
      <c r="B967" s="10">
        <f t="shared" si="117"/>
        <v>2.1597688019058775E-6</v>
      </c>
      <c r="C967" s="10">
        <f t="shared" si="118"/>
        <v>7.9583286554557701E-3</v>
      </c>
      <c r="D967" s="10">
        <f t="shared" si="122"/>
        <v>0.94601590158119475</v>
      </c>
      <c r="E967" s="10">
        <f t="shared" si="123"/>
        <v>0.32811491896782174</v>
      </c>
      <c r="F967" s="10">
        <f t="shared" si="119"/>
        <v>2.0759481343387419E-2</v>
      </c>
      <c r="G967" s="66">
        <f t="shared" si="124"/>
        <v>4</v>
      </c>
      <c r="H967" s="10"/>
      <c r="I967" s="10">
        <f t="shared" si="120"/>
        <v>1.818526546114528E-9</v>
      </c>
    </row>
    <row r="968" spans="1:9">
      <c r="A968" s="19">
        <f t="shared" si="121"/>
        <v>79.499999999999844</v>
      </c>
      <c r="B968" s="10">
        <f t="shared" si="117"/>
        <v>1.9955675802982845E-6</v>
      </c>
      <c r="C968" s="10">
        <f t="shared" si="118"/>
        <v>7.7430750018954546E-3</v>
      </c>
      <c r="D968" s="10">
        <f t="shared" si="122"/>
        <v>0.95173388661004321</v>
      </c>
      <c r="E968" s="10">
        <f t="shared" si="123"/>
        <v>0.32996956300890357</v>
      </c>
      <c r="F968" s="10">
        <f t="shared" si="119"/>
        <v>2.0675247824492836E-2</v>
      </c>
      <c r="G968" s="66">
        <f t="shared" si="124"/>
        <v>2</v>
      </c>
      <c r="H968" s="10"/>
      <c r="I968" s="10">
        <f t="shared" si="120"/>
        <v>8.1893263548469986E-10</v>
      </c>
    </row>
    <row r="969" spans="1:9">
      <c r="A969" s="19">
        <f t="shared" si="121"/>
        <v>79.583333333333172</v>
      </c>
      <c r="B969" s="10">
        <f t="shared" si="117"/>
        <v>1.8429690868074313E-6</v>
      </c>
      <c r="C969" s="10">
        <f t="shared" si="118"/>
        <v>7.5324758916891542E-3</v>
      </c>
      <c r="D969" s="10">
        <f t="shared" si="122"/>
        <v>0.95748643639537212</v>
      </c>
      <c r="E969" s="10">
        <f t="shared" si="123"/>
        <v>0.33183469347703581</v>
      </c>
      <c r="F969" s="10">
        <f t="shared" si="119"/>
        <v>2.0591356090905313E-2</v>
      </c>
      <c r="G969" s="66">
        <f t="shared" si="124"/>
        <v>4</v>
      </c>
      <c r="H969" s="10"/>
      <c r="I969" s="10">
        <f t="shared" si="120"/>
        <v>1.4742184475081329E-9</v>
      </c>
    </row>
    <row r="970" spans="1:9">
      <c r="A970" s="19">
        <f t="shared" si="121"/>
        <v>79.666666666666501</v>
      </c>
      <c r="B970" s="10">
        <f t="shared" si="117"/>
        <v>1.7012214152093025E-6</v>
      </c>
      <c r="C970" s="10">
        <f t="shared" si="118"/>
        <v>7.3264626971629599E-3</v>
      </c>
      <c r="D970" s="10">
        <f t="shared" si="122"/>
        <v>0.96327375987833663</v>
      </c>
      <c r="E970" s="10">
        <f t="shared" si="123"/>
        <v>0.33371036966400103</v>
      </c>
      <c r="F970" s="10">
        <f t="shared" si="119"/>
        <v>2.0507804755799299E-2</v>
      </c>
      <c r="G970" s="66">
        <f t="shared" si="124"/>
        <v>2</v>
      </c>
      <c r="H970" s="10"/>
      <c r="I970" s="10">
        <f t="shared" si="120"/>
        <v>6.6303890998490542E-10</v>
      </c>
    </row>
    <row r="971" spans="1:9">
      <c r="A971" s="19">
        <f t="shared" si="121"/>
        <v>79.749999999999829</v>
      </c>
      <c r="B971" s="10">
        <f t="shared" si="117"/>
        <v>1.5696164761736409E-6</v>
      </c>
      <c r="C971" s="10">
        <f t="shared" si="118"/>
        <v>7.1249670523202881E-3</v>
      </c>
      <c r="D971" s="10">
        <f t="shared" si="122"/>
        <v>0.96909606726312403</v>
      </c>
      <c r="E971" s="10">
        <f t="shared" si="123"/>
        <v>0.3355966511968273</v>
      </c>
      <c r="F971" s="10">
        <f t="shared" si="119"/>
        <v>2.0424592437976424E-2</v>
      </c>
      <c r="G971" s="66">
        <f t="shared" si="124"/>
        <v>4</v>
      </c>
      <c r="H971" s="10"/>
      <c r="I971" s="10">
        <f t="shared" si="120"/>
        <v>1.1920597886028982E-9</v>
      </c>
    </row>
    <row r="972" spans="1:9">
      <c r="A972" s="19">
        <f t="shared" si="121"/>
        <v>79.833333333333158</v>
      </c>
      <c r="B972" s="10">
        <f t="shared" si="117"/>
        <v>1.4474877734396369E-6</v>
      </c>
      <c r="C972" s="10">
        <f t="shared" si="118"/>
        <v>6.9279208679368645E-3</v>
      </c>
      <c r="D972" s="10">
        <f t="shared" si="122"/>
        <v>0.97495357002458594</v>
      </c>
      <c r="E972" s="10">
        <f t="shared" si="123"/>
        <v>0.33749359803968154</v>
      </c>
      <c r="F972" s="10">
        <f t="shared" si="119"/>
        <v>2.0341717761842647E-2</v>
      </c>
      <c r="G972" s="66">
        <f t="shared" si="124"/>
        <v>2</v>
      </c>
      <c r="H972" s="10"/>
      <c r="I972" s="10">
        <f t="shared" si="120"/>
        <v>5.3544796520006302E-10</v>
      </c>
    </row>
    <row r="973" spans="1:9">
      <c r="A973" s="19">
        <f t="shared" si="121"/>
        <v>79.916666666666487</v>
      </c>
      <c r="B973" s="10">
        <f t="shared" si="117"/>
        <v>1.3342082724717605E-6</v>
      </c>
      <c r="C973" s="10">
        <f t="shared" si="118"/>
        <v>6.7352563464269767E-3</v>
      </c>
      <c r="D973" s="10">
        <f t="shared" si="122"/>
        <v>0.9808464809159263</v>
      </c>
      <c r="E973" s="10">
        <f t="shared" si="123"/>
        <v>0.33940127049577745</v>
      </c>
      <c r="F973" s="10">
        <f t="shared" si="119"/>
        <v>2.0259179357385523E-2</v>
      </c>
      <c r="G973" s="66">
        <f t="shared" si="124"/>
        <v>4</v>
      </c>
      <c r="H973" s="10"/>
      <c r="I973" s="10">
        <f t="shared" si="120"/>
        <v>9.6142417001299122E-10</v>
      </c>
    </row>
    <row r="974" spans="1:9">
      <c r="A974" s="19">
        <f t="shared" si="121"/>
        <v>79.999999999999815</v>
      </c>
      <c r="B974" s="10">
        <f t="shared" ref="B974:B1037" si="125">(B$9^A974)*B$10^((B$6^28)*((B$6^A974)-1))</f>
        <v>1.2291883589064956E-6</v>
      </c>
      <c r="C974" s="10">
        <f t="shared" ref="C974:C1037" si="126">(B$9^A974)*B$11^((B$7^24)*((B$7^A974)-1))</f>
        <v>6.5469059964756039E-3</v>
      </c>
      <c r="D974" s="10">
        <f t="shared" si="122"/>
        <v>0.98677501397642142</v>
      </c>
      <c r="E974" s="10">
        <f t="shared" si="123"/>
        <v>0.34131972920929193</v>
      </c>
      <c r="F974" s="10">
        <f t="shared" si="119"/>
        <v>2.0176975860151585E-2</v>
      </c>
      <c r="G974" s="66">
        <f t="shared" si="124"/>
        <v>2</v>
      </c>
      <c r="H974" s="10"/>
      <c r="I974" s="10">
        <f t="shared" si="120"/>
        <v>4.312902809650003E-10</v>
      </c>
    </row>
    <row r="975" spans="1:9">
      <c r="A975" s="19">
        <f t="shared" si="121"/>
        <v>80.083333333333144</v>
      </c>
      <c r="B975" s="10">
        <f t="shared" si="125"/>
        <v>1.131873884116423E-6</v>
      </c>
      <c r="C975" s="10">
        <f t="shared" si="126"/>
        <v>6.3628026474299619E-3</v>
      </c>
      <c r="D975" s="10">
        <f t="shared" si="122"/>
        <v>0.99273938453920096</v>
      </c>
      <c r="E975" s="10">
        <f t="shared" si="123"/>
        <v>0.34324903516729205</v>
      </c>
      <c r="F975" s="10">
        <f t="shared" ref="F975:F1038" si="127">(1+B$8)^-A975</f>
        <v>2.0095105911223741E-2</v>
      </c>
      <c r="G975" s="66">
        <f t="shared" si="124"/>
        <v>4</v>
      </c>
      <c r="H975" s="10"/>
      <c r="I975" s="10">
        <f t="shared" ref="I975:I1038" si="128">B975*C975*(D975+E975)*F975*G975</f>
        <v>7.7339164690544026E-10</v>
      </c>
    </row>
    <row r="976" spans="1:9">
      <c r="A976" s="19">
        <f t="shared" ref="A976:A1039" si="129">A975+1/12</f>
        <v>80.166666666666472</v>
      </c>
      <c r="B976" s="10">
        <f t="shared" si="125"/>
        <v>1.0417442952396438E-6</v>
      </c>
      <c r="C976" s="10">
        <f t="shared" si="126"/>
        <v>6.1828794634443658E-3</v>
      </c>
      <c r="D976" s="10">
        <f t="shared" si="122"/>
        <v>0.99873980923906247</v>
      </c>
      <c r="E976" s="10">
        <f t="shared" si="123"/>
        <v>0.34518924970167586</v>
      </c>
      <c r="F976" s="10">
        <f t="shared" si="127"/>
        <v>2.001356815719884E-2</v>
      </c>
      <c r="G976" s="66">
        <f t="shared" si="124"/>
        <v>2</v>
      </c>
      <c r="H976" s="10"/>
      <c r="I976" s="10">
        <f t="shared" si="128"/>
        <v>3.4648367373340643E-10</v>
      </c>
    </row>
    <row r="977" spans="1:9">
      <c r="A977" s="19">
        <f t="shared" si="129"/>
        <v>80.249999999999801</v>
      </c>
      <c r="B977" s="10">
        <f t="shared" si="125"/>
        <v>9.5831084704564138E-7</v>
      </c>
      <c r="C977" s="10">
        <f t="shared" si="126"/>
        <v>6.0070699573732513E-3</v>
      </c>
      <c r="D977" s="10">
        <f t="shared" ref="D977:D1040" si="130">B$3+B$4*(B$6^(28+A977))</f>
        <v>1.0047765060203468</v>
      </c>
      <c r="E977" s="10">
        <f t="shared" ref="E977:E1040" si="131">B$3+B$5*(B$7^(24+A977))</f>
        <v>0.34714043449111942</v>
      </c>
      <c r="F977" s="10">
        <f t="shared" si="127"/>
        <v>1.9932361250165273E-2</v>
      </c>
      <c r="G977" s="66">
        <f t="shared" ref="G977:G1040" si="132">IF(G976=4,2,4)</f>
        <v>4</v>
      </c>
      <c r="H977" s="10"/>
      <c r="I977" s="10">
        <f t="shared" si="128"/>
        <v>6.2049436910600876E-10</v>
      </c>
    </row>
    <row r="978" spans="1:9">
      <c r="A978" s="19">
        <f t="shared" si="129"/>
        <v>80.33333333333313</v>
      </c>
      <c r="B978" s="10">
        <f t="shared" si="125"/>
        <v>8.8111489303532291E-7</v>
      </c>
      <c r="C978" s="10">
        <f t="shared" si="126"/>
        <v>5.8353080044058472E-3</v>
      </c>
      <c r="D978" s="10">
        <f t="shared" si="130"/>
        <v>1.0108496941448475</v>
      </c>
      <c r="E978" s="10">
        <f t="shared" si="131"/>
        <v>0.34910265156304066</v>
      </c>
      <c r="F978" s="10">
        <f t="shared" si="127"/>
        <v>1.9851483847680734E-2</v>
      </c>
      <c r="G978" s="66">
        <f t="shared" si="132"/>
        <v>2</v>
      </c>
      <c r="H978" s="10"/>
      <c r="I978" s="10">
        <f t="shared" si="128"/>
        <v>2.7761503773663641E-10</v>
      </c>
    </row>
    <row r="979" spans="1:9">
      <c r="A979" s="19">
        <f t="shared" si="129"/>
        <v>80.416666666666458</v>
      </c>
      <c r="B979" s="10">
        <f t="shared" si="125"/>
        <v>8.0972625320309139E-7</v>
      </c>
      <c r="C979" s="10">
        <f t="shared" si="126"/>
        <v>5.6675278554382362E-3</v>
      </c>
      <c r="D979" s="10">
        <f t="shared" si="130"/>
        <v>1.01695959419978</v>
      </c>
      <c r="E979" s="10">
        <f t="shared" si="131"/>
        <v>0.35107596329556773</v>
      </c>
      <c r="F979" s="10">
        <f t="shared" si="127"/>
        <v>1.977093461274998E-2</v>
      </c>
      <c r="G979" s="66">
        <f t="shared" si="132"/>
        <v>4</v>
      </c>
      <c r="H979" s="10"/>
      <c r="I979" s="10">
        <f t="shared" si="128"/>
        <v>4.9649680754526786E-10</v>
      </c>
    </row>
    <row r="980" spans="1:9">
      <c r="A980" s="19">
        <f t="shared" si="129"/>
        <v>80.499999999999787</v>
      </c>
      <c r="B980" s="10">
        <f t="shared" si="125"/>
        <v>7.4374165592022769E-7</v>
      </c>
      <c r="C980" s="10">
        <f t="shared" si="126"/>
        <v>5.5036641501762934E-3</v>
      </c>
      <c r="D980" s="10">
        <f t="shared" si="130"/>
        <v>1.0231064281057918</v>
      </c>
      <c r="E980" s="10">
        <f t="shared" si="131"/>
        <v>0.35306043241952551</v>
      </c>
      <c r="F980" s="10">
        <f t="shared" si="127"/>
        <v>1.9690712213802759E-2</v>
      </c>
      <c r="G980" s="66">
        <f t="shared" si="132"/>
        <v>2</v>
      </c>
      <c r="H980" s="10"/>
      <c r="I980" s="10">
        <f t="shared" si="128"/>
        <v>2.2183830916363487E-10</v>
      </c>
    </row>
    <row r="981" spans="1:9">
      <c r="A981" s="19">
        <f t="shared" si="129"/>
        <v>80.583333333333115</v>
      </c>
      <c r="B981" s="10">
        <f t="shared" si="125"/>
        <v>6.8278325143431028E-7</v>
      </c>
      <c r="C981" s="10">
        <f t="shared" si="126"/>
        <v>5.3436519299657577E-3</v>
      </c>
      <c r="D981" s="10">
        <f t="shared" si="130"/>
        <v>1.0292904191250205</v>
      </c>
      <c r="E981" s="10">
        <f t="shared" si="131"/>
        <v>0.35505612202042675</v>
      </c>
      <c r="F981" s="10">
        <f t="shared" si="127"/>
        <v>1.9610815324671772E-2</v>
      </c>
      <c r="G981" s="66">
        <f t="shared" si="132"/>
        <v>4</v>
      </c>
      <c r="H981" s="10"/>
      <c r="I981" s="10">
        <f t="shared" si="128"/>
        <v>3.9620639617841033E-10</v>
      </c>
    </row>
    <row r="982" spans="1:9">
      <c r="A982" s="19">
        <f t="shared" si="129"/>
        <v>80.666666666666444</v>
      </c>
      <c r="B982" s="10">
        <f t="shared" si="125"/>
        <v>6.2649719451580245E-7</v>
      </c>
      <c r="C982" s="10">
        <f t="shared" si="126"/>
        <v>5.1874266503433427E-3</v>
      </c>
      <c r="D982" s="10">
        <f t="shared" si="130"/>
        <v>1.0355117918692083</v>
      </c>
      <c r="E982" s="10">
        <f t="shared" si="131"/>
        <v>0.35706309554047982</v>
      </c>
      <c r="F982" s="10">
        <f t="shared" si="127"/>
        <v>1.9531242624570809E-2</v>
      </c>
      <c r="G982" s="66">
        <f t="shared" si="132"/>
        <v>2</v>
      </c>
      <c r="H982" s="10"/>
      <c r="I982" s="10">
        <f t="shared" si="128"/>
        <v>1.7678667565789975E-10</v>
      </c>
    </row>
    <row r="983" spans="1:9">
      <c r="A983" s="19">
        <f t="shared" si="129"/>
        <v>80.749999999999773</v>
      </c>
      <c r="B983" s="10">
        <f t="shared" si="125"/>
        <v>5.7455229382255298E-7</v>
      </c>
      <c r="C983" s="10">
        <f t="shared" si="126"/>
        <v>5.0349241933054026E-3</v>
      </c>
      <c r="D983" s="10">
        <f t="shared" si="130"/>
        <v>1.0417707723078538</v>
      </c>
      <c r="E983" s="10">
        <f t="shared" si="131"/>
        <v>0.35908141678060368</v>
      </c>
      <c r="F983" s="10">
        <f t="shared" si="127"/>
        <v>1.9451992798072831E-2</v>
      </c>
      <c r="G983" s="66">
        <f t="shared" si="132"/>
        <v>4</v>
      </c>
      <c r="H983" s="10"/>
      <c r="I983" s="10">
        <f t="shared" si="128"/>
        <v>3.1531084146165481E-10</v>
      </c>
    </row>
    <row r="984" spans="1:9">
      <c r="A984" s="19">
        <f t="shared" si="129"/>
        <v>80.833333333333101</v>
      </c>
      <c r="B984" s="10">
        <f t="shared" si="125"/>
        <v>5.2663872559380264E-7</v>
      </c>
      <c r="C984" s="10">
        <f t="shared" si="126"/>
        <v>4.8860808792885258E-3</v>
      </c>
      <c r="D984" s="10">
        <f t="shared" si="130"/>
        <v>1.0480675877764261</v>
      </c>
      <c r="E984" s="10">
        <f t="shared" si="131"/>
        <v>0.36111114990245802</v>
      </c>
      <c r="F984" s="10">
        <f t="shared" si="127"/>
        <v>1.9373064535088282E-2</v>
      </c>
      <c r="G984" s="66">
        <f t="shared" si="132"/>
        <v>2</v>
      </c>
      <c r="H984" s="10"/>
      <c r="I984" s="10">
        <f t="shared" si="128"/>
        <v>1.4049725697318365E-10</v>
      </c>
    </row>
    <row r="985" spans="1:9">
      <c r="A985" s="19">
        <f t="shared" si="129"/>
        <v>80.91666666666643</v>
      </c>
      <c r="B985" s="10">
        <f t="shared" si="125"/>
        <v>4.8246680932820157E-7</v>
      </c>
      <c r="C985" s="10">
        <f t="shared" si="126"/>
        <v>4.7408334788589523E-3</v>
      </c>
      <c r="D985" s="10">
        <f t="shared" si="130"/>
        <v>1.0544024669846161</v>
      </c>
      <c r="E985" s="10">
        <f t="shared" si="131"/>
        <v>0.36315235943048063</v>
      </c>
      <c r="F985" s="10">
        <f t="shared" si="127"/>
        <v>1.9294456530843409E-2</v>
      </c>
      <c r="G985" s="66">
        <f t="shared" si="132"/>
        <v>4</v>
      </c>
      <c r="H985" s="10"/>
      <c r="I985" s="10">
        <f t="shared" si="128"/>
        <v>2.5023874287209178E-10</v>
      </c>
    </row>
    <row r="986" spans="1:9">
      <c r="A986" s="19">
        <f t="shared" si="129"/>
        <v>80.999999999999758</v>
      </c>
      <c r="B986" s="10">
        <f t="shared" si="125"/>
        <v>4.4176584314516506E-7</v>
      </c>
      <c r="C986" s="10">
        <f t="shared" si="126"/>
        <v>4.5991192241056928E-3</v>
      </c>
      <c r="D986" s="10">
        <f t="shared" si="130"/>
        <v>1.0607756400246493</v>
      </c>
      <c r="E986" s="10">
        <f t="shared" si="131"/>
        <v>0.36520511025394115</v>
      </c>
      <c r="F986" s="10">
        <f t="shared" si="127"/>
        <v>1.921616748585871E-2</v>
      </c>
      <c r="G986" s="66">
        <f t="shared" si="132"/>
        <v>2</v>
      </c>
      <c r="H986" s="10"/>
      <c r="I986" s="10">
        <f t="shared" si="128"/>
        <v>1.1134667058827211E-10</v>
      </c>
    </row>
    <row r="987" spans="1:9">
      <c r="A987" s="19">
        <f t="shared" si="129"/>
        <v>81.083333333333087</v>
      </c>
      <c r="B987" s="10">
        <f t="shared" si="125"/>
        <v>4.0428299657447879E-7</v>
      </c>
      <c r="C987" s="10">
        <f t="shared" si="126"/>
        <v>4.4608758197343832E-3</v>
      </c>
      <c r="D987" s="10">
        <f t="shared" si="130"/>
        <v>1.0671873383796364</v>
      </c>
      <c r="E987" s="10">
        <f t="shared" si="131"/>
        <v>0.3672694676290012</v>
      </c>
      <c r="F987" s="10">
        <f t="shared" si="127"/>
        <v>1.913819610592743E-2</v>
      </c>
      <c r="G987" s="66">
        <f t="shared" si="132"/>
        <v>4</v>
      </c>
      <c r="H987" s="10"/>
      <c r="I987" s="10">
        <f t="shared" si="128"/>
        <v>1.9804052861643926E-10</v>
      </c>
    </row>
    <row r="988" spans="1:9">
      <c r="A988" s="19">
        <f t="shared" si="129"/>
        <v>81.166666666666416</v>
      </c>
      <c r="B988" s="10">
        <f t="shared" si="125"/>
        <v>3.6978225856684975E-7</v>
      </c>
      <c r="C988" s="10">
        <f t="shared" si="126"/>
        <v>4.3260414538575463E-3</v>
      </c>
      <c r="D988" s="10">
        <f t="shared" si="130"/>
        <v>1.0736377949319875</v>
      </c>
      <c r="E988" s="10">
        <f t="shared" si="131"/>
        <v>0.36934549718079185</v>
      </c>
      <c r="F988" s="10">
        <f t="shared" si="127"/>
        <v>1.9060541102094188E-2</v>
      </c>
      <c r="G988" s="66">
        <f t="shared" si="132"/>
        <v>2</v>
      </c>
      <c r="H988" s="10"/>
      <c r="I988" s="10">
        <f t="shared" si="128"/>
        <v>8.7996068908077595E-11</v>
      </c>
    </row>
    <row r="989" spans="1:9">
      <c r="A989" s="19">
        <f t="shared" si="129"/>
        <v>81.249999999999744</v>
      </c>
      <c r="B989" s="10">
        <f t="shared" si="125"/>
        <v>3.380434385661681E-7</v>
      </c>
      <c r="C989" s="10">
        <f t="shared" si="126"/>
        <v>4.1945548084783664E-3</v>
      </c>
      <c r="D989" s="10">
        <f t="shared" si="130"/>
        <v>1.0801272439718681</v>
      </c>
      <c r="E989" s="10">
        <f t="shared" si="131"/>
        <v>0.37143326490549655</v>
      </c>
      <c r="F989" s="10">
        <f t="shared" si="127"/>
        <v>1.8983201190633646E-2</v>
      </c>
      <c r="G989" s="66">
        <f t="shared" si="132"/>
        <v>4</v>
      </c>
      <c r="H989" s="10"/>
      <c r="I989" s="10">
        <f t="shared" si="128"/>
        <v>1.5628704160051521E-10</v>
      </c>
    </row>
    <row r="990" spans="1:9">
      <c r="A990" s="19">
        <f t="shared" si="129"/>
        <v>81.333333333333073</v>
      </c>
      <c r="B990" s="10">
        <f t="shared" si="125"/>
        <v>3.0886121853409858E-7</v>
      </c>
      <c r="C990" s="10">
        <f t="shared" si="126"/>
        <v>4.0663550696643487E-3</v>
      </c>
      <c r="D990" s="10">
        <f t="shared" si="130"/>
        <v>1.0866559212057063</v>
      </c>
      <c r="E990" s="10">
        <f t="shared" si="131"/>
        <v>0.37353283717245184</v>
      </c>
      <c r="F990" s="10">
        <f t="shared" si="127"/>
        <v>1.8906175093029318E-2</v>
      </c>
      <c r="G990" s="66">
        <f t="shared" si="132"/>
        <v>2</v>
      </c>
      <c r="H990" s="10"/>
      <c r="I990" s="10">
        <f t="shared" si="128"/>
        <v>6.9344392926530631E-11</v>
      </c>
    </row>
    <row r="991" spans="1:9">
      <c r="A991" s="19">
        <f t="shared" si="129"/>
        <v>81.416666666666401</v>
      </c>
      <c r="B991" s="10">
        <f t="shared" si="125"/>
        <v>2.8204425386765277E-7</v>
      </c>
      <c r="C991" s="10">
        <f t="shared" si="126"/>
        <v>3.9413819374081787E-3</v>
      </c>
      <c r="D991" s="10">
        <f t="shared" si="130"/>
        <v>1.0932240637647597</v>
      </c>
      <c r="E991" s="10">
        <f t="shared" si="131"/>
        <v>0.37564428072625616</v>
      </c>
      <c r="F991" s="10">
        <f t="shared" si="127"/>
        <v>1.882946153595241E-2</v>
      </c>
      <c r="G991" s="66">
        <f t="shared" si="132"/>
        <v>4</v>
      </c>
      <c r="H991" s="10"/>
      <c r="I991" s="10">
        <f t="shared" si="128"/>
        <v>1.2298341311373932E-10</v>
      </c>
    </row>
    <row r="992" spans="1:9">
      <c r="A992" s="19">
        <f t="shared" si="129"/>
        <v>81.49999999999973</v>
      </c>
      <c r="B992" s="10">
        <f t="shared" si="125"/>
        <v>2.5741432120173485E-7</v>
      </c>
      <c r="C992" s="10">
        <f t="shared" si="126"/>
        <v>3.8195756351729038E-3</v>
      </c>
      <c r="D992" s="10">
        <f t="shared" si="130"/>
        <v>1.0998319102137213</v>
      </c>
      <c r="E992" s="10">
        <f t="shared" si="131"/>
        <v>0.37776766268889067</v>
      </c>
      <c r="F992" s="10">
        <f t="shared" si="127"/>
        <v>1.875305925124077E-2</v>
      </c>
      <c r="G992" s="66">
        <f t="shared" si="132"/>
        <v>2</v>
      </c>
      <c r="H992" s="10"/>
      <c r="I992" s="10">
        <f t="shared" si="128"/>
        <v>5.4488731527252395E-11</v>
      </c>
    </row>
    <row r="993" spans="1:9">
      <c r="A993" s="19">
        <f t="shared" si="129"/>
        <v>81.583333333333059</v>
      </c>
      <c r="B993" s="10">
        <f t="shared" si="125"/>
        <v>2.3480551114013932E-7</v>
      </c>
      <c r="C993" s="10">
        <f t="shared" si="126"/>
        <v>3.7008769191187083E-3</v>
      </c>
      <c r="D993" s="10">
        <f t="shared" si="130"/>
        <v>1.1064797005593932</v>
      </c>
      <c r="E993" s="10">
        <f t="shared" si="131"/>
        <v>0.37990305056185525</v>
      </c>
      <c r="F993" s="10">
        <f t="shared" si="127"/>
        <v>1.8676966975877937E-2</v>
      </c>
      <c r="G993" s="66">
        <f t="shared" si="132"/>
        <v>4</v>
      </c>
      <c r="H993" s="10"/>
      <c r="I993" s="10">
        <f t="shared" si="128"/>
        <v>9.6496136849068492E-11</v>
      </c>
    </row>
    <row r="994" spans="1:9">
      <c r="A994" s="19">
        <f t="shared" si="129"/>
        <v>81.666666666666387</v>
      </c>
      <c r="B994" s="10">
        <f t="shared" si="125"/>
        <v>2.1406346401060813E-7</v>
      </c>
      <c r="C994" s="10">
        <f t="shared" si="126"/>
        <v>3.5852270870093926E-3</v>
      </c>
      <c r="D994" s="10">
        <f t="shared" si="130"/>
        <v>1.1131676762593941</v>
      </c>
      <c r="E994" s="10">
        <f t="shared" si="131"/>
        <v>0.38205051222831177</v>
      </c>
      <c r="F994" s="10">
        <f t="shared" si="127"/>
        <v>1.8601183451972255E-2</v>
      </c>
      <c r="G994" s="66">
        <f t="shared" si="132"/>
        <v>2</v>
      </c>
      <c r="H994" s="10"/>
      <c r="I994" s="10">
        <f t="shared" si="128"/>
        <v>4.2690806642826259E-11</v>
      </c>
    </row>
    <row r="995" spans="1:9">
      <c r="A995" s="19">
        <f t="shared" si="129"/>
        <v>81.749999999999716</v>
      </c>
      <c r="B995" s="10">
        <f t="shared" si="125"/>
        <v>1.9504464679210392E-7</v>
      </c>
      <c r="C995" s="10">
        <f t="shared" si="126"/>
        <v>3.472567986795883E-3</v>
      </c>
      <c r="D995" s="10">
        <f t="shared" si="130"/>
        <v>1.1198960802309377</v>
      </c>
      <c r="E995" s="10">
        <f t="shared" si="131"/>
        <v>0.38421011595524457</v>
      </c>
      <c r="F995" s="10">
        <f t="shared" si="127"/>
        <v>1.8525707426736086E-2</v>
      </c>
      <c r="G995" s="66">
        <f t="shared" si="132"/>
        <v>4</v>
      </c>
      <c r="H995" s="10"/>
      <c r="I995" s="10">
        <f t="shared" si="128"/>
        <v>7.5491505260644196E-11</v>
      </c>
    </row>
    <row r="996" spans="1:9">
      <c r="A996" s="19">
        <f t="shared" si="129"/>
        <v>81.833333333333044</v>
      </c>
      <c r="B996" s="10">
        <f t="shared" si="125"/>
        <v>1.7761566941492932E-7</v>
      </c>
      <c r="C996" s="10">
        <f t="shared" si="126"/>
        <v>3.3628420248755482E-3</v>
      </c>
      <c r="D996" s="10">
        <f t="shared" si="130"/>
        <v>1.1266651568596533</v>
      </c>
      <c r="E996" s="10">
        <f t="shared" si="131"/>
        <v>0.3863819303956284</v>
      </c>
      <c r="F996" s="10">
        <f t="shared" si="127"/>
        <v>1.8450537652465085E-2</v>
      </c>
      <c r="G996" s="66">
        <f t="shared" si="132"/>
        <v>2</v>
      </c>
      <c r="H996" s="10"/>
      <c r="I996" s="10">
        <f t="shared" si="128"/>
        <v>3.3348723018948601E-11</v>
      </c>
    </row>
    <row r="997" spans="1:9">
      <c r="A997" s="19">
        <f t="shared" si="129"/>
        <v>81.916666666666373</v>
      </c>
      <c r="B997" s="10">
        <f t="shared" si="125"/>
        <v>1.616526386872196E-7</v>
      </c>
      <c r="C997" s="10">
        <f t="shared" si="126"/>
        <v>3.2559921740249872E-3</v>
      </c>
      <c r="D997" s="10">
        <f t="shared" si="130"/>
        <v>1.1334751520084574</v>
      </c>
      <c r="E997" s="10">
        <f t="shared" si="131"/>
        <v>0.38856602459061285</v>
      </c>
      <c r="F997" s="10">
        <f t="shared" si="127"/>
        <v>1.8375672886517577E-2</v>
      </c>
      <c r="G997" s="66">
        <f t="shared" si="132"/>
        <v>4</v>
      </c>
      <c r="H997" s="10"/>
      <c r="I997" s="10">
        <f t="shared" si="128"/>
        <v>5.8883795364826143E-11</v>
      </c>
    </row>
    <row r="998" spans="1:9">
      <c r="A998" s="19">
        <f t="shared" si="129"/>
        <v>81.999999999999702</v>
      </c>
      <c r="B998" s="10">
        <f t="shared" si="125"/>
        <v>1.4704054815389625E-7</v>
      </c>
      <c r="C998" s="10">
        <f t="shared" si="126"/>
        <v>3.1519619810055923E-3</v>
      </c>
      <c r="D998" s="10">
        <f t="shared" si="130"/>
        <v>1.1403263130264931</v>
      </c>
      <c r="E998" s="10">
        <f t="shared" si="131"/>
        <v>0.39076246797171527</v>
      </c>
      <c r="F998" s="10">
        <f t="shared" si="127"/>
        <v>1.8301111891294061E-2</v>
      </c>
      <c r="G998" s="66">
        <f t="shared" si="132"/>
        <v>2</v>
      </c>
      <c r="H998" s="10"/>
      <c r="I998" s="10">
        <f t="shared" si="128"/>
        <v>2.5973228101881869E-11</v>
      </c>
    </row>
    <row r="999" spans="1:9">
      <c r="A999" s="19">
        <f t="shared" si="129"/>
        <v>82.08333333333303</v>
      </c>
      <c r="B999" s="10">
        <f t="shared" si="125"/>
        <v>1.3367270224690744E-7</v>
      </c>
      <c r="C999" s="10">
        <f t="shared" si="126"/>
        <v>3.0506955738400193E-3</v>
      </c>
      <c r="D999" s="10">
        <f t="shared" si="130"/>
        <v>1.1472188887581041</v>
      </c>
      <c r="E999" s="10">
        <f t="shared" si="131"/>
        <v>0.39297133036303</v>
      </c>
      <c r="F999" s="10">
        <f t="shared" si="127"/>
        <v>1.8226853434216653E-2</v>
      </c>
      <c r="G999" s="66">
        <f t="shared" si="132"/>
        <v>4</v>
      </c>
      <c r="H999" s="10"/>
      <c r="I999" s="10">
        <f t="shared" si="128"/>
        <v>4.5791793466950919E-11</v>
      </c>
    </row>
    <row r="1000" spans="1:9">
      <c r="A1000" s="19">
        <f t="shared" si="129"/>
        <v>82.166666666666359</v>
      </c>
      <c r="B1000" s="10">
        <f t="shared" si="125"/>
        <v>1.2145017313780449E-7</v>
      </c>
      <c r="C1000" s="10">
        <f t="shared" si="126"/>
        <v>2.9521376687591983E-3</v>
      </c>
      <c r="D1000" s="10">
        <f t="shared" si="130"/>
        <v>1.1541531295518823</v>
      </c>
      <c r="E1000" s="10">
        <f t="shared" si="131"/>
        <v>0.39519268198344554</v>
      </c>
      <c r="F1000" s="10">
        <f t="shared" si="127"/>
        <v>1.8152896287708803E-2</v>
      </c>
      <c r="G1000" s="66">
        <f t="shared" si="132"/>
        <v>2</v>
      </c>
      <c r="H1000" s="10"/>
      <c r="I1000" s="10">
        <f t="shared" si="128"/>
        <v>2.0167823368711002E-11</v>
      </c>
    </row>
    <row r="1001" spans="1:9">
      <c r="A1001" s="19">
        <f t="shared" si="129"/>
        <v>82.249999999999687</v>
      </c>
      <c r="B1001" s="10">
        <f t="shared" si="125"/>
        <v>1.1028128875587074E-7</v>
      </c>
      <c r="C1001" s="10">
        <f t="shared" si="126"/>
        <v>2.8562335768187196E-3</v>
      </c>
      <c r="D1001" s="10">
        <f t="shared" si="130"/>
        <v>1.161129287269753</v>
      </c>
      <c r="E1001" s="10">
        <f t="shared" si="131"/>
        <v>0.39742659344887987</v>
      </c>
      <c r="F1001" s="10">
        <f t="shared" si="127"/>
        <v>1.8079239229174943E-2</v>
      </c>
      <c r="G1001" s="66">
        <f t="shared" si="132"/>
        <v>4</v>
      </c>
      <c r="H1001" s="10"/>
      <c r="I1001" s="10">
        <f t="shared" si="128"/>
        <v>3.5502429517525583E-11</v>
      </c>
    </row>
    <row r="1002" spans="1:9">
      <c r="A1002" s="19">
        <f t="shared" si="129"/>
        <v>82.333333333333016</v>
      </c>
      <c r="B1002" s="10">
        <f t="shared" si="125"/>
        <v>1.0008115048659672E-7</v>
      </c>
      <c r="C1002" s="10">
        <f t="shared" si="126"/>
        <v>2.7629292101844409E-3</v>
      </c>
      <c r="D1002" s="10">
        <f t="shared" si="130"/>
        <v>1.1681476152961301</v>
      </c>
      <c r="E1002" s="10">
        <f t="shared" si="131"/>
        <v>0.39967313577452207</v>
      </c>
      <c r="F1002" s="10">
        <f t="shared" si="127"/>
        <v>1.8005881040980349E-2</v>
      </c>
      <c r="G1002" s="66">
        <f t="shared" si="132"/>
        <v>2</v>
      </c>
      <c r="H1002" s="10"/>
      <c r="I1002" s="10">
        <f t="shared" si="128"/>
        <v>1.5612154036646813E-11</v>
      </c>
    </row>
    <row r="1003" spans="1:9">
      <c r="A1003" s="19">
        <f t="shared" si="129"/>
        <v>82.416666666666345</v>
      </c>
      <c r="B1003" s="10">
        <f t="shared" si="125"/>
        <v>9.0771179116444888E-8</v>
      </c>
      <c r="C1003" s="10">
        <f t="shared" si="126"/>
        <v>2.6721710880867411E-3</v>
      </c>
      <c r="D1003" s="10">
        <f t="shared" si="130"/>
        <v>1.1752083685471113</v>
      </c>
      <c r="E1003" s="10">
        <f t="shared" si="131"/>
        <v>0.40193238037709272</v>
      </c>
      <c r="F1003" s="10">
        <f t="shared" si="127"/>
        <v>1.7932820510430911E-2</v>
      </c>
      <c r="G1003" s="66">
        <f t="shared" si="132"/>
        <v>4</v>
      </c>
      <c r="H1003" s="10"/>
      <c r="I1003" s="10">
        <f t="shared" si="128"/>
        <v>2.744045343781675E-11</v>
      </c>
    </row>
    <row r="1004" spans="1:9">
      <c r="A1004" s="19">
        <f t="shared" si="129"/>
        <v>82.499999999999673</v>
      </c>
      <c r="B1004" s="10">
        <f t="shared" si="125"/>
        <v>8.227868764050962E-8</v>
      </c>
      <c r="C1004" s="10">
        <f t="shared" si="126"/>
        <v>2.5839063424437469E-3</v>
      </c>
      <c r="D1004" s="10">
        <f t="shared" si="130"/>
        <v>1.1823118034797453</v>
      </c>
      <c r="E1004" s="10">
        <f t="shared" si="131"/>
        <v>0.40420439907711164</v>
      </c>
      <c r="F1004" s="10">
        <f t="shared" si="127"/>
        <v>1.7860056429753159E-2</v>
      </c>
      <c r="G1004" s="66">
        <f t="shared" si="132"/>
        <v>2</v>
      </c>
      <c r="H1004" s="10"/>
      <c r="I1004" s="10">
        <f t="shared" si="128"/>
        <v>1.2048180300842043E-11</v>
      </c>
    </row>
    <row r="1005" spans="1:9">
      <c r="A1005" s="19">
        <f t="shared" si="129"/>
        <v>82.583333333333002</v>
      </c>
      <c r="B1005" s="10">
        <f t="shared" si="125"/>
        <v>7.4536479599526589E-8</v>
      </c>
      <c r="C1005" s="10">
        <f t="shared" si="126"/>
        <v>2.4980827231533428E-3</v>
      </c>
      <c r="D1005" s="10">
        <f t="shared" si="130"/>
        <v>1.1894581781013422</v>
      </c>
      <c r="E1005" s="10">
        <f t="shared" si="131"/>
        <v>0.40648926410118374</v>
      </c>
      <c r="F1005" s="10">
        <f t="shared" si="127"/>
        <v>1.778758759607427E-2</v>
      </c>
      <c r="G1005" s="66">
        <f t="shared" si="132"/>
        <v>4</v>
      </c>
      <c r="H1005" s="10"/>
      <c r="I1005" s="10">
        <f t="shared" si="128"/>
        <v>2.1143229354676616E-11</v>
      </c>
    </row>
    <row r="1006" spans="1:9">
      <c r="A1006" s="19">
        <f t="shared" si="129"/>
        <v>82.66666666666633</v>
      </c>
      <c r="B1006" s="10">
        <f t="shared" si="125"/>
        <v>6.7482471662046758E-8</v>
      </c>
      <c r="C1006" s="10">
        <f t="shared" si="126"/>
        <v>2.4146486030547751E-3</v>
      </c>
      <c r="D1006" s="10">
        <f t="shared" si="130"/>
        <v>1.1966477519788432</v>
      </c>
      <c r="E1006" s="10">
        <f t="shared" si="131"/>
        <v>0.40878704808429212</v>
      </c>
      <c r="F1006" s="10">
        <f t="shared" si="127"/>
        <v>1.7715412811402192E-2</v>
      </c>
      <c r="G1006" s="66">
        <f t="shared" si="132"/>
        <v>2</v>
      </c>
      <c r="H1006" s="10"/>
      <c r="I1006" s="10">
        <f t="shared" si="128"/>
        <v>9.2687008259003339E-12</v>
      </c>
    </row>
    <row r="1007" spans="1:9">
      <c r="A1007" s="19">
        <f t="shared" si="129"/>
        <v>82.749999999999659</v>
      </c>
      <c r="B1007" s="10">
        <f t="shared" si="125"/>
        <v>6.1059339215970826E-8</v>
      </c>
      <c r="C1007" s="10">
        <f t="shared" si="126"/>
        <v>2.3335529825601374E-3</v>
      </c>
      <c r="D1007" s="10">
        <f t="shared" si="130"/>
        <v>1.2038807862482528</v>
      </c>
      <c r="E1007" s="10">
        <f t="shared" si="131"/>
        <v>0.41109782407211026</v>
      </c>
      <c r="F1007" s="10">
        <f t="shared" si="127"/>
        <v>1.764353088260584E-2</v>
      </c>
      <c r="G1007" s="66">
        <f t="shared" si="132"/>
        <v>4</v>
      </c>
      <c r="H1007" s="10"/>
      <c r="I1007" s="10">
        <f t="shared" si="128"/>
        <v>1.6239850759573678E-11</v>
      </c>
    </row>
    <row r="1008" spans="1:9">
      <c r="A1008" s="19">
        <f t="shared" si="129"/>
        <v>82.833333333332988</v>
      </c>
      <c r="B1008" s="10">
        <f t="shared" si="125"/>
        <v>5.5214183781397896E-8</v>
      </c>
      <c r="C1008" s="10">
        <f t="shared" si="126"/>
        <v>2.2547454939569876E-3</v>
      </c>
      <c r="D1008" s="10">
        <f t="shared" si="130"/>
        <v>1.2111575436241229</v>
      </c>
      <c r="E1008" s="10">
        <f t="shared" si="131"/>
        <v>0.41342166552332094</v>
      </c>
      <c r="F1008" s="10">
        <f t="shared" si="127"/>
        <v>1.7571940621395363E-2</v>
      </c>
      <c r="G1008" s="66">
        <f t="shared" si="132"/>
        <v>2</v>
      </c>
      <c r="H1008" s="10"/>
      <c r="I1008" s="10">
        <f t="shared" si="128"/>
        <v>7.1078588983433302E-12</v>
      </c>
    </row>
    <row r="1009" spans="1:9">
      <c r="A1009" s="19">
        <f t="shared" si="129"/>
        <v>82.916666666666316</v>
      </c>
      <c r="B1009" s="10">
        <f t="shared" si="125"/>
        <v>4.9898221103451021E-8</v>
      </c>
      <c r="C1009" s="10">
        <f t="shared" si="126"/>
        <v>2.1781764053828328E-3</v>
      </c>
      <c r="D1009" s="10">
        <f t="shared" si="130"/>
        <v>1.2184782884090875</v>
      </c>
      <c r="E1009" s="10">
        <f t="shared" si="131"/>
        <v>0.41575864631195397</v>
      </c>
      <c r="F1009" s="10">
        <f t="shared" si="127"/>
        <v>1.7500640844302508E-2</v>
      </c>
      <c r="G1009" s="66">
        <f t="shared" si="132"/>
        <v>4</v>
      </c>
      <c r="H1009" s="10"/>
      <c r="I1009" s="10">
        <f t="shared" si="128"/>
        <v>1.2433891617890947E-11</v>
      </c>
    </row>
    <row r="1010" spans="1:9">
      <c r="A1010" s="19">
        <f t="shared" si="129"/>
        <v>82.999999999999645</v>
      </c>
      <c r="B1010" s="10">
        <f t="shared" si="125"/>
        <v>4.5066488829680695E-8</v>
      </c>
      <c r="C1010" s="10">
        <f t="shared" si="126"/>
        <v>2.1037966244731279E-3</v>
      </c>
      <c r="D1010" s="10">
        <f t="shared" si="130"/>
        <v>1.2258432865034745</v>
      </c>
      <c r="E1010" s="10">
        <f t="shared" si="131"/>
        <v>0.41810884072973387</v>
      </c>
      <c r="F1010" s="10">
        <f t="shared" si="127"/>
        <v>1.7429630372661056E-2</v>
      </c>
      <c r="G1010" s="66">
        <f t="shared" si="132"/>
        <v>2</v>
      </c>
      <c r="H1010" s="10"/>
      <c r="I1010" s="10">
        <f t="shared" si="128"/>
        <v>5.4333141512665795E-12</v>
      </c>
    </row>
    <row r="1011" spans="1:9">
      <c r="A1011" s="19">
        <f t="shared" si="129"/>
        <v>83.083333333332973</v>
      </c>
      <c r="B1011" s="10">
        <f t="shared" si="125"/>
        <v>4.0677572721515652E-8</v>
      </c>
      <c r="C1011" s="10">
        <f t="shared" si="126"/>
        <v>2.0315577016841689E-3</v>
      </c>
      <c r="D1011" s="10">
        <f t="shared" si="130"/>
        <v>1.2332528054149563</v>
      </c>
      <c r="E1011" s="10">
        <f t="shared" si="131"/>
        <v>0.42047232348844021</v>
      </c>
      <c r="F1011" s="10">
        <f t="shared" si="127"/>
        <v>1.7358908032587335E-2</v>
      </c>
      <c r="G1011" s="66">
        <f t="shared" si="132"/>
        <v>4</v>
      </c>
      <c r="H1011" s="10"/>
      <c r="I1011" s="10">
        <f t="shared" si="128"/>
        <v>9.4892068006829994E-12</v>
      </c>
    </row>
    <row r="1012" spans="1:9">
      <c r="A1012" s="19">
        <f t="shared" si="129"/>
        <v>83.166666666666302</v>
      </c>
      <c r="B1012" s="10">
        <f t="shared" si="125"/>
        <v>3.6693350393158603E-8</v>
      </c>
      <c r="C1012" s="10">
        <f t="shared" si="126"/>
        <v>1.9614118332925822E-3</v>
      </c>
      <c r="D1012" s="10">
        <f t="shared" si="130"/>
        <v>1.2407071142682691</v>
      </c>
      <c r="E1012" s="10">
        <f t="shared" si="131"/>
        <v>0.42284916972228531</v>
      </c>
      <c r="F1012" s="10">
        <f t="shared" si="127"/>
        <v>1.7288472654960807E-2</v>
      </c>
      <c r="G1012" s="66">
        <f t="shared" si="132"/>
        <v>2</v>
      </c>
      <c r="H1012" s="10"/>
      <c r="I1012" s="10">
        <f t="shared" si="128"/>
        <v>4.1398087807358699E-12</v>
      </c>
    </row>
    <row r="1013" spans="1:9">
      <c r="A1013" s="19">
        <f t="shared" si="129"/>
        <v>83.249999999999631</v>
      </c>
      <c r="B1013" s="10">
        <f t="shared" si="125"/>
        <v>3.3078751614223928E-8</v>
      </c>
      <c r="C1013" s="10">
        <f t="shared" si="126"/>
        <v>1.8933118640736689E-3</v>
      </c>
      <c r="D1013" s="10">
        <f t="shared" si="130"/>
        <v>1.2482064838149802</v>
      </c>
      <c r="E1013" s="10">
        <f t="shared" si="131"/>
        <v>0.42523945499029964</v>
      </c>
      <c r="F1013" s="10">
        <f t="shared" si="127"/>
        <v>1.7218323075404766E-2</v>
      </c>
      <c r="G1013" s="66">
        <f t="shared" si="132"/>
        <v>4</v>
      </c>
      <c r="H1013" s="10"/>
      <c r="I1013" s="10">
        <f t="shared" si="128"/>
        <v>7.2182812211656674E-12</v>
      </c>
    </row>
    <row r="1014" spans="1:9">
      <c r="A1014" s="19">
        <f t="shared" si="129"/>
        <v>83.333333333332959</v>
      </c>
      <c r="B1014" s="10">
        <f t="shared" si="125"/>
        <v>2.98015342542128E-8</v>
      </c>
      <c r="C1014" s="10">
        <f t="shared" si="126"/>
        <v>1.8272112896603988E-3</v>
      </c>
      <c r="D1014" s="10">
        <f t="shared" si="130"/>
        <v>1.2557511864433342</v>
      </c>
      <c r="E1014" s="10">
        <f t="shared" si="131"/>
        <v>0.42764325527873709</v>
      </c>
      <c r="F1014" s="10">
        <f t="shared" si="127"/>
        <v>1.7148458134267058E-2</v>
      </c>
      <c r="G1014" s="66">
        <f t="shared" si="132"/>
        <v>2</v>
      </c>
      <c r="H1014" s="10"/>
      <c r="I1014" s="10">
        <f t="shared" si="128"/>
        <v>3.1438973318451862E-12</v>
      </c>
    </row>
    <row r="1015" spans="1:9">
      <c r="A1015" s="19">
        <f t="shared" si="129"/>
        <v>83.416666666666288</v>
      </c>
      <c r="B1015" s="10">
        <f t="shared" si="125"/>
        <v>2.6832074987696319E-8</v>
      </c>
      <c r="C1015" s="10">
        <f t="shared" si="126"/>
        <v>1.7630642585858972E-3</v>
      </c>
      <c r="D1015" s="10">
        <f t="shared" si="130"/>
        <v>1.2633414961881391</v>
      </c>
      <c r="E1015" s="10">
        <f t="shared" si="131"/>
        <v>0.43006064700348734</v>
      </c>
      <c r="F1015" s="10">
        <f t="shared" si="127"/>
        <v>1.7078876676600924E-2</v>
      </c>
      <c r="G1015" s="66">
        <f t="shared" si="132"/>
        <v>4</v>
      </c>
      <c r="H1015" s="10"/>
      <c r="I1015" s="10">
        <f t="shared" si="128"/>
        <v>5.4727019848552914E-12</v>
      </c>
    </row>
    <row r="1016" spans="1:9">
      <c r="A1016" s="19">
        <f t="shared" si="129"/>
        <v>83.499999999999616</v>
      </c>
      <c r="B1016" s="10">
        <f t="shared" si="125"/>
        <v>2.4143173918698197E-8</v>
      </c>
      <c r="C1016" s="10">
        <f t="shared" si="126"/>
        <v>1.7008255740116065E-3</v>
      </c>
      <c r="D1016" s="10">
        <f t="shared" si="130"/>
        <v>1.2709776887407205</v>
      </c>
      <c r="E1016" s="10">
        <f t="shared" si="131"/>
        <v>0.43249170701250789</v>
      </c>
      <c r="F1016" s="10">
        <f t="shared" si="127"/>
        <v>1.7009577552145924E-2</v>
      </c>
      <c r="G1016" s="66">
        <f t="shared" si="132"/>
        <v>2</v>
      </c>
      <c r="H1016" s="10"/>
      <c r="I1016" s="10">
        <f t="shared" si="128"/>
        <v>2.3796440471731063E-12</v>
      </c>
    </row>
    <row r="1017" spans="1:9">
      <c r="A1017" s="19">
        <f t="shared" si="129"/>
        <v>83.583333333332945</v>
      </c>
      <c r="B1017" s="10">
        <f t="shared" si="125"/>
        <v>2.1709872321320323E-8</v>
      </c>
      <c r="C1017" s="10">
        <f t="shared" si="126"/>
        <v>1.640450695144332E-3</v>
      </c>
      <c r="D1017" s="10">
        <f t="shared" si="130"/>
        <v>1.2786600414589384</v>
      </c>
      <c r="E1017" s="10">
        <f t="shared" si="131"/>
        <v>0.43493651258826471</v>
      </c>
      <c r="F1017" s="10">
        <f t="shared" si="127"/>
        <v>1.6940559615308871E-2</v>
      </c>
      <c r="G1017" s="66">
        <f t="shared" si="132"/>
        <v>4</v>
      </c>
      <c r="H1017" s="10"/>
      <c r="I1017" s="10">
        <f t="shared" si="128"/>
        <v>4.1353928776335462E-12</v>
      </c>
    </row>
    <row r="1018" spans="1:9">
      <c r="A1018" s="19">
        <f t="shared" si="129"/>
        <v>83.666666666666273</v>
      </c>
      <c r="B1018" s="10">
        <f t="shared" si="125"/>
        <v>1.9509282731029453E-8</v>
      </c>
      <c r="C1018" s="10">
        <f t="shared" si="126"/>
        <v>1.5818957383448194E-3</v>
      </c>
      <c r="D1018" s="10">
        <f t="shared" si="130"/>
        <v>1.286388833377252</v>
      </c>
      <c r="E1018" s="10">
        <f t="shared" si="131"/>
        <v>0.43739514145019104</v>
      </c>
      <c r="F1018" s="10">
        <f t="shared" si="127"/>
        <v>1.6871821725144988E-2</v>
      </c>
      <c r="G1018" s="66">
        <f t="shared" si="132"/>
        <v>2</v>
      </c>
      <c r="H1018" s="10"/>
      <c r="I1018" s="10">
        <f t="shared" si="128"/>
        <v>1.7951220070768372E-12</v>
      </c>
    </row>
    <row r="1019" spans="1:9">
      <c r="A1019" s="19">
        <f t="shared" si="129"/>
        <v>83.749999999999602</v>
      </c>
      <c r="B1019" s="10">
        <f t="shared" si="125"/>
        <v>1.7520430657308634E-8</v>
      </c>
      <c r="C1019" s="10">
        <f t="shared" si="126"/>
        <v>1.5251174779314276E-3</v>
      </c>
      <c r="D1019" s="10">
        <f t="shared" si="130"/>
        <v>1.294164345216867</v>
      </c>
      <c r="E1019" s="10">
        <f t="shared" si="131"/>
        <v>0.43986767175715613</v>
      </c>
      <c r="F1019" s="10">
        <f t="shared" si="127"/>
        <v>1.6803362745338939E-2</v>
      </c>
      <c r="G1019" s="66">
        <f t="shared" si="132"/>
        <v>4</v>
      </c>
      <c r="H1019" s="10"/>
      <c r="I1019" s="10">
        <f t="shared" si="128"/>
        <v>3.1143067093507267E-12</v>
      </c>
    </row>
    <row r="1020" spans="1:9">
      <c r="A1020" s="19">
        <f t="shared" si="129"/>
        <v>83.833333333332931</v>
      </c>
      <c r="B1020" s="10">
        <f t="shared" si="125"/>
        <v>1.5724107223481795E-8</v>
      </c>
      <c r="C1020" s="10">
        <f t="shared" si="126"/>
        <v>1.4700733466819517E-3</v>
      </c>
      <c r="D1020" s="10">
        <f t="shared" si="130"/>
        <v>1.3019868593959252</v>
      </c>
      <c r="E1020" s="10">
        <f t="shared" si="131"/>
        <v>0.44235418210995181</v>
      </c>
      <c r="F1020" s="10">
        <f t="shared" si="127"/>
        <v>1.6735181544186101E-2</v>
      </c>
      <c r="G1020" s="66">
        <f t="shared" si="132"/>
        <v>2</v>
      </c>
      <c r="H1020" s="10"/>
      <c r="I1020" s="10">
        <f t="shared" si="128"/>
        <v>1.3495743736051331E-12</v>
      </c>
    </row>
    <row r="1021" spans="1:9">
      <c r="A1021" s="19">
        <f t="shared" si="129"/>
        <v>83.916666666666259</v>
      </c>
      <c r="B1021" s="10">
        <f t="shared" si="125"/>
        <v>1.4102732073497401E-8</v>
      </c>
      <c r="C1021" s="10">
        <f t="shared" si="126"/>
        <v>1.4167214360375157E-3</v>
      </c>
      <c r="D1021" s="10">
        <f t="shared" si="130"/>
        <v>1.3098566600397643</v>
      </c>
      <c r="E1021" s="10">
        <f t="shared" si="131"/>
        <v>0.44485475155378917</v>
      </c>
      <c r="F1021" s="10">
        <f t="shared" si="127"/>
        <v>1.6667276994573859E-2</v>
      </c>
      <c r="G1021" s="66">
        <f t="shared" si="132"/>
        <v>4</v>
      </c>
      <c r="H1021" s="10"/>
      <c r="I1021" s="10">
        <f t="shared" si="128"/>
        <v>2.337319407576159E-12</v>
      </c>
    </row>
    <row r="1022" spans="1:9">
      <c r="A1022" s="19">
        <f t="shared" si="129"/>
        <v>83.999999999999588</v>
      </c>
      <c r="B1022" s="10">
        <f t="shared" si="125"/>
        <v>1.2640225918298058E-8</v>
      </c>
      <c r="C1022" s="10">
        <f t="shared" si="126"/>
        <v>1.3650204960120053E-3</v>
      </c>
      <c r="D1022" s="10">
        <f t="shared" si="130"/>
        <v>1.3177740329912304</v>
      </c>
      <c r="E1022" s="10">
        <f t="shared" si="131"/>
        <v>0.4473694595808137</v>
      </c>
      <c r="F1022" s="10">
        <f t="shared" si="127"/>
        <v>1.6599647973962951E-2</v>
      </c>
      <c r="G1022" s="66">
        <f t="shared" si="132"/>
        <v>2</v>
      </c>
      <c r="H1022" s="10"/>
      <c r="I1022" s="10">
        <f t="shared" si="128"/>
        <v>1.0111204597755396E-12</v>
      </c>
    </row>
    <row r="1023" spans="1:9">
      <c r="A1023" s="19">
        <f t="shared" si="129"/>
        <v>84.083333333332916</v>
      </c>
      <c r="B1023" s="10">
        <f t="shared" si="125"/>
        <v>1.1321892126079232E-8</v>
      </c>
      <c r="C1023" s="10">
        <f t="shared" si="126"/>
        <v>1.3149299348112651E-3</v>
      </c>
      <c r="D1023" s="10">
        <f t="shared" si="130"/>
        <v>1.3257392658210734</v>
      </c>
      <c r="E1023" s="10">
        <f t="shared" si="131"/>
        <v>0.4498983861326295</v>
      </c>
      <c r="F1023" s="10">
        <f t="shared" si="127"/>
        <v>1.6532293364368931E-2</v>
      </c>
      <c r="G1023" s="66">
        <f t="shared" si="132"/>
        <v>4</v>
      </c>
      <c r="H1023" s="10"/>
      <c r="I1023" s="10">
        <f t="shared" si="128"/>
        <v>1.7481112393467528E-12</v>
      </c>
    </row>
    <row r="1024" spans="1:9">
      <c r="A1024" s="19">
        <f t="shared" si="129"/>
        <v>84.166666666666245</v>
      </c>
      <c r="B1024" s="10">
        <f t="shared" si="125"/>
        <v>1.0134306791317271E-8</v>
      </c>
      <c r="C1024" s="10">
        <f t="shared" si="126"/>
        <v>1.2664098181659289E-3</v>
      </c>
      <c r="D1024" s="10">
        <f t="shared" si="130"/>
        <v>1.3337526478383823</v>
      </c>
      <c r="E1024" s="10">
        <f t="shared" si="131"/>
        <v>0.45244161160284363</v>
      </c>
      <c r="F1024" s="10">
        <f t="shared" si="127"/>
        <v>1.6465212052343667E-2</v>
      </c>
      <c r="G1024" s="66">
        <f t="shared" si="132"/>
        <v>2</v>
      </c>
      <c r="H1024" s="10"/>
      <c r="I1024" s="10">
        <f t="shared" si="128"/>
        <v>7.5490852437356227E-13</v>
      </c>
    </row>
    <row r="1025" spans="1:9">
      <c r="A1025" s="19">
        <f t="shared" si="129"/>
        <v>84.249999999999574</v>
      </c>
      <c r="B1025" s="10">
        <f t="shared" si="125"/>
        <v>9.0652167468638399E-9</v>
      </c>
      <c r="C1025" s="10">
        <f t="shared" si="126"/>
        <v>1.219420868382439E-3</v>
      </c>
      <c r="D1025" s="10">
        <f t="shared" si="130"/>
        <v>1.3418144701010966</v>
      </c>
      <c r="E1025" s="10">
        <f t="shared" si="131"/>
        <v>0.45499921683961903</v>
      </c>
      <c r="F1025" s="10">
        <f t="shared" si="127"/>
        <v>1.6398402928956963E-2</v>
      </c>
      <c r="G1025" s="66">
        <f t="shared" si="132"/>
        <v>4</v>
      </c>
      <c r="H1025" s="10"/>
      <c r="I1025" s="10">
        <f t="shared" si="128"/>
        <v>1.3028559695030939E-12</v>
      </c>
    </row>
    <row r="1026" spans="1:9">
      <c r="A1026" s="19">
        <f t="shared" si="129"/>
        <v>84.333333333332902</v>
      </c>
      <c r="B1026" s="10">
        <f t="shared" si="125"/>
        <v>8.103445011742528E-9</v>
      </c>
      <c r="C1026" s="10">
        <f t="shared" si="126"/>
        <v>1.1739244631164506E-3</v>
      </c>
      <c r="D1026" s="10">
        <f t="shared" si="130"/>
        <v>1.3499250254265796</v>
      </c>
      <c r="E1026" s="10">
        <f t="shared" si="131"/>
        <v>0.45757128314824669</v>
      </c>
      <c r="F1026" s="10">
        <f t="shared" si="127"/>
        <v>1.633186488977819E-2</v>
      </c>
      <c r="G1026" s="66">
        <f t="shared" si="132"/>
        <v>2</v>
      </c>
      <c r="H1026" s="10"/>
      <c r="I1026" s="10">
        <f t="shared" si="128"/>
        <v>5.6163354004966016E-13</v>
      </c>
    </row>
    <row r="1027" spans="1:9">
      <c r="A1027" s="19">
        <f t="shared" si="129"/>
        <v>84.416666666666231</v>
      </c>
      <c r="B1027" s="10">
        <f t="shared" si="125"/>
        <v>7.2388031944916418E-9</v>
      </c>
      <c r="C1027" s="10">
        <f t="shared" si="126"/>
        <v>1.1298826338734596E-3</v>
      </c>
      <c r="D1027" s="10">
        <f t="shared" si="130"/>
        <v>1.3580846084022447</v>
      </c>
      <c r="E1027" s="10">
        <f t="shared" si="131"/>
        <v>0.46015789229372978</v>
      </c>
      <c r="F1027" s="10">
        <f t="shared" si="127"/>
        <v>1.6265596834858065E-2</v>
      </c>
      <c r="G1027" s="66">
        <f t="shared" si="132"/>
        <v>4</v>
      </c>
      <c r="H1027" s="10"/>
      <c r="I1027" s="10">
        <f t="shared" si="128"/>
        <v>9.6756890498137763E-13</v>
      </c>
    </row>
    <row r="1028" spans="1:9">
      <c r="A1028" s="19">
        <f t="shared" si="129"/>
        <v>84.499999999999559</v>
      </c>
      <c r="B1028" s="10">
        <f t="shared" si="125"/>
        <v>6.4620103980474404E-9</v>
      </c>
      <c r="C1028" s="10">
        <f t="shared" si="126"/>
        <v>1.0872580642413197E-3</v>
      </c>
      <c r="D1028" s="10">
        <f t="shared" si="130"/>
        <v>1.3662935153962696</v>
      </c>
      <c r="E1028" s="10">
        <f t="shared" si="131"/>
        <v>0.46275912650338141</v>
      </c>
      <c r="F1028" s="10">
        <f t="shared" si="127"/>
        <v>1.6199597668710444E-2</v>
      </c>
      <c r="G1028" s="66">
        <f t="shared" si="132"/>
        <v>2</v>
      </c>
      <c r="H1028" s="10"/>
      <c r="I1028" s="10">
        <f t="shared" si="128"/>
        <v>4.1635206152305523E-13</v>
      </c>
    </row>
    <row r="1029" spans="1:9">
      <c r="A1029" s="19">
        <f t="shared" si="129"/>
        <v>84.583333333332888</v>
      </c>
      <c r="B1029" s="10">
        <f t="shared" si="125"/>
        <v>5.7646181972269346E-9</v>
      </c>
      <c r="C1029" s="10">
        <f t="shared" si="126"/>
        <v>1.0460140878595272E-3</v>
      </c>
      <c r="D1029" s="10">
        <f t="shared" si="130"/>
        <v>1.3745520445683514</v>
      </c>
      <c r="E1029" s="10">
        <f t="shared" si="131"/>
        <v>0.46537506846944154</v>
      </c>
      <c r="F1029" s="10">
        <f t="shared" si="127"/>
        <v>1.6133866300294217E-2</v>
      </c>
      <c r="G1029" s="66">
        <f t="shared" si="132"/>
        <v>4</v>
      </c>
      <c r="H1029" s="10"/>
      <c r="I1029" s="10">
        <f t="shared" si="128"/>
        <v>7.1599031247788346E-13</v>
      </c>
    </row>
    <row r="1030" spans="1:9">
      <c r="A1030" s="19">
        <f t="shared" si="129"/>
        <v>84.666666666666217</v>
      </c>
      <c r="B1030" s="10">
        <f t="shared" si="125"/>
        <v>5.1389412838950367E-9</v>
      </c>
      <c r="C1030" s="10">
        <f t="shared" si="126"/>
        <v>1.0061146861304912E-3</v>
      </c>
      <c r="D1030" s="10">
        <f t="shared" si="130"/>
        <v>1.3828604958805384</v>
      </c>
      <c r="E1030" s="10">
        <f t="shared" si="131"/>
        <v>0.46800580135170239</v>
      </c>
      <c r="F1030" s="10">
        <f t="shared" si="127"/>
        <v>1.6068401642995282E-2</v>
      </c>
      <c r="G1030" s="66">
        <f t="shared" si="132"/>
        <v>2</v>
      </c>
      <c r="H1030" s="10"/>
      <c r="I1030" s="10">
        <f t="shared" si="128"/>
        <v>3.0753805666792983E-13</v>
      </c>
    </row>
    <row r="1031" spans="1:9">
      <c r="A1031" s="19">
        <f t="shared" si="129"/>
        <v>84.749999999999545</v>
      </c>
      <c r="B1031" s="10">
        <f t="shared" si="125"/>
        <v>4.5779933979001723E-9</v>
      </c>
      <c r="C1031" s="10">
        <f t="shared" si="126"/>
        <v>9.6752448567777446E-4</v>
      </c>
      <c r="D1031" s="10">
        <f t="shared" si="130"/>
        <v>1.3912191711081272</v>
      </c>
      <c r="E1031" s="10">
        <f t="shared" si="131"/>
        <v>0.47065140878015532</v>
      </c>
      <c r="F1031" s="10">
        <f t="shared" si="127"/>
        <v>1.6003202614608567E-2</v>
      </c>
      <c r="G1031" s="66">
        <f t="shared" si="132"/>
        <v>4</v>
      </c>
      <c r="H1031" s="10"/>
      <c r="I1031" s="10">
        <f t="shared" si="128"/>
        <v>5.2790224810569318E-13</v>
      </c>
    </row>
    <row r="1032" spans="1:9">
      <c r="A1032" s="19">
        <f t="shared" si="129"/>
        <v>84.833333333332874</v>
      </c>
      <c r="B1032" s="10">
        <f t="shared" si="125"/>
        <v>4.0754281838472762E-9</v>
      </c>
      <c r="C1032" s="10">
        <f t="shared" si="126"/>
        <v>9.3020875555687376E-4</v>
      </c>
      <c r="D1032" s="10">
        <f t="shared" si="130"/>
        <v>1.3996283738506146</v>
      </c>
      <c r="E1032" s="10">
        <f t="shared" si="131"/>
        <v>0.47331197485764637</v>
      </c>
      <c r="F1032" s="10">
        <f t="shared" si="127"/>
        <v>1.593826813732015E-2</v>
      </c>
      <c r="G1032" s="66">
        <f t="shared" si="132"/>
        <v>2</v>
      </c>
      <c r="H1032" s="10"/>
      <c r="I1032" s="10">
        <f t="shared" si="128"/>
        <v>2.2633344707027713E-13</v>
      </c>
    </row>
    <row r="1033" spans="1:9">
      <c r="A1033" s="19">
        <f t="shared" si="129"/>
        <v>84.916666666666202</v>
      </c>
      <c r="B1033" s="10">
        <f t="shared" si="125"/>
        <v>3.6254846347906094E-9</v>
      </c>
      <c r="C1033" s="10">
        <f t="shared" si="126"/>
        <v>8.9413340422375101E-4</v>
      </c>
      <c r="D1033" s="10">
        <f t="shared" si="130"/>
        <v>1.4080884095427391</v>
      </c>
      <c r="E1033" s="10">
        <f t="shared" si="131"/>
        <v>0.47598758416255277</v>
      </c>
      <c r="F1033" s="10">
        <f t="shared" si="127"/>
        <v>1.5873597137689429E-2</v>
      </c>
      <c r="G1033" s="66">
        <f t="shared" si="132"/>
        <v>4</v>
      </c>
      <c r="H1033" s="10"/>
      <c r="I1033" s="10">
        <f t="shared" si="128"/>
        <v>3.8779495092361888E-13</v>
      </c>
    </row>
    <row r="1034" spans="1:9">
      <c r="A1034" s="19">
        <f t="shared" si="129"/>
        <v>84.999999999999531</v>
      </c>
      <c r="B1034" s="10">
        <f t="shared" si="125"/>
        <v>3.222936803969535E-9</v>
      </c>
      <c r="C1034" s="10">
        <f t="shared" si="126"/>
        <v>8.5926497626691713E-4</v>
      </c>
      <c r="D1034" s="10">
        <f t="shared" si="130"/>
        <v>1.4165995854655653</v>
      </c>
      <c r="E1034" s="10">
        <f t="shared" si="131"/>
        <v>0.47867832175146852</v>
      </c>
      <c r="F1034" s="10">
        <f t="shared" si="127"/>
        <v>1.5809188546631422E-2</v>
      </c>
      <c r="G1034" s="66">
        <f t="shared" si="132"/>
        <v>2</v>
      </c>
      <c r="H1034" s="10"/>
      <c r="I1034" s="10">
        <f t="shared" si="128"/>
        <v>1.6595539487558385E-13</v>
      </c>
    </row>
    <row r="1035" spans="1:9">
      <c r="A1035" s="19">
        <f t="shared" si="129"/>
        <v>85.08333333333286</v>
      </c>
      <c r="B1035" s="10">
        <f t="shared" si="125"/>
        <v>2.8630474848301089E-9</v>
      </c>
      <c r="C1035" s="10">
        <f t="shared" si="126"/>
        <v>8.2557064890855609E-4</v>
      </c>
      <c r="D1035" s="10">
        <f t="shared" si="130"/>
        <v>1.4251622107576489</v>
      </c>
      <c r="E1035" s="10">
        <f t="shared" si="131"/>
        <v>0.48138427316191185</v>
      </c>
      <c r="F1035" s="10">
        <f t="shared" si="127"/>
        <v>1.5745041299399021E-2</v>
      </c>
      <c r="G1035" s="66">
        <f t="shared" si="132"/>
        <v>4</v>
      </c>
      <c r="H1035" s="10"/>
      <c r="I1035" s="10">
        <f t="shared" si="128"/>
        <v>2.838141141064644E-13</v>
      </c>
    </row>
    <row r="1036" spans="1:9">
      <c r="A1036" s="19">
        <f t="shared" si="129"/>
        <v>85.166666666666188</v>
      </c>
      <c r="B1036" s="10">
        <f t="shared" si="125"/>
        <v>2.541525577772629E-9</v>
      </c>
      <c r="C1036" s="10">
        <f t="shared" si="126"/>
        <v>7.9301822828064855E-4</v>
      </c>
      <c r="D1036" s="10">
        <f t="shared" si="130"/>
        <v>1.4337765964262559</v>
      </c>
      <c r="E1036" s="10">
        <f t="shared" si="131"/>
        <v>0.48410552441504057</v>
      </c>
      <c r="F1036" s="10">
        <f t="shared" si="127"/>
        <v>1.5681154335565436E-2</v>
      </c>
      <c r="G1036" s="66">
        <f t="shared" si="132"/>
        <v>2</v>
      </c>
      <c r="H1036" s="10"/>
      <c r="I1036" s="10">
        <f t="shared" si="128"/>
        <v>1.212292979932814E-13</v>
      </c>
    </row>
    <row r="1037" spans="1:9">
      <c r="A1037" s="19">
        <f t="shared" si="129"/>
        <v>85.249999999999517</v>
      </c>
      <c r="B1037" s="10">
        <f t="shared" si="125"/>
        <v>2.2544868793903343E-9</v>
      </c>
      <c r="C1037" s="10">
        <f t="shared" si="126"/>
        <v>7.6157614548183819E-4</v>
      </c>
      <c r="D1037" s="10">
        <f t="shared" si="130"/>
        <v>1.4424430553586736</v>
      </c>
      <c r="E1037" s="10">
        <f t="shared" si="131"/>
        <v>0.4868421620183907</v>
      </c>
      <c r="F1037" s="10">
        <f t="shared" si="127"/>
        <v>1.561752659900667E-2</v>
      </c>
      <c r="G1037" s="66">
        <f t="shared" si="132"/>
        <v>4</v>
      </c>
      <c r="H1037" s="10"/>
      <c r="I1037" s="10">
        <f t="shared" si="128"/>
        <v>2.0693298705668122E-13</v>
      </c>
    </row>
    <row r="1038" spans="1:9">
      <c r="A1038" s="19">
        <f t="shared" si="129"/>
        <v>85.333333333332845</v>
      </c>
      <c r="B1038" s="10">
        <f t="shared" ref="B1038:B1101" si="133">(B$9^A1038)*B$10^((B$6^28)*((B$6^A1038)-1))</f>
        <v>1.9984180464251475E-9</v>
      </c>
      <c r="C1038" s="10">
        <f t="shared" ref="C1038:C1101" si="134">(B$9^A1038)*B$11^((B$7^24)*((B$7^A1038)-1))</f>
        <v>7.3121345242117212E-4</v>
      </c>
      <c r="D1038" s="10">
        <f t="shared" si="130"/>
        <v>1.4511619023335653</v>
      </c>
      <c r="E1038" s="10">
        <f t="shared" si="131"/>
        <v>0.48959427296862229</v>
      </c>
      <c r="F1038" s="10">
        <f t="shared" si="127"/>
        <v>1.555415703788403E-2</v>
      </c>
      <c r="G1038" s="66">
        <f t="shared" si="132"/>
        <v>2</v>
      </c>
      <c r="H1038" s="10"/>
      <c r="I1038" s="10">
        <f t="shared" si="128"/>
        <v>8.8222217007598157E-14</v>
      </c>
    </row>
    <row r="1039" spans="1:9">
      <c r="A1039" s="19">
        <f t="shared" si="129"/>
        <v>85.416666666666174</v>
      </c>
      <c r="B1039" s="10">
        <f t="shared" si="133"/>
        <v>1.7701435023007782E-9</v>
      </c>
      <c r="C1039" s="10">
        <f t="shared" si="134"/>
        <v>7.018998174546378E-4</v>
      </c>
      <c r="D1039" s="10">
        <f t="shared" si="130"/>
        <v>1.4599334540324054</v>
      </c>
      <c r="E1039" s="10">
        <f t="shared" si="131"/>
        <v>0.49236194475428913</v>
      </c>
      <c r="F1039" s="10">
        <f t="shared" ref="F1039:F1102" si="135">(1+B$8)^-A1039</f>
        <v>1.5491044604626768E-2</v>
      </c>
      <c r="G1039" s="66">
        <f t="shared" si="132"/>
        <v>4</v>
      </c>
      <c r="H1039" s="10"/>
      <c r="I1039" s="10">
        <f t="shared" ref="I1039:I1102" si="136">B1039*C1039*(D1039+E1039)*F1039*G1039</f>
        <v>1.5030375521493149E-13</v>
      </c>
    </row>
    <row r="1040" spans="1:9">
      <c r="A1040" s="19">
        <f t="shared" ref="A1040:A1103" si="137">A1039+1/12</f>
        <v>85.499999999999503</v>
      </c>
      <c r="B1040" s="10">
        <f t="shared" si="133"/>
        <v>1.5667950689260035E-9</v>
      </c>
      <c r="C1040" s="10">
        <f t="shared" si="134"/>
        <v>6.7360552082080356E-4</v>
      </c>
      <c r="D1040" s="10">
        <f t="shared" si="130"/>
        <v>1.4687580290509847</v>
      </c>
      <c r="E1040" s="10">
        <f t="shared" si="131"/>
        <v>0.49514526535861636</v>
      </c>
      <c r="F1040" s="10">
        <f t="shared" si="135"/>
        <v>1.5428188255914747E-2</v>
      </c>
      <c r="G1040" s="66">
        <f t="shared" si="132"/>
        <v>2</v>
      </c>
      <c r="H1040" s="10"/>
      <c r="I1040" s="10">
        <f t="shared" si="136"/>
        <v>6.3956230321139099E-14</v>
      </c>
    </row>
    <row r="1041" spans="1:9">
      <c r="A1041" s="19">
        <f t="shared" si="137"/>
        <v>85.583333333332831</v>
      </c>
      <c r="B1041" s="10">
        <f t="shared" si="133"/>
        <v>1.3857841205150693E-9</v>
      </c>
      <c r="C1041" s="10">
        <f t="shared" si="134"/>
        <v>6.4630144988162539E-4</v>
      </c>
      <c r="D1041" s="10">
        <f t="shared" ref="D1041:D1104" si="138">B$3+B$4*(B$6^(28+A1041))</f>
        <v>1.4776359479109726</v>
      </c>
      <c r="E1041" s="10">
        <f t="shared" ref="E1041:E1104" si="139">B$3+B$5*(B$7^(24+A1041))</f>
        <v>0.4979443232623007</v>
      </c>
      <c r="F1041" s="10">
        <f t="shared" si="135"/>
        <v>1.5365586952661197E-2</v>
      </c>
      <c r="G1041" s="66">
        <f t="shared" ref="G1041:G1104" si="140">IF(G1040=4,2,4)</f>
        <v>4</v>
      </c>
      <c r="H1041" s="10"/>
      <c r="I1041" s="10">
        <f t="shared" si="136"/>
        <v>1.0875132002583866E-13</v>
      </c>
    </row>
    <row r="1042" spans="1:9">
      <c r="A1042" s="19">
        <f t="shared" si="137"/>
        <v>85.66666666666616</v>
      </c>
      <c r="B1042" s="10">
        <f t="shared" si="133"/>
        <v>1.2247760694828341E-9</v>
      </c>
      <c r="C1042" s="10">
        <f t="shared" si="134"/>
        <v>6.1995909417488274E-4</v>
      </c>
      <c r="D1042" s="10">
        <f t="shared" si="138"/>
        <v>1.4865675330715735</v>
      </c>
      <c r="E1042" s="10">
        <f t="shared" si="139"/>
        <v>0.50075920744631974</v>
      </c>
      <c r="F1042" s="10">
        <f t="shared" si="135"/>
        <v>1.5303239659995546E-2</v>
      </c>
      <c r="G1042" s="66">
        <f t="shared" si="140"/>
        <v>2</v>
      </c>
      <c r="H1042" s="10"/>
      <c r="I1042" s="10">
        <f t="shared" si="136"/>
        <v>4.6185152168496302E-14</v>
      </c>
    </row>
    <row r="1043" spans="1:9">
      <c r="A1043" s="19">
        <f t="shared" si="137"/>
        <v>85.749999999999488</v>
      </c>
      <c r="B1043" s="10">
        <f t="shared" si="133"/>
        <v>1.0816670070588044E-9</v>
      </c>
      <c r="C1043" s="10">
        <f t="shared" si="134"/>
        <v>5.9455054028443308E-4</v>
      </c>
      <c r="D1043" s="10">
        <f t="shared" si="138"/>
        <v>1.4955531089412288</v>
      </c>
      <c r="E1043" s="10">
        <f t="shared" si="139"/>
        <v>0.50359000739476445</v>
      </c>
      <c r="F1043" s="10">
        <f t="shared" si="135"/>
        <v>1.5241145347246292E-2</v>
      </c>
      <c r="G1043" s="66">
        <f t="shared" si="140"/>
        <v>4</v>
      </c>
      <c r="H1043" s="10"/>
      <c r="I1043" s="10">
        <f t="shared" si="136"/>
        <v>7.837974444492102E-14</v>
      </c>
    </row>
    <row r="1044" spans="1:9">
      <c r="A1044" s="19">
        <f t="shared" si="137"/>
        <v>85.833333333332817</v>
      </c>
      <c r="B1044" s="10">
        <f t="shared" si="133"/>
        <v>9.5456233316143932E-10</v>
      </c>
      <c r="C1044" s="10">
        <f t="shared" si="134"/>
        <v>5.7004846653483786E-4</v>
      </c>
      <c r="D1044" s="10">
        <f t="shared" si="138"/>
        <v>1.5045930018894054</v>
      </c>
      <c r="E1044" s="10">
        <f t="shared" si="139"/>
        <v>0.50643681309767985</v>
      </c>
      <c r="F1044" s="10">
        <f t="shared" si="135"/>
        <v>1.5179302987923993E-2</v>
      </c>
      <c r="G1044" s="66">
        <f t="shared" si="140"/>
        <v>2</v>
      </c>
      <c r="H1044" s="10"/>
      <c r="I1044" s="10">
        <f t="shared" si="136"/>
        <v>3.3221283687260372E-14</v>
      </c>
    </row>
    <row r="1045" spans="1:9">
      <c r="A1045" s="19">
        <f t="shared" si="137"/>
        <v>85.916666666666146</v>
      </c>
      <c r="B1045" s="10">
        <f t="shared" si="133"/>
        <v>8.4175722130297027E-10</v>
      </c>
      <c r="C1045" s="10">
        <f t="shared" si="134"/>
        <v>5.4642613751668351E-4</v>
      </c>
      <c r="D1045" s="10">
        <f t="shared" si="138"/>
        <v>1.5136875402584393</v>
      </c>
      <c r="E1045" s="10">
        <f t="shared" si="139"/>
        <v>0.50929971505392924</v>
      </c>
      <c r="F1045" s="10">
        <f t="shared" si="135"/>
        <v>1.5117711559704271E-2</v>
      </c>
      <c r="G1045" s="66">
        <f t="shared" si="140"/>
        <v>4</v>
      </c>
      <c r="H1045" s="10"/>
      <c r="I1045" s="10">
        <f t="shared" si="136"/>
        <v>5.626748564837564E-14</v>
      </c>
    </row>
    <row r="1046" spans="1:9">
      <c r="A1046" s="19">
        <f t="shared" si="137"/>
        <v>85.999999999999474</v>
      </c>
      <c r="B1046" s="10">
        <f t="shared" si="133"/>
        <v>7.4171877488676551E-10</v>
      </c>
      <c r="C1046" s="10">
        <f t="shared" si="134"/>
        <v>5.2365739844920057E-4</v>
      </c>
      <c r="D1046" s="10">
        <f t="shared" si="138"/>
        <v>1.5228370543754772</v>
      </c>
      <c r="E1046" s="10">
        <f t="shared" si="139"/>
        <v>0.51217880427406948</v>
      </c>
      <c r="F1046" s="10">
        <f t="shared" si="135"/>
        <v>1.5056370044410929E-2</v>
      </c>
      <c r="G1046" s="66">
        <f t="shared" si="140"/>
        <v>2</v>
      </c>
      <c r="H1046" s="10"/>
      <c r="I1046" s="10">
        <f t="shared" si="136"/>
        <v>2.3801514361599288E-14</v>
      </c>
    </row>
    <row r="1047" spans="1:9">
      <c r="A1047" s="19">
        <f t="shared" si="137"/>
        <v>86.083333333332803</v>
      </c>
      <c r="B1047" s="10">
        <f t="shared" si="133"/>
        <v>6.5306974123884874E-10</v>
      </c>
      <c r="C1047" s="10">
        <f t="shared" si="134"/>
        <v>5.0171666938664337E-4</v>
      </c>
      <c r="D1047" s="10">
        <f t="shared" si="138"/>
        <v>1.5320418765644643</v>
      </c>
      <c r="E1047" s="10">
        <f t="shared" si="139"/>
        <v>0.51507417228324337</v>
      </c>
      <c r="F1047" s="10">
        <f t="shared" si="135"/>
        <v>1.499527742799912E-2</v>
      </c>
      <c r="G1047" s="66">
        <f t="shared" si="140"/>
        <v>4</v>
      </c>
      <c r="H1047" s="10"/>
      <c r="I1047" s="10">
        <f t="shared" si="136"/>
        <v>4.0232317693852608E-14</v>
      </c>
    </row>
    <row r="1048" spans="1:9">
      <c r="A1048" s="19">
        <f t="shared" si="137"/>
        <v>86.166666666666131</v>
      </c>
      <c r="B1048" s="10">
        <f t="shared" si="133"/>
        <v>5.7457365910802476E-10</v>
      </c>
      <c r="C1048" s="10">
        <f t="shared" si="134"/>
        <v>4.8057893927498359E-4</v>
      </c>
      <c r="D1048" s="10">
        <f t="shared" si="138"/>
        <v>1.5413023411582167</v>
      </c>
      <c r="E1048" s="10">
        <f t="shared" si="139"/>
        <v>0.51798591112409165</v>
      </c>
      <c r="F1048" s="10">
        <f t="shared" si="135"/>
        <v>1.4934432700538562E-2</v>
      </c>
      <c r="G1048" s="66">
        <f t="shared" si="140"/>
        <v>2</v>
      </c>
      <c r="H1048" s="10"/>
      <c r="I1048" s="10">
        <f t="shared" si="136"/>
        <v>1.6984247680199767E-14</v>
      </c>
    </row>
    <row r="1049" spans="1:9">
      <c r="A1049" s="19">
        <f t="shared" si="137"/>
        <v>86.24999999999946</v>
      </c>
      <c r="B1049" s="10">
        <f t="shared" si="133"/>
        <v>5.0512132420337411E-10</v>
      </c>
      <c r="C1049" s="10">
        <f t="shared" si="134"/>
        <v>4.6021975986554271E-4</v>
      </c>
      <c r="D1049" s="10">
        <f t="shared" si="138"/>
        <v>1.5506187845105686</v>
      </c>
      <c r="E1049" s="10">
        <f t="shared" si="139"/>
        <v>0.52091411335967575</v>
      </c>
      <c r="F1049" s="10">
        <f t="shared" si="135"/>
        <v>1.4873834856196866E-2</v>
      </c>
      <c r="G1049" s="66">
        <f t="shared" si="140"/>
        <v>4</v>
      </c>
      <c r="H1049" s="10"/>
      <c r="I1049" s="10">
        <f t="shared" si="136"/>
        <v>2.8650733551504401E-14</v>
      </c>
    </row>
    <row r="1050" spans="1:9">
      <c r="A1050" s="19">
        <f t="shared" si="137"/>
        <v>86.333333333332789</v>
      </c>
      <c r="B1050" s="10">
        <f t="shared" si="133"/>
        <v>4.4371846563597888E-10</v>
      </c>
      <c r="C1050" s="10">
        <f t="shared" si="134"/>
        <v>4.4061523949207694E-4</v>
      </c>
      <c r="D1050" s="10">
        <f t="shared" si="138"/>
        <v>1.5599915450085773</v>
      </c>
      <c r="E1050" s="10">
        <f t="shared" si="139"/>
        <v>0.52385887207642401</v>
      </c>
      <c r="F1050" s="10">
        <f t="shared" si="135"/>
        <v>1.4813482893222924E-2</v>
      </c>
      <c r="G1050" s="66">
        <f t="shared" si="140"/>
        <v>2</v>
      </c>
      <c r="H1050" s="10"/>
      <c r="I1050" s="10">
        <f t="shared" si="136"/>
        <v>1.2070374188449382E-14</v>
      </c>
    </row>
    <row r="1051" spans="1:9">
      <c r="A1051" s="19">
        <f t="shared" si="137"/>
        <v>86.416666666666117</v>
      </c>
      <c r="B1051" s="10">
        <f t="shared" si="133"/>
        <v>3.8947453392148463E-10</v>
      </c>
      <c r="C1051" s="10">
        <f t="shared" si="134"/>
        <v>4.2174203671798712E-4</v>
      </c>
      <c r="D1051" s="10">
        <f t="shared" si="138"/>
        <v>1.5694209630848299</v>
      </c>
      <c r="E1051" s="10">
        <f t="shared" si="139"/>
        <v>0.5268202808870871</v>
      </c>
      <c r="F1051" s="10">
        <f t="shared" si="135"/>
        <v>1.4753375813930292E-2</v>
      </c>
      <c r="G1051" s="66">
        <f t="shared" si="140"/>
        <v>4</v>
      </c>
      <c r="H1051" s="10"/>
      <c r="I1051" s="10">
        <f t="shared" si="136"/>
        <v>2.0319761939904659E-14</v>
      </c>
    </row>
    <row r="1052" spans="1:9">
      <c r="A1052" s="19">
        <f t="shared" si="137"/>
        <v>86.499999999999446</v>
      </c>
      <c r="B1052" s="10">
        <f t="shared" si="133"/>
        <v>3.4159250850280435E-10</v>
      </c>
      <c r="C1052" s="10">
        <f t="shared" si="134"/>
        <v>4.0357735386016379E-4</v>
      </c>
      <c r="D1052" s="10">
        <f t="shared" si="138"/>
        <v>1.5789073812298002</v>
      </c>
      <c r="E1052" s="10">
        <f t="shared" si="139"/>
        <v>0.52979843393371773</v>
      </c>
      <c r="F1052" s="10">
        <f t="shared" si="135"/>
        <v>1.4693512624680747E-2</v>
      </c>
      <c r="G1052" s="66">
        <f t="shared" si="140"/>
        <v>2</v>
      </c>
      <c r="H1052" s="10"/>
      <c r="I1052" s="10">
        <f t="shared" si="136"/>
        <v>8.5429280334525923E-15</v>
      </c>
    </row>
    <row r="1053" spans="1:9">
      <c r="A1053" s="19">
        <f t="shared" si="137"/>
        <v>86.583333333332774</v>
      </c>
      <c r="B1053" s="10">
        <f t="shared" si="133"/>
        <v>2.9935963959429338E-10</v>
      </c>
      <c r="C1053" s="10">
        <f t="shared" si="134"/>
        <v>3.8609893039614498E-4</v>
      </c>
      <c r="D1053" s="10">
        <f t="shared" si="138"/>
        <v>1.5884511440042899</v>
      </c>
      <c r="E1053" s="10">
        <f t="shared" si="139"/>
        <v>0.53279342589065948</v>
      </c>
      <c r="F1053" s="10">
        <f t="shared" si="135"/>
        <v>1.4633892335867843E-2</v>
      </c>
      <c r="G1053" s="66">
        <f t="shared" si="140"/>
        <v>4</v>
      </c>
      <c r="H1053" s="10"/>
      <c r="I1053" s="10">
        <f t="shared" si="136"/>
        <v>1.4351669885512957E-14</v>
      </c>
    </row>
    <row r="1054" spans="1:9">
      <c r="A1054" s="19">
        <f t="shared" si="137"/>
        <v>86.666666666666103</v>
      </c>
      <c r="B1054" s="10">
        <f t="shared" si="133"/>
        <v>2.6213904555069908E-10</v>
      </c>
      <c r="C1054" s="10">
        <f t="shared" si="134"/>
        <v>3.6928503626106632E-4</v>
      </c>
      <c r="D1054" s="10">
        <f t="shared" si="138"/>
        <v>1.5980525980519358</v>
      </c>
      <c r="E1054" s="10">
        <f t="shared" si="139"/>
        <v>0.53580535196756029</v>
      </c>
      <c r="F1054" s="10">
        <f t="shared" si="135"/>
        <v>1.4574513961900553E-2</v>
      </c>
      <c r="G1054" s="66">
        <f t="shared" si="140"/>
        <v>2</v>
      </c>
      <c r="H1054" s="10"/>
      <c r="I1054" s="10">
        <f t="shared" si="136"/>
        <v>6.0211993404548338E-15</v>
      </c>
    </row>
    <row r="1055" spans="1:9">
      <c r="A1055" s="19">
        <f t="shared" si="137"/>
        <v>86.749999999999432</v>
      </c>
      <c r="B1055" s="10">
        <f t="shared" si="133"/>
        <v>2.2936209295012301E-10</v>
      </c>
      <c r="C1055" s="10">
        <f t="shared" si="134"/>
        <v>3.5311446504105603E-4</v>
      </c>
      <c r="D1055" s="10">
        <f t="shared" si="138"/>
        <v>1.6077120921118153</v>
      </c>
      <c r="E1055" s="10">
        <f t="shared" si="139"/>
        <v>0.53883430791239562</v>
      </c>
      <c r="F1055" s="10">
        <f t="shared" si="135"/>
        <v>1.4515376521186981E-2</v>
      </c>
      <c r="G1055" s="66">
        <f t="shared" si="140"/>
        <v>4</v>
      </c>
      <c r="H1055" s="10"/>
      <c r="I1055" s="10">
        <f t="shared" si="136"/>
        <v>1.0094056448014197E-14</v>
      </c>
    </row>
    <row r="1056" spans="1:9">
      <c r="A1056" s="19">
        <f t="shared" si="137"/>
        <v>86.83333333333276</v>
      </c>
      <c r="B1056" s="10">
        <f t="shared" si="133"/>
        <v>2.0052149217121445E-10</v>
      </c>
      <c r="C1056" s="10">
        <f t="shared" si="134"/>
        <v>3.3756652706950672E-4</v>
      </c>
      <c r="D1056" s="10">
        <f t="shared" si="138"/>
        <v>1.6174299770311023</v>
      </c>
      <c r="E1056" s="10">
        <f t="shared" si="139"/>
        <v>0.54188039001451549</v>
      </c>
      <c r="F1056" s="10">
        <f t="shared" si="135"/>
        <v>1.4456479036118124E-2</v>
      </c>
      <c r="G1056" s="66">
        <f t="shared" si="140"/>
        <v>2</v>
      </c>
      <c r="H1056" s="10"/>
      <c r="I1056" s="10">
        <f t="shared" si="136"/>
        <v>4.2259844985495081E-15</v>
      </c>
    </row>
    <row r="1057" spans="1:9">
      <c r="A1057" s="19">
        <f t="shared" si="137"/>
        <v>86.916666666666089</v>
      </c>
      <c r="B1057" s="10">
        <f t="shared" si="133"/>
        <v>1.751650464613195E-10</v>
      </c>
      <c r="C1057" s="10">
        <f t="shared" si="134"/>
        <v>3.2262104243282026E-4</v>
      </c>
      <c r="D1057" s="10">
        <f t="shared" si="138"/>
        <v>1.6272066057778136</v>
      </c>
      <c r="E1057" s="10">
        <f t="shared" si="139"/>
        <v>0.54494369510770235</v>
      </c>
      <c r="F1057" s="10">
        <f t="shared" si="135"/>
        <v>1.4397820533051719E-2</v>
      </c>
      <c r="G1057" s="66">
        <f t="shared" si="140"/>
        <v>4</v>
      </c>
      <c r="H1057" s="10"/>
      <c r="I1057" s="10">
        <f t="shared" si="136"/>
        <v>7.0694684180172371E-15</v>
      </c>
    </row>
    <row r="1058" spans="1:9">
      <c r="A1058" s="19">
        <f t="shared" si="137"/>
        <v>86.999999999999417</v>
      </c>
      <c r="B1058" s="10">
        <f t="shared" si="133"/>
        <v>1.528899973558222E-10</v>
      </c>
      <c r="C1058" s="10">
        <f t="shared" si="134"/>
        <v>3.0825833389199663E-4</v>
      </c>
      <c r="D1058" s="10">
        <f t="shared" si="138"/>
        <v>1.6370423334536321</v>
      </c>
      <c r="E1058" s="10">
        <f t="shared" si="139"/>
        <v>0.54802432057325245</v>
      </c>
      <c r="F1058" s="10">
        <f t="shared" si="135"/>
        <v>1.433940004229616E-2</v>
      </c>
      <c r="G1058" s="66">
        <f t="shared" si="140"/>
        <v>2</v>
      </c>
      <c r="H1058" s="10"/>
      <c r="I1058" s="10">
        <f t="shared" si="136"/>
        <v>2.9533816069917448E-15</v>
      </c>
    </row>
    <row r="1059" spans="1:9">
      <c r="A1059" s="19">
        <f t="shared" si="137"/>
        <v>87.083333333332746</v>
      </c>
      <c r="B1059" s="10">
        <f t="shared" si="133"/>
        <v>1.3333791383756052E-10</v>
      </c>
      <c r="C1059" s="10">
        <f t="shared" si="134"/>
        <v>2.9445921972656377E-4</v>
      </c>
      <c r="D1059" s="10">
        <f t="shared" si="138"/>
        <v>1.6469375173067933</v>
      </c>
      <c r="E1059" s="10">
        <f t="shared" si="139"/>
        <v>0.55112236434306849</v>
      </c>
      <c r="F1059" s="10">
        <f t="shared" si="135"/>
        <v>1.4281216598094434E-2</v>
      </c>
      <c r="G1059" s="66">
        <f t="shared" si="140"/>
        <v>4</v>
      </c>
      <c r="H1059" s="10"/>
      <c r="I1059" s="10">
        <f t="shared" si="136"/>
        <v>4.9299615257278219E-15</v>
      </c>
    </row>
    <row r="1060" spans="1:9">
      <c r="A1060" s="19">
        <f t="shared" si="137"/>
        <v>87.166666666666075</v>
      </c>
      <c r="B1060" s="10">
        <f t="shared" si="133"/>
        <v>1.1619007683918027E-10</v>
      </c>
      <c r="C1060" s="10">
        <f t="shared" si="134"/>
        <v>2.8120500650714208E-4</v>
      </c>
      <c r="D1060" s="10">
        <f t="shared" si="138"/>
        <v>1.6568925167450772</v>
      </c>
      <c r="E1060" s="10">
        <f t="shared" si="139"/>
        <v>0.55423792490277612</v>
      </c>
      <c r="F1060" s="10">
        <f t="shared" si="135"/>
        <v>1.4223269238608191E-2</v>
      </c>
      <c r="G1060" s="66">
        <f t="shared" si="140"/>
        <v>2</v>
      </c>
      <c r="H1060" s="10"/>
      <c r="I1060" s="10">
        <f t="shared" si="136"/>
        <v>2.0551138112013532E-15</v>
      </c>
    </row>
    <row r="1061" spans="1:9">
      <c r="A1061" s="19">
        <f t="shared" si="137"/>
        <v>87.249999999999403</v>
      </c>
      <c r="B1061" s="10">
        <f t="shared" si="133"/>
        <v>1.0116331460752936E-10</v>
      </c>
      <c r="C1061" s="10">
        <f t="shared" si="134"/>
        <v>2.6847748180303148E-4</v>
      </c>
      <c r="D1061" s="10">
        <f t="shared" si="138"/>
        <v>1.6669076933488522</v>
      </c>
      <c r="E1061" s="10">
        <f t="shared" si="139"/>
        <v>0.55737110129485101</v>
      </c>
      <c r="F1061" s="10">
        <f t="shared" si="135"/>
        <v>1.4165557005901826E-2</v>
      </c>
      <c r="G1061" s="66">
        <f t="shared" si="140"/>
        <v>4</v>
      </c>
      <c r="H1061" s="10"/>
      <c r="I1061" s="10">
        <f t="shared" si="136"/>
        <v>3.4230542744013491E-15</v>
      </c>
    </row>
    <row r="1062" spans="1:9">
      <c r="A1062" s="19">
        <f t="shared" si="137"/>
        <v>87.333333333332732</v>
      </c>
      <c r="B1062" s="10">
        <f t="shared" si="133"/>
        <v>8.8006248086094839E-11</v>
      </c>
      <c r="C1062" s="10">
        <f t="shared" si="134"/>
        <v>2.5625890683100106E-4</v>
      </c>
      <c r="D1062" s="10">
        <f t="shared" si="138"/>
        <v>1.6769834108842145</v>
      </c>
      <c r="E1062" s="10">
        <f t="shared" si="139"/>
        <v>0.56052199312177176</v>
      </c>
      <c r="F1062" s="10">
        <f t="shared" si="135"/>
        <v>1.4108078945926642E-2</v>
      </c>
      <c r="G1062" s="66">
        <f t="shared" si="140"/>
        <v>2</v>
      </c>
      <c r="H1062" s="10"/>
      <c r="I1062" s="10">
        <f t="shared" si="136"/>
        <v>1.4238178895967711E-15</v>
      </c>
    </row>
    <row r="1063" spans="1:9">
      <c r="A1063" s="19">
        <f t="shared" si="137"/>
        <v>87.41666666666606</v>
      </c>
      <c r="B1063" s="10">
        <f t="shared" si="133"/>
        <v>7.6495908844933392E-11</v>
      </c>
      <c r="C1063" s="10">
        <f t="shared" si="134"/>
        <v>2.4453200905153274E-4</v>
      </c>
      <c r="D1063" s="10">
        <f t="shared" si="138"/>
        <v>1.6871200353161866</v>
      </c>
      <c r="E1063" s="10">
        <f t="shared" si="139"/>
        <v>0.56369070054918125</v>
      </c>
      <c r="F1063" s="10">
        <f t="shared" si="135"/>
        <v>1.4050834108505088E-2</v>
      </c>
      <c r="G1063" s="66">
        <f t="shared" si="140"/>
        <v>4</v>
      </c>
      <c r="H1063" s="10"/>
      <c r="I1063" s="10">
        <f t="shared" si="136"/>
        <v>2.366328314976063E-15</v>
      </c>
    </row>
    <row r="1064" spans="1:9">
      <c r="A1064" s="19">
        <f t="shared" si="137"/>
        <v>87.499999999999389</v>
      </c>
      <c r="B1064" s="10">
        <f t="shared" si="133"/>
        <v>6.6434695213981414E-11</v>
      </c>
      <c r="C1064" s="10">
        <f t="shared" si="134"/>
        <v>2.3327997471857476E-4</v>
      </c>
      <c r="D1064" s="10">
        <f t="shared" si="138"/>
        <v>1.6973179348220293</v>
      </c>
      <c r="E1064" s="10">
        <f t="shared" si="139"/>
        <v>0.56687732430907545</v>
      </c>
      <c r="F1064" s="10">
        <f t="shared" si="135"/>
        <v>1.3993821547315046E-2</v>
      </c>
      <c r="G1064" s="66">
        <f t="shared" si="140"/>
        <v>2</v>
      </c>
      <c r="H1064" s="10"/>
      <c r="I1064" s="10">
        <f t="shared" si="136"/>
        <v>9.8209298796742257E-16</v>
      </c>
    </row>
    <row r="1065" spans="1:9">
      <c r="A1065" s="19">
        <f t="shared" si="137"/>
        <v>87.583333333332718</v>
      </c>
      <c r="B1065" s="10">
        <f t="shared" si="133"/>
        <v>5.7647635170188547E-11</v>
      </c>
      <c r="C1065" s="10">
        <f t="shared" si="134"/>
        <v>2.2248644138889005E-4</v>
      </c>
      <c r="D1065" s="10">
        <f t="shared" si="138"/>
        <v>1.7075774798046026</v>
      </c>
      <c r="E1065" s="10">
        <f t="shared" si="139"/>
        <v>0.57008196570300362</v>
      </c>
      <c r="F1065" s="10">
        <f t="shared" si="135"/>
        <v>1.3937040319874172E-2</v>
      </c>
      <c r="G1065" s="66">
        <f t="shared" si="140"/>
        <v>4</v>
      </c>
      <c r="H1065" s="10"/>
      <c r="I1065" s="10">
        <f t="shared" si="136"/>
        <v>1.6285623220151077E-15</v>
      </c>
    </row>
    <row r="1066" spans="1:9">
      <c r="A1066" s="19">
        <f t="shared" si="137"/>
        <v>87.666666666666046</v>
      </c>
      <c r="B1066" s="10">
        <f t="shared" si="133"/>
        <v>4.9979927205970707E-11</v>
      </c>
      <c r="C1066" s="10">
        <f t="shared" si="134"/>
        <v>2.1213549039693889E-4</v>
      </c>
      <c r="D1066" s="10">
        <f t="shared" si="138"/>
        <v>1.7178990429058221</v>
      </c>
      <c r="E1066" s="10">
        <f t="shared" si="139"/>
        <v>0.57330472660528697</v>
      </c>
      <c r="F1066" s="10">
        <f t="shared" si="135"/>
        <v>1.3880489487524373E-2</v>
      </c>
      <c r="G1066" s="66">
        <f t="shared" si="140"/>
        <v>2</v>
      </c>
      <c r="H1066" s="10"/>
      <c r="I1066" s="10">
        <f t="shared" si="136"/>
        <v>6.7438428877638468E-16</v>
      </c>
    </row>
    <row r="1067" spans="1:9">
      <c r="A1067" s="19">
        <f t="shared" si="137"/>
        <v>87.749999999999375</v>
      </c>
      <c r="B1067" s="10">
        <f t="shared" si="133"/>
        <v>4.3294732880231755E-11</v>
      </c>
      <c r="C1067" s="10">
        <f t="shared" si="134"/>
        <v>2.0221163930114237E-4</v>
      </c>
      <c r="D1067" s="10">
        <f t="shared" si="138"/>
        <v>1.7282829990201953</v>
      </c>
      <c r="E1067" s="10">
        <f t="shared" si="139"/>
        <v>0.57654570946626127</v>
      </c>
      <c r="F1067" s="10">
        <f t="shared" si="135"/>
        <v>1.3824168115416207E-2</v>
      </c>
      <c r="G1067" s="66">
        <f t="shared" si="140"/>
        <v>4</v>
      </c>
      <c r="H1067" s="10"/>
      <c r="I1067" s="10">
        <f t="shared" si="136"/>
        <v>1.1157807569302117E-15</v>
      </c>
    </row>
    <row r="1068" spans="1:9">
      <c r="A1068" s="19">
        <f t="shared" si="137"/>
        <v>87.833333333332703</v>
      </c>
      <c r="B1068" s="10">
        <f t="shared" si="133"/>
        <v>3.7471197036482058E-11</v>
      </c>
      <c r="C1068" s="10">
        <f t="shared" si="134"/>
        <v>1.9269983430735625E-4</v>
      </c>
      <c r="D1068" s="10">
        <f t="shared" si="138"/>
        <v>1.7387297253084286</v>
      </c>
      <c r="E1068" s="10">
        <f t="shared" si="139"/>
        <v>0.57980501731552914</v>
      </c>
      <c r="F1068" s="10">
        <f t="shared" si="135"/>
        <v>1.3768075272493487E-2</v>
      </c>
      <c r="G1068" s="66">
        <f t="shared" si="140"/>
        <v>2</v>
      </c>
      <c r="H1068" s="10"/>
      <c r="I1068" s="10">
        <f t="shared" si="136"/>
        <v>4.6099449973755111E-16</v>
      </c>
    </row>
    <row r="1069" spans="1:9">
      <c r="A1069" s="19">
        <f t="shared" si="137"/>
        <v>87.916666666666032</v>
      </c>
      <c r="B1069" s="10">
        <f t="shared" si="133"/>
        <v>3.2402673778310696E-11</v>
      </c>
      <c r="C1069" s="10">
        <f t="shared" si="134"/>
        <v>1.835854426751811E-4</v>
      </c>
      <c r="D1069" s="10">
        <f t="shared" si="138"/>
        <v>1.7492396012111433</v>
      </c>
      <c r="E1069" s="10">
        <f t="shared" si="139"/>
        <v>0.58308275376523944</v>
      </c>
      <c r="F1069" s="10">
        <f t="shared" si="135"/>
        <v>1.3712210031477866E-2</v>
      </c>
      <c r="G1069" s="66">
        <f t="shared" si="140"/>
        <v>4</v>
      </c>
      <c r="H1069" s="10"/>
      <c r="I1069" s="10">
        <f t="shared" si="136"/>
        <v>7.6098327615565972E-16</v>
      </c>
    </row>
    <row r="1070" spans="1:9">
      <c r="A1070" s="19">
        <f t="shared" si="137"/>
        <v>87.999999999999361</v>
      </c>
      <c r="B1070" s="10">
        <f t="shared" si="133"/>
        <v>2.7995138232144001E-11</v>
      </c>
      <c r="C1070" s="10">
        <f t="shared" si="134"/>
        <v>1.7485424511274656E-4</v>
      </c>
      <c r="D1070" s="10">
        <f t="shared" si="138"/>
        <v>1.7598130084626453</v>
      </c>
      <c r="E1070" s="10">
        <f t="shared" si="139"/>
        <v>0.58637902301337763</v>
      </c>
      <c r="F1070" s="10">
        <f t="shared" si="135"/>
        <v>1.3656571468853518E-2</v>
      </c>
      <c r="G1070" s="66">
        <f t="shared" si="140"/>
        <v>2</v>
      </c>
      <c r="H1070" s="10"/>
      <c r="I1070" s="10">
        <f t="shared" si="136"/>
        <v>3.1368520077628893E-16</v>
      </c>
    </row>
    <row r="1071" spans="1:9">
      <c r="A1071" s="19">
        <f t="shared" si="137"/>
        <v>88.083333333332689</v>
      </c>
      <c r="B1071" s="10">
        <f t="shared" si="133"/>
        <v>2.4165765912527987E-11</v>
      </c>
      <c r="C1071" s="10">
        <f t="shared" si="134"/>
        <v>1.6649242816539815E-4</v>
      </c>
      <c r="D1071" s="10">
        <f t="shared" si="138"/>
        <v>1.7704503311047963</v>
      </c>
      <c r="E1071" s="10">
        <f t="shared" si="139"/>
        <v>0.58969392984708124</v>
      </c>
      <c r="F1071" s="10">
        <f t="shared" si="135"/>
        <v>1.3601158664851877E-2</v>
      </c>
      <c r="G1071" s="66">
        <f t="shared" si="140"/>
        <v>4</v>
      </c>
      <c r="H1071" s="10"/>
      <c r="I1071" s="10">
        <f t="shared" si="136"/>
        <v>5.1661795889886286E-16</v>
      </c>
    </row>
    <row r="1072" spans="1:9">
      <c r="A1072" s="19">
        <f t="shared" si="137"/>
        <v>88.166666666666018</v>
      </c>
      <c r="B1072" s="10">
        <f t="shared" si="133"/>
        <v>2.0841663146412212E-11</v>
      </c>
      <c r="C1072" s="10">
        <f t="shared" si="134"/>
        <v>1.5848657660370443E-4</v>
      </c>
      <c r="D1072" s="10">
        <f t="shared" si="138"/>
        <v>1.7811519555009516</v>
      </c>
      <c r="E1072" s="10">
        <f t="shared" si="139"/>
        <v>0.59302757964596786</v>
      </c>
      <c r="F1072" s="10">
        <f t="shared" si="135"/>
        <v>1.3545970703436407E-2</v>
      </c>
      <c r="G1072" s="66">
        <f t="shared" si="140"/>
        <v>2</v>
      </c>
      <c r="H1072" s="10"/>
      <c r="I1072" s="10">
        <f t="shared" si="136"/>
        <v>2.1246066753138689E-16</v>
      </c>
    </row>
    <row r="1073" spans="1:9">
      <c r="A1073" s="19">
        <f t="shared" si="137"/>
        <v>88.249999999999346</v>
      </c>
      <c r="B1073" s="10">
        <f t="shared" si="133"/>
        <v>1.7958733520430842E-11</v>
      </c>
      <c r="C1073" s="10">
        <f t="shared" si="134"/>
        <v>1.5082366581600087E-4</v>
      </c>
      <c r="D1073" s="10">
        <f t="shared" si="138"/>
        <v>1.7919182703500101</v>
      </c>
      <c r="E1073" s="10">
        <f t="shared" si="139"/>
        <v>0.59638007838548857</v>
      </c>
      <c r="F1073" s="10">
        <f t="shared" si="135"/>
        <v>1.3491006672287484E-2</v>
      </c>
      <c r="G1073" s="66">
        <f t="shared" si="140"/>
        <v>4</v>
      </c>
      <c r="H1073" s="10"/>
      <c r="I1073" s="10">
        <f t="shared" si="136"/>
        <v>3.4909057635681513E-16</v>
      </c>
    </row>
    <row r="1074" spans="1:9">
      <c r="A1074" s="19">
        <f t="shared" si="137"/>
        <v>88.333333333332675</v>
      </c>
      <c r="B1074" s="10">
        <f t="shared" si="133"/>
        <v>1.5460666698366878E-11</v>
      </c>
      <c r="C1074" s="10">
        <f t="shared" si="134"/>
        <v>1.4349105421065559E-4</v>
      </c>
      <c r="D1074" s="10">
        <f t="shared" si="138"/>
        <v>1.8027496667005209</v>
      </c>
      <c r="E1074" s="10">
        <f t="shared" si="139"/>
        <v>0.59975153264029313</v>
      </c>
      <c r="F1074" s="10">
        <f t="shared" si="135"/>
        <v>1.3436265662787312E-2</v>
      </c>
      <c r="G1074" s="66">
        <f t="shared" si="140"/>
        <v>2</v>
      </c>
      <c r="H1074" s="10"/>
      <c r="I1074" s="10">
        <f t="shared" si="136"/>
        <v>1.4322711200321059E-16</v>
      </c>
    </row>
    <row r="1075" spans="1:9">
      <c r="A1075" s="19">
        <f t="shared" si="137"/>
        <v>88.416666666666003</v>
      </c>
      <c r="B1075" s="10">
        <f t="shared" si="133"/>
        <v>1.3298037223797345E-11</v>
      </c>
      <c r="C1075" s="10">
        <f t="shared" si="134"/>
        <v>1.3647647563304137E-4</v>
      </c>
      <c r="D1075" s="10">
        <f t="shared" si="138"/>
        <v>1.8136465379648907</v>
      </c>
      <c r="E1075" s="10">
        <f t="shared" si="139"/>
        <v>0.60314204958762185</v>
      </c>
      <c r="F1075" s="10">
        <f t="shared" si="135"/>
        <v>1.3381746770004881E-2</v>
      </c>
      <c r="G1075" s="66">
        <f t="shared" si="140"/>
        <v>4</v>
      </c>
      <c r="H1075" s="10"/>
      <c r="I1075" s="10">
        <f t="shared" si="136"/>
        <v>2.3477767801468551E-16</v>
      </c>
    </row>
    <row r="1076" spans="1:9">
      <c r="A1076" s="19">
        <f t="shared" si="137"/>
        <v>88.499999999999332</v>
      </c>
      <c r="B1076" s="10">
        <f t="shared" si="133"/>
        <v>1.1427502083894207E-11</v>
      </c>
      <c r="C1076" s="10">
        <f t="shared" si="134"/>
        <v>1.2976803180215642E-4</v>
      </c>
      <c r="D1076" s="10">
        <f t="shared" si="138"/>
        <v>1.8246092799336748</v>
      </c>
      <c r="E1076" s="10">
        <f t="shared" si="139"/>
        <v>0.60655173701070864</v>
      </c>
      <c r="F1076" s="10">
        <f t="shared" si="135"/>
        <v>1.3327449092681028E-2</v>
      </c>
      <c r="G1076" s="66">
        <f t="shared" si="140"/>
        <v>2</v>
      </c>
      <c r="H1076" s="10"/>
      <c r="I1076" s="10">
        <f t="shared" si="136"/>
        <v>9.6096988560344426E-17</v>
      </c>
    </row>
    <row r="1077" spans="1:9">
      <c r="A1077" s="19">
        <f t="shared" si="137"/>
        <v>88.583333333332661</v>
      </c>
      <c r="B1077" s="10">
        <f t="shared" si="133"/>
        <v>9.8110868722960073E-12</v>
      </c>
      <c r="C1077" s="10">
        <f t="shared" si="134"/>
        <v>1.233541847716375E-4</v>
      </c>
      <c r="D1077" s="10">
        <f t="shared" si="138"/>
        <v>1.8356382907899413</v>
      </c>
      <c r="E1077" s="10">
        <f t="shared" si="139"/>
        <v>0.60998070330221177</v>
      </c>
      <c r="F1077" s="10">
        <f t="shared" si="135"/>
        <v>1.3273371733213543E-2</v>
      </c>
      <c r="G1077" s="66">
        <f t="shared" si="140"/>
        <v>4</v>
      </c>
      <c r="H1077" s="10"/>
      <c r="I1077" s="10">
        <f t="shared" si="136"/>
        <v>1.5714517685609375E-16</v>
      </c>
    </row>
    <row r="1078" spans="1:9">
      <c r="A1078" s="19">
        <f t="shared" si="137"/>
        <v>88.666666666665989</v>
      </c>
      <c r="B1078" s="10">
        <f t="shared" si="133"/>
        <v>8.4155513594328276E-12</v>
      </c>
      <c r="C1078" s="10">
        <f t="shared" si="134"/>
        <v>1.1722374941984711E-4</v>
      </c>
      <c r="D1078" s="10">
        <f t="shared" si="138"/>
        <v>1.846733971123752</v>
      </c>
      <c r="E1078" s="10">
        <f t="shared" si="139"/>
        <v>0.61342905746765497</v>
      </c>
      <c r="F1078" s="10">
        <f t="shared" si="135"/>
        <v>1.3219513797642303E-2</v>
      </c>
      <c r="G1078" s="66">
        <f t="shared" si="140"/>
        <v>2</v>
      </c>
      <c r="H1078" s="10"/>
      <c r="I1078" s="10">
        <f t="shared" si="136"/>
        <v>6.4166381462400011E-17</v>
      </c>
    </row>
    <row r="1079" spans="1:9">
      <c r="A1079" s="19">
        <f t="shared" si="137"/>
        <v>88.749999999999318</v>
      </c>
      <c r="B1079" s="10">
        <f t="shared" si="133"/>
        <v>7.2118261645696889E-12</v>
      </c>
      <c r="C1079" s="10">
        <f t="shared" si="134"/>
        <v>1.1136588597352362E-4</v>
      </c>
      <c r="D1079" s="10">
        <f t="shared" si="138"/>
        <v>1.8578967239466999</v>
      </c>
      <c r="E1079" s="10">
        <f t="shared" si="139"/>
        <v>0.61689690912889739</v>
      </c>
      <c r="F1079" s="10">
        <f t="shared" si="135"/>
        <v>1.3165874395634526E-2</v>
      </c>
      <c r="G1079" s="66">
        <f t="shared" si="140"/>
        <v>4</v>
      </c>
      <c r="H1079" s="10"/>
      <c r="I1079" s="10">
        <f t="shared" si="136"/>
        <v>1.0467575817580322E-16</v>
      </c>
    </row>
    <row r="1080" spans="1:9">
      <c r="A1080" s="19">
        <f t="shared" si="137"/>
        <v>88.833333333332646</v>
      </c>
      <c r="B1080" s="10">
        <f t="shared" si="133"/>
        <v>6.1745130317315949E-12</v>
      </c>
      <c r="C1080" s="10">
        <f t="shared" si="134"/>
        <v>1.057700925694187E-4</v>
      </c>
      <c r="D1080" s="10">
        <f t="shared" si="138"/>
        <v>1.8691269547065543</v>
      </c>
      <c r="E1080" s="10">
        <f t="shared" si="139"/>
        <v>0.62038436852761403</v>
      </c>
      <c r="F1080" s="10">
        <f t="shared" si="135"/>
        <v>1.3112452640470031E-2</v>
      </c>
      <c r="G1080" s="66">
        <f t="shared" si="140"/>
        <v>2</v>
      </c>
      <c r="H1080" s="10"/>
      <c r="I1080" s="10">
        <f t="shared" si="136"/>
        <v>4.2637686323381473E-17</v>
      </c>
    </row>
    <row r="1081" spans="1:9">
      <c r="A1081" s="19">
        <f t="shared" si="137"/>
        <v>88.916666666665975</v>
      </c>
      <c r="B1081" s="10">
        <f t="shared" si="133"/>
        <v>5.2814419476520362E-12</v>
      </c>
      <c r="C1081" s="10">
        <f t="shared" si="134"/>
        <v>1.0042619785813555E-4</v>
      </c>
      <c r="D1081" s="10">
        <f t="shared" si="138"/>
        <v>1.8804250713019723</v>
      </c>
      <c r="E1081" s="10">
        <f t="shared" si="139"/>
        <v>0.62389154652880341</v>
      </c>
      <c r="F1081" s="10">
        <f t="shared" si="135"/>
        <v>1.305924764902657E-2</v>
      </c>
      <c r="G1081" s="66">
        <f t="shared" si="140"/>
        <v>4</v>
      </c>
      <c r="H1081" s="10"/>
      <c r="I1081" s="10">
        <f t="shared" si="136"/>
        <v>6.9385211342803536E-17</v>
      </c>
    </row>
    <row r="1082" spans="1:9">
      <c r="A1082" s="19">
        <f t="shared" si="137"/>
        <v>88.999999999999304</v>
      </c>
      <c r="B1082" s="10">
        <f t="shared" si="133"/>
        <v>4.5132790096709185E-12</v>
      </c>
      <c r="C1082" s="10">
        <f t="shared" si="134"/>
        <v>9.5324353654320358E-5</v>
      </c>
      <c r="D1082" s="10">
        <f t="shared" si="138"/>
        <v>1.8917914840973369</v>
      </c>
      <c r="E1082" s="10">
        <f t="shared" si="139"/>
        <v>0.62741855462431184</v>
      </c>
      <c r="F1082" s="10">
        <f t="shared" si="135"/>
        <v>1.300625854176529E-2</v>
      </c>
      <c r="G1082" s="66">
        <f t="shared" si="140"/>
        <v>2</v>
      </c>
      <c r="H1082" s="10"/>
      <c r="I1082" s="10">
        <f t="shared" si="136"/>
        <v>2.8193098471032029E-17</v>
      </c>
    </row>
    <row r="1083" spans="1:9">
      <c r="A1083" s="19">
        <f t="shared" si="137"/>
        <v>89.083333333332632</v>
      </c>
      <c r="B1083" s="10">
        <f t="shared" si="133"/>
        <v>3.8531795604232262E-12</v>
      </c>
      <c r="C1083" s="10">
        <f t="shared" si="134"/>
        <v>9.0455027637163419E-5</v>
      </c>
      <c r="D1083" s="10">
        <f t="shared" si="138"/>
        <v>1.9032266059376459</v>
      </c>
      <c r="E1083" s="10">
        <f t="shared" si="139"/>
        <v>0.63096550493637416</v>
      </c>
      <c r="F1083" s="10">
        <f t="shared" si="135"/>
        <v>1.2953484442716105E-2</v>
      </c>
      <c r="G1083" s="66">
        <f t="shared" si="140"/>
        <v>4</v>
      </c>
      <c r="H1083" s="10"/>
      <c r="I1083" s="10">
        <f t="shared" si="136"/>
        <v>4.5765487437700506E-17</v>
      </c>
    </row>
    <row r="1084" spans="1:9">
      <c r="A1084" s="19">
        <f t="shared" si="137"/>
        <v>89.166666666665961</v>
      </c>
      <c r="B1084" s="10">
        <f t="shared" si="133"/>
        <v>3.2864816591387699E-12</v>
      </c>
      <c r="C1084" s="10">
        <f t="shared" si="134"/>
        <v>8.5808996105050334E-5</v>
      </c>
      <c r="D1084" s="10">
        <f t="shared" si="138"/>
        <v>1.9147308521635129</v>
      </c>
      <c r="E1084" s="10">
        <f t="shared" si="139"/>
        <v>0.6345325102211834</v>
      </c>
      <c r="F1084" s="10">
        <f t="shared" si="135"/>
        <v>1.2900924479463276E-2</v>
      </c>
      <c r="G1084" s="66">
        <f t="shared" si="140"/>
        <v>2</v>
      </c>
      <c r="H1084" s="10"/>
      <c r="I1084" s="10">
        <f t="shared" si="136"/>
        <v>1.8549387212463463E-17</v>
      </c>
    </row>
    <row r="1085" spans="1:9">
      <c r="A1085" s="19">
        <f t="shared" si="137"/>
        <v>89.249999999999289</v>
      </c>
      <c r="B1085" s="10">
        <f t="shared" si="133"/>
        <v>2.8004354610568432E-12</v>
      </c>
      <c r="C1085" s="10">
        <f t="shared" si="134"/>
        <v>8.13773367880739E-5</v>
      </c>
      <c r="D1085" s="10">
        <f t="shared" si="138"/>
        <v>1.9263046406262541</v>
      </c>
      <c r="E1085" s="10">
        <f t="shared" si="139"/>
        <v>0.63811968387246998</v>
      </c>
      <c r="F1085" s="10">
        <f t="shared" si="135"/>
        <v>1.2848577783130971E-2</v>
      </c>
      <c r="G1085" s="66">
        <f t="shared" si="140"/>
        <v>4</v>
      </c>
      <c r="H1085" s="10"/>
      <c r="I1085" s="10">
        <f t="shared" si="136"/>
        <v>3.0035438590406843E-17</v>
      </c>
    </row>
    <row r="1086" spans="1:9">
      <c r="A1086" s="19">
        <f t="shared" si="137"/>
        <v>89.333333333332618</v>
      </c>
      <c r="B1086" s="10">
        <f t="shared" si="133"/>
        <v>2.3839645310994473E-12</v>
      </c>
      <c r="C1086" s="10">
        <f t="shared" si="134"/>
        <v>7.7151421721940457E-5</v>
      </c>
      <c r="D1086" s="10">
        <f t="shared" si="138"/>
        <v>1.9379483917030531</v>
      </c>
      <c r="E1086" s="10">
        <f t="shared" si="139"/>
        <v>0.64172713992511143</v>
      </c>
      <c r="F1086" s="10">
        <f t="shared" si="135"/>
        <v>1.2796443488368899E-2</v>
      </c>
      <c r="G1086" s="66">
        <f t="shared" si="140"/>
        <v>2</v>
      </c>
      <c r="H1086" s="10"/>
      <c r="I1086" s="10">
        <f t="shared" si="136"/>
        <v>1.2143058472354036E-17</v>
      </c>
    </row>
    <row r="1087" spans="1:9">
      <c r="A1087" s="19">
        <f t="shared" si="137"/>
        <v>89.416666666665947</v>
      </c>
      <c r="B1087" s="10">
        <f t="shared" si="133"/>
        <v>2.027455529544007E-12</v>
      </c>
      <c r="C1087" s="10">
        <f t="shared" si="134"/>
        <v>7.3122910186704972E-5</v>
      </c>
      <c r="D1087" s="10">
        <f t="shared" si="138"/>
        <v>1.9496625283122508</v>
      </c>
      <c r="E1087" s="10">
        <f t="shared" si="139"/>
        <v>0.64535499305875244</v>
      </c>
      <c r="F1087" s="10">
        <f t="shared" si="135"/>
        <v>1.2744520733338012E-2</v>
      </c>
      <c r="G1087" s="66">
        <f t="shared" si="140"/>
        <v>4</v>
      </c>
      <c r="H1087" s="10"/>
      <c r="I1087" s="10">
        <f t="shared" si="136"/>
        <v>1.9612303191627569E-17</v>
      </c>
    </row>
    <row r="1088" spans="1:9">
      <c r="A1088" s="19">
        <f t="shared" si="137"/>
        <v>89.499999999999275</v>
      </c>
      <c r="B1088" s="10">
        <f t="shared" si="133"/>
        <v>1.722573079652258E-12</v>
      </c>
      <c r="C1088" s="10">
        <f t="shared" si="134"/>
        <v>6.9283741713580129E-5</v>
      </c>
      <c r="D1088" s="10">
        <f t="shared" si="138"/>
        <v>1.96144747592869</v>
      </c>
      <c r="E1088" s="10">
        <f t="shared" si="139"/>
        <v>0.64900335860145608</v>
      </c>
      <c r="F1088" s="10">
        <f t="shared" si="135"/>
        <v>1.2692808659696251E-2</v>
      </c>
      <c r="G1088" s="66">
        <f t="shared" si="140"/>
        <v>2</v>
      </c>
      <c r="H1088" s="10"/>
      <c r="I1088" s="10">
        <f t="shared" si="136"/>
        <v>7.908829932115459E-18</v>
      </c>
    </row>
    <row r="1089" spans="1:9">
      <c r="A1089" s="19">
        <f t="shared" si="137"/>
        <v>89.583333333332604</v>
      </c>
      <c r="B1089" s="10">
        <f t="shared" si="133"/>
        <v>1.4620969634703072E-12</v>
      </c>
      <c r="C1089" s="10">
        <f t="shared" si="134"/>
        <v>6.5626129162962279E-5</v>
      </c>
      <c r="D1089" s="10">
        <f t="shared" si="138"/>
        <v>1.9733036625991802</v>
      </c>
      <c r="E1089" s="10">
        <f t="shared" si="139"/>
        <v>0.65267235253336375</v>
      </c>
      <c r="F1089" s="10">
        <f t="shared" si="135"/>
        <v>1.2641306412584357E-2</v>
      </c>
      <c r="G1089" s="66">
        <f t="shared" si="140"/>
        <v>4</v>
      </c>
      <c r="H1089" s="10"/>
      <c r="I1089" s="10">
        <f t="shared" si="136"/>
        <v>1.2740769795606919E-17</v>
      </c>
    </row>
    <row r="1090" spans="1:9">
      <c r="A1090" s="19">
        <f t="shared" si="137"/>
        <v>89.666666666665932</v>
      </c>
      <c r="B1090" s="10">
        <f t="shared" si="133"/>
        <v>1.2397790954555724E-12</v>
      </c>
      <c r="C1090" s="10">
        <f t="shared" si="134"/>
        <v>6.2142551876635634E-5</v>
      </c>
      <c r="D1090" s="10">
        <f t="shared" si="138"/>
        <v>1.9852315189580263</v>
      </c>
      <c r="E1090" s="10">
        <f t="shared" si="139"/>
        <v>0.6563620914903886</v>
      </c>
      <c r="F1090" s="10">
        <f t="shared" si="135"/>
        <v>1.2590013140611749E-2</v>
      </c>
      <c r="G1090" s="66">
        <f t="shared" si="140"/>
        <v>2</v>
      </c>
      <c r="H1090" s="10"/>
      <c r="I1090" s="10">
        <f t="shared" si="136"/>
        <v>5.1245481400448977E-18</v>
      </c>
    </row>
    <row r="1091" spans="1:9">
      <c r="A1091" s="19">
        <f t="shared" si="137"/>
        <v>89.749999999999261</v>
      </c>
      <c r="B1091" s="10">
        <f t="shared" si="133"/>
        <v>1.0502179971237884E-12</v>
      </c>
      <c r="C1091" s="10">
        <f t="shared" si="134"/>
        <v>5.8825748907003686E-5</v>
      </c>
      <c r="D1091" s="10">
        <f t="shared" si="138"/>
        <v>1.9972314782426954</v>
      </c>
      <c r="E1091" s="10">
        <f t="shared" si="139"/>
        <v>0.66007269276791736</v>
      </c>
      <c r="F1091" s="10">
        <f t="shared" si="135"/>
        <v>1.2538927995842438E-2</v>
      </c>
      <c r="G1091" s="66">
        <f t="shared" si="140"/>
        <v>4</v>
      </c>
      <c r="H1091" s="10"/>
      <c r="I1091" s="10">
        <f t="shared" si="136"/>
        <v>8.2339569154491306E-18</v>
      </c>
    </row>
    <row r="1092" spans="1:9">
      <c r="A1092" s="19">
        <f t="shared" si="137"/>
        <v>89.83333333333259</v>
      </c>
      <c r="B1092" s="10">
        <f t="shared" si="133"/>
        <v>8.8874874222494068E-13</v>
      </c>
      <c r="C1092" s="10">
        <f t="shared" si="134"/>
        <v>5.5668712326021061E-5</v>
      </c>
      <c r="D1092" s="10">
        <f t="shared" si="138"/>
        <v>2.0093039763095351</v>
      </c>
      <c r="E1092" s="10">
        <f t="shared" si="139"/>
        <v>0.6638042743245447</v>
      </c>
      <c r="F1092" s="10">
        <f t="shared" si="135"/>
        <v>1.2488050133781013E-2</v>
      </c>
      <c r="G1092" s="66">
        <f t="shared" si="140"/>
        <v>2</v>
      </c>
      <c r="H1092" s="10"/>
      <c r="I1092" s="10">
        <f t="shared" si="136"/>
        <v>3.3031732318119369E-18</v>
      </c>
    </row>
    <row r="1093" spans="1:9">
      <c r="A1093" s="19">
        <f t="shared" si="137"/>
        <v>89.916666666665918</v>
      </c>
      <c r="B1093" s="10">
        <f t="shared" si="133"/>
        <v>7.5134656351577977E-13</v>
      </c>
      <c r="C1093" s="10">
        <f t="shared" si="134"/>
        <v>5.2664680616385384E-5</v>
      </c>
      <c r="D1093" s="10">
        <f t="shared" si="138"/>
        <v>2.0214494516496098</v>
      </c>
      <c r="E1093" s="10">
        <f t="shared" si="139"/>
        <v>0.66755695478581745</v>
      </c>
      <c r="F1093" s="10">
        <f t="shared" si="135"/>
        <v>1.243737871335868E-2</v>
      </c>
      <c r="G1093" s="66">
        <f t="shared" si="140"/>
        <v>4</v>
      </c>
      <c r="H1093" s="10"/>
      <c r="I1093" s="10">
        <f t="shared" si="136"/>
        <v>5.2934698768586883E-18</v>
      </c>
    </row>
    <row r="1094" spans="1:9">
      <c r="A1094" s="19">
        <f t="shared" si="137"/>
        <v>89.999999999999247</v>
      </c>
      <c r="B1094" s="10">
        <f t="shared" si="133"/>
        <v>6.3454251127715299E-13</v>
      </c>
      <c r="C1094" s="10">
        <f t="shared" si="134"/>
        <v>4.9807132147374538E-5</v>
      </c>
      <c r="D1094" s="10">
        <f t="shared" si="138"/>
        <v>2.0336683454046303</v>
      </c>
      <c r="E1094" s="10">
        <f t="shared" si="139"/>
        <v>0.67133085344801136</v>
      </c>
      <c r="F1094" s="10">
        <f t="shared" si="135"/>
        <v>1.2386912896919365E-2</v>
      </c>
      <c r="G1094" s="66">
        <f t="shared" si="140"/>
        <v>2</v>
      </c>
      <c r="H1094" s="10"/>
      <c r="I1094" s="10">
        <f t="shared" si="136"/>
        <v>2.1179342782537073E-18</v>
      </c>
    </row>
    <row r="1095" spans="1:9">
      <c r="A1095" s="19">
        <f t="shared" si="137"/>
        <v>90.083333333332575</v>
      </c>
      <c r="B1095" s="10">
        <f t="shared" si="133"/>
        <v>5.3534973240578132E-13</v>
      </c>
      <c r="C1095" s="10">
        <f t="shared" si="134"/>
        <v>4.7089778737600428E-5</v>
      </c>
      <c r="D1095" s="10">
        <f t="shared" si="138"/>
        <v>2.0459611013829626</v>
      </c>
      <c r="E1095" s="10">
        <f t="shared" si="139"/>
        <v>0.67512609028191795</v>
      </c>
      <c r="F1095" s="10">
        <f t="shared" si="135"/>
        <v>1.2336651850205856E-2</v>
      </c>
      <c r="G1095" s="66">
        <f t="shared" si="140"/>
        <v>4</v>
      </c>
      <c r="H1095" s="10"/>
      <c r="I1095" s="10">
        <f t="shared" si="136"/>
        <v>3.3850415039524014E-18</v>
      </c>
    </row>
    <row r="1096" spans="1:9">
      <c r="A1096" s="19">
        <f t="shared" si="137"/>
        <v>90.166666666665904</v>
      </c>
      <c r="B1096" s="10">
        <f t="shared" si="133"/>
        <v>4.5119909911214795E-13</v>
      </c>
      <c r="C1096" s="10">
        <f t="shared" si="134"/>
        <v>4.4506559306780439E-5</v>
      </c>
      <c r="D1096" s="10">
        <f t="shared" si="138"/>
        <v>2.0583281660757691</v>
      </c>
      <c r="E1096" s="10">
        <f t="shared" si="139"/>
        <v>0.67894278593666391</v>
      </c>
      <c r="F1096" s="10">
        <f t="shared" si="135"/>
        <v>1.2286594742346009E-2</v>
      </c>
      <c r="G1096" s="66">
        <f t="shared" si="140"/>
        <v>2</v>
      </c>
      <c r="H1096" s="10"/>
      <c r="I1096" s="10">
        <f t="shared" si="136"/>
        <v>1.3507393854409103E-18</v>
      </c>
    </row>
    <row r="1097" spans="1:9">
      <c r="A1097" s="19">
        <f t="shared" si="137"/>
        <v>90.249999999999233</v>
      </c>
      <c r="B1097" s="10">
        <f t="shared" si="133"/>
        <v>3.7988305972858562E-13</v>
      </c>
      <c r="C1097" s="10">
        <f t="shared" si="134"/>
        <v>4.2051633618511331E-5</v>
      </c>
      <c r="D1097" s="10">
        <f t="shared" si="138"/>
        <v>2.0707699886732125</v>
      </c>
      <c r="E1097" s="10">
        <f t="shared" si="139"/>
        <v>0.68278106174354047</v>
      </c>
      <c r="F1097" s="10">
        <f t="shared" si="135"/>
        <v>1.223674074583905E-2</v>
      </c>
      <c r="G1097" s="66">
        <f t="shared" si="140"/>
        <v>4</v>
      </c>
      <c r="H1097" s="10"/>
      <c r="I1097" s="10">
        <f t="shared" si="136"/>
        <v>2.1530379364120486E-18</v>
      </c>
    </row>
    <row r="1098" spans="1:9">
      <c r="A1098" s="19">
        <f t="shared" si="137"/>
        <v>90.333333333332561</v>
      </c>
      <c r="B1098" s="10">
        <f t="shared" si="133"/>
        <v>3.1950671248156351E-13</v>
      </c>
      <c r="C1098" s="10">
        <f t="shared" si="134"/>
        <v>3.9719376115866564E-5</v>
      </c>
      <c r="D1098" s="10">
        <f t="shared" si="138"/>
        <v>2.0832870210807752</v>
      </c>
      <c r="E1098" s="10">
        <f t="shared" si="139"/>
        <v>0.68664103971986667</v>
      </c>
      <c r="F1098" s="10">
        <f t="shared" si="135"/>
        <v>1.2187089036541841E-2</v>
      </c>
      <c r="G1098" s="66">
        <f t="shared" si="140"/>
        <v>2</v>
      </c>
      <c r="H1098" s="10"/>
      <c r="I1098" s="10">
        <f t="shared" si="136"/>
        <v>8.5680279495706911E-19</v>
      </c>
    </row>
    <row r="1099" spans="1:9">
      <c r="A1099" s="19">
        <f t="shared" si="137"/>
        <v>90.41666666666589</v>
      </c>
      <c r="B1099" s="10">
        <f t="shared" si="133"/>
        <v>2.6844521777590355E-13</v>
      </c>
      <c r="C1099" s="10">
        <f t="shared" si="134"/>
        <v>3.7504369851522867E-5</v>
      </c>
      <c r="D1099" s="10">
        <f t="shared" si="138"/>
        <v>2.0958797179356621</v>
      </c>
      <c r="E1099" s="10">
        <f t="shared" si="139"/>
        <v>0.69052284257286267</v>
      </c>
      <c r="F1099" s="10">
        <f t="shared" si="135"/>
        <v>1.2137638793655281E-2</v>
      </c>
      <c r="G1099" s="66">
        <f t="shared" si="140"/>
        <v>4</v>
      </c>
      <c r="H1099" s="10"/>
      <c r="I1099" s="10">
        <f t="shared" si="136"/>
        <v>1.3619952890602695E-18</v>
      </c>
    </row>
    <row r="1100" spans="1:9">
      <c r="A1100" s="19">
        <f t="shared" si="137"/>
        <v>90.499999999999218</v>
      </c>
      <c r="B1100" s="10">
        <f t="shared" si="133"/>
        <v>2.2530676691396118E-13</v>
      </c>
      <c r="C1100" s="10">
        <f t="shared" si="134"/>
        <v>3.5401400513959477E-5</v>
      </c>
      <c r="D1100" s="10">
        <f t="shared" si="138"/>
        <v>2.108548536623335</v>
      </c>
      <c r="E1100" s="10">
        <f t="shared" si="139"/>
        <v>0.69442659370355475</v>
      </c>
      <c r="F1100" s="10">
        <f t="shared" si="135"/>
        <v>1.2088389199710744E-2</v>
      </c>
      <c r="G1100" s="66">
        <f t="shared" si="140"/>
        <v>2</v>
      </c>
      <c r="H1100" s="10"/>
      <c r="I1100" s="10">
        <f t="shared" si="136"/>
        <v>5.4052072845486661E-19</v>
      </c>
    </row>
    <row r="1101" spans="1:9">
      <c r="A1101" s="19">
        <f t="shared" si="137"/>
        <v>90.583333333332547</v>
      </c>
      <c r="B1101" s="10">
        <f t="shared" si="133"/>
        <v>1.8890041645241881E-13</v>
      </c>
      <c r="C1101" s="10">
        <f t="shared" si="134"/>
        <v>3.3405450551161141E-5</v>
      </c>
      <c r="D1101" s="10">
        <f t="shared" si="138"/>
        <v>2.1212939372941078</v>
      </c>
      <c r="E1101" s="10">
        <f t="shared" si="139"/>
        <v>0.69835241721069674</v>
      </c>
      <c r="F1101" s="10">
        <f t="shared" si="135"/>
        <v>1.2039339440556561E-2</v>
      </c>
      <c r="G1101" s="66">
        <f t="shared" si="140"/>
        <v>4</v>
      </c>
      <c r="H1101" s="10"/>
      <c r="I1101" s="10">
        <f t="shared" si="136"/>
        <v>8.5685540630694888E-19</v>
      </c>
    </row>
    <row r="1102" spans="1:9">
      <c r="A1102" s="19">
        <f t="shared" si="137"/>
        <v>90.666666666665876</v>
      </c>
      <c r="B1102" s="10">
        <f t="shared" ref="B1102:B1165" si="141">(B$9^A1102)*B$10^((B$6^28)*((B$6^A1102)-1))</f>
        <v>1.5820817869214908E-13</v>
      </c>
      <c r="C1102" s="10">
        <f t="shared" ref="C1102:C1165" si="142">(B$9^A1102)*B$11^((B$7^24)*((B$7^A1102)-1))</f>
        <v>3.151169339310572E-5</v>
      </c>
      <c r="D1102" s="10">
        <f t="shared" si="138"/>
        <v>2.1341163828798675</v>
      </c>
      <c r="E1102" s="10">
        <f t="shared" si="139"/>
        <v>0.70230043789471275</v>
      </c>
      <c r="F1102" s="10">
        <f t="shared" si="135"/>
        <v>1.1990488705344554E-2</v>
      </c>
      <c r="G1102" s="66">
        <f t="shared" si="140"/>
        <v>2</v>
      </c>
      <c r="H1102" s="10"/>
      <c r="I1102" s="10">
        <f t="shared" si="136"/>
        <v>3.3910766409525575E-19</v>
      </c>
    </row>
    <row r="1103" spans="1:9">
      <c r="A1103" s="19">
        <f t="shared" si="137"/>
        <v>90.749999999999204</v>
      </c>
      <c r="B1103" s="10">
        <f t="shared" si="141"/>
        <v>1.3236083111565217E-13</v>
      </c>
      <c r="C1103" s="10">
        <f t="shared" si="142"/>
        <v>2.9715487774188447E-5</v>
      </c>
      <c r="D1103" s="10">
        <f t="shared" si="138"/>
        <v>2.1470163391108898</v>
      </c>
      <c r="E1103" s="10">
        <f t="shared" si="139"/>
        <v>0.70627078126166909</v>
      </c>
      <c r="F1103" s="10">
        <f t="shared" ref="F1103:F1166" si="143">(1+B$8)^-A1103</f>
        <v>1.194183618651664E-2</v>
      </c>
      <c r="G1103" s="66">
        <f t="shared" si="140"/>
        <v>4</v>
      </c>
      <c r="H1103" s="10"/>
      <c r="I1103" s="10">
        <f t="shared" ref="I1103:I1166" si="144">B1103*C1103*(D1103+E1103)*F1103*G1103</f>
        <v>5.3606681812020524E-19</v>
      </c>
    </row>
    <row r="1104" spans="1:9">
      <c r="A1104" s="19">
        <f t="shared" ref="A1104:A1167" si="145">A1103+1/12</f>
        <v>90.833333333332533</v>
      </c>
      <c r="B1104" s="10">
        <f t="shared" si="141"/>
        <v>1.1061697184766066E-13</v>
      </c>
      <c r="C1104" s="10">
        <f t="shared" si="142"/>
        <v>2.8012372156615575E-5</v>
      </c>
      <c r="D1104" s="10">
        <f t="shared" si="138"/>
        <v>2.159994274532743</v>
      </c>
      <c r="E1104" s="10">
        <f t="shared" si="139"/>
        <v>0.71026357352725966</v>
      </c>
      <c r="F1104" s="10">
        <f t="shared" si="143"/>
        <v>1.189338107979147E-2</v>
      </c>
      <c r="G1104" s="66">
        <f t="shared" si="140"/>
        <v>2</v>
      </c>
      <c r="H1104" s="10"/>
      <c r="I1104" s="10">
        <f t="shared" si="144"/>
        <v>2.1155724177965502E-19</v>
      </c>
    </row>
    <row r="1105" spans="1:9">
      <c r="A1105" s="19">
        <f t="shared" si="145"/>
        <v>90.916666666665861</v>
      </c>
      <c r="B1105" s="10">
        <f t="shared" si="141"/>
        <v>9.2344905251875974E-14</v>
      </c>
      <c r="C1105" s="10">
        <f t="shared" si="142"/>
        <v>2.6398059255652685E-5</v>
      </c>
      <c r="D1105" s="10">
        <f t="shared" ref="D1105:D1168" si="146">B$3+B$4*(B$6^(28+A1105))</f>
        <v>2.1730506605233231</v>
      </c>
      <c r="E1105" s="10">
        <f t="shared" ref="E1105:E1168" si="147">B$3+B$5*(B$7^(24+A1105))</f>
        <v>0.71427894162082217</v>
      </c>
      <c r="F1105" s="10">
        <f t="shared" si="143"/>
        <v>1.1845122584151154E-2</v>
      </c>
      <c r="G1105" s="66">
        <f t="shared" ref="G1105:G1168" si="148">IF(G1104=4,2,4)</f>
        <v>4</v>
      </c>
      <c r="H1105" s="10"/>
      <c r="I1105" s="10">
        <f t="shared" si="144"/>
        <v>3.3348849342560984E-19</v>
      </c>
    </row>
    <row r="1106" spans="1:9">
      <c r="A1106" s="19">
        <f t="shared" si="145"/>
        <v>90.99999999999919</v>
      </c>
      <c r="B1106" s="10">
        <f t="shared" si="141"/>
        <v>7.7006992343463365E-14</v>
      </c>
      <c r="C1106" s="10">
        <f t="shared" si="142"/>
        <v>2.4868430667510565E-5</v>
      </c>
      <c r="D1106" s="10">
        <f t="shared" si="146"/>
        <v>2.1861859713099658</v>
      </c>
      <c r="E1106" s="10">
        <f t="shared" si="147"/>
        <v>0.71831701318936891</v>
      </c>
      <c r="F1106" s="10">
        <f t="shared" si="143"/>
        <v>1.1797059901827996E-2</v>
      </c>
      <c r="G1106" s="66">
        <f t="shared" si="148"/>
        <v>2</v>
      </c>
      <c r="H1106" s="10"/>
      <c r="I1106" s="10">
        <f t="shared" si="144"/>
        <v>1.3123635168703179E-19</v>
      </c>
    </row>
    <row r="1107" spans="1:9">
      <c r="A1107" s="19">
        <f t="shared" si="145"/>
        <v>91.083333333332519</v>
      </c>
      <c r="B1107" s="10">
        <f t="shared" si="141"/>
        <v>6.4146145476081472E-14</v>
      </c>
      <c r="C1107" s="10">
        <f t="shared" si="142"/>
        <v>2.3419531600505773E-5</v>
      </c>
      <c r="D1107" s="10">
        <f t="shared" si="146"/>
        <v>2.1994006839866773</v>
      </c>
      <c r="E1107" s="10">
        <f t="shared" si="147"/>
        <v>0.72237791660164985</v>
      </c>
      <c r="F1107" s="10">
        <f t="shared" si="143"/>
        <v>1.1749192238291323E-2</v>
      </c>
      <c r="G1107" s="66">
        <f t="shared" si="148"/>
        <v>4</v>
      </c>
      <c r="H1107" s="10"/>
      <c r="I1107" s="10">
        <f t="shared" si="144"/>
        <v>2.0628330200846335E-19</v>
      </c>
    </row>
    <row r="1108" spans="1:9">
      <c r="A1108" s="19">
        <f t="shared" si="145"/>
        <v>91.166666666665847</v>
      </c>
      <c r="B1108" s="10">
        <f t="shared" si="141"/>
        <v>5.3374186370233464E-14</v>
      </c>
      <c r="C1108" s="10">
        <f t="shared" si="142"/>
        <v>2.2047565710034146E-5</v>
      </c>
      <c r="D1108" s="10">
        <f t="shared" si="146"/>
        <v>2.2126952785314442</v>
      </c>
      <c r="E1108" s="10">
        <f t="shared" si="147"/>
        <v>0.72646178095222724</v>
      </c>
      <c r="F1108" s="10">
        <f t="shared" si="143"/>
        <v>1.1701518802234334E-2</v>
      </c>
      <c r="G1108" s="66">
        <f t="shared" si="148"/>
        <v>2</v>
      </c>
      <c r="H1108" s="10"/>
      <c r="I1108" s="10">
        <f t="shared" si="144"/>
        <v>8.09444241708866E-20</v>
      </c>
    </row>
    <row r="1109" spans="1:9">
      <c r="A1109" s="19">
        <f t="shared" si="145"/>
        <v>91.249999999999176</v>
      </c>
      <c r="B1109" s="10">
        <f t="shared" si="141"/>
        <v>4.4361821542906602E-14</v>
      </c>
      <c r="C1109" s="10">
        <f t="shared" si="142"/>
        <v>2.0748890037758492E-5</v>
      </c>
      <c r="D1109" s="10">
        <f t="shared" si="146"/>
        <v>2.2260702378236954</v>
      </c>
      <c r="E1109" s="10">
        <f t="shared" si="147"/>
        <v>0.73056873606558581</v>
      </c>
      <c r="F1109" s="10">
        <f t="shared" si="143"/>
        <v>1.165403880556104E-2</v>
      </c>
      <c r="G1109" s="66">
        <f t="shared" si="148"/>
        <v>4</v>
      </c>
      <c r="H1109" s="10"/>
      <c r="I1109" s="10">
        <f t="shared" si="144"/>
        <v>1.2686417164540767E-19</v>
      </c>
    </row>
    <row r="1110" spans="1:9">
      <c r="A1110" s="19">
        <f t="shared" si="145"/>
        <v>91.333333333332504</v>
      </c>
      <c r="B1110" s="10">
        <f t="shared" si="141"/>
        <v>3.6830020078870757E-14</v>
      </c>
      <c r="C1110" s="10">
        <f t="shared" si="142"/>
        <v>1.9520010055314359E-5</v>
      </c>
      <c r="D1110" s="10">
        <f t="shared" si="146"/>
        <v>2.2395260476618213</v>
      </c>
      <c r="E1110" s="10">
        <f t="shared" si="147"/>
        <v>0.73469891250025421</v>
      </c>
      <c r="F1110" s="10">
        <f t="shared" si="143"/>
        <v>1.160675146337322E-2</v>
      </c>
      <c r="G1110" s="66">
        <f t="shared" si="148"/>
        <v>2</v>
      </c>
      <c r="H1110" s="10"/>
      <c r="I1110" s="10">
        <f t="shared" si="144"/>
        <v>4.9635967011167337E-20</v>
      </c>
    </row>
    <row r="1111" spans="1:9">
      <c r="A1111" s="19">
        <f t="shared" si="145"/>
        <v>91.416666666665833</v>
      </c>
      <c r="B1111" s="10">
        <f t="shared" si="141"/>
        <v>3.0542605902605206E-14</v>
      </c>
      <c r="C1111" s="10">
        <f t="shared" si="142"/>
        <v>1.8357574812709428E-5</v>
      </c>
      <c r="D1111" s="10">
        <f t="shared" si="146"/>
        <v>2.253063196780825</v>
      </c>
      <c r="E1111" s="10">
        <f t="shared" si="147"/>
        <v>0.73885244155296059</v>
      </c>
      <c r="F1111" s="10">
        <f t="shared" si="143"/>
        <v>1.155965599395745E-2</v>
      </c>
      <c r="G1111" s="66">
        <f t="shared" si="148"/>
        <v>4</v>
      </c>
      <c r="H1111" s="10"/>
      <c r="I1111" s="10">
        <f t="shared" si="144"/>
        <v>7.7566758062990977E-20</v>
      </c>
    </row>
    <row r="1112" spans="1:9">
      <c r="A1112" s="19">
        <f t="shared" si="145"/>
        <v>91.499999999999162</v>
      </c>
      <c r="B1112" s="10">
        <f t="shared" si="141"/>
        <v>2.52999006729986E-14</v>
      </c>
      <c r="C1112" s="10">
        <f t="shared" si="142"/>
        <v>1.7258372191498924E-5</v>
      </c>
      <c r="D1112" s="10">
        <f t="shared" si="146"/>
        <v>2.2666821768700767</v>
      </c>
      <c r="E1112" s="10">
        <f t="shared" si="147"/>
        <v>0.74302945526280106</v>
      </c>
      <c r="F1112" s="10">
        <f t="shared" si="143"/>
        <v>1.1512751618772167E-2</v>
      </c>
      <c r="G1112" s="66">
        <f t="shared" si="148"/>
        <v>2</v>
      </c>
      <c r="H1112" s="10"/>
      <c r="I1112" s="10">
        <f t="shared" si="144"/>
        <v>3.0258867132738027E-20</v>
      </c>
    </row>
    <row r="1113" spans="1:9">
      <c r="A1113" s="19">
        <f t="shared" si="145"/>
        <v>91.58333333333249</v>
      </c>
      <c r="B1113" s="10">
        <f t="shared" si="141"/>
        <v>2.0933274494777532E-14</v>
      </c>
      <c r="C1113" s="10">
        <f t="shared" si="142"/>
        <v>1.6219324262698932E-5</v>
      </c>
      <c r="D1113" s="10">
        <f t="shared" si="146"/>
        <v>2.2803834825911573</v>
      </c>
      <c r="E1113" s="10">
        <f t="shared" si="147"/>
        <v>0.74723008641544297</v>
      </c>
      <c r="F1113" s="10">
        <f t="shared" si="143"/>
        <v>1.1466037562434851E-2</v>
      </c>
      <c r="G1113" s="66">
        <f t="shared" si="148"/>
        <v>4</v>
      </c>
      <c r="H1113" s="10"/>
      <c r="I1113" s="10">
        <f t="shared" si="144"/>
        <v>4.7145877047268031E-20</v>
      </c>
    </row>
    <row r="1114" spans="1:9">
      <c r="A1114" s="19">
        <f t="shared" si="145"/>
        <v>91.666666666665819</v>
      </c>
      <c r="B1114" s="10">
        <f t="shared" si="141"/>
        <v>1.7300480148171802E-14</v>
      </c>
      <c r="C1114" s="10">
        <f t="shared" si="142"/>
        <v>1.5237482749309325E-5</v>
      </c>
      <c r="D1114" s="10">
        <f t="shared" si="146"/>
        <v>2.2941676115958494</v>
      </c>
      <c r="E1114" s="10">
        <f t="shared" si="147"/>
        <v>0.75145446854733988</v>
      </c>
      <c r="F1114" s="10">
        <f t="shared" si="143"/>
        <v>1.1419513052709128E-2</v>
      </c>
      <c r="G1114" s="66">
        <f t="shared" si="148"/>
        <v>2</v>
      </c>
      <c r="H1114" s="10"/>
      <c r="I1114" s="10">
        <f t="shared" si="144"/>
        <v>1.8336860316705228E-20</v>
      </c>
    </row>
    <row r="1115" spans="1:9">
      <c r="A1115" s="19">
        <f t="shared" si="145"/>
        <v>91.749999999999147</v>
      </c>
      <c r="B1115" s="10">
        <f t="shared" si="141"/>
        <v>1.4281662774050525E-14</v>
      </c>
      <c r="C1115" s="10">
        <f t="shared" si="142"/>
        <v>1.431002459320754E-5</v>
      </c>
      <c r="D1115" s="10">
        <f t="shared" si="146"/>
        <v>2.3080350645441947</v>
      </c>
      <c r="E1115" s="10">
        <f t="shared" si="147"/>
        <v>0.75570273594998327</v>
      </c>
      <c r="F1115" s="10">
        <f t="shared" si="143"/>
        <v>1.1373177320492065E-2</v>
      </c>
      <c r="G1115" s="66">
        <f t="shared" si="148"/>
        <v>4</v>
      </c>
      <c r="H1115" s="10"/>
      <c r="I1115" s="10">
        <f t="shared" si="144"/>
        <v>2.8484759093972537E-20</v>
      </c>
    </row>
    <row r="1116" spans="1:9">
      <c r="A1116" s="19">
        <f t="shared" si="145"/>
        <v>91.833333333332476</v>
      </c>
      <c r="B1116" s="10">
        <f t="shared" si="141"/>
        <v>1.1775951177533517E-14</v>
      </c>
      <c r="C1116" s="10">
        <f t="shared" si="142"/>
        <v>1.3434247626088156E-5</v>
      </c>
      <c r="D1116" s="10">
        <f t="shared" si="146"/>
        <v>2.3219863451226903</v>
      </c>
      <c r="E1116" s="10">
        <f t="shared" si="147"/>
        <v>0.75997502367416525</v>
      </c>
      <c r="F1116" s="10">
        <f t="shared" si="143"/>
        <v>1.132702959980143E-2</v>
      </c>
      <c r="G1116" s="66">
        <f t="shared" si="148"/>
        <v>2</v>
      </c>
      <c r="H1116" s="10"/>
      <c r="I1116" s="10">
        <f t="shared" si="144"/>
        <v>1.1045428465959441E-20</v>
      </c>
    </row>
    <row r="1117" spans="1:9">
      <c r="A1117" s="19">
        <f t="shared" si="145"/>
        <v>91.916666666665805</v>
      </c>
      <c r="B1117" s="10">
        <f t="shared" si="141"/>
        <v>9.6985493626874486E-15</v>
      </c>
      <c r="C1117" s="10">
        <f t="shared" si="142"/>
        <v>1.2607566344020439E-5</v>
      </c>
      <c r="D1117" s="10">
        <f t="shared" si="146"/>
        <v>2.3360219600625638</v>
      </c>
      <c r="E1117" s="10">
        <f t="shared" si="147"/>
        <v>0.76427146753427644</v>
      </c>
      <c r="F1117" s="10">
        <f t="shared" si="143"/>
        <v>1.1281069127763032E-2</v>
      </c>
      <c r="G1117" s="66">
        <f t="shared" si="148"/>
        <v>4</v>
      </c>
      <c r="H1117" s="10"/>
      <c r="I1117" s="10">
        <f t="shared" si="144"/>
        <v>1.7106103453485603E-20</v>
      </c>
    </row>
    <row r="1118" spans="1:9">
      <c r="A1118" s="19">
        <f t="shared" si="145"/>
        <v>91.999999999999133</v>
      </c>
      <c r="B1118" s="10">
        <f t="shared" si="141"/>
        <v>7.9782577928285278E-15</v>
      </c>
      <c r="C1118" s="10">
        <f t="shared" si="142"/>
        <v>1.1827507785114912E-5</v>
      </c>
      <c r="D1118" s="10">
        <f t="shared" si="146"/>
        <v>2.350142419158205</v>
      </c>
      <c r="E1118" s="10">
        <f t="shared" si="147"/>
        <v>0.76859220411262219</v>
      </c>
      <c r="F1118" s="10">
        <f t="shared" si="143"/>
        <v>1.1235295144598119E-2</v>
      </c>
      <c r="G1118" s="66">
        <f t="shared" si="148"/>
        <v>2</v>
      </c>
      <c r="H1118" s="10"/>
      <c r="I1118" s="10">
        <f t="shared" si="144"/>
        <v>6.6129343401196165E-21</v>
      </c>
    </row>
    <row r="1119" spans="1:9">
      <c r="A1119" s="19">
        <f t="shared" si="145"/>
        <v>92.083333333332462</v>
      </c>
      <c r="B1119" s="10">
        <f t="shared" si="141"/>
        <v>6.5553633711096972E-15</v>
      </c>
      <c r="C1119" s="10">
        <f t="shared" si="142"/>
        <v>1.1091707509698429E-5</v>
      </c>
      <c r="D1119" s="10">
        <f t="shared" si="146"/>
        <v>2.3643482352856653</v>
      </c>
      <c r="E1119" s="10">
        <f t="shared" si="147"/>
        <v>0.7729373707637619</v>
      </c>
      <c r="F1119" s="10">
        <f t="shared" si="143"/>
        <v>1.1189706893610809E-2</v>
      </c>
      <c r="G1119" s="66">
        <f t="shared" si="148"/>
        <v>4</v>
      </c>
      <c r="H1119" s="10"/>
      <c r="I1119" s="10">
        <f t="shared" si="144"/>
        <v>1.0210051617019511E-20</v>
      </c>
    </row>
    <row r="1120" spans="1:9">
      <c r="A1120" s="19">
        <f t="shared" si="145"/>
        <v>92.16666666666579</v>
      </c>
      <c r="B1120" s="10">
        <f t="shared" si="141"/>
        <v>5.3798454196436503E-15</v>
      </c>
      <c r="C1120" s="10">
        <f t="shared" si="142"/>
        <v>1.0397905682314473E-5</v>
      </c>
      <c r="D1120" s="10">
        <f t="shared" si="146"/>
        <v>2.3786399244212899</v>
      </c>
      <c r="E1120" s="10">
        <f t="shared" si="147"/>
        <v>0.77730710561888039</v>
      </c>
      <c r="F1120" s="10">
        <f t="shared" si="143"/>
        <v>1.1144303621175583E-2</v>
      </c>
      <c r="G1120" s="66">
        <f t="shared" si="148"/>
        <v>2</v>
      </c>
      <c r="H1120" s="10"/>
      <c r="I1120" s="10">
        <f t="shared" si="144"/>
        <v>3.9348511439177E-21</v>
      </c>
    </row>
    <row r="1121" spans="1:9">
      <c r="A1121" s="19">
        <f t="shared" si="145"/>
        <v>92.249999999999119</v>
      </c>
      <c r="B1121" s="10">
        <f t="shared" si="141"/>
        <v>4.4098521494154352E-15</v>
      </c>
      <c r="C1121" s="10">
        <f t="shared" si="142"/>
        <v>9.7439432547904846E-6</v>
      </c>
      <c r="D1121" s="10">
        <f t="shared" si="146"/>
        <v>2.3930180056604642</v>
      </c>
      <c r="E1121" s="10">
        <f t="shared" si="147"/>
        <v>0.78170154759017341</v>
      </c>
      <c r="F1121" s="10">
        <f t="shared" si="143"/>
        <v>1.1099084576724828E-2</v>
      </c>
      <c r="G1121" s="66">
        <f t="shared" si="148"/>
        <v>4</v>
      </c>
      <c r="H1121" s="10"/>
      <c r="I1121" s="10">
        <f t="shared" si="144"/>
        <v>6.0563545840060961E-21</v>
      </c>
    </row>
    <row r="1122" spans="1:9">
      <c r="A1122" s="19">
        <f t="shared" si="145"/>
        <v>92.333333333332448</v>
      </c>
      <c r="B1122" s="10">
        <f t="shared" si="141"/>
        <v>3.6104083879116696E-15</v>
      </c>
      <c r="C1122" s="10">
        <f t="shared" si="142"/>
        <v>9.1277582495311859E-6</v>
      </c>
      <c r="D1122" s="10">
        <f t="shared" si="146"/>
        <v>2.4074830012364496</v>
      </c>
      <c r="E1122" s="10">
        <f t="shared" si="147"/>
        <v>0.78612083637526931</v>
      </c>
      <c r="F1122" s="10">
        <f t="shared" si="143"/>
        <v>1.1054049012736428E-2</v>
      </c>
      <c r="G1122" s="66">
        <f t="shared" si="148"/>
        <v>2</v>
      </c>
      <c r="H1122" s="10"/>
      <c r="I1122" s="10">
        <f t="shared" si="144"/>
        <v>2.3267669251419853E-21</v>
      </c>
    </row>
    <row r="1123" spans="1:9">
      <c r="A1123" s="19">
        <f t="shared" si="145"/>
        <v>92.416666666665776</v>
      </c>
      <c r="B1123" s="10">
        <f t="shared" si="141"/>
        <v>2.9523207823316856E-15</v>
      </c>
      <c r="C1123" s="10">
        <f t="shared" si="142"/>
        <v>8.5473821421316369E-6</v>
      </c>
      <c r="D1123" s="10">
        <f t="shared" si="146"/>
        <v>2.4220354365393781</v>
      </c>
      <c r="E1123" s="10">
        <f t="shared" si="147"/>
        <v>0.79056511246166428</v>
      </c>
      <c r="F1123" s="10">
        <f t="shared" si="143"/>
        <v>1.1009196184721409E-2</v>
      </c>
      <c r="G1123" s="66">
        <f t="shared" si="148"/>
        <v>4</v>
      </c>
      <c r="H1123" s="10"/>
      <c r="I1123" s="10">
        <f t="shared" si="144"/>
        <v>3.5700064134965359E-21</v>
      </c>
    </row>
    <row r="1124" spans="1:9">
      <c r="A1124" s="19">
        <f t="shared" si="145"/>
        <v>92.499999999999105</v>
      </c>
      <c r="B1124" s="10">
        <f t="shared" si="141"/>
        <v>2.4112514256198838E-15</v>
      </c>
      <c r="C1124" s="10">
        <f t="shared" si="142"/>
        <v>8.0009363423277101E-6</v>
      </c>
      <c r="D1124" s="10">
        <f t="shared" si="146"/>
        <v>2.4366758401353197</v>
      </c>
      <c r="E1124" s="10">
        <f t="shared" si="147"/>
        <v>0.79503451713119433</v>
      </c>
      <c r="F1124" s="10">
        <f t="shared" si="143"/>
        <v>1.0964525351211625E-2</v>
      </c>
      <c r="G1124" s="66">
        <f t="shared" si="148"/>
        <v>2</v>
      </c>
      <c r="H1124" s="10"/>
      <c r="I1124" s="10">
        <f t="shared" si="144"/>
        <v>1.3672110957277913E-21</v>
      </c>
    </row>
    <row r="1125" spans="1:9">
      <c r="A1125" s="19">
        <f t="shared" si="145"/>
        <v>92.583333333332433</v>
      </c>
      <c r="B1125" s="10">
        <f t="shared" si="141"/>
        <v>1.9669349507622287E-15</v>
      </c>
      <c r="C1125" s="10">
        <f t="shared" si="142"/>
        <v>7.4866287722429225E-6</v>
      </c>
      <c r="D1125" s="10">
        <f t="shared" si="146"/>
        <v>2.4514047437854858</v>
      </c>
      <c r="E1125" s="10">
        <f t="shared" si="147"/>
        <v>0.79952919246452048</v>
      </c>
      <c r="F1125" s="10">
        <f t="shared" si="143"/>
        <v>1.0920035773747512E-2</v>
      </c>
      <c r="G1125" s="66">
        <f t="shared" si="148"/>
        <v>4</v>
      </c>
      <c r="H1125" s="10"/>
      <c r="I1125" s="10">
        <f t="shared" si="144"/>
        <v>2.091069622404739E-21</v>
      </c>
    </row>
    <row r="1126" spans="1:9">
      <c r="A1126" s="19">
        <f t="shared" si="145"/>
        <v>92.666666666665762</v>
      </c>
      <c r="B1126" s="10">
        <f t="shared" si="141"/>
        <v>1.6025176855631592E-15</v>
      </c>
      <c r="C1126" s="10">
        <f t="shared" si="142"/>
        <v>7.0027505408219733E-6</v>
      </c>
      <c r="D1126" s="10">
        <f t="shared" si="146"/>
        <v>2.4662226824655291</v>
      </c>
      <c r="E1126" s="10">
        <f t="shared" si="147"/>
        <v>0.8040492813456509</v>
      </c>
      <c r="F1126" s="10">
        <f t="shared" si="143"/>
        <v>1.0875726716865873E-2</v>
      </c>
      <c r="G1126" s="66">
        <f t="shared" si="148"/>
        <v>2</v>
      </c>
      <c r="H1126" s="10"/>
      <c r="I1126" s="10">
        <f t="shared" si="144"/>
        <v>7.9825866211568476E-22</v>
      </c>
    </row>
    <row r="1127" spans="1:9">
      <c r="A1127" s="19">
        <f t="shared" si="145"/>
        <v>92.749999999999091</v>
      </c>
      <c r="B1127" s="10">
        <f t="shared" si="141"/>
        <v>1.3040005257603665E-15</v>
      </c>
      <c r="C1127" s="10">
        <f t="shared" si="142"/>
        <v>6.5476727132887997E-6</v>
      </c>
      <c r="D1127" s="10">
        <f t="shared" si="146"/>
        <v>2.4811301943850004</v>
      </c>
      <c r="E1127" s="10">
        <f t="shared" si="147"/>
        <v>0.80859492746647865</v>
      </c>
      <c r="F1127" s="10">
        <f t="shared" si="143"/>
        <v>1.0831597448087718E-2</v>
      </c>
      <c r="G1127" s="66">
        <f t="shared" si="148"/>
        <v>4</v>
      </c>
      <c r="H1127" s="10"/>
      <c r="I1127" s="10">
        <f t="shared" si="144"/>
        <v>1.2169615121964062E-21</v>
      </c>
    </row>
    <row r="1128" spans="1:9">
      <c r="A1128" s="19">
        <f t="shared" si="145"/>
        <v>92.833333333332419</v>
      </c>
      <c r="B1128" s="10">
        <f t="shared" si="141"/>
        <v>1.0597698307433698E-15</v>
      </c>
      <c r="C1128" s="10">
        <f t="shared" si="142"/>
        <v>6.1198431744066914E-6</v>
      </c>
      <c r="D1128" s="10">
        <f t="shared" si="146"/>
        <v>2.4961278210068789</v>
      </c>
      <c r="E1128" s="10">
        <f t="shared" si="147"/>
        <v>0.81316627533135388</v>
      </c>
      <c r="F1128" s="10">
        <f t="shared" si="143"/>
        <v>1.0787647237906149E-2</v>
      </c>
      <c r="G1128" s="66">
        <f t="shared" si="148"/>
        <v>2</v>
      </c>
      <c r="H1128" s="10"/>
      <c r="I1128" s="10">
        <f t="shared" si="144"/>
        <v>4.6306711637246712E-22</v>
      </c>
    </row>
    <row r="1129" spans="1:9">
      <c r="A1129" s="19">
        <f t="shared" si="145"/>
        <v>92.916666666665748</v>
      </c>
      <c r="B1129" s="10">
        <f t="shared" si="141"/>
        <v>8.602029277056037E-16</v>
      </c>
      <c r="C1129" s="10">
        <f t="shared" si="142"/>
        <v>5.7177835842704977E-6</v>
      </c>
      <c r="D1129" s="10">
        <f t="shared" si="146"/>
        <v>2.5112161070672427</v>
      </c>
      <c r="E1129" s="10">
        <f t="shared" si="147"/>
        <v>0.81776347026167284</v>
      </c>
      <c r="F1129" s="10">
        <f t="shared" si="143"/>
        <v>1.0743875359774344E-2</v>
      </c>
      <c r="G1129" s="66">
        <f t="shared" si="148"/>
        <v>4</v>
      </c>
      <c r="H1129" s="10"/>
      <c r="I1129" s="10">
        <f t="shared" si="144"/>
        <v>7.0365651556564791E-22</v>
      </c>
    </row>
    <row r="1130" spans="1:9">
      <c r="A1130" s="19">
        <f t="shared" si="145"/>
        <v>92.999999999999076</v>
      </c>
      <c r="B1130" s="10">
        <f t="shared" si="141"/>
        <v>6.9733677455670622E-16</v>
      </c>
      <c r="C1130" s="10">
        <f t="shared" si="142"/>
        <v>5.340086425308747E-6</v>
      </c>
      <c r="D1130" s="10">
        <f t="shared" si="146"/>
        <v>2.5263956005950616</v>
      </c>
      <c r="E1130" s="10">
        <f t="shared" si="147"/>
        <v>0.82238665840050273</v>
      </c>
      <c r="F1130" s="10">
        <f t="shared" si="143"/>
        <v>1.0700281090093473E-2</v>
      </c>
      <c r="G1130" s="66">
        <f t="shared" si="148"/>
        <v>2</v>
      </c>
      <c r="H1130" s="10"/>
      <c r="I1130" s="10">
        <f t="shared" si="144"/>
        <v>2.668719609752354E-22</v>
      </c>
    </row>
    <row r="1131" spans="1:9">
      <c r="A1131" s="19">
        <f t="shared" si="145"/>
        <v>93.083333333332405</v>
      </c>
      <c r="B1131" s="10">
        <f t="shared" si="141"/>
        <v>5.6459002121036178E-16</v>
      </c>
      <c r="C1131" s="10">
        <f t="shared" si="142"/>
        <v>4.9854121391328315E-6</v>
      </c>
      <c r="D1131" s="10">
        <f t="shared" si="146"/>
        <v>2.5416668529320812</v>
      </c>
      <c r="E1131" s="10">
        <f t="shared" si="147"/>
        <v>0.82703598671722223</v>
      </c>
      <c r="F1131" s="10">
        <f t="shared" si="143"/>
        <v>1.0656863708200797E-2</v>
      </c>
      <c r="G1131" s="66">
        <f t="shared" si="148"/>
        <v>4</v>
      </c>
      <c r="H1131" s="10"/>
      <c r="I1131" s="10">
        <f t="shared" si="144"/>
        <v>4.0419074999723751E-22</v>
      </c>
    </row>
    <row r="1132" spans="1:9">
      <c r="A1132" s="19">
        <f t="shared" si="145"/>
        <v>93.166666666665733</v>
      </c>
      <c r="B1132" s="10">
        <f t="shared" si="141"/>
        <v>4.5653015961696772E-16</v>
      </c>
      <c r="C1132" s="10">
        <f t="shared" si="142"/>
        <v>4.6524863518239988E-6</v>
      </c>
      <c r="D1132" s="10">
        <f t="shared" si="146"/>
        <v>2.5570304187528774</v>
      </c>
      <c r="E1132" s="10">
        <f t="shared" si="147"/>
        <v>0.83171160301219904</v>
      </c>
      <c r="F1132" s="10">
        <f t="shared" si="143"/>
        <v>1.0613622496357725E-2</v>
      </c>
      <c r="G1132" s="66">
        <f t="shared" si="148"/>
        <v>2</v>
      </c>
      <c r="H1132" s="10"/>
      <c r="I1132" s="10">
        <f t="shared" si="144"/>
        <v>1.5278711193652178E-22</v>
      </c>
    </row>
    <row r="1133" spans="1:9">
      <c r="A1133" s="19">
        <f t="shared" si="145"/>
        <v>93.249999999999062</v>
      </c>
      <c r="B1133" s="10">
        <f t="shared" si="141"/>
        <v>3.686786971722207E-16</v>
      </c>
      <c r="C1133" s="10">
        <f t="shared" si="142"/>
        <v>4.3400971862155986E-6</v>
      </c>
      <c r="D1133" s="10">
        <f t="shared" si="146"/>
        <v>2.5724868560849852</v>
      </c>
      <c r="E1133" s="10">
        <f t="shared" si="147"/>
        <v>0.83641365592148265</v>
      </c>
      <c r="F1133" s="10">
        <f t="shared" si="143"/>
        <v>1.0570556739737958E-2</v>
      </c>
      <c r="G1133" s="66">
        <f t="shared" si="148"/>
        <v>4</v>
      </c>
      <c r="H1133" s="10"/>
      <c r="I1133" s="10">
        <f t="shared" si="144"/>
        <v>2.3063206015910831E-22</v>
      </c>
    </row>
    <row r="1134" spans="1:9">
      <c r="A1134" s="19">
        <f t="shared" si="145"/>
        <v>93.333333333332391</v>
      </c>
      <c r="B1134" s="10">
        <f t="shared" si="141"/>
        <v>2.9734835389458685E-16</v>
      </c>
      <c r="C1134" s="10">
        <f t="shared" si="142"/>
        <v>4.047092659688052E-6</v>
      </c>
      <c r="D1134" s="10">
        <f t="shared" si="146"/>
        <v>2.5880367263291695</v>
      </c>
      <c r="E1134" s="10">
        <f t="shared" si="147"/>
        <v>0.84114229492153514</v>
      </c>
      <c r="F1134" s="10">
        <f t="shared" si="143"/>
        <v>1.0527665726415673E-2</v>
      </c>
      <c r="G1134" s="66">
        <f t="shared" si="148"/>
        <v>2</v>
      </c>
      <c r="H1134" s="10"/>
      <c r="I1134" s="10">
        <f t="shared" si="144"/>
        <v>8.6888225356270149E-23</v>
      </c>
    </row>
    <row r="1135" spans="1:9">
      <c r="A1135" s="19">
        <f t="shared" si="145"/>
        <v>93.416666666665719</v>
      </c>
      <c r="B1135" s="10">
        <f t="shared" si="141"/>
        <v>2.395071954240072E-16</v>
      </c>
      <c r="C1135" s="10">
        <f t="shared" si="142"/>
        <v>3.772378165966465E-6</v>
      </c>
      <c r="D1135" s="10">
        <f t="shared" si="146"/>
        <v>2.603680594279822</v>
      </c>
      <c r="E1135" s="10">
        <f t="shared" si="147"/>
        <v>0.84589767033397789</v>
      </c>
      <c r="F1135" s="10">
        <f t="shared" si="143"/>
        <v>1.0484948747353747E-2</v>
      </c>
      <c r="G1135" s="66">
        <f t="shared" si="148"/>
        <v>4</v>
      </c>
      <c r="H1135" s="10"/>
      <c r="I1135" s="10">
        <f t="shared" si="144"/>
        <v>1.3071520062081118E-22</v>
      </c>
    </row>
    <row r="1136" spans="1:9">
      <c r="A1136" s="19">
        <f t="shared" si="145"/>
        <v>93.499999999999048</v>
      </c>
      <c r="B1136" s="10">
        <f t="shared" si="141"/>
        <v>1.9266539269592921E-16</v>
      </c>
      <c r="C1136" s="10">
        <f t="shared" si="142"/>
        <v>3.5149140393782758E-6</v>
      </c>
      <c r="D1136" s="10">
        <f t="shared" si="146"/>
        <v>2.6194190281454595</v>
      </c>
      <c r="E1136" s="10">
        <f t="shared" si="147"/>
        <v>0.85067993333037417</v>
      </c>
      <c r="F1136" s="10">
        <f t="shared" si="143"/>
        <v>1.0442405096392051E-2</v>
      </c>
      <c r="G1136" s="66">
        <f t="shared" si="148"/>
        <v>2</v>
      </c>
      <c r="H1136" s="10"/>
      <c r="I1136" s="10">
        <f t="shared" si="144"/>
        <v>4.9078447175427193E-23</v>
      </c>
    </row>
    <row r="1137" spans="1:9">
      <c r="A1137" s="19">
        <f t="shared" si="145"/>
        <v>93.583333333332376</v>
      </c>
      <c r="B1137" s="10">
        <f t="shared" si="141"/>
        <v>1.5478096356273805E-16</v>
      </c>
      <c r="C1137" s="10">
        <f t="shared" si="142"/>
        <v>3.2737132000057193E-6</v>
      </c>
      <c r="D1137" s="10">
        <f t="shared" si="146"/>
        <v>2.635252599569383</v>
      </c>
      <c r="E1137" s="10">
        <f t="shared" si="147"/>
        <v>0.85548923593703385</v>
      </c>
      <c r="F1137" s="10">
        <f t="shared" si="143"/>
        <v>1.0400034070235752E-2</v>
      </c>
      <c r="G1137" s="66">
        <f t="shared" si="148"/>
        <v>4</v>
      </c>
      <c r="H1137" s="10"/>
      <c r="I1137" s="10">
        <f t="shared" si="144"/>
        <v>7.3581842728980316E-23</v>
      </c>
    </row>
    <row r="1138" spans="1:9">
      <c r="A1138" s="19">
        <f t="shared" si="145"/>
        <v>93.666666666665705</v>
      </c>
      <c r="B1138" s="10">
        <f t="shared" si="141"/>
        <v>1.2418141770462021E-16</v>
      </c>
      <c r="C1138" s="10">
        <f t="shared" si="142"/>
        <v>3.0478388781429809E-6</v>
      </c>
      <c r="D1138" s="10">
        <f t="shared" si="146"/>
        <v>2.6511818836504299</v>
      </c>
      <c r="E1138" s="10">
        <f t="shared" si="147"/>
        <v>0.86032573103984267</v>
      </c>
      <c r="F1138" s="10">
        <f t="shared" si="143"/>
        <v>1.0357834968443714E-2</v>
      </c>
      <c r="G1138" s="66">
        <f t="shared" si="148"/>
        <v>2</v>
      </c>
      <c r="H1138" s="10"/>
      <c r="I1138" s="10">
        <f t="shared" si="144"/>
        <v>2.7532219006795805E-23</v>
      </c>
    </row>
    <row r="1139" spans="1:9">
      <c r="A1139" s="19">
        <f t="shared" si="145"/>
        <v>93.749999999999034</v>
      </c>
      <c r="B1139" s="10">
        <f t="shared" si="141"/>
        <v>9.9498707801883301E-17</v>
      </c>
      <c r="C1139" s="10">
        <f t="shared" si="142"/>
        <v>2.8364024164489621E-6</v>
      </c>
      <c r="D1139" s="10">
        <f t="shared" si="146"/>
        <v>2.6672074589638664</v>
      </c>
      <c r="E1139" s="10">
        <f t="shared" si="147"/>
        <v>0.86518957238912908</v>
      </c>
      <c r="F1139" s="10">
        <f t="shared" si="143"/>
        <v>1.0315807093416901E-2</v>
      </c>
      <c r="G1139" s="66">
        <f t="shared" si="148"/>
        <v>4</v>
      </c>
      <c r="H1139" s="10"/>
      <c r="I1139" s="10">
        <f t="shared" si="144"/>
        <v>4.1135615687614765E-23</v>
      </c>
    </row>
    <row r="1140" spans="1:9">
      <c r="A1140" s="19">
        <f t="shared" si="145"/>
        <v>93.833333333332362</v>
      </c>
      <c r="B1140" s="10">
        <f t="shared" si="141"/>
        <v>7.9615299167998432E-17</v>
      </c>
      <c r="C1140" s="10">
        <f t="shared" si="142"/>
        <v>2.6385611481702262E-6</v>
      </c>
      <c r="D1140" s="10">
        <f t="shared" si="146"/>
        <v>2.6833299075823853</v>
      </c>
      <c r="E1140" s="10">
        <f t="shared" si="147"/>
        <v>0.87008091460454484</v>
      </c>
      <c r="F1140" s="10">
        <f t="shared" si="143"/>
        <v>1.0273949750386844E-2</v>
      </c>
      <c r="G1140" s="66">
        <f t="shared" si="148"/>
        <v>2</v>
      </c>
      <c r="H1140" s="10"/>
      <c r="I1140" s="10">
        <f t="shared" si="144"/>
        <v>1.5338276001421051E-23</v>
      </c>
    </row>
    <row r="1141" spans="1:9">
      <c r="A1141" s="19">
        <f t="shared" si="145"/>
        <v>93.916666666665691</v>
      </c>
      <c r="B1141" s="10">
        <f t="shared" si="141"/>
        <v>6.3619517278177046E-17</v>
      </c>
      <c r="C1141" s="10">
        <f t="shared" si="142"/>
        <v>2.4535163497931132E-6</v>
      </c>
      <c r="D1141" s="10">
        <f t="shared" si="146"/>
        <v>2.6995498150972761</v>
      </c>
      <c r="E1141" s="10">
        <f t="shared" si="147"/>
        <v>0.87499991317998693</v>
      </c>
      <c r="F1141" s="10">
        <f t="shared" si="143"/>
        <v>1.0232262247404171E-2</v>
      </c>
      <c r="G1141" s="66">
        <f t="shared" si="148"/>
        <v>4</v>
      </c>
      <c r="H1141" s="10"/>
      <c r="I1141" s="10">
        <f t="shared" si="144"/>
        <v>2.2836646160384356E-23</v>
      </c>
    </row>
    <row r="1142" spans="1:9">
      <c r="A1142" s="19">
        <f t="shared" si="145"/>
        <v>93.999999999999019</v>
      </c>
      <c r="B1142" s="10">
        <f t="shared" si="141"/>
        <v>5.0768626857102087E-17</v>
      </c>
      <c r="C1142" s="10">
        <f t="shared" si="142"/>
        <v>2.2805112664743499E-6</v>
      </c>
      <c r="D1142" s="10">
        <f t="shared" si="146"/>
        <v>2.7158677706396768</v>
      </c>
      <c r="E1142" s="10">
        <f t="shared" si="147"/>
        <v>0.87994672448853417</v>
      </c>
      <c r="F1142" s="10">
        <f t="shared" si="143"/>
        <v>1.0190743895327153E-2</v>
      </c>
      <c r="G1142" s="66">
        <f t="shared" si="148"/>
        <v>2</v>
      </c>
      <c r="H1142" s="10"/>
      <c r="I1142" s="10">
        <f t="shared" si="144"/>
        <v>8.4851749500817184E-24</v>
      </c>
    </row>
    <row r="1143" spans="1:9">
      <c r="A1143" s="19">
        <f t="shared" si="145"/>
        <v>94.083333333332348</v>
      </c>
      <c r="B1143" s="10">
        <f t="shared" si="141"/>
        <v>4.0458345159811033E-17</v>
      </c>
      <c r="C1143" s="10">
        <f t="shared" si="142"/>
        <v>2.1188292085890788E-6</v>
      </c>
      <c r="D1143" s="10">
        <f t="shared" si="146"/>
        <v>2.7322843669019727</v>
      </c>
      <c r="E1143" s="10">
        <f t="shared" si="147"/>
        <v>0.88492150578742468</v>
      </c>
      <c r="F1143" s="10">
        <f t="shared" si="143"/>
        <v>1.0149394007810319E-2</v>
      </c>
      <c r="G1143" s="66">
        <f t="shared" si="148"/>
        <v>4</v>
      </c>
      <c r="H1143" s="10"/>
      <c r="I1143" s="10">
        <f t="shared" si="144"/>
        <v>1.2588598934849547E-23</v>
      </c>
    </row>
    <row r="1144" spans="1:9">
      <c r="A1144" s="19">
        <f t="shared" si="145"/>
        <v>94.166666666665677</v>
      </c>
      <c r="B1144" s="10">
        <f t="shared" si="141"/>
        <v>3.2197702460698449E-17</v>
      </c>
      <c r="C1144" s="10">
        <f t="shared" si="142"/>
        <v>1.9677917177303537E-6</v>
      </c>
      <c r="D1144" s="10">
        <f t="shared" si="146"/>
        <v>2.7488002001593337</v>
      </c>
      <c r="E1144" s="10">
        <f t="shared" si="147"/>
        <v>0.8899244152230491</v>
      </c>
      <c r="F1144" s="10">
        <f t="shared" si="143"/>
        <v>1.0108211901293098E-2</v>
      </c>
      <c r="G1144" s="66">
        <f t="shared" si="148"/>
        <v>2</v>
      </c>
      <c r="H1144" s="10"/>
      <c r="I1144" s="10">
        <f t="shared" si="144"/>
        <v>4.6607685100580756E-24</v>
      </c>
    </row>
    <row r="1145" spans="1:9">
      <c r="A1145" s="19">
        <f t="shared" si="145"/>
        <v>94.249999999999005</v>
      </c>
      <c r="B1145" s="10">
        <f t="shared" si="141"/>
        <v>2.5588340290207315E-17</v>
      </c>
      <c r="C1145" s="10">
        <f t="shared" si="142"/>
        <v>1.8267568004893504E-6</v>
      </c>
      <c r="D1145" s="10">
        <f t="shared" si="146"/>
        <v>2.7654158702913492</v>
      </c>
      <c r="E1145" s="10">
        <f t="shared" si="147"/>
        <v>0.89495561183598316</v>
      </c>
      <c r="F1145" s="10">
        <f t="shared" si="143"/>
        <v>1.0067196894988556E-2</v>
      </c>
      <c r="G1145" s="66">
        <f t="shared" si="148"/>
        <v>4</v>
      </c>
      <c r="H1145" s="10"/>
      <c r="I1145" s="10">
        <f t="shared" si="144"/>
        <v>6.8899578882053508E-24</v>
      </c>
    </row>
    <row r="1146" spans="1:9">
      <c r="A1146" s="19">
        <f t="shared" si="145"/>
        <v>94.333333333332334</v>
      </c>
      <c r="B1146" s="10">
        <f t="shared" si="141"/>
        <v>2.0307487548536439E-17</v>
      </c>
      <c r="C1146" s="10">
        <f t="shared" si="142"/>
        <v>1.6951172283450646E-6</v>
      </c>
      <c r="D1146" s="10">
        <f t="shared" si="146"/>
        <v>2.7821319808038472</v>
      </c>
      <c r="E1146" s="10">
        <f t="shared" si="147"/>
        <v>0.90001525556603945</v>
      </c>
      <c r="F1146" s="10">
        <f t="shared" si="143"/>
        <v>1.0026348310872095E-2</v>
      </c>
      <c r="G1146" s="66">
        <f t="shared" si="148"/>
        <v>2</v>
      </c>
      <c r="H1146" s="10"/>
      <c r="I1146" s="10">
        <f t="shared" si="144"/>
        <v>2.541732647706645E-24</v>
      </c>
    </row>
    <row r="1147" spans="1:9">
      <c r="A1147" s="19">
        <f t="shared" si="145"/>
        <v>94.416666666665662</v>
      </c>
      <c r="B1147" s="10">
        <f t="shared" si="141"/>
        <v>1.609398049820008E-17</v>
      </c>
      <c r="C1147" s="10">
        <f t="shared" si="142"/>
        <v>1.5722989019923585E-6</v>
      </c>
      <c r="D1147" s="10">
        <f t="shared" si="146"/>
        <v>2.7989491388507939</v>
      </c>
      <c r="E1147" s="10">
        <f t="shared" si="147"/>
        <v>0.90510350725735234</v>
      </c>
      <c r="F1147" s="10">
        <f t="shared" si="143"/>
        <v>9.9856654736702605E-3</v>
      </c>
      <c r="G1147" s="66">
        <f t="shared" si="148"/>
        <v>4</v>
      </c>
      <c r="H1147" s="10"/>
      <c r="I1147" s="10">
        <f t="shared" si="144"/>
        <v>3.7438008343485291E-24</v>
      </c>
    </row>
    <row r="1148" spans="1:9">
      <c r="A1148" s="19">
        <f t="shared" si="145"/>
        <v>94.499999999998991</v>
      </c>
      <c r="B1148" s="10">
        <f t="shared" si="141"/>
        <v>1.2736798403001799E-17</v>
      </c>
      <c r="C1148" s="10">
        <f t="shared" si="142"/>
        <v>1.4577592784413627E-6</v>
      </c>
      <c r="D1148" s="10">
        <f t="shared" si="146"/>
        <v>2.8158679552563588</v>
      </c>
      <c r="E1148" s="10">
        <f t="shared" si="147"/>
        <v>0.91022052866349734</v>
      </c>
      <c r="F1148" s="10">
        <f t="shared" si="143"/>
        <v>9.9451477108495959E-3</v>
      </c>
      <c r="G1148" s="66">
        <f t="shared" si="148"/>
        <v>2</v>
      </c>
      <c r="H1148" s="10"/>
      <c r="I1148" s="10">
        <f t="shared" si="144"/>
        <v>1.3760698729251506E-24</v>
      </c>
    </row>
    <row r="1149" spans="1:9">
      <c r="A1149" s="19">
        <f t="shared" si="145"/>
        <v>94.58333333333232</v>
      </c>
      <c r="B1149" s="10">
        <f t="shared" si="141"/>
        <v>1.0065675324793049E-17</v>
      </c>
      <c r="C1149" s="10">
        <f t="shared" si="142"/>
        <v>1.3509858592253047E-6</v>
      </c>
      <c r="D1149" s="10">
        <f t="shared" si="146"/>
        <v>2.8328890445370765</v>
      </c>
      <c r="E1149" s="10">
        <f t="shared" si="147"/>
        <v>0.91536648245262298</v>
      </c>
      <c r="F1149" s="10">
        <f t="shared" si="143"/>
        <v>9.9047943526055036E-3</v>
      </c>
      <c r="G1149" s="66">
        <f t="shared" si="148"/>
        <v>4</v>
      </c>
      <c r="H1149" s="10"/>
      <c r="I1149" s="10">
        <f t="shared" si="144"/>
        <v>2.0194279621645685E-24</v>
      </c>
    </row>
    <row r="1150" spans="1:9">
      <c r="A1150" s="19">
        <f t="shared" si="145"/>
        <v>94.666666666665648</v>
      </c>
      <c r="B1150" s="10">
        <f t="shared" si="141"/>
        <v>7.9434229441725834E-18</v>
      </c>
      <c r="C1150" s="10">
        <f t="shared" si="142"/>
        <v>1.2514947380625608E-6</v>
      </c>
      <c r="D1150" s="10">
        <f t="shared" si="146"/>
        <v>2.8500130249242019</v>
      </c>
      <c r="E1150" s="10">
        <f t="shared" si="147"/>
        <v>0.92054153221262924</v>
      </c>
      <c r="F1150" s="10">
        <f t="shared" si="143"/>
        <v>9.8646047318511811E-3</v>
      </c>
      <c r="G1150" s="66">
        <f t="shared" si="148"/>
        <v>2</v>
      </c>
      <c r="H1150" s="10"/>
      <c r="I1150" s="10">
        <f t="shared" si="144"/>
        <v>7.3952290148398278E-25</v>
      </c>
    </row>
    <row r="1151" spans="1:9">
      <c r="A1151" s="19">
        <f t="shared" si="145"/>
        <v>94.749999999998977</v>
      </c>
      <c r="B1151" s="10">
        <f t="shared" si="141"/>
        <v>6.2596614802568101E-18</v>
      </c>
      <c r="C1151" s="10">
        <f t="shared" si="142"/>
        <v>1.1588292063265103E-6</v>
      </c>
      <c r="D1151" s="10">
        <f t="shared" si="146"/>
        <v>2.8672405183861405</v>
      </c>
      <c r="E1151" s="10">
        <f t="shared" si="147"/>
        <v>0.92574584245636415</v>
      </c>
      <c r="F1151" s="10">
        <f t="shared" si="143"/>
        <v>9.8245781842065949E-3</v>
      </c>
      <c r="G1151" s="66">
        <f t="shared" si="148"/>
        <v>4</v>
      </c>
      <c r="H1151" s="10"/>
      <c r="I1151" s="10">
        <f t="shared" si="144"/>
        <v>1.0812483685856402E-24</v>
      </c>
    </row>
    <row r="1152" spans="1:9">
      <c r="A1152" s="19">
        <f t="shared" si="145"/>
        <v>94.833333333332305</v>
      </c>
      <c r="B1152" s="10">
        <f t="shared" si="141"/>
        <v>4.9257077563422911E-18</v>
      </c>
      <c r="C1152" s="10">
        <f t="shared" si="142"/>
        <v>1.072558414689308E-6</v>
      </c>
      <c r="D1152" s="10">
        <f t="shared" si="146"/>
        <v>2.8845721506510484</v>
      </c>
      <c r="E1152" s="10">
        <f t="shared" si="147"/>
        <v>0.93097957862685976</v>
      </c>
      <c r="F1152" s="10">
        <f t="shared" si="143"/>
        <v>9.7847140479874958E-3</v>
      </c>
      <c r="G1152" s="66">
        <f t="shared" si="148"/>
        <v>2</v>
      </c>
      <c r="H1152" s="10"/>
      <c r="I1152" s="10">
        <f t="shared" si="144"/>
        <v>3.9448007822511616E-25</v>
      </c>
    </row>
    <row r="1153" spans="1:9">
      <c r="A1153" s="19">
        <f t="shared" si="145"/>
        <v>94.916666666665634</v>
      </c>
      <c r="B1153" s="10">
        <f t="shared" si="141"/>
        <v>3.8704128141570314E-18</v>
      </c>
      <c r="C1153" s="10">
        <f t="shared" si="142"/>
        <v>9.9227608931727206E-7</v>
      </c>
      <c r="D1153" s="10">
        <f t="shared" si="146"/>
        <v>2.9020085512295615</v>
      </c>
      <c r="E1153" s="10">
        <f t="shared" si="147"/>
        <v>0.93624290710258273</v>
      </c>
      <c r="F1153" s="10">
        <f t="shared" si="143"/>
        <v>9.7450116641944733E-3</v>
      </c>
      <c r="G1153" s="66">
        <f t="shared" si="148"/>
        <v>4</v>
      </c>
      <c r="H1153" s="10"/>
      <c r="I1153" s="10">
        <f t="shared" si="144"/>
        <v>5.745999626973324E-25</v>
      </c>
    </row>
    <row r="1154" spans="1:9">
      <c r="A1154" s="19">
        <f t="shared" si="145"/>
        <v>94.999999999998963</v>
      </c>
      <c r="B1154" s="10">
        <f t="shared" si="141"/>
        <v>3.0367775947125409E-18</v>
      </c>
      <c r="C1154" s="10">
        <f t="shared" si="142"/>
        <v>9.1759930101124163E-7</v>
      </c>
      <c r="D1154" s="10">
        <f t="shared" si="146"/>
        <v>2.9195503534376419</v>
      </c>
      <c r="E1154" s="10">
        <f t="shared" si="147"/>
        <v>0.94153599520272746</v>
      </c>
      <c r="F1154" s="10">
        <f t="shared" si="143"/>
        <v>9.7054703765020751E-3</v>
      </c>
      <c r="G1154" s="66">
        <f t="shared" si="148"/>
        <v>2</v>
      </c>
      <c r="H1154" s="10"/>
      <c r="I1154" s="10">
        <f t="shared" si="144"/>
        <v>2.0884407509516493E-25</v>
      </c>
    </row>
    <row r="1155" spans="1:9">
      <c r="A1155" s="19">
        <f t="shared" si="145"/>
        <v>95.083333333332291</v>
      </c>
      <c r="B1155" s="10">
        <f t="shared" si="141"/>
        <v>2.3792052434366951E-18</v>
      </c>
      <c r="C1155" s="10">
        <f t="shared" si="142"/>
        <v>8.4816728570045411E-7</v>
      </c>
      <c r="D1155" s="10">
        <f t="shared" si="146"/>
        <v>2.9371981944196102</v>
      </c>
      <c r="E1155" s="10">
        <f t="shared" si="147"/>
        <v>0.94685901119254035</v>
      </c>
      <c r="F1155" s="10">
        <f t="shared" si="143"/>
        <v>9.6660895312479476E-3</v>
      </c>
      <c r="G1155" s="66">
        <f t="shared" si="148"/>
        <v>4</v>
      </c>
      <c r="H1155" s="10"/>
      <c r="I1155" s="10">
        <f t="shared" si="144"/>
        <v>3.030469017114433E-25</v>
      </c>
    </row>
    <row r="1156" spans="1:9">
      <c r="A1156" s="19">
        <f t="shared" si="145"/>
        <v>95.16666666666562</v>
      </c>
      <c r="B1156" s="10">
        <f t="shared" si="141"/>
        <v>1.8612735463332516E-18</v>
      </c>
      <c r="C1156" s="10">
        <f t="shared" si="142"/>
        <v>7.8364031471683363E-7</v>
      </c>
      <c r="D1156" s="10">
        <f t="shared" si="146"/>
        <v>2.954952715171268</v>
      </c>
      <c r="E1156" s="10">
        <f t="shared" si="147"/>
        <v>0.9522121242886592</v>
      </c>
      <c r="F1156" s="10">
        <f t="shared" si="143"/>
        <v>9.6268684774220292E-3</v>
      </c>
      <c r="G1156" s="66">
        <f t="shared" si="148"/>
        <v>2</v>
      </c>
      <c r="H1156" s="10"/>
      <c r="I1156" s="10">
        <f t="shared" si="144"/>
        <v>1.0972453360689794E-25</v>
      </c>
    </row>
    <row r="1157" spans="1:9">
      <c r="A1157" s="19">
        <f t="shared" si="145"/>
        <v>95.249999999998948</v>
      </c>
      <c r="B1157" s="10">
        <f t="shared" si="141"/>
        <v>1.45393169420227E-18</v>
      </c>
      <c r="C1157" s="10">
        <f t="shared" si="142"/>
        <v>7.2369861329516059E-7</v>
      </c>
      <c r="D1157" s="10">
        <f t="shared" si="146"/>
        <v>2.9728145605631897</v>
      </c>
      <c r="E1157" s="10">
        <f t="shared" si="147"/>
        <v>0.95759550466449872</v>
      </c>
      <c r="F1157" s="10">
        <f t="shared" si="143"/>
        <v>9.5878065666558012E-3</v>
      </c>
      <c r="G1157" s="66">
        <f t="shared" si="148"/>
        <v>4</v>
      </c>
      <c r="H1157" s="10"/>
      <c r="I1157" s="10">
        <f t="shared" si="144"/>
        <v>1.5860572610404814E-25</v>
      </c>
    </row>
    <row r="1158" spans="1:9">
      <c r="A1158" s="19">
        <f t="shared" si="145"/>
        <v>95.333333333332277</v>
      </c>
      <c r="B1158" s="10">
        <f t="shared" si="141"/>
        <v>1.1340427047069181E-18</v>
      </c>
      <c r="C1158" s="10">
        <f t="shared" si="142"/>
        <v>6.6804132576492685E-7</v>
      </c>
      <c r="D1158" s="10">
        <f t="shared" si="146"/>
        <v>2.9907843793641247</v>
      </c>
      <c r="E1158" s="10">
        <f t="shared" si="147"/>
        <v>0.96300932345565726</v>
      </c>
      <c r="F1158" s="10">
        <f t="shared" si="143"/>
        <v>9.5489031532115503E-3</v>
      </c>
      <c r="G1158" s="66">
        <f t="shared" si="148"/>
        <v>2</v>
      </c>
      <c r="H1158" s="10"/>
      <c r="I1158" s="10">
        <f t="shared" si="144"/>
        <v>5.7204504489645677E-26</v>
      </c>
    </row>
    <row r="1159" spans="1:9">
      <c r="A1159" s="19">
        <f t="shared" si="145"/>
        <v>95.416666666665606</v>
      </c>
      <c r="B1159" s="10">
        <f t="shared" si="141"/>
        <v>8.8320699762059569E-19</v>
      </c>
      <c r="C1159" s="10">
        <f t="shared" si="142"/>
        <v>6.1638552592159201E-7</v>
      </c>
      <c r="D1159" s="10">
        <f t="shared" si="146"/>
        <v>3.0088628242645927</v>
      </c>
      <c r="E1159" s="10">
        <f t="shared" si="147"/>
        <v>0.96845375276536372</v>
      </c>
      <c r="F1159" s="10">
        <f t="shared" si="143"/>
        <v>9.5101575939717086E-3</v>
      </c>
      <c r="G1159" s="66">
        <f t="shared" si="148"/>
        <v>4</v>
      </c>
      <c r="H1159" s="10"/>
      <c r="I1159" s="10">
        <f t="shared" si="144"/>
        <v>8.2366914733247167E-26</v>
      </c>
    </row>
    <row r="1160" spans="1:9">
      <c r="A1160" s="19">
        <f t="shared" si="145"/>
        <v>95.499999999998934</v>
      </c>
      <c r="B1160" s="10">
        <f t="shared" si="141"/>
        <v>6.8681431307608293E-19</v>
      </c>
      <c r="C1160" s="10">
        <f t="shared" si="142"/>
        <v>5.6846527108705514E-7</v>
      </c>
      <c r="D1160" s="10">
        <f t="shared" si="146"/>
        <v>3.0270505519005697</v>
      </c>
      <c r="E1160" s="10">
        <f t="shared" si="147"/>
        <v>0.9739289656699387</v>
      </c>
      <c r="F1160" s="10">
        <f t="shared" si="143"/>
        <v>9.4715692484282112E-3</v>
      </c>
      <c r="G1160" s="66">
        <f t="shared" si="148"/>
        <v>2</v>
      </c>
      <c r="H1160" s="10"/>
      <c r="I1160" s="10">
        <f t="shared" si="144"/>
        <v>2.9591129152626345E-26</v>
      </c>
    </row>
    <row r="1161" spans="1:9">
      <c r="A1161" s="19">
        <f t="shared" si="145"/>
        <v>95.583333333332263</v>
      </c>
      <c r="B1161" s="10">
        <f t="shared" si="141"/>
        <v>5.3328080240987643E-19</v>
      </c>
      <c r="C1161" s="10">
        <f t="shared" si="142"/>
        <v>5.2403069839348932E-7</v>
      </c>
      <c r="D1161" s="10">
        <f t="shared" si="146"/>
        <v>3.0453482228773412</v>
      </c>
      <c r="E1161" s="10">
        <f t="shared" si="147"/>
        <v>0.97943513622430312</v>
      </c>
      <c r="F1161" s="10">
        <f t="shared" si="143"/>
        <v>9.4331374786719314E-3</v>
      </c>
      <c r="G1161" s="66">
        <f t="shared" si="148"/>
        <v>4</v>
      </c>
      <c r="H1161" s="10"/>
      <c r="I1161" s="10">
        <f t="shared" si="144"/>
        <v>4.2439605961119615E-26</v>
      </c>
    </row>
    <row r="1162" spans="1:9">
      <c r="A1162" s="19">
        <f t="shared" si="145"/>
        <v>95.666666666665591</v>
      </c>
      <c r="B1162" s="10">
        <f t="shared" si="141"/>
        <v>4.1343605510071006E-19</v>
      </c>
      <c r="C1162" s="10">
        <f t="shared" si="142"/>
        <v>4.828471618488E-7</v>
      </c>
      <c r="D1162" s="10">
        <f t="shared" si="146"/>
        <v>3.0637565017935064</v>
      </c>
      <c r="E1162" s="10">
        <f t="shared" si="147"/>
        <v>0.98497243946750812</v>
      </c>
      <c r="F1162" s="10">
        <f t="shared" si="143"/>
        <v>9.3948616493821011E-3</v>
      </c>
      <c r="G1162" s="66">
        <f t="shared" si="148"/>
        <v>2</v>
      </c>
      <c r="H1162" s="10"/>
      <c r="I1162" s="10">
        <f t="shared" si="144"/>
        <v>1.5186479835284324E-26</v>
      </c>
    </row>
    <row r="1163" spans="1:9">
      <c r="A1163" s="19">
        <f t="shared" si="145"/>
        <v>95.74999999999892</v>
      </c>
      <c r="B1163" s="10">
        <f t="shared" si="141"/>
        <v>3.2003134514775699E-19</v>
      </c>
      <c r="C1163" s="10">
        <f t="shared" si="142"/>
        <v>4.4469440876802732E-7</v>
      </c>
      <c r="D1163" s="10">
        <f t="shared" si="146"/>
        <v>3.0822760572650902</v>
      </c>
      <c r="E1163" s="10">
        <f t="shared" si="147"/>
        <v>0.99054105142830617</v>
      </c>
      <c r="F1163" s="10">
        <f t="shared" si="143"/>
        <v>9.3567411278158291E-3</v>
      </c>
      <c r="G1163" s="66">
        <f t="shared" si="148"/>
        <v>4</v>
      </c>
      <c r="H1163" s="10"/>
      <c r="I1163" s="10">
        <f t="shared" si="144"/>
        <v>2.1693703479596612E-26</v>
      </c>
    </row>
    <row r="1164" spans="1:9">
      <c r="A1164" s="19">
        <f t="shared" si="145"/>
        <v>95.833333333332249</v>
      </c>
      <c r="B1164" s="10">
        <f t="shared" si="141"/>
        <v>2.4734572975645678E-19</v>
      </c>
      <c r="C1164" s="10">
        <f t="shared" si="142"/>
        <v>4.0936579418093779E-7</v>
      </c>
      <c r="D1164" s="10">
        <f t="shared" si="146"/>
        <v>3.1009075619498665</v>
      </c>
      <c r="E1164" s="10">
        <f t="shared" si="147"/>
        <v>0.99614114913073648</v>
      </c>
      <c r="F1164" s="10">
        <f t="shared" si="143"/>
        <v>9.3187752837976378E-3</v>
      </c>
      <c r="G1164" s="66">
        <f t="shared" si="148"/>
        <v>2</v>
      </c>
      <c r="H1164" s="10"/>
      <c r="I1164" s="10">
        <f t="shared" si="144"/>
        <v>7.731716659337937E-27</v>
      </c>
    </row>
    <row r="1165" spans="1:9">
      <c r="A1165" s="19">
        <f t="shared" si="145"/>
        <v>95.916666666665577</v>
      </c>
      <c r="B1165" s="10">
        <f t="shared" si="141"/>
        <v>1.9087101563256883E-19</v>
      </c>
      <c r="C1165" s="10">
        <f t="shared" si="142"/>
        <v>3.7666753185353142E-7</v>
      </c>
      <c r="D1165" s="10">
        <f t="shared" si="146"/>
        <v>3.1196516925717623</v>
      </c>
      <c r="E1165" s="10">
        <f t="shared" si="147"/>
        <v>1.0017729105997601</v>
      </c>
      <c r="F1165" s="10">
        <f t="shared" si="143"/>
        <v>9.2809634897090456E-3</v>
      </c>
      <c r="G1165" s="66">
        <f t="shared" si="148"/>
        <v>4</v>
      </c>
      <c r="H1165" s="10"/>
      <c r="I1165" s="10">
        <f t="shared" si="144"/>
        <v>1.1000149449658677E-26</v>
      </c>
    </row>
    <row r="1166" spans="1:9">
      <c r="A1166" s="19">
        <f t="shared" si="145"/>
        <v>95.999999999998906</v>
      </c>
      <c r="B1166" s="10">
        <f t="shared" ref="B1166:B1214" si="149">(B$9^A1166)*B$10^((B$6^28)*((B$6^A1166)-1))</f>
        <v>1.4706019273937949E-19</v>
      </c>
      <c r="C1166" s="10">
        <f t="shared" ref="C1166:C1214" si="150">(B$9^A1166)*B$11^((B$7^24)*((B$7^A1166)-1))</f>
        <v>3.4641798058851127E-7</v>
      </c>
      <c r="D1166" s="10">
        <f t="shared" si="146"/>
        <v>3.1385091299454539</v>
      </c>
      <c r="E1166" s="10">
        <f t="shared" si="147"/>
        <v>1.0074365148669149</v>
      </c>
      <c r="F1166" s="10">
        <f t="shared" si="143"/>
        <v>9.2433051204781885E-3</v>
      </c>
      <c r="G1166" s="66">
        <f t="shared" si="148"/>
        <v>2</v>
      </c>
      <c r="H1166" s="10"/>
      <c r="I1166" s="10">
        <f t="shared" si="144"/>
        <v>3.9045990607012261E-27</v>
      </c>
    </row>
    <row r="1167" spans="1:9">
      <c r="A1167" s="19">
        <f t="shared" si="145"/>
        <v>96.083333333332234</v>
      </c>
      <c r="B1167" s="10">
        <f t="shared" si="149"/>
        <v>1.1312686269250928E-19</v>
      </c>
      <c r="C1167" s="10">
        <f t="shared" si="150"/>
        <v>3.1844696449841927E-7</v>
      </c>
      <c r="D1167" s="10">
        <f t="shared" si="146"/>
        <v>3.1574805590010695</v>
      </c>
      <c r="E1167" s="10">
        <f t="shared" si="147"/>
        <v>1.0131321419760146</v>
      </c>
      <c r="F1167" s="10">
        <f t="shared" ref="F1167:F1213" si="151">(1+B$8)^-A1167</f>
        <v>9.2057995535694964E-3</v>
      </c>
      <c r="G1167" s="66">
        <f t="shared" si="148"/>
        <v>4</v>
      </c>
      <c r="H1167" s="10"/>
      <c r="I1167" s="10">
        <f t="shared" ref="I1167:I1214" si="152">B1167*C1167*(D1167+E1167)*F1167*G1167</f>
        <v>5.532535684494118E-27</v>
      </c>
    </row>
    <row r="1168" spans="1:9">
      <c r="A1168" s="19">
        <f t="shared" ref="A1168:A1214" si="153">A1167+1/12</f>
        <v>96.166666666665563</v>
      </c>
      <c r="B1168" s="10">
        <f t="shared" si="149"/>
        <v>8.6885575771791563E-20</v>
      </c>
      <c r="C1168" s="10">
        <f t="shared" si="150"/>
        <v>2.9259512597355909E-7</v>
      </c>
      <c r="D1168" s="10">
        <f t="shared" si="146"/>
        <v>3.1765666688091017</v>
      </c>
      <c r="E1168" s="10">
        <f t="shared" si="147"/>
        <v>1.0188599729888617</v>
      </c>
      <c r="F1168" s="10">
        <f t="shared" si="151"/>
        <v>9.1684461689733841E-3</v>
      </c>
      <c r="G1168" s="66">
        <f t="shared" si="148"/>
        <v>2</v>
      </c>
      <c r="H1168" s="10"/>
      <c r="I1168" s="10">
        <f t="shared" si="152"/>
        <v>1.9557648553195291E-27</v>
      </c>
    </row>
    <row r="1169" spans="1:9">
      <c r="A1169" s="19">
        <f t="shared" si="153"/>
        <v>96.249999999998892</v>
      </c>
      <c r="B1169" s="10">
        <f t="shared" si="149"/>
        <v>6.6624933523253873E-20</v>
      </c>
      <c r="C1169" s="10">
        <f t="shared" si="150"/>
        <v>2.6871331009633948E-7</v>
      </c>
      <c r="D1169" s="10">
        <f t="shared" ref="D1169:D1214" si="154">B$3+B$4*(B$6^(28+A1169))</f>
        <v>3.195768152605412</v>
      </c>
      <c r="E1169" s="10">
        <f t="shared" ref="E1169:E1214" si="155">B$3+B$5*(B$7^(24+A1169))</f>
        <v>1.0246201899910099</v>
      </c>
      <c r="F1169" s="10">
        <f t="shared" si="151"/>
        <v>9.131244349196023E-3</v>
      </c>
      <c r="G1169" s="66">
        <f t="shared" ref="G1169:G1213" si="156">IF(G1168=4,2,4)</f>
        <v>4</v>
      </c>
      <c r="H1169" s="10"/>
      <c r="I1169" s="10">
        <f t="shared" si="152"/>
        <v>2.7597410785721989E-27</v>
      </c>
    </row>
    <row r="1170" spans="1:9">
      <c r="A1170" s="19">
        <f t="shared" si="153"/>
        <v>96.33333333333222</v>
      </c>
      <c r="B1170" s="10">
        <f t="shared" si="149"/>
        <v>5.1006893096299128E-20</v>
      </c>
      <c r="C1170" s="10">
        <f t="shared" si="150"/>
        <v>2.4666197928290344E-7</v>
      </c>
      <c r="D1170" s="10">
        <f t="shared" si="154"/>
        <v>3.2150857078164172</v>
      </c>
      <c r="E1170" s="10">
        <f t="shared" si="155"/>
        <v>1.0304129760975496</v>
      </c>
      <c r="F1170" s="10">
        <f t="shared" si="151"/>
        <v>9.0941934792491182E-3</v>
      </c>
      <c r="G1170" s="66">
        <f t="shared" si="156"/>
        <v>2</v>
      </c>
      <c r="H1170" s="10"/>
      <c r="I1170" s="10">
        <f t="shared" si="152"/>
        <v>9.7152499572136703E-28</v>
      </c>
    </row>
    <row r="1171" spans="1:9">
      <c r="A1171" s="19">
        <f t="shared" si="153"/>
        <v>96.416666666665549</v>
      </c>
      <c r="B1171" s="10">
        <f t="shared" si="149"/>
        <v>3.8986990870057716E-20</v>
      </c>
      <c r="C1171" s="10">
        <f t="shared" si="150"/>
        <v>2.263106569629872E-7</v>
      </c>
      <c r="D1171" s="10">
        <f t="shared" si="154"/>
        <v>3.234520036084426</v>
      </c>
      <c r="E1171" s="10">
        <f t="shared" si="155"/>
        <v>1.0362385154589355</v>
      </c>
      <c r="F1171" s="10">
        <f t="shared" si="151"/>
        <v>9.0572929466397455E-3</v>
      </c>
      <c r="G1171" s="66">
        <f t="shared" si="156"/>
        <v>4</v>
      </c>
      <c r="H1171" s="10"/>
      <c r="I1171" s="10">
        <f t="shared" si="152"/>
        <v>1.3651744351187154E-27</v>
      </c>
    </row>
    <row r="1172" spans="1:9">
      <c r="A1172" s="19">
        <f t="shared" si="153"/>
        <v>96.499999999998877</v>
      </c>
      <c r="B1172" s="10">
        <f t="shared" si="149"/>
        <v>2.9751241028387732E-20</v>
      </c>
      <c r="C1172" s="10">
        <f t="shared" si="150"/>
        <v>2.0753739913876804E-7</v>
      </c>
      <c r="D1172" s="10">
        <f t="shared" si="154"/>
        <v>3.2540718432931008</v>
      </c>
      <c r="E1172" s="10">
        <f t="shared" si="155"/>
        <v>1.0420969932668309</v>
      </c>
      <c r="F1172" s="10">
        <f t="shared" si="151"/>
        <v>9.0205421413602303E-3</v>
      </c>
      <c r="G1172" s="66">
        <f t="shared" si="156"/>
        <v>2</v>
      </c>
      <c r="H1172" s="10"/>
      <c r="I1172" s="10">
        <f t="shared" si="152"/>
        <v>4.785699576176074E-28</v>
      </c>
    </row>
    <row r="1173" spans="1:9">
      <c r="A1173" s="19">
        <f t="shared" si="153"/>
        <v>96.583333333332206</v>
      </c>
      <c r="B1173" s="10">
        <f t="shared" si="149"/>
        <v>2.2666304372348747E-20</v>
      </c>
      <c r="C1173" s="10">
        <f t="shared" si="150"/>
        <v>1.9022829269380371E-7</v>
      </c>
      <c r="D1173" s="10">
        <f t="shared" si="154"/>
        <v>3.2737418395931299</v>
      </c>
      <c r="E1173" s="10">
        <f t="shared" si="155"/>
        <v>1.0479885957599988</v>
      </c>
      <c r="F1173" s="10">
        <f t="shared" si="151"/>
        <v>8.9839404558780603E-3</v>
      </c>
      <c r="G1173" s="66">
        <f t="shared" si="156"/>
        <v>4</v>
      </c>
      <c r="H1173" s="10"/>
      <c r="I1173" s="10">
        <f t="shared" si="152"/>
        <v>6.6963841107239354E-28</v>
      </c>
    </row>
    <row r="1174" spans="1:9">
      <c r="A1174" s="19">
        <f t="shared" si="153"/>
        <v>96.666666666665535</v>
      </c>
      <c r="B1174" s="10">
        <f t="shared" si="149"/>
        <v>1.72402006458366E-20</v>
      </c>
      <c r="C1174" s="10">
        <f t="shared" si="150"/>
        <v>1.7427697935335864E-7</v>
      </c>
      <c r="D1174" s="10">
        <f t="shared" si="154"/>
        <v>3.2935307394280016</v>
      </c>
      <c r="E1174" s="10">
        <f t="shared" si="155"/>
        <v>1.0539135102302299</v>
      </c>
      <c r="F1174" s="10">
        <f t="shared" si="151"/>
        <v>8.9474872851258418E-3</v>
      </c>
      <c r="G1174" s="66">
        <f t="shared" si="156"/>
        <v>2</v>
      </c>
      <c r="H1174" s="10"/>
      <c r="I1174" s="10">
        <f t="shared" si="152"/>
        <v>2.337477541748172E-28</v>
      </c>
    </row>
    <row r="1175" spans="1:9">
      <c r="A1175" s="19">
        <f t="shared" si="153"/>
        <v>96.749999999998863</v>
      </c>
      <c r="B1175" s="10">
        <f t="shared" si="149"/>
        <v>1.3091384211659148E-20</v>
      </c>
      <c r="C1175" s="10">
        <f t="shared" si="150"/>
        <v>1.5958420422770621E-7</v>
      </c>
      <c r="D1175" s="10">
        <f t="shared" si="154"/>
        <v>3.3134392615599606</v>
      </c>
      <c r="E1175" s="10">
        <f t="shared" si="155"/>
        <v>1.059871925028284</v>
      </c>
      <c r="F1175" s="10">
        <f t="shared" si="151"/>
        <v>8.9111820264912971E-3</v>
      </c>
      <c r="G1175" s="66">
        <f t="shared" si="156"/>
        <v>4</v>
      </c>
      <c r="H1175" s="10"/>
      <c r="I1175" s="10">
        <f t="shared" si="152"/>
        <v>3.2567255292471925E-28</v>
      </c>
    </row>
    <row r="1176" spans="1:9">
      <c r="A1176" s="19">
        <f t="shared" si="153"/>
        <v>96.833333333332192</v>
      </c>
      <c r="B1176" s="10">
        <f t="shared" si="149"/>
        <v>9.9244427976934606E-21</v>
      </c>
      <c r="C1176" s="10">
        <f t="shared" si="150"/>
        <v>1.4605738790040685E-7</v>
      </c>
      <c r="D1176" s="10">
        <f t="shared" si="154"/>
        <v>3.3334681290960946</v>
      </c>
      <c r="E1176" s="10">
        <f t="shared" si="155"/>
        <v>1.0658640295698842</v>
      </c>
      <c r="F1176" s="10">
        <f t="shared" si="151"/>
        <v>8.8750240798072966E-3</v>
      </c>
      <c r="G1176" s="66">
        <f t="shared" si="156"/>
        <v>2</v>
      </c>
      <c r="H1176" s="10"/>
      <c r="I1176" s="10">
        <f t="shared" si="152"/>
        <v>1.1319205677008357E-28</v>
      </c>
    </row>
    <row r="1177" spans="1:9">
      <c r="A1177" s="19">
        <f t="shared" si="153"/>
        <v>96.91666666666552</v>
      </c>
      <c r="B1177" s="10">
        <f t="shared" si="149"/>
        <v>7.5110324679735258E-21</v>
      </c>
      <c r="C1177" s="10">
        <f t="shared" si="150"/>
        <v>1.3361022105362422E-7</v>
      </c>
      <c r="D1177" s="10">
        <f t="shared" si="154"/>
        <v>3.3536180695146327</v>
      </c>
      <c r="E1177" s="10">
        <f t="shared" si="155"/>
        <v>1.0718900143417376</v>
      </c>
      <c r="F1177" s="10">
        <f t="shared" si="151"/>
        <v>8.8390128473419694E-3</v>
      </c>
      <c r="G1177" s="66">
        <f t="shared" si="156"/>
        <v>4</v>
      </c>
      <c r="H1177" s="10"/>
      <c r="I1177" s="10">
        <f t="shared" si="152"/>
        <v>1.5702406522100786E-28</v>
      </c>
    </row>
    <row r="1178" spans="1:9">
      <c r="A1178" s="19">
        <f t="shared" si="153"/>
        <v>96.999999999998849</v>
      </c>
      <c r="B1178" s="10">
        <f t="shared" si="149"/>
        <v>5.6749454746292018E-21</v>
      </c>
      <c r="C1178" s="10">
        <f t="shared" si="150"/>
        <v>1.2216228065280307E-7</v>
      </c>
      <c r="D1178" s="10">
        <f t="shared" si="154"/>
        <v>3.3738898146913447</v>
      </c>
      <c r="E1178" s="10">
        <f t="shared" si="155"/>
        <v>1.0779500709075951</v>
      </c>
      <c r="F1178" s="10">
        <f t="shared" si="151"/>
        <v>8.8031477337887753E-3</v>
      </c>
      <c r="G1178" s="66">
        <f t="shared" si="156"/>
        <v>2</v>
      </c>
      <c r="H1178" s="10"/>
      <c r="I1178" s="10">
        <f t="shared" si="152"/>
        <v>5.4338337533700163E-29</v>
      </c>
    </row>
    <row r="1179" spans="1:9">
      <c r="A1179" s="19">
        <f t="shared" si="153"/>
        <v>97.083333333332178</v>
      </c>
      <c r="B1179" s="10">
        <f t="shared" si="149"/>
        <v>4.2804346680314793E-21</v>
      </c>
      <c r="C1179" s="10">
        <f t="shared" si="150"/>
        <v>1.1163866674281807E-7</v>
      </c>
      <c r="D1179" s="10">
        <f t="shared" si="154"/>
        <v>3.3942841009261318</v>
      </c>
      <c r="E1179" s="10">
        <f t="shared" si="155"/>
        <v>1.0840443919143319</v>
      </c>
      <c r="F1179" s="10">
        <f t="shared" si="151"/>
        <v>8.7674281462566846E-3</v>
      </c>
      <c r="G1179" s="66">
        <f t="shared" si="156"/>
        <v>4</v>
      </c>
      <c r="H1179" s="10"/>
      <c r="I1179" s="10">
        <f t="shared" si="152"/>
        <v>7.5049994944451239E-29</v>
      </c>
    </row>
    <row r="1180" spans="1:9">
      <c r="A1180" s="19">
        <f t="shared" si="153"/>
        <v>97.166666666665506</v>
      </c>
      <c r="B1180" s="10">
        <f t="shared" si="149"/>
        <v>3.2230996282781457E-21</v>
      </c>
      <c r="C1180" s="10">
        <f t="shared" si="150"/>
        <v>1.019696589375696E-7</v>
      </c>
      <c r="D1180" s="10">
        <f t="shared" si="154"/>
        <v>3.4148016689697722</v>
      </c>
      <c r="E1180" s="10">
        <f t="shared" si="155"/>
        <v>1.0901731710980784</v>
      </c>
      <c r="F1180" s="10">
        <f t="shared" si="151"/>
        <v>8.7318534942603891E-3</v>
      </c>
      <c r="G1180" s="66">
        <f t="shared" si="156"/>
        <v>2</v>
      </c>
      <c r="H1180" s="10"/>
      <c r="I1180" s="10">
        <f t="shared" si="152"/>
        <v>2.5856724173733184E-29</v>
      </c>
    </row>
    <row r="1181" spans="1:9">
      <c r="A1181" s="19">
        <f t="shared" si="153"/>
        <v>97.249999999998835</v>
      </c>
      <c r="B1181" s="10">
        <f t="shared" si="149"/>
        <v>2.4227845173336603E-21</v>
      </c>
      <c r="C1181" s="10">
        <f t="shared" si="150"/>
        <v>9.3090391714331575E-8</v>
      </c>
      <c r="D1181" s="10">
        <f t="shared" si="154"/>
        <v>3.4354432640508055</v>
      </c>
      <c r="E1181" s="10">
        <f t="shared" si="155"/>
        <v>1.096336603290375</v>
      </c>
      <c r="F1181" s="10">
        <f t="shared" si="151"/>
        <v>8.6964231897105199E-3</v>
      </c>
      <c r="G1181" s="66">
        <f t="shared" si="156"/>
        <v>4</v>
      </c>
      <c r="H1181" s="10"/>
      <c r="I1181" s="10">
        <f t="shared" si="152"/>
        <v>3.5554052545254684E-29</v>
      </c>
    </row>
    <row r="1182" spans="1:9">
      <c r="A1182" s="19">
        <f t="shared" si="153"/>
        <v>97.333333333332163</v>
      </c>
      <c r="B1182" s="10">
        <f t="shared" si="149"/>
        <v>1.8180530407430907E-21</v>
      </c>
      <c r="C1182" s="10">
        <f t="shared" si="150"/>
        <v>8.4940547653448825E-8</v>
      </c>
      <c r="D1182" s="10">
        <f t="shared" si="154"/>
        <v>3.4562096359026362</v>
      </c>
      <c r="E1182" s="10">
        <f t="shared" si="155"/>
        <v>1.1025348844243743</v>
      </c>
      <c r="F1182" s="10">
        <f t="shared" si="151"/>
        <v>8.6611366469039434E-3</v>
      </c>
      <c r="G1182" s="66">
        <f t="shared" si="156"/>
        <v>2</v>
      </c>
      <c r="H1182" s="10"/>
      <c r="I1182" s="10">
        <f t="shared" si="152"/>
        <v>1.219471757416559E-29</v>
      </c>
    </row>
    <row r="1183" spans="1:9">
      <c r="A1183" s="19">
        <f t="shared" si="153"/>
        <v>97.416666666665492</v>
      </c>
      <c r="B1183" s="10">
        <f t="shared" si="149"/>
        <v>1.361897679083667E-21</v>
      </c>
      <c r="C1183" s="10">
        <f t="shared" si="150"/>
        <v>7.7464067792726425E-8</v>
      </c>
      <c r="D1183" s="10">
        <f t="shared" si="154"/>
        <v>3.4771015387907394</v>
      </c>
      <c r="E1183" s="10">
        <f t="shared" si="155"/>
        <v>1.1087682115410571</v>
      </c>
      <c r="F1183" s="10">
        <f t="shared" si="151"/>
        <v>8.6259932825140644E-3</v>
      </c>
      <c r="G1183" s="66">
        <f t="shared" si="156"/>
        <v>4</v>
      </c>
      <c r="H1183" s="10"/>
      <c r="I1183" s="10">
        <f t="shared" si="152"/>
        <v>1.6693046424381903E-29</v>
      </c>
    </row>
    <row r="1184" spans="1:9">
      <c r="A1184" s="19">
        <f t="shared" si="153"/>
        <v>97.49999999999882</v>
      </c>
      <c r="B1184" s="10">
        <f t="shared" si="149"/>
        <v>1.0184132099716996E-21</v>
      </c>
      <c r="C1184" s="10">
        <f t="shared" si="150"/>
        <v>7.0608878294407107E-8</v>
      </c>
      <c r="D1184" s="10">
        <f t="shared" si="154"/>
        <v>3.4981197315400712</v>
      </c>
      <c r="E1184" s="10">
        <f t="shared" si="155"/>
        <v>1.115036782795505</v>
      </c>
      <c r="F1184" s="10">
        <f t="shared" si="151"/>
        <v>8.5909925155811945E-3</v>
      </c>
      <c r="G1184" s="66">
        <f t="shared" si="156"/>
        <v>2</v>
      </c>
      <c r="H1184" s="10"/>
      <c r="I1184" s="10">
        <f t="shared" si="152"/>
        <v>5.6997375958073323E-30</v>
      </c>
    </row>
    <row r="1185" spans="1:9">
      <c r="A1185" s="19">
        <f t="shared" si="153"/>
        <v>97.583333333332149</v>
      </c>
      <c r="B1185" s="10">
        <f t="shared" si="149"/>
        <v>7.6022228736328786E-22</v>
      </c>
      <c r="C1185" s="10">
        <f t="shared" si="150"/>
        <v>6.4326632650647094E-8</v>
      </c>
      <c r="D1185" s="10">
        <f t="shared" si="154"/>
        <v>3.5192649775626026</v>
      </c>
      <c r="E1185" s="10">
        <f t="shared" si="155"/>
        <v>1.1213407974631948</v>
      </c>
      <c r="F1185" s="10">
        <f t="shared" si="151"/>
        <v>8.5561337675029367E-3</v>
      </c>
      <c r="G1185" s="66">
        <f t="shared" si="156"/>
        <v>4</v>
      </c>
      <c r="H1185" s="10"/>
      <c r="I1185" s="10">
        <f t="shared" si="152"/>
        <v>7.7668273015611501E-30</v>
      </c>
    </row>
    <row r="1186" spans="1:9">
      <c r="A1186" s="19">
        <f t="shared" si="153"/>
        <v>97.666666666665478</v>
      </c>
      <c r="B1186" s="10">
        <f t="shared" si="149"/>
        <v>5.6648653132596628E-22</v>
      </c>
      <c r="C1186" s="10">
        <f t="shared" si="150"/>
        <v>5.857246868111035E-8</v>
      </c>
      <c r="D1186" s="10">
        <f t="shared" si="154"/>
        <v>3.5405380448850896</v>
      </c>
      <c r="E1186" s="10">
        <f t="shared" si="155"/>
        <v>1.1276804559463423</v>
      </c>
      <c r="F1186" s="10">
        <f t="shared" si="151"/>
        <v>8.5214164620246325E-3</v>
      </c>
      <c r="G1186" s="66">
        <f t="shared" si="156"/>
        <v>2</v>
      </c>
      <c r="H1186" s="10"/>
      <c r="I1186" s="10">
        <f t="shared" si="152"/>
        <v>2.6398307255476146E-30</v>
      </c>
    </row>
    <row r="1187" spans="1:9">
      <c r="A1187" s="19">
        <f t="shared" si="153"/>
        <v>97.749999999998806</v>
      </c>
      <c r="B1187" s="10">
        <f t="shared" si="149"/>
        <v>4.2137266311808318E-22</v>
      </c>
      <c r="C1187" s="10">
        <f t="shared" si="150"/>
        <v>5.3304779603443052E-8</v>
      </c>
      <c r="D1187" s="10">
        <f t="shared" si="154"/>
        <v>3.5619397061769389</v>
      </c>
      <c r="E1187" s="10">
        <f t="shared" si="155"/>
        <v>1.1340559597802597</v>
      </c>
      <c r="F1187" s="10">
        <f t="shared" si="151"/>
        <v>8.4868400252298276E-3</v>
      </c>
      <c r="G1187" s="66">
        <f t="shared" si="156"/>
        <v>4</v>
      </c>
      <c r="H1187" s="10"/>
      <c r="I1187" s="10">
        <f t="shared" si="152"/>
        <v>3.5806857152054015E-30</v>
      </c>
    </row>
    <row r="1188" spans="1:9">
      <c r="A1188" s="19">
        <f t="shared" si="153"/>
        <v>97.833333333332135</v>
      </c>
      <c r="B1188" s="10">
        <f t="shared" si="149"/>
        <v>3.1287166597583782E-22</v>
      </c>
      <c r="C1188" s="10">
        <f t="shared" si="150"/>
        <v>4.8484998484165892E-8</v>
      </c>
      <c r="D1188" s="10">
        <f t="shared" si="154"/>
        <v>3.5834707387782827</v>
      </c>
      <c r="E1188" s="10">
        <f t="shared" si="155"/>
        <v>1.1404675116397722</v>
      </c>
      <c r="F1188" s="10">
        <f t="shared" si="151"/>
        <v>8.4524038855307883E-3</v>
      </c>
      <c r="G1188" s="66">
        <f t="shared" si="156"/>
        <v>2</v>
      </c>
      <c r="H1188" s="10"/>
      <c r="I1188" s="10">
        <f t="shared" si="152"/>
        <v>1.2114013959253463E-30</v>
      </c>
    </row>
    <row r="1189" spans="1:9">
      <c r="A1189" s="19">
        <f t="shared" si="153"/>
        <v>97.916666666665463</v>
      </c>
      <c r="B1189" s="10">
        <f t="shared" si="149"/>
        <v>2.3189133752169958E-22</v>
      </c>
      <c r="C1189" s="10">
        <f t="shared" si="150"/>
        <v>4.4077395403681637E-8</v>
      </c>
      <c r="D1189" s="10">
        <f t="shared" si="154"/>
        <v>3.6051319247282172</v>
      </c>
      <c r="E1189" s="10">
        <f t="shared" si="155"/>
        <v>1.1469153153456551</v>
      </c>
      <c r="F1189" s="10">
        <f t="shared" si="151"/>
        <v>8.4181074736590471E-3</v>
      </c>
      <c r="G1189" s="66">
        <f t="shared" si="156"/>
        <v>4</v>
      </c>
      <c r="H1189" s="10"/>
      <c r="I1189" s="10">
        <f t="shared" si="152"/>
        <v>1.6355192336095878E-30</v>
      </c>
    </row>
    <row r="1190" spans="1:9">
      <c r="A1190" s="19">
        <f t="shared" si="153"/>
        <v>97.999999999998792</v>
      </c>
      <c r="B1190" s="10">
        <f t="shared" si="149"/>
        <v>1.7156018458964408E-22</v>
      </c>
      <c r="C1190" s="10">
        <f t="shared" si="150"/>
        <v>4.0048886694848755E-8</v>
      </c>
      <c r="D1190" s="10">
        <f t="shared" si="154"/>
        <v>3.6269240507931833</v>
      </c>
      <c r="E1190" s="10">
        <f t="shared" si="155"/>
        <v>1.1533995758711226</v>
      </c>
      <c r="F1190" s="10">
        <f t="shared" si="151"/>
        <v>8.3839502226560041E-3</v>
      </c>
      <c r="G1190" s="66">
        <f t="shared" si="156"/>
        <v>2</v>
      </c>
      <c r="H1190" s="10"/>
      <c r="I1190" s="10">
        <f t="shared" si="152"/>
        <v>5.5073533132736996E-31</v>
      </c>
    </row>
    <row r="1191" spans="1:9">
      <c r="A1191" s="19">
        <f t="shared" si="153"/>
        <v>98.083333333332121</v>
      </c>
      <c r="B1191" s="10">
        <f t="shared" si="149"/>
        <v>1.2669440009279446E-22</v>
      </c>
      <c r="C1191" s="10">
        <f t="shared" si="150"/>
        <v>3.6368855639675592E-8</v>
      </c>
      <c r="D1191" s="10">
        <f t="shared" si="154"/>
        <v>3.6488479084955787</v>
      </c>
      <c r="E1191" s="10">
        <f t="shared" si="155"/>
        <v>1.159920499348331</v>
      </c>
      <c r="F1191" s="10">
        <f t="shared" si="151"/>
        <v>8.3499315678635389E-3</v>
      </c>
      <c r="G1191" s="66">
        <f t="shared" si="156"/>
        <v>4</v>
      </c>
      <c r="H1191" s="10"/>
      <c r="I1191" s="10">
        <f t="shared" si="152"/>
        <v>7.4005470626942276E-31</v>
      </c>
    </row>
    <row r="1192" spans="1:9">
      <c r="A1192" s="19">
        <f t="shared" si="153"/>
        <v>98.166666666665449</v>
      </c>
      <c r="B1192" s="10">
        <f t="shared" si="149"/>
        <v>9.3390454162711619E-23</v>
      </c>
      <c r="C1192" s="10">
        <f t="shared" si="150"/>
        <v>3.3008984033334726E-8</v>
      </c>
      <c r="D1192" s="10">
        <f t="shared" si="154"/>
        <v>3.6709042941424852</v>
      </c>
      <c r="E1192" s="10">
        <f t="shared" si="155"/>
        <v>1.1664782930749376</v>
      </c>
      <c r="F1192" s="10">
        <f t="shared" si="151"/>
        <v>8.3160509469146771E-3</v>
      </c>
      <c r="G1192" s="66">
        <f t="shared" si="156"/>
        <v>2</v>
      </c>
      <c r="H1192" s="10"/>
      <c r="I1192" s="10">
        <f t="shared" si="152"/>
        <v>2.4802315001624792E-31</v>
      </c>
    </row>
    <row r="1193" spans="1:9">
      <c r="A1193" s="19">
        <f t="shared" si="153"/>
        <v>98.249999999998778</v>
      </c>
      <c r="B1193" s="10">
        <f t="shared" si="149"/>
        <v>6.8714263808142346E-23</v>
      </c>
      <c r="C1193" s="10">
        <f t="shared" si="150"/>
        <v>2.994309404870122E-8</v>
      </c>
      <c r="D1193" s="10">
        <f t="shared" si="154"/>
        <v>3.6930940088546031</v>
      </c>
      <c r="E1193" s="10">
        <f t="shared" si="155"/>
        <v>1.1730731655206972</v>
      </c>
      <c r="F1193" s="10">
        <f t="shared" si="151"/>
        <v>8.2823077997243259E-3</v>
      </c>
      <c r="G1193" s="66">
        <f t="shared" si="156"/>
        <v>4</v>
      </c>
      <c r="H1193" s="10"/>
      <c r="I1193" s="10">
        <f t="shared" si="152"/>
        <v>3.3169731404981837E-31</v>
      </c>
    </row>
    <row r="1194" spans="1:9">
      <c r="A1194" s="19">
        <f t="shared" si="153"/>
        <v>98.333333333332106</v>
      </c>
      <c r="B1194" s="10">
        <f t="shared" si="149"/>
        <v>5.0464480989550015E-23</v>
      </c>
      <c r="C1194" s="10">
        <f t="shared" si="150"/>
        <v>2.7146999858073077E-8</v>
      </c>
      <c r="D1194" s="10">
        <f t="shared" si="154"/>
        <v>3.7154178585953206</v>
      </c>
      <c r="E1194" s="10">
        <f t="shared" si="155"/>
        <v>1.1797053263340764</v>
      </c>
      <c r="F1194" s="10">
        <f t="shared" si="151"/>
        <v>8.2487015684799669E-3</v>
      </c>
      <c r="G1194" s="66">
        <f t="shared" si="156"/>
        <v>2</v>
      </c>
      <c r="H1194" s="10"/>
      <c r="I1194" s="10">
        <f t="shared" si="152"/>
        <v>1.1063355403069446E-31</v>
      </c>
    </row>
    <row r="1195" spans="1:9">
      <c r="A1195" s="19">
        <f t="shared" si="153"/>
        <v>98.416666666665435</v>
      </c>
      <c r="B1195" s="10">
        <f t="shared" si="149"/>
        <v>3.6992557508506905E-23</v>
      </c>
      <c r="C1195" s="10">
        <f t="shared" si="150"/>
        <v>2.4598368491610625E-8</v>
      </c>
      <c r="D1195" s="10">
        <f t="shared" si="154"/>
        <v>3.7378766542000315</v>
      </c>
      <c r="E1195" s="10">
        <f t="shared" si="155"/>
        <v>1.186374986348927</v>
      </c>
      <c r="F1195" s="10">
        <f t="shared" si="151"/>
        <v>8.2152316976324639E-3</v>
      </c>
      <c r="G1195" s="66">
        <f t="shared" si="156"/>
        <v>4</v>
      </c>
      <c r="H1195" s="10"/>
      <c r="I1195" s="10">
        <f t="shared" si="152"/>
        <v>1.4724505102335985E-31</v>
      </c>
    </row>
    <row r="1196" spans="1:9">
      <c r="A1196" s="19">
        <f t="shared" si="153"/>
        <v>98.499999999998764</v>
      </c>
      <c r="B1196" s="10">
        <f t="shared" si="149"/>
        <v>2.706622196656155E-23</v>
      </c>
      <c r="C1196" s="10">
        <f t="shared" si="150"/>
        <v>2.2276589434258535E-8</v>
      </c>
      <c r="D1196" s="10">
        <f t="shared" si="154"/>
        <v>3.7604712114055556</v>
      </c>
      <c r="E1196" s="10">
        <f t="shared" si="155"/>
        <v>1.193082357591184</v>
      </c>
      <c r="F1196" s="10">
        <f t="shared" si="151"/>
        <v>8.1818976338868723E-3</v>
      </c>
      <c r="G1196" s="66">
        <f t="shared" si="156"/>
        <v>2</v>
      </c>
      <c r="H1196" s="10"/>
      <c r="I1196" s="10">
        <f t="shared" si="152"/>
        <v>4.8873927584452184E-32</v>
      </c>
    </row>
    <row r="1197" spans="1:9">
      <c r="A1197" s="19">
        <f t="shared" si="153"/>
        <v>98.583333333332092</v>
      </c>
      <c r="B1197" s="10">
        <f t="shared" si="149"/>
        <v>1.9766088120784452E-23</v>
      </c>
      <c r="C1197" s="10">
        <f t="shared" si="150"/>
        <v>2.0162652484603535E-8</v>
      </c>
      <c r="D1197" s="10">
        <f t="shared" si="154"/>
        <v>3.7832023508797774</v>
      </c>
      <c r="E1197" s="10">
        <f t="shared" si="155"/>
        <v>1.1998276532856142</v>
      </c>
      <c r="F1197" s="10">
        <f t="shared" si="151"/>
        <v>8.1486988261932937E-3</v>
      </c>
      <c r="G1197" s="66">
        <f t="shared" si="156"/>
        <v>4</v>
      </c>
      <c r="H1197" s="10"/>
      <c r="I1197" s="10">
        <f t="shared" si="152"/>
        <v>6.4730677454489681E-32</v>
      </c>
    </row>
    <row r="1198" spans="1:9">
      <c r="A1198" s="19">
        <f t="shared" si="153"/>
        <v>98.666666666665421</v>
      </c>
      <c r="B1198" s="10">
        <f t="shared" si="149"/>
        <v>1.4407501184311246E-23</v>
      </c>
      <c r="C1198" s="10">
        <f t="shared" si="150"/>
        <v>1.8239033420131345E-8</v>
      </c>
      <c r="D1198" s="10">
        <f t="shared" si="154"/>
        <v>3.8060708982514573</v>
      </c>
      <c r="E1198" s="10">
        <f t="shared" si="155"/>
        <v>1.206611087862582</v>
      </c>
      <c r="F1198" s="10">
        <f t="shared" si="151"/>
        <v>8.1156347257377651E-3</v>
      </c>
      <c r="G1198" s="66">
        <f t="shared" si="156"/>
        <v>2</v>
      </c>
      <c r="H1198" s="10"/>
      <c r="I1198" s="10">
        <f t="shared" si="152"/>
        <v>2.1380266955136461E-32</v>
      </c>
    </row>
    <row r="1199" spans="1:9">
      <c r="A1199" s="19">
        <f t="shared" si="153"/>
        <v>98.749999999998749</v>
      </c>
      <c r="B1199" s="10">
        <f t="shared" si="149"/>
        <v>1.0481572952119922E-23</v>
      </c>
      <c r="C1199" s="10">
        <f t="shared" si="150"/>
        <v>1.6489587033805378E-8</v>
      </c>
      <c r="D1199" s="10">
        <f t="shared" si="154"/>
        <v>3.8290776841401954</v>
      </c>
      <c r="E1199" s="10">
        <f t="shared" si="155"/>
        <v>1.2134328769648737</v>
      </c>
      <c r="F1199" s="10">
        <f t="shared" si="151"/>
        <v>8.0827047859331879E-3</v>
      </c>
      <c r="G1199" s="66">
        <f t="shared" si="156"/>
        <v>4</v>
      </c>
      <c r="H1199" s="10"/>
      <c r="I1199" s="10">
        <f t="shared" si="152"/>
        <v>2.8177325266914077E-32</v>
      </c>
    </row>
    <row r="1200" spans="1:9">
      <c r="A1200" s="19">
        <f t="shared" si="153"/>
        <v>98.833333333332078</v>
      </c>
      <c r="B1200" s="10">
        <f t="shared" si="149"/>
        <v>7.6107788279702996E-24</v>
      </c>
      <c r="C1200" s="10">
        <f t="shared" si="150"/>
        <v>1.4899447126678286E-8</v>
      </c>
      <c r="D1200" s="10">
        <f t="shared" si="154"/>
        <v>3.8522235441866401</v>
      </c>
      <c r="E1200" s="10">
        <f t="shared" si="155"/>
        <v>1.2202932374545499</v>
      </c>
      <c r="F1200" s="10">
        <f t="shared" si="151"/>
        <v>8.0499084624102938E-3</v>
      </c>
      <c r="G1200" s="66">
        <f t="shared" si="156"/>
        <v>2</v>
      </c>
      <c r="H1200" s="10"/>
      <c r="I1200" s="10">
        <f t="shared" si="152"/>
        <v>9.2606972138384599E-33</v>
      </c>
    </row>
    <row r="1201" spans="1:9">
      <c r="A1201" s="19">
        <f t="shared" si="153"/>
        <v>98.916666666665407</v>
      </c>
      <c r="B1201" s="10">
        <f t="shared" si="149"/>
        <v>5.5155844108009329E-24</v>
      </c>
      <c r="C1201" s="10">
        <f t="shared" si="150"/>
        <v>1.3454933060468946E-8</v>
      </c>
      <c r="D1201" s="10">
        <f t="shared" si="154"/>
        <v>3.8755093190828132</v>
      </c>
      <c r="E1201" s="10">
        <f t="shared" si="155"/>
        <v>1.2271923874198467</v>
      </c>
      <c r="F1201" s="10">
        <f t="shared" si="151"/>
        <v>8.0172452130086377E-3</v>
      </c>
      <c r="G1201" s="66">
        <f t="shared" si="156"/>
        <v>4</v>
      </c>
      <c r="H1201" s="10"/>
      <c r="I1201" s="10">
        <f t="shared" si="152"/>
        <v>1.2143906543071169E-32</v>
      </c>
    </row>
    <row r="1202" spans="1:9">
      <c r="A1202" s="19">
        <f t="shared" si="153"/>
        <v>98.999999999998735</v>
      </c>
      <c r="B1202" s="10">
        <f t="shared" si="149"/>
        <v>3.989410116436966E-24</v>
      </c>
      <c r="C1202" s="10">
        <f t="shared" si="150"/>
        <v>1.2143462492602858E-8</v>
      </c>
      <c r="D1202" s="10">
        <f t="shared" si="154"/>
        <v>3.8989358546026578</v>
      </c>
      <c r="E1202" s="10">
        <f t="shared" si="155"/>
        <v>1.2341305461820968</v>
      </c>
      <c r="F1202" s="10">
        <f t="shared" si="151"/>
        <v>7.9847144977676435E-3</v>
      </c>
      <c r="G1202" s="66">
        <f t="shared" si="156"/>
        <v>2</v>
      </c>
      <c r="H1202" s="10"/>
      <c r="I1202" s="10">
        <f t="shared" si="152"/>
        <v>3.9711609605760587E-33</v>
      </c>
    </row>
    <row r="1203" spans="1:9">
      <c r="A1203" s="19">
        <f t="shared" si="153"/>
        <v>99.083333333332064</v>
      </c>
      <c r="B1203" s="10">
        <f t="shared" si="149"/>
        <v>2.8798869459999294E-24</v>
      </c>
      <c r="C1203" s="10">
        <f t="shared" si="150"/>
        <v>1.0953469934204355E-8</v>
      </c>
      <c r="D1203" s="10">
        <f t="shared" si="154"/>
        <v>3.9225040016327335</v>
      </c>
      <c r="E1203" s="10">
        <f t="shared" si="155"/>
        <v>1.24110793430271</v>
      </c>
      <c r="F1203" s="10">
        <f t="shared" si="151"/>
        <v>7.9523157789176749E-3</v>
      </c>
      <c r="G1203" s="66">
        <f t="shared" si="156"/>
        <v>4</v>
      </c>
      <c r="H1203" s="10"/>
      <c r="I1203" s="10">
        <f t="shared" si="152"/>
        <v>5.1812478092636991E-33</v>
      </c>
    </row>
    <row r="1204" spans="1:9">
      <c r="A1204" s="19">
        <f t="shared" si="153"/>
        <v>99.166666666665392</v>
      </c>
      <c r="B1204" s="10">
        <f t="shared" si="149"/>
        <v>2.074849778409395E-24</v>
      </c>
      <c r="C1204" s="10">
        <f t="shared" si="150"/>
        <v>9.8743307888792209E-9</v>
      </c>
      <c r="D1204" s="10">
        <f t="shared" si="154"/>
        <v>3.9462146162031577</v>
      </c>
      <c r="E1204" s="10">
        <f t="shared" si="155"/>
        <v>1.2481247735901788</v>
      </c>
      <c r="F1204" s="10">
        <f t="shared" si="151"/>
        <v>7.9200485208711473E-3</v>
      </c>
      <c r="G1204" s="66">
        <f t="shared" si="156"/>
        <v>2</v>
      </c>
      <c r="H1204" s="10"/>
      <c r="I1204" s="10">
        <f t="shared" si="152"/>
        <v>1.6857085551409441E-33</v>
      </c>
    </row>
    <row r="1205" spans="1:9">
      <c r="A1205" s="19">
        <f t="shared" si="153"/>
        <v>99.249999999998721</v>
      </c>
      <c r="B1205" s="10">
        <f t="shared" si="149"/>
        <v>1.4918912660349643E-24</v>
      </c>
      <c r="C1205" s="10">
        <f t="shared" si="150"/>
        <v>8.8962905469026882E-9</v>
      </c>
      <c r="D1205" s="10">
        <f t="shared" si="154"/>
        <v>3.9700685595186775</v>
      </c>
      <c r="E1205" s="10">
        <f t="shared" si="155"/>
        <v>1.2551812871071415</v>
      </c>
      <c r="F1205" s="10">
        <f t="shared" si="151"/>
        <v>7.8879121902136699E-3</v>
      </c>
      <c r="G1205" s="66">
        <f t="shared" si="156"/>
        <v>4</v>
      </c>
      <c r="H1205" s="10"/>
      <c r="I1205" s="10">
        <f t="shared" si="152"/>
        <v>2.1881407268264814E-33</v>
      </c>
    </row>
    <row r="1206" spans="1:9">
      <c r="A1206" s="19">
        <f t="shared" si="153"/>
        <v>99.33333333333205</v>
      </c>
      <c r="B1206" s="10">
        <f t="shared" si="149"/>
        <v>1.0705865292263115E-24</v>
      </c>
      <c r="C1206" s="10">
        <f t="shared" si="150"/>
        <v>8.0103988255802213E-9</v>
      </c>
      <c r="D1206" s="10">
        <f t="shared" si="154"/>
        <v>3.9940666979899491</v>
      </c>
      <c r="E1206" s="10">
        <f t="shared" si="155"/>
        <v>1.2622776991774571</v>
      </c>
      <c r="F1206" s="10">
        <f t="shared" si="151"/>
        <v>7.8559062556952334E-3</v>
      </c>
      <c r="G1206" s="66">
        <f t="shared" si="156"/>
        <v>2</v>
      </c>
      <c r="H1206" s="10"/>
      <c r="I1206" s="10">
        <f t="shared" si="152"/>
        <v>7.0824907280020468E-34</v>
      </c>
    </row>
    <row r="1207" spans="1:9">
      <c r="A1207" s="19">
        <f t="shared" si="153"/>
        <v>99.416666666665378</v>
      </c>
      <c r="B1207" s="10">
        <f t="shared" si="149"/>
        <v>7.6671724858536363E-25</v>
      </c>
      <c r="C1207" s="10">
        <f t="shared" si="150"/>
        <v>7.2084479621367402E-9</v>
      </c>
      <c r="D1207" s="10">
        <f t="shared" si="154"/>
        <v>4.0182099032650189</v>
      </c>
      <c r="E1207" s="10">
        <f t="shared" si="155"/>
        <v>1.2694142353933475</v>
      </c>
      <c r="F1207" s="10">
        <f t="shared" si="151"/>
        <v>7.8240301882214203E-3</v>
      </c>
      <c r="G1207" s="66">
        <f t="shared" si="156"/>
        <v>4</v>
      </c>
      <c r="H1207" s="10"/>
      <c r="I1207" s="10">
        <f t="shared" si="152"/>
        <v>9.1459344936786264E-34</v>
      </c>
    </row>
    <row r="1208" spans="1:9">
      <c r="A1208" s="19">
        <f t="shared" si="153"/>
        <v>99.499999999998707</v>
      </c>
      <c r="B1208" s="10">
        <f t="shared" si="149"/>
        <v>5.4798955738307646E-25</v>
      </c>
      <c r="C1208" s="10">
        <f t="shared" si="150"/>
        <v>6.4829158804714458E-9</v>
      </c>
      <c r="D1208" s="10">
        <f t="shared" si="154"/>
        <v>4.0424990522609576</v>
      </c>
      <c r="E1208" s="10">
        <f t="shared" si="155"/>
        <v>1.2765911226225626</v>
      </c>
      <c r="F1208" s="10">
        <f t="shared" si="151"/>
        <v>7.7922834608446599E-3</v>
      </c>
      <c r="G1208" s="66">
        <f t="shared" si="156"/>
        <v>2</v>
      </c>
      <c r="H1208" s="10"/>
      <c r="I1208" s="10">
        <f t="shared" si="152"/>
        <v>2.9449285350892239E-34</v>
      </c>
    </row>
    <row r="1209" spans="1:9">
      <c r="A1209" s="19">
        <f t="shared" si="153"/>
        <v>99.583333333332035</v>
      </c>
      <c r="B1209" s="10">
        <f t="shared" si="149"/>
        <v>3.9086575637429947E-25</v>
      </c>
      <c r="C1209" s="10">
        <f t="shared" si="150"/>
        <v>5.8269129675445556E-9</v>
      </c>
      <c r="D1209" s="10">
        <f t="shared" si="154"/>
        <v>4.0669350271957461</v>
      </c>
      <c r="E1209" s="10">
        <f t="shared" si="155"/>
        <v>1.283808589015603</v>
      </c>
      <c r="F1209" s="10">
        <f t="shared" si="151"/>
        <v>7.7606655487555366E-3</v>
      </c>
      <c r="G1209" s="66">
        <f t="shared" si="156"/>
        <v>4</v>
      </c>
      <c r="H1209" s="10"/>
      <c r="I1209" s="10">
        <f t="shared" si="152"/>
        <v>3.7830253896032706E-34</v>
      </c>
    </row>
    <row r="1210" spans="1:9">
      <c r="A1210" s="19">
        <f t="shared" si="153"/>
        <v>99.666666666665364</v>
      </c>
      <c r="B1210" s="10">
        <f t="shared" si="149"/>
        <v>2.7822485653513898E-25</v>
      </c>
      <c r="C1210" s="10">
        <f t="shared" si="150"/>
        <v>5.2341327090129782E-9</v>
      </c>
      <c r="D1210" s="10">
        <f t="shared" si="154"/>
        <v>4.0915187156202943</v>
      </c>
      <c r="E1210" s="10">
        <f t="shared" si="155"/>
        <v>1.2910668640129581</v>
      </c>
      <c r="F1210" s="10">
        <f t="shared" si="151"/>
        <v>7.7291759292740818E-3</v>
      </c>
      <c r="G1210" s="66">
        <f t="shared" si="156"/>
        <v>2</v>
      </c>
      <c r="H1210" s="10"/>
      <c r="I1210" s="10">
        <f t="shared" si="152"/>
        <v>1.2116991098240634E-34</v>
      </c>
    </row>
    <row r="1211" spans="1:9">
      <c r="A1211" s="19">
        <f t="shared" si="153"/>
        <v>99.749999999998693</v>
      </c>
      <c r="B1211" s="10">
        <f t="shared" si="149"/>
        <v>1.9763862820265604E-25</v>
      </c>
      <c r="C1211" s="10">
        <f t="shared" si="150"/>
        <v>4.6988058470337325E-9</v>
      </c>
      <c r="D1211" s="10">
        <f t="shared" si="154"/>
        <v>4.1162510104506955</v>
      </c>
      <c r="E1211" s="10">
        <f t="shared" si="155"/>
        <v>1.2983661783524081</v>
      </c>
      <c r="F1211" s="10">
        <f t="shared" si="151"/>
        <v>7.6978140818411527E-3</v>
      </c>
      <c r="G1211" s="66">
        <f t="shared" si="156"/>
        <v>4</v>
      </c>
      <c r="H1211" s="10"/>
      <c r="I1211" s="10">
        <f t="shared" si="152"/>
        <v>1.5482978047510808E-34</v>
      </c>
    </row>
    <row r="1212" spans="1:9">
      <c r="A1212" s="19">
        <f t="shared" si="153"/>
        <v>99.833333333332021</v>
      </c>
      <c r="B1212" s="10">
        <f t="shared" si="149"/>
        <v>1.4010380823512703E-25</v>
      </c>
      <c r="C1212" s="10">
        <f t="shared" si="150"/>
        <v>4.2156578359170065E-9</v>
      </c>
      <c r="D1212" s="10">
        <f t="shared" si="154"/>
        <v>4.1411328100006228</v>
      </c>
      <c r="E1212" s="10">
        <f t="shared" si="155"/>
        <v>1.3057067640763638</v>
      </c>
      <c r="F1212" s="10">
        <f t="shared" si="151"/>
        <v>7.6665794880098233E-3</v>
      </c>
      <c r="G1212" s="66">
        <f t="shared" si="156"/>
        <v>2</v>
      </c>
      <c r="H1212" s="10"/>
      <c r="I1212" s="10">
        <f t="shared" si="152"/>
        <v>4.9327773931607142E-35</v>
      </c>
    </row>
    <row r="1213" spans="1:9">
      <c r="A1213" s="19">
        <f t="shared" si="153"/>
        <v>99.91666666666535</v>
      </c>
      <c r="B1213" s="10">
        <f t="shared" si="149"/>
        <v>9.9111677844526092E-26</v>
      </c>
      <c r="C1213" s="10">
        <f t="shared" si="150"/>
        <v>3.7798693835321603E-9</v>
      </c>
      <c r="D1213" s="10">
        <f t="shared" si="154"/>
        <v>4.1661650180140084</v>
      </c>
      <c r="E1213" s="10">
        <f t="shared" si="155"/>
        <v>1.3130888545392316</v>
      </c>
      <c r="F1213" s="10">
        <f t="shared" si="151"/>
        <v>7.6354716314368156E-3</v>
      </c>
      <c r="G1213" s="66">
        <f t="shared" si="156"/>
        <v>4</v>
      </c>
      <c r="H1213" s="10"/>
      <c r="I1213" s="10">
        <f t="shared" si="152"/>
        <v>6.2692978519955663E-35</v>
      </c>
    </row>
    <row r="1214" spans="1:9">
      <c r="A1214" s="19">
        <f t="shared" si="153"/>
        <v>99.999999999998678</v>
      </c>
      <c r="B1214" s="10">
        <f t="shared" si="149"/>
        <v>6.996664270165031E-26</v>
      </c>
      <c r="C1214" s="10">
        <f t="shared" si="150"/>
        <v>3.3870398780821265E-9</v>
      </c>
      <c r="D1214" s="10">
        <f t="shared" si="154"/>
        <v>4.1913485436978348</v>
      </c>
      <c r="E1214" s="10">
        <f t="shared" si="155"/>
        <v>1.3205126844148392</v>
      </c>
      <c r="F1214" s="10">
        <f t="shared" ref="F1214" si="157">1.05^-A1214</f>
        <v>7.6044899978739639E-3</v>
      </c>
      <c r="G1214" s="66">
        <v>1</v>
      </c>
      <c r="H1214" s="10"/>
      <c r="I1214" s="10">
        <f t="shared" si="152"/>
        <v>9.93298347314716E-36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9"/>
  <sheetViews>
    <sheetView zoomScale="125" zoomScaleNormal="125" zoomScalePageLayoutView="125" workbookViewId="0"/>
  </sheetViews>
  <sheetFormatPr baseColWidth="10" defaultRowHeight="12" x14ac:dyDescent="0"/>
  <sheetData>
    <row r="1" spans="1:17" ht="15">
      <c r="A1" s="70" t="s">
        <v>740</v>
      </c>
      <c r="I1" s="66"/>
      <c r="P1" s="66"/>
      <c r="Q1" s="10"/>
    </row>
    <row r="2" spans="1:17">
      <c r="I2" s="66"/>
      <c r="P2" s="66"/>
      <c r="Q2" s="10"/>
    </row>
    <row r="3" spans="1:17">
      <c r="A3" s="52" t="s">
        <v>9</v>
      </c>
      <c r="B3" s="51">
        <v>1E-4</v>
      </c>
      <c r="I3" s="66"/>
      <c r="P3" s="66"/>
      <c r="Q3" s="10"/>
    </row>
    <row r="4" spans="1:17">
      <c r="A4" s="52" t="s">
        <v>10</v>
      </c>
      <c r="B4" s="51">
        <v>2.9999999999999997E-4</v>
      </c>
      <c r="I4" s="66"/>
      <c r="P4" s="66"/>
      <c r="Q4" s="10"/>
    </row>
    <row r="5" spans="1:17">
      <c r="A5" s="52" t="s">
        <v>24</v>
      </c>
      <c r="B5" s="51">
        <v>1.075</v>
      </c>
      <c r="I5" s="66"/>
      <c r="P5" s="66"/>
      <c r="Q5" s="10"/>
    </row>
    <row r="6" spans="1:17">
      <c r="A6" s="52" t="s">
        <v>12</v>
      </c>
      <c r="B6" s="51">
        <v>3.5E-4</v>
      </c>
      <c r="I6" s="66"/>
      <c r="P6" s="66"/>
      <c r="Q6" s="10"/>
    </row>
    <row r="7" spans="1:17">
      <c r="A7" s="52" t="s">
        <v>74</v>
      </c>
      <c r="B7" s="61">
        <v>0.05</v>
      </c>
      <c r="I7" s="66"/>
      <c r="P7" s="66"/>
      <c r="Q7" s="10"/>
    </row>
    <row r="8" spans="1:17">
      <c r="A8" s="52" t="s">
        <v>252</v>
      </c>
      <c r="B8" s="51">
        <v>28</v>
      </c>
      <c r="I8" s="66"/>
      <c r="P8" s="66"/>
      <c r="Q8" s="10"/>
    </row>
    <row r="9" spans="1:17">
      <c r="A9" s="52" t="s">
        <v>253</v>
      </c>
      <c r="B9" s="51">
        <v>27</v>
      </c>
      <c r="I9" s="66"/>
      <c r="P9" s="66"/>
      <c r="Q9" s="10"/>
    </row>
    <row r="10" spans="1:17">
      <c r="A10" s="9" t="s">
        <v>27</v>
      </c>
      <c r="B10" s="18">
        <f>EXP(-B3)</f>
        <v>0.99990000499983334</v>
      </c>
      <c r="I10" s="66"/>
      <c r="P10" s="66"/>
      <c r="Q10" s="10"/>
    </row>
    <row r="11" spans="1:17">
      <c r="A11" s="9" t="s">
        <v>245</v>
      </c>
      <c r="B11" s="79">
        <f>EXP(-B6/LN(B5))</f>
        <v>0.99517213429186457</v>
      </c>
      <c r="I11" s="66"/>
      <c r="P11" s="66"/>
      <c r="Q11" s="10"/>
    </row>
    <row r="12" spans="1:17">
      <c r="A12" s="9" t="s">
        <v>246</v>
      </c>
      <c r="B12" s="6">
        <f>EXP(-B4/LN(B5))</f>
        <v>0.99586039972363061</v>
      </c>
      <c r="I12" s="66"/>
      <c r="P12" s="66"/>
      <c r="Q12" s="10"/>
    </row>
    <row r="13" spans="1:17">
      <c r="A13" s="9" t="s">
        <v>247</v>
      </c>
      <c r="B13" s="6">
        <f>5/100000</f>
        <v>5.0000000000000002E-5</v>
      </c>
      <c r="I13" s="66"/>
      <c r="P13" s="66" t="s">
        <v>255</v>
      </c>
      <c r="Q13" s="10"/>
    </row>
    <row r="14" spans="1:17" ht="14" customHeight="1">
      <c r="G14" s="66" t="s">
        <v>75</v>
      </c>
      <c r="I14" s="66"/>
      <c r="N14" s="102" t="s">
        <v>248</v>
      </c>
      <c r="P14" s="66" t="s">
        <v>121</v>
      </c>
      <c r="Q14" s="10" t="s">
        <v>92</v>
      </c>
    </row>
    <row r="15" spans="1:17" ht="14" customHeight="1">
      <c r="A15" s="66" t="s">
        <v>0</v>
      </c>
      <c r="B15" s="7" t="s">
        <v>249</v>
      </c>
      <c r="C15" s="7" t="s">
        <v>250</v>
      </c>
      <c r="D15" s="66" t="s">
        <v>254</v>
      </c>
      <c r="E15" s="66" t="s">
        <v>23</v>
      </c>
      <c r="F15" s="66" t="s">
        <v>85</v>
      </c>
      <c r="G15" s="66" t="s">
        <v>86</v>
      </c>
      <c r="I15" s="66" t="s">
        <v>0</v>
      </c>
      <c r="J15" s="7" t="s">
        <v>249</v>
      </c>
      <c r="K15" s="7" t="s">
        <v>250</v>
      </c>
      <c r="L15" s="66" t="s">
        <v>254</v>
      </c>
      <c r="M15" s="66" t="s">
        <v>23</v>
      </c>
      <c r="N15" s="102" t="s">
        <v>251</v>
      </c>
      <c r="O15" s="66" t="s">
        <v>85</v>
      </c>
      <c r="P15" s="66" t="s">
        <v>22</v>
      </c>
      <c r="Q15" s="10" t="s">
        <v>86</v>
      </c>
    </row>
    <row r="16" spans="1:17">
      <c r="A16" s="66">
        <v>0</v>
      </c>
      <c r="B16" s="10">
        <f>(B$10^A16)*(B$11^((B$5^B$8)*((B$5^A16)-1)))</f>
        <v>1</v>
      </c>
      <c r="C16" s="10">
        <f>(B$10^A16)*B$12^((B$5^B$9)*((B$5^A16)-1))</f>
        <v>1</v>
      </c>
      <c r="D16" s="10">
        <f>EXP(-B$13*A16)</f>
        <v>1</v>
      </c>
      <c r="E16" s="10">
        <f>B16*C16*D16</f>
        <v>1</v>
      </c>
      <c r="F16" s="10">
        <f>1.05^-A16</f>
        <v>1</v>
      </c>
      <c r="G16" s="10">
        <f>E16*F16</f>
        <v>1</v>
      </c>
      <c r="I16" s="66">
        <v>0</v>
      </c>
      <c r="J16" s="10">
        <f>(B$10^I16)*(B$11^((B$5^B$8)*((B$5^I16)-1)))</f>
        <v>1</v>
      </c>
      <c r="K16" s="10">
        <f>(B$10^I16)*B$12^((B$5^B$9)*((B$5^I16)-1))</f>
        <v>1</v>
      </c>
      <c r="L16" s="10">
        <f>EXP(-B$13*I16)</f>
        <v>1</v>
      </c>
      <c r="M16" s="10">
        <f>J16*K16*L16</f>
        <v>1</v>
      </c>
      <c r="N16" s="10">
        <f>B$3+B$6*(B$5^(B$8+I16)) +B$13</f>
        <v>2.8015818852474769E-3</v>
      </c>
      <c r="O16" s="10">
        <f>(1+B$7)^-I16</f>
        <v>1</v>
      </c>
      <c r="P16" s="66">
        <v>1</v>
      </c>
      <c r="Q16" s="10">
        <f>0.2*M16*N16*O16*P16</f>
        <v>5.6031637704949541E-4</v>
      </c>
    </row>
    <row r="17" spans="1:17">
      <c r="A17" s="66">
        <v>1</v>
      </c>
      <c r="B17" s="10">
        <f t="shared" ref="B17:B45" si="0">(B$10^A17)*(B$11^((B$5^B$8)*((B$5^A17)-1)))</f>
        <v>0.99715423909156919</v>
      </c>
      <c r="C17" s="10">
        <f t="shared" ref="C17:C45" si="1">(B$10^A17)*B$12^((B$5^B$9)*((B$5^A17)-1))</f>
        <v>0.99771008013421869</v>
      </c>
      <c r="D17" s="10">
        <f t="shared" ref="D17:D45" si="2">EXP(-B$13*A17)</f>
        <v>0.99995000124997913</v>
      </c>
      <c r="E17" s="10">
        <f t="shared" ref="E17:E45" si="3">B17*C17*D17</f>
        <v>0.99482109349200365</v>
      </c>
      <c r="F17" s="10">
        <f t="shared" ref="F17:F45" si="4">1.05^-A17</f>
        <v>0.95238095238095233</v>
      </c>
      <c r="G17" s="10">
        <f t="shared" ref="G17:G45" si="5">E17*F17</f>
        <v>0.9474486604685749</v>
      </c>
      <c r="I17" s="66">
        <v>0.2</v>
      </c>
      <c r="J17" s="10">
        <f t="shared" ref="J17:J80" si="6">(B$10^I17)*(B$11^((B$5^B$8)*((B$5^I17)-1)))</f>
        <v>0.99944598330537515</v>
      </c>
      <c r="K17" s="10">
        <f t="shared" ref="K17:K80" si="7">(B$10^I17)*B$12^((B$5^B$9)*((B$5^I17)-1))</f>
        <v>0.999554182952613</v>
      </c>
      <c r="L17" s="10">
        <f t="shared" ref="L17:L80" si="8">EXP(-B$13*I17)</f>
        <v>0.99999000004999983</v>
      </c>
      <c r="M17" s="10">
        <f t="shared" ref="M17:M80" si="9">J17*K17*L17</f>
        <v>0.99899042329389254</v>
      </c>
      <c r="N17" s="10">
        <f t="shared" ref="N17:N80" si="10">B$3+B$6*(B$5^(B$8+I17)) +B$13</f>
        <v>2.8402134288512942E-3</v>
      </c>
      <c r="O17" s="10">
        <f t="shared" ref="O17:O80" si="11">(1+B$7)^-I17</f>
        <v>0.99028942228686234</v>
      </c>
      <c r="P17" s="66">
        <v>4</v>
      </c>
      <c r="Q17" s="10">
        <f>0.2*M17*N17*O17*P17</f>
        <v>2.2478349972402051E-3</v>
      </c>
    </row>
    <row r="18" spans="1:17">
      <c r="A18" s="66">
        <v>2</v>
      </c>
      <c r="B18" s="10">
        <f t="shared" si="0"/>
        <v>0.99411153347726355</v>
      </c>
      <c r="C18" s="10">
        <f t="shared" si="1"/>
        <v>0.99526172877944374</v>
      </c>
      <c r="D18" s="10">
        <f t="shared" si="2"/>
        <v>0.99990000499983334</v>
      </c>
      <c r="E18" s="10">
        <f t="shared" si="3"/>
        <v>0.98930222823866532</v>
      </c>
      <c r="F18" s="10">
        <f t="shared" si="4"/>
        <v>0.90702947845804982</v>
      </c>
      <c r="G18" s="10">
        <f t="shared" si="5"/>
        <v>0.89732628411670312</v>
      </c>
      <c r="I18" s="66">
        <v>0.4</v>
      </c>
      <c r="J18" s="10">
        <f t="shared" si="6"/>
        <v>0.998884499740052</v>
      </c>
      <c r="K18" s="10">
        <f t="shared" si="7"/>
        <v>0.99910236492815407</v>
      </c>
      <c r="L18" s="10">
        <f t="shared" si="8"/>
        <v>0.99998000019999866</v>
      </c>
      <c r="M18" s="10">
        <f t="shared" si="9"/>
        <v>0.99796790642263866</v>
      </c>
      <c r="N18" s="10">
        <f t="shared" si="10"/>
        <v>2.8794078048418911E-3</v>
      </c>
      <c r="O18" s="10">
        <f t="shared" si="11"/>
        <v>0.98067313989324767</v>
      </c>
      <c r="P18" s="66">
        <f>IF(P17=4,2,4)</f>
        <v>2</v>
      </c>
      <c r="Q18" s="10">
        <f>0.2*M18*N18*O18*P18</f>
        <v>1.127207901091607E-3</v>
      </c>
    </row>
    <row r="19" spans="1:17">
      <c r="A19" s="66">
        <v>3</v>
      </c>
      <c r="B19" s="10">
        <f t="shared" si="0"/>
        <v>0.99085841065693459</v>
      </c>
      <c r="C19" s="10">
        <f t="shared" si="1"/>
        <v>0.9926438964642017</v>
      </c>
      <c r="D19" s="10">
        <f t="shared" si="2"/>
        <v>0.99985001124943751</v>
      </c>
      <c r="E19" s="10">
        <f t="shared" si="3"/>
        <v>0.98342202923039002</v>
      </c>
      <c r="F19" s="10">
        <f t="shared" si="4"/>
        <v>0.86383759853147601</v>
      </c>
      <c r="G19" s="10">
        <f t="shared" si="5"/>
        <v>0.84951692407333113</v>
      </c>
      <c r="I19" s="66">
        <v>0.6</v>
      </c>
      <c r="J19" s="10">
        <f t="shared" si="6"/>
        <v>0.99831544904232428</v>
      </c>
      <c r="K19" s="10">
        <f t="shared" si="7"/>
        <v>0.99864446396150819</v>
      </c>
      <c r="L19" s="10">
        <f t="shared" si="8"/>
        <v>0.99997000044999551</v>
      </c>
      <c r="M19" s="10">
        <f t="shared" si="9"/>
        <v>0.99693228805609857</v>
      </c>
      <c r="N19" s="10">
        <f t="shared" si="10"/>
        <v>2.9191732132616693E-3</v>
      </c>
      <c r="O19" s="10">
        <f t="shared" si="11"/>
        <v>0.97115023715712745</v>
      </c>
      <c r="P19" s="66">
        <f t="shared" ref="P19:P82" si="12">IF(P18=4,2,4)</f>
        <v>4</v>
      </c>
      <c r="Q19" s="10">
        <f t="shared" ref="Q19:Q82" si="13">0.2*M19*N19*O19*P19</f>
        <v>2.2610071445771564E-3</v>
      </c>
    </row>
    <row r="20" spans="1:17">
      <c r="A20" s="66">
        <v>4</v>
      </c>
      <c r="B20" s="10">
        <f t="shared" si="0"/>
        <v>0.98738058103181248</v>
      </c>
      <c r="C20" s="10">
        <f t="shared" si="1"/>
        <v>0.98984482970468735</v>
      </c>
      <c r="D20" s="10">
        <f t="shared" si="2"/>
        <v>0.99980001999866674</v>
      </c>
      <c r="E20" s="10">
        <f t="shared" si="3"/>
        <v>0.97715811191830082</v>
      </c>
      <c r="F20" s="10">
        <f t="shared" si="4"/>
        <v>0.82270247479188197</v>
      </c>
      <c r="G20" s="10">
        <f t="shared" si="5"/>
        <v>0.80391039693814881</v>
      </c>
      <c r="I20" s="66">
        <v>0.8</v>
      </c>
      <c r="J20" s="10">
        <f t="shared" si="6"/>
        <v>0.99773872973044542</v>
      </c>
      <c r="K20" s="10">
        <f t="shared" si="7"/>
        <v>0.99818039704832151</v>
      </c>
      <c r="L20" s="10">
        <f t="shared" si="8"/>
        <v>0.99996000079998937</v>
      </c>
      <c r="M20" s="10">
        <f t="shared" si="9"/>
        <v>0.99588340525989627</v>
      </c>
      <c r="N20" s="10">
        <f t="shared" si="10"/>
        <v>2.9595179736214491E-3</v>
      </c>
      <c r="O20" s="10">
        <f t="shared" si="11"/>
        <v>0.96171980730808126</v>
      </c>
      <c r="P20" s="66">
        <f t="shared" si="12"/>
        <v>2</v>
      </c>
      <c r="Q20" s="10">
        <f t="shared" si="13"/>
        <v>1.1338041167963874E-3</v>
      </c>
    </row>
    <row r="21" spans="1:17">
      <c r="A21" s="66">
        <v>5</v>
      </c>
      <c r="B21" s="10">
        <f t="shared" si="0"/>
        <v>0.98366290492950259</v>
      </c>
      <c r="C21" s="10">
        <f t="shared" si="1"/>
        <v>0.98685203665755683</v>
      </c>
      <c r="D21" s="10">
        <f t="shared" si="2"/>
        <v>0.99975003124739603</v>
      </c>
      <c r="E21" s="10">
        <f t="shared" si="3"/>
        <v>0.97048708901166647</v>
      </c>
      <c r="F21" s="10">
        <f t="shared" si="4"/>
        <v>0.78352616646845896</v>
      </c>
      <c r="G21" s="10">
        <f t="shared" si="5"/>
        <v>0.76040202846044513</v>
      </c>
      <c r="I21" s="66">
        <v>1</v>
      </c>
      <c r="J21" s="10">
        <f t="shared" si="6"/>
        <v>0.99715423909156919</v>
      </c>
      <c r="K21" s="10">
        <f t="shared" si="7"/>
        <v>0.99771008013421869</v>
      </c>
      <c r="L21" s="10">
        <f t="shared" si="8"/>
        <v>0.99995000124997913</v>
      </c>
      <c r="M21" s="10">
        <f t="shared" si="9"/>
        <v>0.99482109349200365</v>
      </c>
      <c r="N21" s="10">
        <f t="shared" si="10"/>
        <v>3.0004505266410381E-3</v>
      </c>
      <c r="O21" s="10">
        <f t="shared" si="11"/>
        <v>0.95238095238095233</v>
      </c>
      <c r="P21" s="66">
        <f t="shared" si="12"/>
        <v>4</v>
      </c>
      <c r="Q21" s="10">
        <f>0.2*M21*N21*O21*P21</f>
        <v>2.2742182658146252E-3</v>
      </c>
    </row>
    <row r="22" spans="1:17">
      <c r="A22" s="66">
        <v>6</v>
      </c>
      <c r="B22" s="10">
        <f t="shared" si="0"/>
        <v>0.979689361167147</v>
      </c>
      <c r="C22" s="10">
        <f t="shared" si="1"/>
        <v>0.98365225286244828</v>
      </c>
      <c r="D22" s="10">
        <f t="shared" si="2"/>
        <v>0.99970004499550036</v>
      </c>
      <c r="E22" s="10">
        <f t="shared" si="3"/>
        <v>0.96338458848424957</v>
      </c>
      <c r="F22" s="10">
        <f t="shared" si="4"/>
        <v>0.74621539663662761</v>
      </c>
      <c r="G22" s="10">
        <f t="shared" si="5"/>
        <v>0.71889241280938854</v>
      </c>
      <c r="I22" s="66">
        <v>1.2</v>
      </c>
      <c r="J22" s="10">
        <f t="shared" si="6"/>
        <v>0.99656187317071077</v>
      </c>
      <c r="K22" s="10">
        <f t="shared" si="7"/>
        <v>0.9972334281039853</v>
      </c>
      <c r="L22" s="10">
        <f t="shared" si="8"/>
        <v>0.99994000179996401</v>
      </c>
      <c r="M22" s="10">
        <f t="shared" si="9"/>
        <v>0.99374518659978384</v>
      </c>
      <c r="N22" s="10">
        <f t="shared" si="10"/>
        <v>3.04197943601514E-3</v>
      </c>
      <c r="O22" s="10">
        <f t="shared" si="11"/>
        <v>0.9431327831303451</v>
      </c>
      <c r="P22" s="66">
        <f t="shared" si="12"/>
        <v>2</v>
      </c>
      <c r="Q22" s="10">
        <f t="shared" si="13"/>
        <v>1.1404182125165508E-3</v>
      </c>
    </row>
    <row r="23" spans="1:17">
      <c r="A23" s="66">
        <v>7</v>
      </c>
      <c r="B23" s="10">
        <f t="shared" si="0"/>
        <v>0.97544301780292775</v>
      </c>
      <c r="C23" s="10">
        <f t="shared" si="1"/>
        <v>0.98023140744909387</v>
      </c>
      <c r="D23" s="10">
        <f t="shared" si="2"/>
        <v>0.99965006124285483</v>
      </c>
      <c r="E23" s="10">
        <f t="shared" si="3"/>
        <v>0.95582528482653661</v>
      </c>
      <c r="F23" s="10">
        <f t="shared" si="4"/>
        <v>0.71068133013012147</v>
      </c>
      <c r="G23" s="10">
        <f t="shared" si="5"/>
        <v>0.67928718479252526</v>
      </c>
      <c r="I23" s="66">
        <v>1.4</v>
      </c>
      <c r="J23" s="10">
        <f t="shared" si="6"/>
        <v>0.9959615267597367</v>
      </c>
      <c r="K23" s="10">
        <f t="shared" si="7"/>
        <v>0.9967503547707135</v>
      </c>
      <c r="L23" s="10">
        <f t="shared" si="8"/>
        <v>0.99993000244994279</v>
      </c>
      <c r="M23" s="10">
        <f t="shared" si="9"/>
        <v>0.99265551681750896</v>
      </c>
      <c r="N23" s="10">
        <f t="shared" si="10"/>
        <v>3.0841133902050314E-3</v>
      </c>
      <c r="O23" s="10">
        <f t="shared" si="11"/>
        <v>0.93397441894595001</v>
      </c>
      <c r="P23" s="66">
        <f t="shared" si="12"/>
        <v>4</v>
      </c>
      <c r="Q23" s="10">
        <f t="shared" si="13"/>
        <v>2.2874618820353334E-3</v>
      </c>
    </row>
    <row r="24" spans="1:17">
      <c r="A24" s="66">
        <v>8</v>
      </c>
      <c r="B24" s="10">
        <f t="shared" si="0"/>
        <v>0.97090600583788089</v>
      </c>
      <c r="C24" s="10">
        <f t="shared" si="1"/>
        <v>0.97657459025863913</v>
      </c>
      <c r="D24" s="10">
        <f t="shared" si="2"/>
        <v>0.99960007998933442</v>
      </c>
      <c r="E24" s="10">
        <f t="shared" si="3"/>
        <v>0.94778294581970612</v>
      </c>
      <c r="F24" s="10">
        <f t="shared" si="4"/>
        <v>0.67683936202868722</v>
      </c>
      <c r="G24" s="10">
        <f t="shared" si="5"/>
        <v>0.64149680439027967</v>
      </c>
      <c r="I24" s="66">
        <v>1.6</v>
      </c>
      <c r="J24" s="10">
        <f t="shared" si="6"/>
        <v>0.99535309338638522</v>
      </c>
      <c r="K24" s="10">
        <f t="shared" si="7"/>
        <v>0.99626077286491854</v>
      </c>
      <c r="L24" s="10">
        <f t="shared" si="8"/>
        <v>0.9999200031999147</v>
      </c>
      <c r="M24" s="10">
        <f t="shared" si="9"/>
        <v>0.99155191476437576</v>
      </c>
      <c r="N24" s="10">
        <f t="shared" si="10"/>
        <v>3.1268612042562945E-3</v>
      </c>
      <c r="O24" s="10">
        <f t="shared" si="11"/>
        <v>0.92490498776869279</v>
      </c>
      <c r="P24" s="66">
        <f t="shared" si="12"/>
        <v>2</v>
      </c>
      <c r="Q24" s="10">
        <f t="shared" si="13"/>
        <v>1.1470468971974835E-3</v>
      </c>
    </row>
    <row r="25" spans="1:17">
      <c r="A25" s="66">
        <v>9</v>
      </c>
      <c r="B25" s="10">
        <f t="shared" si="0"/>
        <v>0.96605949675551317</v>
      </c>
      <c r="C25" s="10">
        <f t="shared" si="1"/>
        <v>0.97266602041400385</v>
      </c>
      <c r="D25" s="10">
        <f t="shared" si="2"/>
        <v>0.99955010123481425</v>
      </c>
      <c r="E25" s="10">
        <f t="shared" si="3"/>
        <v>0.93923049735717556</v>
      </c>
      <c r="F25" s="10">
        <f t="shared" si="4"/>
        <v>0.64460891621779726</v>
      </c>
      <c r="G25" s="10">
        <f t="shared" si="5"/>
        <v>0.60543635298011167</v>
      </c>
      <c r="I25" s="66">
        <v>1.8</v>
      </c>
      <c r="J25" s="10">
        <f t="shared" si="6"/>
        <v>0.99473646530332627</v>
      </c>
      <c r="K25" s="10">
        <f t="shared" si="7"/>
        <v>0.99576459402362805</v>
      </c>
      <c r="L25" s="10">
        <f t="shared" si="8"/>
        <v>0.99991000404987851</v>
      </c>
      <c r="M25" s="10">
        <f t="shared" si="9"/>
        <v>0.99043420944303662</v>
      </c>
      <c r="N25" s="10">
        <f t="shared" si="10"/>
        <v>3.1702318216430578E-3</v>
      </c>
      <c r="O25" s="10">
        <f t="shared" si="11"/>
        <v>0.91592362600769639</v>
      </c>
      <c r="P25" s="66">
        <f t="shared" si="12"/>
        <v>4</v>
      </c>
      <c r="Q25" s="10">
        <f t="shared" si="13"/>
        <v>2.3007313062609258E-3</v>
      </c>
    </row>
    <row r="26" spans="1:17">
      <c r="A26" s="66">
        <v>10</v>
      </c>
      <c r="B26" s="10">
        <f t="shared" si="0"/>
        <v>0.9608836849268807</v>
      </c>
      <c r="C26" s="10">
        <f t="shared" si="1"/>
        <v>0.96848901697082035</v>
      </c>
      <c r="D26" s="10">
        <f t="shared" si="2"/>
        <v>0.99950012497916929</v>
      </c>
      <c r="E26" s="10">
        <f t="shared" si="3"/>
        <v>0.93014010909669187</v>
      </c>
      <c r="F26" s="10">
        <f t="shared" si="4"/>
        <v>0.61391325354075932</v>
      </c>
      <c r="G26" s="10">
        <f t="shared" si="5"/>
        <v>0.57102534062430688</v>
      </c>
      <c r="I26" s="66">
        <v>2</v>
      </c>
      <c r="J26" s="10">
        <f t="shared" si="6"/>
        <v>0.99411153347726355</v>
      </c>
      <c r="K26" s="10">
        <f t="shared" si="7"/>
        <v>0.99526172877944374</v>
      </c>
      <c r="L26" s="10">
        <f t="shared" si="8"/>
        <v>0.99990000499983334</v>
      </c>
      <c r="M26" s="10">
        <f t="shared" si="9"/>
        <v>0.98930222823866532</v>
      </c>
      <c r="N26" s="10">
        <f t="shared" si="10"/>
        <v>3.2142343161391156E-3</v>
      </c>
      <c r="O26" s="10">
        <f t="shared" si="11"/>
        <v>0.90702947845804982</v>
      </c>
      <c r="P26" s="66">
        <f t="shared" si="12"/>
        <v>2</v>
      </c>
      <c r="Q26" s="10">
        <f t="shared" si="13"/>
        <v>1.1536867740726021E-3</v>
      </c>
    </row>
    <row r="27" spans="1:17">
      <c r="A27" s="66">
        <v>11</v>
      </c>
      <c r="B27" s="10">
        <f t="shared" si="0"/>
        <v>0.95535777606438477</v>
      </c>
      <c r="C27" s="10">
        <f t="shared" si="1"/>
        <v>0.96402597238969967</v>
      </c>
      <c r="D27" s="10">
        <f t="shared" si="2"/>
        <v>0.99945015122227465</v>
      </c>
      <c r="E27" s="10">
        <f t="shared" si="3"/>
        <v>0.92048330398471045</v>
      </c>
      <c r="F27" s="10">
        <f t="shared" si="4"/>
        <v>0.5846792890864374</v>
      </c>
      <c r="G27" s="10">
        <f t="shared" si="5"/>
        <v>0.53818752378971557</v>
      </c>
      <c r="I27" s="66">
        <v>2.2000000000000002</v>
      </c>
      <c r="J27" s="10">
        <f t="shared" si="6"/>
        <v>0.99347818757808659</v>
      </c>
      <c r="K27" s="10">
        <f t="shared" si="7"/>
        <v>0.99475208654958336</v>
      </c>
      <c r="L27" s="10">
        <f t="shared" si="8"/>
        <v>0.99989000604977818</v>
      </c>
      <c r="M27" s="10">
        <f t="shared" si="9"/>
        <v>0.98815579691857724</v>
      </c>
      <c r="N27" s="10">
        <f t="shared" si="10"/>
        <v>3.2588778937162753E-3</v>
      </c>
      <c r="O27" s="10">
        <f t="shared" si="11"/>
        <v>0.89822169821937625</v>
      </c>
      <c r="P27" s="66">
        <f t="shared" si="12"/>
        <v>4</v>
      </c>
      <c r="Q27" s="10">
        <f t="shared" si="13"/>
        <v>2.3140196367097098E-3</v>
      </c>
    </row>
    <row r="28" spans="1:17">
      <c r="A28" s="66">
        <v>12</v>
      </c>
      <c r="B28" s="10">
        <f t="shared" si="0"/>
        <v>0.94945998307912394</v>
      </c>
      <c r="C28" s="10">
        <f t="shared" si="1"/>
        <v>0.95925832969328217</v>
      </c>
      <c r="D28" s="10">
        <f t="shared" si="2"/>
        <v>0.99940017996400543</v>
      </c>
      <c r="E28" s="10">
        <f t="shared" si="3"/>
        <v>0.91023109494775345</v>
      </c>
      <c r="F28" s="10">
        <f t="shared" si="4"/>
        <v>0.5568374181775595</v>
      </c>
      <c r="G28" s="10">
        <f t="shared" si="5"/>
        <v>0.50685073285564008</v>
      </c>
      <c r="I28" s="66">
        <v>2.4</v>
      </c>
      <c r="J28" s="10">
        <f t="shared" si="6"/>
        <v>0.99283631596807798</v>
      </c>
      <c r="K28" s="10">
        <f t="shared" si="7"/>
        <v>0.99423557562490428</v>
      </c>
      <c r="L28" s="10">
        <f t="shared" si="8"/>
        <v>0.99988000719971204</v>
      </c>
      <c r="M28" s="10">
        <f t="shared" si="9"/>
        <v>0.98699473963242912</v>
      </c>
      <c r="N28" s="10">
        <f t="shared" si="10"/>
        <v>3.304171894470409E-3</v>
      </c>
      <c r="O28" s="10">
        <f t="shared" si="11"/>
        <v>0.88949944661519054</v>
      </c>
      <c r="P28" s="66">
        <f t="shared" si="12"/>
        <v>2</v>
      </c>
      <c r="Q28" s="10">
        <f t="shared" si="13"/>
        <v>1.1603343372761511E-3</v>
      </c>
    </row>
    <row r="29" spans="1:17">
      <c r="A29" s="66">
        <v>13</v>
      </c>
      <c r="B29" s="10">
        <f t="shared" si="0"/>
        <v>0.94316753088446759</v>
      </c>
      <c r="C29" s="10">
        <f t="shared" si="1"/>
        <v>0.95416656430865587</v>
      </c>
      <c r="D29" s="10">
        <f t="shared" si="2"/>
        <v>0.99935021120423662</v>
      </c>
      <c r="E29" s="10">
        <f t="shared" si="3"/>
        <v>0.89935415228279114</v>
      </c>
      <c r="F29" s="10">
        <f t="shared" si="4"/>
        <v>0.53032135064529462</v>
      </c>
      <c r="G29" s="10">
        <f t="shared" si="5"/>
        <v>0.4769467087470638</v>
      </c>
      <c r="I29" s="66">
        <v>2.6</v>
      </c>
      <c r="J29" s="10">
        <f t="shared" si="6"/>
        <v>0.99218580569118375</v>
      </c>
      <c r="K29" s="10">
        <f t="shared" si="7"/>
        <v>0.99371210315891023</v>
      </c>
      <c r="L29" s="10">
        <f t="shared" si="8"/>
        <v>0.99987000844963381</v>
      </c>
      <c r="M29" s="10">
        <f t="shared" si="9"/>
        <v>0.98581887891301478</v>
      </c>
      <c r="N29" s="10">
        <f t="shared" si="10"/>
        <v>3.3501257945755167E-3</v>
      </c>
      <c r="O29" s="10">
        <f t="shared" si="11"/>
        <v>0.88086189311304075</v>
      </c>
      <c r="P29" s="66">
        <f t="shared" si="12"/>
        <v>4</v>
      </c>
      <c r="Q29" s="10">
        <f t="shared" si="13"/>
        <v>2.3273197499920034E-3</v>
      </c>
    </row>
    <row r="30" spans="1:17">
      <c r="A30" s="66">
        <v>14</v>
      </c>
      <c r="B30" s="10">
        <f t="shared" si="0"/>
        <v>0.93645667189244453</v>
      </c>
      <c r="C30" s="10">
        <f t="shared" si="1"/>
        <v>0.94873017174807572</v>
      </c>
      <c r="D30" s="10">
        <f t="shared" si="2"/>
        <v>0.99930024494284331</v>
      </c>
      <c r="E30" s="10">
        <f t="shared" si="3"/>
        <v>0.8878230054879096</v>
      </c>
      <c r="F30" s="10">
        <f t="shared" si="4"/>
        <v>0.50506795299551888</v>
      </c>
      <c r="G30" s="10">
        <f t="shared" si="5"/>
        <v>0.4484109480041078</v>
      </c>
      <c r="I30" s="66">
        <v>2.8</v>
      </c>
      <c r="J30" s="10">
        <f t="shared" si="6"/>
        <v>0.99152654246234939</v>
      </c>
      <c r="K30" s="10">
        <f t="shared" si="7"/>
        <v>0.99318157515674899</v>
      </c>
      <c r="L30" s="10">
        <f t="shared" si="8"/>
        <v>0.9998600097995427</v>
      </c>
      <c r="M30" s="10">
        <f t="shared" si="9"/>
        <v>0.98462803567768142</v>
      </c>
      <c r="N30" s="10">
        <f t="shared" si="10"/>
        <v>3.3967492082662872E-3</v>
      </c>
      <c r="O30" s="10">
        <f t="shared" si="11"/>
        <v>0.87230821524542501</v>
      </c>
      <c r="P30" s="66">
        <f t="shared" si="12"/>
        <v>2</v>
      </c>
      <c r="Q30" s="10">
        <f t="shared" si="13"/>
        <v>1.166985968426761E-3</v>
      </c>
    </row>
    <row r="31" spans="1:17">
      <c r="A31" s="66">
        <v>15</v>
      </c>
      <c r="B31" s="10">
        <f t="shared" si="0"/>
        <v>0.92930271416879362</v>
      </c>
      <c r="C31" s="10">
        <f t="shared" si="1"/>
        <v>0.94292766244906423</v>
      </c>
      <c r="D31" s="10">
        <f t="shared" si="2"/>
        <v>0.99925028117970072</v>
      </c>
      <c r="E31" s="10">
        <f t="shared" si="3"/>
        <v>0.87560828343976427</v>
      </c>
      <c r="F31" s="10">
        <f t="shared" si="4"/>
        <v>0.48101709809097021</v>
      </c>
      <c r="G31" s="10">
        <f t="shared" si="5"/>
        <v>0.42118255556461115</v>
      </c>
      <c r="I31" s="66">
        <v>3</v>
      </c>
      <c r="J31" s="10">
        <f t="shared" si="6"/>
        <v>0.99085841065693459</v>
      </c>
      <c r="K31" s="10">
        <f t="shared" si="7"/>
        <v>0.9926438964642017</v>
      </c>
      <c r="L31" s="10">
        <f t="shared" si="8"/>
        <v>0.99985001124943751</v>
      </c>
      <c r="M31" s="10">
        <f t="shared" si="9"/>
        <v>0.98342202923039002</v>
      </c>
      <c r="N31" s="10">
        <f t="shared" si="10"/>
        <v>3.4440518898495491E-3</v>
      </c>
      <c r="O31" s="10">
        <f t="shared" si="11"/>
        <v>0.86383759853147601</v>
      </c>
      <c r="P31" s="66">
        <f t="shared" si="12"/>
        <v>4</v>
      </c>
      <c r="Q31" s="10">
        <f t="shared" si="13"/>
        <v>2.3406242942511459E-3</v>
      </c>
    </row>
    <row r="32" spans="1:17">
      <c r="A32" s="66">
        <v>16</v>
      </c>
      <c r="B32" s="10">
        <f t="shared" si="0"/>
        <v>0.92168006444565131</v>
      </c>
      <c r="C32" s="10">
        <f t="shared" si="1"/>
        <v>0.93673656527923188</v>
      </c>
      <c r="D32" s="10">
        <f t="shared" si="2"/>
        <v>0.99920031991468372</v>
      </c>
      <c r="E32" s="10">
        <f t="shared" si="3"/>
        <v>0.86268099692607048</v>
      </c>
      <c r="F32" s="10">
        <f t="shared" si="4"/>
        <v>0.45811152199140021</v>
      </c>
      <c r="G32" s="10">
        <f t="shared" si="5"/>
        <v>0.3952041044948606</v>
      </c>
      <c r="I32" s="66">
        <v>3.2</v>
      </c>
      <c r="J32" s="10">
        <f t="shared" si="6"/>
        <v>0.99018129330020666</v>
      </c>
      <c r="K32" s="10">
        <f t="shared" si="7"/>
        <v>0.99209897075666742</v>
      </c>
      <c r="L32" s="10">
        <f t="shared" si="8"/>
        <v>0.99984001279931733</v>
      </c>
      <c r="M32" s="10">
        <f t="shared" si="9"/>
        <v>0.98220067726443927</v>
      </c>
      <c r="N32" s="10">
        <f t="shared" si="10"/>
        <v>3.4920437357449964E-3</v>
      </c>
      <c r="O32" s="10">
        <f t="shared" si="11"/>
        <v>0.85544923639940595</v>
      </c>
      <c r="P32" s="66">
        <f t="shared" si="12"/>
        <v>2</v>
      </c>
      <c r="Q32" s="10">
        <f t="shared" si="13"/>
        <v>1.1736379331860267E-3</v>
      </c>
    </row>
    <row r="33" spans="1:17">
      <c r="A33" s="66">
        <v>17</v>
      </c>
      <c r="B33" s="10">
        <f t="shared" si="0"/>
        <v>0.91356228843540188</v>
      </c>
      <c r="C33" s="10">
        <f t="shared" si="1"/>
        <v>0.93013344141144405</v>
      </c>
      <c r="D33" s="10">
        <f t="shared" si="2"/>
        <v>0.99915036114766753</v>
      </c>
      <c r="E33" s="10">
        <f t="shared" si="3"/>
        <v>0.84901286755589511</v>
      </c>
      <c r="F33" s="10">
        <f t="shared" si="4"/>
        <v>0.43629668761085727</v>
      </c>
      <c r="G33" s="10">
        <f t="shared" si="5"/>
        <v>0.37042150185363248</v>
      </c>
      <c r="I33" s="66">
        <v>3.4</v>
      </c>
      <c r="J33" s="10">
        <f t="shared" si="6"/>
        <v>0.98949507205692588</v>
      </c>
      <c r="K33" s="10">
        <f t="shared" si="7"/>
        <v>0.99154670052815042</v>
      </c>
      <c r="L33" s="10">
        <f t="shared" si="8"/>
        <v>0.99983001444918118</v>
      </c>
      <c r="M33" s="10">
        <f t="shared" si="9"/>
        <v>0.98096379586588189</v>
      </c>
      <c r="N33" s="10">
        <f t="shared" si="10"/>
        <v>3.5407347865556902E-3</v>
      </c>
      <c r="O33" s="10">
        <f t="shared" si="11"/>
        <v>0.84714233010970519</v>
      </c>
      <c r="P33" s="66">
        <f t="shared" si="12"/>
        <v>4</v>
      </c>
      <c r="Q33" s="10">
        <f t="shared" si="13"/>
        <v>2.3539256822591938E-3</v>
      </c>
    </row>
    <row r="34" spans="1:17">
      <c r="A34" s="66">
        <v>18</v>
      </c>
      <c r="B34" s="10">
        <f t="shared" si="0"/>
        <v>0.90492219114149619</v>
      </c>
      <c r="C34" s="10">
        <f t="shared" si="1"/>
        <v>0.92309391049057699</v>
      </c>
      <c r="D34" s="10">
        <f t="shared" si="2"/>
        <v>0.99910040487852736</v>
      </c>
      <c r="E34" s="10">
        <f t="shared" si="3"/>
        <v>0.83457670696924258</v>
      </c>
      <c r="F34" s="10">
        <f t="shared" si="4"/>
        <v>0.41552065486748313</v>
      </c>
      <c r="G34" s="10">
        <f t="shared" si="5"/>
        <v>0.34678385981700727</v>
      </c>
      <c r="I34" s="66">
        <v>3.6</v>
      </c>
      <c r="J34" s="10">
        <f t="shared" si="6"/>
        <v>0.98879962722102699</v>
      </c>
      <c r="K34" s="10">
        <f t="shared" si="7"/>
        <v>0.99098698708024979</v>
      </c>
      <c r="L34" s="10">
        <f t="shared" si="8"/>
        <v>0.99982001619902805</v>
      </c>
      <c r="M34" s="10">
        <f t="shared" si="9"/>
        <v>0.97971119951765273</v>
      </c>
      <c r="N34" s="10">
        <f t="shared" si="10"/>
        <v>3.5901352291686801E-3</v>
      </c>
      <c r="O34" s="10">
        <f t="shared" si="11"/>
        <v>0.83891608867908651</v>
      </c>
      <c r="P34" s="66">
        <f t="shared" si="12"/>
        <v>2</v>
      </c>
      <c r="Q34" s="10">
        <f t="shared" si="13"/>
        <v>1.1802863777968719E-3</v>
      </c>
    </row>
    <row r="35" spans="1:17">
      <c r="A35" s="66">
        <v>19</v>
      </c>
      <c r="B35" s="10">
        <f t="shared" si="0"/>
        <v>0.8957319201169458</v>
      </c>
      <c r="C35" s="10">
        <f t="shared" si="1"/>
        <v>0.91559269124275677</v>
      </c>
      <c r="D35" s="10">
        <f t="shared" si="2"/>
        <v>0.99905045110713808</v>
      </c>
      <c r="E35" s="10">
        <f t="shared" si="3"/>
        <v>0.81934685001702512</v>
      </c>
      <c r="F35" s="10">
        <f t="shared" si="4"/>
        <v>0.39573395701665059</v>
      </c>
      <c r="G35" s="10">
        <f t="shared" si="5"/>
        <v>0.32424337112636548</v>
      </c>
      <c r="I35" s="66">
        <v>3.8</v>
      </c>
      <c r="J35" s="10">
        <f t="shared" si="6"/>
        <v>0.98809483770540463</v>
      </c>
      <c r="K35" s="10">
        <f t="shared" si="7"/>
        <v>0.99041973051116095</v>
      </c>
      <c r="L35" s="10">
        <f t="shared" si="8"/>
        <v>0.99981001804885694</v>
      </c>
      <c r="M35" s="10">
        <f t="shared" si="9"/>
        <v>0.97844270110443698</v>
      </c>
      <c r="N35" s="10">
        <f t="shared" si="10"/>
        <v>3.6402553988862589E-3</v>
      </c>
      <c r="O35" s="10">
        <f t="shared" si="11"/>
        <v>0.83076972880516664</v>
      </c>
      <c r="P35" s="66">
        <f t="shared" si="12"/>
        <v>4</v>
      </c>
      <c r="Q35" s="10">
        <f t="shared" si="13"/>
        <v>2.3672160844772972E-3</v>
      </c>
    </row>
    <row r="36" spans="1:17">
      <c r="A36" s="66">
        <v>20</v>
      </c>
      <c r="B36" s="10">
        <f t="shared" si="0"/>
        <v>0.88596309487164249</v>
      </c>
      <c r="C36" s="10">
        <f t="shared" si="1"/>
        <v>0.90760365891931361</v>
      </c>
      <c r="D36" s="10">
        <f t="shared" si="2"/>
        <v>0.99900049983337502</v>
      </c>
      <c r="E36" s="10">
        <f t="shared" si="3"/>
        <v>0.80329964514409824</v>
      </c>
      <c r="F36" s="10">
        <f t="shared" si="4"/>
        <v>0.37688948287300061</v>
      </c>
      <c r="G36" s="10">
        <f t="shared" si="5"/>
        <v>0.3027551878504241</v>
      </c>
      <c r="I36" s="66">
        <v>4</v>
      </c>
      <c r="J36" s="10">
        <f t="shared" si="6"/>
        <v>0.98738058103181248</v>
      </c>
      <c r="K36" s="10">
        <f t="shared" si="7"/>
        <v>0.98984482970468735</v>
      </c>
      <c r="L36" s="10">
        <f t="shared" si="8"/>
        <v>0.99980001999866674</v>
      </c>
      <c r="M36" s="10">
        <f t="shared" si="9"/>
        <v>0.97715811191830082</v>
      </c>
      <c r="N36" s="10">
        <f t="shared" si="10"/>
        <v>3.6911057815882651E-3</v>
      </c>
      <c r="O36" s="10">
        <f t="shared" si="11"/>
        <v>0.82270247479188197</v>
      </c>
      <c r="P36" s="66">
        <f t="shared" si="12"/>
        <v>2</v>
      </c>
      <c r="Q36" s="10">
        <f t="shared" si="13"/>
        <v>1.1869273256069274E-3</v>
      </c>
    </row>
    <row r="37" spans="1:17">
      <c r="A37" s="66">
        <v>21</v>
      </c>
      <c r="B37" s="10">
        <f t="shared" si="0"/>
        <v>0.87558696586640972</v>
      </c>
      <c r="C37" s="10">
        <f t="shared" si="1"/>
        <v>0.89909992221727697</v>
      </c>
      <c r="D37" s="10">
        <f t="shared" si="2"/>
        <v>0.99895055105711317</v>
      </c>
      <c r="E37" s="10">
        <f t="shared" si="3"/>
        <v>0.78641400453769739</v>
      </c>
      <c r="F37" s="10">
        <f t="shared" si="4"/>
        <v>0.35894236464095297</v>
      </c>
      <c r="G37" s="10">
        <f t="shared" si="5"/>
        <v>0.28227730237552223</v>
      </c>
      <c r="I37" s="66">
        <v>4.2</v>
      </c>
      <c r="J37" s="10">
        <f t="shared" si="6"/>
        <v>0.98665673332088322</v>
      </c>
      <c r="K37" s="10">
        <f t="shared" si="7"/>
        <v>0.98926218231927487</v>
      </c>
      <c r="L37" s="10">
        <f t="shared" si="8"/>
        <v>0.99979002204845657</v>
      </c>
      <c r="M37" s="10">
        <f t="shared" si="9"/>
        <v>0.97585724166511556</v>
      </c>
      <c r="N37" s="10">
        <f t="shared" si="10"/>
        <v>3.7426970159258727E-3</v>
      </c>
      <c r="O37" s="10">
        <f t="shared" si="11"/>
        <v>0.81471355847562454</v>
      </c>
      <c r="P37" s="66">
        <f t="shared" si="12"/>
        <v>4</v>
      </c>
      <c r="Q37" s="10">
        <f t="shared" si="13"/>
        <v>2.3804874220917172E-3</v>
      </c>
    </row>
    <row r="38" spans="1:17">
      <c r="A38" s="66">
        <v>22</v>
      </c>
      <c r="B38" s="10">
        <f t="shared" si="0"/>
        <v>0.86457460674285447</v>
      </c>
      <c r="C38" s="10">
        <f t="shared" si="1"/>
        <v>0.89005392257117899</v>
      </c>
      <c r="D38" s="10">
        <f t="shared" si="2"/>
        <v>0.99890060477822762</v>
      </c>
      <c r="E38" s="10">
        <f t="shared" si="3"/>
        <v>0.76867201565256082</v>
      </c>
      <c r="F38" s="10">
        <f t="shared" si="4"/>
        <v>0.3418498710866219</v>
      </c>
      <c r="G38" s="10">
        <f t="shared" si="5"/>
        <v>0.26277042945872175</v>
      </c>
      <c r="I38" s="66">
        <v>4.4000000000000004</v>
      </c>
      <c r="J38" s="10">
        <f t="shared" si="6"/>
        <v>0.98592316928227708</v>
      </c>
      <c r="K38" s="10">
        <f t="shared" si="7"/>
        <v>0.98867168477706602</v>
      </c>
      <c r="L38" s="10">
        <f t="shared" si="8"/>
        <v>0.99978002419822543</v>
      </c>
      <c r="M38" s="10">
        <f t="shared" si="9"/>
        <v>0.97453989847179434</v>
      </c>
      <c r="N38" s="10">
        <f t="shared" si="10"/>
        <v>3.7950398955473668E-3</v>
      </c>
      <c r="O38" s="10">
        <f t="shared" si="11"/>
        <v>0.80680221915210015</v>
      </c>
      <c r="P38" s="66">
        <f t="shared" si="12"/>
        <v>2</v>
      </c>
      <c r="Q38" s="10">
        <f t="shared" si="13"/>
        <v>1.1935566735826997E-3</v>
      </c>
    </row>
    <row r="39" spans="1:17">
      <c r="A39" s="66">
        <v>23</v>
      </c>
      <c r="B39" s="10">
        <f t="shared" si="0"/>
        <v>0.85289714360857261</v>
      </c>
      <c r="C39" s="10">
        <f t="shared" si="1"/>
        <v>0.88043755896049902</v>
      </c>
      <c r="D39" s="10">
        <f t="shared" si="2"/>
        <v>0.9988506609965937</v>
      </c>
      <c r="E39" s="10">
        <f t="shared" si="3"/>
        <v>0.75005961443940927</v>
      </c>
      <c r="F39" s="10">
        <f t="shared" si="4"/>
        <v>0.32557130579678267</v>
      </c>
      <c r="G39" s="10">
        <f t="shared" si="5"/>
        <v>0.24419788809846982</v>
      </c>
      <c r="I39" s="66">
        <v>4.5999999999999996</v>
      </c>
      <c r="J39" s="10">
        <f t="shared" si="6"/>
        <v>0.98517976220497017</v>
      </c>
      <c r="K39" s="10">
        <f t="shared" si="7"/>
        <v>0.98807323225298471</v>
      </c>
      <c r="L39" s="10">
        <f t="shared" si="8"/>
        <v>0.9997700264479723</v>
      </c>
      <c r="M39" s="10">
        <f t="shared" si="9"/>
        <v>0.97320588889437665</v>
      </c>
      <c r="N39" s="10">
        <f t="shared" si="10"/>
        <v>3.8481453713563318E-3</v>
      </c>
      <c r="O39" s="10">
        <f t="shared" si="11"/>
        <v>0.79896770350389179</v>
      </c>
      <c r="P39" s="66">
        <f t="shared" si="12"/>
        <v>4</v>
      </c>
      <c r="Q39" s="10">
        <f t="shared" si="13"/>
        <v>2.3937313600376651E-3</v>
      </c>
    </row>
    <row r="40" spans="1:17">
      <c r="A40" s="66">
        <v>24</v>
      </c>
      <c r="B40" s="10">
        <f t="shared" si="0"/>
        <v>0.84052602530845399</v>
      </c>
      <c r="C40" s="10">
        <f t="shared" si="1"/>
        <v>0.87022234161441725</v>
      </c>
      <c r="D40" s="10">
        <f t="shared" si="2"/>
        <v>0.99880071971208639</v>
      </c>
      <c r="E40" s="10">
        <f t="shared" si="3"/>
        <v>0.73056731893012949</v>
      </c>
      <c r="F40" s="10">
        <f t="shared" si="4"/>
        <v>0.31006791028265024</v>
      </c>
      <c r="G40" s="10">
        <f t="shared" si="5"/>
        <v>0.22652548190146371</v>
      </c>
      <c r="I40" s="66">
        <v>4.8</v>
      </c>
      <c r="J40" s="10">
        <f t="shared" si="6"/>
        <v>0.984426383947689</v>
      </c>
      <c r="K40" s="10">
        <f t="shared" si="7"/>
        <v>0.98746671866385471</v>
      </c>
      <c r="L40" s="10">
        <f t="shared" si="8"/>
        <v>0.9997600287976961</v>
      </c>
      <c r="M40" s="10">
        <f t="shared" si="9"/>
        <v>0.97185501792698215</v>
      </c>
      <c r="N40" s="10">
        <f t="shared" si="10"/>
        <v>3.9020245538027268E-3</v>
      </c>
      <c r="O40" s="10">
        <f t="shared" si="11"/>
        <v>0.79120926552873017</v>
      </c>
      <c r="P40" s="66">
        <f t="shared" si="12"/>
        <v>2</v>
      </c>
      <c r="Q40" s="10">
        <f t="shared" si="13"/>
        <v>1.2001701888208931E-3</v>
      </c>
    </row>
    <row r="41" spans="1:17">
      <c r="A41" s="66">
        <v>25</v>
      </c>
      <c r="B41" s="10">
        <f t="shared" si="0"/>
        <v>0.82743333864194446</v>
      </c>
      <c r="C41" s="10">
        <f t="shared" si="1"/>
        <v>0.85937957820919242</v>
      </c>
      <c r="D41" s="10">
        <f t="shared" si="2"/>
        <v>0.99875078092458092</v>
      </c>
      <c r="E41" s="10">
        <f t="shared" si="3"/>
        <v>0.71019101971570509</v>
      </c>
      <c r="F41" s="10">
        <f t="shared" si="4"/>
        <v>0.29530277169776209</v>
      </c>
      <c r="G41" s="10">
        <f t="shared" si="5"/>
        <v>0.2097213765569077</v>
      </c>
      <c r="I41" s="66">
        <v>5</v>
      </c>
      <c r="J41" s="10">
        <f t="shared" si="6"/>
        <v>0.98366290492950259</v>
      </c>
      <c r="K41" s="10">
        <f t="shared" si="7"/>
        <v>0.98685203665755683</v>
      </c>
      <c r="L41" s="10">
        <f t="shared" si="8"/>
        <v>0.99975003124739603</v>
      </c>
      <c r="M41" s="10">
        <f t="shared" si="9"/>
        <v>0.97048708901166647</v>
      </c>
      <c r="N41" s="10">
        <f t="shared" si="10"/>
        <v>3.9566887152073845E-3</v>
      </c>
      <c r="O41" s="10">
        <f t="shared" si="11"/>
        <v>0.78352616646845896</v>
      </c>
      <c r="P41" s="66">
        <f t="shared" si="12"/>
        <v>4</v>
      </c>
      <c r="Q41" s="10">
        <f t="shared" si="13"/>
        <v>2.4069393000241981E-3</v>
      </c>
    </row>
    <row r="42" spans="1:17">
      <c r="A42" s="66">
        <v>26</v>
      </c>
      <c r="B42" s="10">
        <f t="shared" si="0"/>
        <v>0.813592172405879</v>
      </c>
      <c r="C42" s="10">
        <f t="shared" si="1"/>
        <v>0.84788059632893653</v>
      </c>
      <c r="D42" s="10">
        <f t="shared" si="2"/>
        <v>0.99870084463395226</v>
      </c>
      <c r="E42" s="10">
        <f t="shared" si="3"/>
        <v>0.68893282123985955</v>
      </c>
      <c r="F42" s="10">
        <f t="shared" si="4"/>
        <v>0.28124073495024959</v>
      </c>
      <c r="G42" s="10">
        <f t="shared" si="5"/>
        <v>0.19375597297684702</v>
      </c>
      <c r="I42" s="66">
        <v>5.2</v>
      </c>
      <c r="J42" s="10">
        <f t="shared" si="6"/>
        <v>0.98288919412058073</v>
      </c>
      <c r="K42" s="10">
        <f t="shared" si="7"/>
        <v>0.986229077602232</v>
      </c>
      <c r="L42" s="10">
        <f t="shared" si="8"/>
        <v>0.99974003379707088</v>
      </c>
      <c r="M42" s="10">
        <f t="shared" si="9"/>
        <v>0.96910190404920538</v>
      </c>
      <c r="N42" s="10">
        <f t="shared" si="10"/>
        <v>4.0121492921203128E-3</v>
      </c>
      <c r="O42" s="10">
        <f t="shared" si="11"/>
        <v>0.77591767473869</v>
      </c>
      <c r="P42" s="66">
        <f t="shared" si="12"/>
        <v>2</v>
      </c>
      <c r="Q42" s="10">
        <f t="shared" si="13"/>
        <v>1.2067635050637974E-3</v>
      </c>
    </row>
    <row r="43" spans="1:17">
      <c r="A43" s="66">
        <v>27</v>
      </c>
      <c r="B43" s="10">
        <f t="shared" si="0"/>
        <v>0.79897703392067132</v>
      </c>
      <c r="C43" s="10">
        <f t="shared" si="1"/>
        <v>0.83569700607982056</v>
      </c>
      <c r="D43" s="10">
        <f t="shared" si="2"/>
        <v>0.99865091084007584</v>
      </c>
      <c r="E43" s="10">
        <f t="shared" si="3"/>
        <v>0.66680192467894706</v>
      </c>
      <c r="F43" s="10">
        <f t="shared" si="4"/>
        <v>0.2678483190002377</v>
      </c>
      <c r="G43" s="10">
        <f t="shared" si="5"/>
        <v>0.17860177463137908</v>
      </c>
      <c r="I43" s="66">
        <v>5.4</v>
      </c>
      <c r="J43" s="10">
        <f t="shared" si="6"/>
        <v>0.98210511903312914</v>
      </c>
      <c r="K43" s="10">
        <f t="shared" si="7"/>
        <v>0.98559773157553476</v>
      </c>
      <c r="L43" s="10">
        <f t="shared" si="8"/>
        <v>0.99973003644671976</v>
      </c>
      <c r="M43" s="10">
        <f t="shared" si="9"/>
        <v>0.96769926341083889</v>
      </c>
      <c r="N43" s="10">
        <f t="shared" si="10"/>
        <v>4.0684178877134197E-3</v>
      </c>
      <c r="O43" s="10">
        <f t="shared" si="11"/>
        <v>0.76838306585914296</v>
      </c>
      <c r="P43" s="66">
        <f t="shared" si="12"/>
        <v>4</v>
      </c>
      <c r="Q43" s="10">
        <f t="shared" si="13"/>
        <v>2.4201023735746902E-3</v>
      </c>
    </row>
    <row r="44" spans="1:17">
      <c r="A44" s="66">
        <v>28</v>
      </c>
      <c r="B44" s="10">
        <f t="shared" si="0"/>
        <v>0.78356432129685483</v>
      </c>
      <c r="C44" s="10">
        <f t="shared" si="1"/>
        <v>0.82280100678879664</v>
      </c>
      <c r="D44" s="10">
        <f t="shared" si="2"/>
        <v>0.99860097954282667</v>
      </c>
      <c r="E44" s="10">
        <f t="shared" si="3"/>
        <v>0.64381553945782122</v>
      </c>
      <c r="F44" s="10">
        <f t="shared" si="4"/>
        <v>0.25509363714308358</v>
      </c>
      <c r="G44" s="10">
        <f t="shared" si="5"/>
        <v>0.16423324760953206</v>
      </c>
      <c r="I44" s="66">
        <v>5.6</v>
      </c>
      <c r="J44" s="10">
        <f t="shared" si="6"/>
        <v>0.98131054571251164</v>
      </c>
      <c r="K44" s="10">
        <f t="shared" si="7"/>
        <v>0.98495788735394485</v>
      </c>
      <c r="L44" s="10">
        <f t="shared" si="8"/>
        <v>0.99972003919634156</v>
      </c>
      <c r="M44" s="10">
        <f t="shared" si="9"/>
        <v>0.96627896595100493</v>
      </c>
      <c r="N44" s="10">
        <f t="shared" si="10"/>
        <v>4.1255062742080566E-3</v>
      </c>
      <c r="O44" s="10">
        <f t="shared" si="11"/>
        <v>0.76092162238465888</v>
      </c>
      <c r="P44" s="66">
        <f t="shared" si="12"/>
        <v>2</v>
      </c>
      <c r="Q44" s="10">
        <f t="shared" si="13"/>
        <v>1.213332119226352E-3</v>
      </c>
    </row>
    <row r="45" spans="1:17">
      <c r="A45" s="66">
        <v>29</v>
      </c>
      <c r="B45" s="10">
        <f t="shared" si="0"/>
        <v>0.76733285407668295</v>
      </c>
      <c r="C45" s="10">
        <f t="shared" si="1"/>
        <v>0.8091657416542718</v>
      </c>
      <c r="D45" s="10">
        <f t="shared" si="2"/>
        <v>0.99855105074207995</v>
      </c>
      <c r="E45" s="10">
        <f t="shared" si="3"/>
        <v>0.61999980615578743</v>
      </c>
      <c r="F45" s="10">
        <f t="shared" si="4"/>
        <v>0.24294632108865097</v>
      </c>
      <c r="G45" s="10">
        <f t="shared" si="5"/>
        <v>0.15062667198122529</v>
      </c>
      <c r="I45" s="66">
        <v>5.8</v>
      </c>
      <c r="J45" s="10">
        <f t="shared" si="6"/>
        <v>0.98050533872856882</v>
      </c>
      <c r="K45" s="10">
        <f t="shared" si="7"/>
        <v>0.98430943240214164</v>
      </c>
      <c r="L45" s="10">
        <f t="shared" si="8"/>
        <v>0.9997100420459355</v>
      </c>
      <c r="M45" s="10">
        <f t="shared" si="9"/>
        <v>0.96484080902109293</v>
      </c>
      <c r="N45" s="10">
        <f t="shared" si="10"/>
        <v>4.1834263953379313E-3</v>
      </c>
      <c r="O45" s="10">
        <f t="shared" si="11"/>
        <v>0.75353263383688585</v>
      </c>
      <c r="P45" s="66">
        <f t="shared" si="12"/>
        <v>4</v>
      </c>
      <c r="Q45" s="10">
        <f t="shared" si="13"/>
        <v>2.4332114350987459E-3</v>
      </c>
    </row>
    <row r="46" spans="1:17">
      <c r="A46" s="66"/>
      <c r="I46" s="66">
        <v>6</v>
      </c>
      <c r="J46" s="10">
        <f t="shared" si="6"/>
        <v>0.979689361167147</v>
      </c>
      <c r="K46" s="10">
        <f t="shared" si="7"/>
        <v>0.98365225286244828</v>
      </c>
      <c r="L46" s="10">
        <f t="shared" si="8"/>
        <v>0.99970004499550036</v>
      </c>
      <c r="M46" s="10">
        <f t="shared" si="9"/>
        <v>0.96338458848424957</v>
      </c>
      <c r="N46" s="10">
        <f t="shared" si="10"/>
        <v>4.2421903688479382E-3</v>
      </c>
      <c r="O46" s="10">
        <f t="shared" si="11"/>
        <v>0.74621539663662761</v>
      </c>
      <c r="P46" s="66">
        <f t="shared" si="12"/>
        <v>2</v>
      </c>
      <c r="Q46" s="10">
        <f t="shared" si="13"/>
        <v>1.2198713879431379E-3</v>
      </c>
    </row>
    <row r="47" spans="1:17">
      <c r="G47" s="10">
        <f>SUM(G16:G45)</f>
        <v>14.518439029347316</v>
      </c>
      <c r="I47" s="66">
        <v>6.2</v>
      </c>
      <c r="J47" s="10">
        <f t="shared" si="6"/>
        <v>0.97886247462184495</v>
      </c>
      <c r="K47" s="10">
        <f t="shared" si="7"/>
        <v>0.98298623354435399</v>
      </c>
      <c r="L47" s="10">
        <f t="shared" si="8"/>
        <v>0.99969004804503525</v>
      </c>
      <c r="M47" s="10">
        <f t="shared" si="9"/>
        <v>0.96191009873126987</v>
      </c>
      <c r="N47" s="10">
        <f t="shared" si="10"/>
        <v>4.3018104890293349E-3</v>
      </c>
      <c r="O47" s="10">
        <f t="shared" si="11"/>
        <v>0.73896921403684768</v>
      </c>
      <c r="P47" s="66">
        <f t="shared" si="12"/>
        <v>4</v>
      </c>
      <c r="Q47" s="10">
        <f t="shared" si="13"/>
        <v>2.4462570550127204E-3</v>
      </c>
    </row>
    <row r="48" spans="1:17">
      <c r="I48" s="66">
        <v>6.4</v>
      </c>
      <c r="J48" s="10">
        <f t="shared" si="6"/>
        <v>0.97802453918599408</v>
      </c>
      <c r="K48" s="10">
        <f t="shared" si="7"/>
        <v>0.98231125791411988</v>
      </c>
      <c r="L48" s="10">
        <f t="shared" si="8"/>
        <v>0.99968005119453907</v>
      </c>
      <c r="M48" s="10">
        <f t="shared" si="9"/>
        <v>0.96041713269760531</v>
      </c>
      <c r="N48" s="10">
        <f t="shared" si="10"/>
        <v>4.3622992292919258E-3</v>
      </c>
      <c r="O48" s="10">
        <f t="shared" si="11"/>
        <v>0.73179339605632654</v>
      </c>
      <c r="P48" s="66">
        <f t="shared" si="12"/>
        <v>2</v>
      </c>
      <c r="Q48" s="10">
        <f t="shared" si="13"/>
        <v>1.2263765241442533E-3</v>
      </c>
    </row>
    <row r="49" spans="9:17">
      <c r="I49" s="66">
        <v>6.6</v>
      </c>
      <c r="J49" s="10">
        <f t="shared" si="6"/>
        <v>0.97717541344488112</v>
      </c>
      <c r="K49" s="10">
        <f t="shared" si="7"/>
        <v>0.98162720808447512</v>
      </c>
      <c r="L49" s="10">
        <f t="shared" si="8"/>
        <v>0.99967005444401102</v>
      </c>
      <c r="M49" s="10">
        <f t="shared" si="9"/>
        <v>0.95890548188152314</v>
      </c>
      <c r="N49" s="10">
        <f t="shared" si="10"/>
        <v>4.4236692447736604E-3</v>
      </c>
      <c r="O49" s="10">
        <f t="shared" si="11"/>
        <v>0.72468725941396073</v>
      </c>
      <c r="P49" s="66">
        <f t="shared" si="12"/>
        <v>4</v>
      </c>
      <c r="Q49" s="10">
        <f t="shared" si="13"/>
        <v>2.4592295129275831E-3</v>
      </c>
    </row>
    <row r="50" spans="9:17">
      <c r="I50" s="66">
        <v>6.8</v>
      </c>
      <c r="J50" s="10">
        <f t="shared" si="6"/>
        <v>0.97631495446822547</v>
      </c>
      <c r="K50" s="10">
        <f t="shared" si="7"/>
        <v>0.98093396480441308</v>
      </c>
      <c r="L50" s="10">
        <f t="shared" si="8"/>
        <v>0.99966005779344991</v>
      </c>
      <c r="M50" s="10">
        <f t="shared" si="9"/>
        <v>0.9573749363634495</v>
      </c>
      <c r="N50" s="10">
        <f t="shared" si="10"/>
        <v>4.4859333749882766E-3</v>
      </c>
      <c r="O50" s="10">
        <f t="shared" si="11"/>
        <v>0.71765012746370072</v>
      </c>
      <c r="P50" s="66">
        <f t="shared" si="12"/>
        <v>2</v>
      </c>
      <c r="Q50" s="10">
        <f t="shared" si="13"/>
        <v>1.2328425936698273E-3</v>
      </c>
    </row>
    <row r="51" spans="9:17">
      <c r="I51" s="66">
        <v>7</v>
      </c>
      <c r="J51" s="10">
        <f t="shared" si="6"/>
        <v>0.97544301780292775</v>
      </c>
      <c r="K51" s="10">
        <f t="shared" si="7"/>
        <v>0.98023140744909387</v>
      </c>
      <c r="L51" s="10">
        <f t="shared" si="8"/>
        <v>0.99965006124285483</v>
      </c>
      <c r="M51" s="10">
        <f t="shared" si="9"/>
        <v>0.95582528482653661</v>
      </c>
      <c r="N51" s="10">
        <f t="shared" si="10"/>
        <v>4.5491046465115335E-3</v>
      </c>
      <c r="O51" s="10">
        <f t="shared" si="11"/>
        <v>0.71068133013012147</v>
      </c>
      <c r="P51" s="66">
        <f t="shared" si="12"/>
        <v>4</v>
      </c>
      <c r="Q51" s="10">
        <f t="shared" si="13"/>
        <v>2.4721187909243322E-3</v>
      </c>
    </row>
    <row r="52" spans="9:17">
      <c r="I52" s="66">
        <v>7.2</v>
      </c>
      <c r="J52" s="10">
        <f t="shared" si="6"/>
        <v>0.9745594574660974</v>
      </c>
      <c r="K52" s="10">
        <f t="shared" si="7"/>
        <v>0.9795194140098602</v>
      </c>
      <c r="L52" s="10">
        <f t="shared" si="8"/>
        <v>0.99964006479222467</v>
      </c>
      <c r="M52" s="10">
        <f t="shared" si="9"/>
        <v>0.95425631457848059</v>
      </c>
      <c r="N52" s="10">
        <f t="shared" si="10"/>
        <v>4.6131962757065348E-3</v>
      </c>
      <c r="O52" s="10">
        <f t="shared" si="11"/>
        <v>0.70378020384461681</v>
      </c>
      <c r="P52" s="66">
        <f t="shared" si="12"/>
        <v>2</v>
      </c>
      <c r="Q52" s="10">
        <f t="shared" si="13"/>
        <v>1.2392645119336508E-3</v>
      </c>
    </row>
    <row r="53" spans="9:17">
      <c r="I53" s="66">
        <v>7.4</v>
      </c>
      <c r="J53" s="10">
        <f t="shared" si="6"/>
        <v>0.97366412593837803</v>
      </c>
      <c r="K53" s="10">
        <f t="shared" si="7"/>
        <v>0.97879786108437872</v>
      </c>
      <c r="L53" s="10">
        <f t="shared" si="8"/>
        <v>0.99963006844155866</v>
      </c>
      <c r="M53" s="10">
        <f t="shared" si="9"/>
        <v>0.95266781157463798</v>
      </c>
      <c r="N53" s="10">
        <f t="shared" si="10"/>
        <v>4.67822167148882E-3</v>
      </c>
      <c r="O53" s="10">
        <f t="shared" si="11"/>
        <v>0.69694609148221576</v>
      </c>
      <c r="P53" s="66">
        <f t="shared" si="12"/>
        <v>4</v>
      </c>
      <c r="Q53" s="10">
        <f t="shared" si="13"/>
        <v>2.484914566938824E-3</v>
      </c>
    </row>
    <row r="54" spans="9:17">
      <c r="I54" s="66">
        <v>7.6</v>
      </c>
      <c r="J54" s="10">
        <f t="shared" si="6"/>
        <v>0.97275687415757839</v>
      </c>
      <c r="K54" s="10">
        <f t="shared" si="7"/>
        <v>0.97806662386690935</v>
      </c>
      <c r="L54" s="10">
        <f t="shared" si="8"/>
        <v>0.99962007219085558</v>
      </c>
      <c r="M54" s="10">
        <f t="shared" si="9"/>
        <v>0.95105956044246365</v>
      </c>
      <c r="N54" s="10">
        <f t="shared" si="10"/>
        <v>4.744194438131683E-3</v>
      </c>
      <c r="O54" s="10">
        <f t="shared" si="11"/>
        <v>0.69017834229901021</v>
      </c>
      <c r="P54" s="66">
        <f t="shared" si="12"/>
        <v>2</v>
      </c>
      <c r="Q54" s="10">
        <f t="shared" si="13"/>
        <v>1.2456370406473218E-3</v>
      </c>
    </row>
    <row r="55" spans="9:17">
      <c r="I55" s="66">
        <v>7.8</v>
      </c>
      <c r="J55" s="10">
        <f t="shared" si="6"/>
        <v>0.97183755151263018</v>
      </c>
      <c r="K55" s="10">
        <f t="shared" si="7"/>
        <v>0.97732557613871851</v>
      </c>
      <c r="L55" s="10">
        <f t="shared" si="8"/>
        <v>0.99961007604011443</v>
      </c>
      <c r="M55" s="10">
        <f t="shared" si="9"/>
        <v>0.94943134450732369</v>
      </c>
      <c r="N55" s="10">
        <f t="shared" si="10"/>
        <v>4.8111283781123969E-3</v>
      </c>
      <c r="O55" s="10">
        <f t="shared" si="11"/>
        <v>0.6834763118701912</v>
      </c>
      <c r="P55" s="66">
        <f t="shared" si="12"/>
        <v>4</v>
      </c>
      <c r="Q55" s="10">
        <f t="shared" si="13"/>
        <v>2.4976062082796204E-3</v>
      </c>
    </row>
    <row r="56" spans="9:17">
      <c r="I56" s="66">
        <v>8</v>
      </c>
      <c r="J56" s="10">
        <f t="shared" si="6"/>
        <v>0.97090600583788089</v>
      </c>
      <c r="K56" s="10">
        <f t="shared" si="7"/>
        <v>0.97657459025863913</v>
      </c>
      <c r="L56" s="10">
        <f t="shared" si="8"/>
        <v>0.99960007998933442</v>
      </c>
      <c r="M56" s="10">
        <f t="shared" si="9"/>
        <v>0.94778294581970612</v>
      </c>
      <c r="N56" s="10">
        <f t="shared" si="10"/>
        <v>4.8790374949998988E-3</v>
      </c>
      <c r="O56" s="10">
        <f t="shared" si="11"/>
        <v>0.67683936202868722</v>
      </c>
      <c r="P56" s="66">
        <f t="shared" si="12"/>
        <v>2</v>
      </c>
      <c r="Q56" s="10">
        <f t="shared" si="13"/>
        <v>1.2519547846171163E-3</v>
      </c>
    </row>
    <row r="57" spans="9:17">
      <c r="I57" s="66">
        <v>8.1999999999999993</v>
      </c>
      <c r="J57" s="10">
        <f t="shared" si="6"/>
        <v>0.96996208340774215</v>
      </c>
      <c r="K57" s="10">
        <f t="shared" si="7"/>
        <v>0.97581353715379149</v>
      </c>
      <c r="L57" s="10">
        <f t="shared" si="8"/>
        <v>0.99959008403851435</v>
      </c>
      <c r="M57" s="10">
        <f t="shared" si="9"/>
        <v>0.94611414518388159</v>
      </c>
      <c r="N57" s="10">
        <f t="shared" si="10"/>
        <v>4.9479359963845258E-3</v>
      </c>
      <c r="O57" s="10">
        <f t="shared" si="11"/>
        <v>0.6702668608043969</v>
      </c>
      <c r="P57" s="66">
        <f t="shared" si="12"/>
        <v>4</v>
      </c>
      <c r="Q57" s="10">
        <f t="shared" si="13"/>
        <v>2.5101827653042021E-3</v>
      </c>
    </row>
    <row r="58" spans="9:17">
      <c r="I58" s="66">
        <v>8.4</v>
      </c>
      <c r="J58" s="10">
        <f t="shared" si="6"/>
        <v>0.96900562893170405</v>
      </c>
      <c r="K58" s="10">
        <f t="shared" si="7"/>
        <v>0.97504228631047063</v>
      </c>
      <c r="L58" s="10">
        <f t="shared" si="8"/>
        <v>0.99958008818765332</v>
      </c>
      <c r="M58" s="10">
        <f t="shared" si="9"/>
        <v>0.94442472218804185</v>
      </c>
      <c r="N58" s="10">
        <f t="shared" si="10"/>
        <v>5.0178382968504819E-3</v>
      </c>
      <c r="O58" s="10">
        <f t="shared" si="11"/>
        <v>0.66375818236401507</v>
      </c>
      <c r="P58" s="66">
        <f t="shared" si="12"/>
        <v>2</v>
      </c>
      <c r="Q58" s="10">
        <f t="shared" si="13"/>
        <v>1.2582121886267445E-3</v>
      </c>
    </row>
    <row r="59" spans="9:17">
      <c r="I59" s="66">
        <v>8.6</v>
      </c>
      <c r="J59" s="10">
        <f t="shared" si="6"/>
        <v>0.96803648554973676</v>
      </c>
      <c r="K59" s="10">
        <f t="shared" si="7"/>
        <v>0.97426070576521517</v>
      </c>
      <c r="L59" s="10">
        <f t="shared" si="8"/>
        <v>0.99957009243675021</v>
      </c>
      <c r="M59" s="10">
        <f t="shared" si="9"/>
        <v>0.94271445523596875</v>
      </c>
      <c r="N59" s="10">
        <f t="shared" si="10"/>
        <v>5.08875902099156E-3</v>
      </c>
      <c r="O59" s="10">
        <f t="shared" si="11"/>
        <v>0.65731270695143829</v>
      </c>
      <c r="P59" s="66">
        <f t="shared" si="12"/>
        <v>4</v>
      </c>
      <c r="Q59" s="10">
        <f t="shared" si="13"/>
        <v>2.5226329652808573E-3</v>
      </c>
    </row>
    <row r="60" spans="9:17">
      <c r="I60" s="66">
        <v>8.8000000000000007</v>
      </c>
      <c r="J60" s="10">
        <f t="shared" si="6"/>
        <v>0.96705449482809014</v>
      </c>
      <c r="K60" s="10">
        <f t="shared" si="7"/>
        <v>0.97346866209606198</v>
      </c>
      <c r="L60" s="10">
        <f t="shared" si="8"/>
        <v>0.99956009678580426</v>
      </c>
      <c r="M60" s="10">
        <f t="shared" si="9"/>
        <v>0.94098312158026165</v>
      </c>
      <c r="N60" s="10">
        <f t="shared" si="10"/>
        <v>5.1607130064708273E-3</v>
      </c>
      <c r="O60" s="10">
        <f t="shared" si="11"/>
        <v>0.65092982082875339</v>
      </c>
      <c r="P60" s="66">
        <f t="shared" si="12"/>
        <v>2</v>
      </c>
      <c r="Q60" s="10">
        <f t="shared" si="13"/>
        <v>1.2644035344201441E-3</v>
      </c>
    </row>
    <row r="61" spans="9:17">
      <c r="I61" s="66">
        <v>9</v>
      </c>
      <c r="J61" s="10">
        <f t="shared" si="6"/>
        <v>0.96605949675551317</v>
      </c>
      <c r="K61" s="10">
        <f t="shared" si="7"/>
        <v>0.97266602041400385</v>
      </c>
      <c r="L61" s="10">
        <f t="shared" si="8"/>
        <v>0.99955010123481425</v>
      </c>
      <c r="M61" s="10">
        <f t="shared" si="9"/>
        <v>0.93923049735717556</v>
      </c>
      <c r="N61" s="10">
        <f t="shared" si="10"/>
        <v>5.2337153071248914E-3</v>
      </c>
      <c r="O61" s="10">
        <f t="shared" si="11"/>
        <v>0.64460891621779726</v>
      </c>
      <c r="P61" s="66">
        <f t="shared" si="12"/>
        <v>4</v>
      </c>
      <c r="Q61" s="10">
        <f t="shared" si="13"/>
        <v>2.5349452064655038E-3</v>
      </c>
    </row>
    <row r="62" spans="9:17">
      <c r="I62" s="66">
        <v>9.1999999999999993</v>
      </c>
      <c r="J62" s="10">
        <f t="shared" si="6"/>
        <v>0.96505132973990804</v>
      </c>
      <c r="K62" s="10">
        <f t="shared" si="7"/>
        <v>0.97185264435465513</v>
      </c>
      <c r="L62" s="10">
        <f t="shared" si="8"/>
        <v>0.99954010578377916</v>
      </c>
      <c r="M62" s="10">
        <f t="shared" si="9"/>
        <v>0.93745635762310675</v>
      </c>
      <c r="N62" s="10">
        <f t="shared" si="10"/>
        <v>5.3077811961133653E-3</v>
      </c>
      <c r="O62" s="10">
        <f t="shared" si="11"/>
        <v>0.63834939124228274</v>
      </c>
      <c r="P62" s="66">
        <f t="shared" si="12"/>
        <v>2</v>
      </c>
      <c r="Q62" s="10">
        <f t="shared" si="13"/>
        <v>1.2705229377994139E-3</v>
      </c>
    </row>
    <row r="63" spans="9:17">
      <c r="I63" s="66">
        <v>9.4</v>
      </c>
      <c r="J63" s="10">
        <f t="shared" si="6"/>
        <v>0.96402983060543534</v>
      </c>
      <c r="K63" s="10">
        <f t="shared" si="7"/>
        <v>0.97102839607014069</v>
      </c>
      <c r="L63" s="10">
        <f t="shared" si="8"/>
        <v>0.99953011043269824</v>
      </c>
      <c r="M63" s="10">
        <f t="shared" si="9"/>
        <v>0.93566047639276873</v>
      </c>
      <c r="N63" s="10">
        <f t="shared" si="10"/>
        <v>5.3829261691142657E-3</v>
      </c>
      <c r="O63" s="10">
        <f t="shared" si="11"/>
        <v>0.63215064987049041</v>
      </c>
      <c r="P63" s="66">
        <f t="shared" si="12"/>
        <v>4</v>
      </c>
      <c r="Q63" s="10">
        <f t="shared" si="13"/>
        <v>2.5471075524247299E-3</v>
      </c>
    </row>
    <row r="64" spans="9:17">
      <c r="I64" s="66">
        <v>9.6</v>
      </c>
      <c r="J64" s="10">
        <f t="shared" si="6"/>
        <v>0.96299483459009283</v>
      </c>
      <c r="K64" s="10">
        <f t="shared" si="7"/>
        <v>0.97019313622121883</v>
      </c>
      <c r="L64" s="10">
        <f t="shared" si="8"/>
        <v>0.99952011518157025</v>
      </c>
      <c r="M64" s="10">
        <f t="shared" si="9"/>
        <v>0.93384262667910489</v>
      </c>
      <c r="N64" s="10">
        <f t="shared" si="10"/>
        <v>5.459165947565927E-3</v>
      </c>
      <c r="O64" s="10">
        <f t="shared" si="11"/>
        <v>0.62601210185851264</v>
      </c>
      <c r="P64" s="66">
        <f t="shared" si="12"/>
        <v>2</v>
      </c>
      <c r="Q64" s="10">
        <f t="shared" si="13"/>
        <v>1.2765643458541246E-3</v>
      </c>
    </row>
    <row r="65" spans="9:17">
      <c r="I65" s="66">
        <v>9.8000000000000007</v>
      </c>
      <c r="J65" s="10">
        <f t="shared" si="6"/>
        <v>0.96194617534378124</v>
      </c>
      <c r="K65" s="10">
        <f t="shared" si="7"/>
        <v>0.9693467239696496</v>
      </c>
      <c r="L65" s="10">
        <f t="shared" si="8"/>
        <v>0.99951012003039419</v>
      </c>
      <c r="M65" s="10">
        <f t="shared" si="9"/>
        <v>0.93200258053497942</v>
      </c>
      <c r="N65" s="10">
        <f t="shared" si="10"/>
        <v>5.5365164819561391E-3</v>
      </c>
      <c r="O65" s="10">
        <f t="shared" si="11"/>
        <v>0.61993316269405085</v>
      </c>
      <c r="P65" s="66">
        <f t="shared" si="12"/>
        <v>4</v>
      </c>
      <c r="Q65" s="10">
        <f t="shared" si="13"/>
        <v>2.5591077266386457E-3</v>
      </c>
    </row>
    <row r="66" spans="9:17">
      <c r="I66" s="66">
        <v>10</v>
      </c>
      <c r="J66" s="10">
        <f t="shared" si="6"/>
        <v>0.9608836849268807</v>
      </c>
      <c r="K66" s="10">
        <f t="shared" si="7"/>
        <v>0.96848901697082035</v>
      </c>
      <c r="L66" s="10">
        <f t="shared" si="8"/>
        <v>0.99950012497916929</v>
      </c>
      <c r="M66" s="10">
        <f t="shared" si="9"/>
        <v>0.93014010909669187</v>
      </c>
      <c r="N66" s="10">
        <f t="shared" si="10"/>
        <v>5.6149939551592577E-3</v>
      </c>
      <c r="O66" s="10">
        <f t="shared" si="11"/>
        <v>0.61391325354075932</v>
      </c>
      <c r="P66" s="66">
        <f t="shared" si="12"/>
        <v>2</v>
      </c>
      <c r="Q66" s="10">
        <f t="shared" si="13"/>
        <v>1.2825215343392959E-3</v>
      </c>
    </row>
    <row r="67" spans="9:17">
      <c r="I67" s="66">
        <v>10.199999999999999</v>
      </c>
      <c r="J67" s="10">
        <f t="shared" si="6"/>
        <v>0.95980719380935464</v>
      </c>
      <c r="K67" s="10">
        <f t="shared" si="7"/>
        <v>0.96761987136664385</v>
      </c>
      <c r="L67" s="10">
        <f t="shared" si="8"/>
        <v>0.99949013002789433</v>
      </c>
      <c r="M67" s="10">
        <f t="shared" si="9"/>
        <v>0.92825498262936079</v>
      </c>
      <c r="N67" s="10">
        <f t="shared" si="10"/>
        <v>5.6946147858218674E-3</v>
      </c>
      <c r="O67" s="10">
        <f t="shared" si="11"/>
        <v>0.60795180118312642</v>
      </c>
      <c r="P67" s="66">
        <f t="shared" si="12"/>
        <v>4</v>
      </c>
      <c r="Q67" s="10">
        <f t="shared" si="13"/>
        <v>2.5709331074191548E-3</v>
      </c>
    </row>
    <row r="68" spans="9:17">
      <c r="I68" s="66">
        <v>10.4</v>
      </c>
      <c r="J68" s="10">
        <f t="shared" si="6"/>
        <v>0.95871653087040387</v>
      </c>
      <c r="K68" s="10">
        <f t="shared" si="7"/>
        <v>0.96673914177873943</v>
      </c>
      <c r="L68" s="10">
        <f t="shared" si="8"/>
        <v>0.99948013517656842</v>
      </c>
      <c r="M68" s="10">
        <f t="shared" si="9"/>
        <v>0.92634697057422422</v>
      </c>
      <c r="N68" s="10">
        <f t="shared" si="10"/>
        <v>5.7753956317978354E-3</v>
      </c>
      <c r="O68" s="10">
        <f t="shared" si="11"/>
        <v>0.60204823797189555</v>
      </c>
      <c r="P68" s="66">
        <f t="shared" si="12"/>
        <v>2</v>
      </c>
      <c r="Q68" s="10">
        <f t="shared" si="13"/>
        <v>1.2883881052204883E-3</v>
      </c>
    </row>
    <row r="69" spans="9:17">
      <c r="I69" s="66">
        <v>10.6</v>
      </c>
      <c r="J69" s="10">
        <f t="shared" si="6"/>
        <v>0.95761152339868783</v>
      </c>
      <c r="K69" s="10">
        <f t="shared" si="7"/>
        <v>0.96584668130191198</v>
      </c>
      <c r="L69" s="10">
        <f t="shared" si="8"/>
        <v>0.99947014042519045</v>
      </c>
      <c r="M69" s="10">
        <f t="shared" si="9"/>
        <v>0.92441584159789858</v>
      </c>
      <c r="N69" s="10">
        <f t="shared" si="10"/>
        <v>5.8573533936333716E-3</v>
      </c>
      <c r="O69" s="10">
        <f t="shared" si="11"/>
        <v>0.59620200177001204</v>
      </c>
      <c r="P69" s="66">
        <f t="shared" si="12"/>
        <v>4</v>
      </c>
      <c r="Q69" s="10">
        <f t="shared" si="13"/>
        <v>2.5825707231818961E-3</v>
      </c>
    </row>
    <row r="70" spans="9:17">
      <c r="I70" s="66">
        <v>10.8</v>
      </c>
      <c r="J70" s="10">
        <f t="shared" si="6"/>
        <v>0.95649199709313826</v>
      </c>
      <c r="K70" s="10">
        <f t="shared" si="7"/>
        <v>0.96494234149794145</v>
      </c>
      <c r="L70" s="10">
        <f t="shared" si="8"/>
        <v>0.99946014577375952</v>
      </c>
      <c r="M70" s="10">
        <f t="shared" si="9"/>
        <v>0.92246136364364828</v>
      </c>
      <c r="N70" s="10">
        <f t="shared" si="10"/>
        <v>5.940505218102847E-3</v>
      </c>
      <c r="O70" s="10">
        <f t="shared" si="11"/>
        <v>0.59041253589909592</v>
      </c>
      <c r="P70" s="66">
        <f t="shared" si="12"/>
        <v>2</v>
      </c>
      <c r="Q70" s="10">
        <f t="shared" si="13"/>
        <v>1.2941574844056991E-3</v>
      </c>
    </row>
    <row r="71" spans="9:17">
      <c r="I71" s="66">
        <v>11</v>
      </c>
      <c r="J71" s="10">
        <f t="shared" si="6"/>
        <v>0.95535777606438477</v>
      </c>
      <c r="K71" s="10">
        <f t="shared" si="7"/>
        <v>0.96402597238969967</v>
      </c>
      <c r="L71" s="10">
        <f t="shared" si="8"/>
        <v>0.99945015122227465</v>
      </c>
      <c r="M71" s="10">
        <f t="shared" si="9"/>
        <v>0.92048330398471045</v>
      </c>
      <c r="N71" s="10">
        <f t="shared" si="10"/>
        <v>6.0248685017962019E-3</v>
      </c>
      <c r="O71" s="10">
        <f t="shared" si="11"/>
        <v>0.5846792890864374</v>
      </c>
      <c r="P71" s="66">
        <f t="shared" si="12"/>
        <v>4</v>
      </c>
      <c r="Q71" s="10">
        <f t="shared" si="13"/>
        <v>2.5940072481122813E-3</v>
      </c>
    </row>
    <row r="72" spans="9:17">
      <c r="I72" s="66">
        <v>11.2</v>
      </c>
      <c r="J72" s="10">
        <f t="shared" si="6"/>
        <v>0.95420868283681526</v>
      </c>
      <c r="K72" s="10">
        <f t="shared" si="7"/>
        <v>0.96309742245560659</v>
      </c>
      <c r="L72" s="10">
        <f t="shared" si="8"/>
        <v>0.99944015677073472</v>
      </c>
      <c r="M72" s="10">
        <f t="shared" si="9"/>
        <v>0.91848142927972432</v>
      </c>
      <c r="N72" s="10">
        <f t="shared" si="10"/>
        <v>6.1104608947585067E-3</v>
      </c>
      <c r="O72" s="10">
        <f t="shared" si="11"/>
        <v>0.57900171541250134</v>
      </c>
      <c r="P72" s="66">
        <f t="shared" si="12"/>
        <v>2</v>
      </c>
      <c r="Q72" s="10">
        <f t="shared" si="13"/>
        <v>1.2998229196848933E-3</v>
      </c>
    </row>
    <row r="73" spans="9:17">
      <c r="I73" s="66">
        <v>11.4</v>
      </c>
      <c r="J73" s="10">
        <f t="shared" si="6"/>
        <v>0.95304453835129355</v>
      </c>
      <c r="K73" s="10">
        <f t="shared" si="7"/>
        <v>0.96215653862444195</v>
      </c>
      <c r="L73" s="10">
        <f t="shared" si="8"/>
        <v>0.99943016241913885</v>
      </c>
      <c r="M73" s="10">
        <f t="shared" si="9"/>
        <v>0.91645550563031264</v>
      </c>
      <c r="N73" s="10">
        <f t="shared" si="10"/>
        <v>6.197300304182674E-3</v>
      </c>
      <c r="O73" s="10">
        <f t="shared" si="11"/>
        <v>0.57337927425894819</v>
      </c>
      <c r="P73" s="66">
        <f t="shared" si="12"/>
        <v>4</v>
      </c>
      <c r="Q73" s="10">
        <f t="shared" si="13"/>
        <v>2.6052289982687223E-3</v>
      </c>
    </row>
    <row r="74" spans="9:17">
      <c r="I74" s="66">
        <v>11.6</v>
      </c>
      <c r="J74" s="10">
        <f t="shared" si="6"/>
        <v>0.95186516196855775</v>
      </c>
      <c r="K74" s="10">
        <f t="shared" si="7"/>
        <v>0.96120316627052815</v>
      </c>
      <c r="L74" s="10">
        <f t="shared" si="8"/>
        <v>0.99942016816748602</v>
      </c>
      <c r="M74" s="10">
        <f t="shared" si="9"/>
        <v>0.91440529864086428</v>
      </c>
      <c r="N74" s="10">
        <f t="shared" si="10"/>
        <v>6.285404898155874E-3</v>
      </c>
      <c r="O74" s="10">
        <f t="shared" si="11"/>
        <v>0.56781143025715419</v>
      </c>
      <c r="P74" s="66">
        <f t="shared" si="12"/>
        <v>2</v>
      </c>
      <c r="Q74" s="10">
        <f t="shared" si="13"/>
        <v>1.3053774788994047E-3</v>
      </c>
    </row>
    <row r="75" spans="9:17">
      <c r="I75" s="66">
        <v>11.8</v>
      </c>
      <c r="J75" s="10">
        <f t="shared" si="6"/>
        <v>0.950670371473325</v>
      </c>
      <c r="K75" s="10">
        <f t="shared" si="7"/>
        <v>0.96023714920930092</v>
      </c>
      <c r="L75" s="10">
        <f t="shared" si="8"/>
        <v>0.99941017401577525</v>
      </c>
      <c r="M75" s="10">
        <f t="shared" si="9"/>
        <v>0.91233057348056934</v>
      </c>
      <c r="N75" s="10">
        <f t="shared" si="10"/>
        <v>6.3747931094605605E-3</v>
      </c>
      <c r="O75" s="10">
        <f t="shared" si="11"/>
        <v>0.56229765323723424</v>
      </c>
      <c r="P75" s="66">
        <f t="shared" si="12"/>
        <v>4</v>
      </c>
      <c r="Q75" s="10">
        <f t="shared" si="13"/>
        <v>2.6162219281687452E-3</v>
      </c>
    </row>
    <row r="76" spans="9:17">
      <c r="I76" s="66">
        <v>12</v>
      </c>
      <c r="J76" s="10">
        <f t="shared" si="6"/>
        <v>0.94945998307912394</v>
      </c>
      <c r="K76" s="10">
        <f t="shared" si="7"/>
        <v>0.95925832969328217</v>
      </c>
      <c r="L76" s="10">
        <f t="shared" si="8"/>
        <v>0.99940017996400543</v>
      </c>
      <c r="M76" s="10">
        <f t="shared" si="9"/>
        <v>0.91023109494775345</v>
      </c>
      <c r="N76" s="10">
        <f t="shared" si="10"/>
        <v>6.4654836394309172E-3</v>
      </c>
      <c r="O76" s="10">
        <f t="shared" si="11"/>
        <v>0.5568374181775595</v>
      </c>
      <c r="P76" s="66">
        <f t="shared" si="12"/>
        <v>2</v>
      </c>
      <c r="Q76" s="10">
        <f t="shared" si="13"/>
        <v>1.3108140483646844E-3</v>
      </c>
    </row>
    <row r="77" spans="9:17">
      <c r="I77" s="66">
        <v>12.2</v>
      </c>
      <c r="J77" s="10">
        <f t="shared" si="6"/>
        <v>0.94823381143388252</v>
      </c>
      <c r="K77" s="10">
        <f t="shared" si="7"/>
        <v>0.95826654840847425</v>
      </c>
      <c r="L77" s="10">
        <f t="shared" si="8"/>
        <v>0.99939018601217555</v>
      </c>
      <c r="M77" s="10">
        <f t="shared" si="9"/>
        <v>0.90810662753656413</v>
      </c>
      <c r="N77" s="10">
        <f t="shared" si="10"/>
        <v>6.5574954618653957E-3</v>
      </c>
      <c r="O77" s="10">
        <f t="shared" si="11"/>
        <v>0.55143020515476315</v>
      </c>
      <c r="P77" s="66">
        <f t="shared" si="12"/>
        <v>4</v>
      </c>
      <c r="Q77" s="10">
        <f t="shared" si="13"/>
        <v>2.6269716279062856E-3</v>
      </c>
    </row>
    <row r="78" spans="9:17">
      <c r="I78" s="66">
        <v>12.4</v>
      </c>
      <c r="J78" s="10">
        <f t="shared" si="6"/>
        <v>0.94699166962629633</v>
      </c>
      <c r="K78" s="10">
        <f t="shared" si="7"/>
        <v>0.95726164447119089</v>
      </c>
      <c r="L78" s="10">
        <f t="shared" si="8"/>
        <v>0.99938019216028484</v>
      </c>
      <c r="M78" s="10">
        <f t="shared" si="9"/>
        <v>0.90595693550605905</v>
      </c>
      <c r="N78" s="10">
        <f t="shared" si="10"/>
        <v>6.6508478269963747E-3</v>
      </c>
      <c r="O78" s="10">
        <f t="shared" si="11"/>
        <v>0.54607549929423627</v>
      </c>
      <c r="P78" s="66">
        <f t="shared" si="12"/>
        <v>2</v>
      </c>
      <c r="Q78" s="10">
        <f t="shared" si="13"/>
        <v>1.3161253315712492E-3</v>
      </c>
    </row>
    <row r="79" spans="9:17">
      <c r="I79" s="66">
        <v>12.6</v>
      </c>
      <c r="J79" s="10">
        <f t="shared" si="6"/>
        <v>0.94573336919300333</v>
      </c>
      <c r="K79" s="10">
        <f t="shared" si="7"/>
        <v>0.95624345542534428</v>
      </c>
      <c r="L79" s="10">
        <f t="shared" si="8"/>
        <v>0.99937019840833208</v>
      </c>
      <c r="M79" s="10">
        <f t="shared" si="9"/>
        <v>0.90378178295174538</v>
      </c>
      <c r="N79" s="10">
        <f t="shared" si="10"/>
        <v>6.7455602655175639E-3</v>
      </c>
      <c r="O79" s="10">
        <f t="shared" si="11"/>
        <v>0.54077279072109929</v>
      </c>
      <c r="P79" s="66">
        <f t="shared" si="12"/>
        <v>4</v>
      </c>
      <c r="Q79" s="10">
        <f t="shared" si="13"/>
        <v>2.6374633208513473E-3</v>
      </c>
    </row>
    <row r="80" spans="9:17">
      <c r="I80" s="66">
        <v>12.8</v>
      </c>
      <c r="J80" s="10">
        <f t="shared" si="6"/>
        <v>0.94445872012659138</v>
      </c>
      <c r="K80" s="10">
        <f t="shared" si="7"/>
        <v>0.95521181724020521</v>
      </c>
      <c r="L80" s="10">
        <f t="shared" si="8"/>
        <v>0.99936020475631637</v>
      </c>
      <c r="M80" s="10">
        <f t="shared" si="9"/>
        <v>0.90158093387962457</v>
      </c>
      <c r="N80" s="10">
        <f t="shared" si="10"/>
        <v>6.8416525926701024E-3</v>
      </c>
      <c r="O80" s="10">
        <f t="shared" si="11"/>
        <v>0.53552157451165172</v>
      </c>
      <c r="P80" s="66">
        <f t="shared" si="12"/>
        <v>2</v>
      </c>
      <c r="Q80" s="10">
        <f t="shared" si="13"/>
        <v>1.321303848190146E-3</v>
      </c>
    </row>
    <row r="81" spans="9:17">
      <c r="I81" s="66">
        <v>13</v>
      </c>
      <c r="J81" s="10">
        <f t="shared" ref="J81:J144" si="14">(B$10^I81)*(B$11^((B$5^B$8)*((B$5^I81)-1)))</f>
        <v>0.94316753088446759</v>
      </c>
      <c r="K81" s="10">
        <f t="shared" ref="K81:K144" si="15">(B$10^I81)*B$12^((B$5^B$9)*((B$5^I81)-1))</f>
        <v>0.95416656430865587</v>
      </c>
      <c r="L81" s="10">
        <f t="shared" ref="L81:L144" si="16">EXP(-B$13*I81)</f>
        <v>0.99935021120423662</v>
      </c>
      <c r="M81" s="10">
        <f t="shared" ref="M81:M144" si="17">J81*K81*L81</f>
        <v>0.89935415228279114</v>
      </c>
      <c r="N81" s="10">
        <f t="shared" ref="N81:N144" si="18">B$3+B$6*(B$5^(B$8+I81)) +B$13</f>
        <v>6.9391449123882357E-3</v>
      </c>
      <c r="O81" s="10">
        <f t="shared" ref="O81:O144" si="19">(1+B$7)^-I81</f>
        <v>0.53032135064529462</v>
      </c>
      <c r="P81" s="66">
        <f t="shared" si="12"/>
        <v>4</v>
      </c>
      <c r="Q81" s="10">
        <f t="shared" si="13"/>
        <v>2.6476818619860011E-3</v>
      </c>
    </row>
    <row r="82" spans="9:17">
      <c r="I82" s="66">
        <v>13.2</v>
      </c>
      <c r="J82" s="10">
        <f t="shared" si="14"/>
        <v>0.9418596083986166</v>
      </c>
      <c r="K82" s="10">
        <f t="shared" si="15"/>
        <v>0.95310752944595378</v>
      </c>
      <c r="L82" s="10">
        <f t="shared" si="16"/>
        <v>0.99934021775209192</v>
      </c>
      <c r="M82" s="10">
        <f t="shared" si="17"/>
        <v>0.89710120222063894</v>
      </c>
      <c r="N82" s="10">
        <f t="shared" si="18"/>
        <v>7.0380576215053007E-3</v>
      </c>
      <c r="O82" s="10">
        <f t="shared" si="19"/>
        <v>0.5251716239569173</v>
      </c>
      <c r="P82" s="66">
        <f t="shared" si="12"/>
        <v>2</v>
      </c>
      <c r="Q82" s="10">
        <f t="shared" si="13"/>
        <v>1.3263419334105767E-3</v>
      </c>
    </row>
    <row r="83" spans="9:17">
      <c r="I83" s="66">
        <v>13.4</v>
      </c>
      <c r="J83" s="10">
        <f t="shared" si="14"/>
        <v>0.94053475808627596</v>
      </c>
      <c r="K83" s="10">
        <f t="shared" si="15"/>
        <v>0.95203454388902797</v>
      </c>
      <c r="L83" s="10">
        <f t="shared" si="16"/>
        <v>0.99933022439988128</v>
      </c>
      <c r="M83" s="10">
        <f t="shared" si="17"/>
        <v>0.89482184790072539</v>
      </c>
      <c r="N83" s="10">
        <f t="shared" si="18"/>
        <v>7.138411414021102E-3</v>
      </c>
      <c r="O83" s="10">
        <f t="shared" si="19"/>
        <v>0.5200719040897489</v>
      </c>
      <c r="P83" s="66">
        <f t="shared" ref="P83:P146" si="20">IF(P82=4,2,4)</f>
        <v>4</v>
      </c>
      <c r="Q83" s="10">
        <f t="shared" ref="Q83:Q146" si="21">0.2*M83*N83*O83*P83</f>
        <v>2.6576117369335349E-3</v>
      </c>
    </row>
    <row r="84" spans="9:17">
      <c r="I84" s="66">
        <v>13.6</v>
      </c>
      <c r="J84" s="10">
        <f t="shared" si="14"/>
        <v>0.93919278386155969</v>
      </c>
      <c r="K84" s="10">
        <f t="shared" si="15"/>
        <v>0.95094743729632547</v>
      </c>
      <c r="L84" s="10">
        <f t="shared" si="16"/>
        <v>0.9993202311476036</v>
      </c>
      <c r="M84" s="10">
        <f t="shared" si="17"/>
        <v>0.89251585376334686</v>
      </c>
      <c r="N84" s="10">
        <f t="shared" si="18"/>
        <v>7.2402272854313826E-3</v>
      </c>
      <c r="O84" s="10">
        <f t="shared" si="19"/>
        <v>0.51502170544866588</v>
      </c>
      <c r="P84" s="66">
        <f t="shared" si="20"/>
        <v>2</v>
      </c>
      <c r="Q84" s="10">
        <f t="shared" si="21"/>
        <v>1.3312317376389189E-3</v>
      </c>
    </row>
    <row r="85" spans="9:17">
      <c r="I85" s="66">
        <v>13.8</v>
      </c>
      <c r="J85" s="10">
        <f t="shared" si="14"/>
        <v>0.93783348814805789</v>
      </c>
      <c r="K85" s="10">
        <f t="shared" si="15"/>
        <v>0.94984603774823007</v>
      </c>
      <c r="L85" s="10">
        <f t="shared" si="16"/>
        <v>0.99931023799525798</v>
      </c>
      <c r="M85" s="10">
        <f t="shared" si="17"/>
        <v>0.89018298456887524</v>
      </c>
      <c r="N85" s="10">
        <f t="shared" si="18"/>
        <v>7.3435265371203607E-3</v>
      </c>
      <c r="O85" s="10">
        <f t="shared" si="19"/>
        <v>0.51002054715395395</v>
      </c>
      <c r="P85" s="66">
        <f t="shared" si="20"/>
        <v>4</v>
      </c>
      <c r="Q85" s="10">
        <f t="shared" si="21"/>
        <v>2.6672370617407061E-3</v>
      </c>
    </row>
    <row r="86" spans="9:17">
      <c r="I86" s="66">
        <v>14</v>
      </c>
      <c r="J86" s="10">
        <f t="shared" si="14"/>
        <v>0.93645667189244453</v>
      </c>
      <c r="K86" s="10">
        <f t="shared" si="15"/>
        <v>0.94873017174807572</v>
      </c>
      <c r="L86" s="10">
        <f t="shared" si="16"/>
        <v>0.99930024494284331</v>
      </c>
      <c r="M86" s="10">
        <f t="shared" si="17"/>
        <v>0.8878230054879096</v>
      </c>
      <c r="N86" s="10">
        <f t="shared" si="18"/>
        <v>7.4483307808173521E-3</v>
      </c>
      <c r="O86" s="10">
        <f t="shared" si="19"/>
        <v>0.50506795299551888</v>
      </c>
      <c r="P86" s="66">
        <f t="shared" si="20"/>
        <v>2</v>
      </c>
      <c r="Q86" s="10">
        <f t="shared" si="21"/>
        <v>1.3359652265897942E-3</v>
      </c>
    </row>
    <row r="87" spans="9:17">
      <c r="I87" s="66">
        <v>14.2</v>
      </c>
      <c r="J87" s="10">
        <f t="shared" si="14"/>
        <v>0.93506213457912457</v>
      </c>
      <c r="K87" s="10">
        <f t="shared" si="15"/>
        <v>0.94759966422377362</v>
      </c>
      <c r="L87" s="10">
        <f t="shared" si="16"/>
        <v>0.9992902519903587</v>
      </c>
      <c r="M87" s="10">
        <f t="shared" si="17"/>
        <v>0.88543568219429458</v>
      </c>
      <c r="N87" s="10">
        <f t="shared" si="18"/>
        <v>7.5546619431181936E-3</v>
      </c>
      <c r="O87" s="10">
        <f t="shared" si="19"/>
        <v>0.50016345138754026</v>
      </c>
      <c r="P87" s="66">
        <f t="shared" si="20"/>
        <v>4</v>
      </c>
      <c r="Q87" s="10">
        <f t="shared" si="21"/>
        <v>2.6765415834758312E-3</v>
      </c>
    </row>
    <row r="88" spans="9:17">
      <c r="I88" s="66">
        <v>14.4</v>
      </c>
      <c r="J88" s="10">
        <f t="shared" si="14"/>
        <v>0.93364967424595113</v>
      </c>
      <c r="K88" s="10">
        <f t="shared" si="15"/>
        <v>0.9464543385300781</v>
      </c>
      <c r="L88" s="10">
        <f t="shared" si="16"/>
        <v>0.99928025913780316</v>
      </c>
      <c r="M88" s="10">
        <f t="shared" si="17"/>
        <v>0.88302078096105541</v>
      </c>
      <c r="N88" s="10">
        <f t="shared" si="18"/>
        <v>7.6625422700726852E-3</v>
      </c>
      <c r="O88" s="10">
        <f t="shared" si="19"/>
        <v>0.49530657532357031</v>
      </c>
      <c r="P88" s="66">
        <f t="shared" si="20"/>
        <v>2</v>
      </c>
      <c r="Q88" s="10">
        <f t="shared" si="21"/>
        <v>1.3405341818013498E-3</v>
      </c>
    </row>
    <row r="89" spans="9:17">
      <c r="I89" s="66">
        <v>14.6</v>
      </c>
      <c r="J89" s="10">
        <f t="shared" si="14"/>
        <v>0.9322190875010461</v>
      </c>
      <c r="K89" s="10">
        <f t="shared" si="15"/>
        <v>0.94529401645151145</v>
      </c>
      <c r="L89" s="10">
        <f t="shared" si="16"/>
        <v>0.99927026638517569</v>
      </c>
      <c r="M89" s="10">
        <f t="shared" si="17"/>
        <v>0.88057806875930245</v>
      </c>
      <c r="N89" s="10">
        <f t="shared" si="18"/>
        <v>7.7719943318387353E-3</v>
      </c>
      <c r="O89" s="10">
        <f t="shared" si="19"/>
        <v>0.49049686233206274</v>
      </c>
      <c r="P89" s="66">
        <f t="shared" si="20"/>
        <v>4</v>
      </c>
      <c r="Q89" s="10">
        <f t="shared" si="21"/>
        <v>2.6855086817087199E-3</v>
      </c>
    </row>
    <row r="90" spans="9:17">
      <c r="I90" s="66">
        <v>14.8</v>
      </c>
      <c r="J90" s="10">
        <f t="shared" si="14"/>
        <v>0.93077016954075886</v>
      </c>
      <c r="K90" s="10">
        <f t="shared" si="15"/>
        <v>0.94411851820597481</v>
      </c>
      <c r="L90" s="10">
        <f t="shared" si="16"/>
        <v>0.99926027373247517</v>
      </c>
      <c r="M90" s="10">
        <f t="shared" si="17"/>
        <v>0.87810731336016035</v>
      </c>
      <c r="N90" s="10">
        <f t="shared" si="18"/>
        <v>7.8830410274043864E-3</v>
      </c>
      <c r="O90" s="10">
        <f t="shared" si="19"/>
        <v>0.48573385443233708</v>
      </c>
      <c r="P90" s="66">
        <f t="shared" si="20"/>
        <v>2</v>
      </c>
      <c r="Q90" s="10">
        <f t="shared" si="21"/>
        <v>1.3449302016085251E-3</v>
      </c>
    </row>
    <row r="91" spans="9:17">
      <c r="I91" s="66">
        <v>15</v>
      </c>
      <c r="J91" s="10">
        <f t="shared" si="14"/>
        <v>0.92930271416879362</v>
      </c>
      <c r="K91" s="10">
        <f t="shared" si="15"/>
        <v>0.94292766244906423</v>
      </c>
      <c r="L91" s="10">
        <f t="shared" si="16"/>
        <v>0.99925028117970072</v>
      </c>
      <c r="M91" s="10">
        <f t="shared" si="17"/>
        <v>0.87560828343976427</v>
      </c>
      <c r="N91" s="10">
        <f t="shared" si="18"/>
        <v>7.995705589378654E-3</v>
      </c>
      <c r="O91" s="10">
        <f t="shared" si="19"/>
        <v>0.48101709809097021</v>
      </c>
      <c r="P91" s="66">
        <f t="shared" si="20"/>
        <v>4</v>
      </c>
      <c r="Q91" s="10">
        <f t="shared" si="21"/>
        <v>2.6941213709413981E-3</v>
      </c>
    </row>
    <row r="92" spans="9:17">
      <c r="I92" s="66">
        <v>15.2</v>
      </c>
      <c r="J92" s="10">
        <f t="shared" si="14"/>
        <v>0.92781651381654107</v>
      </c>
      <c r="K92" s="10">
        <f t="shared" si="15"/>
        <v>0.94172126627912012</v>
      </c>
      <c r="L92" s="10">
        <f t="shared" si="16"/>
        <v>0.99924028872685122</v>
      </c>
      <c r="M92" s="10">
        <f t="shared" si="17"/>
        <v>0.87308074868738017</v>
      </c>
      <c r="N92" s="10">
        <f t="shared" si="18"/>
        <v>8.1100115888520594E-3</v>
      </c>
      <c r="O92" s="10">
        <f t="shared" si="19"/>
        <v>0.47634614417860971</v>
      </c>
      <c r="P92" s="66">
        <f t="shared" si="20"/>
        <v>2</v>
      </c>
      <c r="Q92" s="10">
        <f t="shared" si="21"/>
        <v>1.3491447026095179E-3</v>
      </c>
    </row>
    <row r="93" spans="9:17">
      <c r="I93" s="66">
        <v>15.4</v>
      </c>
      <c r="J93" s="10">
        <f t="shared" si="14"/>
        <v>0.92631135956465327</v>
      </c>
      <c r="K93" s="10">
        <f t="shared" si="15"/>
        <v>0.94049914524303568</v>
      </c>
      <c r="L93" s="10">
        <f t="shared" si="16"/>
        <v>0.9992302963739258</v>
      </c>
      <c r="M93" s="10">
        <f t="shared" si="17"/>
        <v>0.87052447991670279</v>
      </c>
      <c r="N93" s="10">
        <f t="shared" si="18"/>
        <v>8.2259829403281363E-3</v>
      </c>
      <c r="O93" s="10">
        <f t="shared" si="19"/>
        <v>0.4717205479272098</v>
      </c>
      <c r="P93" s="66">
        <f t="shared" si="20"/>
        <v>4</v>
      </c>
      <c r="Q93" s="10">
        <f t="shared" si="21"/>
        <v>2.7023623040616659E-3</v>
      </c>
    </row>
    <row r="94" spans="9:17">
      <c r="I94" s="66">
        <v>15.6</v>
      </c>
      <c r="J94" s="10">
        <f t="shared" si="14"/>
        <v>0.9247870411658915</v>
      </c>
      <c r="K94" s="10">
        <f t="shared" si="15"/>
        <v>0.93926111334284568</v>
      </c>
      <c r="L94" s="10">
        <f t="shared" si="16"/>
        <v>0.99922030412092344</v>
      </c>
      <c r="M94" s="10">
        <f t="shared" si="17"/>
        <v>0.86793924918037058</v>
      </c>
      <c r="N94" s="10">
        <f t="shared" si="18"/>
        <v>8.3436439067266378E-3</v>
      </c>
      <c r="O94" s="10">
        <f t="shared" si="19"/>
        <v>0.46713986888767883</v>
      </c>
      <c r="P94" s="66">
        <f t="shared" si="20"/>
        <v>2</v>
      </c>
      <c r="Q94" s="10">
        <f t="shared" si="21"/>
        <v>1.3531689216622796E-3</v>
      </c>
    </row>
    <row r="95" spans="9:17">
      <c r="I95" s="66">
        <v>15.8</v>
      </c>
      <c r="J95" s="10">
        <f t="shared" si="14"/>
        <v>0.92324334706928668</v>
      </c>
      <c r="K95" s="10">
        <f t="shared" si="15"/>
        <v>0.93800698304312646</v>
      </c>
      <c r="L95" s="10">
        <f t="shared" si="16"/>
        <v>0.99921031196784305</v>
      </c>
      <c r="M95" s="10">
        <f t="shared" si="17"/>
        <v>0.86532482988775461</v>
      </c>
      <c r="N95" s="10">
        <f t="shared" si="18"/>
        <v>8.4630191044597156E-3</v>
      </c>
      <c r="O95" s="10">
        <f t="shared" si="19"/>
        <v>0.46260367088794008</v>
      </c>
      <c r="P95" s="66">
        <f t="shared" si="20"/>
        <v>4</v>
      </c>
      <c r="Q95" s="10">
        <f t="shared" si="21"/>
        <v>2.710213776894736E-3</v>
      </c>
    </row>
    <row r="96" spans="9:17">
      <c r="I96" s="66">
        <v>16</v>
      </c>
      <c r="J96" s="10">
        <f t="shared" si="14"/>
        <v>0.92168006444565131</v>
      </c>
      <c r="K96" s="10">
        <f t="shared" si="15"/>
        <v>0.93673656527923188</v>
      </c>
      <c r="L96" s="10">
        <f t="shared" si="16"/>
        <v>0.99920031991468372</v>
      </c>
      <c r="M96" s="10">
        <f t="shared" si="17"/>
        <v>0.86268099692607048</v>
      </c>
      <c r="N96" s="10">
        <f t="shared" si="18"/>
        <v>8.5841335085820522E-3</v>
      </c>
      <c r="O96" s="10">
        <f t="shared" si="19"/>
        <v>0.45811152199140021</v>
      </c>
      <c r="P96" s="66">
        <f t="shared" si="20"/>
        <v>2</v>
      </c>
      <c r="Q96" s="10">
        <f t="shared" si="21"/>
        <v>1.3569939184493983E-3</v>
      </c>
    </row>
    <row r="97" spans="9:17">
      <c r="I97" s="66">
        <v>16.2</v>
      </c>
      <c r="J97" s="10">
        <f t="shared" si="14"/>
        <v>0.92009697921447653</v>
      </c>
      <c r="K97" s="10">
        <f t="shared" si="15"/>
        <v>0.93544966946639285</v>
      </c>
      <c r="L97" s="10">
        <f t="shared" si="16"/>
        <v>0.99919032796144447</v>
      </c>
      <c r="M97" s="10">
        <f t="shared" si="17"/>
        <v>0.86000752678485448</v>
      </c>
      <c r="N97" s="10">
        <f t="shared" si="18"/>
        <v>8.707012458015962E-3</v>
      </c>
      <c r="O97" s="10">
        <f t="shared" si="19"/>
        <v>0.45366299445581876</v>
      </c>
      <c r="P97" s="66">
        <f t="shared" si="20"/>
        <v>4</v>
      </c>
      <c r="Q97" s="10">
        <f t="shared" si="21"/>
        <v>2.7176577339310007E-3</v>
      </c>
    </row>
    <row r="98" spans="9:17">
      <c r="I98" s="66">
        <v>16.399999999999999</v>
      </c>
      <c r="J98" s="10">
        <f t="shared" si="14"/>
        <v>0.91849387607225508</v>
      </c>
      <c r="K98" s="10">
        <f t="shared" si="15"/>
        <v>0.93414610350970873</v>
      </c>
      <c r="L98" s="10">
        <f t="shared" si="16"/>
        <v>0.99918033610812418</v>
      </c>
      <c r="M98" s="10">
        <f t="shared" si="17"/>
        <v>0.85730419768385646</v>
      </c>
      <c r="N98" s="10">
        <f t="shared" si="18"/>
        <v>8.8316816608527467E-3</v>
      </c>
      <c r="O98" s="10">
        <f t="shared" si="19"/>
        <v>0.44925766469258083</v>
      </c>
      <c r="P98" s="66">
        <f t="shared" si="20"/>
        <v>2</v>
      </c>
      <c r="Q98" s="10">
        <f t="shared" si="21"/>
        <v>1.3606105786511814E-3</v>
      </c>
    </row>
    <row r="99" spans="9:17">
      <c r="I99" s="66">
        <v>16.600000000000001</v>
      </c>
      <c r="J99" s="10">
        <f t="shared" si="14"/>
        <v>0.91687053852227074</v>
      </c>
      <c r="K99" s="10">
        <f t="shared" si="15"/>
        <v>0.93282567381505976</v>
      </c>
      <c r="L99" s="10">
        <f t="shared" si="16"/>
        <v>0.99917034435472196</v>
      </c>
      <c r="M99" s="10">
        <f t="shared" si="17"/>
        <v>0.85457078970439504</v>
      </c>
      <c r="N99" s="10">
        <f t="shared" si="18"/>
        <v>8.9581671997311357E-3</v>
      </c>
      <c r="O99" s="10">
        <f t="shared" si="19"/>
        <v>0.44489511322636077</v>
      </c>
      <c r="P99" s="66">
        <f t="shared" si="20"/>
        <v>4</v>
      </c>
      <c r="Q99" s="10">
        <f t="shared" si="21"/>
        <v>2.7246757753113093E-3</v>
      </c>
    </row>
    <row r="100" spans="9:17">
      <c r="I100" s="66">
        <v>16.8</v>
      </c>
      <c r="J100" s="10">
        <f t="shared" si="14"/>
        <v>0.9152267489058904</v>
      </c>
      <c r="K100" s="10">
        <f t="shared" si="15"/>
        <v>0.931488185300969</v>
      </c>
      <c r="L100" s="10">
        <f t="shared" si="16"/>
        <v>0.99916035270123671</v>
      </c>
      <c r="M100" s="10">
        <f t="shared" si="17"/>
        <v>0.85180708492421497</v>
      </c>
      <c r="N100" s="10">
        <f t="shared" si="18"/>
        <v>9.0864955372941952E-3</v>
      </c>
      <c r="O100" s="10">
        <f t="shared" si="19"/>
        <v>0.44057492465518094</v>
      </c>
      <c r="P100" s="66">
        <f t="shared" si="20"/>
        <v>2</v>
      </c>
      <c r="Q100" s="10">
        <f t="shared" si="21"/>
        <v>1.3640096177683484E-3</v>
      </c>
    </row>
    <row r="101" spans="9:17">
      <c r="I101" s="66">
        <v>17</v>
      </c>
      <c r="J101" s="10">
        <f t="shared" si="14"/>
        <v>0.91356228843540188</v>
      </c>
      <c r="K101" s="10">
        <f t="shared" si="15"/>
        <v>0.93013344141144405</v>
      </c>
      <c r="L101" s="10">
        <f t="shared" si="16"/>
        <v>0.99915036114766753</v>
      </c>
      <c r="M101" s="10">
        <f t="shared" si="17"/>
        <v>0.84901286755589511</v>
      </c>
      <c r="N101" s="10">
        <f t="shared" si="18"/>
        <v>9.2166935217257075E-3</v>
      </c>
      <c r="O101" s="10">
        <f t="shared" si="19"/>
        <v>0.43629668761085727</v>
      </c>
      <c r="P101" s="66">
        <f t="shared" si="20"/>
        <v>4</v>
      </c>
      <c r="Q101" s="10">
        <f t="shared" si="21"/>
        <v>2.7312491651538258E-3</v>
      </c>
    </row>
    <row r="102" spans="9:17">
      <c r="I102" s="66">
        <v>17.2</v>
      </c>
      <c r="J102" s="10">
        <f t="shared" si="14"/>
        <v>0.91187693722843788</v>
      </c>
      <c r="K102" s="10">
        <f t="shared" si="15"/>
        <v>0.9287612441298303</v>
      </c>
      <c r="L102" s="10">
        <f t="shared" si="16"/>
        <v>0.99914036969401343</v>
      </c>
      <c r="M102" s="10">
        <f t="shared" si="17"/>
        <v>0.84618792408884924</v>
      </c>
      <c r="N102" s="10">
        <f t="shared" si="18"/>
        <v>9.3487883923671616E-3</v>
      </c>
      <c r="O102" s="10">
        <f t="shared" si="19"/>
        <v>0.43205999471982737</v>
      </c>
      <c r="P102" s="66">
        <f t="shared" si="20"/>
        <v>2</v>
      </c>
      <c r="Q102" s="10">
        <f t="shared" si="21"/>
        <v>1.367181585637076E-3</v>
      </c>
    </row>
    <row r="103" spans="9:17">
      <c r="I103" s="66">
        <v>17.399999999999999</v>
      </c>
      <c r="J103" s="10">
        <f t="shared" si="14"/>
        <v>0.91017047434402609</v>
      </c>
      <c r="K103" s="10">
        <f t="shared" si="15"/>
        <v>0.9273713939937035</v>
      </c>
      <c r="L103" s="10">
        <f t="shared" si="16"/>
        <v>0.99913037834027341</v>
      </c>
      <c r="M103" s="10">
        <f t="shared" si="17"/>
        <v>0.84333204343495338</v>
      </c>
      <c r="N103" s="10">
        <f t="shared" si="18"/>
        <v>9.482807785416698E-3</v>
      </c>
      <c r="O103" s="10">
        <f t="shared" si="19"/>
        <v>0.42786444256436262</v>
      </c>
      <c r="P103" s="66">
        <f t="shared" si="20"/>
        <v>4</v>
      </c>
      <c r="Q103" s="10">
        <f t="shared" si="21"/>
        <v>2.7373588413094735E-3</v>
      </c>
    </row>
    <row r="104" spans="9:17">
      <c r="I104" s="66">
        <v>17.600000000000001</v>
      </c>
      <c r="J104" s="10">
        <f t="shared" si="14"/>
        <v>0.90844267782031163</v>
      </c>
      <c r="K104" s="10">
        <f t="shared" si="15"/>
        <v>0.92596369011083912</v>
      </c>
      <c r="L104" s="10">
        <f t="shared" si="16"/>
        <v>0.99912038708644635</v>
      </c>
      <c r="M104" s="10">
        <f t="shared" si="17"/>
        <v>0.84044501707785124</v>
      </c>
      <c r="N104" s="10">
        <f t="shared" si="18"/>
        <v>9.6187797397109687E-3</v>
      </c>
      <c r="O104" s="10">
        <f t="shared" si="19"/>
        <v>0.42370963164415304</v>
      </c>
      <c r="P104" s="66">
        <f t="shared" si="20"/>
        <v>2</v>
      </c>
      <c r="Q104" s="10">
        <f t="shared" si="21"/>
        <v>1.3701168716806196E-3</v>
      </c>
    </row>
    <row r="105" spans="9:17">
      <c r="I105" s="66">
        <v>17.8</v>
      </c>
      <c r="J105" s="10">
        <f t="shared" si="14"/>
        <v>0.90669332471398956</v>
      </c>
      <c r="K105" s="10">
        <f t="shared" si="15"/>
        <v>0.92453793017628561</v>
      </c>
      <c r="L105" s="10">
        <f t="shared" si="16"/>
        <v>0.99911039593253126</v>
      </c>
      <c r="M105" s="10">
        <f t="shared" si="17"/>
        <v>0.83752663922596315</v>
      </c>
      <c r="N105" s="10">
        <f t="shared" si="18"/>
        <v>9.7567327025912601E-3</v>
      </c>
      <c r="O105" s="10">
        <f t="shared" si="19"/>
        <v>0.4195951663382676</v>
      </c>
      <c r="P105" s="66">
        <f t="shared" si="20"/>
        <v>4</v>
      </c>
      <c r="Q105" s="10">
        <f t="shared" si="21"/>
        <v>2.7429854266357583E-3</v>
      </c>
    </row>
    <row r="106" spans="9:17">
      <c r="I106" s="66">
        <v>18</v>
      </c>
      <c r="J106" s="10">
        <f t="shared" si="14"/>
        <v>0.90492219114149619</v>
      </c>
      <c r="K106" s="10">
        <f t="shared" si="15"/>
        <v>0.92309391049057699</v>
      </c>
      <c r="L106" s="10">
        <f t="shared" si="16"/>
        <v>0.99910040487852736</v>
      </c>
      <c r="M106" s="10">
        <f t="shared" si="17"/>
        <v>0.83457670696924258</v>
      </c>
      <c r="N106" s="10">
        <f t="shared" si="18"/>
        <v>9.8966955358551333E-3</v>
      </c>
      <c r="O106" s="10">
        <f t="shared" si="19"/>
        <v>0.41552065486748313</v>
      </c>
      <c r="P106" s="66">
        <f t="shared" si="20"/>
        <v>2</v>
      </c>
      <c r="Q106" s="10">
        <f t="shared" si="21"/>
        <v>1.3728057109430353E-3</v>
      </c>
    </row>
    <row r="107" spans="9:17">
      <c r="I107" s="66">
        <v>18.2</v>
      </c>
      <c r="J107" s="10">
        <f t="shared" si="14"/>
        <v>0.90312905232199792</v>
      </c>
      <c r="K107" s="10">
        <f t="shared" si="15"/>
        <v>0.92163142597911929</v>
      </c>
      <c r="L107" s="10">
        <f t="shared" si="16"/>
        <v>0.99909041392443343</v>
      </c>
      <c r="M107" s="10">
        <f t="shared" si="17"/>
        <v>0.83159502043970712</v>
      </c>
      <c r="N107" s="10">
        <f t="shared" si="18"/>
        <v>1.0038697521794699E-2</v>
      </c>
      <c r="O107" s="10">
        <f t="shared" si="19"/>
        <v>0.41148570925697842</v>
      </c>
      <c r="P107" s="66">
        <f t="shared" si="20"/>
        <v>4</v>
      </c>
      <c r="Q107" s="10">
        <f t="shared" si="21"/>
        <v>2.7481092418811686E-3</v>
      </c>
    </row>
    <row r="108" spans="9:17">
      <c r="I108" s="66">
        <v>18.399999999999999</v>
      </c>
      <c r="J108" s="10">
        <f t="shared" si="14"/>
        <v>0.90131368262222766</v>
      </c>
      <c r="K108" s="10">
        <f t="shared" si="15"/>
        <v>0.92015027021278406</v>
      </c>
      <c r="L108" s="10">
        <f t="shared" si="16"/>
        <v>0.99908042307024847</v>
      </c>
      <c r="M108" s="10">
        <f t="shared" si="17"/>
        <v>0.8285813829757841</v>
      </c>
      <c r="N108" s="10">
        <f t="shared" si="18"/>
        <v>1.0182768369322951E-2</v>
      </c>
      <c r="O108" s="10">
        <f t="shared" si="19"/>
        <v>0.40748994529939297</v>
      </c>
      <c r="P108" s="66">
        <f t="shared" si="20"/>
        <v>2</v>
      </c>
      <c r="Q108" s="10">
        <f t="shared" si="21"/>
        <v>1.3752381909517154E-3</v>
      </c>
    </row>
    <row r="109" spans="9:17">
      <c r="I109" s="66">
        <v>18.600000000000001</v>
      </c>
      <c r="J109" s="10">
        <f t="shared" si="14"/>
        <v>0.89947585560321053</v>
      </c>
      <c r="K109" s="10">
        <f t="shared" si="15"/>
        <v>0.91865023542974478</v>
      </c>
      <c r="L109" s="10">
        <f t="shared" si="16"/>
        <v>0.9990704323159717</v>
      </c>
      <c r="M109" s="10">
        <f t="shared" si="17"/>
        <v>0.82553560129049297</v>
      </c>
      <c r="N109" s="10">
        <f t="shared" si="18"/>
        <v>1.0328938220189293E-2</v>
      </c>
      <c r="O109" s="10">
        <f t="shared" si="19"/>
        <v>0.40353298251824093</v>
      </c>
      <c r="P109" s="66">
        <f t="shared" si="20"/>
        <v>4</v>
      </c>
      <c r="Q109" s="10">
        <f t="shared" si="21"/>
        <v>2.7527103202749184E-3</v>
      </c>
    </row>
    <row r="110" spans="9:17">
      <c r="I110" s="66">
        <v>18.8</v>
      </c>
      <c r="J110" s="10">
        <f t="shared" si="14"/>
        <v>0.89761534406892451</v>
      </c>
      <c r="K110" s="10">
        <f t="shared" si="15"/>
        <v>0.9171311125585907</v>
      </c>
      <c r="L110" s="10">
        <f t="shared" si="16"/>
        <v>0.99906044166160191</v>
      </c>
      <c r="M110" s="10">
        <f t="shared" si="17"/>
        <v>0.82245748564349286</v>
      </c>
      <c r="N110" s="10">
        <f t="shared" si="18"/>
        <v>1.0477237655285599E-2</v>
      </c>
      <c r="O110" s="10">
        <f t="shared" si="19"/>
        <v>0.3996144441316834</v>
      </c>
      <c r="P110" s="66">
        <f t="shared" si="20"/>
        <v>2</v>
      </c>
      <c r="Q110" s="10">
        <f t="shared" si="21"/>
        <v>1.3774042594566949E-3</v>
      </c>
    </row>
    <row r="111" spans="9:17">
      <c r="I111" s="66">
        <v>19</v>
      </c>
      <c r="J111" s="10">
        <f t="shared" si="14"/>
        <v>0.8957319201169458</v>
      </c>
      <c r="K111" s="10">
        <f t="shared" si="15"/>
        <v>0.91559269124275677</v>
      </c>
      <c r="L111" s="10">
        <f t="shared" si="16"/>
        <v>0.99905045110713808</v>
      </c>
      <c r="M111" s="10">
        <f t="shared" si="17"/>
        <v>0.81934685001702512</v>
      </c>
      <c r="N111" s="10">
        <f t="shared" si="18"/>
        <v>1.062769770104427E-2</v>
      </c>
      <c r="O111" s="10">
        <f t="shared" si="19"/>
        <v>0.39573395701665059</v>
      </c>
      <c r="P111" s="66">
        <f t="shared" si="20"/>
        <v>4</v>
      </c>
      <c r="Q111" s="10">
        <f t="shared" si="21"/>
        <v>2.7567684239188151E-3</v>
      </c>
    </row>
    <row r="112" spans="9:17">
      <c r="I112" s="66">
        <v>19.2</v>
      </c>
      <c r="J112" s="10">
        <f t="shared" si="14"/>
        <v>0.89382535519112105</v>
      </c>
      <c r="K112" s="10">
        <f t="shared" si="15"/>
        <v>0.91403475986630434</v>
      </c>
      <c r="L112" s="10">
        <f t="shared" si="16"/>
        <v>0.99904046065257934</v>
      </c>
      <c r="M112" s="10">
        <f t="shared" si="17"/>
        <v>0.81620351229576504</v>
      </c>
      <c r="N112" s="10">
        <f t="shared" si="18"/>
        <v>1.07803498359293E-2</v>
      </c>
      <c r="O112" s="10">
        <f t="shared" si="19"/>
        <v>0.39189115167331279</v>
      </c>
      <c r="P112" s="66">
        <f t="shared" si="20"/>
        <v>2</v>
      </c>
      <c r="Q112" s="10">
        <f t="shared" si="21"/>
        <v>1.3792937330955454E-3</v>
      </c>
    </row>
    <row r="113" spans="9:17">
      <c r="I113" s="66">
        <v>19.399999999999999</v>
      </c>
      <c r="J113" s="10">
        <f t="shared" si="14"/>
        <v>0.89189542013631762</v>
      </c>
      <c r="K113" s="10">
        <f t="shared" si="15"/>
        <v>0.91245710558109194</v>
      </c>
      <c r="L113" s="10">
        <f t="shared" si="16"/>
        <v>0.99903047029792469</v>
      </c>
      <c r="M113" s="10">
        <f t="shared" si="17"/>
        <v>0.81302729445060717</v>
      </c>
      <c r="N113" s="10">
        <f t="shared" si="18"/>
        <v>1.0935225997022173E-2</v>
      </c>
      <c r="O113" s="10">
        <f t="shared" si="19"/>
        <v>0.3880856621898981</v>
      </c>
      <c r="P113" s="66">
        <f t="shared" si="20"/>
        <v>4</v>
      </c>
      <c r="Q113" s="10">
        <f t="shared" si="21"/>
        <v>2.7602630620799026E-3</v>
      </c>
    </row>
    <row r="114" spans="9:17">
      <c r="I114" s="66">
        <v>19.600000000000001</v>
      </c>
      <c r="J114" s="10">
        <f t="shared" si="14"/>
        <v>0.8899418852552986</v>
      </c>
      <c r="K114" s="10">
        <f t="shared" si="15"/>
        <v>0.91085951433537371</v>
      </c>
      <c r="L114" s="10">
        <f t="shared" si="16"/>
        <v>0.99902048004317312</v>
      </c>
      <c r="M114" s="10">
        <f t="shared" si="17"/>
        <v>0.80981802272639825</v>
      </c>
      <c r="N114" s="10">
        <f t="shared" si="18"/>
        <v>1.109235858670349E-2</v>
      </c>
      <c r="O114" s="10">
        <f t="shared" si="19"/>
        <v>0.38431712620784853</v>
      </c>
      <c r="P114" s="66">
        <f t="shared" si="20"/>
        <v>2</v>
      </c>
      <c r="Q114" s="10">
        <f t="shared" si="21"/>
        <v>1.3808963070336732E-3</v>
      </c>
    </row>
    <row r="115" spans="9:17">
      <c r="I115" s="66">
        <v>19.8</v>
      </c>
      <c r="J115" s="10">
        <f t="shared" si="14"/>
        <v>0.88796452036776841</v>
      </c>
      <c r="K115" s="10">
        <f t="shared" si="15"/>
        <v>0.90924177090386482</v>
      </c>
      <c r="L115" s="10">
        <f t="shared" si="16"/>
        <v>0.99901048988832353</v>
      </c>
      <c r="M115" s="10">
        <f t="shared" si="17"/>
        <v>0.80657552783362918</v>
      </c>
      <c r="N115" s="10">
        <f t="shared" si="18"/>
        <v>1.125178047943202E-2</v>
      </c>
      <c r="O115" s="10">
        <f t="shared" si="19"/>
        <v>0.38058518488731752</v>
      </c>
      <c r="P115" s="66">
        <f t="shared" si="20"/>
        <v>4</v>
      </c>
      <c r="Q115" s="10">
        <f t="shared" si="21"/>
        <v>2.7631735114842463E-3</v>
      </c>
    </row>
    <row r="116" spans="9:17">
      <c r="I116" s="66">
        <v>20</v>
      </c>
      <c r="J116" s="10">
        <f t="shared" si="14"/>
        <v>0.88596309487164249</v>
      </c>
      <c r="K116" s="10">
        <f t="shared" si="15"/>
        <v>0.90760365891931361</v>
      </c>
      <c r="L116" s="10">
        <f t="shared" si="16"/>
        <v>0.99900049983337502</v>
      </c>
      <c r="M116" s="10">
        <f t="shared" si="17"/>
        <v>0.80329964514409824</v>
      </c>
      <c r="N116" s="10">
        <f t="shared" si="18"/>
        <v>1.1413525028622589E-2</v>
      </c>
      <c r="O116" s="10">
        <f t="shared" si="19"/>
        <v>0.37688948287300061</v>
      </c>
      <c r="P116" s="66">
        <f t="shared" si="20"/>
        <v>2</v>
      </c>
      <c r="Q116" s="10">
        <f t="shared" si="21"/>
        <v>1.3822015656304596E-3</v>
      </c>
    </row>
    <row r="117" spans="9:17">
      <c r="I117" s="66">
        <v>20.2</v>
      </c>
      <c r="J117" s="10">
        <f t="shared" si="14"/>
        <v>0.88393737780658521</v>
      </c>
      <c r="K117" s="10">
        <f t="shared" si="15"/>
        <v>0.90594496090562027</v>
      </c>
      <c r="L117" s="10">
        <f t="shared" si="16"/>
        <v>0.99899050987832649</v>
      </c>
      <c r="M117" s="10">
        <f t="shared" si="17"/>
        <v>0.79999021489054833</v>
      </c>
      <c r="N117" s="10">
        <f t="shared" si="18"/>
        <v>1.1577626073623996E-2</v>
      </c>
      <c r="O117" s="10">
        <f t="shared" si="19"/>
        <v>0.37322966826029785</v>
      </c>
      <c r="P117" s="66">
        <f t="shared" si="20"/>
        <v>4</v>
      </c>
      <c r="Q117" s="10">
        <f t="shared" si="21"/>
        <v>2.7654788387131506E-3</v>
      </c>
    </row>
    <row r="118" spans="9:17">
      <c r="I118" s="66">
        <v>20.399999999999999</v>
      </c>
      <c r="J118" s="10">
        <f t="shared" si="14"/>
        <v>0.88188713791986939</v>
      </c>
      <c r="K118" s="10">
        <f t="shared" si="15"/>
        <v>0.90426545831254357</v>
      </c>
      <c r="L118" s="10">
        <f t="shared" si="16"/>
        <v>0.99898052002317705</v>
      </c>
      <c r="M118" s="10">
        <f t="shared" si="17"/>
        <v>0.79664708237028081</v>
      </c>
      <c r="N118" s="10">
        <f t="shared" si="18"/>
        <v>1.1744117946798836E-2</v>
      </c>
      <c r="O118" s="10">
        <f t="shared" si="19"/>
        <v>0.36960539256180769</v>
      </c>
      <c r="P118" s="66">
        <f t="shared" si="20"/>
        <v>2</v>
      </c>
      <c r="Q118" s="10">
        <f t="shared" si="21"/>
        <v>1.383198994182147E-3</v>
      </c>
    </row>
    <row r="119" spans="9:17">
      <c r="I119" s="66">
        <v>20.6</v>
      </c>
      <c r="J119" s="10">
        <f t="shared" si="14"/>
        <v>0.87981214373460448</v>
      </c>
      <c r="K119" s="10">
        <f t="shared" si="15"/>
        <v>0.90256493155203688</v>
      </c>
      <c r="L119" s="10">
        <f t="shared" si="16"/>
        <v>0.9989705302679257</v>
      </c>
      <c r="M119" s="10">
        <f t="shared" si="17"/>
        <v>0.79327009815274474</v>
      </c>
      <c r="N119" s="10">
        <f t="shared" si="18"/>
        <v>1.1913035480706251E-2</v>
      </c>
      <c r="O119" s="10">
        <f t="shared" si="19"/>
        <v>0.36601631067414142</v>
      </c>
      <c r="P119" s="66">
        <f t="shared" si="20"/>
        <v>4</v>
      </c>
      <c r="Q119" s="10">
        <f t="shared" si="21"/>
        <v>2.7671579248041435E-3</v>
      </c>
    </row>
    <row r="120" spans="9:17">
      <c r="I120" s="66">
        <v>20.8</v>
      </c>
      <c r="J120" s="10">
        <f t="shared" si="14"/>
        <v>0.87771216362038507</v>
      </c>
      <c r="K120" s="10">
        <f t="shared" si="15"/>
        <v>0.90084316003625509</v>
      </c>
      <c r="L120" s="10">
        <f t="shared" si="16"/>
        <v>0.99896054061257145</v>
      </c>
      <c r="M120" s="10">
        <f t="shared" si="17"/>
        <v>0.78985911829109312</v>
      </c>
      <c r="N120" s="10">
        <f t="shared" si="18"/>
        <v>1.2084414015389421E-2</v>
      </c>
      <c r="O120" s="10">
        <f t="shared" si="19"/>
        <v>0.36246208084506426</v>
      </c>
      <c r="P120" s="66">
        <f t="shared" si="20"/>
        <v>2</v>
      </c>
      <c r="Q120" s="10">
        <f t="shared" si="21"/>
        <v>1.3838779917927509E-3</v>
      </c>
    </row>
    <row r="121" spans="9:17">
      <c r="I121" s="66">
        <v>21</v>
      </c>
      <c r="J121" s="10">
        <f t="shared" si="14"/>
        <v>0.87558696586640972</v>
      </c>
      <c r="K121" s="10">
        <f t="shared" si="15"/>
        <v>0.89909992221727697</v>
      </c>
      <c r="L121" s="10">
        <f t="shared" si="16"/>
        <v>0.99895055105711317</v>
      </c>
      <c r="M121" s="10">
        <f t="shared" si="17"/>
        <v>0.78641400453769739</v>
      </c>
      <c r="N121" s="10">
        <f t="shared" si="18"/>
        <v>1.2258289405769283E-2</v>
      </c>
      <c r="O121" s="10">
        <f t="shared" si="19"/>
        <v>0.35894236464095297</v>
      </c>
      <c r="P121" s="66">
        <f t="shared" si="20"/>
        <v>4</v>
      </c>
      <c r="Q121" s="10">
        <f t="shared" si="21"/>
        <v>2.7681894921591974E-3</v>
      </c>
    </row>
    <row r="122" spans="9:17">
      <c r="I122" s="66">
        <v>21.2</v>
      </c>
      <c r="J122" s="10">
        <f t="shared" si="14"/>
        <v>0.87343631875712069</v>
      </c>
      <c r="K122" s="10">
        <f t="shared" si="15"/>
        <v>0.89733499562858432</v>
      </c>
      <c r="L122" s="10">
        <f t="shared" si="16"/>
        <v>0.99894056160154987</v>
      </c>
      <c r="M122" s="10">
        <f t="shared" si="17"/>
        <v>0.7829346245636023</v>
      </c>
      <c r="N122" s="10">
        <f t="shared" si="18"/>
        <v>1.24346980291458E-2</v>
      </c>
      <c r="O122" s="10">
        <f t="shared" si="19"/>
        <v>0.35545682691456937</v>
      </c>
      <c r="P122" s="66">
        <f t="shared" si="20"/>
        <v>2</v>
      </c>
      <c r="Q122" s="10">
        <f t="shared" si="21"/>
        <v>1.3842278854241455E-3</v>
      </c>
    </row>
    <row r="123" spans="9:17">
      <c r="I123" s="66">
        <v>21.4</v>
      </c>
      <c r="J123" s="10">
        <f t="shared" si="14"/>
        <v>0.87125999065041448</v>
      </c>
      <c r="K123" s="10">
        <f t="shared" si="15"/>
        <v>0.89554815692834233</v>
      </c>
      <c r="L123" s="10">
        <f t="shared" si="16"/>
        <v>0.99893057224588078</v>
      </c>
      <c r="M123" s="10">
        <f t="shared" si="17"/>
        <v>0.77942085218190205</v>
      </c>
      <c r="N123" s="10">
        <f t="shared" si="18"/>
        <v>1.2613676792808748E-2</v>
      </c>
      <c r="O123" s="10">
        <f t="shared" si="19"/>
        <v>0.35200513577315012</v>
      </c>
      <c r="P123" s="66">
        <f t="shared" si="20"/>
        <v>4</v>
      </c>
      <c r="Q123" s="10">
        <f t="shared" si="21"/>
        <v>2.768552133862387E-3</v>
      </c>
    </row>
    <row r="124" spans="9:17">
      <c r="I124" s="66">
        <v>21.6</v>
      </c>
      <c r="J124" s="10">
        <f t="shared" si="14"/>
        <v>0.86905775005847619</v>
      </c>
      <c r="K124" s="10">
        <f t="shared" si="15"/>
        <v>0.89373918194452684</v>
      </c>
      <c r="L124" s="10">
        <f t="shared" si="16"/>
        <v>0.99892058299010467</v>
      </c>
      <c r="M124" s="10">
        <f t="shared" si="17"/>
        <v>0.77587256757501111</v>
      </c>
      <c r="N124" s="10">
        <f t="shared" si="18"/>
        <v>1.2795263141759222E-2</v>
      </c>
      <c r="O124" s="10">
        <f t="shared" si="19"/>
        <v>0.34858696254680133</v>
      </c>
      <c r="P124" s="66">
        <f t="shared" si="20"/>
        <v>2</v>
      </c>
      <c r="Q124" s="10">
        <f t="shared" si="21"/>
        <v>1.3842379451763319E-3</v>
      </c>
    </row>
    <row r="125" spans="9:17">
      <c r="I125" s="66">
        <v>21.8</v>
      </c>
      <c r="J125" s="10">
        <f t="shared" si="14"/>
        <v>0.86682936573128666</v>
      </c>
      <c r="K125" s="10">
        <f t="shared" si="15"/>
        <v>0.89190784572194293</v>
      </c>
      <c r="L125" s="10">
        <f t="shared" si="16"/>
        <v>0.99891059383422065</v>
      </c>
      <c r="M125" s="10">
        <f t="shared" si="17"/>
        <v>0.77228965752580092</v>
      </c>
      <c r="N125" s="10">
        <f t="shared" si="18"/>
        <v>1.2979495066543629E-2</v>
      </c>
      <c r="O125" s="10">
        <f t="shared" si="19"/>
        <v>0.34520198175720407</v>
      </c>
      <c r="P125" s="66">
        <f t="shared" si="20"/>
        <v>4</v>
      </c>
      <c r="Q125" s="10">
        <f t="shared" si="21"/>
        <v>2.7682243455085121E-3</v>
      </c>
    </row>
    <row r="126" spans="9:17">
      <c r="I126" s="66">
        <v>22</v>
      </c>
      <c r="J126" s="10">
        <f t="shared" si="14"/>
        <v>0.86457460674285447</v>
      </c>
      <c r="K126" s="10">
        <f t="shared" si="15"/>
        <v>0.89005392257117899</v>
      </c>
      <c r="L126" s="10">
        <f t="shared" si="16"/>
        <v>0.99890060477822762</v>
      </c>
      <c r="M126" s="10">
        <f t="shared" si="17"/>
        <v>0.76867201565256082</v>
      </c>
      <c r="N126" s="10">
        <f t="shared" si="18"/>
        <v>1.3166411111201978E-2</v>
      </c>
      <c r="O126" s="10">
        <f t="shared" si="19"/>
        <v>0.3418498710866219</v>
      </c>
      <c r="P126" s="66">
        <f t="shared" si="20"/>
        <v>2</v>
      </c>
      <c r="Q126" s="10">
        <f t="shared" si="21"/>
        <v>1.383897400848252E-3</v>
      </c>
    </row>
    <row r="127" spans="9:17">
      <c r="I127" s="66">
        <v>22.2</v>
      </c>
      <c r="J127" s="10">
        <f t="shared" si="14"/>
        <v>0.86229324258022422</v>
      </c>
      <c r="K127" s="10">
        <f t="shared" si="15"/>
        <v>0.88817718611954588</v>
      </c>
      <c r="L127" s="10">
        <f t="shared" si="16"/>
        <v>0.99889061582212468</v>
      </c>
      <c r="M127" s="10">
        <f t="shared" si="17"/>
        <v>0.76501954264774852</v>
      </c>
      <c r="N127" s="10">
        <f t="shared" si="18"/>
        <v>1.3356050381331726E-2</v>
      </c>
      <c r="O127" s="10">
        <f t="shared" si="19"/>
        <v>0.3385303113472089</v>
      </c>
      <c r="P127" s="66">
        <f t="shared" si="20"/>
        <v>4</v>
      </c>
      <c r="Q127" s="10">
        <f t="shared" si="21"/>
        <v>2.7671845596423986E-3</v>
      </c>
    </row>
    <row r="128" spans="9:17">
      <c r="I128" s="66">
        <v>22.4</v>
      </c>
      <c r="J128" s="10">
        <f t="shared" si="14"/>
        <v>0.85998504323531033</v>
      </c>
      <c r="K128" s="10">
        <f t="shared" si="15"/>
        <v>0.88627740936404265</v>
      </c>
      <c r="L128" s="10">
        <f t="shared" si="16"/>
        <v>0.99888062696591084</v>
      </c>
      <c r="M128" s="10">
        <f t="shared" si="17"/>
        <v>0.76133214652047043</v>
      </c>
      <c r="N128" s="10">
        <f t="shared" si="18"/>
        <v>1.3548452552269403E-2</v>
      </c>
      <c r="O128" s="10">
        <f t="shared" si="19"/>
        <v>0.33524298645061923</v>
      </c>
      <c r="P128" s="66">
        <f t="shared" si="20"/>
        <v>2</v>
      </c>
      <c r="Q128" s="10">
        <f t="shared" si="21"/>
        <v>1.3831954598285143E-3</v>
      </c>
    </row>
    <row r="129" spans="9:17">
      <c r="I129" s="66">
        <v>22.6</v>
      </c>
      <c r="J129" s="10">
        <f t="shared" si="14"/>
        <v>0.85764977929960995</v>
      </c>
      <c r="K129" s="10">
        <f t="shared" si="15"/>
        <v>0.88435436472640272</v>
      </c>
      <c r="L129" s="10">
        <f t="shared" si="16"/>
        <v>0.9988706382095851</v>
      </c>
      <c r="M129" s="10">
        <f t="shared" si="17"/>
        <v>0.75760974284264992</v>
      </c>
      <c r="N129" s="10">
        <f t="shared" si="18"/>
        <v>1.3743657877391163E-2</v>
      </c>
      <c r="O129" s="10">
        <f t="shared" si="19"/>
        <v>0.33198758337790607</v>
      </c>
      <c r="P129" s="66">
        <f t="shared" si="20"/>
        <v>4</v>
      </c>
      <c r="Q129" s="10">
        <f t="shared" si="21"/>
        <v>2.7654111829066162E-3</v>
      </c>
    </row>
    <row r="130" spans="9:17">
      <c r="I130" s="66">
        <v>22.8</v>
      </c>
      <c r="J130" s="10">
        <f t="shared" si="14"/>
        <v>0.85528722206184304</v>
      </c>
      <c r="K130" s="10">
        <f t="shared" si="15"/>
        <v>0.88240782411026197</v>
      </c>
      <c r="L130" s="10">
        <f t="shared" si="16"/>
        <v>0.99886064955314635</v>
      </c>
      <c r="M130" s="10">
        <f t="shared" si="17"/>
        <v>0.75385225499881015</v>
      </c>
      <c r="N130" s="10">
        <f t="shared" si="18"/>
        <v>1.3941707196534401E-2</v>
      </c>
      <c r="O130" s="10">
        <f t="shared" si="19"/>
        <v>0.32876379214971813</v>
      </c>
      <c r="P130" s="66">
        <f t="shared" si="20"/>
        <v>2</v>
      </c>
      <c r="Q130" s="10">
        <f t="shared" si="21"/>
        <v>1.3821213263641892E-3</v>
      </c>
    </row>
    <row r="131" spans="9:17">
      <c r="I131" s="66">
        <v>23</v>
      </c>
      <c r="J131" s="10">
        <f t="shared" si="14"/>
        <v>0.85289714360857261</v>
      </c>
      <c r="K131" s="10">
        <f t="shared" si="15"/>
        <v>0.88043755896049902</v>
      </c>
      <c r="L131" s="10">
        <f t="shared" si="16"/>
        <v>0.9988506609965937</v>
      </c>
      <c r="M131" s="10">
        <f t="shared" si="17"/>
        <v>0.75005961443940927</v>
      </c>
      <c r="N131" s="10">
        <f t="shared" si="18"/>
        <v>1.4142641944542128E-2</v>
      </c>
      <c r="O131" s="10">
        <f t="shared" si="19"/>
        <v>0.32557130579678267</v>
      </c>
      <c r="P131" s="66">
        <f t="shared" si="20"/>
        <v>4</v>
      </c>
      <c r="Q131" s="10">
        <f t="shared" si="21"/>
        <v>2.7628826359920194E-3</v>
      </c>
    </row>
    <row r="132" spans="9:17">
      <c r="I132" s="66">
        <v>23.2</v>
      </c>
      <c r="J132" s="10">
        <f t="shared" si="14"/>
        <v>0.85047931692785272</v>
      </c>
      <c r="K132" s="10">
        <f t="shared" si="15"/>
        <v>0.87844334032479887</v>
      </c>
      <c r="L132" s="10">
        <f t="shared" si="16"/>
        <v>0.99884067253992614</v>
      </c>
      <c r="M132" s="10">
        <f t="shared" si="17"/>
        <v>0.74623176093765187</v>
      </c>
      <c r="N132" s="10">
        <f t="shared" si="18"/>
        <v>1.4346504159931607E-2</v>
      </c>
      <c r="O132" s="10">
        <f t="shared" si="19"/>
        <v>0.32240982033067517</v>
      </c>
      <c r="P132" s="66">
        <f t="shared" si="20"/>
        <v>2</v>
      </c>
      <c r="Q132" s="10">
        <f t="shared" si="21"/>
        <v>1.3806642222538776E-3</v>
      </c>
    </row>
    <row r="133" spans="9:17">
      <c r="I133" s="66">
        <v>23.4</v>
      </c>
      <c r="J133" s="10">
        <f t="shared" si="14"/>
        <v>0.84803351601595567</v>
      </c>
      <c r="K133" s="10">
        <f t="shared" si="15"/>
        <v>0.8764249389174833</v>
      </c>
      <c r="L133" s="10">
        <f t="shared" si="16"/>
        <v>0.99883068418314258</v>
      </c>
      <c r="M133" s="10">
        <f t="shared" si="17"/>
        <v>0.74236864284968829</v>
      </c>
      <c r="N133" s="10">
        <f t="shared" si="18"/>
        <v>1.455333649368961E-2</v>
      </c>
      <c r="O133" s="10">
        <f t="shared" si="19"/>
        <v>0.31927903471487534</v>
      </c>
      <c r="P133" s="66">
        <f t="shared" si="20"/>
        <v>4</v>
      </c>
      <c r="Q133" s="10">
        <f t="shared" si="21"/>
        <v>2.7595773964815924E-3</v>
      </c>
    </row>
    <row r="134" spans="9:17">
      <c r="I134" s="66">
        <v>23.6</v>
      </c>
      <c r="J134" s="10">
        <f t="shared" si="14"/>
        <v>0.84555951598722778</v>
      </c>
      <c r="K134" s="10">
        <f t="shared" si="15"/>
        <v>0.87438212518566216</v>
      </c>
      <c r="L134" s="10">
        <f t="shared" si="16"/>
        <v>0.99882069592624212</v>
      </c>
      <c r="M134" s="10">
        <f t="shared" si="17"/>
        <v>0.73847021737811924</v>
      </c>
      <c r="N134" s="10">
        <f t="shared" si="18"/>
        <v>1.4763182218195494E-2</v>
      </c>
      <c r="O134" s="10">
        <f t="shared" si="19"/>
        <v>0.31617865083610092</v>
      </c>
      <c r="P134" s="66">
        <f t="shared" si="20"/>
        <v>2</v>
      </c>
      <c r="Q134" s="10">
        <f t="shared" si="21"/>
        <v>1.3788134090091742E-3</v>
      </c>
    </row>
    <row r="135" spans="9:17">
      <c r="I135" s="66">
        <v>23.8</v>
      </c>
      <c r="J135" s="10">
        <f t="shared" si="14"/>
        <v>0.84305709318712185</v>
      </c>
      <c r="K135" s="10">
        <f t="shared" si="15"/>
        <v>0.8723146693777527</v>
      </c>
      <c r="L135" s="10">
        <f t="shared" si="16"/>
        <v>0.99881070776922365</v>
      </c>
      <c r="M135" s="10">
        <f t="shared" si="17"/>
        <v>0.73453645083869823</v>
      </c>
      <c r="N135" s="10">
        <f t="shared" si="18"/>
        <v>1.4976085236274481E-2</v>
      </c>
      <c r="O135" s="10">
        <f t="shared" si="19"/>
        <v>0.31310837347592202</v>
      </c>
      <c r="P135" s="66">
        <f t="shared" si="20"/>
        <v>4</v>
      </c>
      <c r="Q135" s="10">
        <f t="shared" si="21"/>
        <v>2.7554740446730955E-3</v>
      </c>
    </row>
    <row r="136" spans="9:17">
      <c r="I136" s="66">
        <v>24</v>
      </c>
      <c r="J136" s="10">
        <f t="shared" si="14"/>
        <v>0.84052602530845399</v>
      </c>
      <c r="K136" s="10">
        <f t="shared" si="15"/>
        <v>0.87022234161441725</v>
      </c>
      <c r="L136" s="10">
        <f t="shared" si="16"/>
        <v>0.99880071971208639</v>
      </c>
      <c r="M136" s="10">
        <f t="shared" si="17"/>
        <v>0.73056731893012949</v>
      </c>
      <c r="N136" s="10">
        <f t="shared" si="18"/>
        <v>1.5192090090382786E-2</v>
      </c>
      <c r="O136" s="10">
        <f t="shared" si="19"/>
        <v>0.31006791028265024</v>
      </c>
      <c r="P136" s="66">
        <f t="shared" si="20"/>
        <v>2</v>
      </c>
      <c r="Q136" s="10">
        <f t="shared" si="21"/>
        <v>1.3765582115257652E-3</v>
      </c>
    </row>
    <row r="137" spans="9:17">
      <c r="I137" s="66">
        <v>24.2</v>
      </c>
      <c r="J137" s="10">
        <f t="shared" si="14"/>
        <v>0.83796609151093482</v>
      </c>
      <c r="K137" s="10">
        <f t="shared" si="15"/>
        <v>0.86810491196196882</v>
      </c>
      <c r="L137" s="10">
        <f t="shared" si="16"/>
        <v>0.99879073175482913</v>
      </c>
      <c r="M137" s="10">
        <f t="shared" si="17"/>
        <v>0.72656280700684406</v>
      </c>
      <c r="N137" s="10">
        <f t="shared" si="18"/>
        <v>1.5411241971926478E-2</v>
      </c>
      <c r="O137" s="10">
        <f t="shared" si="19"/>
        <v>0.30705697174350011</v>
      </c>
      <c r="P137" s="66">
        <f t="shared" si="20"/>
        <v>4</v>
      </c>
      <c r="Q137" s="10">
        <f t="shared" si="21"/>
        <v>2.7505513124597672E-3</v>
      </c>
    </row>
    <row r="138" spans="9:17">
      <c r="I138" s="66">
        <v>24.4</v>
      </c>
      <c r="J138" s="10">
        <f t="shared" si="14"/>
        <v>0.83537707254401639</v>
      </c>
      <c r="K138" s="10">
        <f t="shared" si="15"/>
        <v>0.86596215050829539</v>
      </c>
      <c r="L138" s="10">
        <f t="shared" si="16"/>
        <v>0.99878074389745097</v>
      </c>
      <c r="M138" s="10">
        <f t="shared" si="17"/>
        <v>0.72252291035462624</v>
      </c>
      <c r="N138" s="10">
        <f t="shared" si="18"/>
        <v>1.5633586730716333E-2</v>
      </c>
      <c r="O138" s="10">
        <f t="shared" si="19"/>
        <v>0.30407527115702421</v>
      </c>
      <c r="P138" s="66">
        <f t="shared" si="20"/>
        <v>2</v>
      </c>
      <c r="Q138" s="10">
        <f t="shared" si="21"/>
        <v>1.3738880433020679E-3</v>
      </c>
    </row>
    <row r="139" spans="9:17">
      <c r="I139" s="66">
        <v>24.6</v>
      </c>
      <c r="J139" s="10">
        <f t="shared" si="14"/>
        <v>0.83275875087310869</v>
      </c>
      <c r="K139" s="10">
        <f t="shared" si="15"/>
        <v>0.86379382744135424</v>
      </c>
      <c r="L139" s="10">
        <f t="shared" si="16"/>
        <v>0.99877075613995081</v>
      </c>
      <c r="M139" s="10">
        <f t="shared" si="17"/>
        <v>0.71844763446896265</v>
      </c>
      <c r="N139" s="10">
        <f t="shared" si="18"/>
        <v>1.5859170884560157E-2</v>
      </c>
      <c r="O139" s="10">
        <f t="shared" si="19"/>
        <v>0.30112252460581046</v>
      </c>
      <c r="P139" s="66">
        <f t="shared" si="20"/>
        <v>4</v>
      </c>
      <c r="Q139" s="10">
        <f t="shared" si="21"/>
        <v>2.7447881353412471E-3</v>
      </c>
    </row>
    <row r="140" spans="9:17">
      <c r="I140" s="66">
        <v>24.8</v>
      </c>
      <c r="J140" s="10">
        <f t="shared" si="14"/>
        <v>0.83011091080920207</v>
      </c>
      <c r="K140" s="10">
        <f t="shared" si="15"/>
        <v>0.86159971313028472</v>
      </c>
      <c r="L140" s="10">
        <f t="shared" si="16"/>
        <v>0.99876076848232787</v>
      </c>
      <c r="M140" s="10">
        <f t="shared" si="17"/>
        <v>0.71433699533596362</v>
      </c>
      <c r="N140" s="10">
        <f t="shared" si="18"/>
        <v>1.6088041628995069E-2</v>
      </c>
      <c r="O140" s="10">
        <f t="shared" si="19"/>
        <v>0.29819845092944952</v>
      </c>
      <c r="P140" s="66">
        <f t="shared" si="20"/>
        <v>2</v>
      </c>
      <c r="Q140" s="10">
        <f t="shared" si="21"/>
        <v>1.3707924332394613E-3</v>
      </c>
    </row>
    <row r="141" spans="9:17">
      <c r="I141" s="66">
        <v>25</v>
      </c>
      <c r="J141" s="10">
        <f t="shared" si="14"/>
        <v>0.82743333864194446</v>
      </c>
      <c r="K141" s="10">
        <f t="shared" si="15"/>
        <v>0.85937957820919242</v>
      </c>
      <c r="L141" s="10">
        <f t="shared" si="16"/>
        <v>0.99875078092458092</v>
      </c>
      <c r="M141" s="10">
        <f t="shared" si="17"/>
        <v>0.71019101971570509</v>
      </c>
      <c r="N141" s="10">
        <f t="shared" si="18"/>
        <v>1.6320246847161497E-2</v>
      </c>
      <c r="O141" s="10">
        <f t="shared" si="19"/>
        <v>0.29530277169776209</v>
      </c>
      <c r="P141" s="66">
        <f t="shared" si="20"/>
        <v>4</v>
      </c>
      <c r="Q141" s="10">
        <f t="shared" si="21"/>
        <v>2.7381637076281939E-3</v>
      </c>
    </row>
    <row r="142" spans="9:17">
      <c r="I142" s="66">
        <v>25.2</v>
      </c>
      <c r="J142" s="10">
        <f t="shared" si="14"/>
        <v>0.82472582277621576</v>
      </c>
      <c r="K142" s="10">
        <f t="shared" si="15"/>
        <v>0.85713319366365381</v>
      </c>
      <c r="L142" s="10">
        <f t="shared" si="16"/>
        <v>0.99874079346670896</v>
      </c>
      <c r="M142" s="10">
        <f t="shared" si="17"/>
        <v>0.70600974542783235</v>
      </c>
      <c r="N142" s="10">
        <f t="shared" si="18"/>
        <v>1.6555835119820964E-2</v>
      </c>
      <c r="O142" s="10">
        <f t="shared" si="19"/>
        <v>0.29243521118428578</v>
      </c>
      <c r="P142" s="66">
        <f t="shared" si="20"/>
        <v>2</v>
      </c>
      <c r="Q142" s="10">
        <f t="shared" si="21"/>
        <v>1.3672610540533773E-3</v>
      </c>
    </row>
    <row r="143" spans="9:17">
      <c r="I143" s="66">
        <v>25.4</v>
      </c>
      <c r="J143" s="10">
        <f t="shared" si="14"/>
        <v>0.82198815387223578</v>
      </c>
      <c r="K143" s="10">
        <f t="shared" si="15"/>
        <v>0.85486033091999147</v>
      </c>
      <c r="L143" s="10">
        <f t="shared" si="16"/>
        <v>0.99873080610871123</v>
      </c>
      <c r="M143" s="10">
        <f t="shared" si="17"/>
        <v>0.70179322163924074</v>
      </c>
      <c r="N143" s="10">
        <f t="shared" si="18"/>
        <v>1.6794855735520049E-2</v>
      </c>
      <c r="O143" s="10">
        <f t="shared" si="19"/>
        <v>0.28959549634002302</v>
      </c>
      <c r="P143" s="66">
        <f t="shared" si="20"/>
        <v>4</v>
      </c>
      <c r="Q143" s="10">
        <f t="shared" si="21"/>
        <v>2.7306575408941381E-3</v>
      </c>
    </row>
    <row r="144" spans="9:17">
      <c r="I144" s="66">
        <v>25.6</v>
      </c>
      <c r="J144" s="10">
        <f t="shared" si="14"/>
        <v>0.81922012498925345</v>
      </c>
      <c r="K144" s="10">
        <f t="shared" si="15"/>
        <v>0.85256076193737507</v>
      </c>
      <c r="L144" s="10">
        <f t="shared" si="16"/>
        <v>0.9987208188505865</v>
      </c>
      <c r="M144" s="10">
        <f t="shared" si="17"/>
        <v>0.69754150915366209</v>
      </c>
      <c r="N144" s="10">
        <f t="shared" si="18"/>
        <v>1.7037358700902169E-2</v>
      </c>
      <c r="O144" s="10">
        <f t="shared" si="19"/>
        <v>0.28678335676743844</v>
      </c>
      <c r="P144" s="66">
        <f t="shared" si="20"/>
        <v>2</v>
      </c>
      <c r="Q144" s="10">
        <f t="shared" si="21"/>
        <v>1.3632837523193666E-3</v>
      </c>
    </row>
    <row r="145" spans="9:17">
      <c r="I145" s="66">
        <v>25.8</v>
      </c>
      <c r="J145" s="10">
        <f t="shared" ref="J145:J208" si="22">(B$10^I145)*(B$11^((B$5^B$8)*((B$5^I145)-1)))</f>
        <v>0.81642153173284726</v>
      </c>
      <c r="K145" s="10">
        <f t="shared" ref="K145:K208" si="23">(B$10^I145)*B$12^((B$5^B$9)*((B$5^I145)-1))</f>
        <v>0.85023425930279084</v>
      </c>
      <c r="L145" s="10">
        <f t="shared" ref="L145:L208" si="24">EXP(-B$13*I145)</f>
        <v>0.99871083169233388</v>
      </c>
      <c r="M145" s="10">
        <f t="shared" ref="M145:M208" si="25">J145*K145*L145</f>
        <v>0.69325468070294982</v>
      </c>
      <c r="N145" s="10">
        <f t="shared" ref="N145:N208" si="26">B$3+B$6*(B$5^(B$8+I145)) +B$13</f>
        <v>1.72833947511697E-2</v>
      </c>
      <c r="O145" s="10">
        <f t="shared" ref="O145:O208" si="27">(1+B$7)^-I145</f>
        <v>0.28399852469471387</v>
      </c>
      <c r="P145" s="66">
        <f t="shared" si="20"/>
        <v>4</v>
      </c>
      <c r="Q145" s="10">
        <f t="shared" si="21"/>
        <v>2.7222495257168888E-3</v>
      </c>
    </row>
    <row r="146" spans="9:17">
      <c r="I146" s="66">
        <v>26</v>
      </c>
      <c r="J146" s="10">
        <f t="shared" si="22"/>
        <v>0.813592172405879</v>
      </c>
      <c r="K146" s="10">
        <f t="shared" si="23"/>
        <v>0.84788059632893653</v>
      </c>
      <c r="L146" s="10">
        <f t="shared" si="24"/>
        <v>0.99870084463395226</v>
      </c>
      <c r="M146" s="10">
        <f t="shared" si="25"/>
        <v>0.68893282123985955</v>
      </c>
      <c r="N146" s="10">
        <f t="shared" si="26"/>
        <v>1.7533015360698609E-2</v>
      </c>
      <c r="O146" s="10">
        <f t="shared" si="27"/>
        <v>0.28124073495024959</v>
      </c>
      <c r="P146" s="66">
        <f t="shared" si="20"/>
        <v>2</v>
      </c>
      <c r="Q146" s="10">
        <f t="shared" si="21"/>
        <v>1.3588505801720655E-3</v>
      </c>
    </row>
    <row r="147" spans="9:17">
      <c r="I147" s="66">
        <v>26.2</v>
      </c>
      <c r="J147" s="10">
        <f t="shared" si="22"/>
        <v>0.81073184816313415</v>
      </c>
      <c r="K147" s="10">
        <f t="shared" si="23"/>
        <v>0.84549954715508935</v>
      </c>
      <c r="L147" s="10">
        <f t="shared" si="24"/>
        <v>0.99869085767544086</v>
      </c>
      <c r="M147" s="10">
        <f t="shared" si="25"/>
        <v>0.68457602823211128</v>
      </c>
      <c r="N147" s="10">
        <f t="shared" si="26"/>
        <v>1.7786272753807536E-2</v>
      </c>
      <c r="O147" s="10">
        <f t="shared" si="27"/>
        <v>0.27850972493741499</v>
      </c>
      <c r="P147" s="66">
        <f t="shared" ref="P147:P210" si="28">IF(P146=4,2,4)</f>
        <v>4</v>
      </c>
      <c r="Q147" s="10">
        <f t="shared" ref="Q147:Q210" si="29">0.2*M147*N147*O147*P147</f>
        <v>2.7129199967385297E-3</v>
      </c>
    </row>
    <row r="148" spans="9:17">
      <c r="I148" s="66">
        <v>26.4</v>
      </c>
      <c r="J148" s="10">
        <f t="shared" si="22"/>
        <v>0.80784036316967878</v>
      </c>
      <c r="K148" s="10">
        <f t="shared" si="23"/>
        <v>0.8430908868509952</v>
      </c>
      <c r="L148" s="10">
        <f t="shared" si="24"/>
        <v>0.99868087081679846</v>
      </c>
      <c r="M148" s="10">
        <f t="shared" si="25"/>
        <v>0.68018441195749113</v>
      </c>
      <c r="N148" s="10">
        <f t="shared" si="26"/>
        <v>1.8043219915684056E-2</v>
      </c>
      <c r="O148" s="10">
        <f t="shared" si="27"/>
        <v>0.2758052346095457</v>
      </c>
      <c r="P148" s="66">
        <f t="shared" si="28"/>
        <v>2</v>
      </c>
      <c r="Q148" s="10">
        <f t="shared" si="29"/>
        <v>1.3539518286681054E-3</v>
      </c>
    </row>
    <row r="149" spans="9:17">
      <c r="I149" s="66">
        <v>26.6</v>
      </c>
      <c r="J149" s="10">
        <f t="shared" si="22"/>
        <v>0.80491752476296841</v>
      </c>
      <c r="K149" s="10">
        <f t="shared" si="23"/>
        <v>0.84065439152383126</v>
      </c>
      <c r="L149" s="10">
        <f t="shared" si="24"/>
        <v>0.99867088405802418</v>
      </c>
      <c r="M149" s="10">
        <f t="shared" si="25"/>
        <v>0.67575809579976298</v>
      </c>
      <c r="N149" s="10">
        <f t="shared" si="26"/>
        <v>1.8303910603469833E-2</v>
      </c>
      <c r="O149" s="10">
        <f t="shared" si="27"/>
        <v>0.27312700644517951</v>
      </c>
      <c r="P149" s="66">
        <f t="shared" si="28"/>
        <v>4</v>
      </c>
      <c r="Q149" s="10">
        <f t="shared" si="29"/>
        <v>2.7026498010587971E-3</v>
      </c>
    </row>
    <row r="150" spans="9:17">
      <c r="I150" s="66">
        <v>26.8</v>
      </c>
      <c r="J150" s="10">
        <f t="shared" si="22"/>
        <v>0.80196314361873411</v>
      </c>
      <c r="K150" s="10">
        <f t="shared" si="23"/>
        <v>0.83818983842828787</v>
      </c>
      <c r="L150" s="10">
        <f t="shared" si="24"/>
        <v>0.99866089739911701</v>
      </c>
      <c r="M150" s="10">
        <f t="shared" si="25"/>
        <v>0.67129721654512509</v>
      </c>
      <c r="N150" s="10">
        <f t="shared" si="26"/>
        <v>1.8568399357507419E-2</v>
      </c>
      <c r="O150" s="10">
        <f t="shared" si="27"/>
        <v>0.27047478542353692</v>
      </c>
      <c r="P150" s="66">
        <f t="shared" si="28"/>
        <v>2</v>
      </c>
      <c r="Q150" s="10">
        <f t="shared" si="29"/>
        <v>1.3485780628163483E-3</v>
      </c>
    </row>
    <row r="151" spans="9:17">
      <c r="I151" s="66">
        <v>27</v>
      </c>
      <c r="J151" s="10">
        <f t="shared" si="22"/>
        <v>0.79897703392067132</v>
      </c>
      <c r="K151" s="10">
        <f t="shared" si="23"/>
        <v>0.83569700607982056</v>
      </c>
      <c r="L151" s="10">
        <f t="shared" si="24"/>
        <v>0.99865091084007584</v>
      </c>
      <c r="M151" s="10">
        <f t="shared" si="25"/>
        <v>0.66680192467894706</v>
      </c>
      <c r="N151" s="10">
        <f t="shared" si="26"/>
        <v>1.8836741512751002E-2</v>
      </c>
      <c r="O151" s="10">
        <f t="shared" si="27"/>
        <v>0.2678483190002377</v>
      </c>
      <c r="P151" s="66">
        <f t="shared" si="28"/>
        <v>4</v>
      </c>
      <c r="Q151" s="10">
        <f t="shared" si="29"/>
        <v>2.6914203699599181E-3</v>
      </c>
    </row>
    <row r="152" spans="9:17">
      <c r="I152" s="66">
        <v>27.2</v>
      </c>
      <c r="J152" s="10">
        <f t="shared" si="22"/>
        <v>0.79595901353395815</v>
      </c>
      <c r="K152" s="10">
        <f t="shared" si="23"/>
        <v>0.83317567437111717</v>
      </c>
      <c r="L152" s="10">
        <f t="shared" si="24"/>
        <v>0.9986409243808998</v>
      </c>
      <c r="M152" s="10">
        <f t="shared" si="25"/>
        <v>0.66227238468250793</v>
      </c>
      <c r="N152" s="10">
        <f t="shared" si="26"/>
        <v>1.9108993210343102E-2</v>
      </c>
      <c r="O152" s="10">
        <f t="shared" si="27"/>
        <v>0.26524735708325242</v>
      </c>
      <c r="P152" s="66">
        <f t="shared" si="28"/>
        <v>2</v>
      </c>
      <c r="Q152" s="10">
        <f t="shared" si="29"/>
        <v>1.3427201582700092E-3</v>
      </c>
    </row>
    <row r="153" spans="9:17">
      <c r="I153" s="66">
        <v>27.4</v>
      </c>
      <c r="J153" s="10">
        <f t="shared" si="22"/>
        <v>0.79290890418261961</v>
      </c>
      <c r="K153" s="10">
        <f t="shared" si="23"/>
        <v>0.83062562469182899</v>
      </c>
      <c r="L153" s="10">
        <f t="shared" si="24"/>
        <v>0.99863093802158787</v>
      </c>
      <c r="M153" s="10">
        <f t="shared" si="25"/>
        <v>0.65770877532943695</v>
      </c>
      <c r="N153" s="10">
        <f t="shared" si="26"/>
        <v>1.9385211409360368E-2</v>
      </c>
      <c r="O153" s="10">
        <f t="shared" si="27"/>
        <v>0.26267165200909115</v>
      </c>
      <c r="P153" s="66">
        <f t="shared" si="28"/>
        <v>4</v>
      </c>
      <c r="Q153" s="10">
        <f t="shared" si="29"/>
        <v>2.6792137939428804E-3</v>
      </c>
    </row>
    <row r="154" spans="9:17">
      <c r="I154" s="66">
        <v>27.6</v>
      </c>
      <c r="J154" s="10">
        <f t="shared" si="22"/>
        <v>0.78982653163076011</v>
      </c>
      <c r="K154" s="10">
        <f t="shared" si="23"/>
        <v>0.82804664005161166</v>
      </c>
      <c r="L154" s="10">
        <f t="shared" si="24"/>
        <v>0.99862095176213905</v>
      </c>
      <c r="M154" s="10">
        <f t="shared" si="25"/>
        <v>0.65311128998155465</v>
      </c>
      <c r="N154" s="10">
        <f t="shared" si="26"/>
        <v>1.9665453898730062E-2</v>
      </c>
      <c r="O154" s="10">
        <f t="shared" si="27"/>
        <v>0.26012095851921851</v>
      </c>
      <c r="P154" s="66">
        <f t="shared" si="28"/>
        <v>2</v>
      </c>
      <c r="Q154" s="10">
        <f t="shared" si="29"/>
        <v>1.336369339665797E-3</v>
      </c>
    </row>
    <row r="155" spans="9:17">
      <c r="I155" s="66">
        <v>27.8</v>
      </c>
      <c r="J155" s="10">
        <f t="shared" si="22"/>
        <v>0.78671172586767502</v>
      </c>
      <c r="K155" s="10">
        <f t="shared" si="23"/>
        <v>0.82543850520651907</v>
      </c>
      <c r="L155" s="10">
        <f t="shared" si="24"/>
        <v>0.99861096560255236</v>
      </c>
      <c r="M155" s="10">
        <f t="shared" si="25"/>
        <v>0.64848013688378714</v>
      </c>
      <c r="N155" s="10">
        <f t="shared" si="26"/>
        <v>1.9949779309320483E-2</v>
      </c>
      <c r="O155" s="10">
        <f t="shared" si="27"/>
        <v>0.25759503373670189</v>
      </c>
      <c r="P155" s="66">
        <f t="shared" si="28"/>
        <v>4</v>
      </c>
      <c r="Q155" s="10">
        <f t="shared" si="29"/>
        <v>2.666012901035002E-3</v>
      </c>
    </row>
    <row r="156" spans="9:17">
      <c r="I156" s="66">
        <v>28</v>
      </c>
      <c r="J156" s="10">
        <f t="shared" si="22"/>
        <v>0.78356432129685483</v>
      </c>
      <c r="K156" s="10">
        <f t="shared" si="23"/>
        <v>0.82280100678879664</v>
      </c>
      <c r="L156" s="10">
        <f t="shared" si="24"/>
        <v>0.99860097954282667</v>
      </c>
      <c r="M156" s="10">
        <f t="shared" si="25"/>
        <v>0.64381553945782122</v>
      </c>
      <c r="N156" s="10">
        <f t="shared" si="26"/>
        <v>2.0238247126207327E-2</v>
      </c>
      <c r="O156" s="10">
        <f t="shared" si="27"/>
        <v>0.25509363714308358</v>
      </c>
      <c r="P156" s="66">
        <f t="shared" si="28"/>
        <v>2</v>
      </c>
      <c r="Q156" s="10">
        <f t="shared" si="29"/>
        <v>1.3295172205845236E-3</v>
      </c>
    </row>
    <row r="157" spans="9:17">
      <c r="I157" s="66">
        <v>28.2</v>
      </c>
      <c r="J157" s="10">
        <f t="shared" si="22"/>
        <v>0.78038415692889174</v>
      </c>
      <c r="K157" s="10">
        <f t="shared" si="23"/>
        <v>0.82013393344011531</v>
      </c>
      <c r="L157" s="10">
        <f t="shared" si="24"/>
        <v>0.99859099358296111</v>
      </c>
      <c r="M157" s="10">
        <f t="shared" si="25"/>
        <v>0.63911773659415294</v>
      </c>
      <c r="N157" s="10">
        <f t="shared" si="26"/>
        <v>2.0530917701118829E-2</v>
      </c>
      <c r="O157" s="10">
        <f t="shared" si="27"/>
        <v>0.25261653055547845</v>
      </c>
      <c r="P157" s="66">
        <f t="shared" si="28"/>
        <v>4</v>
      </c>
      <c r="Q157" s="10">
        <f t="shared" si="29"/>
        <v>2.651801338306177E-3</v>
      </c>
    </row>
    <row r="158" spans="9:17">
      <c r="I158" s="66">
        <v>28.4</v>
      </c>
      <c r="J158" s="10">
        <f t="shared" si="22"/>
        <v>0.77717107657828877</v>
      </c>
      <c r="K158" s="10">
        <f t="shared" si="23"/>
        <v>0.81743707594828996</v>
      </c>
      <c r="L158" s="10">
        <f t="shared" si="24"/>
        <v>0.99858100772295466</v>
      </c>
      <c r="M158" s="10">
        <f t="shared" si="25"/>
        <v>0.63438698294216056</v>
      </c>
      <c r="N158" s="10">
        <f t="shared" si="26"/>
        <v>2.0827852265062397E-2</v>
      </c>
      <c r="O158" s="10">
        <f t="shared" si="27"/>
        <v>0.25016347810389633</v>
      </c>
      <c r="P158" s="66">
        <f t="shared" si="28"/>
        <v>2</v>
      </c>
      <c r="Q158" s="10">
        <f t="shared" si="29"/>
        <v>1.3221558450959435E-3</v>
      </c>
    </row>
    <row r="159" spans="9:17">
      <c r="I159" s="66">
        <v>28.6</v>
      </c>
      <c r="J159" s="10">
        <f t="shared" si="22"/>
        <v>0.77392492906417565</v>
      </c>
      <c r="K159" s="10">
        <f t="shared" si="23"/>
        <v>0.81471022738751864</v>
      </c>
      <c r="L159" s="10">
        <f t="shared" si="24"/>
        <v>0.99857102196280634</v>
      </c>
      <c r="M159" s="10">
        <f t="shared" si="25"/>
        <v>0.62962354919782504</v>
      </c>
      <c r="N159" s="10">
        <f t="shared" si="26"/>
        <v>2.1129112941134818E-2</v>
      </c>
      <c r="O159" s="10">
        <f t="shared" si="27"/>
        <v>0.2477342462087796</v>
      </c>
      <c r="P159" s="66">
        <f t="shared" si="28"/>
        <v>4</v>
      </c>
      <c r="Q159" s="10">
        <f t="shared" si="29"/>
        <v>2.6365636565071986E-3</v>
      </c>
    </row>
    <row r="160" spans="9:17">
      <c r="I160" s="66">
        <v>28.8</v>
      </c>
      <c r="J160" s="10">
        <f t="shared" si="22"/>
        <v>0.77064556841492871</v>
      </c>
      <c r="K160" s="10">
        <f t="shared" si="23"/>
        <v>0.81195318326218735</v>
      </c>
      <c r="L160" s="10">
        <f t="shared" si="24"/>
        <v>0.99856103630251514</v>
      </c>
      <c r="M160" s="10">
        <f t="shared" si="25"/>
        <v>0.62482772238871065</v>
      </c>
      <c r="N160" s="10">
        <f t="shared" si="26"/>
        <v>2.1434762757519522E-2</v>
      </c>
      <c r="O160" s="10">
        <f t="shared" si="27"/>
        <v>0.24532860355876365</v>
      </c>
      <c r="P160" s="66">
        <f t="shared" si="28"/>
        <v>2</v>
      </c>
      <c r="Q160" s="10">
        <f t="shared" si="29"/>
        <v>1.3142777308380736E-3</v>
      </c>
    </row>
    <row r="161" spans="9:17">
      <c r="I161" s="66">
        <v>29</v>
      </c>
      <c r="J161" s="10">
        <f t="shared" si="22"/>
        <v>0.76733285407668295</v>
      </c>
      <c r="K161" s="10">
        <f t="shared" si="23"/>
        <v>0.8091657416542718</v>
      </c>
      <c r="L161" s="10">
        <f t="shared" si="24"/>
        <v>0.99855105074207995</v>
      </c>
      <c r="M161" s="10">
        <f t="shared" si="25"/>
        <v>0.61999980615578743</v>
      </c>
      <c r="N161" s="10">
        <f t="shared" si="26"/>
        <v>2.174486566067288E-2</v>
      </c>
      <c r="O161" s="10">
        <f t="shared" si="27"/>
        <v>0.24294632108865097</v>
      </c>
      <c r="P161" s="66">
        <f t="shared" si="28"/>
        <v>4</v>
      </c>
      <c r="Q161" s="10">
        <f t="shared" si="29"/>
        <v>2.620285397716787E-3</v>
      </c>
    </row>
    <row r="162" spans="9:17">
      <c r="I162" s="66">
        <v>29.2</v>
      </c>
      <c r="J162" s="10">
        <f t="shared" si="22"/>
        <v>0.76398665112573083</v>
      </c>
      <c r="K162" s="10">
        <f t="shared" si="23"/>
        <v>0.80634770337437689</v>
      </c>
      <c r="L162" s="10">
        <f t="shared" si="24"/>
        <v>0.99854106528149988</v>
      </c>
      <c r="M162" s="10">
        <f t="shared" si="25"/>
        <v>0.61514012103168403</v>
      </c>
      <c r="N162" s="10">
        <f t="shared" si="26"/>
        <v>2.2059486528702741E-2</v>
      </c>
      <c r="O162" s="10">
        <f t="shared" si="27"/>
        <v>0.24058717195759857</v>
      </c>
      <c r="P162" s="66">
        <f t="shared" si="28"/>
        <v>2</v>
      </c>
      <c r="Q162" s="10">
        <f t="shared" si="29"/>
        <v>1.3058759135672047E-3</v>
      </c>
    </row>
    <row r="163" spans="9:17">
      <c r="I163" s="66">
        <v>29.4</v>
      </c>
      <c r="J163" s="10">
        <f t="shared" si="22"/>
        <v>0.76060683048478239</v>
      </c>
      <c r="K163" s="10">
        <f t="shared" si="23"/>
        <v>0.80349887211644178</v>
      </c>
      <c r="L163" s="10">
        <f t="shared" si="24"/>
        <v>0.99853107992077406</v>
      </c>
      <c r="M163" s="10">
        <f t="shared" si="25"/>
        <v>0.61024900471491905</v>
      </c>
      <c r="N163" s="10">
        <f t="shared" si="26"/>
        <v>2.2378691184942054E-2</v>
      </c>
      <c r="O163" s="10">
        <f t="shared" si="27"/>
        <v>0.23825093152752025</v>
      </c>
      <c r="P163" s="66">
        <f t="shared" si="28"/>
        <v>4</v>
      </c>
      <c r="Q163" s="10">
        <f t="shared" si="29"/>
        <v>2.6029531858554372E-3</v>
      </c>
    </row>
    <row r="164" spans="9:17">
      <c r="I164" s="66">
        <v>29.6</v>
      </c>
      <c r="J164" s="10">
        <f t="shared" si="22"/>
        <v>0.75719326914307639</v>
      </c>
      <c r="K164" s="10">
        <f t="shared" si="23"/>
        <v>0.80061905461615046</v>
      </c>
      <c r="L164" s="10">
        <f t="shared" si="24"/>
        <v>0.99852109465990113</v>
      </c>
      <c r="M164" s="10">
        <f t="shared" si="25"/>
        <v>0.60532681233967622</v>
      </c>
      <c r="N164" s="10">
        <f t="shared" si="26"/>
        <v>2.270254641171993E-2</v>
      </c>
      <c r="O164" s="10">
        <f t="shared" si="27"/>
        <v>0.23593737734169479</v>
      </c>
      <c r="P164" s="66">
        <f t="shared" si="28"/>
        <v>2</v>
      </c>
      <c r="Q164" s="10">
        <f t="shared" si="29"/>
        <v>1.2969439931001293E-3</v>
      </c>
    </row>
    <row r="165" spans="9:17">
      <c r="I165" s="66">
        <v>29.8</v>
      </c>
      <c r="J165" s="10">
        <f t="shared" si="22"/>
        <v>0.75374585038030562</v>
      </c>
      <c r="K165" s="10">
        <f t="shared" si="23"/>
        <v>0.79770806081306889</v>
      </c>
      <c r="L165" s="10">
        <f t="shared" si="24"/>
        <v>0.99851110949888044</v>
      </c>
      <c r="M165" s="10">
        <f t="shared" si="25"/>
        <v>0.60037391674063689</v>
      </c>
      <c r="N165" s="10">
        <f t="shared" si="26"/>
        <v>2.3031119964333484E-2</v>
      </c>
      <c r="O165" s="10">
        <f t="shared" si="27"/>
        <v>0.23364628910358443</v>
      </c>
      <c r="P165" s="66">
        <f t="shared" si="28"/>
        <v>4</v>
      </c>
      <c r="Q165" s="10">
        <f t="shared" si="29"/>
        <v>2.5845548198932312E-3</v>
      </c>
    </row>
    <row r="166" spans="9:17">
      <c r="I166" s="66">
        <v>30</v>
      </c>
      <c r="J166" s="10">
        <f t="shared" si="22"/>
        <v>0.75026446399432922</v>
      </c>
      <c r="K166" s="10">
        <f t="shared" si="23"/>
        <v>0.79476570401654179</v>
      </c>
      <c r="L166" s="10">
        <f t="shared" si="24"/>
        <v>0.99850112443771089</v>
      </c>
      <c r="M166" s="10">
        <f t="shared" si="25"/>
        <v>0.59539070871239763</v>
      </c>
      <c r="N166" s="10">
        <f t="shared" si="26"/>
        <v>2.3364480585223335E-2</v>
      </c>
      <c r="O166" s="10">
        <f t="shared" si="27"/>
        <v>0.23137744865585813</v>
      </c>
      <c r="P166" s="66">
        <f t="shared" si="28"/>
        <v>2</v>
      </c>
      <c r="Q166" s="10">
        <f t="shared" si="29"/>
        <v>1.2874761805539566E-3</v>
      </c>
    </row>
    <row r="167" spans="9:17">
      <c r="I167" s="66">
        <v>30.2</v>
      </c>
      <c r="J167" s="10">
        <f t="shared" si="22"/>
        <v>0.74674900653263576</v>
      </c>
      <c r="K167" s="10">
        <f t="shared" si="23"/>
        <v>0.79179180107537261</v>
      </c>
      <c r="L167" s="10">
        <f t="shared" si="24"/>
        <v>0.99849113947639134</v>
      </c>
      <c r="M167" s="10">
        <f t="shared" si="25"/>
        <v>0.59037759726297256</v>
      </c>
      <c r="N167" s="10">
        <f t="shared" si="26"/>
        <v>2.3702698018355443E-2</v>
      </c>
      <c r="O167" s="10">
        <f t="shared" si="27"/>
        <v>0.22913063995961763</v>
      </c>
      <c r="P167" s="66">
        <f t="shared" si="28"/>
        <v>4</v>
      </c>
      <c r="Q167" s="10">
        <f t="shared" si="29"/>
        <v>2.5650793695453692E-3</v>
      </c>
    </row>
    <row r="168" spans="9:17">
      <c r="I168" s="66">
        <v>30.4</v>
      </c>
      <c r="J168" s="10">
        <f t="shared" si="22"/>
        <v>0.74319938152750886</v>
      </c>
      <c r="K168" s="10">
        <f t="shared" si="23"/>
        <v>0.78878617255130656</v>
      </c>
      <c r="L168" s="10">
        <f t="shared" si="24"/>
        <v>0.99848115461492104</v>
      </c>
      <c r="M168" s="10">
        <f t="shared" si="25"/>
        <v>0.5853350098608624</v>
      </c>
      <c r="N168" s="10">
        <f t="shared" si="26"/>
        <v>2.4045843023812713E-2</v>
      </c>
      <c r="O168" s="10">
        <f t="shared" si="27"/>
        <v>0.22690564907382885</v>
      </c>
      <c r="P168" s="66">
        <f t="shared" si="28"/>
        <v>2</v>
      </c>
      <c r="Q168" s="10">
        <f t="shared" si="29"/>
        <v>1.2774673467716899E-3</v>
      </c>
    </row>
    <row r="169" spans="9:17">
      <c r="I169" s="66">
        <v>30.6</v>
      </c>
      <c r="J169" s="10">
        <f t="shared" si="22"/>
        <v>0.73961549973485197</v>
      </c>
      <c r="K169" s="10">
        <f t="shared" si="23"/>
        <v>0.78574864289634216</v>
      </c>
      <c r="L169" s="10">
        <f t="shared" si="24"/>
        <v>0.99847116985329876</v>
      </c>
      <c r="M169" s="10">
        <f t="shared" si="25"/>
        <v>0.58026339267517002</v>
      </c>
      <c r="N169" s="10">
        <f t="shared" si="26"/>
        <v>2.4393987392598921E-2</v>
      </c>
      <c r="O169" s="10">
        <f t="shared" si="27"/>
        <v>0.22470226413494743</v>
      </c>
      <c r="P169" s="66">
        <f t="shared" si="28"/>
        <v>4</v>
      </c>
      <c r="Q169" s="10">
        <f t="shared" si="29"/>
        <v>2.5445172732140222E-3</v>
      </c>
    </row>
    <row r="170" spans="9:17">
      <c r="I170" s="66">
        <v>30.8</v>
      </c>
      <c r="J170" s="10">
        <f t="shared" si="22"/>
        <v>0.73599727937661086</v>
      </c>
      <c r="K170" s="10">
        <f t="shared" si="23"/>
        <v>0.78267904063388105</v>
      </c>
      <c r="L170" s="10">
        <f t="shared" si="24"/>
        <v>0.9984611851915236</v>
      </c>
      <c r="M170" s="10">
        <f t="shared" si="25"/>
        <v>0.57516321080820954</v>
      </c>
      <c r="N170" s="10">
        <f t="shared" si="26"/>
        <v>2.4747203961658474E-2</v>
      </c>
      <c r="O170" s="10">
        <f t="shared" si="27"/>
        <v>0.22252027533674706</v>
      </c>
      <c r="P170" s="66">
        <f t="shared" si="28"/>
        <v>2</v>
      </c>
      <c r="Q170" s="10">
        <f t="shared" si="29"/>
        <v>1.2669130718035836E-3</v>
      </c>
    </row>
    <row r="171" spans="9:17">
      <c r="I171" s="66">
        <v>31</v>
      </c>
      <c r="J171" s="10">
        <f t="shared" si="22"/>
        <v>0.73234464638673502</v>
      </c>
      <c r="K171" s="10">
        <f t="shared" si="23"/>
        <v>0.77957719854373464</v>
      </c>
      <c r="L171" s="10">
        <f t="shared" si="24"/>
        <v>0.99845120062959458</v>
      </c>
      <c r="M171" s="10">
        <f t="shared" si="25"/>
        <v>0.57003494852005798</v>
      </c>
      <c r="N171" s="10">
        <f t="shared" si="26"/>
        <v>2.5105566629115089E-2</v>
      </c>
      <c r="O171" s="10">
        <f t="shared" si="27"/>
        <v>0.220359474910341</v>
      </c>
      <c r="P171" s="66">
        <f t="shared" si="28"/>
        <v>4</v>
      </c>
      <c r="Q171" s="10">
        <f t="shared" si="29"/>
        <v>2.5228604378971079E-3</v>
      </c>
    </row>
    <row r="172" spans="9:17">
      <c r="I172" s="66">
        <v>31.2</v>
      </c>
      <c r="J172" s="10">
        <f t="shared" si="22"/>
        <v>0.72865753466060712</v>
      </c>
      <c r="K172" s="10">
        <f t="shared" si="23"/>
        <v>0.77644295385099626</v>
      </c>
      <c r="L172" s="10">
        <f t="shared" si="24"/>
        <v>0.99844121616751069</v>
      </c>
      <c r="M172" s="10">
        <f t="shared" si="25"/>
        <v>0.56487910944447395</v>
      </c>
      <c r="N172" s="10">
        <f t="shared" si="26"/>
        <v>2.5469150369732105E-2</v>
      </c>
      <c r="O172" s="10">
        <f t="shared" si="27"/>
        <v>0.21821965710439775</v>
      </c>
      <c r="P172" s="66">
        <f t="shared" si="28"/>
        <v>2</v>
      </c>
      <c r="Q172" s="10">
        <f t="shared" si="29"/>
        <v>1.2558096952946889E-3</v>
      </c>
    </row>
    <row r="173" spans="9:17">
      <c r="I173" s="66">
        <v>31.4</v>
      </c>
      <c r="J173" s="10">
        <f t="shared" si="22"/>
        <v>0.72493588630786365</v>
      </c>
      <c r="K173" s="10">
        <f t="shared" si="23"/>
        <v>0.77327614841878445</v>
      </c>
      <c r="L173" s="10">
        <f t="shared" si="24"/>
        <v>0.99843123180527094</v>
      </c>
      <c r="M173" s="10">
        <f t="shared" si="25"/>
        <v>0.55969621679559545</v>
      </c>
      <c r="N173" s="10">
        <f t="shared" si="26"/>
        <v>2.5838031250598664E-2</v>
      </c>
      <c r="O173" s="10">
        <f t="shared" si="27"/>
        <v>0.21610061816555123</v>
      </c>
      <c r="P173" s="66">
        <f t="shared" si="28"/>
        <v>4</v>
      </c>
      <c r="Q173" s="10">
        <f t="shared" si="29"/>
        <v>2.5001023407448131E-3</v>
      </c>
    </row>
    <row r="174" spans="9:17">
      <c r="I174" s="66">
        <v>31.6</v>
      </c>
      <c r="J174" s="10">
        <f t="shared" si="22"/>
        <v>0.72117965190852529</v>
      </c>
      <c r="K174" s="10">
        <f t="shared" si="23"/>
        <v>0.77007662894486362</v>
      </c>
      <c r="L174" s="10">
        <f t="shared" si="24"/>
        <v>0.9984212475428742</v>
      </c>
      <c r="M174" s="10">
        <f t="shared" si="25"/>
        <v>0.55448681356481866</v>
      </c>
      <c r="N174" s="10">
        <f t="shared" si="26"/>
        <v>2.6212286447043841E-2</v>
      </c>
      <c r="O174" s="10">
        <f t="shared" si="27"/>
        <v>0.21400215631899755</v>
      </c>
      <c r="P174" s="66">
        <f t="shared" si="28"/>
        <v>2</v>
      </c>
      <c r="Q174" s="10">
        <f t="shared" si="29"/>
        <v>1.2441543676087138E-3</v>
      </c>
    </row>
    <row r="175" spans="9:17">
      <c r="I175" s="66">
        <v>31.8</v>
      </c>
      <c r="J175" s="10">
        <f t="shared" si="22"/>
        <v>0.71738879077234208</v>
      </c>
      <c r="K175" s="10">
        <f t="shared" si="23"/>
        <v>0.76684424716213972</v>
      </c>
      <c r="L175" s="10">
        <f t="shared" si="24"/>
        <v>0.99841126338031971</v>
      </c>
      <c r="M175" s="10">
        <f t="shared" si="25"/>
        <v>0.54925146270724301</v>
      </c>
      <c r="N175" s="10">
        <f t="shared" si="26"/>
        <v>2.659199425878286E-2</v>
      </c>
      <c r="O175" s="10">
        <f t="shared" si="27"/>
        <v>0.21192407174928291</v>
      </c>
      <c r="P175" s="66">
        <f t="shared" si="28"/>
        <v>4</v>
      </c>
      <c r="Q175" s="10">
        <f t="shared" si="29"/>
        <v>2.4762381319028267E-3</v>
      </c>
    </row>
    <row r="176" spans="9:17">
      <c r="I176" s="66">
        <v>32</v>
      </c>
      <c r="J176" s="10">
        <f t="shared" si="22"/>
        <v>0.7135632712012554</v>
      </c>
      <c r="K176" s="10">
        <f t="shared" si="23"/>
        <v>0.76357886004302322</v>
      </c>
      <c r="L176" s="10">
        <f t="shared" si="24"/>
        <v>0.99840127931760636</v>
      </c>
      <c r="M176" s="10">
        <f t="shared" si="25"/>
        <v>0.54399074731704844</v>
      </c>
      <c r="N176" s="10">
        <f t="shared" si="26"/>
        <v>2.6977234126298721E-2</v>
      </c>
      <c r="O176" s="10">
        <f t="shared" si="27"/>
        <v>0.20986616658127716</v>
      </c>
      <c r="P176" s="66">
        <f t="shared" si="28"/>
        <v>2</v>
      </c>
      <c r="Q176" s="10">
        <f t="shared" si="29"/>
        <v>1.2319451014967387E-3</v>
      </c>
    </row>
    <row r="177" spans="9:17">
      <c r="I177" s="66">
        <v>32.200000000000003</v>
      </c>
      <c r="J177" s="10">
        <f t="shared" si="22"/>
        <v>0.70970307075487093</v>
      </c>
      <c r="K177" s="10">
        <f t="shared" si="23"/>
        <v>0.76028033000765938</v>
      </c>
      <c r="L177" s="10">
        <f t="shared" si="24"/>
        <v>0.99839129535473303</v>
      </c>
      <c r="M177" s="10">
        <f t="shared" si="25"/>
        <v>0.5387052707911768</v>
      </c>
      <c r="N177" s="10">
        <f t="shared" si="26"/>
        <v>2.7368086647462014E-2</v>
      </c>
      <c r="O177" s="10">
        <f t="shared" si="27"/>
        <v>0.20782824486133111</v>
      </c>
      <c r="P177" s="66">
        <f t="shared" si="28"/>
        <v>4</v>
      </c>
      <c r="Q177" s="10">
        <f t="shared" si="29"/>
        <v>2.4512647382370209E-3</v>
      </c>
    </row>
    <row r="178" spans="9:17">
      <c r="I178" s="66">
        <v>32.4</v>
      </c>
      <c r="J178" s="10">
        <f t="shared" si="22"/>
        <v>0.70580817651882033</v>
      </c>
      <c r="K178" s="10">
        <f t="shared" si="23"/>
        <v>0.75694852513599931</v>
      </c>
      <c r="L178" s="10">
        <f t="shared" si="24"/>
        <v>0.99838131149169884</v>
      </c>
      <c r="M178" s="10">
        <f t="shared" si="25"/>
        <v>0.5333956569806495</v>
      </c>
      <c r="N178" s="10">
        <f t="shared" si="26"/>
        <v>2.7764633594393563E-2</v>
      </c>
      <c r="O178" s="10">
        <f t="shared" si="27"/>
        <v>0.20581011253862025</v>
      </c>
      <c r="P178" s="66">
        <f t="shared" si="28"/>
        <v>2</v>
      </c>
      <c r="Q178" s="10">
        <f t="shared" si="29"/>
        <v>1.2191808240968741E-3</v>
      </c>
    </row>
    <row r="179" spans="9:17">
      <c r="I179" s="66">
        <v>32.6</v>
      </c>
      <c r="J179" s="10">
        <f t="shared" si="22"/>
        <v>0.70187858537589354</v>
      </c>
      <c r="K179" s="10">
        <f t="shared" si="23"/>
        <v>0.7535833193837066</v>
      </c>
      <c r="L179" s="10">
        <f t="shared" si="24"/>
        <v>0.9983713277285029</v>
      </c>
      <c r="M179" s="10">
        <f t="shared" si="25"/>
        <v>0.52806255032886884</v>
      </c>
      <c r="N179" s="10">
        <f t="shared" si="26"/>
        <v>2.8166957930572129E-2</v>
      </c>
      <c r="O179" s="10">
        <f t="shared" si="27"/>
        <v>0.20381157744666431</v>
      </c>
      <c r="P179" s="66">
        <f t="shared" si="28"/>
        <v>4</v>
      </c>
      <c r="Q179" s="10">
        <f t="shared" si="29"/>
        <v>2.4251809674888927E-3</v>
      </c>
    </row>
    <row r="180" spans="9:17">
      <c r="I180" s="66">
        <v>32.799999999999997</v>
      </c>
      <c r="J180" s="10">
        <f t="shared" si="22"/>
        <v>0.69791430427980328</v>
      </c>
      <c r="K180" s="10">
        <f t="shared" si="23"/>
        <v>0.750184592801869</v>
      </c>
      <c r="L180" s="10">
        <f t="shared" si="24"/>
        <v>0.99836134406514399</v>
      </c>
      <c r="M180" s="10">
        <f t="shared" si="25"/>
        <v>0.52270661599622381</v>
      </c>
      <c r="N180" s="10">
        <f t="shared" si="26"/>
        <v>2.8575143828191575E-2</v>
      </c>
      <c r="O180" s="10">
        <f t="shared" si="27"/>
        <v>0.20183244928503136</v>
      </c>
      <c r="P180" s="66">
        <f t="shared" si="28"/>
        <v>2</v>
      </c>
      <c r="Q180" s="10">
        <f t="shared" si="29"/>
        <v>1.2058614290277744E-3</v>
      </c>
    </row>
    <row r="181" spans="9:17">
      <c r="I181" s="66">
        <v>33</v>
      </c>
      <c r="J181" s="10">
        <f t="shared" si="22"/>
        <v>0.69391535053143527</v>
      </c>
      <c r="K181" s="10">
        <f t="shared" si="23"/>
        <v>0.74675223176048733</v>
      </c>
      <c r="L181" s="10">
        <f t="shared" si="24"/>
        <v>0.99835136050162121</v>
      </c>
      <c r="M181" s="10">
        <f t="shared" si="25"/>
        <v>0.51732853997030681</v>
      </c>
      <c r="N181" s="10">
        <f t="shared" si="26"/>
        <v>2.8989276685771132E-2</v>
      </c>
      <c r="O181" s="10">
        <f t="shared" si="27"/>
        <v>0.19987253960121634</v>
      </c>
      <c r="P181" s="66">
        <f t="shared" si="28"/>
        <v>4</v>
      </c>
      <c r="Q181" s="10">
        <f t="shared" si="29"/>
        <v>2.397987612363533E-3</v>
      </c>
    </row>
    <row r="182" spans="9:17">
      <c r="I182" s="66">
        <v>33.200000000000003</v>
      </c>
      <c r="J182" s="10">
        <f t="shared" si="22"/>
        <v>0.68988175205744018</v>
      </c>
      <c r="K182" s="10">
        <f t="shared" si="23"/>
        <v>0.74328612917571235</v>
      </c>
      <c r="L182" s="10">
        <f t="shared" si="24"/>
        <v>0.99834137703793357</v>
      </c>
      <c r="M182" s="10">
        <f t="shared" si="25"/>
        <v>0.51192902916106164</v>
      </c>
      <c r="N182" s="10">
        <f t="shared" si="26"/>
        <v>2.9409443146021664E-2</v>
      </c>
      <c r="O182" s="10">
        <f t="shared" si="27"/>
        <v>0.1979316617726963</v>
      </c>
      <c r="P182" s="66">
        <f t="shared" si="28"/>
        <v>2</v>
      </c>
      <c r="Q182" s="10">
        <f t="shared" si="29"/>
        <v>1.1919878283147387E-3</v>
      </c>
    </row>
    <row r="183" spans="9:17">
      <c r="I183" s="66">
        <v>33.4</v>
      </c>
      <c r="J183" s="10">
        <f t="shared" si="22"/>
        <v>0.68581354769098912</v>
      </c>
      <c r="K183" s="10">
        <f t="shared" si="23"/>
        <v>0.73978618474078406</v>
      </c>
      <c r="L183" s="10">
        <f t="shared" si="24"/>
        <v>0.99833139367408019</v>
      </c>
      <c r="M183" s="10">
        <f t="shared" si="25"/>
        <v>0.50650881148013605</v>
      </c>
      <c r="N183" s="10">
        <f t="shared" si="26"/>
        <v>2.9835731113973082E-2</v>
      </c>
      <c r="O183" s="10">
        <f t="shared" si="27"/>
        <v>0.1960096309891621</v>
      </c>
      <c r="P183" s="66">
        <f t="shared" si="28"/>
        <v>4</v>
      </c>
      <c r="Q183" s="10">
        <f t="shared" si="29"/>
        <v>2.3696875540032362E-3</v>
      </c>
    </row>
    <row r="184" spans="9:17">
      <c r="I184" s="66">
        <v>33.6</v>
      </c>
      <c r="J184" s="10">
        <f t="shared" si="22"/>
        <v>0.68171078745453328</v>
      </c>
      <c r="K184" s="10">
        <f t="shared" si="23"/>
        <v>0.73625230516063445</v>
      </c>
      <c r="L184" s="10">
        <f t="shared" si="24"/>
        <v>0.99832141041005984</v>
      </c>
      <c r="M184" s="10">
        <f t="shared" si="25"/>
        <v>0.50106863590374728</v>
      </c>
      <c r="N184" s="10">
        <f t="shared" si="26"/>
        <v>3.026822977536504E-2</v>
      </c>
      <c r="O184" s="10">
        <f t="shared" si="27"/>
        <v>0.19410626423491836</v>
      </c>
      <c r="P184" s="66">
        <f t="shared" si="28"/>
        <v>2</v>
      </c>
      <c r="Q184" s="10">
        <f t="shared" si="29"/>
        <v>1.1775620038626698E-3</v>
      </c>
    </row>
    <row r="185" spans="9:17">
      <c r="I185" s="66">
        <v>33.799999999999997</v>
      </c>
      <c r="J185" s="10">
        <f t="shared" si="22"/>
        <v>0.67757353284437494</v>
      </c>
      <c r="K185" s="10">
        <f t="shared" si="23"/>
        <v>0.73268440439009896</v>
      </c>
      <c r="L185" s="10">
        <f t="shared" si="24"/>
        <v>0.99831142724587163</v>
      </c>
      <c r="M185" s="10">
        <f t="shared" si="25"/>
        <v>0.49560927251832804</v>
      </c>
      <c r="N185" s="10">
        <f t="shared" si="26"/>
        <v>3.0707029615305942E-2</v>
      </c>
      <c r="O185" s="10">
        <f t="shared" si="27"/>
        <v>0.19222138027145844</v>
      </c>
      <c r="P185" s="66">
        <f t="shared" si="28"/>
        <v>4</v>
      </c>
      <c r="Q185" s="10">
        <f t="shared" si="29"/>
        <v>2.3402858642502795E-3</v>
      </c>
    </row>
    <row r="186" spans="9:17">
      <c r="I186" s="66">
        <v>34</v>
      </c>
      <c r="J186" s="10">
        <f t="shared" si="22"/>
        <v>0.67340185711685341</v>
      </c>
      <c r="K186" s="10">
        <f t="shared" si="23"/>
        <v>0.72908240387567935</v>
      </c>
      <c r="L186" s="10">
        <f t="shared" si="24"/>
        <v>0.99830144418151456</v>
      </c>
      <c r="M186" s="10">
        <f t="shared" si="25"/>
        <v>0.49013151254822795</v>
      </c>
      <c r="N186" s="10">
        <f t="shared" si="26"/>
        <v>3.1152222437203961E-2</v>
      </c>
      <c r="O186" s="10">
        <f t="shared" si="27"/>
        <v>0.19035479962020604</v>
      </c>
      <c r="P186" s="66">
        <f t="shared" si="28"/>
        <v>2</v>
      </c>
      <c r="Q186" s="10">
        <f t="shared" si="29"/>
        <v>1.162587058164992E-3</v>
      </c>
    </row>
    <row r="187" spans="9:17">
      <c r="I187" s="66">
        <v>34.200000000000003</v>
      </c>
      <c r="J187" s="10">
        <f t="shared" si="22"/>
        <v>0.66919584557594758</v>
      </c>
      <c r="K187" s="10">
        <f t="shared" si="23"/>
        <v>0.72544623280079545</v>
      </c>
      <c r="L187" s="10">
        <f t="shared" si="24"/>
        <v>0.99829146121698764</v>
      </c>
      <c r="M187" s="10">
        <f t="shared" si="25"/>
        <v>0.48463616836474716</v>
      </c>
      <c r="N187" s="10">
        <f t="shared" si="26"/>
        <v>3.160390138197329E-2</v>
      </c>
      <c r="O187" s="10">
        <f t="shared" si="27"/>
        <v>0.18850634454542503</v>
      </c>
      <c r="P187" s="66">
        <f t="shared" si="28"/>
        <v>4</v>
      </c>
      <c r="Q187" s="10">
        <f t="shared" si="29"/>
        <v>2.3097899060517558E-3</v>
      </c>
    </row>
    <row r="188" spans="9:17">
      <c r="I188" s="66">
        <v>34.4</v>
      </c>
      <c r="J188" s="10">
        <f t="shared" si="22"/>
        <v>0.66495559586206388</v>
      </c>
      <c r="K188" s="10">
        <f t="shared" si="23"/>
        <v>0.72177582833445053</v>
      </c>
      <c r="L188" s="10">
        <f t="shared" si="24"/>
        <v>0.99828147835228986</v>
      </c>
      <c r="M188" s="10">
        <f t="shared" si="25"/>
        <v>0.47912407347575375</v>
      </c>
      <c r="N188" s="10">
        <f t="shared" si="26"/>
        <v>3.2062160947521068E-2</v>
      </c>
      <c r="O188" s="10">
        <f t="shared" si="27"/>
        <v>0.18667583903729726</v>
      </c>
      <c r="P188" s="66">
        <f t="shared" si="28"/>
        <v>2</v>
      </c>
      <c r="Q188" s="10">
        <f t="shared" si="29"/>
        <v>1.1470672639123929E-3</v>
      </c>
    </row>
    <row r="189" spans="9:17">
      <c r="I189" s="66">
        <v>34.6</v>
      </c>
      <c r="J189" s="10">
        <f t="shared" si="22"/>
        <v>0.66068121824179393</v>
      </c>
      <c r="K189" s="10">
        <f t="shared" si="23"/>
        <v>0.71807113588323856</v>
      </c>
      <c r="L189" s="10">
        <f t="shared" si="24"/>
        <v>0.99827149558742023</v>
      </c>
      <c r="M189" s="10">
        <f t="shared" si="25"/>
        <v>0.47359608249516461</v>
      </c>
      <c r="N189" s="10">
        <f t="shared" si="26"/>
        <v>3.2527097008517421E-2</v>
      </c>
      <c r="O189" s="10">
        <f t="shared" si="27"/>
        <v>0.18486310879516035</v>
      </c>
      <c r="P189" s="66">
        <f t="shared" si="28"/>
        <v>4</v>
      </c>
      <c r="Q189" s="10">
        <f t="shared" si="29"/>
        <v>2.2782094313089887E-3</v>
      </c>
    </row>
    <row r="190" spans="9:17">
      <c r="I190" s="66">
        <v>34.799999999999997</v>
      </c>
      <c r="J190" s="10">
        <f t="shared" si="22"/>
        <v>0.65637283589839057</v>
      </c>
      <c r="K190" s="10">
        <f t="shared" si="23"/>
        <v>0.71433210934660174</v>
      </c>
      <c r="L190" s="10">
        <f t="shared" si="24"/>
        <v>0.99826151292237775</v>
      </c>
      <c r="M190" s="10">
        <f t="shared" si="25"/>
        <v>0.46805307109153865</v>
      </c>
      <c r="N190" s="10">
        <f t="shared" si="26"/>
        <v>3.2998806836453891E-2</v>
      </c>
      <c r="O190" s="10">
        <f t="shared" si="27"/>
        <v>0.18306798121091278</v>
      </c>
      <c r="P190" s="66">
        <f t="shared" si="28"/>
        <v>2</v>
      </c>
      <c r="Q190" s="10">
        <f t="shared" si="29"/>
        <v>1.1310081121399815E-3</v>
      </c>
    </row>
    <row r="191" spans="9:17">
      <c r="I191" s="66">
        <v>35</v>
      </c>
      <c r="J191" s="10">
        <f t="shared" si="22"/>
        <v>0.6520305852227074</v>
      </c>
      <c r="K191" s="10">
        <f t="shared" si="23"/>
        <v>0.71055871137524484</v>
      </c>
      <c r="L191" s="10">
        <f t="shared" si="24"/>
        <v>0.99825153035716152</v>
      </c>
      <c r="M191" s="10">
        <f t="shared" si="25"/>
        <v>0.4624959359150449</v>
      </c>
      <c r="N191" s="10">
        <f t="shared" si="26"/>
        <v>3.3477389119994261E-2</v>
      </c>
      <c r="O191" s="10">
        <f t="shared" si="27"/>
        <v>0.18129028535257716</v>
      </c>
      <c r="P191" s="66">
        <f t="shared" si="28"/>
        <v>4</v>
      </c>
      <c r="Q191" s="10">
        <f t="shared" si="29"/>
        <v>2.2455566754234491E-3</v>
      </c>
    </row>
    <row r="192" spans="9:17">
      <c r="I192" s="66">
        <v>35.200000000000003</v>
      </c>
      <c r="J192" s="10">
        <f t="shared" si="22"/>
        <v>0.64765461610434449</v>
      </c>
      <c r="K192" s="10">
        <f t="shared" si="23"/>
        <v>0.70675091363261111</v>
      </c>
      <c r="L192" s="10">
        <f t="shared" si="24"/>
        <v>0.99824154789177033</v>
      </c>
      <c r="M192" s="10">
        <f t="shared" si="25"/>
        <v>0.45692559450208031</v>
      </c>
      <c r="N192" s="10">
        <f t="shared" si="26"/>
        <v>3.3962943985621288E-2</v>
      </c>
      <c r="O192" s="10">
        <f t="shared" si="27"/>
        <v>0.17952985194802384</v>
      </c>
      <c r="P192" s="66">
        <f t="shared" si="28"/>
        <v>2</v>
      </c>
      <c r="Q192" s="10">
        <f t="shared" si="29"/>
        <v>1.1144163585263187E-3</v>
      </c>
    </row>
    <row r="193" spans="9:17">
      <c r="I193" s="66">
        <v>35.4</v>
      </c>
      <c r="J193" s="10">
        <f t="shared" si="22"/>
        <v>0.64324509222270743</v>
      </c>
      <c r="K193" s="10">
        <f t="shared" si="23"/>
        <v>0.7029086970592997</v>
      </c>
      <c r="L193" s="10">
        <f t="shared" si="24"/>
        <v>0.99823156552620329</v>
      </c>
      <c r="M193" s="10">
        <f t="shared" si="25"/>
        <v>0.45134298515678745</v>
      </c>
      <c r="N193" s="10">
        <f t="shared" si="26"/>
        <v>3.4455573018585144E-2</v>
      </c>
      <c r="O193" s="10">
        <f t="shared" si="27"/>
        <v>0.17778651336885451</v>
      </c>
      <c r="P193" s="66">
        <f t="shared" si="28"/>
        <v>4</v>
      </c>
      <c r="Q193" s="10">
        <f t="shared" si="29"/>
        <v>2.2118464477414662E-3</v>
      </c>
    </row>
    <row r="194" spans="9:17">
      <c r="I194" s="66">
        <v>35.6</v>
      </c>
      <c r="J194" s="10">
        <f t="shared" si="22"/>
        <v>0.63880219133769811</v>
      </c>
      <c r="K194" s="10">
        <f t="shared" si="23"/>
        <v>0.69903205214031661</v>
      </c>
      <c r="L194" s="10">
        <f t="shared" si="24"/>
        <v>0.99822158326045951</v>
      </c>
      <c r="M194" s="10">
        <f t="shared" si="25"/>
        <v>0.44574906680875886</v>
      </c>
      <c r="N194" s="10">
        <f t="shared" si="26"/>
        <v>3.4955379284156235E-2</v>
      </c>
      <c r="O194" s="10">
        <f t="shared" si="27"/>
        <v>0.17606010361443841</v>
      </c>
      <c r="P194" s="66">
        <f t="shared" si="28"/>
        <v>2</v>
      </c>
      <c r="Q194" s="10">
        <f t="shared" si="29"/>
        <v>1.0973000674333721E-3</v>
      </c>
    </row>
    <row r="195" spans="9:17">
      <c r="I195" s="66">
        <v>35.799999999999997</v>
      </c>
      <c r="J195" s="10">
        <f t="shared" si="22"/>
        <v>0.6343261055797248</v>
      </c>
      <c r="K195" s="10">
        <f t="shared" si="23"/>
        <v>0.69512097917502413</v>
      </c>
      <c r="L195" s="10">
        <f t="shared" si="24"/>
        <v>0.99821160109453777</v>
      </c>
      <c r="M195" s="10">
        <f t="shared" si="25"/>
        <v>0.44014481884619799</v>
      </c>
      <c r="N195" s="10">
        <f t="shared" si="26"/>
        <v>3.5462467349187933E-2</v>
      </c>
      <c r="O195" s="10">
        <f t="shared" si="27"/>
        <v>0.17435045829610743</v>
      </c>
      <c r="P195" s="66">
        <f t="shared" si="28"/>
        <v>4</v>
      </c>
      <c r="Q195" s="10">
        <f t="shared" si="29"/>
        <v>2.1770962170519813E-3</v>
      </c>
    </row>
    <row r="196" spans="9:17">
      <c r="I196" s="66">
        <v>36</v>
      </c>
      <c r="J196" s="10">
        <f t="shared" si="22"/>
        <v>0.62981704173871311</v>
      </c>
      <c r="K196" s="10">
        <f t="shared" si="23"/>
        <v>0.69117548854965505</v>
      </c>
      <c r="L196" s="10">
        <f t="shared" si="24"/>
        <v>0.99820161902843729</v>
      </c>
      <c r="M196" s="10">
        <f t="shared" si="25"/>
        <v>0.43453124092382589</v>
      </c>
      <c r="N196" s="10">
        <f t="shared" si="26"/>
        <v>3.5976943303993827E-2</v>
      </c>
      <c r="O196" s="10">
        <f t="shared" si="27"/>
        <v>0.17265741462150208</v>
      </c>
      <c r="P196" s="66">
        <f t="shared" si="28"/>
        <v>2</v>
      </c>
      <c r="Q196" s="10">
        <f t="shared" si="29"/>
        <v>1.0796686532527394E-3</v>
      </c>
    </row>
    <row r="197" spans="9:17">
      <c r="I197" s="66">
        <v>36.200000000000003</v>
      </c>
      <c r="J197" s="10">
        <f t="shared" si="22"/>
        <v>0.62527522155178705</v>
      </c>
      <c r="K197" s="10">
        <f t="shared" si="23"/>
        <v>0.6871956010122473</v>
      </c>
      <c r="L197" s="10">
        <f t="shared" si="24"/>
        <v>0.99819163706215686</v>
      </c>
      <c r="M197" s="10">
        <f t="shared" si="25"/>
        <v>0.42890935274483422</v>
      </c>
      <c r="N197" s="10">
        <f t="shared" si="26"/>
        <v>3.6498914784542882E-2</v>
      </c>
      <c r="O197" s="10">
        <f t="shared" si="27"/>
        <v>0.17098081137907031</v>
      </c>
      <c r="P197" s="66">
        <f t="shared" si="28"/>
        <v>4</v>
      </c>
      <c r="Q197" s="10">
        <f t="shared" si="29"/>
        <v>2.1413261912451038E-3</v>
      </c>
    </row>
    <row r="198" spans="9:17">
      <c r="I198" s="66">
        <v>36.4</v>
      </c>
      <c r="J198" s="10">
        <f t="shared" si="22"/>
        <v>0.62070088198926654</v>
      </c>
      <c r="K198" s="10">
        <f t="shared" si="23"/>
        <v>0.68318134794983831</v>
      </c>
      <c r="L198" s="10">
        <f t="shared" si="24"/>
        <v>0.99818165519569568</v>
      </c>
      <c r="M198" s="10">
        <f t="shared" si="25"/>
        <v>0.42328019381618898</v>
      </c>
      <c r="N198" s="10">
        <f t="shared" si="26"/>
        <v>3.7028490994979069E-2</v>
      </c>
      <c r="O198" s="10">
        <f t="shared" si="27"/>
        <v>0.16932048892271859</v>
      </c>
      <c r="P198" s="66">
        <f t="shared" si="28"/>
        <v>2</v>
      </c>
      <c r="Q198" s="10">
        <f t="shared" si="29"/>
        <v>1.0615329186010752E-3</v>
      </c>
    </row>
    <row r="199" spans="9:17">
      <c r="I199" s="66">
        <v>36.6</v>
      </c>
      <c r="J199" s="10">
        <f t="shared" si="22"/>
        <v>0.61609427553862783</v>
      </c>
      <c r="K199" s="10">
        <f t="shared" si="23"/>
        <v>0.67913277166775865</v>
      </c>
      <c r="L199" s="10">
        <f t="shared" si="24"/>
        <v>0.99817167342905266</v>
      </c>
      <c r="M199" s="10">
        <f t="shared" si="25"/>
        <v>0.41764482317661705</v>
      </c>
      <c r="N199" s="10">
        <f t="shared" si="26"/>
        <v>3.7565782730467914E-2</v>
      </c>
      <c r="O199" s="10">
        <f t="shared" si="27"/>
        <v>0.16767628915660804</v>
      </c>
      <c r="P199" s="66">
        <f t="shared" si="28"/>
        <v>4</v>
      </c>
      <c r="Q199" s="10">
        <f t="shared" si="29"/>
        <v>2.1045593901962878E-3</v>
      </c>
    </row>
    <row r="200" spans="9:17">
      <c r="I200" s="66">
        <v>36.799999999999997</v>
      </c>
      <c r="J200" s="10">
        <f t="shared" si="22"/>
        <v>0.61145567048604521</v>
      </c>
      <c r="K200" s="10">
        <f t="shared" si="23"/>
        <v>0.67504992567084665</v>
      </c>
      <c r="L200" s="10">
        <f t="shared" si="24"/>
        <v>0.9981616917622268</v>
      </c>
      <c r="M200" s="10">
        <f t="shared" si="25"/>
        <v>0.41200431909661278</v>
      </c>
      <c r="N200" s="10">
        <f t="shared" si="26"/>
        <v>3.8110902400377032E-2</v>
      </c>
      <c r="O200" s="10">
        <f t="shared" si="27"/>
        <v>0.16604805552010229</v>
      </c>
      <c r="P200" s="66">
        <f t="shared" si="28"/>
        <v>2</v>
      </c>
      <c r="Q200" s="10">
        <f t="shared" si="29"/>
        <v>1.0429050888869139E-3</v>
      </c>
    </row>
    <row r="201" spans="9:17">
      <c r="I201" s="66">
        <v>37</v>
      </c>
      <c r="J201" s="10">
        <f t="shared" si="22"/>
        <v>0.60678535119512489</v>
      </c>
      <c r="K201" s="10">
        <f t="shared" si="23"/>
        <v>0.6709328749463952</v>
      </c>
      <c r="L201" s="10">
        <f t="shared" si="24"/>
        <v>0.99815171019521709</v>
      </c>
      <c r="M201" s="10">
        <f t="shared" si="25"/>
        <v>0.40635977874982665</v>
      </c>
      <c r="N201" s="10">
        <f t="shared" si="26"/>
        <v>3.8663964051793363E-2</v>
      </c>
      <c r="O201" s="10">
        <f t="shared" si="27"/>
        <v>0.1644356329728591</v>
      </c>
      <c r="P201" s="66">
        <f t="shared" si="28"/>
        <v>4</v>
      </c>
      <c r="Q201" s="10">
        <f t="shared" si="29"/>
        <v>2.0668217109010567E-3</v>
      </c>
    </row>
    <row r="202" spans="9:17">
      <c r="I202" s="66">
        <v>37.200000000000003</v>
      </c>
      <c r="J202" s="10">
        <f t="shared" si="22"/>
        <v>0.60208361838242785</v>
      </c>
      <c r="K202" s="10">
        <f t="shared" si="23"/>
        <v>0.66678169624863637</v>
      </c>
      <c r="L202" s="10">
        <f t="shared" si="24"/>
        <v>0.99814172872802254</v>
      </c>
      <c r="M202" s="10">
        <f t="shared" si="25"/>
        <v>0.40071231785521949</v>
      </c>
      <c r="N202" s="10">
        <f t="shared" si="26"/>
        <v>3.9225083393383604E-2</v>
      </c>
      <c r="O202" s="10">
        <f t="shared" si="27"/>
        <v>0.16283886798006697</v>
      </c>
      <c r="P202" s="66">
        <f t="shared" si="28"/>
        <v>2</v>
      </c>
      <c r="Q202" s="10">
        <f t="shared" si="29"/>
        <v>1.0237988427522777E-3</v>
      </c>
    </row>
    <row r="203" spans="9:17">
      <c r="I203" s="66">
        <v>37.4</v>
      </c>
      <c r="J203" s="10">
        <f t="shared" si="22"/>
        <v>0.59735078938935848</v>
      </c>
      <c r="K203" s="10">
        <f t="shared" si="23"/>
        <v>0.66259647838455171</v>
      </c>
      <c r="L203" s="10">
        <f t="shared" si="24"/>
        <v>0.99813174736064214</v>
      </c>
      <c r="M203" s="10">
        <f t="shared" si="25"/>
        <v>0.39506307028938692</v>
      </c>
      <c r="N203" s="10">
        <f t="shared" si="26"/>
        <v>3.9794377819602496E-2</v>
      </c>
      <c r="O203" s="10">
        <f t="shared" si="27"/>
        <v>0.16125760849782719</v>
      </c>
      <c r="P203" s="66">
        <f t="shared" si="28"/>
        <v>4</v>
      </c>
      <c r="Q203" s="10">
        <f t="shared" si="29"/>
        <v>2.0281419838502324E-3</v>
      </c>
    </row>
    <row r="204" spans="9:17">
      <c r="I204" s="66">
        <v>37.6</v>
      </c>
      <c r="J204" s="10">
        <f t="shared" si="22"/>
        <v>0.59258719844998875</v>
      </c>
      <c r="K204" s="10">
        <f t="shared" si="23"/>
        <v>0.65837732250079073</v>
      </c>
      <c r="L204" s="10">
        <f t="shared" si="24"/>
        <v>0.99812176609307501</v>
      </c>
      <c r="M204" s="10">
        <f t="shared" si="25"/>
        <v>0.38941318766848976</v>
      </c>
      <c r="N204" s="10">
        <f t="shared" si="26"/>
        <v>4.0371966435253009E-2</v>
      </c>
      <c r="O204" s="10">
        <f t="shared" si="27"/>
        <v>0.1596917039586743</v>
      </c>
      <c r="P204" s="66">
        <f t="shared" si="28"/>
        <v>2</v>
      </c>
      <c r="Q204" s="10">
        <f t="shared" si="29"/>
        <v>1.0042293378763095E-3</v>
      </c>
    </row>
    <row r="205" spans="9:17">
      <c r="I205" s="66">
        <v>37.799999999999997</v>
      </c>
      <c r="J205" s="10">
        <f t="shared" si="22"/>
        <v>0.58779319695436705</v>
      </c>
      <c r="K205" s="10">
        <f t="shared" si="23"/>
        <v>0.654124342371464</v>
      </c>
      <c r="L205" s="10">
        <f t="shared" si="24"/>
        <v>0.99811178492531993</v>
      </c>
      <c r="M205" s="10">
        <f t="shared" si="25"/>
        <v>0.38376383889925214</v>
      </c>
      <c r="N205" s="10">
        <f t="shared" si="26"/>
        <v>4.0957970080405304E-2</v>
      </c>
      <c r="O205" s="10">
        <f t="shared" si="27"/>
        <v>0.15814100525724029</v>
      </c>
      <c r="P205" s="66">
        <f t="shared" si="28"/>
        <v>4</v>
      </c>
      <c r="Q205" s="10">
        <f t="shared" si="29"/>
        <v>1.9885520196061732E-3</v>
      </c>
    </row>
    <row r="206" spans="9:17">
      <c r="I206" s="66">
        <v>38</v>
      </c>
      <c r="J206" s="10">
        <f t="shared" si="22"/>
        <v>0.58296915370684421</v>
      </c>
      <c r="K206" s="10">
        <f t="shared" si="23"/>
        <v>0.64983766468656456</v>
      </c>
      <c r="L206" s="10">
        <f t="shared" si="24"/>
        <v>0.99810180385737612</v>
      </c>
      <c r="M206" s="10">
        <f t="shared" si="25"/>
        <v>0.37811620969851761</v>
      </c>
      <c r="N206" s="10">
        <f t="shared" si="26"/>
        <v>4.1552511355677862E-2</v>
      </c>
      <c r="O206" s="10">
        <f t="shared" si="27"/>
        <v>0.15660536473605632</v>
      </c>
      <c r="P206" s="66">
        <f t="shared" si="28"/>
        <v>2</v>
      </c>
      <c r="Q206" s="10">
        <f t="shared" si="29"/>
        <v>9.8421323161498485E-4</v>
      </c>
    </row>
    <row r="207" spans="9:17">
      <c r="I207" s="66">
        <v>38.200000000000003</v>
      </c>
      <c r="J207" s="10">
        <f t="shared" si="22"/>
        <v>0.57811545517894514</v>
      </c>
      <c r="K207" s="10">
        <f t="shared" si="23"/>
        <v>0.64551742934076661</v>
      </c>
      <c r="L207" s="10">
        <f t="shared" si="24"/>
        <v>0.99809182288924247</v>
      </c>
      <c r="M207" s="10">
        <f t="shared" si="25"/>
        <v>0.37247150208089974</v>
      </c>
      <c r="N207" s="10">
        <f t="shared" si="26"/>
        <v>4.2155714647887373E-2</v>
      </c>
      <c r="O207" s="10">
        <f t="shared" si="27"/>
        <v>0.15508463617149232</v>
      </c>
      <c r="P207" s="66">
        <f t="shared" si="28"/>
        <v>4</v>
      </c>
      <c r="Q207" s="10">
        <f t="shared" si="29"/>
        <v>1.9480866445174231E-3</v>
      </c>
    </row>
    <row r="208" spans="9:17">
      <c r="I208" s="66">
        <v>38.4</v>
      </c>
      <c r="J208" s="10">
        <f t="shared" si="22"/>
        <v>0.57323250575628149</v>
      </c>
      <c r="K208" s="10">
        <f t="shared" si="23"/>
        <v>0.64116378972232391</v>
      </c>
      <c r="L208" s="10">
        <f t="shared" si="24"/>
        <v>0.99808184202091799</v>
      </c>
      <c r="M208" s="10">
        <f t="shared" si="25"/>
        <v>0.36683093381408188</v>
      </c>
      <c r="N208" s="10">
        <f t="shared" si="26"/>
        <v>4.2767706156072685E-2</v>
      </c>
      <c r="O208" s="10">
        <f t="shared" si="27"/>
        <v>0.15357867475983544</v>
      </c>
      <c r="P208" s="66">
        <f t="shared" si="28"/>
        <v>2</v>
      </c>
      <c r="Q208" s="10">
        <f t="shared" si="29"/>
        <v>9.6376869594126105E-4</v>
      </c>
    </row>
    <row r="209" spans="9:17">
      <c r="I209" s="66">
        <v>38.6</v>
      </c>
      <c r="J209" s="10">
        <f t="shared" ref="J209:J272" si="30">(B$10^I209)*(B$11^((B$5^B$8)*((B$5^I209)-1)))</f>
        <v>0.56832072797900834</v>
      </c>
      <c r="K209" s="10">
        <f t="shared" ref="K209:K272" si="31">(B$10^I209)*B$12^((B$5^B$9)*((B$5^I209)-1))</f>
        <v>0.63677691300179462</v>
      </c>
      <c r="L209" s="10">
        <f t="shared" ref="L209:L272" si="32">EXP(-B$13*I209)</f>
        <v>0.99807186125240177</v>
      </c>
      <c r="M209" s="10">
        <f t="shared" ref="M209:M272" si="33">J209*K209*L209</f>
        <v>0.36119573784138481</v>
      </c>
      <c r="N209" s="10">
        <f t="shared" ref="N209:N272" si="34">B$3+B$6*(B$5^(B$8+I209)) +B$13</f>
        <v>4.338861391789698E-2</v>
      </c>
      <c r="O209" s="10">
        <f t="shared" ref="O209:O272" si="35">(1+B$7)^-I209</f>
        <v>0.15208733710349934</v>
      </c>
      <c r="P209" s="66">
        <f t="shared" si="28"/>
        <v>4</v>
      </c>
      <c r="Q209" s="10">
        <f t="shared" si="29"/>
        <v>1.9067837244940045E-3</v>
      </c>
    </row>
    <row r="210" spans="9:17">
      <c r="I210" s="66">
        <v>38.799999999999997</v>
      </c>
      <c r="J210" s="10">
        <f t="shared" si="30"/>
        <v>0.56338056277529391</v>
      </c>
      <c r="K210" s="10">
        <f t="shared" si="31"/>
        <v>0.63235698042029365</v>
      </c>
      <c r="L210" s="10">
        <f t="shared" si="32"/>
        <v>0.99806188058369261</v>
      </c>
      <c r="M210" s="10">
        <f t="shared" si="33"/>
        <v>0.3555671616712448</v>
      </c>
      <c r="N210" s="10">
        <f t="shared" si="34"/>
        <v>4.4018567836435707E-2</v>
      </c>
      <c r="O210" s="10">
        <f t="shared" si="35"/>
        <v>0.15061048119737167</v>
      </c>
      <c r="P210" s="66">
        <f t="shared" si="28"/>
        <v>2</v>
      </c>
      <c r="Q210" s="10">
        <f t="shared" si="29"/>
        <v>9.4291542614460561E-4</v>
      </c>
    </row>
    <row r="211" spans="9:17">
      <c r="I211" s="66">
        <v>39</v>
      </c>
      <c r="J211" s="10">
        <f t="shared" si="30"/>
        <v>0.55841246968726477</v>
      </c>
      <c r="K211" s="10">
        <f t="shared" si="31"/>
        <v>0.62790418757696009</v>
      </c>
      <c r="L211" s="10">
        <f t="shared" si="32"/>
        <v>0.99805190001478972</v>
      </c>
      <c r="M211" s="10">
        <f t="shared" si="33"/>
        <v>0.34994646673329693</v>
      </c>
      <c r="N211" s="10">
        <f t="shared" si="34"/>
        <v>4.4657699707353699E-2</v>
      </c>
      <c r="O211" s="10">
        <f t="shared" si="35"/>
        <v>0.14914796641529171</v>
      </c>
      <c r="P211" s="66">
        <f t="shared" ref="P211:P274" si="36">IF(P210=4,2,4)</f>
        <v>4</v>
      </c>
      <c r="Q211" s="10">
        <f t="shared" ref="Q211:Q274" si="37">0.2*M211*N211*O211*P211</f>
        <v>1.8646841757590281E-3</v>
      </c>
    </row>
    <row r="212" spans="9:17">
      <c r="I212" s="66">
        <v>39.200000000000003</v>
      </c>
      <c r="J212" s="10">
        <f t="shared" si="30"/>
        <v>0.55341692708887968</v>
      </c>
      <c r="K212" s="10">
        <f t="shared" si="31"/>
        <v>0.62341874471532788</v>
      </c>
      <c r="L212" s="10">
        <f t="shared" si="32"/>
        <v>0.99804191954569199</v>
      </c>
      <c r="M212" s="10">
        <f t="shared" si="33"/>
        <v>0.3443349277008152</v>
      </c>
      <c r="N212" s="10">
        <f t="shared" si="34"/>
        <v>4.5306143246478921E-2</v>
      </c>
      <c r="O212" s="10">
        <f t="shared" si="35"/>
        <v>0.14769965349665937</v>
      </c>
      <c r="P212" s="66">
        <f t="shared" si="36"/>
        <v>2</v>
      </c>
      <c r="Q212" s="10">
        <f t="shared" si="37"/>
        <v>9.2167464274787916E-4</v>
      </c>
    </row>
    <row r="213" spans="9:17">
      <c r="I213" s="66">
        <v>39.4</v>
      </c>
      <c r="J213" s="10">
        <f t="shared" si="30"/>
        <v>0.54839443239515651</v>
      </c>
      <c r="K213" s="10">
        <f t="shared" si="31"/>
        <v>0.61890087700825169</v>
      </c>
      <c r="L213" s="10">
        <f t="shared" si="32"/>
        <v>0.99803193917639843</v>
      </c>
      <c r="M213" s="10">
        <f t="shared" si="33"/>
        <v>0.33873383177929856</v>
      </c>
      <c r="N213" s="10">
        <f t="shared" si="34"/>
        <v>4.5964034117778087E-2</v>
      </c>
      <c r="O213" s="10">
        <f t="shared" si="35"/>
        <v>0.14626540453317657</v>
      </c>
      <c r="P213" s="66">
        <f t="shared" si="36"/>
        <v>4</v>
      </c>
      <c r="Q213" s="10">
        <f t="shared" si="37"/>
        <v>1.8218319614956755E-3</v>
      </c>
    </row>
    <row r="214" spans="9:17">
      <c r="I214" s="66">
        <v>39.6</v>
      </c>
      <c r="J214" s="10">
        <f t="shared" si="30"/>
        <v>0.54334550226218137</v>
      </c>
      <c r="K214" s="10">
        <f t="shared" si="31"/>
        <v>0.61435082484105008</v>
      </c>
      <c r="L214" s="10">
        <f t="shared" si="32"/>
        <v>0.99802195890690815</v>
      </c>
      <c r="M214" s="10">
        <f t="shared" si="33"/>
        <v>0.33314447796106411</v>
      </c>
      <c r="N214" s="10">
        <f t="shared" si="34"/>
        <v>4.6631509961739259E-2</v>
      </c>
      <c r="O214" s="10">
        <f t="shared" si="35"/>
        <v>0.14484508295571363</v>
      </c>
      <c r="P214" s="66">
        <f t="shared" si="36"/>
        <v>2</v>
      </c>
      <c r="Q214" s="10">
        <f t="shared" si="37"/>
        <v>9.0006908610405919E-4</v>
      </c>
    </row>
    <row r="215" spans="9:17">
      <c r="I215" s="66">
        <v>39.799999999999997</v>
      </c>
      <c r="J215" s="10">
        <f t="shared" si="30"/>
        <v>0.5382706727773009</v>
      </c>
      <c r="K215" s="10">
        <f t="shared" si="31"/>
        <v>0.60976884409249532</v>
      </c>
      <c r="L215" s="10">
        <f t="shared" si="32"/>
        <v>0.99801197873722003</v>
      </c>
      <c r="M215" s="10">
        <f t="shared" si="33"/>
        <v>0.32756817624575513</v>
      </c>
      <c r="N215" s="10">
        <f t="shared" si="34"/>
        <v>4.7308710424168385E-2</v>
      </c>
      <c r="O215" s="10">
        <f t="shared" si="35"/>
        <v>0.14343855352130636</v>
      </c>
      <c r="P215" s="66">
        <f t="shared" si="36"/>
        <v>4</v>
      </c>
      <c r="Q215" s="10">
        <f t="shared" si="37"/>
        <v>1.7782740733233216E-3</v>
      </c>
    </row>
    <row r="216" spans="9:17">
      <c r="I216" s="66">
        <v>40</v>
      </c>
      <c r="J216" s="10">
        <f t="shared" si="30"/>
        <v>0.5331704996388873</v>
      </c>
      <c r="K216" s="10">
        <f t="shared" si="31"/>
        <v>0.60515520641327103</v>
      </c>
      <c r="L216" s="10">
        <f t="shared" si="32"/>
        <v>0.99800199866733308</v>
      </c>
      <c r="M216" s="10">
        <f t="shared" si="33"/>
        <v>0.32200624682673418</v>
      </c>
      <c r="N216" s="10">
        <f t="shared" si="34"/>
        <v>4.7995777185405222E-2</v>
      </c>
      <c r="O216" s="10">
        <f t="shared" si="35"/>
        <v>0.14204568230027784</v>
      </c>
      <c r="P216" s="66">
        <f t="shared" si="36"/>
        <v>2</v>
      </c>
      <c r="Q216" s="10">
        <f t="shared" si="37"/>
        <v>8.7812300314557036E-4</v>
      </c>
    </row>
    <row r="217" spans="9:17">
      <c r="I217" s="66">
        <v>40.200000000000003</v>
      </c>
      <c r="J217" s="10">
        <f t="shared" si="30"/>
        <v>0.5280455583250665</v>
      </c>
      <c r="K217" s="10">
        <f t="shared" si="31"/>
        <v>0.60051019950151507</v>
      </c>
      <c r="L217" s="10">
        <f t="shared" si="32"/>
        <v>0.9979920186972463</v>
      </c>
      <c r="M217" s="10">
        <f t="shared" si="33"/>
        <v>0.31646001924341055</v>
      </c>
      <c r="N217" s="10">
        <f t="shared" si="34"/>
        <v>4.8692853989964847E-2</v>
      </c>
      <c r="O217" s="10">
        <f t="shared" si="35"/>
        <v>0.1406663366634851</v>
      </c>
      <c r="P217" s="66">
        <f t="shared" si="36"/>
        <v>4</v>
      </c>
      <c r="Q217" s="10">
        <f t="shared" si="37"/>
        <v>1.7340604965632397E-3</v>
      </c>
    </row>
    <row r="218" spans="9:17">
      <c r="I218" s="66">
        <v>40.4</v>
      </c>
      <c r="J218" s="10">
        <f t="shared" si="30"/>
        <v>0.52289644425076232</v>
      </c>
      <c r="K218" s="10">
        <f t="shared" si="31"/>
        <v>0.5958341273750245</v>
      </c>
      <c r="L218" s="10">
        <f t="shared" si="32"/>
        <v>0.99798203882695879</v>
      </c>
      <c r="M218" s="10">
        <f t="shared" si="33"/>
        <v>0.31093083149959228</v>
      </c>
      <c r="N218" s="10">
        <f t="shared" si="34"/>
        <v>4.940008667661145E-2</v>
      </c>
      <c r="O218" s="10">
        <f t="shared" si="35"/>
        <v>0.13930038526969199</v>
      </c>
      <c r="P218" s="66">
        <f t="shared" si="36"/>
        <v>2</v>
      </c>
      <c r="Q218" s="10">
        <f t="shared" si="37"/>
        <v>8.5586212577571058E-4</v>
      </c>
    </row>
    <row r="219" spans="9:17">
      <c r="I219" s="66">
        <v>40.6</v>
      </c>
      <c r="J219" s="10">
        <f t="shared" si="30"/>
        <v>0.51772377291242466</v>
      </c>
      <c r="K219" s="10">
        <f t="shared" si="31"/>
        <v>0.59112731063971768</v>
      </c>
      <c r="L219" s="10">
        <f t="shared" si="32"/>
        <v>0.99797205905646946</v>
      </c>
      <c r="M219" s="10">
        <f t="shared" si="33"/>
        <v>0.30542002914805549</v>
      </c>
      <c r="N219" s="10">
        <f t="shared" si="34"/>
        <v>5.0117623208869706E-2</v>
      </c>
      <c r="O219" s="10">
        <f t="shared" si="35"/>
        <v>0.13794769805306059</v>
      </c>
      <c r="P219" s="66">
        <f t="shared" si="36"/>
        <v>4</v>
      </c>
      <c r="Q219" s="10">
        <f t="shared" si="37"/>
        <v>1.6892441582950718E-3</v>
      </c>
    </row>
    <row r="220" spans="9:17">
      <c r="I220" s="66">
        <v>40.799999999999997</v>
      </c>
      <c r="J220" s="10">
        <f t="shared" si="30"/>
        <v>0.51252818001978107</v>
      </c>
      <c r="K220" s="10">
        <f t="shared" si="31"/>
        <v>0.58639008675390936</v>
      </c>
      <c r="L220" s="10">
        <f t="shared" si="32"/>
        <v>0.9979620793857773</v>
      </c>
      <c r="M220" s="10">
        <f t="shared" si="33"/>
        <v>0.29992896434157768</v>
      </c>
      <c r="N220" s="10">
        <f t="shared" si="34"/>
        <v>5.0845613705981021E-2</v>
      </c>
      <c r="O220" s="10">
        <f t="shared" si="35"/>
        <v>0.13660814621076794</v>
      </c>
      <c r="P220" s="66">
        <f t="shared" si="36"/>
        <v>2</v>
      </c>
      <c r="Q220" s="10">
        <f t="shared" si="37"/>
        <v>8.3331364041556511E-4</v>
      </c>
    </row>
    <row r="221" spans="9:17">
      <c r="I221" s="66">
        <v>41</v>
      </c>
      <c r="J221" s="10">
        <f t="shared" si="30"/>
        <v>0.50731032161394196</v>
      </c>
      <c r="K221" s="10">
        <f t="shared" si="31"/>
        <v>0.58162281028794394</v>
      </c>
      <c r="L221" s="10">
        <f t="shared" si="32"/>
        <v>0.99795209981488142</v>
      </c>
      <c r="M221" s="10">
        <f t="shared" si="33"/>
        <v>0.29445899485075766</v>
      </c>
      <c r="N221" s="10">
        <f t="shared" si="34"/>
        <v>5.1584210474310624E-2</v>
      </c>
      <c r="O221" s="10">
        <f t="shared" si="35"/>
        <v>0.13528160219074079</v>
      </c>
      <c r="P221" s="66">
        <f t="shared" si="36"/>
        <v>4</v>
      </c>
      <c r="Q221" s="10">
        <f t="shared" si="37"/>
        <v>1.6438808572601007E-3</v>
      </c>
    </row>
    <row r="222" spans="9:17">
      <c r="I222" s="66">
        <v>41.2</v>
      </c>
      <c r="J222" s="10">
        <f t="shared" si="30"/>
        <v>0.50207087417119101</v>
      </c>
      <c r="K222" s="10">
        <f t="shared" si="31"/>
        <v>0.57682585317873347</v>
      </c>
      <c r="L222" s="10">
        <f t="shared" si="32"/>
        <v>0.99794212034378071</v>
      </c>
      <c r="M222" s="10">
        <f t="shared" si="33"/>
        <v>0.28901148304904622</v>
      </c>
      <c r="N222" s="10">
        <f t="shared" si="34"/>
        <v>5.2333568039212214E-2</v>
      </c>
      <c r="O222" s="10">
        <f t="shared" si="35"/>
        <v>0.13396793967950962</v>
      </c>
      <c r="P222" s="66">
        <f t="shared" si="36"/>
        <v>2</v>
      </c>
      <c r="Q222" s="10">
        <f t="shared" si="37"/>
        <v>8.1050614825112894E-4</v>
      </c>
    </row>
    <row r="223" spans="9:17">
      <c r="I223" s="66">
        <v>41.4</v>
      </c>
      <c r="J223" s="10">
        <f t="shared" si="30"/>
        <v>0.49681053469176339</v>
      </c>
      <c r="K223" s="10">
        <f t="shared" si="31"/>
        <v>0.57199960497870483</v>
      </c>
      <c r="L223" s="10">
        <f t="shared" si="32"/>
        <v>0.99793214097247418</v>
      </c>
      <c r="M223" s="10">
        <f t="shared" si="33"/>
        <v>0.28358779486546298</v>
      </c>
      <c r="N223" s="10">
        <f t="shared" si="34"/>
        <v>5.3093843177357304E-2</v>
      </c>
      <c r="O223" s="10">
        <f t="shared" si="35"/>
        <v>0.13266703359018286</v>
      </c>
      <c r="P223" s="66">
        <f t="shared" si="36"/>
        <v>4</v>
      </c>
      <c r="Q223" s="10">
        <f t="shared" si="37"/>
        <v>1.5980291747384149E-3</v>
      </c>
    </row>
    <row r="224" spans="9:17">
      <c r="I224" s="66">
        <v>41.6</v>
      </c>
      <c r="J224" s="10">
        <f t="shared" si="30"/>
        <v>0.49153002077292912</v>
      </c>
      <c r="K224" s="10">
        <f t="shared" si="31"/>
        <v>0.567144473098674</v>
      </c>
      <c r="L224" s="10">
        <f t="shared" si="32"/>
        <v>0.99792216170096093</v>
      </c>
      <c r="M224" s="10">
        <f t="shared" si="33"/>
        <v>0.278189298705594</v>
      </c>
      <c r="N224" s="10">
        <f t="shared" si="34"/>
        <v>5.3865194949534935E-2</v>
      </c>
      <c r="O224" s="10">
        <f t="shared" si="35"/>
        <v>0.13137876005053389</v>
      </c>
      <c r="P224" s="66">
        <f t="shared" si="36"/>
        <v>2</v>
      </c>
      <c r="Q224" s="10">
        <f t="shared" si="37"/>
        <v>7.8746961576506118E-4</v>
      </c>
    </row>
    <row r="225" spans="9:17">
      <c r="I225" s="66">
        <v>41.8</v>
      </c>
      <c r="J225" s="10">
        <f t="shared" si="30"/>
        <v>0.48623007066567431</v>
      </c>
      <c r="K225" s="10">
        <f t="shared" si="31"/>
        <v>0.56226088304413202</v>
      </c>
      <c r="L225" s="10">
        <f t="shared" si="32"/>
        <v>0.99791218252923986</v>
      </c>
      <c r="M225" s="10">
        <f t="shared" si="33"/>
        <v>0.27281736434153081</v>
      </c>
      <c r="N225" s="10">
        <f t="shared" si="34"/>
        <v>5.4647784733929589E-2</v>
      </c>
      <c r="O225" s="10">
        <f t="shared" si="35"/>
        <v>0.13010299639120756</v>
      </c>
      <c r="P225" s="66">
        <f t="shared" si="36"/>
        <v>4</v>
      </c>
      <c r="Q225" s="10">
        <f t="shared" si="37"/>
        <v>1.5517503656147522E-3</v>
      </c>
    </row>
    <row r="226" spans="9:17">
      <c r="I226" s="66">
        <v>42</v>
      </c>
      <c r="J226" s="10">
        <f t="shared" si="30"/>
        <v>0.48091144331426822</v>
      </c>
      <c r="K226" s="10">
        <f t="shared" si="31"/>
        <v>0.55734927864441408</v>
      </c>
      <c r="L226" s="10">
        <f t="shared" si="32"/>
        <v>0.99790220345730996</v>
      </c>
      <c r="M226" s="10">
        <f t="shared" si="33"/>
        <v>0.26747336177150655</v>
      </c>
      <c r="N226" s="10">
        <f t="shared" si="34"/>
        <v>5.5441776259883918E-2</v>
      </c>
      <c r="O226" s="10">
        <f t="shared" si="35"/>
        <v>0.12883962113403885</v>
      </c>
      <c r="P226" s="66">
        <f t="shared" si="36"/>
        <v>2</v>
      </c>
      <c r="Q226" s="10">
        <f t="shared" si="37"/>
        <v>7.6423531518561875E-4</v>
      </c>
    </row>
    <row r="227" spans="9:17">
      <c r="I227" s="66">
        <v>42.2</v>
      </c>
      <c r="J227" s="10">
        <f t="shared" si="30"/>
        <v>0.47557491837801175</v>
      </c>
      <c r="K227" s="10">
        <f t="shared" si="31"/>
        <v>0.5524101222742257</v>
      </c>
      <c r="L227" s="10">
        <f t="shared" si="32"/>
        <v>0.99789222448517034</v>
      </c>
      <c r="M227" s="10">
        <f t="shared" si="33"/>
        <v>0.2621586600500948</v>
      </c>
      <c r="N227" s="10">
        <f t="shared" si="34"/>
        <v>5.6247335642153076E-2</v>
      </c>
      <c r="O227" s="10">
        <f t="shared" si="35"/>
        <v>0.12758851398048535</v>
      </c>
      <c r="P227" s="66">
        <f t="shared" si="36"/>
        <v>4</v>
      </c>
      <c r="Q227" s="10">
        <f t="shared" si="37"/>
        <v>1.5051082289530232E-3</v>
      </c>
    </row>
    <row r="228" spans="9:17">
      <c r="I228" s="66">
        <v>42.4</v>
      </c>
      <c r="J228" s="10">
        <f t="shared" si="30"/>
        <v>0.47022129623443593</v>
      </c>
      <c r="K228" s="10">
        <f t="shared" si="31"/>
        <v>0.54744389506695501</v>
      </c>
      <c r="L228" s="10">
        <f t="shared" si="32"/>
        <v>0.99788224561281991</v>
      </c>
      <c r="M228" s="10">
        <f t="shared" si="33"/>
        <v>0.25687462608990308</v>
      </c>
      <c r="N228" s="10">
        <f t="shared" si="34"/>
        <v>5.7064631415659102E-2</v>
      </c>
      <c r="O228" s="10">
        <f t="shared" si="35"/>
        <v>0.12634955580017412</v>
      </c>
      <c r="P228" s="66">
        <f t="shared" si="36"/>
        <v>2</v>
      </c>
      <c r="Q228" s="10">
        <f t="shared" si="37"/>
        <v>7.4083575454260463E-4</v>
      </c>
    </row>
    <row r="229" spans="9:17">
      <c r="I229" s="66">
        <v>42.6</v>
      </c>
      <c r="J229" s="10">
        <f t="shared" si="30"/>
        <v>0.46485139796324193</v>
      </c>
      <c r="K229" s="10">
        <f t="shared" si="31"/>
        <v>0.54245109711922279</v>
      </c>
      <c r="L229" s="10">
        <f t="shared" si="32"/>
        <v>0.99787226684025776</v>
      </c>
      <c r="M229" s="10">
        <f t="shared" si="33"/>
        <v>0.25162262343582742</v>
      </c>
      <c r="N229" s="10">
        <f t="shared" si="34"/>
        <v>5.789383457075005E-2</v>
      </c>
      <c r="O229" s="10">
        <f t="shared" si="35"/>
        <v>0.12512262861955606</v>
      </c>
      <c r="P229" s="66">
        <f t="shared" si="36"/>
        <v>4</v>
      </c>
      <c r="Q229" s="10">
        <f t="shared" si="37"/>
        <v>1.458168957523533E-3</v>
      </c>
    </row>
    <row r="230" spans="9:17">
      <c r="I230" s="66">
        <v>42.8</v>
      </c>
      <c r="J230" s="10">
        <f t="shared" si="30"/>
        <v>0.45946606531024936</v>
      </c>
      <c r="K230" s="10">
        <f t="shared" si="31"/>
        <v>0.53743224768607722</v>
      </c>
      <c r="L230" s="10">
        <f t="shared" si="32"/>
        <v>0.99786228816748279</v>
      </c>
      <c r="M230" s="10">
        <f t="shared" si="33"/>
        <v>0.24640401101300358</v>
      </c>
      <c r="N230" s="10">
        <f t="shared" si="34"/>
        <v>5.873511858897431E-2</v>
      </c>
      <c r="O230" s="10">
        <f t="shared" si="35"/>
        <v>0.12390761561067386</v>
      </c>
      <c r="P230" s="66">
        <f t="shared" si="36"/>
        <v>2</v>
      </c>
      <c r="Q230" s="10">
        <f t="shared" si="37"/>
        <v>7.1730459708681574E-4</v>
      </c>
    </row>
    <row r="231" spans="9:17">
      <c r="I231" s="66">
        <v>43</v>
      </c>
      <c r="J231" s="10">
        <f t="shared" si="30"/>
        <v>0.4540661606306296</v>
      </c>
      <c r="K231" s="10">
        <f t="shared" si="31"/>
        <v>0.53238788536624204</v>
      </c>
      <c r="L231" s="10">
        <f t="shared" si="32"/>
        <v>0.99785230959449411</v>
      </c>
      <c r="M231" s="10">
        <f t="shared" si="33"/>
        <v>0.24122014184970866</v>
      </c>
      <c r="N231" s="10">
        <f t="shared" si="34"/>
        <v>5.9588659479375208E-2</v>
      </c>
      <c r="O231" s="10">
        <f t="shared" si="35"/>
        <v>0.12270440108003698</v>
      </c>
      <c r="P231" s="66">
        <f t="shared" si="36"/>
        <v>4</v>
      </c>
      <c r="Q231" s="10">
        <f t="shared" si="37"/>
        <v>1.4110009658695186E-3</v>
      </c>
    </row>
    <row r="232" spans="9:17">
      <c r="I232" s="66">
        <v>43.2</v>
      </c>
      <c r="J232" s="10">
        <f t="shared" si="30"/>
        <v>0.44865256681070742</v>
      </c>
      <c r="K232" s="10">
        <f t="shared" si="31"/>
        <v>0.52731856827681667</v>
      </c>
      <c r="L232" s="10">
        <f t="shared" si="32"/>
        <v>0.99784233112129062</v>
      </c>
      <c r="M232" s="10">
        <f t="shared" si="33"/>
        <v>0.23607236177657298</v>
      </c>
      <c r="N232" s="10">
        <f t="shared" si="34"/>
        <v>6.0454635815314552E-2</v>
      </c>
      <c r="O232" s="10">
        <f t="shared" si="35"/>
        <v>0.12151287045760505</v>
      </c>
      <c r="P232" s="66">
        <f t="shared" si="36"/>
        <v>2</v>
      </c>
      <c r="Q232" s="10">
        <f t="shared" si="37"/>
        <v>6.9367656990558838E-4</v>
      </c>
    </row>
    <row r="233" spans="9:17">
      <c r="I233" s="66">
        <v>43.4</v>
      </c>
      <c r="J233" s="10">
        <f t="shared" si="30"/>
        <v>0.44322618716759593</v>
      </c>
      <c r="K233" s="10">
        <f t="shared" si="31"/>
        <v>0.52222487421679775</v>
      </c>
      <c r="L233" s="10">
        <f t="shared" si="32"/>
        <v>0.9978323527478713</v>
      </c>
      <c r="M233" s="10">
        <f t="shared" si="33"/>
        <v>0.23096200810355011</v>
      </c>
      <c r="N233" s="10">
        <f t="shared" si="34"/>
        <v>6.1333228771833538E-2</v>
      </c>
      <c r="O233" s="10">
        <f t="shared" si="35"/>
        <v>0.12033291028588011</v>
      </c>
      <c r="P233" s="66">
        <f t="shared" si="36"/>
        <v>4</v>
      </c>
      <c r="Q233" s="10">
        <f t="shared" si="37"/>
        <v>1.3636746966618112E-3</v>
      </c>
    </row>
    <row r="234" spans="9:17">
      <c r="I234" s="66">
        <v>43.6</v>
      </c>
      <c r="J234" s="10">
        <f t="shared" si="30"/>
        <v>0.43778794532596194</v>
      </c>
      <c r="K234" s="10">
        <f t="shared" si="31"/>
        <v>0.51710740081880258</v>
      </c>
      <c r="L234" s="10">
        <f t="shared" si="32"/>
        <v>0.99782237447423527</v>
      </c>
      <c r="M234" s="10">
        <f t="shared" si="33"/>
        <v>0.22589040827622306</v>
      </c>
      <c r="N234" s="10">
        <f t="shared" si="34"/>
        <v>6.2224622163556308E-2</v>
      </c>
      <c r="O234" s="10">
        <f t="shared" si="35"/>
        <v>0.11916440820910104</v>
      </c>
      <c r="P234" s="66">
        <f t="shared" si="36"/>
        <v>2</v>
      </c>
      <c r="Q234" s="10">
        <f t="shared" si="37"/>
        <v>6.6998736165306062E-4</v>
      </c>
    </row>
    <row r="235" spans="9:17">
      <c r="I235" s="66">
        <v>43.8</v>
      </c>
      <c r="J235" s="10">
        <f t="shared" si="30"/>
        <v>0.43233878507119844</v>
      </c>
      <c r="K235" s="10">
        <f t="shared" si="31"/>
        <v>0.5119667656883421</v>
      </c>
      <c r="L235" s="10">
        <f t="shared" si="32"/>
        <v>0.99781239630038154</v>
      </c>
      <c r="M235" s="10">
        <f t="shared" si="33"/>
        <v>0.22085887851310929</v>
      </c>
      <c r="N235" s="10">
        <f t="shared" si="34"/>
        <v>6.3129002483147373E-2</v>
      </c>
      <c r="O235" s="10">
        <f t="shared" si="35"/>
        <v>0.11800725296254651</v>
      </c>
      <c r="P235" s="66">
        <f t="shared" si="36"/>
        <v>4</v>
      </c>
      <c r="Q235" s="10">
        <f t="shared" si="37"/>
        <v>1.3162624052719632E-3</v>
      </c>
    </row>
    <row r="236" spans="9:17">
      <c r="I236" s="66">
        <v>44</v>
      </c>
      <c r="J236" s="10">
        <f t="shared" si="30"/>
        <v>0.42687967017830353</v>
      </c>
      <c r="K236" s="10">
        <f t="shared" si="31"/>
        <v>0.50680360652999212</v>
      </c>
      <c r="L236" s="10">
        <f t="shared" si="32"/>
        <v>0.997802418226309</v>
      </c>
      <c r="M236" s="10">
        <f t="shared" si="33"/>
        <v>0.21586872242574703</v>
      </c>
      <c r="N236" s="10">
        <f t="shared" si="34"/>
        <v>6.4046558940328333E-2</v>
      </c>
      <c r="O236" s="10">
        <f t="shared" si="35"/>
        <v>0.11686133436193999</v>
      </c>
      <c r="P236" s="66">
        <f t="shared" si="36"/>
        <v>2</v>
      </c>
      <c r="Q236" s="10">
        <f t="shared" si="37"/>
        <v>6.4627350940922915E-4</v>
      </c>
    </row>
    <row r="237" spans="9:17">
      <c r="I237" s="66">
        <v>44.2</v>
      </c>
      <c r="J237" s="10">
        <f t="shared" si="30"/>
        <v>0.42141158421577118</v>
      </c>
      <c r="K237" s="10">
        <f t="shared" si="31"/>
        <v>0.5016185812597993</v>
      </c>
      <c r="L237" s="10">
        <f t="shared" si="32"/>
        <v>0.99779244025201663</v>
      </c>
      <c r="M237" s="10">
        <f t="shared" si="33"/>
        <v>0.21092122962345081</v>
      </c>
      <c r="N237" s="10">
        <f t="shared" si="34"/>
        <v>6.4977483501463151E-2</v>
      </c>
      <c r="O237" s="10">
        <f t="shared" si="35"/>
        <v>0.11572654329295723</v>
      </c>
      <c r="P237" s="66">
        <f t="shared" si="36"/>
        <v>4</v>
      </c>
      <c r="Q237" s="10">
        <f t="shared" si="37"/>
        <v>1.2688379226946734E-3</v>
      </c>
    </row>
    <row r="238" spans="9:17">
      <c r="I238" s="66">
        <v>44.4</v>
      </c>
      <c r="J238" s="10">
        <f t="shared" si="30"/>
        <v>0.41593553032380198</v>
      </c>
      <c r="K238" s="10">
        <f t="shared" si="31"/>
        <v>0.49641236810324241</v>
      </c>
      <c r="L238" s="10">
        <f t="shared" si="32"/>
        <v>0.99778246237750357</v>
      </c>
      <c r="M238" s="10">
        <f t="shared" si="33"/>
        <v>0.20601767430472356</v>
      </c>
      <c r="N238" s="10">
        <f t="shared" si="34"/>
        <v>6.5921970929721047E-2</v>
      </c>
      <c r="O238" s="10">
        <f t="shared" si="35"/>
        <v>0.11460277170083819</v>
      </c>
      <c r="P238" s="66">
        <f t="shared" si="36"/>
        <v>2</v>
      </c>
      <c r="Q238" s="10">
        <f t="shared" si="37"/>
        <v>6.2257227478696819E-4</v>
      </c>
    </row>
    <row r="239" spans="9:17">
      <c r="I239" s="66">
        <v>44.6</v>
      </c>
      <c r="J239" s="10">
        <f t="shared" si="30"/>
        <v>0.41045253096617396</v>
      </c>
      <c r="K239" s="10">
        <f t="shared" si="31"/>
        <v>0.49118566567807215</v>
      </c>
      <c r="L239" s="10">
        <f t="shared" si="32"/>
        <v>0.99777248460276879</v>
      </c>
      <c r="M239" s="10">
        <f t="shared" si="33"/>
        <v>0.20115931383743399</v>
      </c>
      <c r="N239" s="10">
        <f t="shared" si="34"/>
        <v>6.6880218825823012E-2</v>
      </c>
      <c r="O239" s="10">
        <f t="shared" si="35"/>
        <v>0.11348991258009621</v>
      </c>
      <c r="P239" s="66">
        <f t="shared" si="36"/>
        <v>4</v>
      </c>
      <c r="Q239" s="10">
        <f t="shared" si="37"/>
        <v>1.2214763971697526E-3</v>
      </c>
    </row>
    <row r="240" spans="9:17">
      <c r="I240" s="66">
        <v>44.8</v>
      </c>
      <c r="J240" s="10">
        <f t="shared" si="30"/>
        <v>0.40496362765510319</v>
      </c>
      <c r="K240" s="10">
        <f t="shared" si="31"/>
        <v>0.48593919306133265</v>
      </c>
      <c r="L240" s="10">
        <f t="shared" si="32"/>
        <v>0.99776250692781121</v>
      </c>
      <c r="M240" s="10">
        <f t="shared" si="33"/>
        <v>0.19634738732995508</v>
      </c>
      <c r="N240" s="10">
        <f t="shared" si="34"/>
        <v>6.7852427669383431E-2</v>
      </c>
      <c r="O240" s="10">
        <f t="shared" si="35"/>
        <v>0.11238785996433004</v>
      </c>
      <c r="P240" s="66">
        <f t="shared" si="36"/>
        <v>2</v>
      </c>
      <c r="Q240" s="10">
        <f t="shared" si="37"/>
        <v>5.9892150952022493E-4</v>
      </c>
    </row>
    <row r="241" spans="9:17">
      <c r="I241" s="66">
        <v>45</v>
      </c>
      <c r="J241" s="10">
        <f t="shared" si="30"/>
        <v>0.39946988064846473</v>
      </c>
      <c r="K241" s="10">
        <f t="shared" si="31"/>
        <v>0.48067368983986675</v>
      </c>
      <c r="L241" s="10">
        <f t="shared" si="32"/>
        <v>0.99775252935262992</v>
      </c>
      <c r="M241" s="10">
        <f t="shared" si="33"/>
        <v>0.19158311419557764</v>
      </c>
      <c r="N241" s="10">
        <f t="shared" si="34"/>
        <v>6.8838800860852964E-2</v>
      </c>
      <c r="O241" s="10">
        <f t="shared" si="35"/>
        <v>0.1112965089161333</v>
      </c>
      <c r="P241" s="66">
        <f t="shared" si="36"/>
        <v>4</v>
      </c>
      <c r="Q241" s="10">
        <f t="shared" si="37"/>
        <v>1.1742540150905855E-3</v>
      </c>
    </row>
    <row r="242" spans="9:17">
      <c r="I242" s="66">
        <v>45.2</v>
      </c>
      <c r="J242" s="10">
        <f t="shared" si="30"/>
        <v>0.39397236861875123</v>
      </c>
      <c r="K242" s="10">
        <f t="shared" si="31"/>
        <v>0.47538991614360399</v>
      </c>
      <c r="L242" s="10">
        <f t="shared" si="32"/>
        <v>0.99774255187722383</v>
      </c>
      <c r="M242" s="10">
        <f t="shared" si="33"/>
        <v>0.18686769271261006</v>
      </c>
      <c r="N242" s="10">
        <f t="shared" si="34"/>
        <v>6.9839544764072878E-2</v>
      </c>
      <c r="O242" s="10">
        <f t="shared" si="35"/>
        <v>0.11021575551710211</v>
      </c>
      <c r="P242" s="66">
        <f t="shared" si="36"/>
        <v>2</v>
      </c>
      <c r="Q242" s="10">
        <f t="shared" si="37"/>
        <v>5.7535951088916843E-4</v>
      </c>
    </row>
    <row r="243" spans="9:17">
      <c r="I243" s="66">
        <v>45.4</v>
      </c>
      <c r="J243" s="10">
        <f t="shared" si="30"/>
        <v>0.38847218829316599</v>
      </c>
      <c r="K243" s="10">
        <f t="shared" si="31"/>
        <v>0.47008865266091215</v>
      </c>
      <c r="L243" s="10">
        <f t="shared" si="32"/>
        <v>0.99773257450159203</v>
      </c>
      <c r="M243" s="10">
        <f t="shared" si="33"/>
        <v>0.18220229858266818</v>
      </c>
      <c r="N243" s="10">
        <f t="shared" si="34"/>
        <v>7.0854868749450128E-2</v>
      </c>
      <c r="O243" s="10">
        <f t="shared" si="35"/>
        <v>0.10914549685794117</v>
      </c>
      <c r="P243" s="66">
        <f t="shared" si="36"/>
        <v>4</v>
      </c>
      <c r="Q243" s="10">
        <f t="shared" si="37"/>
        <v>1.127247702039114E-3</v>
      </c>
    </row>
    <row r="244" spans="9:17">
      <c r="I244" s="66">
        <v>45.6</v>
      </c>
      <c r="J244" s="10">
        <f t="shared" si="30"/>
        <v>0.38297045406428698</v>
      </c>
      <c r="K244" s="10">
        <f t="shared" si="31"/>
        <v>0.46477070063530929</v>
      </c>
      <c r="L244" s="10">
        <f t="shared" si="32"/>
        <v>0.99772259722573342</v>
      </c>
      <c r="M244" s="10">
        <f t="shared" si="33"/>
        <v>0.17758808348977176</v>
      </c>
      <c r="N244" s="10">
        <f t="shared" si="34"/>
        <v>7.1884985237759755E-2</v>
      </c>
      <c r="O244" s="10">
        <f t="shared" si="35"/>
        <v>0.10808563102866305</v>
      </c>
      <c r="P244" s="66">
        <f t="shared" si="36"/>
        <v>2</v>
      </c>
      <c r="Q244" s="10">
        <f t="shared" si="37"/>
        <v>5.519248674683738E-4</v>
      </c>
    </row>
    <row r="245" spans="9:17">
      <c r="I245" s="66">
        <v>45.8</v>
      </c>
      <c r="J245" s="10">
        <f t="shared" si="30"/>
        <v>0.37746829757074829</v>
      </c>
      <c r="K245" s="10">
        <f t="shared" si="31"/>
        <v>0.45943688184281206</v>
      </c>
      <c r="L245" s="10">
        <f t="shared" si="32"/>
        <v>0.99771262004964711</v>
      </c>
      <c r="M245" s="10">
        <f t="shared" si="33"/>
        <v>0.1730261736629426</v>
      </c>
      <c r="N245" s="10">
        <f t="shared" si="34"/>
        <v>7.293010974458719E-2</v>
      </c>
      <c r="O245" s="10">
        <f t="shared" si="35"/>
        <v>0.10703605710888574</v>
      </c>
      <c r="P245" s="66">
        <f t="shared" si="36"/>
        <v>4</v>
      </c>
      <c r="Q245" s="10">
        <f t="shared" si="37"/>
        <v>1.0805348050548468E-3</v>
      </c>
    </row>
    <row r="246" spans="9:17">
      <c r="I246" s="66">
        <v>46</v>
      </c>
      <c r="J246" s="10">
        <f t="shared" si="30"/>
        <v>0.37196686724742217</v>
      </c>
      <c r="K246" s="10">
        <f t="shared" si="31"/>
        <v>0.45408803854920071</v>
      </c>
      <c r="L246" s="10">
        <f t="shared" si="32"/>
        <v>0.99770264297333211</v>
      </c>
      <c r="M246" s="10">
        <f t="shared" si="33"/>
        <v>0.16851766844509378</v>
      </c>
      <c r="N246" s="10">
        <f t="shared" si="34"/>
        <v>7.3990460925416918E-2</v>
      </c>
      <c r="O246" s="10">
        <f t="shared" si="35"/>
        <v>0.10599667515822221</v>
      </c>
      <c r="P246" s="66">
        <f t="shared" si="36"/>
        <v>2</v>
      </c>
      <c r="Q246" s="10">
        <f t="shared" si="37"/>
        <v>5.2865629582093303E-4</v>
      </c>
    </row>
    <row r="247" spans="9:17">
      <c r="I247" s="66">
        <v>46.2</v>
      </c>
      <c r="J247" s="10">
        <f t="shared" si="30"/>
        <v>0.36646732784462177</v>
      </c>
      <c r="K247" s="10">
        <f t="shared" si="31"/>
        <v>0.44872503344648851</v>
      </c>
      <c r="L247" s="10">
        <f t="shared" si="32"/>
        <v>0.99769266599678741</v>
      </c>
      <c r="M247" s="10">
        <f t="shared" si="33"/>
        <v>0.16406363887109243</v>
      </c>
      <c r="N247" s="10">
        <f t="shared" si="34"/>
        <v>7.5066260621378347E-2</v>
      </c>
      <c r="O247" s="10">
        <f t="shared" si="35"/>
        <v>0.10496738620676389</v>
      </c>
      <c r="P247" s="66">
        <f t="shared" si="36"/>
        <v>4</v>
      </c>
      <c r="Q247" s="10">
        <f t="shared" si="37"/>
        <v>1.0341927575247859E-3</v>
      </c>
    </row>
    <row r="248" spans="9:17">
      <c r="I248" s="66">
        <v>46.4</v>
      </c>
      <c r="J248" s="10">
        <f t="shared" si="30"/>
        <v>0.36097085991586703</v>
      </c>
      <c r="K248" s="10">
        <f t="shared" si="31"/>
        <v>0.44334874956786863</v>
      </c>
      <c r="L248" s="10">
        <f t="shared" si="32"/>
        <v>0.9976826891200119</v>
      </c>
      <c r="M248" s="10">
        <f t="shared" si="33"/>
        <v>0.15966512625794466</v>
      </c>
      <c r="N248" s="10">
        <f t="shared" si="34"/>
        <v>7.61577339056589E-2</v>
      </c>
      <c r="O248" s="10">
        <f t="shared" si="35"/>
        <v>0.10394809224565824</v>
      </c>
      <c r="P248" s="66">
        <f t="shared" si="36"/>
        <v>2</v>
      </c>
      <c r="Q248" s="10">
        <f t="shared" si="37"/>
        <v>5.0559246890366798E-4</v>
      </c>
    </row>
    <row r="249" spans="9:17">
      <c r="I249" s="66">
        <v>46.6</v>
      </c>
      <c r="J249" s="10">
        <f t="shared" si="30"/>
        <v>0.35547865927380956</v>
      </c>
      <c r="K249" s="10">
        <f t="shared" si="31"/>
        <v>0.43796009018043291</v>
      </c>
      <c r="L249" s="10">
        <f t="shared" si="32"/>
        <v>0.99767271234300459</v>
      </c>
      <c r="M249" s="10">
        <f t="shared" si="33"/>
        <v>0.15532314081014317</v>
      </c>
      <c r="N249" s="10">
        <f t="shared" si="34"/>
        <v>7.726510913059173E-2</v>
      </c>
      <c r="O249" s="10">
        <f t="shared" si="35"/>
        <v>0.10293869621777431</v>
      </c>
      <c r="P249" s="66">
        <f t="shared" si="36"/>
        <v>4</v>
      </c>
      <c r="Q249" s="10">
        <f t="shared" si="37"/>
        <v>9.8829872836985887E-4</v>
      </c>
    </row>
    <row r="250" spans="9:17">
      <c r="I250" s="66">
        <v>46.8</v>
      </c>
      <c r="J250" s="10">
        <f t="shared" si="30"/>
        <v>0.34999193641394144</v>
      </c>
      <c r="K250" s="10">
        <f t="shared" si="31"/>
        <v>0.43255997865494666</v>
      </c>
      <c r="L250" s="10">
        <f t="shared" si="32"/>
        <v>0.99766273566576469</v>
      </c>
      <c r="M250" s="10">
        <f t="shared" si="33"/>
        <v>0.15103866024327528</v>
      </c>
      <c r="N250" s="10">
        <f t="shared" si="34"/>
        <v>7.838861797543116E-2</v>
      </c>
      <c r="O250" s="10">
        <f t="shared" si="35"/>
        <v>0.10193910200846261</v>
      </c>
      <c r="P250" s="66">
        <f t="shared" si="36"/>
        <v>2</v>
      </c>
      <c r="Q250" s="10">
        <f t="shared" si="37"/>
        <v>4.8277183709459682E-4</v>
      </c>
    </row>
    <row r="251" spans="9:17">
      <c r="I251" s="66">
        <v>47</v>
      </c>
      <c r="J251" s="10">
        <f t="shared" si="30"/>
        <v>0.34451191590575486</v>
      </c>
      <c r="K251" s="10">
        <f t="shared" si="31"/>
        <v>0.42714935831197265</v>
      </c>
      <c r="L251" s="10">
        <f t="shared" si="32"/>
        <v>0.99765275908829099</v>
      </c>
      <c r="M251" s="10">
        <f t="shared" si="33"/>
        <v>0.14681262842905363</v>
      </c>
      <c r="N251" s="10">
        <f t="shared" si="34"/>
        <v>7.9528495494823201E-2</v>
      </c>
      <c r="O251" s="10">
        <f t="shared" si="35"/>
        <v>0.10094921443640208</v>
      </c>
      <c r="P251" s="66">
        <f t="shared" si="36"/>
        <v>4</v>
      </c>
      <c r="Q251" s="10">
        <f t="shared" si="37"/>
        <v>9.4292925749790636E-4</v>
      </c>
    </row>
    <row r="252" spans="9:17">
      <c r="I252" s="66">
        <v>47.2</v>
      </c>
      <c r="J252" s="10">
        <f t="shared" si="30"/>
        <v>0.33903983575108398</v>
      </c>
      <c r="K252" s="10">
        <f t="shared" si="31"/>
        <v>0.42172919224365663</v>
      </c>
      <c r="L252" s="10">
        <f t="shared" si="32"/>
        <v>0.99764278261058259</v>
      </c>
      <c r="M252" s="10">
        <f t="shared" si="33"/>
        <v>0.14264595406500011</v>
      </c>
      <c r="N252" s="10">
        <f t="shared" si="34"/>
        <v>8.0684980167981729E-2</v>
      </c>
      <c r="O252" s="10">
        <f t="shared" si="35"/>
        <v>9.9968939244537022E-2</v>
      </c>
      <c r="P252" s="66">
        <f t="shared" si="36"/>
        <v>2</v>
      </c>
      <c r="Q252" s="10">
        <f t="shared" si="37"/>
        <v>4.6023244290177806E-4</v>
      </c>
    </row>
    <row r="253" spans="9:17">
      <c r="I253" s="66">
        <v>47.4</v>
      </c>
      <c r="J253" s="10">
        <f t="shared" si="30"/>
        <v>0.33357694670937871</v>
      </c>
      <c r="K253" s="10">
        <f t="shared" si="31"/>
        <v>0.41630046311047392</v>
      </c>
      <c r="L253" s="10">
        <f t="shared" si="32"/>
        <v>0.99763280623263839</v>
      </c>
      <c r="M253" s="10">
        <f t="shared" si="33"/>
        <v>0.13853950937203899</v>
      </c>
      <c r="N253" s="10">
        <f t="shared" si="34"/>
        <v>8.1858313948583311E-2</v>
      </c>
      <c r="O253" s="10">
        <f t="shared" si="35"/>
        <v>9.8998183091103059E-2</v>
      </c>
      <c r="P253" s="66">
        <f t="shared" si="36"/>
        <v>4</v>
      </c>
      <c r="Q253" s="10">
        <f t="shared" si="37"/>
        <v>8.9815987978964526E-4</v>
      </c>
    </row>
    <row r="254" spans="9:17">
      <c r="I254" s="66">
        <v>47.6</v>
      </c>
      <c r="J254" s="10">
        <f t="shared" si="30"/>
        <v>0.32812451158974743</v>
      </c>
      <c r="K254" s="10">
        <f t="shared" si="31"/>
        <v>0.41086417291227501</v>
      </c>
      <c r="L254" s="10">
        <f t="shared" si="32"/>
        <v>0.99762282995445761</v>
      </c>
      <c r="M254" s="10">
        <f t="shared" si="33"/>
        <v>0.13449412882332271</v>
      </c>
      <c r="N254" s="10">
        <f t="shared" si="34"/>
        <v>8.3048742315386115E-2</v>
      </c>
      <c r="O254" s="10">
        <f t="shared" si="35"/>
        <v>9.8036853540737476E-2</v>
      </c>
      <c r="P254" s="66">
        <f t="shared" si="36"/>
        <v>2</v>
      </c>
      <c r="Q254" s="10">
        <f t="shared" si="37"/>
        <v>4.3801173056052736E-4</v>
      </c>
    </row>
    <row r="255" spans="9:17">
      <c r="I255" s="66">
        <v>47.8</v>
      </c>
      <c r="J255" s="10">
        <f t="shared" si="30"/>
        <v>0.32268380450963691</v>
      </c>
      <c r="K255" s="10">
        <f t="shared" si="31"/>
        <v>0.4054213427329606</v>
      </c>
      <c r="L255" s="10">
        <f t="shared" si="32"/>
        <v>0.99761285377603903</v>
      </c>
      <c r="M255" s="10">
        <f t="shared" si="33"/>
        <v>0.13051060790762534</v>
      </c>
      <c r="N255" s="10">
        <f t="shared" si="34"/>
        <v>8.4256514323588508E-2</v>
      </c>
      <c r="O255" s="10">
        <f t="shared" si="35"/>
        <v>9.7084859055678652E-2</v>
      </c>
      <c r="P255" s="66">
        <f t="shared" si="36"/>
        <v>4</v>
      </c>
      <c r="Q255" s="10">
        <f t="shared" si="37"/>
        <v>8.5406474017791589E-4</v>
      </c>
    </row>
    <row r="256" spans="9:17">
      <c r="I256" s="66">
        <v>48</v>
      </c>
      <c r="J256" s="10">
        <f t="shared" si="30"/>
        <v>0.31725611012007948</v>
      </c>
      <c r="K256" s="10">
        <f t="shared" si="31"/>
        <v>0.39997301245813915</v>
      </c>
      <c r="L256" s="10">
        <f t="shared" si="32"/>
        <v>0.99760287769738176</v>
      </c>
      <c r="M256" s="10">
        <f t="shared" si="33"/>
        <v>0.12658970193066643</v>
      </c>
      <c r="N256" s="10">
        <f t="shared" si="34"/>
        <v>8.5481882656934946E-2</v>
      </c>
      <c r="O256" s="10">
        <f t="shared" si="35"/>
        <v>9.6142108987049613E-2</v>
      </c>
      <c r="P256" s="66">
        <f t="shared" si="36"/>
        <v>2</v>
      </c>
      <c r="Q256" s="10">
        <f t="shared" si="37"/>
        <v>4.1614635187137627E-4</v>
      </c>
    </row>
    <row r="257" spans="9:17">
      <c r="I257" s="66">
        <v>48.2</v>
      </c>
      <c r="J257" s="10">
        <f t="shared" si="30"/>
        <v>0.31184272279751662</v>
      </c>
      <c r="K257" s="10">
        <f t="shared" si="31"/>
        <v>0.39452024046514778</v>
      </c>
      <c r="L257" s="10">
        <f t="shared" si="32"/>
        <v>0.99759290171848469</v>
      </c>
      <c r="M257" s="10">
        <f t="shared" si="33"/>
        <v>0.12273212485775145</v>
      </c>
      <c r="N257" s="10">
        <f t="shared" si="34"/>
        <v>8.6725103680580354E-2</v>
      </c>
      <c r="O257" s="10">
        <f t="shared" si="35"/>
        <v>9.5208513566225769E-2</v>
      </c>
      <c r="P257" s="66">
        <f t="shared" si="36"/>
        <v>4</v>
      </c>
      <c r="Q257" s="10">
        <f t="shared" si="37"/>
        <v>8.1071620266689765E-4</v>
      </c>
    </row>
    <row r="258" spans="9:17">
      <c r="I258" s="66">
        <v>48.4</v>
      </c>
      <c r="J258" s="10">
        <f t="shared" si="30"/>
        <v>0.30644494580224246</v>
      </c>
      <c r="K258" s="10">
        <f t="shared" si="31"/>
        <v>0.38906410328481322</v>
      </c>
      <c r="L258" s="10">
        <f t="shared" si="32"/>
        <v>0.99758292583934705</v>
      </c>
      <c r="M258" s="10">
        <f t="shared" si="33"/>
        <v>0.11893854820109659</v>
      </c>
      <c r="N258" s="10">
        <f t="shared" si="34"/>
        <v>8.7986437494727052E-2</v>
      </c>
      <c r="O258" s="10">
        <f t="shared" si="35"/>
        <v>9.4283983896288615E-2</v>
      </c>
      <c r="P258" s="66">
        <f t="shared" si="36"/>
        <v>2</v>
      </c>
      <c r="Q258" s="10">
        <f t="shared" si="37"/>
        <v>3.9467196977151502E-4</v>
      </c>
    </row>
    <row r="259" spans="9:17">
      <c r="I259" s="66">
        <v>48.6</v>
      </c>
      <c r="J259" s="10">
        <f t="shared" si="30"/>
        <v>0.30106409040361348</v>
      </c>
      <c r="K259" s="10">
        <f t="shared" si="31"/>
        <v>0.38360569523438498</v>
      </c>
      <c r="L259" s="10">
        <f t="shared" si="32"/>
        <v>0.9975729500599676</v>
      </c>
      <c r="M259" s="10">
        <f t="shared" si="33"/>
        <v>0.11520959995522187</v>
      </c>
      <c r="N259" s="10">
        <f t="shared" si="34"/>
        <v>8.9266147989040076E-2</v>
      </c>
      <c r="O259" s="10">
        <f t="shared" si="35"/>
        <v>9.3368431943559482E-2</v>
      </c>
      <c r="P259" s="66">
        <f t="shared" si="36"/>
        <v>4</v>
      </c>
      <c r="Q259" s="10">
        <f t="shared" si="37"/>
        <v>7.6818445641160815E-4</v>
      </c>
    </row>
    <row r="260" spans="9:17">
      <c r="I260" s="66">
        <v>48.8</v>
      </c>
      <c r="J260" s="10">
        <f t="shared" si="30"/>
        <v>0.29570147497221333</v>
      </c>
      <c r="K260" s="10">
        <f t="shared" si="31"/>
        <v>0.37814612802106928</v>
      </c>
      <c r="L260" s="10">
        <f t="shared" si="32"/>
        <v>0.99756297438034547</v>
      </c>
      <c r="M260" s="10">
        <f t="shared" si="33"/>
        <v>0.11154586358375858</v>
      </c>
      <c r="N260" s="10">
        <f t="shared" si="34"/>
        <v>9.0564502897857641E-2</v>
      </c>
      <c r="O260" s="10">
        <f t="shared" si="35"/>
        <v>9.2461770529217779E-2</v>
      </c>
      <c r="P260" s="66">
        <f t="shared" si="36"/>
        <v>2</v>
      </c>
      <c r="Q260" s="10">
        <f t="shared" si="37"/>
        <v>3.7362306126494408E-4</v>
      </c>
    </row>
    <row r="261" spans="9:17">
      <c r="I261" s="66">
        <v>49</v>
      </c>
      <c r="J261" s="10">
        <f t="shared" si="30"/>
        <v>0.29035842403924739</v>
      </c>
      <c r="K261" s="10">
        <f t="shared" si="31"/>
        <v>0.37268653031563198</v>
      </c>
      <c r="L261" s="10">
        <f t="shared" si="32"/>
        <v>0.99755299880047965</v>
      </c>
      <c r="M261" s="10">
        <f t="shared" si="33"/>
        <v>0.107947877060992</v>
      </c>
      <c r="N261" s="10">
        <f t="shared" si="34"/>
        <v>9.1881773856205065E-2</v>
      </c>
      <c r="O261" s="10">
        <f t="shared" si="35"/>
        <v>9.1563913320999626E-2</v>
      </c>
      <c r="P261" s="66">
        <f t="shared" si="36"/>
        <v>4</v>
      </c>
      <c r="Q261" s="10">
        <f t="shared" si="37"/>
        <v>7.2653712223287896E-4</v>
      </c>
    </row>
    <row r="262" spans="9:17">
      <c r="I262" s="66">
        <v>49.2</v>
      </c>
      <c r="J262" s="10">
        <f t="shared" si="30"/>
        <v>0.28503626732352633</v>
      </c>
      <c r="K262" s="10">
        <f t="shared" si="31"/>
        <v>0.3672280472955769</v>
      </c>
      <c r="L262" s="10">
        <f t="shared" si="32"/>
        <v>0.99754302332036915</v>
      </c>
      <c r="M262" s="10">
        <f t="shared" si="33"/>
        <v>0.10441613197142469</v>
      </c>
      <c r="N262" s="10">
        <f t="shared" si="34"/>
        <v>9.3218236456623887E-2</v>
      </c>
      <c r="O262" s="10">
        <f t="shared" si="35"/>
        <v>9.0674774824976906E-2</v>
      </c>
      <c r="P262" s="66">
        <f t="shared" si="36"/>
        <v>2</v>
      </c>
      <c r="Q262" s="10">
        <f t="shared" si="37"/>
        <v>3.5303272145821351E-4</v>
      </c>
    </row>
    <row r="263" spans="9:17">
      <c r="I263" s="66">
        <v>49.4</v>
      </c>
      <c r="J263" s="10">
        <f t="shared" si="30"/>
        <v>0.27973633872645431</v>
      </c>
      <c r="K263" s="10">
        <f t="shared" si="31"/>
        <v>0.36177184015741443</v>
      </c>
      <c r="L263" s="10">
        <f t="shared" si="32"/>
        <v>0.99753304794001296</v>
      </c>
      <c r="M263" s="10">
        <f t="shared" si="33"/>
        <v>0.10095107267057223</v>
      </c>
      <c r="N263" s="10">
        <f t="shared" si="34"/>
        <v>9.4574170306831587E-2</v>
      </c>
      <c r="O263" s="10">
        <f t="shared" si="35"/>
        <v>8.9794270377417759E-2</v>
      </c>
      <c r="P263" s="66">
        <f t="shared" si="36"/>
        <v>4</v>
      </c>
      <c r="Q263" s="10">
        <f t="shared" si="37"/>
        <v>6.8583886317316297E-4</v>
      </c>
    </row>
    <row r="264" spans="9:17">
      <c r="I264" s="66">
        <v>49.6</v>
      </c>
      <c r="J264" s="10">
        <f t="shared" si="30"/>
        <v>0.27445997529555149</v>
      </c>
      <c r="K264" s="10">
        <f t="shared" si="31"/>
        <v>0.35631908559760339</v>
      </c>
      <c r="L264" s="10">
        <f t="shared" si="32"/>
        <v>0.99752307265940998</v>
      </c>
      <c r="M264" s="10">
        <f t="shared" si="33"/>
        <v>9.7553095510157298E-2</v>
      </c>
      <c r="N264" s="10">
        <f t="shared" si="34"/>
        <v>9.5949859088218001E-2</v>
      </c>
      <c r="O264" s="10">
        <f t="shared" si="35"/>
        <v>8.8922316136723301E-2</v>
      </c>
      <c r="P264" s="66">
        <f t="shared" si="36"/>
        <v>2</v>
      </c>
      <c r="Q264" s="10">
        <f t="shared" si="37"/>
        <v>3.3293247055631508E-4</v>
      </c>
    </row>
    <row r="265" spans="9:17">
      <c r="I265" s="66">
        <v>49.8</v>
      </c>
      <c r="J265" s="10">
        <f t="shared" si="30"/>
        <v>0.26920851615709984</v>
      </c>
      <c r="K265" s="10">
        <f t="shared" si="31"/>
        <v>0.35087097526176098</v>
      </c>
      <c r="L265" s="10">
        <f t="shared" si="32"/>
        <v>0.99751309747855943</v>
      </c>
      <c r="M265" s="10">
        <f t="shared" si="33"/>
        <v>9.4222548130767692E-2</v>
      </c>
      <c r="N265" s="10">
        <f t="shared" si="34"/>
        <v>9.7345590615196959E-2</v>
      </c>
      <c r="O265" s="10">
        <f t="shared" si="35"/>
        <v>8.8058829075445502E-2</v>
      </c>
      <c r="P265" s="66">
        <f t="shared" si="36"/>
        <v>4</v>
      </c>
      <c r="Q265" s="10">
        <f t="shared" si="37"/>
        <v>6.4615100289742587E-4</v>
      </c>
    </row>
    <row r="266" spans="9:17">
      <c r="I266" s="66">
        <v>50</v>
      </c>
      <c r="J266" s="10">
        <f t="shared" si="30"/>
        <v>0.26398330141859866</v>
      </c>
      <c r="K266" s="10">
        <f t="shared" si="31"/>
        <v>0.34542871516178453</v>
      </c>
      <c r="L266" s="10">
        <f t="shared" si="32"/>
        <v>0.99750312239746008</v>
      </c>
      <c r="M266" s="10">
        <f t="shared" si="33"/>
        <v>9.0959728824955233E-2</v>
      </c>
      <c r="N266" s="10">
        <f t="shared" si="34"/>
        <v>9.8761656895420435E-2</v>
      </c>
      <c r="O266" s="10">
        <f t="shared" si="35"/>
        <v>8.7203726972380588E-2</v>
      </c>
      <c r="P266" s="66">
        <f t="shared" si="36"/>
        <v>2</v>
      </c>
      <c r="Q266" s="10">
        <f t="shared" si="37"/>
        <v>3.1335206576371373E-4</v>
      </c>
    </row>
    <row r="267" spans="9:17">
      <c r="I267" s="66">
        <v>50.2</v>
      </c>
      <c r="J267" s="10">
        <f t="shared" si="30"/>
        <v>0.25878567104181649</v>
      </c>
      <c r="K267" s="10">
        <f t="shared" si="31"/>
        <v>0.33999352506058622</v>
      </c>
      <c r="L267" s="10">
        <f t="shared" si="32"/>
        <v>0.99749314741611117</v>
      </c>
      <c r="M267" s="10">
        <f t="shared" si="33"/>
        <v>8.7764885973650286E-2</v>
      </c>
      <c r="N267" s="10">
        <f t="shared" si="34"/>
        <v>0.10019835419087067</v>
      </c>
      <c r="O267" s="10">
        <f t="shared" si="35"/>
        <v>8.6356928404739894E-2</v>
      </c>
      <c r="P267" s="66">
        <f t="shared" si="36"/>
        <v>4</v>
      </c>
      <c r="Q267" s="10">
        <f t="shared" si="37"/>
        <v>6.0753115590460663E-4</v>
      </c>
    </row>
    <row r="268" spans="9:17">
      <c r="I268" s="66">
        <v>50.4</v>
      </c>
      <c r="J268" s="10">
        <f t="shared" si="30"/>
        <v>0.25361696368729519</v>
      </c>
      <c r="K268" s="10">
        <f t="shared" si="31"/>
        <v>0.3345666378241608</v>
      </c>
      <c r="L268" s="10">
        <f t="shared" si="32"/>
        <v>0.99748317253451146</v>
      </c>
      <c r="M268" s="10">
        <f t="shared" si="33"/>
        <v>8.4638217558627854E-2</v>
      </c>
      <c r="N268" s="10">
        <f t="shared" si="34"/>
        <v>0.10165598307984396</v>
      </c>
      <c r="O268" s="10">
        <f t="shared" si="35"/>
        <v>8.5518352740397846E-2</v>
      </c>
      <c r="P268" s="66">
        <f t="shared" si="36"/>
        <v>2</v>
      </c>
      <c r="Q268" s="10">
        <f t="shared" si="37"/>
        <v>2.9431932010547151E-4</v>
      </c>
    </row>
    <row r="269" spans="9:17">
      <c r="I269" s="66">
        <v>50.6</v>
      </c>
      <c r="J269" s="10">
        <f t="shared" si="30"/>
        <v>0.24847851553128844</v>
      </c>
      <c r="K269" s="10">
        <f t="shared" si="31"/>
        <v>0.32914929874079196</v>
      </c>
      <c r="L269" s="10">
        <f t="shared" si="32"/>
        <v>0.99747319775266008</v>
      </c>
      <c r="M269" s="10">
        <f t="shared" si="33"/>
        <v>8.1579870753645312E-2</v>
      </c>
      <c r="N269" s="10">
        <f t="shared" si="34"/>
        <v>0.10313484851983434</v>
      </c>
      <c r="O269" s="10">
        <f t="shared" si="35"/>
        <v>8.468792013021266E-2</v>
      </c>
      <c r="P269" s="66">
        <f t="shared" si="36"/>
        <v>4</v>
      </c>
      <c r="Q269" s="10">
        <f t="shared" si="37"/>
        <v>5.7003287363207699E-4</v>
      </c>
    </row>
    <row r="270" spans="9:17">
      <c r="I270" s="66">
        <v>50.8</v>
      </c>
      <c r="J270" s="10">
        <f t="shared" si="30"/>
        <v>0.24337165905618635</v>
      </c>
      <c r="K270" s="10">
        <f t="shared" si="31"/>
        <v>0.32374276480722386</v>
      </c>
      <c r="L270" s="10">
        <f t="shared" si="32"/>
        <v>0.99746322307055613</v>
      </c>
      <c r="M270" s="10">
        <f t="shared" si="33"/>
        <v>7.8589941596702143E-2</v>
      </c>
      <c r="N270" s="10">
        <f t="shared" si="34"/>
        <v>0.10463525991133674</v>
      </c>
      <c r="O270" s="10">
        <f t="shared" si="35"/>
        <v>8.3865551500424268E-2</v>
      </c>
      <c r="P270" s="66">
        <f t="shared" si="36"/>
        <v>2</v>
      </c>
      <c r="Q270" s="10">
        <f t="shared" si="37"/>
        <v>2.7585993022963121E-4</v>
      </c>
    </row>
    <row r="271" spans="9:17">
      <c r="I271" s="66">
        <v>51</v>
      </c>
      <c r="J271" s="10">
        <f t="shared" si="30"/>
        <v>0.23829772181558972</v>
      </c>
      <c r="K271" s="10">
        <f t="shared" si="31"/>
        <v>0.31834830398169739</v>
      </c>
      <c r="L271" s="10">
        <f t="shared" si="32"/>
        <v>0.99745324848819839</v>
      </c>
      <c r="M271" s="10">
        <f t="shared" si="33"/>
        <v>7.5668474745717293E-2</v>
      </c>
      <c r="N271" s="10">
        <f t="shared" si="34"/>
        <v>0.10615753116257697</v>
      </c>
      <c r="O271" s="10">
        <f t="shared" si="35"/>
        <v>8.3051168545124371E-2</v>
      </c>
      <c r="P271" s="66">
        <f t="shared" si="36"/>
        <v>4</v>
      </c>
      <c r="Q271" s="10">
        <f t="shared" si="37"/>
        <v>5.3370531060190822E-4</v>
      </c>
    </row>
    <row r="272" spans="9:17">
      <c r="I272" s="66">
        <v>51.2</v>
      </c>
      <c r="J272" s="10">
        <f t="shared" si="30"/>
        <v>0.23325802517530492</v>
      </c>
      <c r="K272" s="10">
        <f t="shared" si="31"/>
        <v>0.3129671944038141</v>
      </c>
      <c r="L272" s="10">
        <f t="shared" si="32"/>
        <v>0.99744327400558597</v>
      </c>
      <c r="M272" s="10">
        <f t="shared" si="33"/>
        <v>7.2815463319743493E-2</v>
      </c>
      <c r="N272" s="10">
        <f t="shared" si="34"/>
        <v>0.10770198075518597</v>
      </c>
      <c r="O272" s="10">
        <f t="shared" si="35"/>
        <v>8.2244693718799902E-2</v>
      </c>
      <c r="P272" s="66">
        <f t="shared" si="36"/>
        <v>2</v>
      </c>
      <c r="Q272" s="10">
        <f t="shared" si="37"/>
        <v>2.5799731527139259E-4</v>
      </c>
    </row>
    <row r="273" spans="9:17">
      <c r="I273" s="66">
        <v>51.4</v>
      </c>
      <c r="J273" s="10">
        <f t="shared" ref="J273:J336" si="38">(B$10^I273)*(B$11^((B$5^B$8)*((B$5^I273)-1)))</f>
        <v>0.22825388303161112</v>
      </c>
      <c r="K273" s="10">
        <f t="shared" ref="K273:K336" si="39">(B$10^I273)*B$12^((B$5^B$9)*((B$5^I273)-1))</f>
        <v>0.30760072358123119</v>
      </c>
      <c r="L273" s="10">
        <f t="shared" ref="L273:L336" si="40">EXP(-B$13*I273)</f>
        <v>0.99743329962271798</v>
      </c>
      <c r="M273" s="10">
        <f t="shared" ref="M273:M336" si="41">J273*K273*L273</f>
        <v>7.003084882763401E-2</v>
      </c>
      <c r="N273" s="10">
        <f t="shared" ref="N273:N336" si="42">B$3+B$6*(B$5^(B$8+I273)) +B$13</f>
        <v>0.10926893181083226</v>
      </c>
      <c r="O273" s="10">
        <f t="shared" ref="O273:O336" si="43">(1+B$7)^-I273</f>
        <v>8.1446050228950323E-2</v>
      </c>
      <c r="P273" s="66">
        <f t="shared" si="36"/>
        <v>4</v>
      </c>
      <c r="Q273" s="10">
        <f t="shared" si="37"/>
        <v>4.9859291476740143E-4</v>
      </c>
    </row>
    <row r="274" spans="9:17">
      <c r="I274" s="66">
        <v>51.6</v>
      </c>
      <c r="J274" s="10">
        <f t="shared" si="38"/>
        <v>0.22328660050828283</v>
      </c>
      <c r="K274" s="10">
        <f t="shared" si="39"/>
        <v>0.30225018754328803</v>
      </c>
      <c r="L274" s="10">
        <f t="shared" si="40"/>
        <v>0.99742332533959321</v>
      </c>
      <c r="M274" s="10">
        <f t="shared" si="41"/>
        <v>6.7314521185887266E-2</v>
      </c>
      <c r="N274" s="10">
        <f t="shared" si="42"/>
        <v>0.11085871215882191</v>
      </c>
      <c r="O274" s="10">
        <f t="shared" si="43"/>
        <v>8.0655162028773986E-2</v>
      </c>
      <c r="P274" s="66">
        <f t="shared" si="36"/>
        <v>2</v>
      </c>
      <c r="Q274" s="10">
        <f t="shared" si="37"/>
        <v>2.4075246884925147E-4</v>
      </c>
    </row>
    <row r="275" spans="9:17">
      <c r="I275" s="66">
        <v>51.8</v>
      </c>
      <c r="J275" s="10">
        <f t="shared" si="38"/>
        <v>0.21835747263393013</v>
      </c>
      <c r="K275" s="10">
        <f t="shared" si="39"/>
        <v>0.29691688996170107</v>
      </c>
      <c r="L275" s="10">
        <f t="shared" si="40"/>
        <v>0.99741335115621077</v>
      </c>
      <c r="M275" s="10">
        <f t="shared" si="41"/>
        <v>6.4666318827161576E-2</v>
      </c>
      <c r="N275" s="10">
        <f t="shared" si="42"/>
        <v>0.112471654404687</v>
      </c>
      <c r="O275" s="10">
        <f t="shared" si="43"/>
        <v>7.9871953809927856E-2</v>
      </c>
      <c r="P275" s="66">
        <f t="shared" ref="P275:P338" si="44">IF(P274=4,2,4)</f>
        <v>4</v>
      </c>
      <c r="Q275" s="10">
        <f t="shared" ref="Q275:Q338" si="45">0.2*M275*N275*O275*P275</f>
        <v>4.6473514616593019E-4</v>
      </c>
    </row>
    <row r="276" spans="9:17">
      <c r="I276" s="66">
        <v>52</v>
      </c>
      <c r="J276" s="10">
        <f t="shared" si="38"/>
        <v>0.21346778300133798</v>
      </c>
      <c r="K276" s="10">
        <f t="shared" si="39"/>
        <v>0.29160214123855904</v>
      </c>
      <c r="L276" s="10">
        <f t="shared" si="40"/>
        <v>0.99740337707256976</v>
      </c>
      <c r="M276" s="10">
        <f t="shared" si="41"/>
        <v>6.2086028900729701E-2</v>
      </c>
      <c r="N276" s="10">
        <f t="shared" si="42"/>
        <v>0.11410809599977023</v>
      </c>
      <c r="O276" s="10">
        <f t="shared" si="43"/>
        <v>7.9096350995356543E-2</v>
      </c>
      <c r="P276" s="66">
        <f t="shared" si="44"/>
        <v>2</v>
      </c>
      <c r="Q276" s="10">
        <f t="shared" si="45"/>
        <v>2.2414382622056107E-4</v>
      </c>
    </row>
    <row r="277" spans="9:17">
      <c r="I277" s="66">
        <v>52.2</v>
      </c>
      <c r="J277" s="10">
        <f t="shared" si="38"/>
        <v>0.20861880241059014</v>
      </c>
      <c r="K277" s="10">
        <f t="shared" si="39"/>
        <v>0.2863072575619145</v>
      </c>
      <c r="L277" s="10">
        <f t="shared" si="40"/>
        <v>0.99739340308866897</v>
      </c>
      <c r="M277" s="10">
        <f t="shared" si="41"/>
        <v>5.9573387565896377E-2</v>
      </c>
      <c r="N277" s="10">
        <f t="shared" si="42"/>
        <v>0.11576837931182492</v>
      </c>
      <c r="O277" s="10">
        <f t="shared" si="43"/>
        <v>7.8328279732190392E-2</v>
      </c>
      <c r="P277" s="66">
        <f t="shared" si="44"/>
        <v>4</v>
      </c>
      <c r="Q277" s="10">
        <f t="shared" si="45"/>
        <v>4.3216622786458733E-4</v>
      </c>
    </row>
    <row r="278" spans="9:17">
      <c r="I278" s="66">
        <v>52.4</v>
      </c>
      <c r="J278" s="10">
        <f t="shared" si="38"/>
        <v>0.20381178749785658</v>
      </c>
      <c r="K278" s="10">
        <f t="shared" si="39"/>
        <v>0.28103355992934048</v>
      </c>
      <c r="L278" s="10">
        <f t="shared" si="40"/>
        <v>0.99738342920450762</v>
      </c>
      <c r="M278" s="10">
        <f t="shared" si="41"/>
        <v>5.7128080379142999E-2</v>
      </c>
      <c r="N278" s="10">
        <f t="shared" si="42"/>
        <v>0.11745285169664468</v>
      </c>
      <c r="O278" s="10">
        <f t="shared" si="43"/>
        <v>7.7567666884714573E-2</v>
      </c>
      <c r="P278" s="66">
        <f t="shared" si="44"/>
        <v>2</v>
      </c>
      <c r="Q278" s="10">
        <f t="shared" si="45"/>
        <v>2.0818714854672516E-4</v>
      </c>
    </row>
    <row r="279" spans="9:17">
      <c r="I279" s="66">
        <v>52.6</v>
      </c>
      <c r="J279" s="10">
        <f t="shared" si="38"/>
        <v>0.1990479793518507</v>
      </c>
      <c r="K279" s="10">
        <f t="shared" si="39"/>
        <v>0.27578237313991916</v>
      </c>
      <c r="L279" s="10">
        <f t="shared" si="40"/>
        <v>0.9973734554200846</v>
      </c>
      <c r="M279" s="10">
        <f t="shared" si="41"/>
        <v>5.4749742775506156E-2</v>
      </c>
      <c r="N279" s="10">
        <f t="shared" si="42"/>
        <v>0.11916186557073356</v>
      </c>
      <c r="O279" s="10">
        <f t="shared" si="43"/>
        <v>7.6814440027403771E-2</v>
      </c>
      <c r="P279" s="66">
        <f t="shared" si="44"/>
        <v>4</v>
      </c>
      <c r="Q279" s="10">
        <f t="shared" si="45"/>
        <v>4.0091493299486262E-4</v>
      </c>
    </row>
    <row r="280" spans="9:17">
      <c r="I280" s="66">
        <v>52.8</v>
      </c>
      <c r="J280" s="10">
        <f t="shared" si="38"/>
        <v>0.19432860212003986</v>
      </c>
      <c r="K280" s="10">
        <f t="shared" si="39"/>
        <v>0.27055502475518911</v>
      </c>
      <c r="L280" s="10">
        <f t="shared" si="40"/>
        <v>0.9973634817353989</v>
      </c>
      <c r="M280" s="10">
        <f t="shared" si="41"/>
        <v>5.2437960644408491E-2</v>
      </c>
      <c r="N280" s="10">
        <f t="shared" si="42"/>
        <v>0.1208957784850385</v>
      </c>
      <c r="O280" s="10">
        <f t="shared" si="43"/>
        <v>7.6068527438026556E-2</v>
      </c>
      <c r="P280" s="66">
        <f t="shared" si="44"/>
        <v>2</v>
      </c>
      <c r="Q280" s="10">
        <f t="shared" si="45"/>
        <v>1.9289542610480769E-4</v>
      </c>
    </row>
    <row r="281" spans="9:17">
      <c r="I281" s="66">
        <v>53</v>
      </c>
      <c r="J281" s="10">
        <f t="shared" si="38"/>
        <v>0.18965486160681533</v>
      </c>
      <c r="K281" s="10">
        <f t="shared" si="39"/>
        <v>0.26535284402968096</v>
      </c>
      <c r="L281" s="10">
        <f t="shared" si="40"/>
        <v>0.99735350815044954</v>
      </c>
      <c r="M281" s="10">
        <f t="shared" si="41"/>
        <v>5.0192270999883007E-2</v>
      </c>
      <c r="N281" s="10">
        <f t="shared" si="42"/>
        <v>0.12265495319975299</v>
      </c>
      <c r="O281" s="10">
        <f t="shared" si="43"/>
        <v>7.5329858090815757E-2</v>
      </c>
      <c r="P281" s="66">
        <f t="shared" si="44"/>
        <v>4</v>
      </c>
      <c r="Q281" s="10">
        <f t="shared" si="45"/>
        <v>3.7100441140863641E-4</v>
      </c>
    </row>
    <row r="282" spans="9:17">
      <c r="I282" s="66">
        <v>53.2</v>
      </c>
      <c r="J282" s="10">
        <f t="shared" si="38"/>
        <v>0.18502794386592303</v>
      </c>
      <c r="K282" s="10">
        <f t="shared" si="39"/>
        <v>0.26017716081175607</v>
      </c>
      <c r="L282" s="10">
        <f t="shared" si="40"/>
        <v>0.99734353466523551</v>
      </c>
      <c r="M282" s="10">
        <f t="shared" si="41"/>
        <v>4.801216274483508E-2</v>
      </c>
      <c r="N282" s="10">
        <f t="shared" si="42"/>
        <v>0.12443975776021179</v>
      </c>
      <c r="O282" s="10">
        <f t="shared" si="43"/>
        <v>7.4598361649705125E-2</v>
      </c>
      <c r="P282" s="66">
        <f t="shared" si="44"/>
        <v>2</v>
      </c>
      <c r="Q282" s="10">
        <f t="shared" si="45"/>
        <v>1.7827880213167088E-4</v>
      </c>
    </row>
    <row r="283" spans="9:17">
      <c r="I283" s="66">
        <v>53.4</v>
      </c>
      <c r="J283" s="10">
        <f t="shared" si="38"/>
        <v>0.18044901378954664</v>
      </c>
      <c r="K283" s="10">
        <f t="shared" si="39"/>
        <v>0.25502930441553934</v>
      </c>
      <c r="L283" s="10">
        <f t="shared" si="40"/>
        <v>0.99733356127975592</v>
      </c>
      <c r="M283" s="10">
        <f t="shared" si="41"/>
        <v>4.5897077528679255E-2</v>
      </c>
      <c r="N283" s="10">
        <f t="shared" si="42"/>
        <v>0.126250565573893</v>
      </c>
      <c r="O283" s="10">
        <f t="shared" si="43"/>
        <v>7.3873968461632952E-2</v>
      </c>
      <c r="P283" s="66">
        <f t="shared" si="44"/>
        <v>4</v>
      </c>
      <c r="Q283" s="10">
        <f t="shared" si="45"/>
        <v>3.4245205914884959E-4</v>
      </c>
    </row>
    <row r="284" spans="9:17">
      <c r="I284" s="66">
        <v>53.6</v>
      </c>
      <c r="J284" s="10">
        <f t="shared" si="38"/>
        <v>0.17591921369655159</v>
      </c>
      <c r="K284" s="10">
        <f t="shared" si="39"/>
        <v>0.24991060246485933</v>
      </c>
      <c r="L284" s="10">
        <f t="shared" si="40"/>
        <v>0.99732358799400966</v>
      </c>
      <c r="M284" s="10">
        <f t="shared" si="41"/>
        <v>4.3846410697390779E-2</v>
      </c>
      <c r="N284" s="10">
        <f t="shared" si="42"/>
        <v>0.12808775548853857</v>
      </c>
      <c r="O284" s="10">
        <f t="shared" si="43"/>
        <v>7.3156609549908352E-2</v>
      </c>
      <c r="P284" s="66">
        <f t="shared" si="44"/>
        <v>2</v>
      </c>
      <c r="Q284" s="10">
        <f t="shared" si="45"/>
        <v>1.6434451879853568E-4</v>
      </c>
    </row>
    <row r="285" spans="9:17">
      <c r="I285" s="66">
        <v>53.8</v>
      </c>
      <c r="J285" s="10">
        <f t="shared" si="38"/>
        <v>0.17143966192247062</v>
      </c>
      <c r="K285" s="10">
        <f t="shared" si="39"/>
        <v>0.24482237971017395</v>
      </c>
      <c r="L285" s="10">
        <f t="shared" si="40"/>
        <v>0.99731361480799574</v>
      </c>
      <c r="M285" s="10">
        <f t="shared" si="41"/>
        <v>4.1859512334686676E-2</v>
      </c>
      <c r="N285" s="10">
        <f t="shared" si="42"/>
        <v>0.12995171187141638</v>
      </c>
      <c r="O285" s="10">
        <f t="shared" si="43"/>
        <v>7.2446216607644331E-2</v>
      </c>
      <c r="P285" s="66">
        <f t="shared" si="44"/>
        <v>4</v>
      </c>
      <c r="Q285" s="10">
        <f t="shared" si="45"/>
        <v>3.1526943351449792E-4</v>
      </c>
    </row>
    <row r="286" spans="9:17">
      <c r="I286" s="66">
        <v>54</v>
      </c>
      <c r="J286" s="10">
        <f t="shared" si="38"/>
        <v>0.16701145141391369</v>
      </c>
      <c r="K286" s="10">
        <f t="shared" si="39"/>
        <v>0.23976595681957211</v>
      </c>
      <c r="L286" s="10">
        <f t="shared" si="40"/>
        <v>0.99730364172171315</v>
      </c>
      <c r="M286" s="10">
        <f t="shared" si="41"/>
        <v>3.99356883927404E-2</v>
      </c>
      <c r="N286" s="10">
        <f t="shared" si="42"/>
        <v>0.13184282468973443</v>
      </c>
      <c r="O286" s="10">
        <f t="shared" si="43"/>
        <v>7.1742721991253117E-2</v>
      </c>
      <c r="P286" s="66">
        <f t="shared" si="44"/>
        <v>2</v>
      </c>
      <c r="Q286" s="10">
        <f t="shared" si="45"/>
        <v>1.5109688658858505E-4</v>
      </c>
    </row>
    <row r="287" spans="9:17">
      <c r="I287" s="66">
        <v>54.2</v>
      </c>
      <c r="J287" s="10">
        <f t="shared" si="38"/>
        <v>0.1626356483301741</v>
      </c>
      <c r="K287" s="10">
        <f t="shared" si="39"/>
        <v>0.234742649145046</v>
      </c>
      <c r="L287" s="10">
        <f t="shared" si="40"/>
        <v>0.9972936687351609</v>
      </c>
      <c r="M287" s="10">
        <f t="shared" si="41"/>
        <v>3.807420191051554E-2</v>
      </c>
      <c r="N287" s="10">
        <f t="shared" si="42"/>
        <v>0.13376148959222767</v>
      </c>
      <c r="O287" s="10">
        <f t="shared" si="43"/>
        <v>7.1046058714004878E-2</v>
      </c>
      <c r="P287" s="66">
        <f t="shared" si="44"/>
        <v>4</v>
      </c>
      <c r="Q287" s="10">
        <f t="shared" si="45"/>
        <v>2.894622160129542E-4</v>
      </c>
    </row>
    <row r="288" spans="9:17">
      <c r="I288" s="66">
        <v>54.4</v>
      </c>
      <c r="J288" s="10">
        <f t="shared" si="38"/>
        <v>0.15831329065487101</v>
      </c>
      <c r="K288" s="10">
        <f t="shared" si="39"/>
        <v>0.22975376546530935</v>
      </c>
      <c r="L288" s="10">
        <f t="shared" si="40"/>
        <v>0.99728369584833809</v>
      </c>
      <c r="M288" s="10">
        <f t="shared" si="41"/>
        <v>3.6274274317476929E-2</v>
      </c>
      <c r="N288" s="10">
        <f t="shared" si="42"/>
        <v>0.135708107991935</v>
      </c>
      <c r="O288" s="10">
        <f t="shared" si="43"/>
        <v>7.0356160439650414E-2</v>
      </c>
      <c r="P288" s="66">
        <f t="shared" si="44"/>
        <v>2</v>
      </c>
      <c r="Q288" s="10">
        <f t="shared" si="45"/>
        <v>1.3853727808932052E-4</v>
      </c>
    </row>
    <row r="289" spans="9:17">
      <c r="I289" s="66">
        <v>54.6</v>
      </c>
      <c r="J289" s="10">
        <f t="shared" si="38"/>
        <v>0.15404538682056607</v>
      </c>
      <c r="K289" s="10">
        <f t="shared" si="39"/>
        <v>0.2248006067065651</v>
      </c>
      <c r="L289" s="10">
        <f t="shared" si="40"/>
        <v>0.99727372306124362</v>
      </c>
      <c r="M289" s="10">
        <f t="shared" si="41"/>
        <v>3.4535086820126681E-2</v>
      </c>
      <c r="N289" s="10">
        <f t="shared" si="42"/>
        <v>0.13768308715017896</v>
      </c>
      <c r="O289" s="10">
        <f t="shared" si="43"/>
        <v>6.9672961476103176E-2</v>
      </c>
      <c r="P289" s="66">
        <f t="shared" si="44"/>
        <v>4</v>
      </c>
      <c r="Q289" s="10">
        <f t="shared" si="45"/>
        <v>2.6503022493677941E-4</v>
      </c>
    </row>
    <row r="290" spans="9:17">
      <c r="I290" s="66">
        <v>54.8</v>
      </c>
      <c r="J290" s="10">
        <f t="shared" si="38"/>
        <v>0.14983291434934418</v>
      </c>
      <c r="K290" s="10">
        <f t="shared" si="39"/>
        <v>0.21988446464270556</v>
      </c>
      <c r="L290" s="10">
        <f t="shared" si="40"/>
        <v>0.9972637503738766</v>
      </c>
      <c r="M290" s="10">
        <f t="shared" si="41"/>
        <v>3.2855781868485985E-2</v>
      </c>
      <c r="N290" s="10">
        <f t="shared" si="42"/>
        <v>0.13968684026177264</v>
      </c>
      <c r="O290" s="10">
        <f t="shared" si="43"/>
        <v>6.8996396769185064E-2</v>
      </c>
      <c r="P290" s="66">
        <f t="shared" si="44"/>
        <v>2</v>
      </c>
      <c r="Q290" s="10">
        <f t="shared" si="45"/>
        <v>1.2666414691720672E-4</v>
      </c>
    </row>
    <row r="291" spans="9:17">
      <c r="I291" s="66">
        <v>55</v>
      </c>
      <c r="J291" s="10">
        <f t="shared" si="38"/>
        <v>0.14567681851242401</v>
      </c>
      <c r="K291" s="10">
        <f t="shared" si="39"/>
        <v>0.21500662057654243</v>
      </c>
      <c r="L291" s="10">
        <f t="shared" si="40"/>
        <v>0.99725377778623581</v>
      </c>
      <c r="M291" s="10">
        <f t="shared" si="41"/>
        <v>3.123546469933337E-2</v>
      </c>
      <c r="N291" s="10">
        <f t="shared" si="42"/>
        <v>0.14171978654146453</v>
      </c>
      <c r="O291" s="10">
        <f t="shared" si="43"/>
        <v>6.8326401896431521E-2</v>
      </c>
      <c r="P291" s="66">
        <f t="shared" si="44"/>
        <v>4</v>
      </c>
      <c r="Q291" s="10">
        <f t="shared" si="45"/>
        <v>2.4196747868302927E-4</v>
      </c>
    </row>
    <row r="292" spans="9:17">
      <c r="I292" s="66">
        <v>55.2</v>
      </c>
      <c r="J292" s="10">
        <f t="shared" si="38"/>
        <v>0.1415780110119276</v>
      </c>
      <c r="K292" s="10">
        <f t="shared" si="39"/>
        <v>0.21016834400377402</v>
      </c>
      <c r="L292" s="10">
        <f t="shared" si="40"/>
        <v>0.99724380529832046</v>
      </c>
      <c r="M292" s="10">
        <f t="shared" si="41"/>
        <v>2.9673204952702877E-2</v>
      </c>
      <c r="N292" s="10">
        <f t="shared" si="42"/>
        <v>0.14378235131164474</v>
      </c>
      <c r="O292" s="10">
        <f t="shared" si="43"/>
        <v>6.7662913060957008E-2</v>
      </c>
      <c r="P292" s="66">
        <f t="shared" si="44"/>
        <v>2</v>
      </c>
      <c r="Q292" s="10">
        <f t="shared" si="45"/>
        <v>1.1547307216809134E-4</v>
      </c>
    </row>
    <row r="293" spans="9:17">
      <c r="I293" s="66">
        <v>55.4</v>
      </c>
      <c r="J293" s="10">
        <f t="shared" si="38"/>
        <v>0.13753736868797359</v>
      </c>
      <c r="K293" s="10">
        <f t="shared" si="39"/>
        <v>0.20537089126148173</v>
      </c>
      <c r="L293" s="10">
        <f t="shared" si="40"/>
        <v>0.99723383291012957</v>
      </c>
      <c r="M293" s="10">
        <f t="shared" si="41"/>
        <v>2.816803835783678E-2</v>
      </c>
      <c r="N293" s="10">
        <f t="shared" si="42"/>
        <v>0.14587496609132999</v>
      </c>
      <c r="O293" s="10">
        <f t="shared" si="43"/>
        <v>6.7005867085381338E-2</v>
      </c>
      <c r="P293" s="66">
        <f t="shared" si="44"/>
        <v>4</v>
      </c>
      <c r="Q293" s="10">
        <f t="shared" si="45"/>
        <v>2.2026231025824885E-4</v>
      </c>
    </row>
    <row r="294" spans="9:17">
      <c r="I294" s="66">
        <v>55.6</v>
      </c>
      <c r="J294" s="10">
        <f t="shared" si="38"/>
        <v>0.13355573225432754</v>
      </c>
      <c r="K294" s="10">
        <f t="shared" si="39"/>
        <v>0.20061550416308019</v>
      </c>
      <c r="L294" s="10">
        <f t="shared" si="40"/>
        <v>0.99722386062166191</v>
      </c>
      <c r="M294" s="10">
        <f t="shared" si="41"/>
        <v>2.6718968484503839E-2</v>
      </c>
      <c r="N294" s="10">
        <f t="shared" si="42"/>
        <v>0.14799806868644239</v>
      </c>
      <c r="O294" s="10">
        <f t="shared" si="43"/>
        <v>6.6355201405812567E-2</v>
      </c>
      <c r="P294" s="66">
        <f t="shared" si="44"/>
        <v>2</v>
      </c>
      <c r="Q294" s="10">
        <f t="shared" si="45"/>
        <v>1.0495682843739081E-4</v>
      </c>
    </row>
    <row r="295" spans="9:17">
      <c r="I295" s="66">
        <v>55.8</v>
      </c>
      <c r="J295" s="10">
        <f t="shared" si="38"/>
        <v>0.12963390506585537</v>
      </c>
      <c r="K295" s="10">
        <f t="shared" si="39"/>
        <v>0.19590340862172012</v>
      </c>
      <c r="L295" s="10">
        <f t="shared" si="40"/>
        <v>0.99721388843291681</v>
      </c>
      <c r="M295" s="10">
        <f t="shared" si="41"/>
        <v>2.5324968555301988E-2</v>
      </c>
      <c r="N295" s="10">
        <f t="shared" si="42"/>
        <v>0.15015210328140557</v>
      </c>
      <c r="O295" s="10">
        <f t="shared" si="43"/>
        <v>6.5710854065890528E-2</v>
      </c>
      <c r="P295" s="66">
        <f t="shared" si="44"/>
        <v>4</v>
      </c>
      <c r="Q295" s="10">
        <f t="shared" si="45"/>
        <v>1.99897532691903E-4</v>
      </c>
    </row>
    <row r="296" spans="9:17">
      <c r="I296" s="66">
        <v>56</v>
      </c>
      <c r="J296" s="10">
        <f t="shared" si="38"/>
        <v>0.12577265192107093</v>
      </c>
      <c r="K296" s="10">
        <f t="shared" si="39"/>
        <v>0.19123581326426842</v>
      </c>
      <c r="L296" s="10">
        <f t="shared" si="40"/>
        <v>0.99720391634389294</v>
      </c>
      <c r="M296" s="10">
        <f t="shared" si="41"/>
        <v>2.3984983314300594E-2</v>
      </c>
      <c r="N296" s="10">
        <f t="shared" si="42"/>
        <v>0.15233752053207436</v>
      </c>
      <c r="O296" s="10">
        <f t="shared" si="43"/>
        <v>6.5072763710887174E-2</v>
      </c>
      <c r="P296" s="66">
        <f t="shared" si="44"/>
        <v>2</v>
      </c>
      <c r="Q296" s="10">
        <f t="shared" si="45"/>
        <v>9.5105481084547245E-5</v>
      </c>
    </row>
    <row r="297" spans="9:17">
      <c r="I297" s="66">
        <v>56.2</v>
      </c>
      <c r="J297" s="10">
        <f t="shared" si="38"/>
        <v>0.1219726979030782</v>
      </c>
      <c r="K297" s="10">
        <f t="shared" si="39"/>
        <v>0.1866139080380779</v>
      </c>
      <c r="L297" s="10">
        <f t="shared" si="40"/>
        <v>0.99719394435458952</v>
      </c>
      <c r="M297" s="10">
        <f t="shared" si="41"/>
        <v>2.2697930947117511E-2</v>
      </c>
      <c r="N297" s="10">
        <f t="shared" si="42"/>
        <v>0.1545547776600181</v>
      </c>
      <c r="O297" s="10">
        <f t="shared" si="43"/>
        <v>6.4440869581863833E-2</v>
      </c>
      <c r="P297" s="66">
        <f t="shared" si="44"/>
        <v>4</v>
      </c>
      <c r="Q297" s="10">
        <f t="shared" si="45"/>
        <v>1.8085065432669922E-4</v>
      </c>
    </row>
    <row r="298" spans="9:17">
      <c r="I298" s="66">
        <v>56.4</v>
      </c>
      <c r="J298" s="10">
        <f t="shared" si="38"/>
        <v>0.11823472726221809</v>
      </c>
      <c r="K298" s="10">
        <f t="shared" si="39"/>
        <v>0.18203886281286166</v>
      </c>
      <c r="L298" s="10">
        <f t="shared" si="40"/>
        <v>0.99718397246500556</v>
      </c>
      <c r="M298" s="10">
        <f t="shared" si="41"/>
        <v>2.1462705047285684E-2</v>
      </c>
      <c r="N298" s="10">
        <f t="shared" si="42"/>
        <v>0.15680433854817974</v>
      </c>
      <c r="O298" s="10">
        <f t="shared" si="43"/>
        <v>6.3815111509886988E-2</v>
      </c>
      <c r="P298" s="66">
        <f t="shared" si="44"/>
        <v>2</v>
      </c>
      <c r="Q298" s="10">
        <f t="shared" si="45"/>
        <v>8.5906506033201792E-5</v>
      </c>
    </row>
    <row r="299" spans="9:17">
      <c r="I299" s="66">
        <v>56.6</v>
      </c>
      <c r="J299" s="10">
        <f t="shared" si="38"/>
        <v>0.1145593823437375</v>
      </c>
      <c r="K299" s="10">
        <f t="shared" si="39"/>
        <v>0.17751182598009591</v>
      </c>
      <c r="L299" s="10">
        <f t="shared" si="40"/>
        <v>0.99717400067513995</v>
      </c>
      <c r="M299" s="10">
        <f t="shared" si="41"/>
        <v>2.0278176623544121E-2</v>
      </c>
      <c r="N299" s="10">
        <f t="shared" si="42"/>
        <v>0.15908667383792557</v>
      </c>
      <c r="O299" s="10">
        <f t="shared" si="43"/>
        <v>6.3195429910297682E-2</v>
      </c>
      <c r="P299" s="66">
        <f t="shared" si="44"/>
        <v>4</v>
      </c>
      <c r="Q299" s="10">
        <f t="shared" si="45"/>
        <v>1.6309414217995525E-4</v>
      </c>
    </row>
    <row r="300" spans="9:17">
      <c r="I300" s="66">
        <v>56.8</v>
      </c>
      <c r="J300" s="10">
        <f t="shared" si="38"/>
        <v>0.11094726256376902</v>
      </c>
      <c r="K300" s="10">
        <f t="shared" si="39"/>
        <v>0.17303392305244608</v>
      </c>
      <c r="L300" s="10">
        <f t="shared" si="40"/>
        <v>0.99716402898499168</v>
      </c>
      <c r="M300" s="10">
        <f t="shared" si="41"/>
        <v>1.9143196142477472E-2</v>
      </c>
      <c r="N300" s="10">
        <f t="shared" si="42"/>
        <v>0.16140226102751101</v>
      </c>
      <c r="O300" s="10">
        <f t="shared" si="43"/>
        <v>6.2581765777038625E-2</v>
      </c>
      <c r="P300" s="66">
        <f t="shared" si="44"/>
        <v>2</v>
      </c>
      <c r="Q300" s="10">
        <f t="shared" si="45"/>
        <v>7.734493300919979E-5</v>
      </c>
    </row>
    <row r="301" spans="9:17">
      <c r="I301" s="66">
        <v>57</v>
      </c>
      <c r="J301" s="10">
        <f t="shared" si="38"/>
        <v>0.10739892343690505</v>
      </c>
      <c r="K301" s="10">
        <f t="shared" si="39"/>
        <v>0.16860625526583184</v>
      </c>
      <c r="L301" s="10">
        <f t="shared" si="40"/>
        <v>0.99715405739455987</v>
      </c>
      <c r="M301" s="10">
        <f t="shared" si="41"/>
        <v>1.8056595600751915E-2</v>
      </c>
      <c r="N301" s="10">
        <f t="shared" si="42"/>
        <v>0.16375158457197997</v>
      </c>
      <c r="O301" s="10">
        <f t="shared" si="43"/>
        <v>6.1974060677035397E-2</v>
      </c>
      <c r="P301" s="66">
        <f t="shared" si="44"/>
        <v>4</v>
      </c>
      <c r="Q301" s="10">
        <f t="shared" si="45"/>
        <v>1.465957307912431E-4</v>
      </c>
    </row>
    <row r="302" spans="9:17">
      <c r="I302" s="66">
        <v>57.2</v>
      </c>
      <c r="J302" s="10">
        <f t="shared" si="38"/>
        <v>0.10391487565860098</v>
      </c>
      <c r="K302" s="10">
        <f t="shared" si="39"/>
        <v>0.16422989818681127</v>
      </c>
      <c r="L302" s="10">
        <f t="shared" si="40"/>
        <v>0.99714408590384351</v>
      </c>
      <c r="M302" s="10">
        <f t="shared" si="41"/>
        <v>1.7017190621028334E-2</v>
      </c>
      <c r="N302" s="10">
        <f t="shared" si="42"/>
        <v>0.16613513598451946</v>
      </c>
      <c r="O302" s="10">
        <f t="shared" si="43"/>
        <v>6.1372256744632217E-2</v>
      </c>
      <c r="P302" s="66">
        <f t="shared" si="44"/>
        <v>2</v>
      </c>
      <c r="Q302" s="10">
        <f t="shared" si="45"/>
        <v>6.9403510731059169E-5</v>
      </c>
    </row>
    <row r="303" spans="9:17">
      <c r="I303" s="66">
        <v>57.4</v>
      </c>
      <c r="J303" s="10">
        <f t="shared" si="38"/>
        <v>0.10049558424559984</v>
      </c>
      <c r="K303" s="10">
        <f t="shared" si="39"/>
        <v>0.15990590032806054</v>
      </c>
      <c r="L303" s="10">
        <f t="shared" si="40"/>
        <v>0.99713411451284151</v>
      </c>
      <c r="M303" s="10">
        <f t="shared" si="41"/>
        <v>1.6023782565498045E-2</v>
      </c>
      <c r="N303" s="10">
        <f t="shared" si="42"/>
        <v>0.16855341393929324</v>
      </c>
      <c r="O303" s="10">
        <f t="shared" si="43"/>
        <v>6.0776296676082857E-2</v>
      </c>
      <c r="P303" s="66">
        <f t="shared" si="44"/>
        <v>4</v>
      </c>
      <c r="Q303" s="10">
        <f t="shared" si="45"/>
        <v>1.3131877320483328E-4</v>
      </c>
    </row>
    <row r="304" spans="9:17">
      <c r="I304" s="66">
        <v>57.6</v>
      </c>
      <c r="J304" s="10">
        <f t="shared" si="38"/>
        <v>9.7141467737517612E-2</v>
      </c>
      <c r="K304" s="10">
        <f t="shared" si="39"/>
        <v>0.15563528177480801</v>
      </c>
      <c r="L304" s="10">
        <f t="shared" si="40"/>
        <v>0.99712414322155285</v>
      </c>
      <c r="M304" s="10">
        <f t="shared" si="41"/>
        <v>1.5075160660875206E-2</v>
      </c>
      <c r="N304" s="10">
        <f t="shared" si="42"/>
        <v>0.17100692437577</v>
      </c>
      <c r="O304" s="10">
        <f t="shared" si="43"/>
        <v>6.0186123724093016E-2</v>
      </c>
      <c r="P304" s="66">
        <f t="shared" si="44"/>
        <v>2</v>
      </c>
      <c r="Q304" s="10">
        <f t="shared" si="45"/>
        <v>6.2062892190550622E-5</v>
      </c>
    </row>
    <row r="305" spans="9:17">
      <c r="I305" s="66">
        <v>57.8</v>
      </c>
      <c r="J305" s="10">
        <f t="shared" si="38"/>
        <v>9.3852897462644344E-2</v>
      </c>
      <c r="K305" s="10">
        <f t="shared" si="39"/>
        <v>0.15141903282514649</v>
      </c>
      <c r="L305" s="10">
        <f t="shared" si="40"/>
        <v>0.99711417202997676</v>
      </c>
      <c r="M305" s="10">
        <f t="shared" si="41"/>
        <v>1.417010412858976E-2</v>
      </c>
      <c r="N305" s="10">
        <f t="shared" si="42"/>
        <v>0.17349618060457433</v>
      </c>
      <c r="O305" s="10">
        <f t="shared" si="43"/>
        <v>5.9601681692417717E-2</v>
      </c>
      <c r="P305" s="66">
        <f t="shared" si="44"/>
        <v>4</v>
      </c>
      <c r="Q305" s="10">
        <f t="shared" si="45"/>
        <v>1.1722262999880114E-4</v>
      </c>
    </row>
    <row r="306" spans="9:17">
      <c r="I306" s="66">
        <v>58</v>
      </c>
      <c r="J306" s="10">
        <f t="shared" si="38"/>
        <v>9.0630196870938429E-2</v>
      </c>
      <c r="K306" s="10">
        <f t="shared" si="39"/>
        <v>0.14725811264722252</v>
      </c>
      <c r="L306" s="10">
        <f t="shared" si="40"/>
        <v>0.99710420093811192</v>
      </c>
      <c r="M306" s="10">
        <f t="shared" si="41"/>
        <v>1.330738431386781E-2</v>
      </c>
      <c r="N306" s="10">
        <f t="shared" si="42"/>
        <v>0.17602170341487844</v>
      </c>
      <c r="O306" s="10">
        <f t="shared" si="43"/>
        <v>5.9022914930509894E-2</v>
      </c>
      <c r="P306" s="66">
        <f t="shared" si="44"/>
        <v>2</v>
      </c>
      <c r="Q306" s="10">
        <f t="shared" si="45"/>
        <v>5.5301837803662008E-5</v>
      </c>
    </row>
    <row r="307" spans="9:17">
      <c r="I307" s="66">
        <v>58.2</v>
      </c>
      <c r="J307" s="10">
        <f t="shared" si="38"/>
        <v>8.7473640937094102E-2</v>
      </c>
      <c r="K307" s="10">
        <f t="shared" si="39"/>
        <v>0.14315344795636772</v>
      </c>
      <c r="L307" s="10">
        <f t="shared" si="40"/>
        <v>0.99709422994595764</v>
      </c>
      <c r="M307" s="10">
        <f t="shared" si="41"/>
        <v>1.2485766807355216E-2</v>
      </c>
      <c r="N307" s="10">
        <f t="shared" si="42"/>
        <v>0.17858402118335828</v>
      </c>
      <c r="O307" s="10">
        <f t="shared" si="43"/>
        <v>5.8449768328221158E-2</v>
      </c>
      <c r="P307" s="66">
        <f t="shared" si="44"/>
        <v>4</v>
      </c>
      <c r="Q307" s="10">
        <f t="shared" si="45"/>
        <v>1.0426309158446647E-4</v>
      </c>
    </row>
    <row r="308" spans="9:17">
      <c r="I308" s="66">
        <v>58.4</v>
      </c>
      <c r="J308" s="10">
        <f t="shared" si="38"/>
        <v>8.4383455636442978E-2</v>
      </c>
      <c r="K308" s="10">
        <f t="shared" si="39"/>
        <v>0.13910593171528474</v>
      </c>
      <c r="L308" s="10">
        <f t="shared" si="40"/>
        <v>0.99708425905351272</v>
      </c>
      <c r="M308" s="10">
        <f t="shared" si="41"/>
        <v>1.1704013552936193E-2</v>
      </c>
      <c r="N308" s="10">
        <f t="shared" si="42"/>
        <v>0.18118366998474023</v>
      </c>
      <c r="O308" s="10">
        <f t="shared" si="43"/>
        <v>5.788218731055509E-2</v>
      </c>
      <c r="P308" s="66">
        <f t="shared" si="44"/>
        <v>2</v>
      </c>
      <c r="Q308" s="10">
        <f t="shared" si="45"/>
        <v>4.9097433883697682E-5</v>
      </c>
    </row>
    <row r="309" spans="9:17">
      <c r="I309" s="66">
        <v>58.6</v>
      </c>
      <c r="J309" s="10">
        <f t="shared" si="38"/>
        <v>8.135981749633471E-2</v>
      </c>
      <c r="K309" s="10">
        <f t="shared" si="39"/>
        <v>0.13511642186046152</v>
      </c>
      <c r="L309" s="10">
        <f t="shared" si="40"/>
        <v>0.99707428826077626</v>
      </c>
      <c r="M309" s="10">
        <f t="shared" si="41"/>
        <v>1.0960884935428654E-2</v>
      </c>
      <c r="N309" s="10">
        <f t="shared" si="42"/>
        <v>0.18382119370395275</v>
      </c>
      <c r="O309" s="10">
        <f t="shared" si="43"/>
        <v>5.7320117832469528E-2</v>
      </c>
      <c r="P309" s="66">
        <f t="shared" si="44"/>
        <v>4</v>
      </c>
      <c r="Q309" s="10">
        <f t="shared" si="45"/>
        <v>9.2392828378501393E-5</v>
      </c>
    </row>
    <row r="310" spans="9:17">
      <c r="I310" s="66">
        <v>58.8</v>
      </c>
      <c r="J310" s="10">
        <f t="shared" si="38"/>
        <v>7.8402853225492425E-2</v>
      </c>
      <c r="K310" s="10">
        <f t="shared" si="39"/>
        <v>0.13118574005801764</v>
      </c>
      <c r="L310" s="10">
        <f t="shared" si="40"/>
        <v>0.99706431756774716</v>
      </c>
      <c r="M310" s="10">
        <f t="shared" si="41"/>
        <v>1.025514184189298E-2</v>
      </c>
      <c r="N310" s="10">
        <f t="shared" si="42"/>
        <v>0.18649714414991742</v>
      </c>
      <c r="O310" s="10">
        <f t="shared" si="43"/>
        <v>5.6763506373731148E-2</v>
      </c>
      <c r="P310" s="66">
        <f t="shared" si="44"/>
        <v>2</v>
      </c>
      <c r="Q310" s="10">
        <f t="shared" si="45"/>
        <v>4.3425323597735859E-5</v>
      </c>
    </row>
    <row r="311" spans="9:17">
      <c r="I311" s="66">
        <v>59</v>
      </c>
      <c r="J311" s="10">
        <f t="shared" si="38"/>
        <v>7.5512639423691422E-2</v>
      </c>
      <c r="K311" s="10">
        <f t="shared" si="39"/>
        <v>0.127314670492225</v>
      </c>
      <c r="L311" s="10">
        <f t="shared" si="40"/>
        <v>0.99705434697442452</v>
      </c>
      <c r="M311" s="10">
        <f t="shared" si="41"/>
        <v>9.5855476903802337E-3</v>
      </c>
      <c r="N311" s="10">
        <f t="shared" si="42"/>
        <v>0.18921208117099431</v>
      </c>
      <c r="O311" s="10">
        <f t="shared" si="43"/>
        <v>5.6212299933818946E-2</v>
      </c>
      <c r="P311" s="66">
        <f t="shared" si="44"/>
        <v>4</v>
      </c>
      <c r="Q311" s="10">
        <f t="shared" si="45"/>
        <v>8.1561862913645392E-5</v>
      </c>
    </row>
    <row r="312" spans="9:17">
      <c r="I312" s="66">
        <v>59.2</v>
      </c>
      <c r="J312" s="10">
        <f t="shared" si="38"/>
        <v>7.2689202373945216E-2</v>
      </c>
      <c r="K312" s="10">
        <f t="shared" si="39"/>
        <v>0.12350395868997567</v>
      </c>
      <c r="L312" s="10">
        <f t="shared" si="40"/>
        <v>0.99704437648080735</v>
      </c>
      <c r="M312" s="10">
        <f t="shared" si="41"/>
        <v>8.9508704200646893E-3</v>
      </c>
      <c r="N312" s="10">
        <f t="shared" si="42"/>
        <v>0.19196657277211016</v>
      </c>
      <c r="O312" s="10">
        <f t="shared" si="43"/>
        <v>5.566644602687728E-2</v>
      </c>
      <c r="P312" s="66">
        <f t="shared" si="44"/>
        <v>2</v>
      </c>
      <c r="Q312" s="10">
        <f t="shared" si="45"/>
        <v>3.825994732386497E-5</v>
      </c>
    </row>
    <row r="313" spans="9:17">
      <c r="I313" s="66">
        <v>59.4</v>
      </c>
      <c r="J313" s="10">
        <f t="shared" si="38"/>
        <v>6.9932517919190806E-2</v>
      </c>
      <c r="K313" s="10">
        <f t="shared" si="39"/>
        <v>0.11975431038446691</v>
      </c>
      <c r="L313" s="10">
        <f t="shared" si="40"/>
        <v>0.99703440608689453</v>
      </c>
      <c r="M313" s="10">
        <f t="shared" si="41"/>
        <v>8.3498844368512393E-3</v>
      </c>
      <c r="N313" s="10">
        <f t="shared" si="42"/>
        <v>0.19476119523359572</v>
      </c>
      <c r="O313" s="10">
        <f t="shared" si="43"/>
        <v>5.5125892676719121E-2</v>
      </c>
      <c r="P313" s="66">
        <f t="shared" si="44"/>
        <v>4</v>
      </c>
      <c r="Q313" s="10">
        <f t="shared" si="45"/>
        <v>7.1718057519183366E-5</v>
      </c>
    </row>
    <row r="314" spans="9:17">
      <c r="I314" s="66">
        <v>59.6</v>
      </c>
      <c r="J314" s="10">
        <f t="shared" si="38"/>
        <v>6.7242511425289558E-2</v>
      </c>
      <c r="K314" s="10">
        <f t="shared" si="39"/>
        <v>0.1160663904214037</v>
      </c>
      <c r="L314" s="10">
        <f t="shared" si="40"/>
        <v>0.99702443579268529</v>
      </c>
      <c r="M314" s="10">
        <f t="shared" si="41"/>
        <v>7.7813725087310295E-3</v>
      </c>
      <c r="N314" s="10">
        <f t="shared" si="42"/>
        <v>0.19759653323174922</v>
      </c>
      <c r="O314" s="10">
        <f t="shared" si="43"/>
        <v>5.4590588411875758E-2</v>
      </c>
      <c r="P314" s="66">
        <f t="shared" si="44"/>
        <v>2</v>
      </c>
      <c r="Q314" s="10">
        <f t="shared" si="45"/>
        <v>3.3574789137558685E-5</v>
      </c>
    </row>
    <row r="315" spans="9:17">
      <c r="I315" s="66">
        <v>59.8</v>
      </c>
      <c r="J315" s="10">
        <f t="shared" si="38"/>
        <v>6.4619057831936569E-2</v>
      </c>
      <c r="K315" s="10">
        <f t="shared" si="39"/>
        <v>0.11244082171099197</v>
      </c>
      <c r="L315" s="10">
        <f t="shared" si="40"/>
        <v>0.99701446559817841</v>
      </c>
      <c r="M315" s="10">
        <f t="shared" si="41"/>
        <v>7.2441276053626094E-3</v>
      </c>
      <c r="N315" s="10">
        <f t="shared" si="42"/>
        <v>0.20047317996116121</v>
      </c>
      <c r="O315" s="10">
        <f t="shared" si="43"/>
        <v>5.4060482260696333E-2</v>
      </c>
      <c r="P315" s="66">
        <f t="shared" si="44"/>
        <v>4</v>
      </c>
      <c r="Q315" s="10">
        <f t="shared" si="45"/>
        <v>6.2807610884361119E-5</v>
      </c>
    </row>
    <row r="316" spans="9:17">
      <c r="I316" s="66">
        <v>60</v>
      </c>
      <c r="J316" s="10">
        <f t="shared" si="38"/>
        <v>6.2061981792859655E-2</v>
      </c>
      <c r="K316" s="10">
        <f t="shared" si="39"/>
        <v>0.10887818422898982</v>
      </c>
      <c r="L316" s="10">
        <f t="shared" si="40"/>
        <v>0.997004495503373</v>
      </c>
      <c r="M316" s="10">
        <f t="shared" si="41"/>
        <v>6.7369546765943108E-3</v>
      </c>
      <c r="N316" s="10">
        <f t="shared" si="42"/>
        <v>0.2033917372588189</v>
      </c>
      <c r="O316" s="10">
        <f t="shared" si="43"/>
        <v>5.3535523746494243E-2</v>
      </c>
      <c r="P316" s="66">
        <f t="shared" si="44"/>
        <v>2</v>
      </c>
      <c r="Q316" s="10">
        <f t="shared" si="45"/>
        <v>2.9342626028205245E-5</v>
      </c>
    </row>
    <row r="317" spans="9:17">
      <c r="I317" s="66">
        <v>60.2</v>
      </c>
      <c r="J317" s="10">
        <f t="shared" si="38"/>
        <v>5.957105790646066E-2</v>
      </c>
      <c r="K317" s="10">
        <f t="shared" si="39"/>
        <v>0.1053790140700617</v>
      </c>
      <c r="L317" s="10">
        <f t="shared" si="40"/>
        <v>0.99699452550826795</v>
      </c>
      <c r="M317" s="10">
        <f t="shared" si="41"/>
        <v>6.2586723649082328E-3</v>
      </c>
      <c r="N317" s="10">
        <f t="shared" si="42"/>
        <v>0.2063528157300184</v>
      </c>
      <c r="O317" s="10">
        <f t="shared" si="43"/>
        <v>5.3015662882740275E-2</v>
      </c>
      <c r="P317" s="66">
        <f t="shared" si="44"/>
        <v>4</v>
      </c>
      <c r="Q317" s="10">
        <f t="shared" si="45"/>
        <v>5.4775556629372758E-5</v>
      </c>
    </row>
    <row r="318" spans="9:17">
      <c r="I318" s="66">
        <v>60.4</v>
      </c>
      <c r="J318" s="10">
        <f t="shared" si="38"/>
        <v>5.7146011037795763E-2</v>
      </c>
      <c r="K318" s="10">
        <f t="shared" si="39"/>
        <v>0.10194380255662464</v>
      </c>
      <c r="L318" s="10">
        <f t="shared" si="40"/>
        <v>0.99698455561286248</v>
      </c>
      <c r="M318" s="10">
        <f t="shared" si="41"/>
        <v>5.8081146470543438E-3</v>
      </c>
      <c r="N318" s="10">
        <f t="shared" si="42"/>
        <v>0.20935703487611543</v>
      </c>
      <c r="O318" s="10">
        <f t="shared" si="43"/>
        <v>5.2500850168303914E-2</v>
      </c>
      <c r="P318" s="66">
        <f t="shared" si="44"/>
        <v>2</v>
      </c>
      <c r="Q318" s="10">
        <f t="shared" si="45"/>
        <v>2.5535776386830126E-5</v>
      </c>
    </row>
    <row r="319" spans="9:17">
      <c r="I319" s="66">
        <v>60.6</v>
      </c>
      <c r="J319" s="10">
        <f t="shared" si="38"/>
        <v>5.4786516732553643E-2</v>
      </c>
      <c r="K319" s="10">
        <f t="shared" si="39"/>
        <v>9.8572995406348812E-2</v>
      </c>
      <c r="L319" s="10">
        <f t="shared" si="40"/>
        <v>0.99697458581715537</v>
      </c>
      <c r="M319" s="10">
        <f t="shared" si="41"/>
        <v>5.384132400462217E-3</v>
      </c>
      <c r="N319" s="10">
        <f t="shared" si="42"/>
        <v>0.21240502322413041</v>
      </c>
      <c r="O319" s="10">
        <f t="shared" si="43"/>
        <v>5.1991036582738813E-2</v>
      </c>
      <c r="P319" s="66">
        <f t="shared" si="44"/>
        <v>4</v>
      </c>
      <c r="Q319" s="10">
        <f t="shared" si="45"/>
        <v>4.7566256959158322E-5</v>
      </c>
    </row>
    <row r="320" spans="9:17">
      <c r="I320" s="66">
        <v>60.8</v>
      </c>
      <c r="J320" s="10">
        <f t="shared" si="38"/>
        <v>5.2492201723410736E-2</v>
      </c>
      <c r="K320" s="10">
        <f t="shared" si="39"/>
        <v>9.5266991961389921E-2</v>
      </c>
      <c r="L320" s="10">
        <f t="shared" si="40"/>
        <v>0.99696461612114584</v>
      </c>
      <c r="M320" s="10">
        <f t="shared" si="41"/>
        <v>4.9855948903539289E-3</v>
      </c>
      <c r="N320" s="10">
        <f t="shared" si="42"/>
        <v>0.21549741845824832</v>
      </c>
      <c r="O320" s="10">
        <f t="shared" si="43"/>
        <v>5.1486173581615564E-2</v>
      </c>
      <c r="P320" s="66">
        <f t="shared" si="44"/>
        <v>2</v>
      </c>
      <c r="Q320" s="10">
        <f t="shared" si="45"/>
        <v>2.2126344317412121E-5</v>
      </c>
    </row>
    <row r="321" spans="9:17">
      <c r="I321" s="66">
        <v>61</v>
      </c>
      <c r="J321" s="10">
        <f t="shared" si="38"/>
        <v>5.0262644528873433E-2</v>
      </c>
      <c r="K321" s="10">
        <f t="shared" si="39"/>
        <v>9.202614448236468E-2</v>
      </c>
      <c r="L321" s="10">
        <f t="shared" si="40"/>
        <v>0.99695464652483268</v>
      </c>
      <c r="M321" s="10">
        <f t="shared" si="41"/>
        <v>4.6113911738435744E-3</v>
      </c>
      <c r="N321" s="10">
        <f t="shared" si="42"/>
        <v>0.21863486755323031</v>
      </c>
      <c r="O321" s="10">
        <f t="shared" si="43"/>
        <v>5.0986213091899268E-2</v>
      </c>
      <c r="P321" s="66">
        <f t="shared" si="44"/>
        <v>4</v>
      </c>
      <c r="Q321" s="10">
        <f t="shared" si="45"/>
        <v>4.1123884571197201E-5</v>
      </c>
    </row>
    <row r="322" spans="9:17">
      <c r="I322" s="66">
        <v>61.2</v>
      </c>
      <c r="J322" s="10">
        <f t="shared" si="38"/>
        <v>4.8097376144437438E-2</v>
      </c>
      <c r="K322" s="10">
        <f t="shared" si="39"/>
        <v>8.8850757509995493E-2</v>
      </c>
      <c r="L322" s="10">
        <f t="shared" si="40"/>
        <v>0.99694467702821499</v>
      </c>
      <c r="M322" s="10">
        <f t="shared" si="41"/>
        <v>4.2604314176895204E-3</v>
      </c>
      <c r="N322" s="10">
        <f t="shared" si="42"/>
        <v>0.22181802690976982</v>
      </c>
      <c r="O322" s="10">
        <f t="shared" si="43"/>
        <v>5.0491107507371687E-2</v>
      </c>
      <c r="P322" s="66">
        <f t="shared" si="44"/>
        <v>2</v>
      </c>
      <c r="Q322" s="10">
        <f t="shared" si="45"/>
        <v>1.9086456409057557E-5</v>
      </c>
    </row>
    <row r="323" spans="9:17">
      <c r="I323" s="66">
        <v>61.4</v>
      </c>
      <c r="J323" s="10">
        <f t="shared" si="38"/>
        <v>4.5995880825591133E-2</v>
      </c>
      <c r="K323" s="10">
        <f t="shared" si="39"/>
        <v>8.5741087297232968E-2</v>
      </c>
      <c r="L323" s="10">
        <f t="shared" si="40"/>
        <v>0.99693470763129177</v>
      </c>
      <c r="M323" s="10">
        <f t="shared" si="41"/>
        <v>3.9316481267611929E-3</v>
      </c>
      <c r="N323" s="10">
        <f t="shared" si="42"/>
        <v>0.22504756249182409</v>
      </c>
      <c r="O323" s="10">
        <f t="shared" si="43"/>
        <v>5.0000809684098986E-2</v>
      </c>
      <c r="P323" s="66">
        <f t="shared" si="44"/>
        <v>4</v>
      </c>
      <c r="Q323" s="10">
        <f t="shared" si="45"/>
        <v>3.5392886231988975E-5</v>
      </c>
    </row>
    <row r="324" spans="9:17">
      <c r="I324" s="66">
        <v>61.6</v>
      </c>
      <c r="J324" s="10">
        <f t="shared" si="38"/>
        <v>4.3957596961907645E-2</v>
      </c>
      <c r="K324" s="10">
        <f t="shared" si="39"/>
        <v>8.2697341314571557E-2</v>
      </c>
      <c r="L324" s="10">
        <f t="shared" si="40"/>
        <v>0.99692473833406203</v>
      </c>
      <c r="M324" s="10">
        <f t="shared" si="41"/>
        <v>3.6239972806974769E-3</v>
      </c>
      <c r="N324" s="10">
        <f t="shared" si="42"/>
        <v>0.22832414996594019</v>
      </c>
      <c r="O324" s="10">
        <f t="shared" si="43"/>
        <v>4.9515272935941712E-2</v>
      </c>
      <c r="P324" s="66">
        <f t="shared" si="44"/>
        <v>2</v>
      </c>
      <c r="Q324" s="10">
        <f t="shared" si="45"/>
        <v>1.6388487764667398E-5</v>
      </c>
    </row>
    <row r="325" spans="9:17">
      <c r="I325" s="66">
        <v>61.8</v>
      </c>
      <c r="J325" s="10">
        <f t="shared" si="38"/>
        <v>4.1981918041150409E-2</v>
      </c>
      <c r="K325" s="10">
        <f t="shared" si="39"/>
        <v>7.9719677831121633E-2</v>
      </c>
      <c r="L325" s="10">
        <f t="shared" si="40"/>
        <v>0.99691476913652477</v>
      </c>
      <c r="M325" s="10">
        <f t="shared" si="41"/>
        <v>3.3364593766563502E-3</v>
      </c>
      <c r="N325" s="10">
        <f t="shared" si="42"/>
        <v>0.23164847484261694</v>
      </c>
      <c r="O325" s="10">
        <f t="shared" si="43"/>
        <v>4.903445103011006E-2</v>
      </c>
      <c r="P325" s="66">
        <f t="shared" si="44"/>
        <v>4</v>
      </c>
      <c r="Q325" s="10">
        <f t="shared" si="45"/>
        <v>3.0318421825824057E-5</v>
      </c>
    </row>
    <row r="326" spans="9:17">
      <c r="I326" s="66">
        <v>62</v>
      </c>
      <c r="J326" s="10">
        <f t="shared" si="38"/>
        <v>4.0068193702017002E-2</v>
      </c>
      <c r="K326" s="10">
        <f t="shared" si="39"/>
        <v>7.6808205573872579E-2</v>
      </c>
      <c r="L326" s="10">
        <f t="shared" si="40"/>
        <v>0.99690480003867898</v>
      </c>
      <c r="M326" s="10">
        <f t="shared" si="41"/>
        <v>3.0680403764919892E-3</v>
      </c>
      <c r="N326" s="10">
        <f t="shared" si="42"/>
        <v>0.23502123261972252</v>
      </c>
      <c r="O326" s="10">
        <f t="shared" si="43"/>
        <v>4.855829818276123E-2</v>
      </c>
      <c r="P326" s="66">
        <f t="shared" si="44"/>
        <v>2</v>
      </c>
      <c r="Q326" s="10">
        <f t="shared" si="45"/>
        <v>1.400527431146215E-5</v>
      </c>
    </row>
    <row r="327" spans="9:17">
      <c r="I327" s="66">
        <v>62.2</v>
      </c>
      <c r="J327" s="10">
        <f t="shared" si="38"/>
        <v>3.8215730873835105E-2</v>
      </c>
      <c r="K327" s="10">
        <f t="shared" si="39"/>
        <v>7.3962983467423166E-2</v>
      </c>
      <c r="L327" s="10">
        <f t="shared" si="40"/>
        <v>0.99689483104052368</v>
      </c>
      <c r="M327" s="10">
        <f t="shared" si="41"/>
        <v>2.817772557137754E-3</v>
      </c>
      <c r="N327" s="10">
        <f t="shared" si="42"/>
        <v>0.23844312892800254</v>
      </c>
      <c r="O327" s="10">
        <f t="shared" si="43"/>
        <v>4.808676905463969E-2</v>
      </c>
      <c r="P327" s="66">
        <f t="shared" si="44"/>
        <v>4</v>
      </c>
      <c r="Q327" s="10">
        <f t="shared" si="45"/>
        <v>2.5846773207223559E-5</v>
      </c>
    </row>
    <row r="328" spans="9:17">
      <c r="I328" s="66">
        <v>62.4</v>
      </c>
      <c r="J328" s="10">
        <f t="shared" si="38"/>
        <v>3.6423795001201804E-2</v>
      </c>
      <c r="K328" s="10">
        <f t="shared" si="39"/>
        <v>7.1184020456275671E-2</v>
      </c>
      <c r="L328" s="10">
        <f t="shared" si="40"/>
        <v>0.99688486214205785</v>
      </c>
      <c r="M328" s="10">
        <f t="shared" si="41"/>
        <v>2.5847152634189928E-3</v>
      </c>
      <c r="N328" s="10">
        <f t="shared" si="42"/>
        <v>0.24191487967871089</v>
      </c>
      <c r="O328" s="10">
        <f t="shared" si="43"/>
        <v>4.7619818746760932E-2</v>
      </c>
      <c r="P328" s="66">
        <f t="shared" si="44"/>
        <v>2</v>
      </c>
      <c r="Q328" s="10">
        <f t="shared" si="45"/>
        <v>1.1910308715366138E-5</v>
      </c>
    </row>
    <row r="329" spans="9:17">
      <c r="I329" s="66">
        <v>62.6</v>
      </c>
      <c r="J329" s="10">
        <f t="shared" si="38"/>
        <v>3.4691611351256493E-2</v>
      </c>
      <c r="K329" s="10">
        <f t="shared" si="39"/>
        <v>6.847127541162365E-2</v>
      </c>
      <c r="L329" s="10">
        <f t="shared" si="40"/>
        <v>0.9968748933432805</v>
      </c>
      <c r="M329" s="10">
        <f t="shared" si="41"/>
        <v>2.3679555629694468E-3</v>
      </c>
      <c r="N329" s="10">
        <f t="shared" si="42"/>
        <v>0.24543721121338571</v>
      </c>
      <c r="O329" s="10">
        <f t="shared" si="43"/>
        <v>4.7157402796134958E-2</v>
      </c>
      <c r="P329" s="66">
        <f t="shared" si="44"/>
        <v>4</v>
      </c>
      <c r="Q329" s="10">
        <f t="shared" si="45"/>
        <v>2.1925717843851358E-5</v>
      </c>
    </row>
    <row r="330" spans="9:17">
      <c r="I330" s="66">
        <v>62.8</v>
      </c>
      <c r="J330" s="10">
        <f t="shared" si="38"/>
        <v>3.301836640095273E-2</v>
      </c>
      <c r="K330" s="10">
        <f t="shared" si="39"/>
        <v>6.5824657124350136E-2</v>
      </c>
      <c r="L330" s="10">
        <f t="shared" si="40"/>
        <v>0.99686492464419063</v>
      </c>
      <c r="M330" s="10">
        <f t="shared" si="41"/>
        <v>2.1666088033700415E-3</v>
      </c>
      <c r="N330" s="10">
        <f t="shared" si="42"/>
        <v>0.24901086045581297</v>
      </c>
      <c r="O330" s="10">
        <f t="shared" si="43"/>
        <v>4.6699477171533381E-2</v>
      </c>
      <c r="P330" s="66">
        <f t="shared" si="44"/>
        <v>2</v>
      </c>
      <c r="Q330" s="10">
        <f t="shared" si="45"/>
        <v>1.0077917578109618E-5</v>
      </c>
    </row>
    <row r="331" spans="9:17">
      <c r="I331" s="66">
        <v>63</v>
      </c>
      <c r="J331" s="10">
        <f t="shared" si="38"/>
        <v>3.1403209301389463E-2</v>
      </c>
      <c r="K331" s="10">
        <f t="shared" si="39"/>
        <v>6.3244024385751538E-2</v>
      </c>
      <c r="L331" s="10">
        <f t="shared" si="40"/>
        <v>0.99685495604478724</v>
      </c>
      <c r="M331" s="10">
        <f t="shared" si="41"/>
        <v>1.9798190720719138E-3</v>
      </c>
      <c r="N331" s="10">
        <f t="shared" si="42"/>
        <v>0.25263657506620174</v>
      </c>
      <c r="O331" s="10">
        <f t="shared" si="43"/>
        <v>4.6245998269296387E-2</v>
      </c>
      <c r="P331" s="66">
        <f t="shared" si="44"/>
        <v>4</v>
      </c>
      <c r="Q331" s="10">
        <f t="shared" si="45"/>
        <v>1.8504863004308655E-5</v>
      </c>
    </row>
    <row r="332" spans="9:17">
      <c r="I332" s="66">
        <v>63.2</v>
      </c>
      <c r="J332" s="10">
        <f t="shared" si="38"/>
        <v>2.9845253415958568E-2</v>
      </c>
      <c r="K332" s="10">
        <f t="shared" si="39"/>
        <v>6.0729186157283468E-2</v>
      </c>
      <c r="L332" s="10">
        <f t="shared" si="40"/>
        <v>0.99684498754506934</v>
      </c>
      <c r="M332" s="10">
        <f t="shared" si="41"/>
        <v>1.8067595601005896E-3</v>
      </c>
      <c r="N332" s="10">
        <f t="shared" si="42"/>
        <v>0.25631511359760273</v>
      </c>
      <c r="O332" s="10">
        <f t="shared" si="43"/>
        <v>4.5796922909180658E-2</v>
      </c>
      <c r="P332" s="66">
        <f t="shared" si="44"/>
        <v>2</v>
      </c>
      <c r="Q332" s="10">
        <f t="shared" si="45"/>
        <v>8.4834180042033909E-6</v>
      </c>
    </row>
    <row r="333" spans="9:17">
      <c r="I333" s="66">
        <v>63.4</v>
      </c>
      <c r="J333" s="10">
        <f t="shared" si="38"/>
        <v>2.8343577928756681E-2</v>
      </c>
      <c r="K333" s="10">
        <f t="shared" si="39"/>
        <v>5.8279901830378691E-2</v>
      </c>
      <c r="L333" s="10">
        <f t="shared" si="40"/>
        <v>0.99683501914503603</v>
      </c>
      <c r="M333" s="10">
        <f t="shared" si="41"/>
        <v>1.6466328309619664E-3</v>
      </c>
      <c r="N333" s="10">
        <f t="shared" si="42"/>
        <v>0.26004724565461423</v>
      </c>
      <c r="O333" s="10">
        <f t="shared" si="43"/>
        <v>4.53522083302485E-2</v>
      </c>
      <c r="P333" s="66">
        <f t="shared" si="44"/>
        <v>4</v>
      </c>
      <c r="Q333" s="10">
        <f t="shared" si="45"/>
        <v>1.5535937105433521E-5</v>
      </c>
    </row>
    <row r="334" spans="9:17">
      <c r="I334" s="66">
        <v>63.6</v>
      </c>
      <c r="J334" s="10">
        <f t="shared" si="38"/>
        <v>2.6897229519428325E-2</v>
      </c>
      <c r="K334" s="10">
        <f t="shared" si="39"/>
        <v>5.5895881577158468E-2</v>
      </c>
      <c r="L334" s="10">
        <f t="shared" si="40"/>
        <v>0.9968250508446862</v>
      </c>
      <c r="M334" s="10">
        <f t="shared" si="41"/>
        <v>1.4986709965835632E-3</v>
      </c>
      <c r="N334" s="10">
        <f t="shared" si="42"/>
        <v>0.26383375205438964</v>
      </c>
      <c r="O334" s="10">
        <f t="shared" si="43"/>
        <v>4.4911812186795214E-2</v>
      </c>
      <c r="P334" s="66">
        <f t="shared" si="44"/>
        <v>2</v>
      </c>
      <c r="Q334" s="10">
        <f t="shared" si="45"/>
        <v>7.1032520739685588E-6</v>
      </c>
    </row>
    <row r="335" spans="9:17">
      <c r="I335" s="66">
        <v>63.8</v>
      </c>
      <c r="J335" s="10">
        <f t="shared" si="38"/>
        <v>2.5505224100314066E-2</v>
      </c>
      <c r="K335" s="10">
        <f t="shared" si="39"/>
        <v>5.357678679258724E-2</v>
      </c>
      <c r="L335" s="10">
        <f t="shared" si="40"/>
        <v>0.99681508264401875</v>
      </c>
      <c r="M335" s="10">
        <f t="shared" si="41"/>
        <v>1.3621358025191431E-3</v>
      </c>
      <c r="N335" s="10">
        <f t="shared" si="42"/>
        <v>0.26767542498999897</v>
      </c>
      <c r="O335" s="10">
        <f t="shared" si="43"/>
        <v>4.4475692544317491E-2</v>
      </c>
      <c r="P335" s="66">
        <f t="shared" si="44"/>
        <v>4</v>
      </c>
      <c r="Q335" s="10">
        <f t="shared" si="45"/>
        <v>1.2973035763494469E-5</v>
      </c>
    </row>
    <row r="336" spans="9:17">
      <c r="I336" s="66">
        <v>64</v>
      </c>
      <c r="J336" s="10">
        <f t="shared" si="38"/>
        <v>2.4166548611509537E-2</v>
      </c>
      <c r="K336" s="10">
        <f t="shared" si="39"/>
        <v>5.1322230628360548E-2</v>
      </c>
      <c r="L336" s="10">
        <f t="shared" si="40"/>
        <v>0.99680511454303289</v>
      </c>
      <c r="M336" s="10">
        <f t="shared" si="41"/>
        <v>1.2363186250225933E-3</v>
      </c>
      <c r="N336" s="10">
        <f t="shared" si="42"/>
        <v>0.27157306819616689</v>
      </c>
      <c r="O336" s="10">
        <f t="shared" si="43"/>
        <v>4.4043807875520369E-2</v>
      </c>
      <c r="P336" s="66">
        <f t="shared" si="44"/>
        <v>2</v>
      </c>
      <c r="Q336" s="10">
        <f t="shared" si="45"/>
        <v>5.9150982363134855E-6</v>
      </c>
    </row>
    <row r="337" spans="9:17">
      <c r="I337" s="66">
        <v>64.2</v>
      </c>
      <c r="J337" s="10">
        <f t="shared" ref="J337:J400" si="46">(B$10^I337)*(B$11^((B$5^B$8)*((B$5^I337)-1)))</f>
        <v>2.2880162869183769E-2</v>
      </c>
      <c r="K337" s="10">
        <f t="shared" ref="K337:K400" si="47">(B$10^I337)*B$12^((B$5^B$9)*((B$5^I337)-1))</f>
        <v>4.9131778618543814E-2</v>
      </c>
      <c r="L337" s="10">
        <f t="shared" ref="L337:L400" si="48">EXP(-B$13*I337)</f>
        <v>0.99679514654172763</v>
      </c>
      <c r="M337" s="10">
        <f t="shared" ref="M337:M400" si="49">J337*K337*L337</f>
        <v>1.1205403829534467E-3</v>
      </c>
      <c r="N337" s="10">
        <f t="shared" ref="N337:N400" si="50">B$3+B$6*(B$5^(B$8+I337)) +B$13</f>
        <v>0.27552749711742291</v>
      </c>
      <c r="O337" s="10">
        <f t="shared" ref="O337:O400" si="51">(1+B$7)^-I337</f>
        <v>4.3616117056362536E-2</v>
      </c>
      <c r="P337" s="66">
        <f t="shared" si="44"/>
        <v>4</v>
      </c>
      <c r="Q337" s="10">
        <f t="shared" si="45"/>
        <v>1.0772821067190677E-5</v>
      </c>
    </row>
    <row r="338" spans="9:17">
      <c r="I338" s="66">
        <v>64.400000000000006</v>
      </c>
      <c r="J338" s="10">
        <f t="shared" si="46"/>
        <v>2.1645001462252709E-2</v>
      </c>
      <c r="K338" s="10">
        <f t="shared" si="47"/>
        <v>4.7004949396683392E-2</v>
      </c>
      <c r="L338" s="10">
        <f t="shared" si="48"/>
        <v>0.99678517864010174</v>
      </c>
      <c r="M338" s="10">
        <f t="shared" si="49"/>
        <v>1.0141513678087976E-3</v>
      </c>
      <c r="N338" s="10">
        <f t="shared" si="50"/>
        <v>0.27953953907871032</v>
      </c>
      <c r="O338" s="10">
        <f t="shared" si="51"/>
        <v>4.3192579362141402E-2</v>
      </c>
      <c r="P338" s="66">
        <f t="shared" si="44"/>
        <v>2</v>
      </c>
      <c r="Q338" s="10">
        <f t="shared" si="45"/>
        <v>4.8979591274853372E-6</v>
      </c>
    </row>
    <row r="339" spans="9:17">
      <c r="I339" s="66">
        <v>64.599999999999994</v>
      </c>
      <c r="J339" s="10">
        <f t="shared" si="46"/>
        <v>2.045997569228554E-2</v>
      </c>
      <c r="K339" s="10">
        <f t="shared" si="47"/>
        <v>4.4941215503836507E-2</v>
      </c>
      <c r="L339" s="10">
        <f t="shared" si="48"/>
        <v>0.99677521083815446</v>
      </c>
      <c r="M339" s="10">
        <f t="shared" si="49"/>
        <v>9.1653099548498929E-4</v>
      </c>
      <c r="N339" s="10">
        <f t="shared" si="50"/>
        <v>0.28361003345846886</v>
      </c>
      <c r="O339" s="10">
        <f t="shared" si="51"/>
        <v>4.2773154463614502E-2</v>
      </c>
      <c r="P339" s="66">
        <f t="shared" ref="P339:P402" si="52">IF(P338=4,2,4)</f>
        <v>4</v>
      </c>
      <c r="Q339" s="10">
        <f t="shared" ref="Q339:Q402" si="53">0.2*M339*N339*O339*P339</f>
        <v>8.8946735798989956E-6</v>
      </c>
    </row>
    <row r="340" spans="9:17">
      <c r="I340" s="66">
        <v>64.8</v>
      </c>
      <c r="J340" s="10">
        <f t="shared" si="46"/>
        <v>1.9323975551297955E-2</v>
      </c>
      <c r="K340" s="10">
        <f t="shared" si="47"/>
        <v>4.2940004286649153E-2</v>
      </c>
      <c r="L340" s="10">
        <f t="shared" si="48"/>
        <v>0.99676524313588466</v>
      </c>
      <c r="M340" s="10">
        <f t="shared" si="49"/>
        <v>8.2708748365170756E-4</v>
      </c>
      <c r="N340" s="10">
        <f t="shared" si="50"/>
        <v>0.2877398318642489</v>
      </c>
      <c r="O340" s="10">
        <f t="shared" si="51"/>
        <v>4.2357802423159535E-2</v>
      </c>
      <c r="P340" s="66">
        <f t="shared" si="52"/>
        <v>2</v>
      </c>
      <c r="Q340" s="10">
        <f t="shared" si="53"/>
        <v>4.0322258154347594E-6</v>
      </c>
    </row>
    <row r="341" spans="9:17">
      <c r="I341" s="66">
        <v>65</v>
      </c>
      <c r="J341" s="10">
        <f t="shared" si="46"/>
        <v>1.8235871731906279E-2</v>
      </c>
      <c r="K341" s="10">
        <f t="shared" si="47"/>
        <v>4.1000698884326094E-2</v>
      </c>
      <c r="L341" s="10">
        <f t="shared" si="48"/>
        <v>0.99675527553329146</v>
      </c>
      <c r="M341" s="10">
        <f t="shared" si="49"/>
        <v>7.4525745887344167E-4</v>
      </c>
      <c r="N341" s="10">
        <f t="shared" si="50"/>
        <v>0.29192979831087945</v>
      </c>
      <c r="O341" s="10">
        <f t="shared" si="51"/>
        <v>4.1946483690971779E-2</v>
      </c>
      <c r="P341" s="66">
        <f t="shared" si="52"/>
        <v>4</v>
      </c>
      <c r="Q341" s="10">
        <f t="shared" si="53"/>
        <v>7.3007975555445975E-6</v>
      </c>
    </row>
    <row r="342" spans="9:17">
      <c r="I342" s="66">
        <v>65.2</v>
      </c>
      <c r="J342" s="10">
        <f t="shared" si="46"/>
        <v>1.7194517664135753E-2</v>
      </c>
      <c r="K342" s="10">
        <f t="shared" si="47"/>
        <v>3.9122639303014461E-2</v>
      </c>
      <c r="L342" s="10">
        <f t="shared" si="48"/>
        <v>0.99674530803037364</v>
      </c>
      <c r="M342" s="10">
        <f t="shared" si="49"/>
        <v>6.7050549783336563E-4</v>
      </c>
      <c r="N342" s="10">
        <f t="shared" si="50"/>
        <v>0.29618080940122971</v>
      </c>
      <c r="O342" s="10">
        <f t="shared" si="51"/>
        <v>4.153915910129765E-2</v>
      </c>
      <c r="P342" s="66">
        <f t="shared" si="52"/>
        <v>2</v>
      </c>
      <c r="Q342" s="10">
        <f t="shared" si="53"/>
        <v>3.2997189493918836E-6</v>
      </c>
    </row>
    <row r="343" spans="9:17">
      <c r="I343" s="66">
        <v>65.400000000000006</v>
      </c>
      <c r="J343" s="10">
        <f t="shared" si="46"/>
        <v>1.6198751573032528E-2</v>
      </c>
      <c r="K343" s="10">
        <f t="shared" si="47"/>
        <v>3.7305123575820068E-2</v>
      </c>
      <c r="L343" s="10">
        <f t="shared" si="48"/>
        <v>0.99673534062713043</v>
      </c>
      <c r="M343" s="10">
        <f t="shared" si="49"/>
        <v>6.0232360720438919E-4</v>
      </c>
      <c r="N343" s="10">
        <f t="shared" si="50"/>
        <v>0.30049375450961358</v>
      </c>
      <c r="O343" s="10">
        <f t="shared" si="51"/>
        <v>4.1135789868706106E-2</v>
      </c>
      <c r="P343" s="66">
        <f t="shared" si="52"/>
        <v>4</v>
      </c>
      <c r="Q343" s="10">
        <f t="shared" si="53"/>
        <v>5.9562807883778362E-6</v>
      </c>
    </row>
    <row r="344" spans="9:17">
      <c r="I344" s="66">
        <v>65.599999999999994</v>
      </c>
      <c r="J344" s="10">
        <f t="shared" si="46"/>
        <v>1.5247398551104706E-2</v>
      </c>
      <c r="K344" s="10">
        <f t="shared" si="47"/>
        <v>3.554740900636566E-2</v>
      </c>
      <c r="L344" s="10">
        <f t="shared" si="48"/>
        <v>0.99672537332356081</v>
      </c>
      <c r="M344" s="10">
        <f t="shared" si="49"/>
        <v>5.4023064686891721E-4</v>
      </c>
      <c r="N344" s="10">
        <f t="shared" si="50"/>
        <v>0.30486953596785377</v>
      </c>
      <c r="O344" s="10">
        <f t="shared" si="51"/>
        <v>4.0736337584394759E-2</v>
      </c>
      <c r="P344" s="66">
        <f t="shared" si="52"/>
        <v>2</v>
      </c>
      <c r="Q344" s="10">
        <f t="shared" si="53"/>
        <v>2.6837077468014145E-6</v>
      </c>
    </row>
    <row r="345" spans="9:17">
      <c r="I345" s="66">
        <v>65.8</v>
      </c>
      <c r="J345" s="10">
        <f t="shared" si="46"/>
        <v>1.4339272639512606E-2</v>
      </c>
      <c r="K345" s="10">
        <f t="shared" si="47"/>
        <v>3.3848713493479968E-2</v>
      </c>
      <c r="L345" s="10">
        <f t="shared" si="48"/>
        <v>0.99671540611966369</v>
      </c>
      <c r="M345" s="10">
        <f t="shared" si="49"/>
        <v>4.8377170131215323E-4</v>
      </c>
      <c r="N345" s="10">
        <f t="shared" si="50"/>
        <v>0.30930906925406754</v>
      </c>
      <c r="O345" s="10">
        <f t="shared" si="51"/>
        <v>4.0340764212532881E-2</v>
      </c>
      <c r="P345" s="66">
        <f t="shared" si="52"/>
        <v>4</v>
      </c>
      <c r="Q345" s="10">
        <f t="shared" si="53"/>
        <v>4.8291113847052954E-6</v>
      </c>
    </row>
    <row r="346" spans="9:17">
      <c r="I346" s="66">
        <v>66</v>
      </c>
      <c r="J346" s="10">
        <f t="shared" si="46"/>
        <v>1.3473178911860643E-2</v>
      </c>
      <c r="K346" s="10">
        <f t="shared" si="47"/>
        <v>3.2208216934307921E-2</v>
      </c>
      <c r="L346" s="10">
        <f t="shared" si="48"/>
        <v>0.99670543901543807</v>
      </c>
      <c r="M346" s="10">
        <f t="shared" si="49"/>
        <v>4.3251740410443871E-4</v>
      </c>
      <c r="N346" s="10">
        <f t="shared" si="50"/>
        <v>0.31381328318419532</v>
      </c>
      <c r="O346" s="10">
        <f t="shared" si="51"/>
        <v>3.9949032086639788E-2</v>
      </c>
      <c r="P346" s="66">
        <f t="shared" si="52"/>
        <v>2</v>
      </c>
      <c r="Q346" s="10">
        <f t="shared" si="53"/>
        <v>2.1689081618902176E-6</v>
      </c>
    </row>
    <row r="347" spans="9:17">
      <c r="I347" s="66">
        <v>66.2</v>
      </c>
      <c r="J347" s="10">
        <f t="shared" si="46"/>
        <v>1.2647915554390978E-2</v>
      </c>
      <c r="K347" s="10">
        <f t="shared" si="47"/>
        <v>3.0625062702815366E-2</v>
      </c>
      <c r="L347" s="10">
        <f t="shared" si="48"/>
        <v>0.99669547201088304</v>
      </c>
      <c r="M347" s="10">
        <f t="shared" si="49"/>
        <v>3.8606322044449872E-4</v>
      </c>
      <c r="N347" s="10">
        <f t="shared" si="50"/>
        <v>0.31838312010632192</v>
      </c>
      <c r="O347" s="10">
        <f t="shared" si="51"/>
        <v>3.9561103905997756E-2</v>
      </c>
      <c r="P347" s="66">
        <f t="shared" si="52"/>
        <v>4</v>
      </c>
      <c r="Q347" s="10">
        <f t="shared" si="53"/>
        <v>3.8901545195835925E-6</v>
      </c>
    </row>
    <row r="348" spans="9:17">
      <c r="I348" s="66">
        <v>66.400000000000006</v>
      </c>
      <c r="J348" s="10">
        <f t="shared" si="46"/>
        <v>1.1862275936363055E-2</v>
      </c>
      <c r="K348" s="10">
        <f t="shared" si="47"/>
        <v>2.9098359200365846E-2</v>
      </c>
      <c r="L348" s="10">
        <f t="shared" si="48"/>
        <v>0.99668550510599752</v>
      </c>
      <c r="M348" s="10">
        <f t="shared" si="49"/>
        <v>3.4402869275926122E-4</v>
      </c>
      <c r="N348" s="10">
        <f t="shared" si="50"/>
        <v>0.32301953609783463</v>
      </c>
      <c r="O348" s="10">
        <f t="shared" si="51"/>
        <v>3.9176942732101053E-2</v>
      </c>
      <c r="P348" s="66">
        <f t="shared" si="52"/>
        <v>2</v>
      </c>
      <c r="Q348" s="10">
        <f t="shared" si="53"/>
        <v>1.741461940311461E-6</v>
      </c>
    </row>
    <row r="349" spans="9:17">
      <c r="I349" s="66">
        <v>66.599999999999994</v>
      </c>
      <c r="J349" s="10">
        <f t="shared" si="46"/>
        <v>1.1115050664413484E-2</v>
      </c>
      <c r="K349" s="10">
        <f t="shared" si="47"/>
        <v>2.7627181474751978E-2</v>
      </c>
      <c r="L349" s="10">
        <f t="shared" si="48"/>
        <v>0.99667553830078059</v>
      </c>
      <c r="M349" s="10">
        <f t="shared" si="49"/>
        <v>3.0605665434687586E-4</v>
      </c>
      <c r="N349" s="10">
        <f t="shared" si="50"/>
        <v>0.3277235011654428</v>
      </c>
      <c r="O349" s="10">
        <f t="shared" si="51"/>
        <v>3.8796511985137859E-2</v>
      </c>
      <c r="P349" s="66">
        <f t="shared" si="52"/>
        <v>4</v>
      </c>
      <c r="Q349" s="10">
        <f t="shared" si="53"/>
        <v>3.1130929023993877E-6</v>
      </c>
    </row>
    <row r="350" spans="9:17">
      <c r="I350" s="66">
        <v>66.8</v>
      </c>
      <c r="J350" s="10">
        <f t="shared" si="46"/>
        <v>1.040502961472633E-2</v>
      </c>
      <c r="K350" s="10">
        <f t="shared" si="47"/>
        <v>2.621057290377049E-2</v>
      </c>
      <c r="L350" s="10">
        <f t="shared" si="48"/>
        <v>0.99666557159523117</v>
      </c>
      <c r="M350" s="10">
        <f t="shared" si="49"/>
        <v>2.7181241600856074E-4</v>
      </c>
      <c r="N350" s="10">
        <f t="shared" si="50"/>
        <v>0.33249599944812264</v>
      </c>
      <c r="O350" s="10">
        <f t="shared" si="51"/>
        <v>3.8419775440507502E-2</v>
      </c>
      <c r="P350" s="66">
        <f t="shared" si="52"/>
        <v>2</v>
      </c>
      <c r="Q350" s="10">
        <f t="shared" si="53"/>
        <v>1.3888985629432923E-6</v>
      </c>
    </row>
    <row r="351" spans="9:17">
      <c r="I351" s="66">
        <v>67</v>
      </c>
      <c r="J351" s="10">
        <f t="shared" si="46"/>
        <v>9.731003936917039E-3</v>
      </c>
      <c r="K351" s="10">
        <f t="shared" si="47"/>
        <v>2.4847546939161306E-2</v>
      </c>
      <c r="L351" s="10">
        <f t="shared" si="48"/>
        <v>0.99665560498934835</v>
      </c>
      <c r="M351" s="10">
        <f t="shared" si="49"/>
        <v>2.4098293054367986E-4</v>
      </c>
      <c r="N351" s="10">
        <f t="shared" si="50"/>
        <v>0.33733802942301</v>
      </c>
      <c r="O351" s="10">
        <f t="shared" si="51"/>
        <v>3.8046697225371226E-2</v>
      </c>
      <c r="P351" s="66">
        <f t="shared" si="52"/>
        <v>4</v>
      </c>
      <c r="Q351" s="10">
        <f t="shared" si="53"/>
        <v>2.474335205275934E-6</v>
      </c>
    </row>
    <row r="352" spans="9:17">
      <c r="I352" s="66">
        <v>67.2</v>
      </c>
      <c r="J352" s="10">
        <f t="shared" si="46"/>
        <v>9.0917680236272461E-3</v>
      </c>
      <c r="K352" s="10">
        <f t="shared" si="47"/>
        <v>2.353708890645613E-2</v>
      </c>
      <c r="L352" s="10">
        <f t="shared" si="48"/>
        <v>0.99664563848313104</v>
      </c>
      <c r="M352" s="10">
        <f t="shared" si="49"/>
        <v>2.1327593988146085E-4</v>
      </c>
      <c r="N352" s="10">
        <f t="shared" si="50"/>
        <v>0.34225060411429609</v>
      </c>
      <c r="O352" s="10">
        <f t="shared" si="51"/>
        <v>3.7677241815235948E-2</v>
      </c>
      <c r="P352" s="66">
        <f t="shared" si="52"/>
        <v>2</v>
      </c>
      <c r="Q352" s="10">
        <f t="shared" si="53"/>
        <v>1.1000823118233028E-6</v>
      </c>
    </row>
    <row r="353" spans="9:17">
      <c r="I353" s="66">
        <v>67.400000000000006</v>
      </c>
      <c r="J353" s="10">
        <f t="shared" si="46"/>
        <v>8.4861214399585515E-3</v>
      </c>
      <c r="K353" s="10">
        <f t="shared" si="47"/>
        <v>2.227815785603468E-2</v>
      </c>
      <c r="L353" s="10">
        <f t="shared" si="48"/>
        <v>0.99663567207657833</v>
      </c>
      <c r="M353" s="10">
        <f t="shared" si="49"/>
        <v>1.8841910949448859E-4</v>
      </c>
      <c r="N353" s="10">
        <f t="shared" si="50"/>
        <v>0.34723475130517223</v>
      </c>
      <c r="O353" s="10">
        <f t="shared" si="51"/>
        <v>3.7311374030572428E-2</v>
      </c>
      <c r="P353" s="66">
        <f t="shared" si="52"/>
        <v>4</v>
      </c>
      <c r="Q353" s="10">
        <f t="shared" si="53"/>
        <v>1.9528970955631369E-6</v>
      </c>
    </row>
    <row r="354" spans="9:17">
      <c r="I354" s="66">
        <v>67.599999999999994</v>
      </c>
      <c r="J354" s="10">
        <f t="shared" si="46"/>
        <v>7.9128708070311526E-3</v>
      </c>
      <c r="K354" s="10">
        <f t="shared" si="47"/>
        <v>2.1069688460448682E-2</v>
      </c>
      <c r="L354" s="10">
        <f t="shared" si="48"/>
        <v>0.99662570576968923</v>
      </c>
      <c r="M354" s="10">
        <f t="shared" si="49"/>
        <v>1.6615915458484374E-4</v>
      </c>
      <c r="N354" s="10">
        <f t="shared" si="50"/>
        <v>0.352291513752851</v>
      </c>
      <c r="O354" s="10">
        <f t="shared" si="51"/>
        <v>3.6949059033464633E-2</v>
      </c>
      <c r="P354" s="66">
        <f t="shared" si="52"/>
        <v>2</v>
      </c>
      <c r="Q354" s="10">
        <f t="shared" si="53"/>
        <v>8.6514684782844088E-7</v>
      </c>
    </row>
    <row r="355" spans="9:17">
      <c r="I355" s="66">
        <v>67.8</v>
      </c>
      <c r="J355" s="10">
        <f t="shared" si="46"/>
        <v>7.3708316341379821E-3</v>
      </c>
      <c r="K355" s="10">
        <f t="shared" si="47"/>
        <v>1.991059295284886E-2</v>
      </c>
      <c r="L355" s="10">
        <f t="shared" si="48"/>
        <v>0.99661573956246263</v>
      </c>
      <c r="M355" s="10">
        <f t="shared" si="49"/>
        <v>1.4626096235563165E-4</v>
      </c>
      <c r="N355" s="10">
        <f t="shared" si="50"/>
        <v>0.35742194940673183</v>
      </c>
      <c r="O355" s="10">
        <f t="shared" si="51"/>
        <v>3.6590262324292848E-2</v>
      </c>
      <c r="P355" s="66">
        <f t="shared" si="52"/>
        <v>4</v>
      </c>
      <c r="Q355" s="10">
        <f t="shared" si="53"/>
        <v>1.5302597520206165E-6</v>
      </c>
    </row>
    <row r="356" spans="9:17">
      <c r="I356" s="66">
        <v>68</v>
      </c>
      <c r="J356" s="10">
        <f t="shared" si="46"/>
        <v>6.8588300941825461E-3</v>
      </c>
      <c r="K356" s="10">
        <f t="shared" si="47"/>
        <v>1.8799763101149995E-2</v>
      </c>
      <c r="L356" s="10">
        <f t="shared" si="48"/>
        <v>0.99660577345489765</v>
      </c>
      <c r="M356" s="10">
        <f t="shared" si="49"/>
        <v>1.2850671448110407E-4</v>
      </c>
      <c r="N356" s="10">
        <f t="shared" si="50"/>
        <v>0.3626271316297357</v>
      </c>
      <c r="O356" s="10">
        <f t="shared" si="51"/>
        <v>3.6234949738448791E-2</v>
      </c>
      <c r="P356" s="66">
        <f t="shared" si="52"/>
        <v>2</v>
      </c>
      <c r="Q356" s="10">
        <f t="shared" si="53"/>
        <v>6.7541977137459403E-7</v>
      </c>
    </row>
    <row r="357" spans="9:17">
      <c r="I357" s="66">
        <v>68.2</v>
      </c>
      <c r="J357" s="10">
        <f t="shared" si="46"/>
        <v>6.3757047373304183E-3</v>
      </c>
      <c r="K357" s="10">
        <f t="shared" si="47"/>
        <v>1.7736072212384432E-2</v>
      </c>
      <c r="L357" s="10">
        <f t="shared" si="48"/>
        <v>0.99659580744699316</v>
      </c>
      <c r="M357" s="10">
        <f t="shared" si="49"/>
        <v>1.1269501366968022E-4</v>
      </c>
      <c r="N357" s="10">
        <f t="shared" si="50"/>
        <v>0.36790814942286831</v>
      </c>
      <c r="O357" s="10">
        <f t="shared" si="51"/>
        <v>3.5883087443081871E-2</v>
      </c>
      <c r="P357" s="66">
        <f t="shared" si="52"/>
        <v>4</v>
      </c>
      <c r="Q357" s="10">
        <f t="shared" si="53"/>
        <v>1.190210833205183E-6</v>
      </c>
    </row>
    <row r="358" spans="9:17">
      <c r="I358" s="66">
        <v>68.400000000000006</v>
      </c>
      <c r="J358" s="10">
        <f t="shared" si="46"/>
        <v>5.9203081380740652E-3</v>
      </c>
      <c r="K358" s="10">
        <f t="shared" si="47"/>
        <v>1.6718377161531239E-2</v>
      </c>
      <c r="L358" s="10">
        <f t="shared" si="48"/>
        <v>0.9965858415387483</v>
      </c>
      <c r="M358" s="10">
        <f t="shared" si="49"/>
        <v>9.864001797857458E-5</v>
      </c>
      <c r="N358" s="10">
        <f t="shared" si="50"/>
        <v>0.37326610765306012</v>
      </c>
      <c r="O358" s="10">
        <f t="shared" si="51"/>
        <v>3.5534641933878494E-2</v>
      </c>
      <c r="P358" s="66">
        <f t="shared" si="52"/>
        <v>2</v>
      </c>
      <c r="Q358" s="10">
        <f t="shared" si="53"/>
        <v>5.2333964529646742E-7</v>
      </c>
    </row>
    <row r="359" spans="9:17">
      <c r="I359" s="66">
        <v>68.599999999999994</v>
      </c>
      <c r="J359" s="10">
        <f t="shared" si="46"/>
        <v>5.4915084712067524E-3</v>
      </c>
      <c r="K359" s="10">
        <f t="shared" si="47"/>
        <v>1.5745520438971289E-2</v>
      </c>
      <c r="L359" s="10">
        <f t="shared" si="48"/>
        <v>0.99657587573016204</v>
      </c>
      <c r="M359" s="10">
        <f t="shared" si="49"/>
        <v>8.6170586288987055E-5</v>
      </c>
      <c r="N359" s="10">
        <f t="shared" si="50"/>
        <v>0.37870212728431485</v>
      </c>
      <c r="O359" s="10">
        <f t="shared" si="51"/>
        <v>3.518958003187108E-2</v>
      </c>
      <c r="P359" s="66">
        <f t="shared" si="52"/>
        <v>4</v>
      </c>
      <c r="Q359" s="10">
        <f t="shared" si="53"/>
        <v>9.1867281120385027E-7</v>
      </c>
    </row>
    <row r="360" spans="9:17">
      <c r="I360" s="66">
        <v>68.8</v>
      </c>
      <c r="J360" s="10">
        <f t="shared" si="46"/>
        <v>5.0881910125182683E-3</v>
      </c>
      <c r="K360" s="10">
        <f t="shared" si="47"/>
        <v>1.4816332210599142E-2</v>
      </c>
      <c r="L360" s="10">
        <f t="shared" si="48"/>
        <v>0.9965659100212334</v>
      </c>
      <c r="M360" s="10">
        <f t="shared" si="49"/>
        <v>7.5129438089406987E-5</v>
      </c>
      <c r="N360" s="10">
        <f t="shared" si="50"/>
        <v>0.38421734561223675</v>
      </c>
      <c r="O360" s="10">
        <f t="shared" si="51"/>
        <v>3.4847868880278916E-2</v>
      </c>
      <c r="P360" s="66">
        <f t="shared" si="52"/>
        <v>2</v>
      </c>
      <c r="Q360" s="10">
        <f t="shared" si="53"/>
        <v>4.0236789713479155E-7</v>
      </c>
    </row>
    <row r="361" spans="9:17">
      <c r="I361" s="66">
        <v>69</v>
      </c>
      <c r="J361" s="10">
        <f t="shared" si="46"/>
        <v>4.7092595603679174E-3</v>
      </c>
      <c r="K361" s="10">
        <f t="shared" si="47"/>
        <v>1.392963238453491E-2</v>
      </c>
      <c r="L361" s="10">
        <f t="shared" si="48"/>
        <v>0.99655594441196127</v>
      </c>
      <c r="M361" s="10">
        <f t="shared" si="49"/>
        <v>6.5372330444376625E-5</v>
      </c>
      <c r="N361" s="10">
        <f t="shared" si="50"/>
        <v>0.38981291650196587</v>
      </c>
      <c r="O361" s="10">
        <f t="shared" si="51"/>
        <v>3.4509475941379798E-2</v>
      </c>
      <c r="P361" s="66">
        <f t="shared" si="52"/>
        <v>4</v>
      </c>
      <c r="Q361" s="10">
        <f t="shared" si="53"/>
        <v>7.0352339474840482E-7</v>
      </c>
    </row>
    <row r="362" spans="9:17">
      <c r="I362" s="66">
        <v>69.2</v>
      </c>
      <c r="J362" s="10">
        <f t="shared" si="46"/>
        <v>4.353637774650621E-3</v>
      </c>
      <c r="K362" s="10">
        <f t="shared" si="47"/>
        <v>1.3084232678313346E-2</v>
      </c>
      <c r="L362" s="10">
        <f t="shared" si="48"/>
        <v>0.99654597890234486</v>
      </c>
      <c r="M362" s="10">
        <f t="shared" si="49"/>
        <v>5.6767254749517305E-5</v>
      </c>
      <c r="N362" s="10">
        <f t="shared" si="50"/>
        <v>0.39549001062958333</v>
      </c>
      <c r="O362" s="10">
        <f t="shared" si="51"/>
        <v>3.4174368993411301E-2</v>
      </c>
      <c r="P362" s="66">
        <f t="shared" si="52"/>
        <v>2</v>
      </c>
      <c r="Q362" s="10">
        <f t="shared" si="53"/>
        <v>3.068978927975333E-7</v>
      </c>
    </row>
    <row r="363" spans="9:17">
      <c r="I363" s="66">
        <v>69.400000000000006</v>
      </c>
      <c r="J363" s="10">
        <f t="shared" si="46"/>
        <v>4.0202704300517393E-3</v>
      </c>
      <c r="K363" s="10">
        <f t="shared" si="47"/>
        <v>1.2278938680390455E-2</v>
      </c>
      <c r="L363" s="10">
        <f t="shared" si="48"/>
        <v>0.99653601349238297</v>
      </c>
      <c r="M363" s="10">
        <f t="shared" si="49"/>
        <v>4.9193655593474129E-5</v>
      </c>
      <c r="N363" s="10">
        <f t="shared" si="50"/>
        <v>0.40124981572703966</v>
      </c>
      <c r="O363" s="10">
        <f t="shared" si="51"/>
        <v>3.3842516127503337E-2</v>
      </c>
      <c r="P363" s="66">
        <f t="shared" si="52"/>
        <v>4</v>
      </c>
      <c r="Q363" s="10">
        <f t="shared" si="53"/>
        <v>5.3441245814898463E-7</v>
      </c>
    </row>
    <row r="364" spans="9:17">
      <c r="I364" s="66">
        <v>69.599999999999994</v>
      </c>
      <c r="J364" s="10">
        <f t="shared" si="46"/>
        <v>3.7081245808828212E-3</v>
      </c>
      <c r="K364" s="10">
        <f t="shared" si="47"/>
        <v>1.1512551899800416E-2</v>
      </c>
      <c r="L364" s="10">
        <f t="shared" si="48"/>
        <v>0.99652604818207469</v>
      </c>
      <c r="M364" s="10">
        <f t="shared" si="49"/>
        <v>4.25416737662155E-5</v>
      </c>
      <c r="N364" s="10">
        <f t="shared" si="50"/>
        <v>0.40709353683063848</v>
      </c>
      <c r="O364" s="10">
        <f t="shared" si="51"/>
        <v>3.3513885744639114E-2</v>
      </c>
      <c r="P364" s="66">
        <f t="shared" si="52"/>
        <v>2</v>
      </c>
      <c r="Q364" s="10">
        <f t="shared" si="53"/>
        <v>2.3216329362144151E-7</v>
      </c>
    </row>
    <row r="365" spans="9:17">
      <c r="I365" s="66">
        <v>69.8</v>
      </c>
      <c r="J365" s="10">
        <f t="shared" si="46"/>
        <v>3.4161906351987551E-3</v>
      </c>
      <c r="K365" s="10">
        <f t="shared" si="47"/>
        <v>1.0783871797812577E-2</v>
      </c>
      <c r="L365" s="10">
        <f t="shared" si="48"/>
        <v>0.99651608297141903</v>
      </c>
      <c r="M365" s="10">
        <f t="shared" si="49"/>
        <v>3.6711415173244099E-5</v>
      </c>
      <c r="N365" s="10">
        <f t="shared" si="50"/>
        <v>0.41302239653315453</v>
      </c>
      <c r="O365" s="10">
        <f t="shared" si="51"/>
        <v>3.3188446552646585E-2</v>
      </c>
      <c r="P365" s="66">
        <f t="shared" si="52"/>
        <v>4</v>
      </c>
      <c r="Q365" s="10">
        <f t="shared" si="53"/>
        <v>4.0257948550773562E-7</v>
      </c>
    </row>
    <row r="366" spans="9:17">
      <c r="I366" s="66">
        <v>70</v>
      </c>
      <c r="J366" s="10">
        <f t="shared" si="46"/>
        <v>3.1434833363182782E-3</v>
      </c>
      <c r="K366" s="10">
        <f t="shared" si="47"/>
        <v>1.0091697795489008E-2</v>
      </c>
      <c r="L366" s="10">
        <f t="shared" si="48"/>
        <v>0.99650611786041488</v>
      </c>
      <c r="M366" s="10">
        <f t="shared" si="49"/>
        <v>3.1612247139185074E-5</v>
      </c>
      <c r="N366" s="10">
        <f t="shared" si="50"/>
        <v>0.41903763523961324</v>
      </c>
      <c r="O366" s="10">
        <f t="shared" si="51"/>
        <v>3.2866167563218862E-2</v>
      </c>
      <c r="P366" s="66">
        <f t="shared" si="52"/>
        <v>2</v>
      </c>
      <c r="Q366" s="10">
        <f t="shared" si="53"/>
        <v>1.7414758457713292E-7</v>
      </c>
    </row>
    <row r="367" spans="9:17">
      <c r="I367" s="66">
        <v>70.2</v>
      </c>
      <c r="J367" s="10">
        <f t="shared" si="46"/>
        <v>2.8890426502990985E-3</v>
      </c>
      <c r="K367" s="10">
        <f t="shared" si="47"/>
        <v>9.4348312511206758E-3</v>
      </c>
      <c r="L367" s="10">
        <f t="shared" si="48"/>
        <v>0.99649615284906146</v>
      </c>
      <c r="M367" s="10">
        <f t="shared" si="49"/>
        <v>2.716212331405603E-5</v>
      </c>
      <c r="N367" s="10">
        <f t="shared" si="50"/>
        <v>0.42514051142680209</v>
      </c>
      <c r="O367" s="10">
        <f t="shared" si="51"/>
        <v>3.2547018088963139E-2</v>
      </c>
      <c r="P367" s="66">
        <f t="shared" si="52"/>
        <v>4</v>
      </c>
      <c r="Q367" s="10">
        <f t="shared" si="53"/>
        <v>3.0067505526987123E-7</v>
      </c>
    </row>
    <row r="368" spans="9:17">
      <c r="I368" s="66">
        <v>70.400000000000006</v>
      </c>
      <c r="J368" s="10">
        <f t="shared" si="46"/>
        <v>2.6519345583533292E-3</v>
      </c>
      <c r="K368" s="10">
        <f t="shared" si="47"/>
        <v>8.8120774016269103E-3</v>
      </c>
      <c r="L368" s="10">
        <f t="shared" si="48"/>
        <v>0.99648618793735755</v>
      </c>
      <c r="M368" s="10">
        <f t="shared" si="49"/>
        <v>2.3286938133367607E-5</v>
      </c>
      <c r="N368" s="10">
        <f t="shared" si="50"/>
        <v>0.43133230190656768</v>
      </c>
      <c r="O368" s="10">
        <f t="shared" si="51"/>
        <v>3.2230967740479365E-2</v>
      </c>
      <c r="P368" s="66">
        <f t="shared" si="52"/>
        <v>2</v>
      </c>
      <c r="Q368" s="10">
        <f t="shared" si="53"/>
        <v>1.2949640420282794E-7</v>
      </c>
    </row>
    <row r="369" spans="9:17">
      <c r="I369" s="66">
        <v>70.599999999999994</v>
      </c>
      <c r="J369" s="10">
        <f t="shared" si="46"/>
        <v>2.4312517536287854E-3</v>
      </c>
      <c r="K369" s="10">
        <f t="shared" si="47"/>
        <v>8.2222472621434981E-3</v>
      </c>
      <c r="L369" s="10">
        <f t="shared" si="48"/>
        <v>0.99647622312530237</v>
      </c>
      <c r="M369" s="10">
        <f t="shared" si="49"/>
        <v>1.991991153097364E-5</v>
      </c>
      <c r="N369" s="10">
        <f t="shared" si="50"/>
        <v>0.43761430209293634</v>
      </c>
      <c r="O369" s="10">
        <f t="shared" si="51"/>
        <v>3.191798642346582E-2</v>
      </c>
      <c r="P369" s="66">
        <f t="shared" si="52"/>
        <v>4</v>
      </c>
      <c r="Q369" s="10">
        <f t="shared" si="53"/>
        <v>2.225893519642598E-7</v>
      </c>
    </row>
    <row r="370" spans="9:17">
      <c r="I370" s="66">
        <v>70.8</v>
      </c>
      <c r="J370" s="10">
        <f t="shared" si="46"/>
        <v>2.2261142422180459E-3</v>
      </c>
      <c r="K370" s="10">
        <f t="shared" si="47"/>
        <v>7.6641594781861055E-3</v>
      </c>
      <c r="L370" s="10">
        <f t="shared" si="48"/>
        <v>0.99646625841289471</v>
      </c>
      <c r="M370" s="10">
        <f t="shared" si="49"/>
        <v>1.7001004362872116E-5</v>
      </c>
      <c r="N370" s="10">
        <f t="shared" si="50"/>
        <v>0.4439878262731411</v>
      </c>
      <c r="O370" s="10">
        <f t="shared" si="51"/>
        <v>3.1608044335853881E-2</v>
      </c>
      <c r="P370" s="66">
        <f t="shared" si="52"/>
        <v>2</v>
      </c>
      <c r="Q370" s="10">
        <f t="shared" si="53"/>
        <v>9.5434028827918631E-8</v>
      </c>
    </row>
    <row r="371" spans="9:17">
      <c r="I371" s="66">
        <v>71</v>
      </c>
      <c r="J371" s="10">
        <f t="shared" si="46"/>
        <v>2.0356698486950322E-3</v>
      </c>
      <c r="K371" s="10">
        <f t="shared" si="47"/>
        <v>7.1366421249757601E-3</v>
      </c>
      <c r="L371" s="10">
        <f t="shared" si="48"/>
        <v>0.99645629380013379</v>
      </c>
      <c r="M371" s="10">
        <f t="shared" si="49"/>
        <v>1.4476364772565289E-5</v>
      </c>
      <c r="N371" s="10">
        <f t="shared" si="50"/>
        <v>0.45045420788258433</v>
      </c>
      <c r="O371" s="10">
        <f t="shared" si="51"/>
        <v>3.1301111964970339E-2</v>
      </c>
      <c r="P371" s="66">
        <f t="shared" si="52"/>
        <v>4</v>
      </c>
      <c r="Q371" s="10">
        <f t="shared" si="53"/>
        <v>1.6329012408816986E-7</v>
      </c>
    </row>
    <row r="372" spans="9:17">
      <c r="I372" s="66">
        <v>71.2</v>
      </c>
      <c r="J372" s="10">
        <f t="shared" si="46"/>
        <v>1.8590946269079504E-3</v>
      </c>
      <c r="K372" s="10">
        <f t="shared" si="47"/>
        <v>6.6385344487332638E-3</v>
      </c>
      <c r="L372" s="10">
        <f t="shared" si="48"/>
        <v>0.99644632928701837</v>
      </c>
      <c r="M372" s="10">
        <f t="shared" si="49"/>
        <v>1.2297805515257246E-5</v>
      </c>
      <c r="N372" s="10">
        <f t="shared" si="50"/>
        <v>0.45701479978381232</v>
      </c>
      <c r="O372" s="10">
        <f t="shared" si="51"/>
        <v>3.0997160084726794E-2</v>
      </c>
      <c r="P372" s="66">
        <f t="shared" si="52"/>
        <v>2</v>
      </c>
      <c r="Q372" s="10">
        <f t="shared" si="53"/>
        <v>6.9685076707549785E-8</v>
      </c>
    </row>
    <row r="373" spans="9:17">
      <c r="I373" s="66">
        <v>71.400000000000006</v>
      </c>
      <c r="J373" s="10">
        <f t="shared" si="46"/>
        <v>1.6955931771795853E-3</v>
      </c>
      <c r="K373" s="10">
        <f t="shared" si="47"/>
        <v>6.1686885450003863E-3</v>
      </c>
      <c r="L373" s="10">
        <f t="shared" si="48"/>
        <v>0.9964363648735477</v>
      </c>
      <c r="M373" s="10">
        <f t="shared" si="49"/>
        <v>1.0422312060225797E-5</v>
      </c>
      <c r="N373" s="10">
        <f t="shared" si="50"/>
        <v>0.4636709745495598</v>
      </c>
      <c r="O373" s="10">
        <f t="shared" si="51"/>
        <v>3.0696159752837484E-2</v>
      </c>
      <c r="P373" s="66">
        <f t="shared" si="52"/>
        <v>4</v>
      </c>
      <c r="Q373" s="10">
        <f t="shared" si="53"/>
        <v>1.1867193290299887E-7</v>
      </c>
    </row>
    <row r="374" spans="9:17">
      <c r="I374" s="66">
        <v>71.599999999999994</v>
      </c>
      <c r="J374" s="10">
        <f t="shared" si="46"/>
        <v>1.5443988714773274E-3</v>
      </c>
      <c r="K374" s="10">
        <f t="shared" si="47"/>
        <v>5.7259709693237683E-3</v>
      </c>
      <c r="L374" s="10">
        <f t="shared" si="48"/>
        <v>0.99642640055972065</v>
      </c>
      <c r="M374" s="10">
        <f t="shared" si="49"/>
        <v>8.8115811089479122E-6</v>
      </c>
      <c r="N374" s="10">
        <f t="shared" si="50"/>
        <v>0.47042412474990658</v>
      </c>
      <c r="O374" s="10">
        <f t="shared" si="51"/>
        <v>3.0398082308062697E-2</v>
      </c>
      <c r="P374" s="66">
        <f t="shared" si="52"/>
        <v>2</v>
      </c>
      <c r="Q374" s="10">
        <f t="shared" si="53"/>
        <v>5.0402213151450287E-8</v>
      </c>
    </row>
    <row r="375" spans="9:17">
      <c r="I375" s="66">
        <v>71.8</v>
      </c>
      <c r="J375" s="10">
        <f t="shared" si="46"/>
        <v>1.4047739885107487E-3</v>
      </c>
      <c r="K375" s="10">
        <f t="shared" si="47"/>
        <v>5.3092642759350458E-3</v>
      </c>
      <c r="L375" s="10">
        <f t="shared" si="48"/>
        <v>0.99641643634553612</v>
      </c>
      <c r="M375" s="10">
        <f t="shared" si="49"/>
        <v>7.4315890015569347E-6</v>
      </c>
      <c r="N375" s="10">
        <f t="shared" si="50"/>
        <v>0.47727566324362664</v>
      </c>
      <c r="O375" s="10">
        <f t="shared" si="51"/>
        <v>3.0102899367479886E-2</v>
      </c>
      <c r="P375" s="66">
        <f t="shared" si="52"/>
        <v>4</v>
      </c>
      <c r="Q375" s="10">
        <f t="shared" si="53"/>
        <v>8.5417978049349599E-8</v>
      </c>
    </row>
    <row r="376" spans="9:17">
      <c r="I376" s="66">
        <v>72</v>
      </c>
      <c r="J376" s="10">
        <f t="shared" si="46"/>
        <v>1.2760097610959222E-3</v>
      </c>
      <c r="K376" s="10">
        <f t="shared" si="47"/>
        <v>4.9174684803882235E-3</v>
      </c>
      <c r="L376" s="10">
        <f t="shared" si="48"/>
        <v>0.99640647223099332</v>
      </c>
      <c r="M376" s="10">
        <f t="shared" si="49"/>
        <v>6.25218933639816E-6</v>
      </c>
      <c r="N376" s="10">
        <f t="shared" si="50"/>
        <v>0.48422702347377816</v>
      </c>
      <c r="O376" s="10">
        <f t="shared" si="51"/>
        <v>2.9810582823781274E-2</v>
      </c>
      <c r="P376" s="66">
        <f t="shared" si="52"/>
        <v>2</v>
      </c>
      <c r="Q376" s="10">
        <f t="shared" si="53"/>
        <v>3.6100365778939472E-8</v>
      </c>
    </row>
    <row r="377" spans="9:17">
      <c r="I377" s="66">
        <v>72.2</v>
      </c>
      <c r="J377" s="10">
        <f t="shared" si="46"/>
        <v>1.1574263384858056E-3</v>
      </c>
      <c r="K377" s="10">
        <f t="shared" si="47"/>
        <v>4.5495024424587194E-3</v>
      </c>
      <c r="L377" s="10">
        <f t="shared" si="48"/>
        <v>0.99639650821609116</v>
      </c>
      <c r="M377" s="10">
        <f t="shared" si="49"/>
        <v>5.2467389969379066E-6</v>
      </c>
      <c r="N377" s="10">
        <f t="shared" si="50"/>
        <v>0.4912796597675983</v>
      </c>
      <c r="O377" s="10">
        <f t="shared" si="51"/>
        <v>2.9521104842596953E-2</v>
      </c>
      <c r="P377" s="66">
        <f t="shared" si="52"/>
        <v>4</v>
      </c>
      <c r="Q377" s="10">
        <f t="shared" si="53"/>
        <v>6.0875261270084212E-8</v>
      </c>
    </row>
    <row r="378" spans="9:17">
      <c r="I378" s="66">
        <v>72.400000000000006</v>
      </c>
      <c r="J378" s="10">
        <f t="shared" si="46"/>
        <v>1.0483726667056916E-3</v>
      </c>
      <c r="K378" s="10">
        <f t="shared" si="47"/>
        <v>4.204305165974009E-3</v>
      </c>
      <c r="L378" s="10">
        <f t="shared" si="48"/>
        <v>0.99638654430082874</v>
      </c>
      <c r="M378" s="10">
        <f t="shared" si="49"/>
        <v>4.3917516670725646E-6</v>
      </c>
      <c r="N378" s="10">
        <f t="shared" si="50"/>
        <v>0.49843504764077684</v>
      </c>
      <c r="O378" s="10">
        <f t="shared" si="51"/>
        <v>2.9234437859845214E-2</v>
      </c>
      <c r="P378" s="66">
        <f t="shared" si="52"/>
        <v>2</v>
      </c>
      <c r="Q378" s="10">
        <f t="shared" si="53"/>
        <v>2.5597708303132576E-8</v>
      </c>
    </row>
    <row r="379" spans="9:17">
      <c r="I379" s="66">
        <v>72.599999999999994</v>
      </c>
      <c r="J379" s="10">
        <f t="shared" si="46"/>
        <v>9.4822629024886112E-4</v>
      </c>
      <c r="K379" s="10">
        <f t="shared" si="47"/>
        <v>3.8808370126293878E-3</v>
      </c>
      <c r="L379" s="10">
        <f t="shared" si="48"/>
        <v>0.99637658048520483</v>
      </c>
      <c r="M379" s="10">
        <f t="shared" si="49"/>
        <v>3.6665778197391534E-6</v>
      </c>
      <c r="N379" s="10">
        <f t="shared" si="50"/>
        <v>0.50569468410614959</v>
      </c>
      <c r="O379" s="10">
        <f t="shared" si="51"/>
        <v>2.8950554579107324E-2</v>
      </c>
      <c r="P379" s="66">
        <f t="shared" si="52"/>
        <v>4</v>
      </c>
      <c r="Q379" s="10">
        <f t="shared" si="53"/>
        <v>4.2943374635623691E-8</v>
      </c>
    </row>
    <row r="380" spans="9:17">
      <c r="I380" s="66">
        <v>72.8</v>
      </c>
      <c r="J380" s="10">
        <f t="shared" si="46"/>
        <v>8.5639307877682588E-4</v>
      </c>
      <c r="K380" s="10">
        <f t="shared" si="47"/>
        <v>3.5780808272379261E-3</v>
      </c>
      <c r="L380" s="10">
        <f t="shared" si="48"/>
        <v>0.99636661676921867</v>
      </c>
      <c r="M380" s="10">
        <f t="shared" si="49"/>
        <v>3.0531100842367874E-6</v>
      </c>
      <c r="N380" s="10">
        <f t="shared" si="50"/>
        <v>0.51306008798689873</v>
      </c>
      <c r="O380" s="10">
        <f t="shared" si="51"/>
        <v>2.8669427969028469E-2</v>
      </c>
      <c r="P380" s="66">
        <f t="shared" si="52"/>
        <v>2</v>
      </c>
      <c r="Q380" s="10">
        <f t="shared" si="53"/>
        <v>1.7963448533145278E-8</v>
      </c>
    </row>
    <row r="381" spans="9:17">
      <c r="I381" s="66">
        <v>73</v>
      </c>
      <c r="J381" s="10">
        <f t="shared" si="46"/>
        <v>7.7230688273196158E-4</v>
      </c>
      <c r="K381" s="10">
        <f t="shared" si="47"/>
        <v>3.2950429722762159E-3</v>
      </c>
      <c r="L381" s="10">
        <f t="shared" si="48"/>
        <v>0.99635665315286914</v>
      </c>
      <c r="M381" s="10">
        <f t="shared" si="49"/>
        <v>2.5355128342885992E-6</v>
      </c>
      <c r="N381" s="10">
        <f t="shared" si="50"/>
        <v>0.52053280023431148</v>
      </c>
      <c r="O381" s="10">
        <f t="shared" si="51"/>
        <v>2.8391031260744073E-2</v>
      </c>
      <c r="P381" s="66">
        <f t="shared" si="52"/>
        <v>4</v>
      </c>
      <c r="Q381" s="10">
        <f t="shared" si="53"/>
        <v>2.9976786093542304E-8</v>
      </c>
    </row>
    <row r="382" spans="9:17">
      <c r="I382" s="66">
        <v>73.2</v>
      </c>
      <c r="J382" s="10">
        <f t="shared" si="46"/>
        <v>6.9542912200320258E-4</v>
      </c>
      <c r="K382" s="10">
        <f t="shared" si="47"/>
        <v>3.0307542700067922E-3</v>
      </c>
      <c r="L382" s="10">
        <f t="shared" si="48"/>
        <v>0.99634668963615525</v>
      </c>
      <c r="M382" s="10">
        <f t="shared" si="49"/>
        <v>2.0999747908772454E-6</v>
      </c>
      <c r="N382" s="10">
        <f t="shared" si="50"/>
        <v>0.5281143842501681</v>
      </c>
      <c r="O382" s="10">
        <f t="shared" si="51"/>
        <v>2.8115337945330429E-2</v>
      </c>
      <c r="P382" s="66">
        <f t="shared" si="52"/>
        <v>2</v>
      </c>
      <c r="Q382" s="10">
        <f t="shared" si="53"/>
        <v>1.2472266361890894E-8</v>
      </c>
    </row>
    <row r="383" spans="9:17">
      <c r="I383" s="66">
        <v>73.400000000000006</v>
      </c>
      <c r="J383" s="10">
        <f t="shared" si="46"/>
        <v>6.2524831198895682E-4</v>
      </c>
      <c r="K383" s="10">
        <f t="shared" si="47"/>
        <v>2.7842708508868117E-3</v>
      </c>
      <c r="L383" s="10">
        <f t="shared" si="48"/>
        <v>0.9963367262190761</v>
      </c>
      <c r="M383" s="10">
        <f t="shared" si="49"/>
        <v>1.734483400462978E-6</v>
      </c>
      <c r="N383" s="10">
        <f t="shared" si="50"/>
        <v>0.53580642621383501</v>
      </c>
      <c r="O383" s="10">
        <f t="shared" si="51"/>
        <v>2.7842321771281167E-2</v>
      </c>
      <c r="P383" s="66">
        <f t="shared" si="52"/>
        <v>4</v>
      </c>
      <c r="Q383" s="10">
        <f t="shared" si="53"/>
        <v>2.0700150412217433E-8</v>
      </c>
    </row>
    <row r="384" spans="9:17">
      <c r="I384" s="66">
        <v>73.599999999999994</v>
      </c>
      <c r="J384" s="10">
        <f t="shared" si="46"/>
        <v>5.612795315733057E-4</v>
      </c>
      <c r="K384" s="10">
        <f t="shared" si="47"/>
        <v>2.5546749074064862E-3</v>
      </c>
      <c r="L384" s="10">
        <f t="shared" si="48"/>
        <v>0.99632676290163058</v>
      </c>
      <c r="M384" s="10">
        <f t="shared" si="49"/>
        <v>1.4286197294000389E-6</v>
      </c>
      <c r="N384" s="10">
        <f t="shared" si="50"/>
        <v>0.54361053541411086</v>
      </c>
      <c r="O384" s="10">
        <f t="shared" si="51"/>
        <v>2.7571956742006971E-2</v>
      </c>
      <c r="P384" s="66">
        <f t="shared" si="52"/>
        <v>2</v>
      </c>
      <c r="Q384" s="10">
        <f t="shared" si="53"/>
        <v>8.5650931049390301E-9</v>
      </c>
    </row>
    <row r="385" spans="9:17">
      <c r="I385" s="66">
        <v>73.8</v>
      </c>
      <c r="J385" s="10">
        <f t="shared" si="46"/>
        <v>5.0306383767085953E-4</v>
      </c>
      <c r="K385" s="10">
        <f t="shared" si="47"/>
        <v>2.3410753529345238E-3</v>
      </c>
      <c r="L385" s="10">
        <f t="shared" si="48"/>
        <v>0.9963167996838177</v>
      </c>
      <c r="M385" s="10">
        <f t="shared" si="49"/>
        <v>1.173372608185536E-6</v>
      </c>
      <c r="N385" s="10">
        <f t="shared" si="50"/>
        <v>0.55152834458591604</v>
      </c>
      <c r="O385" s="10">
        <f t="shared" si="51"/>
        <v>2.7304217113360445E-2</v>
      </c>
      <c r="P385" s="66">
        <f t="shared" si="52"/>
        <v>4</v>
      </c>
      <c r="Q385" s="10">
        <f t="shared" si="53"/>
        <v>1.4135901105534948E-8</v>
      </c>
    </row>
    <row r="386" spans="9:17">
      <c r="I386" s="66">
        <v>74</v>
      </c>
      <c r="J386" s="10">
        <f t="shared" si="46"/>
        <v>4.5016763110319473E-4</v>
      </c>
      <c r="K386" s="10">
        <f t="shared" si="47"/>
        <v>2.1426083855840385E-3</v>
      </c>
      <c r="L386" s="10">
        <f t="shared" si="48"/>
        <v>0.99630683656563657</v>
      </c>
      <c r="M386" s="10">
        <f t="shared" si="49"/>
        <v>9.6097076353008415E-7</v>
      </c>
      <c r="N386" s="10">
        <f t="shared" si="50"/>
        <v>0.55956151025188483</v>
      </c>
      <c r="O386" s="10">
        <f t="shared" si="51"/>
        <v>2.7039077391184833E-2</v>
      </c>
      <c r="P386" s="66">
        <f t="shared" si="52"/>
        <v>2</v>
      </c>
      <c r="Q386" s="10">
        <f t="shared" si="53"/>
        <v>5.8158054319991997E-9</v>
      </c>
    </row>
    <row r="387" spans="9:17">
      <c r="I387" s="66">
        <v>74.2</v>
      </c>
      <c r="J387" s="10">
        <f t="shared" si="46"/>
        <v>4.0218197864376676E-4</v>
      </c>
      <c r="K387" s="10">
        <f t="shared" si="47"/>
        <v>1.9584379575421371E-3</v>
      </c>
      <c r="L387" s="10">
        <f t="shared" si="48"/>
        <v>0.99629687354708607</v>
      </c>
      <c r="M387" s="10">
        <f t="shared" si="49"/>
        <v>7.8473169099413679E-7</v>
      </c>
      <c r="N387" s="10">
        <f t="shared" si="50"/>
        <v>0.5677117130689302</v>
      </c>
      <c r="O387" s="10">
        <f t="shared" si="51"/>
        <v>2.6776512328886115E-2</v>
      </c>
      <c r="P387" s="66">
        <f t="shared" si="52"/>
        <v>4</v>
      </c>
      <c r="Q387" s="10">
        <f t="shared" si="53"/>
        <v>9.5431783966339974E-9</v>
      </c>
    </row>
    <row r="388" spans="9:17">
      <c r="I388" s="66">
        <v>74.400000000000006</v>
      </c>
      <c r="J388" s="10">
        <f t="shared" si="46"/>
        <v>3.5872189610996319E-4</v>
      </c>
      <c r="K388" s="10">
        <f t="shared" si="47"/>
        <v>1.7877561507312714E-3</v>
      </c>
      <c r="L388" s="10">
        <f t="shared" si="48"/>
        <v>0.99628691062816532</v>
      </c>
      <c r="M388" s="10">
        <f t="shared" si="49"/>
        <v>6.3892604494133425E-7</v>
      </c>
      <c r="N388" s="10">
        <f t="shared" si="50"/>
        <v>0.57598065817987276</v>
      </c>
      <c r="O388" s="10">
        <f t="shared" si="51"/>
        <v>2.6516496925029678E-2</v>
      </c>
      <c r="P388" s="66">
        <f t="shared" si="52"/>
        <v>2</v>
      </c>
      <c r="Q388" s="10">
        <f t="shared" si="53"/>
        <v>3.9033242723148127E-9</v>
      </c>
    </row>
    <row r="389" spans="9:17">
      <c r="I389" s="66">
        <v>74.599999999999994</v>
      </c>
      <c r="J389" s="10">
        <f t="shared" si="46"/>
        <v>3.1942559739038464E-4</v>
      </c>
      <c r="K389" s="10">
        <f t="shared" si="47"/>
        <v>1.6297834600859764E-3</v>
      </c>
      <c r="L389" s="10">
        <f t="shared" si="48"/>
        <v>0.99627694780887321</v>
      </c>
      <c r="M389" s="10">
        <f t="shared" si="49"/>
        <v>5.1865635465492828E-7</v>
      </c>
      <c r="N389" s="10">
        <f t="shared" si="50"/>
        <v>0.58437007557016918</v>
      </c>
      <c r="O389" s="10">
        <f t="shared" si="51"/>
        <v>2.6259006420959016E-2</v>
      </c>
      <c r="P389" s="66">
        <f t="shared" si="52"/>
        <v>4</v>
      </c>
      <c r="Q389" s="10">
        <f t="shared" si="53"/>
        <v>6.3670161015690766E-9</v>
      </c>
    </row>
    <row r="390" spans="9:17">
      <c r="I390" s="66">
        <v>74.8</v>
      </c>
      <c r="J390" s="10">
        <f t="shared" si="46"/>
        <v>2.8395371427291326E-4</v>
      </c>
      <c r="K390" s="10">
        <f t="shared" si="47"/>
        <v>1.4837689861307635E-3</v>
      </c>
      <c r="L390" s="10">
        <f t="shared" si="48"/>
        <v>0.99626698508920875</v>
      </c>
      <c r="M390" s="10">
        <f t="shared" si="49"/>
        <v>4.1974891449143995E-7</v>
      </c>
      <c r="N390" s="10">
        <f t="shared" si="50"/>
        <v>0.59288172042985976</v>
      </c>
      <c r="O390" s="10">
        <f t="shared" si="51"/>
        <v>2.6004016298438515E-2</v>
      </c>
      <c r="P390" s="66">
        <f t="shared" si="52"/>
        <v>2</v>
      </c>
      <c r="Q390" s="10">
        <f t="shared" si="53"/>
        <v>2.5885589699063985E-9</v>
      </c>
    </row>
    <row r="391" spans="9:17">
      <c r="I391" s="66">
        <v>75</v>
      </c>
      <c r="J391" s="10">
        <f t="shared" si="46"/>
        <v>2.5198849188645228E-4</v>
      </c>
      <c r="K391" s="10">
        <f t="shared" si="47"/>
        <v>1.3489905389341933E-3</v>
      </c>
      <c r="L391" s="10">
        <f t="shared" si="48"/>
        <v>0.99625702246917103</v>
      </c>
      <c r="M391" s="10">
        <f t="shared" si="49"/>
        <v>3.3865774078067585E-7</v>
      </c>
      <c r="N391" s="10">
        <f t="shared" si="50"/>
        <v>0.60151737352077617</v>
      </c>
      <c r="O391" s="10">
        <f t="shared" si="51"/>
        <v>2.5751502277318886E-2</v>
      </c>
      <c r="P391" s="66">
        <f t="shared" si="52"/>
        <v>4</v>
      </c>
      <c r="Q391" s="10">
        <f t="shared" si="53"/>
        <v>4.1966402253366701E-9</v>
      </c>
    </row>
    <row r="392" spans="9:17">
      <c r="I392" s="66">
        <v>75.2</v>
      </c>
      <c r="J392" s="10">
        <f t="shared" si="46"/>
        <v>2.2323296448662421E-4</v>
      </c>
      <c r="K392" s="10">
        <f t="shared" si="47"/>
        <v>1.2247546558846029E-3</v>
      </c>
      <c r="L392" s="10">
        <f t="shared" si="48"/>
        <v>0.99624705994875906</v>
      </c>
      <c r="M392" s="10">
        <f t="shared" si="49"/>
        <v>2.7237953772814745E-7</v>
      </c>
      <c r="N392" s="10">
        <f t="shared" si="50"/>
        <v>0.61027884154909995</v>
      </c>
      <c r="O392" s="10">
        <f t="shared" si="51"/>
        <v>2.5501440313224866E-2</v>
      </c>
      <c r="P392" s="66">
        <f t="shared" si="52"/>
        <v>2</v>
      </c>
      <c r="Q392" s="10">
        <f t="shared" si="53"/>
        <v>1.6956159490620431E-9</v>
      </c>
    </row>
    <row r="393" spans="9:17">
      <c r="I393" s="66">
        <v>75.400000000000006</v>
      </c>
      <c r="J393" s="10">
        <f t="shared" si="46"/>
        <v>1.9741011620526012E-4</v>
      </c>
      <c r="K393" s="10">
        <f t="shared" si="47"/>
        <v>1.1103965360838314E-3</v>
      </c>
      <c r="L393" s="10">
        <f t="shared" si="48"/>
        <v>0.99623709752797174</v>
      </c>
      <c r="M393" s="10">
        <f t="shared" si="49"/>
        <v>2.1837866779549788E-7</v>
      </c>
      <c r="N393" s="10">
        <f t="shared" si="50"/>
        <v>0.61916795754336318</v>
      </c>
      <c r="O393" s="10">
        <f t="shared" si="51"/>
        <v>2.5253806595266361E-2</v>
      </c>
      <c r="P393" s="66">
        <f t="shared" si="52"/>
        <v>4</v>
      </c>
      <c r="Q393" s="10">
        <f t="shared" si="53"/>
        <v>2.7317158500986447E-9</v>
      </c>
    </row>
    <row r="394" spans="9:17">
      <c r="I394" s="66">
        <v>75.599999999999994</v>
      </c>
      <c r="J394" s="10">
        <f t="shared" si="46"/>
        <v>1.7426203124691985E-4</v>
      </c>
      <c r="K394" s="10">
        <f t="shared" si="47"/>
        <v>1.0052798944852343E-3</v>
      </c>
      <c r="L394" s="10">
        <f t="shared" si="48"/>
        <v>0.99622713520680817</v>
      </c>
      <c r="M394" s="10">
        <f t="shared" si="49"/>
        <v>1.7452117794538158E-7</v>
      </c>
      <c r="N394" s="10">
        <f t="shared" si="50"/>
        <v>0.62818658123793181</v>
      </c>
      <c r="O394" s="10">
        <f t="shared" si="51"/>
        <v>2.5008577543770498E-2</v>
      </c>
      <c r="P394" s="66">
        <f t="shared" si="52"/>
        <v>2</v>
      </c>
      <c r="Q394" s="10">
        <f t="shared" si="53"/>
        <v>1.0966947701096749E-9</v>
      </c>
    </row>
    <row r="395" spans="9:17">
      <c r="I395" s="66">
        <v>75.8</v>
      </c>
      <c r="J395" s="10">
        <f t="shared" si="46"/>
        <v>1.5354903785418417E-4</v>
      </c>
      <c r="K395" s="10">
        <f t="shared" si="47"/>
        <v>9.0879673920587589E-4</v>
      </c>
      <c r="L395" s="10">
        <f t="shared" si="48"/>
        <v>0.99621717298526724</v>
      </c>
      <c r="M395" s="10">
        <f t="shared" si="49"/>
        <v>1.3901699082533307E-7</v>
      </c>
      <c r="N395" s="10">
        <f t="shared" si="50"/>
        <v>0.63733659946209931</v>
      </c>
      <c r="O395" s="10">
        <f t="shared" si="51"/>
        <v>2.4765729808036673E-2</v>
      </c>
      <c r="P395" s="66">
        <f t="shared" si="52"/>
        <v>4</v>
      </c>
      <c r="Q395" s="10">
        <f t="shared" si="53"/>
        <v>1.7554071373092248E-9</v>
      </c>
    </row>
    <row r="396" spans="9:17">
      <c r="I396" s="66">
        <v>76</v>
      </c>
      <c r="J396" s="10">
        <f t="shared" si="46"/>
        <v>1.3504885018006182E-4</v>
      </c>
      <c r="K396" s="10">
        <f t="shared" si="47"/>
        <v>8.2036707572239701E-4</v>
      </c>
      <c r="L396" s="10">
        <f t="shared" si="48"/>
        <v>0.99620721086334818</v>
      </c>
      <c r="M396" s="10">
        <f t="shared" si="49"/>
        <v>1.1036942859562674E-7</v>
      </c>
      <c r="N396" s="10">
        <f t="shared" si="50"/>
        <v>0.64661992653483436</v>
      </c>
      <c r="O396" s="10">
        <f t="shared" si="51"/>
        <v>2.4525240264113228E-2</v>
      </c>
      <c r="P396" s="66">
        <f t="shared" si="52"/>
        <v>2</v>
      </c>
      <c r="Q396" s="10">
        <f t="shared" si="53"/>
        <v>7.001178332365098E-10</v>
      </c>
    </row>
    <row r="397" spans="9:17">
      <c r="I397" s="66">
        <v>76.2</v>
      </c>
      <c r="J397" s="10">
        <f t="shared" si="46"/>
        <v>1.1855571200199089E-4</v>
      </c>
      <c r="K397" s="10">
        <f t="shared" si="47"/>
        <v>7.3943854191043886E-4</v>
      </c>
      <c r="L397" s="10">
        <f t="shared" si="48"/>
        <v>0.99619724884104965</v>
      </c>
      <c r="M397" s="10">
        <f t="shared" si="49"/>
        <v>8.733129591977627E-8</v>
      </c>
      <c r="N397" s="10">
        <f t="shared" si="50"/>
        <v>0.65603850466528257</v>
      </c>
      <c r="O397" s="10">
        <f t="shared" si="51"/>
        <v>2.4287086012595119E-2</v>
      </c>
      <c r="P397" s="66">
        <f t="shared" si="52"/>
        <v>4</v>
      </c>
      <c r="Q397" s="10">
        <f t="shared" si="53"/>
        <v>1.1131780460634186E-9</v>
      </c>
    </row>
    <row r="398" spans="9:17">
      <c r="I398" s="66">
        <v>76.400000000000006</v>
      </c>
      <c r="J398" s="10">
        <f t="shared" si="46"/>
        <v>1.038795459903268E-4</v>
      </c>
      <c r="K398" s="10">
        <f t="shared" si="47"/>
        <v>6.6548597810890632E-4</v>
      </c>
      <c r="L398" s="10">
        <f t="shared" si="48"/>
        <v>0.996187286918371</v>
      </c>
      <c r="M398" s="10">
        <f t="shared" si="49"/>
        <v>6.8866806959879879E-8</v>
      </c>
      <c r="N398" s="10">
        <f t="shared" si="50"/>
        <v>0.66559430435911537</v>
      </c>
      <c r="O398" s="10">
        <f t="shared" si="51"/>
        <v>2.4051244376444146E-2</v>
      </c>
      <c r="P398" s="66">
        <f t="shared" si="52"/>
        <v>2</v>
      </c>
      <c r="Q398" s="10">
        <f t="shared" si="53"/>
        <v>4.4097816558929407E-10</v>
      </c>
    </row>
    <row r="399" spans="9:17">
      <c r="I399" s="66">
        <v>76.599999999999994</v>
      </c>
      <c r="J399" s="10">
        <f t="shared" si="46"/>
        <v>9.0845112007463731E-5</v>
      </c>
      <c r="K399" s="10">
        <f t="shared" si="47"/>
        <v>5.9801093658199496E-4</v>
      </c>
      <c r="L399" s="10">
        <f t="shared" si="48"/>
        <v>0.99617732509531098</v>
      </c>
      <c r="M399" s="10">
        <f t="shared" si="49"/>
        <v>5.411869846224726E-8</v>
      </c>
      <c r="N399" s="10">
        <f t="shared" si="50"/>
        <v>0.67528932483077675</v>
      </c>
      <c r="O399" s="10">
        <f t="shared" si="51"/>
        <v>2.3817692898829044E-2</v>
      </c>
      <c r="P399" s="66">
        <f t="shared" si="52"/>
        <v>4</v>
      </c>
      <c r="Q399" s="10">
        <f t="shared" si="53"/>
        <v>6.9634891935561516E-10</v>
      </c>
    </row>
    <row r="400" spans="9:17">
      <c r="I400" s="66">
        <v>76.8</v>
      </c>
      <c r="J400" s="10">
        <f t="shared" si="46"/>
        <v>7.9291177663911981E-5</v>
      </c>
      <c r="K400" s="10">
        <f t="shared" si="47"/>
        <v>5.3654113491081448E-4</v>
      </c>
      <c r="L400" s="10">
        <f t="shared" si="48"/>
        <v>0.99616736337186873</v>
      </c>
      <c r="M400" s="10">
        <f t="shared" si="49"/>
        <v>4.2379926674724617E-8</v>
      </c>
      <c r="N400" s="10">
        <f t="shared" si="50"/>
        <v>0.6851255944217568</v>
      </c>
      <c r="O400" s="10">
        <f t="shared" si="51"/>
        <v>2.3586409340987314E-2</v>
      </c>
      <c r="P400" s="66">
        <f t="shared" si="52"/>
        <v>2</v>
      </c>
      <c r="Q400" s="10">
        <f t="shared" si="53"/>
        <v>2.7393795894536457E-10</v>
      </c>
    </row>
    <row r="401" spans="9:17">
      <c r="I401" s="66">
        <v>77</v>
      </c>
      <c r="J401" s="10">
        <f t="shared" ref="J401:J464" si="54">(B$10^I401)*(B$11^((B$5^B$8)*((B$5^I401)-1)))</f>
        <v>6.9069704097928885E-5</v>
      </c>
      <c r="K401" s="10">
        <f t="shared" ref="K401:K464" si="55">(B$10^I401)*B$12^((B$5^B$9)*((B$5^I401)-1))</f>
        <v>4.8062985797457897E-4</v>
      </c>
      <c r="L401" s="10">
        <f t="shared" ref="L401:L464" si="56">EXP(-B$13*I401)</f>
        <v>0.99615740174804324</v>
      </c>
      <c r="M401" s="10">
        <f t="shared" ref="M401:M464" si="57">J401*K401*L401</f>
        <v>3.3069399482509706E-8</v>
      </c>
      <c r="N401" s="10">
        <f t="shared" ref="N401:N464" si="58">B$3+B$6*(B$5^(B$8+I401)) +B$13</f>
        <v>0.69510517102494707</v>
      </c>
      <c r="O401" s="10">
        <f t="shared" ref="O401:O464" si="59">(1+B$7)^-I401</f>
        <v>2.3357371680107829E-2</v>
      </c>
      <c r="P401" s="66">
        <f t="shared" si="52"/>
        <v>4</v>
      </c>
      <c r="Q401" s="10">
        <f t="shared" si="53"/>
        <v>4.2952731423182683E-10</v>
      </c>
    </row>
    <row r="402" spans="9:17">
      <c r="I402" s="66">
        <v>77.2</v>
      </c>
      <c r="J402" s="10">
        <f t="shared" si="54"/>
        <v>6.0045049677792992E-5</v>
      </c>
      <c r="K402" s="10">
        <f t="shared" si="55"/>
        <v>4.2985531327623295E-4</v>
      </c>
      <c r="L402" s="10">
        <f t="shared" si="56"/>
        <v>0.9961474402238335</v>
      </c>
      <c r="M402" s="10">
        <f t="shared" si="57"/>
        <v>2.5711246438348107E-8</v>
      </c>
      <c r="N402" s="10">
        <f t="shared" si="58"/>
        <v>0.70523014251517868</v>
      </c>
      <c r="O402" s="10">
        <f t="shared" si="59"/>
        <v>2.3130558107233447E-2</v>
      </c>
      <c r="P402" s="66">
        <f t="shared" si="52"/>
        <v>2</v>
      </c>
      <c r="Q402" s="10">
        <f t="shared" si="53"/>
        <v>1.6776451301648427E-10</v>
      </c>
    </row>
    <row r="403" spans="9:17">
      <c r="I403" s="66">
        <v>77.400000000000006</v>
      </c>
      <c r="J403" s="10">
        <f t="shared" si="54"/>
        <v>5.2093194053334136E-5</v>
      </c>
      <c r="K403" s="10">
        <f t="shared" si="55"/>
        <v>3.8381994442987115E-4</v>
      </c>
      <c r="L403" s="10">
        <f t="shared" si="56"/>
        <v>0.99613747879923842</v>
      </c>
      <c r="M403" s="10">
        <f t="shared" si="57"/>
        <v>1.9917178026383074E-8</v>
      </c>
      <c r="N403" s="10">
        <f t="shared" si="58"/>
        <v>0.71550262718604907</v>
      </c>
      <c r="O403" s="10">
        <f t="shared" si="59"/>
        <v>2.2905947025184906E-2</v>
      </c>
      <c r="P403" s="66">
        <f t="shared" ref="P403:P466" si="60">IF(P402=4,2,4)</f>
        <v>4</v>
      </c>
      <c r="Q403" s="10">
        <f t="shared" ref="Q403:Q466" si="61">0.2*M403*N403*O403*P403</f>
        <v>2.6114233135832236E-10</v>
      </c>
    </row>
    <row r="404" spans="9:17">
      <c r="I404" s="66">
        <v>77.599999999999994</v>
      </c>
      <c r="J404" s="10">
        <f t="shared" si="54"/>
        <v>4.5100984708476318E-5</v>
      </c>
      <c r="K404" s="10">
        <f t="shared" si="55"/>
        <v>3.4214970765797636E-4</v>
      </c>
      <c r="L404" s="10">
        <f t="shared" si="56"/>
        <v>0.9961275174742571</v>
      </c>
      <c r="M404" s="10">
        <f t="shared" si="57"/>
        <v>1.537153133712344E-8</v>
      </c>
      <c r="N404" s="10">
        <f t="shared" si="58"/>
        <v>0.72592477419308499</v>
      </c>
      <c r="O404" s="10">
        <f t="shared" si="59"/>
        <v>2.2683517046503846E-2</v>
      </c>
      <c r="P404" s="66">
        <f t="shared" si="60"/>
        <v>2</v>
      </c>
      <c r="Q404" s="10">
        <f t="shared" si="61"/>
        <v>1.0124629425546276E-10</v>
      </c>
    </row>
    <row r="405" spans="9:17">
      <c r="I405" s="66">
        <v>77.8</v>
      </c>
      <c r="J405" s="10">
        <f t="shared" si="54"/>
        <v>3.8965407891528242E-5</v>
      </c>
      <c r="K405" s="10">
        <f t="shared" si="55"/>
        <v>3.0449331614442073E-4</v>
      </c>
      <c r="L405" s="10">
        <f t="shared" si="56"/>
        <v>0.99611755624888865</v>
      </c>
      <c r="M405" s="10">
        <f t="shared" si="57"/>
        <v>1.1818642209118708E-8</v>
      </c>
      <c r="N405" s="10">
        <f t="shared" si="58"/>
        <v>0.73649876400338865</v>
      </c>
      <c r="O405" s="10">
        <f t="shared" si="59"/>
        <v>2.2463246991416486E-2</v>
      </c>
      <c r="P405" s="66">
        <f t="shared" si="60"/>
        <v>4</v>
      </c>
      <c r="Q405" s="10">
        <f t="shared" si="61"/>
        <v>1.5642354606333836E-10</v>
      </c>
    </row>
    <row r="406" spans="9:17">
      <c r="I406" s="66">
        <v>78</v>
      </c>
      <c r="J406" s="10">
        <f t="shared" si="54"/>
        <v>3.3592885527480607E-5</v>
      </c>
      <c r="K406" s="10">
        <f t="shared" si="55"/>
        <v>2.7052145705698641E-4</v>
      </c>
      <c r="L406" s="10">
        <f t="shared" si="56"/>
        <v>0.99610759512313185</v>
      </c>
      <c r="M406" s="10">
        <f t="shared" si="57"/>
        <v>9.052223735331171E-9</v>
      </c>
      <c r="N406" s="10">
        <f t="shared" si="58"/>
        <v>0.74722680885181791</v>
      </c>
      <c r="O406" s="10">
        <f t="shared" si="59"/>
        <v>2.2245115885816989E-2</v>
      </c>
      <c r="P406" s="66">
        <f t="shared" si="60"/>
        <v>2</v>
      </c>
      <c r="Q406" s="10">
        <f t="shared" si="61"/>
        <v>6.018695728253673E-11</v>
      </c>
    </row>
    <row r="407" spans="9:17">
      <c r="I407" s="66">
        <v>78.2</v>
      </c>
      <c r="J407" s="10">
        <f t="shared" si="54"/>
        <v>2.8898599448584978E-5</v>
      </c>
      <c r="K407" s="10">
        <f t="shared" si="55"/>
        <v>2.3992598599012398E-4</v>
      </c>
      <c r="L407" s="10">
        <f t="shared" si="56"/>
        <v>0.99609763409698582</v>
      </c>
      <c r="M407" s="10">
        <f t="shared" si="57"/>
        <v>6.9064678150186892E-9</v>
      </c>
      <c r="N407" s="10">
        <f t="shared" si="58"/>
        <v>0.75811115320381717</v>
      </c>
      <c r="O407" s="10">
        <f t="shared" si="59"/>
        <v>2.2029102959269943E-2</v>
      </c>
      <c r="P407" s="66">
        <f t="shared" si="60"/>
        <v>4</v>
      </c>
      <c r="Q407" s="10">
        <f t="shared" si="61"/>
        <v>9.2273220380232832E-11</v>
      </c>
    </row>
    <row r="408" spans="9:17">
      <c r="I408" s="66">
        <v>78.400000000000006</v>
      </c>
      <c r="J408" s="10">
        <f t="shared" si="54"/>
        <v>2.4805844018293495E-5</v>
      </c>
      <c r="K408" s="10">
        <f t="shared" si="55"/>
        <v>2.1241910348732227E-4</v>
      </c>
      <c r="L408" s="10">
        <f t="shared" si="56"/>
        <v>0.99608767317044955</v>
      </c>
      <c r="M408" s="10">
        <f t="shared" si="57"/>
        <v>5.2486201775730467E-9</v>
      </c>
      <c r="N408" s="10">
        <f t="shared" si="58"/>
        <v>0.7691540742250027</v>
      </c>
      <c r="O408" s="10">
        <f t="shared" si="59"/>
        <v>2.1815187643033244E-2</v>
      </c>
      <c r="P408" s="66">
        <f t="shared" si="60"/>
        <v>2</v>
      </c>
      <c r="Q408" s="10">
        <f t="shared" si="61"/>
        <v>3.5227144007890938E-11</v>
      </c>
    </row>
    <row r="409" spans="9:17">
      <c r="I409" s="66">
        <v>78.599999999999994</v>
      </c>
      <c r="J409" s="10">
        <f t="shared" si="54"/>
        <v>2.1245407971113795E-5</v>
      </c>
      <c r="K409" s="10">
        <f t="shared" si="55"/>
        <v>1.8773251818377976E-4</v>
      </c>
      <c r="L409" s="10">
        <f t="shared" si="56"/>
        <v>0.99607771234352205</v>
      </c>
      <c r="M409" s="10">
        <f t="shared" si="57"/>
        <v>3.9728100746084761E-9</v>
      </c>
      <c r="N409" s="10">
        <f t="shared" si="58"/>
        <v>0.78035788225756642</v>
      </c>
      <c r="O409" s="10">
        <f t="shared" si="59"/>
        <v>2.1603349568098899E-2</v>
      </c>
      <c r="P409" s="66">
        <f t="shared" si="60"/>
        <v>4</v>
      </c>
      <c r="Q409" s="10">
        <f t="shared" si="61"/>
        <v>5.3579999484572843E-11</v>
      </c>
    </row>
    <row r="410" spans="9:17">
      <c r="I410" s="66">
        <v>78.8</v>
      </c>
      <c r="J410" s="10">
        <f t="shared" si="54"/>
        <v>1.8154986048772692E-5</v>
      </c>
      <c r="K410" s="10">
        <f t="shared" si="55"/>
        <v>1.6561660096562397E-4</v>
      </c>
      <c r="L410" s="10">
        <f t="shared" si="56"/>
        <v>0.99606775161620231</v>
      </c>
      <c r="M410" s="10">
        <f t="shared" si="57"/>
        <v>2.9949437249853651E-9</v>
      </c>
      <c r="N410" s="10">
        <f t="shared" si="58"/>
        <v>0.79172492130364203</v>
      </c>
      <c r="O410" s="10">
        <f t="shared" si="59"/>
        <v>2.1393568563253796E-2</v>
      </c>
      <c r="P410" s="66">
        <f t="shared" si="60"/>
        <v>2</v>
      </c>
      <c r="Q410" s="10">
        <f t="shared" si="61"/>
        <v>2.0291128751342549E-11</v>
      </c>
    </row>
    <row r="411" spans="9:17">
      <c r="I411" s="66">
        <v>79</v>
      </c>
      <c r="J411" s="10">
        <f t="shared" si="54"/>
        <v>1.5478620782985655E-5</v>
      </c>
      <c r="K411" s="10">
        <f t="shared" si="55"/>
        <v>1.4583953437428333E-4</v>
      </c>
      <c r="L411" s="10">
        <f t="shared" si="56"/>
        <v>0.99605779098848946</v>
      </c>
      <c r="M411" s="10">
        <f t="shared" si="57"/>
        <v>2.2484957254354081E-9</v>
      </c>
      <c r="N411" s="10">
        <f t="shared" si="58"/>
        <v>0.80325756951570437</v>
      </c>
      <c r="O411" s="10">
        <f t="shared" si="59"/>
        <v>2.1185824653159029E-2</v>
      </c>
      <c r="P411" s="66">
        <f t="shared" si="60"/>
        <v>4</v>
      </c>
      <c r="Q411" s="10">
        <f t="shared" si="61"/>
        <v>3.0611333831008008E-11</v>
      </c>
    </row>
    <row r="412" spans="9:17">
      <c r="I412" s="66">
        <v>79.2</v>
      </c>
      <c r="J412" s="10">
        <f t="shared" si="54"/>
        <v>1.3166174558312289E-5</v>
      </c>
      <c r="K412" s="10">
        <f t="shared" si="55"/>
        <v>1.2818646129517732E-4</v>
      </c>
      <c r="L412" s="10">
        <f t="shared" si="56"/>
        <v>0.99604783046038226</v>
      </c>
      <c r="M412" s="10">
        <f t="shared" si="57"/>
        <v>1.6810551488022618E-9</v>
      </c>
      <c r="N412" s="10">
        <f t="shared" si="58"/>
        <v>0.81495823969410353</v>
      </c>
      <c r="O412" s="10">
        <f t="shared" si="59"/>
        <v>2.0980098056447561E-2</v>
      </c>
      <c r="P412" s="66">
        <f t="shared" si="60"/>
        <v>2</v>
      </c>
      <c r="Q412" s="10">
        <f t="shared" si="61"/>
        <v>1.1497007673703305E-11</v>
      </c>
    </row>
    <row r="413" spans="9:17">
      <c r="I413" s="66">
        <v>79.400000000000006</v>
      </c>
      <c r="J413" s="10">
        <f t="shared" si="54"/>
        <v>1.11728318862846E-5</v>
      </c>
      <c r="K413" s="10">
        <f t="shared" si="55"/>
        <v>1.1245863676142073E-4</v>
      </c>
      <c r="L413" s="10">
        <f t="shared" si="56"/>
        <v>0.99603787003187982</v>
      </c>
      <c r="M413" s="10">
        <f t="shared" si="57"/>
        <v>1.251503099917606E-9</v>
      </c>
      <c r="N413" s="10">
        <f t="shared" si="58"/>
        <v>0.82682937979187787</v>
      </c>
      <c r="O413" s="10">
        <f t="shared" si="59"/>
        <v>2.0776369183841178E-2</v>
      </c>
      <c r="P413" s="66">
        <f t="shared" si="60"/>
        <v>4</v>
      </c>
      <c r="Q413" s="10">
        <f t="shared" si="61"/>
        <v>1.7199169263116948E-11</v>
      </c>
    </row>
    <row r="414" spans="9:17">
      <c r="I414" s="66">
        <v>79.599999999999994</v>
      </c>
      <c r="J414" s="10">
        <f t="shared" si="54"/>
        <v>9.4586316351131315E-6</v>
      </c>
      <c r="K414" s="10">
        <f t="shared" si="55"/>
        <v>9.8472586477967497E-5</v>
      </c>
      <c r="L414" s="10">
        <f t="shared" si="56"/>
        <v>0.99602790970298127</v>
      </c>
      <c r="M414" s="10">
        <f t="shared" si="57"/>
        <v>9.2771625350703468E-10</v>
      </c>
      <c r="N414" s="10">
        <f t="shared" si="58"/>
        <v>0.8388734734268839</v>
      </c>
      <c r="O414" s="10">
        <f t="shared" si="59"/>
        <v>2.057461863628467E-2</v>
      </c>
      <c r="P414" s="66">
        <f t="shared" si="60"/>
        <v>2</v>
      </c>
      <c r="Q414" s="10">
        <f t="shared" si="61"/>
        <v>6.4047681388632487E-12</v>
      </c>
    </row>
    <row r="415" spans="9:17">
      <c r="I415" s="66">
        <v>79.8</v>
      </c>
      <c r="J415" s="10">
        <f t="shared" si="54"/>
        <v>7.9880287884910786E-6</v>
      </c>
      <c r="K415" s="10">
        <f t="shared" si="55"/>
        <v>8.6059275431805073E-5</v>
      </c>
      <c r="L415" s="10">
        <f t="shared" si="56"/>
        <v>0.99601794947368549</v>
      </c>
      <c r="M415" s="10">
        <f t="shared" si="57"/>
        <v>6.8470653304472192E-10</v>
      </c>
      <c r="N415" s="10">
        <f t="shared" si="58"/>
        <v>0.8510930404014152</v>
      </c>
      <c r="O415" s="10">
        <f t="shared" si="59"/>
        <v>2.0374827203098848E-2</v>
      </c>
      <c r="P415" s="66">
        <f t="shared" si="60"/>
        <v>4</v>
      </c>
      <c r="Q415" s="10">
        <f t="shared" si="61"/>
        <v>9.4987275715931961E-12</v>
      </c>
    </row>
    <row r="416" spans="9:17">
      <c r="I416" s="66">
        <v>80</v>
      </c>
      <c r="J416" s="10">
        <f t="shared" si="54"/>
        <v>6.7294851528816072E-6</v>
      </c>
      <c r="K416" s="10">
        <f t="shared" si="55"/>
        <v>7.506328970246072E-5</v>
      </c>
      <c r="L416" s="10">
        <f t="shared" si="56"/>
        <v>0.99600798934399148</v>
      </c>
      <c r="M416" s="10">
        <f t="shared" si="57"/>
        <v>5.0312078012044492E-10</v>
      </c>
      <c r="N416" s="10">
        <f t="shared" si="58"/>
        <v>0.86349063722938202</v>
      </c>
      <c r="O416" s="10">
        <f t="shared" si="59"/>
        <v>2.0176975860151457E-2</v>
      </c>
      <c r="P416" s="66">
        <f t="shared" si="60"/>
        <v>2</v>
      </c>
      <c r="Q416" s="10">
        <f t="shared" si="61"/>
        <v>3.5062748271877442E-12</v>
      </c>
    </row>
    <row r="417" spans="9:17">
      <c r="I417" s="66">
        <v>80.2</v>
      </c>
      <c r="J417" s="10">
        <f t="shared" si="54"/>
        <v>5.6550882953953305E-6</v>
      </c>
      <c r="K417" s="10">
        <f t="shared" si="55"/>
        <v>6.5342034326254891E-5</v>
      </c>
      <c r="L417" s="10">
        <f t="shared" si="56"/>
        <v>0.99599802931389825</v>
      </c>
      <c r="M417" s="10">
        <f t="shared" si="57"/>
        <v>3.6803618542363834E-10</v>
      </c>
      <c r="N417" s="10">
        <f t="shared" si="58"/>
        <v>0.87606885767116116</v>
      </c>
      <c r="O417" s="10">
        <f t="shared" si="59"/>
        <v>1.9981045768045304E-2</v>
      </c>
      <c r="P417" s="66">
        <f t="shared" si="60"/>
        <v>4</v>
      </c>
      <c r="Q417" s="10">
        <f t="shared" si="61"/>
        <v>5.1539115935266121E-12</v>
      </c>
    </row>
    <row r="418" spans="9:17">
      <c r="I418" s="66">
        <v>80.400000000000006</v>
      </c>
      <c r="J418" s="10">
        <f t="shared" si="54"/>
        <v>4.7401978740765011E-6</v>
      </c>
      <c r="K418" s="10">
        <f t="shared" si="55"/>
        <v>5.6764949800407988E-5</v>
      </c>
      <c r="L418" s="10">
        <f t="shared" si="56"/>
        <v>0.99598806938340489</v>
      </c>
      <c r="M418" s="10">
        <f t="shared" si="57"/>
        <v>2.6799757573284202E-10</v>
      </c>
      <c r="N418" s="10">
        <f t="shared" si="58"/>
        <v>0.88883033327626881</v>
      </c>
      <c r="O418" s="10">
        <f t="shared" si="59"/>
        <v>1.9787018270324929E-2</v>
      </c>
      <c r="P418" s="66">
        <f t="shared" si="60"/>
        <v>2</v>
      </c>
      <c r="Q418" s="10">
        <f t="shared" si="61"/>
        <v>1.8853417245632025E-12</v>
      </c>
    </row>
    <row r="419" spans="9:17">
      <c r="I419" s="66">
        <v>80.599999999999994</v>
      </c>
      <c r="J419" s="10">
        <f t="shared" si="54"/>
        <v>3.9631184189694893E-6</v>
      </c>
      <c r="K419" s="10">
        <f t="shared" si="55"/>
        <v>4.9212749541643016E-5</v>
      </c>
      <c r="L419" s="10">
        <f t="shared" si="56"/>
        <v>0.99597810955251032</v>
      </c>
      <c r="M419" s="10">
        <f t="shared" si="57"/>
        <v>1.9425154091567817E-10</v>
      </c>
      <c r="N419" s="10">
        <f t="shared" si="58"/>
        <v>0.90177773393390015</v>
      </c>
      <c r="O419" s="10">
        <f t="shared" si="59"/>
        <v>1.9594874891699681E-2</v>
      </c>
      <c r="P419" s="66">
        <f t="shared" si="60"/>
        <v>4</v>
      </c>
      <c r="Q419" s="10">
        <f t="shared" si="61"/>
        <v>2.7459742622742216E-12</v>
      </c>
    </row>
    <row r="420" spans="9:17">
      <c r="I420" s="66">
        <v>80.8</v>
      </c>
      <c r="J420" s="10">
        <f t="shared" si="54"/>
        <v>3.3047975354325138E-6</v>
      </c>
      <c r="K420" s="10">
        <f t="shared" si="55"/>
        <v>4.2576680340785601E-5</v>
      </c>
      <c r="L420" s="10">
        <f t="shared" si="56"/>
        <v>0.99596814982121351</v>
      </c>
      <c r="M420" s="10">
        <f t="shared" si="57"/>
        <v>1.4013999747117315E-10</v>
      </c>
      <c r="N420" s="10">
        <f t="shared" si="58"/>
        <v>0.91491376843152139</v>
      </c>
      <c r="O420" s="10">
        <f t="shared" si="59"/>
        <v>1.9404597336284624E-2</v>
      </c>
      <c r="P420" s="66">
        <f t="shared" si="60"/>
        <v>2</v>
      </c>
      <c r="Q420" s="10">
        <f t="shared" si="61"/>
        <v>9.9519204323993015E-13</v>
      </c>
    </row>
    <row r="421" spans="9:17">
      <c r="I421" s="66">
        <v>81</v>
      </c>
      <c r="J421" s="10">
        <f t="shared" si="54"/>
        <v>2.7485484303610573E-6</v>
      </c>
      <c r="K421" s="10">
        <f t="shared" si="55"/>
        <v>3.6757807582676256E-5</v>
      </c>
      <c r="L421" s="10">
        <f t="shared" si="56"/>
        <v>0.99595819018951348</v>
      </c>
      <c r="M421" s="10">
        <f t="shared" si="57"/>
        <v>1.006222678067004E-10</v>
      </c>
      <c r="N421" s="10">
        <f t="shared" si="58"/>
        <v>0.92824118502158581</v>
      </c>
      <c r="O421" s="10">
        <f t="shared" si="59"/>
        <v>1.9216167485858526E-2</v>
      </c>
      <c r="P421" s="66">
        <f t="shared" si="60"/>
        <v>4</v>
      </c>
      <c r="Q421" s="10">
        <f t="shared" si="61"/>
        <v>1.4358586775051609E-12</v>
      </c>
    </row>
    <row r="422" spans="9:17">
      <c r="I422" s="66">
        <v>81.2</v>
      </c>
      <c r="J422" s="10">
        <f t="shared" si="54"/>
        <v>2.279795606635855E-6</v>
      </c>
      <c r="K422" s="10">
        <f t="shared" si="55"/>
        <v>3.1666326731523474E-5</v>
      </c>
      <c r="L422" s="10">
        <f t="shared" si="56"/>
        <v>0.99594823065740934</v>
      </c>
      <c r="M422" s="10">
        <f t="shared" si="57"/>
        <v>7.1900244179239573E-11</v>
      </c>
      <c r="N422" s="10">
        <f t="shared" si="58"/>
        <v>0.94176277199649827</v>
      </c>
      <c r="O422" s="10">
        <f t="shared" si="59"/>
        <v>1.9029567398138381E-2</v>
      </c>
      <c r="P422" s="66">
        <f t="shared" si="60"/>
        <v>2</v>
      </c>
      <c r="Q422" s="10">
        <f t="shared" si="61"/>
        <v>5.154194353934092E-13</v>
      </c>
    </row>
    <row r="423" spans="9:17">
      <c r="I423" s="66">
        <v>81.400000000000006</v>
      </c>
      <c r="J423" s="10">
        <f t="shared" si="54"/>
        <v>1.885842530496717E-6</v>
      </c>
      <c r="K423" s="10">
        <f t="shared" si="55"/>
        <v>2.722090231804605E-5</v>
      </c>
      <c r="L423" s="10">
        <f t="shared" si="56"/>
        <v>0.99593827122489997</v>
      </c>
      <c r="M423" s="10">
        <f t="shared" si="57"/>
        <v>5.1125829162989191E-11</v>
      </c>
      <c r="N423" s="10">
        <f t="shared" si="58"/>
        <v>0.95548135827198899</v>
      </c>
      <c r="O423" s="10">
        <f t="shared" si="59"/>
        <v>1.8844779305071366E-2</v>
      </c>
      <c r="P423" s="66">
        <f t="shared" si="60"/>
        <v>4</v>
      </c>
      <c r="Q423" s="10">
        <f t="shared" si="61"/>
        <v>7.3645060868168321E-13</v>
      </c>
    </row>
    <row r="424" spans="9:17">
      <c r="I424" s="66">
        <v>81.599999999999994</v>
      </c>
      <c r="J424" s="10">
        <f t="shared" si="54"/>
        <v>1.5556600497946829E-6</v>
      </c>
      <c r="K424" s="10">
        <f t="shared" si="55"/>
        <v>2.3348035408301336E-5</v>
      </c>
      <c r="L424" s="10">
        <f t="shared" si="56"/>
        <v>0.9959283118919845</v>
      </c>
      <c r="M424" s="10">
        <f t="shared" si="57"/>
        <v>3.6173715674973624E-11</v>
      </c>
      <c r="N424" s="10">
        <f t="shared" si="58"/>
        <v>0.96939981397894193</v>
      </c>
      <c r="O424" s="10">
        <f t="shared" si="59"/>
        <v>1.8661785611142553E-2</v>
      </c>
      <c r="P424" s="66">
        <f t="shared" si="60"/>
        <v>2</v>
      </c>
      <c r="Q424" s="10">
        <f t="shared" si="61"/>
        <v>2.6176359105268604E-13</v>
      </c>
    </row>
    <row r="425" spans="9:17">
      <c r="I425" s="66">
        <v>81.8</v>
      </c>
      <c r="J425" s="10">
        <f t="shared" si="54"/>
        <v>1.2796943272356133E-6</v>
      </c>
      <c r="K425" s="10">
        <f t="shared" si="55"/>
        <v>1.9981460286826741E-5</v>
      </c>
      <c r="L425" s="10">
        <f t="shared" si="56"/>
        <v>0.99591835265866191</v>
      </c>
      <c r="M425" s="10">
        <f t="shared" si="57"/>
        <v>2.546579299772595E-11</v>
      </c>
      <c r="N425" s="10">
        <f t="shared" si="58"/>
        <v>0.98352105106388543</v>
      </c>
      <c r="O425" s="10">
        <f t="shared" si="59"/>
        <v>1.8480568891699641E-2</v>
      </c>
      <c r="P425" s="66">
        <f t="shared" si="60"/>
        <v>4</v>
      </c>
      <c r="Q425" s="10">
        <f t="shared" si="61"/>
        <v>3.7029358426901085E-13</v>
      </c>
    </row>
    <row r="426" spans="9:17">
      <c r="I426" s="66">
        <v>82</v>
      </c>
      <c r="J426" s="10">
        <f t="shared" si="54"/>
        <v>1.0496930507830479E-6</v>
      </c>
      <c r="K426" s="10">
        <f t="shared" si="55"/>
        <v>1.7061570850409709E-5</v>
      </c>
      <c r="L426" s="10">
        <f t="shared" si="56"/>
        <v>0.99590839352493099</v>
      </c>
      <c r="M426" s="10">
        <f t="shared" si="57"/>
        <v>1.7836134089552626E-11</v>
      </c>
      <c r="N426" s="10">
        <f t="shared" si="58"/>
        <v>0.99784802389820459</v>
      </c>
      <c r="O426" s="10">
        <f t="shared" si="59"/>
        <v>1.8301111891293836E-2</v>
      </c>
      <c r="P426" s="66">
        <f t="shared" si="60"/>
        <v>2</v>
      </c>
      <c r="Q426" s="10">
        <f t="shared" si="61"/>
        <v>1.302874541222061E-13</v>
      </c>
    </row>
    <row r="427" spans="9:17">
      <c r="I427" s="66">
        <v>82.2</v>
      </c>
      <c r="J427" s="10">
        <f t="shared" si="54"/>
        <v>8.5854869224156569E-7</v>
      </c>
      <c r="K427" s="10">
        <f t="shared" si="55"/>
        <v>1.4534876984812343E-5</v>
      </c>
      <c r="L427" s="10">
        <f t="shared" si="56"/>
        <v>0.99589843449079107</v>
      </c>
      <c r="M427" s="10">
        <f t="shared" si="57"/>
        <v>1.2427716602898854E-11</v>
      </c>
      <c r="N427" s="10">
        <f t="shared" si="58"/>
        <v>1.0123837298962357</v>
      </c>
      <c r="O427" s="10">
        <f t="shared" si="59"/>
        <v>1.8123397522036552E-2</v>
      </c>
      <c r="P427" s="66">
        <f t="shared" si="60"/>
        <v>4</v>
      </c>
      <c r="Q427" s="10">
        <f t="shared" si="61"/>
        <v>1.824173328711886E-13</v>
      </c>
    </row>
    <row r="428" spans="9:17">
      <c r="I428" s="66">
        <v>82.4</v>
      </c>
      <c r="J428" s="10">
        <f t="shared" si="54"/>
        <v>7.0015760358729657E-7</v>
      </c>
      <c r="K428" s="10">
        <f t="shared" si="55"/>
        <v>1.2353490986477012E-5</v>
      </c>
      <c r="L428" s="10">
        <f t="shared" si="56"/>
        <v>0.99588847555624083</v>
      </c>
      <c r="M428" s="10">
        <f t="shared" si="57"/>
        <v>8.6138284639683548E-12</v>
      </c>
      <c r="N428" s="10">
        <f t="shared" si="58"/>
        <v>1.0271312101423882</v>
      </c>
      <c r="O428" s="10">
        <f t="shared" si="59"/>
        <v>1.7947408861972727E-2</v>
      </c>
      <c r="P428" s="66">
        <f t="shared" si="60"/>
        <v>2</v>
      </c>
      <c r="Q428" s="10">
        <f t="shared" si="61"/>
        <v>6.3516110078130005E-14</v>
      </c>
    </row>
    <row r="429" spans="9:17">
      <c r="I429" s="66">
        <v>82.6</v>
      </c>
      <c r="J429" s="10">
        <f t="shared" si="54"/>
        <v>5.6929376770837603E-7</v>
      </c>
      <c r="K429" s="10">
        <f t="shared" si="55"/>
        <v>1.047464389564797E-5</v>
      </c>
      <c r="L429" s="10">
        <f t="shared" si="56"/>
        <v>0.99587851672127958</v>
      </c>
      <c r="M429" s="10">
        <f t="shared" si="57"/>
        <v>5.938572467850552E-12</v>
      </c>
      <c r="N429" s="10">
        <f t="shared" si="58"/>
        <v>1.0420935500273627</v>
      </c>
      <c r="O429" s="10">
        <f t="shared" si="59"/>
        <v>1.7773129153469101E-2</v>
      </c>
      <c r="P429" s="66">
        <f t="shared" si="60"/>
        <v>4</v>
      </c>
      <c r="Q429" s="10">
        <f t="shared" si="61"/>
        <v>8.7991891227022562E-14</v>
      </c>
    </row>
    <row r="430" spans="9:17">
      <c r="I430" s="66">
        <v>82.8</v>
      </c>
      <c r="J430" s="10">
        <f t="shared" si="54"/>
        <v>4.6149605472966793E-7</v>
      </c>
      <c r="K430" s="10">
        <f t="shared" si="55"/>
        <v>8.8602314272922874E-6</v>
      </c>
      <c r="L430" s="10">
        <f t="shared" si="56"/>
        <v>0.99586855798590612</v>
      </c>
      <c r="M430" s="10">
        <f t="shared" si="57"/>
        <v>4.0720685389156437E-12</v>
      </c>
      <c r="N430" s="10">
        <f t="shared" si="58"/>
        <v>1.0572738798936778</v>
      </c>
      <c r="O430" s="10">
        <f t="shared" si="59"/>
        <v>1.7600541801618706E-2</v>
      </c>
      <c r="P430" s="66">
        <f t="shared" si="60"/>
        <v>2</v>
      </c>
      <c r="Q430" s="10">
        <f t="shared" si="61"/>
        <v>3.0310186637065094E-14</v>
      </c>
    </row>
    <row r="431" spans="9:17">
      <c r="I431" s="66">
        <v>83</v>
      </c>
      <c r="J431" s="10">
        <f t="shared" si="54"/>
        <v>3.7296787590581714E-7</v>
      </c>
      <c r="K431" s="10">
        <f t="shared" si="55"/>
        <v>7.4763890223761803E-6</v>
      </c>
      <c r="L431" s="10">
        <f t="shared" si="56"/>
        <v>0.99585859935011956</v>
      </c>
      <c r="M431" s="10">
        <f t="shared" si="57"/>
        <v>2.7769048323318236E-12</v>
      </c>
      <c r="N431" s="10">
        <f t="shared" si="58"/>
        <v>1.07267537569057</v>
      </c>
      <c r="O431" s="10">
        <f t="shared" si="59"/>
        <v>1.7429630372660796E-2</v>
      </c>
      <c r="P431" s="66">
        <f t="shared" si="60"/>
        <v>4</v>
      </c>
      <c r="Q431" s="10">
        <f t="shared" si="61"/>
        <v>4.1534355091259802E-14</v>
      </c>
    </row>
    <row r="432" spans="9:17">
      <c r="I432" s="66">
        <v>83.2</v>
      </c>
      <c r="J432" s="10">
        <f t="shared" si="54"/>
        <v>3.0048817307892007E-7</v>
      </c>
      <c r="K432" s="10">
        <f t="shared" si="55"/>
        <v>6.2930953947921435E-6</v>
      </c>
      <c r="L432" s="10">
        <f t="shared" si="56"/>
        <v>0.99584864081391877</v>
      </c>
      <c r="M432" s="10">
        <f t="shared" si="57"/>
        <v>1.8831505149070746E-12</v>
      </c>
      <c r="N432" s="10">
        <f t="shared" si="58"/>
        <v>1.0883012596384525</v>
      </c>
      <c r="O432" s="10">
        <f t="shared" si="59"/>
        <v>1.7260378592415759E-2</v>
      </c>
      <c r="P432" s="66">
        <f t="shared" si="60"/>
        <v>2</v>
      </c>
      <c r="Q432" s="10">
        <f t="shared" si="61"/>
        <v>1.4149610135029585E-14</v>
      </c>
    </row>
    <row r="433" spans="9:17">
      <c r="I433" s="66">
        <v>83.4</v>
      </c>
      <c r="J433" s="10">
        <f t="shared" si="54"/>
        <v>2.4133273186782312E-7</v>
      </c>
      <c r="K433" s="10">
        <f t="shared" si="55"/>
        <v>5.2838038188050517E-6</v>
      </c>
      <c r="L433" s="10">
        <f t="shared" si="56"/>
        <v>0.99583868237730289</v>
      </c>
      <c r="M433" s="10">
        <f t="shared" si="57"/>
        <v>1.2698484860623163E-12</v>
      </c>
      <c r="N433" s="10">
        <f t="shared" si="58"/>
        <v>1.1041548009030664</v>
      </c>
      <c r="O433" s="10">
        <f t="shared" si="59"/>
        <v>1.7092770344735927E-2</v>
      </c>
      <c r="P433" s="66">
        <f t="shared" si="60"/>
        <v>4</v>
      </c>
      <c r="Q433" s="10">
        <f t="shared" si="61"/>
        <v>1.9172745842016527E-14</v>
      </c>
    </row>
    <row r="434" spans="9:17">
      <c r="I434" s="66">
        <v>83.6</v>
      </c>
      <c r="J434" s="10">
        <f t="shared" si="54"/>
        <v>1.9320486008825266E-7</v>
      </c>
      <c r="K434" s="10">
        <f t="shared" si="55"/>
        <v>4.4251002882668979E-6</v>
      </c>
      <c r="L434" s="10">
        <f t="shared" si="56"/>
        <v>0.9958287240402709</v>
      </c>
      <c r="M434" s="10">
        <f t="shared" si="57"/>
        <v>8.5138464600996023E-13</v>
      </c>
      <c r="N434" s="10">
        <f t="shared" si="58"/>
        <v>1.1202393162794158</v>
      </c>
      <c r="O434" s="10">
        <f t="shared" si="59"/>
        <v>1.692678966997057E-2</v>
      </c>
      <c r="P434" s="66">
        <f t="shared" si="60"/>
        <v>2</v>
      </c>
      <c r="Q434" s="10">
        <f t="shared" si="61"/>
        <v>6.4576010911530713E-15</v>
      </c>
    </row>
    <row r="435" spans="9:17">
      <c r="I435" s="66">
        <v>83.8</v>
      </c>
      <c r="J435" s="10">
        <f t="shared" si="54"/>
        <v>1.5417452846548648E-7</v>
      </c>
      <c r="K435" s="10">
        <f t="shared" si="55"/>
        <v>3.6963875818625214E-6</v>
      </c>
      <c r="L435" s="10">
        <f t="shared" si="56"/>
        <v>0.9958187658028218</v>
      </c>
      <c r="M435" s="10">
        <f t="shared" si="57"/>
        <v>5.6750597386808974E-13</v>
      </c>
      <c r="N435" s="10">
        <f t="shared" si="58"/>
        <v>1.1365581708857038</v>
      </c>
      <c r="O435" s="10">
        <f t="shared" si="59"/>
        <v>1.6762420763446386E-2</v>
      </c>
      <c r="P435" s="66">
        <f t="shared" si="60"/>
        <v>4</v>
      </c>
      <c r="Q435" s="10">
        <f t="shared" si="61"/>
        <v>8.649456741020893E-15</v>
      </c>
    </row>
    <row r="436" spans="9:17">
      <c r="I436" s="66">
        <v>84</v>
      </c>
      <c r="J436" s="10">
        <f t="shared" si="54"/>
        <v>1.2262512763356017E-7</v>
      </c>
      <c r="K436" s="10">
        <f t="shared" si="55"/>
        <v>3.0795941879532533E-6</v>
      </c>
      <c r="L436" s="10">
        <f t="shared" si="56"/>
        <v>0.9958088076649545</v>
      </c>
      <c r="M436" s="10">
        <f t="shared" si="57"/>
        <v>3.7605288679794403E-13</v>
      </c>
      <c r="N436" s="10">
        <f t="shared" si="58"/>
        <v>1.1531147788673628</v>
      </c>
      <c r="O436" s="10">
        <f t="shared" si="59"/>
        <v>1.6599647973962663E-2</v>
      </c>
      <c r="P436" s="66">
        <f t="shared" si="60"/>
        <v>2</v>
      </c>
      <c r="Q436" s="10">
        <f t="shared" si="61"/>
        <v>2.8792563589904726E-15</v>
      </c>
    </row>
    <row r="437" spans="9:17">
      <c r="I437" s="66">
        <v>84.2</v>
      </c>
      <c r="J437" s="10">
        <f t="shared" si="54"/>
        <v>9.7207052930788844E-8</v>
      </c>
      <c r="K437" s="10">
        <f t="shared" si="55"/>
        <v>2.5589069776511959E-6</v>
      </c>
      <c r="L437" s="10">
        <f t="shared" si="56"/>
        <v>0.99579884962666809</v>
      </c>
      <c r="M437" s="10">
        <f t="shared" si="57"/>
        <v>2.4769879588797346E-13</v>
      </c>
      <c r="N437" s="10">
        <f t="shared" si="58"/>
        <v>1.1699126041113366</v>
      </c>
      <c r="O437" s="10">
        <f t="shared" si="59"/>
        <v>1.643845580230072E-2</v>
      </c>
      <c r="P437" s="66">
        <f t="shared" si="60"/>
        <v>4</v>
      </c>
      <c r="Q437" s="10">
        <f t="shared" si="61"/>
        <v>3.8109067372800029E-15</v>
      </c>
    </row>
    <row r="438" spans="9:17">
      <c r="I438" s="66">
        <v>84.4</v>
      </c>
      <c r="J438" s="10">
        <f t="shared" si="54"/>
        <v>7.6797385895686364E-8</v>
      </c>
      <c r="K438" s="10">
        <f t="shared" si="55"/>
        <v>2.1205264649368287E-6</v>
      </c>
      <c r="L438" s="10">
        <f t="shared" si="56"/>
        <v>0.9957888916879617</v>
      </c>
      <c r="M438" s="10">
        <f t="shared" si="57"/>
        <v>1.6216510649651096E-13</v>
      </c>
      <c r="N438" s="10">
        <f t="shared" si="58"/>
        <v>1.1869551609707965</v>
      </c>
      <c r="O438" s="10">
        <f t="shared" si="59"/>
        <v>1.6278828899748504E-2</v>
      </c>
      <c r="P438" s="66">
        <f t="shared" si="60"/>
        <v>2</v>
      </c>
      <c r="Q438" s="10">
        <f t="shared" si="61"/>
        <v>1.2533572414561306E-15</v>
      </c>
    </row>
    <row r="439" spans="9:17">
      <c r="I439" s="66">
        <v>84.6</v>
      </c>
      <c r="J439" s="10">
        <f t="shared" si="54"/>
        <v>6.046499801647823E-8</v>
      </c>
      <c r="K439" s="10">
        <f t="shared" si="55"/>
        <v>1.7524434571461364E-6</v>
      </c>
      <c r="L439" s="10">
        <f t="shared" si="56"/>
        <v>0.99577893384883409</v>
      </c>
      <c r="M439" s="10">
        <f t="shared" si="57"/>
        <v>1.0551421970088851E-13</v>
      </c>
      <c r="N439" s="10">
        <f t="shared" si="58"/>
        <v>1.204246015000372</v>
      </c>
      <c r="O439" s="10">
        <f t="shared" si="59"/>
        <v>1.6120752066638634E-2</v>
      </c>
      <c r="P439" s="66">
        <f t="shared" si="60"/>
        <v>4</v>
      </c>
      <c r="Q439" s="10">
        <f t="shared" si="61"/>
        <v>1.638707702759465E-15</v>
      </c>
    </row>
    <row r="440" spans="9:17">
      <c r="I440" s="66">
        <v>84.8</v>
      </c>
      <c r="J440" s="10">
        <f t="shared" si="54"/>
        <v>4.7440457649898771E-8</v>
      </c>
      <c r="K440" s="10">
        <f t="shared" si="55"/>
        <v>1.4442358771072139E-6</v>
      </c>
      <c r="L440" s="10">
        <f t="shared" si="56"/>
        <v>0.99576897610928439</v>
      </c>
      <c r="M440" s="10">
        <f t="shared" si="57"/>
        <v>6.8225321469901526E-14</v>
      </c>
      <c r="N440" s="10">
        <f t="shared" si="58"/>
        <v>1.2217887837021315</v>
      </c>
      <c r="O440" s="10">
        <f t="shared" si="59"/>
        <v>1.5964210250901317E-2</v>
      </c>
      <c r="P440" s="66">
        <f t="shared" si="60"/>
        <v>2</v>
      </c>
      <c r="Q440" s="10">
        <f t="shared" si="61"/>
        <v>5.3229103875250121E-16</v>
      </c>
    </row>
    <row r="441" spans="9:17">
      <c r="I441" s="66">
        <v>85</v>
      </c>
      <c r="J441" s="10">
        <f t="shared" si="54"/>
        <v>3.7090174641543534E-8</v>
      </c>
      <c r="K441" s="10">
        <f t="shared" si="55"/>
        <v>1.1868845286377779E-6</v>
      </c>
      <c r="L441" s="10">
        <f t="shared" si="56"/>
        <v>0.99575901846931159</v>
      </c>
      <c r="M441" s="10">
        <f t="shared" si="57"/>
        <v>4.3835058998965064E-14</v>
      </c>
      <c r="N441" s="10">
        <f t="shared" si="58"/>
        <v>1.239587137282415</v>
      </c>
      <c r="O441" s="10">
        <f t="shared" si="59"/>
        <v>1.580918854663111E-2</v>
      </c>
      <c r="P441" s="66">
        <f t="shared" si="60"/>
        <v>4</v>
      </c>
      <c r="Q441" s="10">
        <f t="shared" si="61"/>
        <v>6.872238489611434E-16</v>
      </c>
    </row>
    <row r="442" spans="9:17">
      <c r="I442" s="66">
        <v>85.2</v>
      </c>
      <c r="J442" s="10">
        <f t="shared" si="54"/>
        <v>2.8894268669984092E-8</v>
      </c>
      <c r="K442" s="10">
        <f t="shared" si="55"/>
        <v>9.7260657897592442E-7</v>
      </c>
      <c r="L442" s="10">
        <f t="shared" si="56"/>
        <v>0.99574906092891458</v>
      </c>
      <c r="M442" s="10">
        <f t="shared" si="57"/>
        <v>2.7983292700475786E-14</v>
      </c>
      <c r="N442" s="10">
        <f t="shared" si="58"/>
        <v>1.2576447994196867</v>
      </c>
      <c r="O442" s="10">
        <f t="shared" si="59"/>
        <v>1.565567219266735E-2</v>
      </c>
      <c r="P442" s="66">
        <f t="shared" si="60"/>
        <v>2</v>
      </c>
      <c r="Q442" s="10">
        <f t="shared" si="61"/>
        <v>2.2038829495867989E-16</v>
      </c>
    </row>
    <row r="443" spans="9:17">
      <c r="I443" s="66">
        <v>85.4</v>
      </c>
      <c r="J443" s="10">
        <f t="shared" si="54"/>
        <v>2.2427696395850207E-8</v>
      </c>
      <c r="K443" s="10">
        <f t="shared" si="55"/>
        <v>7.9470554392339273E-7</v>
      </c>
      <c r="L443" s="10">
        <f t="shared" si="56"/>
        <v>0.99573910348809258</v>
      </c>
      <c r="M443" s="10">
        <f t="shared" si="57"/>
        <v>1.7747470937844092E-14</v>
      </c>
      <c r="N443" s="10">
        <f t="shared" si="58"/>
        <v>1.2759655480436063</v>
      </c>
      <c r="O443" s="10">
        <f t="shared" si="59"/>
        <v>1.5503646571189047E-2</v>
      </c>
      <c r="P443" s="66">
        <f t="shared" si="60"/>
        <v>4</v>
      </c>
      <c r="Q443" s="10">
        <f t="shared" si="61"/>
        <v>2.808660641265123E-16</v>
      </c>
    </row>
    <row r="444" spans="9:17">
      <c r="I444" s="66">
        <v>85.6</v>
      </c>
      <c r="J444" s="10">
        <f t="shared" si="54"/>
        <v>1.7344218892245286E-8</v>
      </c>
      <c r="K444" s="10">
        <f t="shared" si="55"/>
        <v>6.4743658291670116E-7</v>
      </c>
      <c r="L444" s="10">
        <f t="shared" si="56"/>
        <v>0.99572914614684449</v>
      </c>
      <c r="M444" s="10">
        <f t="shared" si="57"/>
        <v>1.1181323191455555E-14</v>
      </c>
      <c r="N444" s="10">
        <f t="shared" si="58"/>
        <v>1.2945532161254001</v>
      </c>
      <c r="O444" s="10">
        <f t="shared" si="59"/>
        <v>1.5353097206322507E-2</v>
      </c>
      <c r="P444" s="66">
        <f t="shared" si="60"/>
        <v>2</v>
      </c>
      <c r="Q444" s="10">
        <f t="shared" si="61"/>
        <v>8.8893314492947335E-17</v>
      </c>
    </row>
    <row r="445" spans="9:17">
      <c r="I445" s="66">
        <v>85.8</v>
      </c>
      <c r="J445" s="10">
        <f t="shared" si="54"/>
        <v>1.3362834397725341E-8</v>
      </c>
      <c r="K445" s="10">
        <f t="shared" si="55"/>
        <v>5.2588594077475705E-7</v>
      </c>
      <c r="L445" s="10">
        <f t="shared" si="56"/>
        <v>0.99571918890516931</v>
      </c>
      <c r="M445" s="10">
        <f t="shared" si="57"/>
        <v>6.9972440803951974E-15</v>
      </c>
      <c r="N445" s="10">
        <f t="shared" si="58"/>
        <v>1.3134116924797914</v>
      </c>
      <c r="O445" s="10">
        <f t="shared" si="59"/>
        <v>1.5204009762763156E-2</v>
      </c>
      <c r="P445" s="66">
        <f t="shared" si="60"/>
        <v>4</v>
      </c>
      <c r="Q445" s="10">
        <f t="shared" si="61"/>
        <v>1.1178306885125639E-16</v>
      </c>
    </row>
    <row r="446" spans="9:17">
      <c r="I446" s="66">
        <v>86</v>
      </c>
      <c r="J446" s="10">
        <f t="shared" si="54"/>
        <v>1.0256342062287986E-8</v>
      </c>
      <c r="K446" s="10">
        <f t="shared" si="55"/>
        <v>4.2586340938301327E-7</v>
      </c>
      <c r="L446" s="10">
        <f t="shared" si="56"/>
        <v>0.99570923176306614</v>
      </c>
      <c r="M446" s="10">
        <f t="shared" si="57"/>
        <v>4.3490595775131481E-15</v>
      </c>
      <c r="N446" s="10">
        <f t="shared" si="58"/>
        <v>1.3325449225785959</v>
      </c>
      <c r="O446" s="10">
        <f t="shared" si="59"/>
        <v>1.5056370044410581E-2</v>
      </c>
      <c r="P446" s="66">
        <f t="shared" si="60"/>
        <v>2</v>
      </c>
      <c r="Q446" s="10">
        <f t="shared" si="61"/>
        <v>3.4902576464524661E-17</v>
      </c>
    </row>
    <row r="447" spans="9:17">
      <c r="I447" s="66">
        <v>86.2</v>
      </c>
      <c r="J447" s="10">
        <f t="shared" si="54"/>
        <v>7.8417399994530217E-9</v>
      </c>
      <c r="K447" s="10">
        <f t="shared" si="55"/>
        <v>3.4380672495655201E-7</v>
      </c>
      <c r="L447" s="10">
        <f t="shared" si="56"/>
        <v>0.99569927472053377</v>
      </c>
      <c r="M447" s="10">
        <f t="shared" si="57"/>
        <v>2.6844480071153049E-15</v>
      </c>
      <c r="N447" s="10">
        <f t="shared" si="58"/>
        <v>1.3519569093761632</v>
      </c>
      <c r="O447" s="10">
        <f t="shared" si="59"/>
        <v>1.4910163993016534E-2</v>
      </c>
      <c r="P447" s="66">
        <f t="shared" si="60"/>
        <v>4</v>
      </c>
      <c r="Q447" s="10">
        <f t="shared" si="61"/>
        <v>4.3290265933107331E-17</v>
      </c>
    </row>
    <row r="448" spans="9:17">
      <c r="I448" s="66">
        <v>86.4</v>
      </c>
      <c r="J448" s="10">
        <f t="shared" si="54"/>
        <v>5.9721956112970843E-9</v>
      </c>
      <c r="K448" s="10">
        <f t="shared" si="55"/>
        <v>2.766968637105619E-7</v>
      </c>
      <c r="L448" s="10">
        <f t="shared" si="56"/>
        <v>0.9956893177775713</v>
      </c>
      <c r="M448" s="10">
        <f t="shared" si="57"/>
        <v>1.6453644453507161E-15</v>
      </c>
      <c r="N448" s="10">
        <f t="shared" si="58"/>
        <v>1.3716517141468767</v>
      </c>
      <c r="O448" s="10">
        <f t="shared" si="59"/>
        <v>1.4765377686846708E-2</v>
      </c>
      <c r="P448" s="66">
        <f t="shared" si="60"/>
        <v>2</v>
      </c>
      <c r="Q448" s="10">
        <f t="shared" si="61"/>
        <v>1.332939723234132E-17</v>
      </c>
    </row>
    <row r="449" spans="9:17">
      <c r="I449" s="66">
        <v>86.6</v>
      </c>
      <c r="J449" s="10">
        <f t="shared" si="54"/>
        <v>4.5303578578384261E-9</v>
      </c>
      <c r="K449" s="10">
        <f t="shared" si="55"/>
        <v>2.2198324973315121E-7</v>
      </c>
      <c r="L449" s="10">
        <f t="shared" si="56"/>
        <v>0.99567936093417786</v>
      </c>
      <c r="M449" s="10">
        <f t="shared" si="57"/>
        <v>1.0013184504738174E-15</v>
      </c>
      <c r="N449" s="10">
        <f t="shared" si="58"/>
        <v>1.391633457334805</v>
      </c>
      <c r="O449" s="10">
        <f t="shared" si="59"/>
        <v>1.4621997339354768E-2</v>
      </c>
      <c r="P449" s="66">
        <f t="shared" si="60"/>
        <v>4</v>
      </c>
      <c r="Q449" s="10">
        <f t="shared" si="61"/>
        <v>1.6300231318537455E-17</v>
      </c>
    </row>
    <row r="450" spans="9:17">
      <c r="I450" s="66">
        <v>86.8</v>
      </c>
      <c r="J450" s="10">
        <f t="shared" si="54"/>
        <v>3.4228099726581434E-9</v>
      </c>
      <c r="K450" s="10">
        <f t="shared" si="55"/>
        <v>1.7751794263458434E-7</v>
      </c>
      <c r="L450" s="10">
        <f t="shared" si="56"/>
        <v>0.99566940419035233</v>
      </c>
      <c r="M450" s="10">
        <f t="shared" si="57"/>
        <v>6.0497887025705607E-16</v>
      </c>
      <c r="N450" s="10">
        <f t="shared" si="58"/>
        <v>1.4119063194157733</v>
      </c>
      <c r="O450" s="10">
        <f t="shared" si="59"/>
        <v>1.4480009297869672E-2</v>
      </c>
      <c r="P450" s="66">
        <f t="shared" si="60"/>
        <v>2</v>
      </c>
      <c r="Q450" s="10">
        <f t="shared" si="61"/>
        <v>4.9473760310452093E-18</v>
      </c>
    </row>
    <row r="451" spans="9:17">
      <c r="I451" s="66">
        <v>87</v>
      </c>
      <c r="J451" s="10">
        <f t="shared" si="54"/>
        <v>2.5754871878274704E-9</v>
      </c>
      <c r="K451" s="10">
        <f t="shared" si="55"/>
        <v>1.4149792823980733E-7</v>
      </c>
      <c r="L451" s="10">
        <f t="shared" si="56"/>
        <v>0.9956594475460937</v>
      </c>
      <c r="M451" s="10">
        <f t="shared" si="57"/>
        <v>3.6284429067755121E-16</v>
      </c>
      <c r="N451" s="10">
        <f t="shared" si="58"/>
        <v>1.4324745417719906</v>
      </c>
      <c r="O451" s="10">
        <f t="shared" si="59"/>
        <v>1.4339400042295789E-2</v>
      </c>
      <c r="P451" s="66">
        <f t="shared" si="60"/>
        <v>4</v>
      </c>
      <c r="Q451" s="10">
        <f t="shared" si="61"/>
        <v>5.9624970081975756E-18</v>
      </c>
    </row>
    <row r="452" spans="9:17">
      <c r="I452" s="66">
        <v>87.2</v>
      </c>
      <c r="J452" s="10">
        <f t="shared" si="54"/>
        <v>1.9299074512004467E-9</v>
      </c>
      <c r="K452" s="10">
        <f t="shared" si="55"/>
        <v>1.1241469236589225E-7</v>
      </c>
      <c r="L452" s="10">
        <f t="shared" si="56"/>
        <v>0.9956494910014011</v>
      </c>
      <c r="M452" s="10">
        <f t="shared" si="57"/>
        <v>2.1600610970108679E-16</v>
      </c>
      <c r="N452" s="10">
        <f t="shared" si="58"/>
        <v>1.4533424275793754</v>
      </c>
      <c r="O452" s="10">
        <f t="shared" si="59"/>
        <v>1.4200156183825268E-2</v>
      </c>
      <c r="P452" s="66">
        <f t="shared" si="60"/>
        <v>2</v>
      </c>
      <c r="Q452" s="10">
        <f t="shared" si="61"/>
        <v>1.7831468054073652E-18</v>
      </c>
    </row>
    <row r="453" spans="9:17">
      <c r="I453" s="66">
        <v>87.4</v>
      </c>
      <c r="J453" s="10">
        <f t="shared" si="54"/>
        <v>1.440084044130494E-9</v>
      </c>
      <c r="K453" s="10">
        <f t="shared" si="55"/>
        <v>8.9010314831855469E-8</v>
      </c>
      <c r="L453" s="10">
        <f t="shared" si="56"/>
        <v>0.99563953455627341</v>
      </c>
      <c r="M453" s="10">
        <f t="shared" si="57"/>
        <v>1.2762339951381923E-16</v>
      </c>
      <c r="N453" s="10">
        <f t="shared" si="58"/>
        <v>1.4745143427078924</v>
      </c>
      <c r="O453" s="10">
        <f t="shared" si="59"/>
        <v>1.4062264463663541E-2</v>
      </c>
      <c r="P453" s="66">
        <f t="shared" si="60"/>
        <v>4</v>
      </c>
      <c r="Q453" s="10">
        <f t="shared" si="61"/>
        <v>2.1170180377334559E-18</v>
      </c>
    </row>
    <row r="454" spans="9:17">
      <c r="I454" s="66">
        <v>87.6</v>
      </c>
      <c r="J454" s="10">
        <f t="shared" si="54"/>
        <v>1.0700075966927768E-9</v>
      </c>
      <c r="K454" s="10">
        <f t="shared" si="55"/>
        <v>7.0239377612199815E-8</v>
      </c>
      <c r="L454" s="10">
        <f t="shared" si="56"/>
        <v>0.99562957821070963</v>
      </c>
      <c r="M454" s="10">
        <f t="shared" si="57"/>
        <v>7.4828201294196897E-17</v>
      </c>
      <c r="N454" s="10">
        <f t="shared" si="58"/>
        <v>1.4959947166349152</v>
      </c>
      <c r="O454" s="10">
        <f t="shared" si="59"/>
        <v>1.3925711751766443E-2</v>
      </c>
      <c r="P454" s="66">
        <f t="shared" si="60"/>
        <v>2</v>
      </c>
      <c r="Q454" s="10">
        <f t="shared" si="61"/>
        <v>6.2355211755371617E-19</v>
      </c>
    </row>
    <row r="455" spans="9:17">
      <c r="I455" s="66">
        <v>87.8</v>
      </c>
      <c r="J455" s="10">
        <f t="shared" si="54"/>
        <v>7.9160141782723988E-10</v>
      </c>
      <c r="K455" s="10">
        <f t="shared" si="55"/>
        <v>5.5236036876479297E-8</v>
      </c>
      <c r="L455" s="10">
        <f t="shared" si="56"/>
        <v>0.99561962196470888</v>
      </c>
      <c r="M455" s="10">
        <f t="shared" si="57"/>
        <v>4.3533393405047114E-17</v>
      </c>
      <c r="N455" s="10">
        <f t="shared" si="58"/>
        <v>1.5177880433719564</v>
      </c>
      <c r="O455" s="10">
        <f t="shared" si="59"/>
        <v>1.379048504559016E-2</v>
      </c>
      <c r="P455" s="66">
        <f t="shared" si="60"/>
        <v>4</v>
      </c>
      <c r="Q455" s="10">
        <f t="shared" si="61"/>
        <v>7.2895912612329917E-19</v>
      </c>
    </row>
    <row r="456" spans="9:17">
      <c r="I456" s="66">
        <v>88</v>
      </c>
      <c r="J456" s="10">
        <f t="shared" si="54"/>
        <v>5.8306848093119897E-10</v>
      </c>
      <c r="K456" s="10">
        <f t="shared" si="55"/>
        <v>4.3285663046784055E-8</v>
      </c>
      <c r="L456" s="10">
        <f t="shared" si="56"/>
        <v>0.99560966581827004</v>
      </c>
      <c r="M456" s="10">
        <f t="shared" si="57"/>
        <v>2.5127700324083904E-17</v>
      </c>
      <c r="N456" s="10">
        <f t="shared" si="58"/>
        <v>1.5398988824048898</v>
      </c>
      <c r="O456" s="10">
        <f t="shared" si="59"/>
        <v>1.3656571468853134E-2</v>
      </c>
      <c r="P456" s="66">
        <f t="shared" si="60"/>
        <v>2</v>
      </c>
      <c r="Q456" s="10">
        <f t="shared" si="61"/>
        <v>2.1137159322524672E-19</v>
      </c>
    </row>
    <row r="457" spans="9:17">
      <c r="I457" s="66">
        <v>88.2</v>
      </c>
      <c r="J457" s="10">
        <f t="shared" si="54"/>
        <v>4.2756100336422852E-10</v>
      </c>
      <c r="K457" s="10">
        <f t="shared" si="55"/>
        <v>3.3800505523617071E-8</v>
      </c>
      <c r="L457" s="10">
        <f t="shared" si="56"/>
        <v>0.99559970977139212</v>
      </c>
      <c r="M457" s="10">
        <f t="shared" si="57"/>
        <v>1.4388186038130497E-17</v>
      </c>
      <c r="N457" s="10">
        <f t="shared" si="58"/>
        <v>1.5623318596478286</v>
      </c>
      <c r="O457" s="10">
        <f t="shared" si="59"/>
        <v>1.3523958270309779E-2</v>
      </c>
      <c r="P457" s="66">
        <f t="shared" si="60"/>
        <v>4</v>
      </c>
      <c r="Q457" s="10">
        <f t="shared" si="61"/>
        <v>2.4320536035346114E-19</v>
      </c>
    </row>
    <row r="458" spans="9:17">
      <c r="I458" s="66">
        <v>88.4</v>
      </c>
      <c r="J458" s="10">
        <f t="shared" si="54"/>
        <v>3.1211450072261062E-10</v>
      </c>
      <c r="K458" s="10">
        <f t="shared" si="55"/>
        <v>2.6298889027505132E-8</v>
      </c>
      <c r="L458" s="10">
        <f t="shared" si="56"/>
        <v>0.99558975382407422</v>
      </c>
      <c r="M458" s="10">
        <f t="shared" si="57"/>
        <v>8.1720641507349136E-18</v>
      </c>
      <c r="N458" s="10">
        <f t="shared" si="58"/>
        <v>1.5850916684109846</v>
      </c>
      <c r="O458" s="10">
        <f t="shared" si="59"/>
        <v>1.3392632822536703E-2</v>
      </c>
      <c r="P458" s="66">
        <f t="shared" si="60"/>
        <v>2</v>
      </c>
      <c r="Q458" s="10">
        <f t="shared" si="61"/>
        <v>6.9392431275651124E-20</v>
      </c>
    </row>
    <row r="459" spans="9:17">
      <c r="I459" s="66">
        <v>88.6</v>
      </c>
      <c r="J459" s="10">
        <f t="shared" si="54"/>
        <v>2.2679764828823152E-10</v>
      </c>
      <c r="K459" s="10">
        <f t="shared" si="55"/>
        <v>2.0387496301394087E-8</v>
      </c>
      <c r="L459" s="10">
        <f t="shared" si="56"/>
        <v>0.99557979797631535</v>
      </c>
      <c r="M459" s="10">
        <f t="shared" si="57"/>
        <v>4.6033979254436333E-18</v>
      </c>
      <c r="N459" s="10">
        <f t="shared" si="58"/>
        <v>1.6081830703825339</v>
      </c>
      <c r="O459" s="10">
        <f t="shared" si="59"/>
        <v>1.3262582620729945E-2</v>
      </c>
      <c r="P459" s="66">
        <f t="shared" si="60"/>
        <v>4</v>
      </c>
      <c r="Q459" s="10">
        <f t="shared" si="61"/>
        <v>7.8547450451441721E-20</v>
      </c>
    </row>
    <row r="460" spans="9:17">
      <c r="I460" s="66">
        <v>88.8</v>
      </c>
      <c r="J460" s="10">
        <f t="shared" si="54"/>
        <v>1.6403740050753378E-10</v>
      </c>
      <c r="K460" s="10">
        <f t="shared" si="55"/>
        <v>1.5746337009459607E-8</v>
      </c>
      <c r="L460" s="10">
        <f t="shared" si="56"/>
        <v>0.9955698422281144</v>
      </c>
      <c r="M460" s="10">
        <f t="shared" si="57"/>
        <v>2.5715451453402853E-18</v>
      </c>
      <c r="N460" s="10">
        <f t="shared" si="58"/>
        <v>1.631610896624853</v>
      </c>
      <c r="O460" s="10">
        <f t="shared" si="59"/>
        <v>1.3133795281514437E-2</v>
      </c>
      <c r="P460" s="66">
        <f t="shared" si="60"/>
        <v>2</v>
      </c>
      <c r="Q460" s="10">
        <f t="shared" si="61"/>
        <v>2.2042506831522165E-20</v>
      </c>
    </row>
    <row r="461" spans="9:17">
      <c r="I461" s="66">
        <v>89</v>
      </c>
      <c r="J461" s="10">
        <f t="shared" si="54"/>
        <v>1.1808575397891529E-10</v>
      </c>
      <c r="K461" s="10">
        <f t="shared" si="55"/>
        <v>1.2116044907936208E-8</v>
      </c>
      <c r="L461" s="10">
        <f t="shared" si="56"/>
        <v>0.99555988657947048</v>
      </c>
      <c r="M461" s="10">
        <f t="shared" si="57"/>
        <v>1.424379684517639E-18</v>
      </c>
      <c r="N461" s="10">
        <f t="shared" si="58"/>
        <v>1.6553800485852568</v>
      </c>
      <c r="O461" s="10">
        <f t="shared" si="59"/>
        <v>1.3006258541764888E-2</v>
      </c>
      <c r="P461" s="66">
        <f t="shared" si="60"/>
        <v>4</v>
      </c>
      <c r="Q461" s="10">
        <f t="shared" si="61"/>
        <v>2.4533858559139327E-20</v>
      </c>
    </row>
    <row r="462" spans="9:17">
      <c r="I462" s="66">
        <v>89.2</v>
      </c>
      <c r="J462" s="10">
        <f t="shared" si="54"/>
        <v>8.4600429874210321E-11</v>
      </c>
      <c r="K462" s="10">
        <f t="shared" si="55"/>
        <v>9.2871846672637152E-9</v>
      </c>
      <c r="L462" s="10">
        <f t="shared" si="56"/>
        <v>0.99554993103038247</v>
      </c>
      <c r="M462" s="10">
        <f t="shared" si="57"/>
        <v>7.8220339680475546E-19</v>
      </c>
      <c r="N462" s="10">
        <f t="shared" si="58"/>
        <v>1.6794954991214157</v>
      </c>
      <c r="O462" s="10">
        <f t="shared" si="59"/>
        <v>1.2879960257437883E-2</v>
      </c>
      <c r="P462" s="66">
        <f t="shared" si="60"/>
        <v>2</v>
      </c>
      <c r="Q462" s="10">
        <f t="shared" si="61"/>
        <v>6.7681980144395093E-21</v>
      </c>
    </row>
    <row r="463" spans="9:17">
      <c r="I463" s="66">
        <v>89.4</v>
      </c>
      <c r="J463" s="10">
        <f t="shared" si="54"/>
        <v>6.0316727309598926E-11</v>
      </c>
      <c r="K463" s="10">
        <f t="shared" si="55"/>
        <v>7.0912860592347054E-9</v>
      </c>
      <c r="L463" s="10">
        <f t="shared" si="56"/>
        <v>0.9955399755808495</v>
      </c>
      <c r="M463" s="10">
        <f t="shared" si="57"/>
        <v>4.2581551173749258E-19</v>
      </c>
      <c r="N463" s="10">
        <f t="shared" si="58"/>
        <v>1.7039622935418082</v>
      </c>
      <c r="O463" s="10">
        <f t="shared" si="59"/>
        <v>1.2754888402415907E-2</v>
      </c>
      <c r="P463" s="66">
        <f t="shared" si="60"/>
        <v>4</v>
      </c>
      <c r="Q463" s="10">
        <f t="shared" si="61"/>
        <v>7.4036879917576381E-21</v>
      </c>
    </row>
    <row r="464" spans="9:17">
      <c r="I464" s="66">
        <v>89.6</v>
      </c>
      <c r="J464" s="10">
        <f t="shared" si="54"/>
        <v>4.279197848396649E-11</v>
      </c>
      <c r="K464" s="10">
        <f t="shared" si="55"/>
        <v>5.3933566004752031E-9</v>
      </c>
      <c r="L464" s="10">
        <f t="shared" si="56"/>
        <v>0.99553002023087056</v>
      </c>
      <c r="M464" s="10">
        <f t="shared" si="57"/>
        <v>2.2976076224679532E-19</v>
      </c>
      <c r="N464" s="10">
        <f t="shared" si="58"/>
        <v>1.7287855506612211</v>
      </c>
      <c r="O464" s="10">
        <f t="shared" si="59"/>
        <v>1.263103106736186E-2</v>
      </c>
      <c r="P464" s="66">
        <f t="shared" si="60"/>
        <v>2</v>
      </c>
      <c r="Q464" s="10">
        <f t="shared" si="61"/>
        <v>2.006854016776521E-21</v>
      </c>
    </row>
    <row r="465" spans="9:17">
      <c r="I465" s="66">
        <v>89.8</v>
      </c>
      <c r="J465" s="10">
        <f t="shared" ref="J465:J516" si="62">(B$10^I465)*(B$11^((B$5^B$8)*((B$5^I465)-1)))</f>
        <v>3.0207527136273307E-11</v>
      </c>
      <c r="K465" s="10">
        <f t="shared" ref="K465:K516" si="63">(B$10^I465)*B$12^((B$5^B$9)*((B$5^I465)-1))</f>
        <v>4.0856542166210098E-9</v>
      </c>
      <c r="L465" s="10">
        <f t="shared" ref="L465:L516" si="64">EXP(-B$13*I465)</f>
        <v>0.99552006498044454</v>
      </c>
      <c r="M465" s="10">
        <f t="shared" ref="M465:M516" si="65">J465*K465*L465</f>
        <v>1.2286460819016465E-19</v>
      </c>
      <c r="N465" s="10">
        <f t="shared" ref="N465:N516" si="66">B$3+B$6*(B$5^(B$8+I465)) +B$13</f>
        <v>1.7539704638717171</v>
      </c>
      <c r="O465" s="10">
        <f t="shared" ref="O465:O516" si="67">(1+B$7)^-I465</f>
        <v>1.2508376458585177E-2</v>
      </c>
      <c r="P465" s="66">
        <f t="shared" si="60"/>
        <v>4</v>
      </c>
      <c r="Q465" s="10">
        <f t="shared" si="61"/>
        <v>2.1564530456569249E-21</v>
      </c>
    </row>
    <row r="466" spans="9:17">
      <c r="I466" s="66">
        <v>90</v>
      </c>
      <c r="J466" s="10">
        <f t="shared" si="62"/>
        <v>2.1216051032300634E-11</v>
      </c>
      <c r="K466" s="10">
        <f t="shared" si="63"/>
        <v>3.0825291453658499E-9</v>
      </c>
      <c r="L466" s="10">
        <f t="shared" si="64"/>
        <v>0.99551010982957056</v>
      </c>
      <c r="M466" s="10">
        <f t="shared" si="65"/>
        <v>6.5105460899892222E-20</v>
      </c>
      <c r="N466" s="10">
        <f t="shared" si="66"/>
        <v>1.7795223022291509</v>
      </c>
      <c r="O466" s="10">
        <f t="shared" si="67"/>
        <v>1.2386912896918942E-2</v>
      </c>
      <c r="P466" s="66">
        <f t="shared" si="60"/>
        <v>2</v>
      </c>
      <c r="Q466" s="10">
        <f t="shared" si="61"/>
        <v>5.7404234254491161E-22</v>
      </c>
    </row>
    <row r="467" spans="9:17">
      <c r="I467" s="66">
        <v>90.2</v>
      </c>
      <c r="J467" s="10">
        <f t="shared" si="62"/>
        <v>1.4824443369962687E-11</v>
      </c>
      <c r="K467" s="10">
        <f t="shared" si="63"/>
        <v>2.3161692435867736E-9</v>
      </c>
      <c r="L467" s="10">
        <f t="shared" si="64"/>
        <v>0.9955001547782476</v>
      </c>
      <c r="M467" s="10">
        <f t="shared" si="65"/>
        <v>3.4181413462214324E-20</v>
      </c>
      <c r="N467" s="10">
        <f t="shared" si="66"/>
        <v>1.8054464115555222</v>
      </c>
      <c r="O467" s="10">
        <f t="shared" si="67"/>
        <v>1.2266628816607504E-2</v>
      </c>
      <c r="P467" s="66">
        <f t="shared" ref="P467:P515" si="68">IF(P466=4,2,4)</f>
        <v>4</v>
      </c>
      <c r="Q467" s="10">
        <f t="shared" ref="Q467:Q516" si="69">0.2*M467*N467*O467*P467</f>
        <v>6.0560552819029655E-22</v>
      </c>
    </row>
    <row r="468" spans="9:17">
      <c r="I468" s="66">
        <v>90.4</v>
      </c>
      <c r="J468" s="10">
        <f t="shared" si="62"/>
        <v>1.0304433868487936E-11</v>
      </c>
      <c r="K468" s="10">
        <f t="shared" si="63"/>
        <v>1.7331052379436686E-9</v>
      </c>
      <c r="L468" s="10">
        <f t="shared" si="64"/>
        <v>0.99549019982647469</v>
      </c>
      <c r="M468" s="10">
        <f t="shared" si="65"/>
        <v>1.7778129286070353E-20</v>
      </c>
      <c r="N468" s="10">
        <f t="shared" si="66"/>
        <v>1.8317482155574438</v>
      </c>
      <c r="O468" s="10">
        <f t="shared" si="67"/>
        <v>1.2147512764205623E-2</v>
      </c>
      <c r="P468" s="66">
        <f t="shared" si="68"/>
        <v>2</v>
      </c>
      <c r="Q468" s="10">
        <f t="shared" si="69"/>
        <v>1.5823377626538098E-22</v>
      </c>
    </row>
    <row r="469" spans="9:17">
      <c r="I469" s="66">
        <v>90.6</v>
      </c>
      <c r="J469" s="10">
        <f t="shared" si="62"/>
        <v>7.1247352311684969E-12</v>
      </c>
      <c r="K469" s="10">
        <f t="shared" si="63"/>
        <v>1.2913524096379907E-9</v>
      </c>
      <c r="L469" s="10">
        <f t="shared" si="64"/>
        <v>0.99548024497425081</v>
      </c>
      <c r="M469" s="10">
        <f t="shared" si="65"/>
        <v>9.1589598037787152E-21</v>
      </c>
      <c r="N469" s="10">
        <f t="shared" si="66"/>
        <v>1.8584332169608127</v>
      </c>
      <c r="O469" s="10">
        <f t="shared" si="67"/>
        <v>1.2029553397487484E-2</v>
      </c>
      <c r="P469" s="66">
        <f t="shared" si="68"/>
        <v>4</v>
      </c>
      <c r="Q469" s="10">
        <f t="shared" si="69"/>
        <v>1.6380705542214014E-22</v>
      </c>
    </row>
    <row r="470" spans="9:17">
      <c r="I470" s="66">
        <v>90.8</v>
      </c>
      <c r="J470" s="10">
        <f t="shared" si="62"/>
        <v>4.8998033418137991E-12</v>
      </c>
      <c r="K470" s="10">
        <f t="shared" si="63"/>
        <v>9.580828934996464E-10</v>
      </c>
      <c r="L470" s="10">
        <f t="shared" si="64"/>
        <v>0.99547029022157485</v>
      </c>
      <c r="M470" s="10">
        <f t="shared" si="65"/>
        <v>4.6731534132577494E-21</v>
      </c>
      <c r="N470" s="10">
        <f t="shared" si="66"/>
        <v>1.8855069986620958</v>
      </c>
      <c r="O470" s="10">
        <f t="shared" si="67"/>
        <v>1.1912739484366844E-2</v>
      </c>
      <c r="P470" s="66">
        <f t="shared" si="68"/>
        <v>2</v>
      </c>
      <c r="Q470" s="10">
        <f t="shared" si="69"/>
        <v>4.1986514481904689E-23</v>
      </c>
    </row>
    <row r="471" spans="9:17">
      <c r="I471" s="66">
        <v>91</v>
      </c>
      <c r="J471" s="10">
        <f t="shared" si="62"/>
        <v>3.3513507359828909E-12</v>
      </c>
      <c r="K471" s="10">
        <f t="shared" si="63"/>
        <v>7.0773836711279613E-10</v>
      </c>
      <c r="L471" s="10">
        <f t="shared" si="64"/>
        <v>0.99546033556844604</v>
      </c>
      <c r="M471" s="10">
        <f t="shared" si="65"/>
        <v>2.3611119605160349E-21</v>
      </c>
      <c r="N471" s="10">
        <f t="shared" si="66"/>
        <v>1.9129752248963372</v>
      </c>
      <c r="O471" s="10">
        <f t="shared" si="67"/>
        <v>1.1797059901827561E-2</v>
      </c>
      <c r="P471" s="66">
        <f t="shared" si="68"/>
        <v>4</v>
      </c>
      <c r="Q471" s="10">
        <f t="shared" si="69"/>
        <v>4.2627483826238532E-23</v>
      </c>
    </row>
    <row r="472" spans="9:17">
      <c r="I472" s="66">
        <v>91.2</v>
      </c>
      <c r="J472" s="10">
        <f t="shared" si="62"/>
        <v>2.2795961516208619E-12</v>
      </c>
      <c r="K472" s="10">
        <f t="shared" si="63"/>
        <v>5.2050657798214797E-10</v>
      </c>
      <c r="L472" s="10">
        <f t="shared" si="64"/>
        <v>0.99545038101486316</v>
      </c>
      <c r="M472" s="10">
        <f t="shared" si="65"/>
        <v>1.1811464653487705E-21</v>
      </c>
      <c r="N472" s="10">
        <f t="shared" si="66"/>
        <v>1.9408436424221862</v>
      </c>
      <c r="O472" s="10">
        <f t="shared" si="67"/>
        <v>1.168250363486429E-2</v>
      </c>
      <c r="P472" s="66">
        <f t="shared" si="68"/>
        <v>2</v>
      </c>
      <c r="Q472" s="10">
        <f t="shared" si="69"/>
        <v>1.071248483443351E-23</v>
      </c>
    </row>
    <row r="473" spans="9:17">
      <c r="I473" s="66">
        <v>91.4</v>
      </c>
      <c r="J473" s="10">
        <f t="shared" si="62"/>
        <v>1.5419054309654852E-12</v>
      </c>
      <c r="K473" s="10">
        <f t="shared" si="63"/>
        <v>3.8109707600740756E-10</v>
      </c>
      <c r="L473" s="10">
        <f t="shared" si="64"/>
        <v>0.99544042656082532</v>
      </c>
      <c r="M473" s="10">
        <f t="shared" si="65"/>
        <v>5.8493637450513787E-22</v>
      </c>
      <c r="N473" s="10">
        <f t="shared" si="66"/>
        <v>1.969118081724252</v>
      </c>
      <c r="O473" s="10">
        <f t="shared" si="67"/>
        <v>1.1569059775433925E-2</v>
      </c>
      <c r="P473" s="66">
        <f t="shared" si="68"/>
        <v>4</v>
      </c>
      <c r="Q473" s="10">
        <f t="shared" si="69"/>
        <v>1.0660275808803814E-23</v>
      </c>
    </row>
    <row r="474" spans="9:17">
      <c r="I474" s="66">
        <v>91.6</v>
      </c>
      <c r="J474" s="10">
        <f t="shared" si="62"/>
        <v>1.0370121086732769E-12</v>
      </c>
      <c r="K474" s="10">
        <f t="shared" si="63"/>
        <v>2.777618516729823E-10</v>
      </c>
      <c r="L474" s="10">
        <f t="shared" si="64"/>
        <v>0.99543047220633163</v>
      </c>
      <c r="M474" s="10">
        <f t="shared" si="65"/>
        <v>2.8672618574378845E-22</v>
      </c>
      <c r="N474" s="10">
        <f t="shared" si="66"/>
        <v>1.9978044582328733</v>
      </c>
      <c r="O474" s="10">
        <f t="shared" si="67"/>
        <v>1.1456717521416649E-2</v>
      </c>
      <c r="P474" s="66">
        <f t="shared" si="68"/>
        <v>2</v>
      </c>
      <c r="Q474" s="10">
        <f t="shared" si="69"/>
        <v>2.6250678428543596E-24</v>
      </c>
    </row>
    <row r="475" spans="9:17">
      <c r="I475" s="66">
        <v>91.8</v>
      </c>
      <c r="J475" s="10">
        <f t="shared" si="62"/>
        <v>6.9342603383715038E-13</v>
      </c>
      <c r="K475" s="10">
        <f t="shared" si="63"/>
        <v>2.0151548863231839E-10</v>
      </c>
      <c r="L475" s="10">
        <f t="shared" si="64"/>
        <v>0.99542051795138087</v>
      </c>
      <c r="M475" s="10">
        <f t="shared" si="65"/>
        <v>1.3909616714150372E-22</v>
      </c>
      <c r="N475" s="10">
        <f t="shared" si="66"/>
        <v>2.026908773561753</v>
      </c>
      <c r="O475" s="10">
        <f t="shared" si="67"/>
        <v>1.1345466175587468E-2</v>
      </c>
      <c r="P475" s="66">
        <f t="shared" si="68"/>
        <v>4</v>
      </c>
      <c r="Q475" s="10">
        <f t="shared" si="69"/>
        <v>2.5589493973504608E-24</v>
      </c>
    </row>
    <row r="476" spans="9:17">
      <c r="I476" s="66">
        <v>92</v>
      </c>
      <c r="J476" s="10">
        <f t="shared" si="62"/>
        <v>4.6096729968683606E-13</v>
      </c>
      <c r="K476" s="10">
        <f t="shared" si="63"/>
        <v>1.4551707658085238E-10</v>
      </c>
      <c r="L476" s="10">
        <f t="shared" si="64"/>
        <v>0.99541056379597226</v>
      </c>
      <c r="M476" s="10">
        <f t="shared" si="65"/>
        <v>6.6770760830879794E-23</v>
      </c>
      <c r="N476" s="10">
        <f t="shared" si="66"/>
        <v>2.0564371167635622</v>
      </c>
      <c r="O476" s="10">
        <f t="shared" si="67"/>
        <v>1.123529514459768E-2</v>
      </c>
      <c r="P476" s="66">
        <f t="shared" si="68"/>
        <v>2</v>
      </c>
      <c r="Q476" s="10">
        <f t="shared" si="69"/>
        <v>6.1708677027355449E-25</v>
      </c>
    </row>
    <row r="477" spans="9:17">
      <c r="I477" s="66">
        <v>92.2</v>
      </c>
      <c r="J477" s="10">
        <f t="shared" si="62"/>
        <v>3.0461876710510244E-13</v>
      </c>
      <c r="K477" s="10">
        <f t="shared" si="63"/>
        <v>1.0458264141323102E-10</v>
      </c>
      <c r="L477" s="10">
        <f t="shared" si="64"/>
        <v>0.99540060974010469</v>
      </c>
      <c r="M477" s="10">
        <f t="shared" si="65"/>
        <v>3.1711308670568977E-23</v>
      </c>
      <c r="N477" s="10">
        <f t="shared" si="66"/>
        <v>2.0863956656038503</v>
      </c>
      <c r="O477" s="10">
        <f t="shared" si="67"/>
        <v>1.1126193937965987E-2</v>
      </c>
      <c r="P477" s="66">
        <f t="shared" si="68"/>
        <v>4</v>
      </c>
      <c r="Q477" s="10">
        <f t="shared" si="69"/>
        <v>5.8890799393283092E-25</v>
      </c>
    </row>
    <row r="478" spans="9:17">
      <c r="I478" s="66">
        <v>92.4</v>
      </c>
      <c r="J478" s="10">
        <f t="shared" si="62"/>
        <v>2.0008849481908664E-13</v>
      </c>
      <c r="K478" s="10">
        <f t="shared" si="63"/>
        <v>7.480236978208502E-11</v>
      </c>
      <c r="L478" s="10">
        <f t="shared" si="64"/>
        <v>0.99539065578377717</v>
      </c>
      <c r="M478" s="10">
        <f t="shared" si="65"/>
        <v>1.4898105092377946E-23</v>
      </c>
      <c r="N478" s="10">
        <f t="shared" si="66"/>
        <v>2.1167906878535714</v>
      </c>
      <c r="O478" s="10">
        <f t="shared" si="67"/>
        <v>1.1018152167079928E-2</v>
      </c>
      <c r="P478" s="66">
        <f t="shared" si="68"/>
        <v>2</v>
      </c>
      <c r="Q478" s="10">
        <f t="shared" si="69"/>
        <v>1.3898812848699863E-25</v>
      </c>
    </row>
    <row r="479" spans="9:17">
      <c r="I479" s="66">
        <v>92.6</v>
      </c>
      <c r="J479" s="10">
        <f t="shared" si="62"/>
        <v>1.3062560493062934E-13</v>
      </c>
      <c r="K479" s="10">
        <f t="shared" si="63"/>
        <v>5.3241559011322109E-11</v>
      </c>
      <c r="L479" s="10">
        <f t="shared" si="64"/>
        <v>0.99538070192698869</v>
      </c>
      <c r="M479" s="10">
        <f t="shared" si="65"/>
        <v>6.9225849708607329E-24</v>
      </c>
      <c r="N479" s="10">
        <f t="shared" si="66"/>
        <v>2.1476285426003394</v>
      </c>
      <c r="O479" s="10">
        <f t="shared" si="67"/>
        <v>1.0911159544206331E-2</v>
      </c>
      <c r="P479" s="66">
        <f t="shared" si="68"/>
        <v>4</v>
      </c>
      <c r="Q479" s="10">
        <f t="shared" si="69"/>
        <v>1.2977419856222257E-25</v>
      </c>
    </row>
    <row r="480" spans="9:17">
      <c r="I480" s="66">
        <v>92.8</v>
      </c>
      <c r="J480" s="10">
        <f t="shared" si="62"/>
        <v>8.4749375175026599E-14</v>
      </c>
      <c r="K480" s="10">
        <f t="shared" si="63"/>
        <v>3.7708124832769227E-11</v>
      </c>
      <c r="L480" s="10">
        <f t="shared" si="64"/>
        <v>0.99537074816973825</v>
      </c>
      <c r="M480" s="10">
        <f t="shared" si="65"/>
        <v>3.1809461332689558E-24</v>
      </c>
      <c r="N480" s="10">
        <f t="shared" si="66"/>
        <v>2.1789156815788844</v>
      </c>
      <c r="O480" s="10">
        <f t="shared" si="67"/>
        <v>1.0805205881511872E-2</v>
      </c>
      <c r="P480" s="66">
        <f t="shared" si="68"/>
        <v>2</v>
      </c>
      <c r="Q480" s="10">
        <f t="shared" si="69"/>
        <v>2.9956410753833863E-26</v>
      </c>
    </row>
    <row r="481" spans="9:17">
      <c r="I481" s="66">
        <v>93</v>
      </c>
      <c r="J481" s="10">
        <f t="shared" si="62"/>
        <v>5.4639583503257867E-14</v>
      </c>
      <c r="K481" s="10">
        <f t="shared" si="63"/>
        <v>2.6572751829316096E-11</v>
      </c>
      <c r="L481" s="10">
        <f t="shared" si="64"/>
        <v>0.99536079451202497</v>
      </c>
      <c r="M481" s="10">
        <f t="shared" si="65"/>
        <v>1.4451883182712656E-24</v>
      </c>
      <c r="N481" s="10">
        <f t="shared" si="66"/>
        <v>2.2106586505208297</v>
      </c>
      <c r="O481" s="10">
        <f t="shared" si="67"/>
        <v>1.0700281090093026E-2</v>
      </c>
      <c r="P481" s="66">
        <f t="shared" si="68"/>
        <v>4</v>
      </c>
      <c r="Q481" s="10">
        <f t="shared" si="69"/>
        <v>2.734836099686225E-26</v>
      </c>
    </row>
    <row r="482" spans="9:17">
      <c r="I482" s="66">
        <v>93.2</v>
      </c>
      <c r="J482" s="10">
        <f t="shared" si="62"/>
        <v>3.5002660828454291E-14</v>
      </c>
      <c r="K482" s="10">
        <f t="shared" si="63"/>
        <v>1.8630467445065442E-11</v>
      </c>
      <c r="L482" s="10">
        <f t="shared" si="64"/>
        <v>0.99535084095384763</v>
      </c>
      <c r="M482" s="10">
        <f t="shared" si="65"/>
        <v>6.4908414236588145E-25</v>
      </c>
      <c r="N482" s="10">
        <f t="shared" si="66"/>
        <v>2.2428640905241388</v>
      </c>
      <c r="O482" s="10">
        <f t="shared" si="67"/>
        <v>1.0596375179015224E-2</v>
      </c>
      <c r="P482" s="66">
        <f t="shared" si="68"/>
        <v>2</v>
      </c>
      <c r="Q482" s="10">
        <f t="shared" si="69"/>
        <v>6.1705130454266897E-27</v>
      </c>
    </row>
    <row r="483" spans="9:17">
      <c r="I483" s="66">
        <v>93.4</v>
      </c>
      <c r="J483" s="10">
        <f t="shared" si="62"/>
        <v>2.2278045261445259E-14</v>
      </c>
      <c r="K483" s="10">
        <f t="shared" si="63"/>
        <v>1.2994642460251115E-11</v>
      </c>
      <c r="L483" s="10">
        <f t="shared" si="64"/>
        <v>0.99534088749520555</v>
      </c>
      <c r="M483" s="10">
        <f t="shared" si="65"/>
        <v>2.8814644202615624E-25</v>
      </c>
      <c r="N483" s="10">
        <f t="shared" si="66"/>
        <v>2.275538739442589</v>
      </c>
      <c r="O483" s="10">
        <f t="shared" si="67"/>
        <v>1.0493478254361834E-2</v>
      </c>
      <c r="P483" s="66">
        <f t="shared" si="68"/>
        <v>4</v>
      </c>
      <c r="Q483" s="10">
        <f t="shared" si="69"/>
        <v>5.5043615019641434E-27</v>
      </c>
    </row>
    <row r="484" spans="9:17">
      <c r="I484" s="66">
        <v>93.6</v>
      </c>
      <c r="J484" s="10">
        <f t="shared" si="62"/>
        <v>1.4086217687599734E-14</v>
      </c>
      <c r="K484" s="10">
        <f t="shared" si="63"/>
        <v>9.0162417701374876E-12</v>
      </c>
      <c r="L484" s="10">
        <f t="shared" si="64"/>
        <v>0.99533093413609741</v>
      </c>
      <c r="M484" s="10">
        <f t="shared" si="65"/>
        <v>1.2641175078202988E-25</v>
      </c>
      <c r="N484" s="10">
        <f t="shared" si="66"/>
        <v>2.3086894332953647</v>
      </c>
      <c r="O484" s="10">
        <f t="shared" si="67"/>
        <v>1.0391580518291742E-2</v>
      </c>
      <c r="P484" s="66">
        <f t="shared" si="68"/>
        <v>2</v>
      </c>
      <c r="Q484" s="10">
        <f t="shared" si="69"/>
        <v>1.2130942937737821E-27</v>
      </c>
    </row>
    <row r="485" spans="9:17">
      <c r="I485" s="66">
        <v>93.8</v>
      </c>
      <c r="J485" s="10">
        <f t="shared" si="62"/>
        <v>8.8473121788776018E-15</v>
      </c>
      <c r="K485" s="10">
        <f t="shared" si="63"/>
        <v>6.2226329647151362E-12</v>
      </c>
      <c r="L485" s="10">
        <f t="shared" si="64"/>
        <v>0.99532098087652243</v>
      </c>
      <c r="M485" s="10">
        <f t="shared" si="65"/>
        <v>5.4795979676555293E-26</v>
      </c>
      <c r="N485" s="10">
        <f t="shared" si="66"/>
        <v>2.3423231076973008</v>
      </c>
      <c r="O485" s="10">
        <f t="shared" si="67"/>
        <v>1.0290672268106545E-2</v>
      </c>
      <c r="P485" s="66">
        <f t="shared" si="68"/>
        <v>4</v>
      </c>
      <c r="Q485" s="10">
        <f t="shared" si="69"/>
        <v>1.056645318014189E-27</v>
      </c>
    </row>
    <row r="486" spans="9:17">
      <c r="I486" s="66">
        <v>94</v>
      </c>
      <c r="J486" s="10">
        <f t="shared" si="62"/>
        <v>5.5193215201595554E-15</v>
      </c>
      <c r="K486" s="10">
        <f t="shared" si="63"/>
        <v>4.2714620464322489E-12</v>
      </c>
      <c r="L486" s="10">
        <f t="shared" si="64"/>
        <v>0.99531102771647961</v>
      </c>
      <c r="M486" s="10">
        <f t="shared" si="65"/>
        <v>2.3465027189888039E-26</v>
      </c>
      <c r="N486" s="10">
        <f t="shared" si="66"/>
        <v>2.3764467993098912</v>
      </c>
      <c r="O486" s="10">
        <f t="shared" si="67"/>
        <v>1.0190743895326695E-2</v>
      </c>
      <c r="P486" s="66">
        <f t="shared" si="68"/>
        <v>2</v>
      </c>
      <c r="Q486" s="10">
        <f t="shared" si="69"/>
        <v>2.2730816544008186E-28</v>
      </c>
    </row>
    <row r="487" spans="9:17">
      <c r="I487" s="66">
        <v>94.2</v>
      </c>
      <c r="J487" s="10">
        <f t="shared" si="62"/>
        <v>3.419594035769524E-15</v>
      </c>
      <c r="K487" s="10">
        <f t="shared" si="63"/>
        <v>2.9160734909730399E-12</v>
      </c>
      <c r="L487" s="10">
        <f t="shared" si="64"/>
        <v>0.99530107465596784</v>
      </c>
      <c r="M487" s="10">
        <f t="shared" si="65"/>
        <v>9.9249308325052818E-27</v>
      </c>
      <c r="N487" s="10">
        <f t="shared" si="66"/>
        <v>2.4110676473134496</v>
      </c>
      <c r="O487" s="10">
        <f t="shared" si="67"/>
        <v>1.0091785884776411E-2</v>
      </c>
      <c r="P487" s="66">
        <f t="shared" si="68"/>
        <v>4</v>
      </c>
      <c r="Q487" s="10">
        <f t="shared" si="69"/>
        <v>1.9319456251057485E-28</v>
      </c>
    </row>
    <row r="488" spans="9:17">
      <c r="I488" s="66">
        <v>94.4</v>
      </c>
      <c r="J488" s="10">
        <f t="shared" si="62"/>
        <v>2.1039452115324592E-15</v>
      </c>
      <c r="K488" s="10">
        <f t="shared" si="63"/>
        <v>1.9797267125080567E-12</v>
      </c>
      <c r="L488" s="10">
        <f t="shared" si="64"/>
        <v>0.99529112169498613</v>
      </c>
      <c r="M488" s="10">
        <f t="shared" si="65"/>
        <v>4.1456229449602498E-27</v>
      </c>
      <c r="N488" s="10">
        <f t="shared" si="66"/>
        <v>2.4461928949007832</v>
      </c>
      <c r="O488" s="10">
        <f t="shared" si="67"/>
        <v>9.9937888136779358E-3</v>
      </c>
      <c r="P488" s="66">
        <f t="shared" si="68"/>
        <v>2</v>
      </c>
      <c r="Q488" s="10">
        <f t="shared" si="69"/>
        <v>4.0538778531816046E-29</v>
      </c>
    </row>
    <row r="489" spans="9:17">
      <c r="I489" s="66">
        <v>94.6</v>
      </c>
      <c r="J489" s="10">
        <f t="shared" si="62"/>
        <v>1.2853493726983316E-15</v>
      </c>
      <c r="K489" s="10">
        <f t="shared" si="63"/>
        <v>1.3364776477925512E-12</v>
      </c>
      <c r="L489" s="10">
        <f t="shared" si="64"/>
        <v>0.99528116883353357</v>
      </c>
      <c r="M489" s="10">
        <f t="shared" si="65"/>
        <v>1.7097345059519832E-27</v>
      </c>
      <c r="N489" s="10">
        <f t="shared" si="66"/>
        <v>2.4818298907925169</v>
      </c>
      <c r="O489" s="10">
        <f t="shared" si="67"/>
        <v>9.8967433507540399E-3</v>
      </c>
      <c r="P489" s="66">
        <f t="shared" si="68"/>
        <v>4</v>
      </c>
      <c r="Q489" s="10">
        <f t="shared" si="69"/>
        <v>3.359564492718929E-29</v>
      </c>
    </row>
    <row r="490" spans="9:17">
      <c r="I490" s="66">
        <v>94.8</v>
      </c>
      <c r="J490" s="10">
        <f t="shared" si="62"/>
        <v>7.796327408138047E-16</v>
      </c>
      <c r="K490" s="10">
        <f t="shared" si="63"/>
        <v>8.9708198519514997E-13</v>
      </c>
      <c r="L490" s="10">
        <f t="shared" si="64"/>
        <v>0.99527121607160907</v>
      </c>
      <c r="M490" s="10">
        <f t="shared" si="65"/>
        <v>6.9608720144335098E-28</v>
      </c>
      <c r="N490" s="10">
        <f t="shared" si="66"/>
        <v>2.5179860907745986</v>
      </c>
      <c r="O490" s="10">
        <f t="shared" si="67"/>
        <v>9.8006402553395648E-3</v>
      </c>
      <c r="P490" s="66">
        <f t="shared" si="68"/>
        <v>2</v>
      </c>
      <c r="Q490" s="10">
        <f t="shared" si="69"/>
        <v>6.8711814134237294E-30</v>
      </c>
    </row>
    <row r="491" spans="9:17">
      <c r="I491" s="66">
        <v>95</v>
      </c>
      <c r="J491" s="10">
        <f t="shared" si="62"/>
        <v>4.6945680476174076E-16</v>
      </c>
      <c r="K491" s="10">
        <f t="shared" si="63"/>
        <v>5.9866012341933183E-13</v>
      </c>
      <c r="L491" s="10">
        <f t="shared" si="64"/>
        <v>0.99526126340921184</v>
      </c>
      <c r="M491" s="10">
        <f t="shared" si="65"/>
        <v>2.7971327012810048E-28</v>
      </c>
      <c r="N491" s="10">
        <f t="shared" si="66"/>
        <v>2.5546690592581331</v>
      </c>
      <c r="O491" s="10">
        <f t="shared" si="67"/>
        <v>9.7054703765016102E-3</v>
      </c>
      <c r="P491" s="66">
        <f t="shared" si="68"/>
        <v>4</v>
      </c>
      <c r="Q491" s="10">
        <f t="shared" si="69"/>
        <v>5.5482279271990097E-30</v>
      </c>
    </row>
    <row r="492" spans="9:17">
      <c r="I492" s="66">
        <v>95.2</v>
      </c>
      <c r="J492" s="10">
        <f t="shared" si="62"/>
        <v>2.8060267778594026E-16</v>
      </c>
      <c r="K492" s="10">
        <f t="shared" si="63"/>
        <v>3.9716369166381198E-13</v>
      </c>
      <c r="L492" s="10">
        <f t="shared" si="64"/>
        <v>0.99525131084634055</v>
      </c>
      <c r="M492" s="10">
        <f t="shared" si="65"/>
        <v>1.1091597680959071E-28</v>
      </c>
      <c r="N492" s="10">
        <f t="shared" si="66"/>
        <v>2.591886470861958</v>
      </c>
      <c r="O492" s="10">
        <f t="shared" si="67"/>
        <v>9.6112246521680104E-3</v>
      </c>
      <c r="P492" s="66">
        <f t="shared" si="68"/>
        <v>2</v>
      </c>
      <c r="Q492" s="10">
        <f t="shared" si="69"/>
        <v>1.1052201721039428E-30</v>
      </c>
    </row>
    <row r="493" spans="9:17">
      <c r="I493" s="66">
        <v>95.4</v>
      </c>
      <c r="J493" s="10">
        <f t="shared" si="62"/>
        <v>1.6646840889450096E-16</v>
      </c>
      <c r="K493" s="10">
        <f t="shared" si="63"/>
        <v>2.6191626975064497E-13</v>
      </c>
      <c r="L493" s="10">
        <f t="shared" si="64"/>
        <v>0.99524135838299455</v>
      </c>
      <c r="M493" s="10">
        <f t="shared" si="65"/>
        <v>4.3393304180417741E-29</v>
      </c>
      <c r="N493" s="10">
        <f t="shared" si="66"/>
        <v>2.6296461120183419</v>
      </c>
      <c r="O493" s="10">
        <f t="shared" si="67"/>
        <v>9.5178941082647087E-3</v>
      </c>
      <c r="P493" s="66">
        <f t="shared" si="68"/>
        <v>4</v>
      </c>
      <c r="Q493" s="10">
        <f t="shared" si="69"/>
        <v>8.6886215907639557E-31</v>
      </c>
    </row>
    <row r="494" spans="9:17">
      <c r="I494" s="66">
        <v>95.6</v>
      </c>
      <c r="J494" s="10">
        <f t="shared" si="62"/>
        <v>9.8009517455501912E-17</v>
      </c>
      <c r="K494" s="10">
        <f t="shared" si="63"/>
        <v>1.7168063823651224E-13</v>
      </c>
      <c r="L494" s="10">
        <f t="shared" si="64"/>
        <v>0.99523140601917259</v>
      </c>
      <c r="M494" s="10">
        <f t="shared" si="65"/>
        <v>1.6746098543012128E-29</v>
      </c>
      <c r="N494" s="10">
        <f t="shared" si="66"/>
        <v>2.667955882601956</v>
      </c>
      <c r="O494" s="10">
        <f t="shared" si="67"/>
        <v>9.4254698578609877E-3</v>
      </c>
      <c r="P494" s="66">
        <f t="shared" si="68"/>
        <v>2</v>
      </c>
      <c r="Q494" s="10">
        <f t="shared" si="69"/>
        <v>1.6844389938261087E-31</v>
      </c>
    </row>
    <row r="495" spans="9:17">
      <c r="I495" s="66">
        <v>95.8</v>
      </c>
      <c r="J495" s="10">
        <f t="shared" si="62"/>
        <v>5.7260211459922103E-17</v>
      </c>
      <c r="K495" s="10">
        <f t="shared" si="63"/>
        <v>1.1184271189037585E-13</v>
      </c>
      <c r="L495" s="10">
        <f t="shared" si="64"/>
        <v>0.99522145375487381</v>
      </c>
      <c r="M495" s="10">
        <f t="shared" si="65"/>
        <v>6.3735348666877368E-30</v>
      </c>
      <c r="N495" s="10">
        <f t="shared" si="66"/>
        <v>2.7068237975826936</v>
      </c>
      <c r="O495" s="10">
        <f t="shared" si="67"/>
        <v>9.3339431003233927E-3</v>
      </c>
      <c r="P495" s="66">
        <f t="shared" si="68"/>
        <v>4</v>
      </c>
      <c r="Q495" s="10">
        <f t="shared" si="69"/>
        <v>1.2882361680490049E-31</v>
      </c>
    </row>
    <row r="496" spans="9:17">
      <c r="I496" s="66">
        <v>96</v>
      </c>
      <c r="J496" s="10">
        <f t="shared" si="62"/>
        <v>3.3192280052203714E-17</v>
      </c>
      <c r="K496" s="10">
        <f t="shared" si="63"/>
        <v>7.2407349549656135E-14</v>
      </c>
      <c r="L496" s="10">
        <f t="shared" si="64"/>
        <v>0.99521150159009719</v>
      </c>
      <c r="M496" s="10">
        <f t="shared" si="65"/>
        <v>2.391856514493722E-30</v>
      </c>
      <c r="N496" s="10">
        <f t="shared" si="66"/>
        <v>2.7462579887024927</v>
      </c>
      <c r="O496" s="10">
        <f t="shared" si="67"/>
        <v>9.2433051204777253E-3</v>
      </c>
      <c r="P496" s="66">
        <f t="shared" si="68"/>
        <v>2</v>
      </c>
      <c r="Q496" s="10">
        <f t="shared" si="69"/>
        <v>2.4286433183104328E-32</v>
      </c>
    </row>
    <row r="497" spans="9:17">
      <c r="I497" s="66">
        <v>96.2</v>
      </c>
      <c r="J497" s="10">
        <f t="shared" si="62"/>
        <v>1.9088470149237653E-17</v>
      </c>
      <c r="K497" s="10">
        <f t="shared" si="63"/>
        <v>4.658077399167603E-14</v>
      </c>
      <c r="L497" s="10">
        <f t="shared" si="64"/>
        <v>0.99520154952484174</v>
      </c>
      <c r="M497" s="10">
        <f t="shared" si="65"/>
        <v>8.8488914421079163E-31</v>
      </c>
      <c r="N497" s="10">
        <f t="shared" si="66"/>
        <v>2.7862667061766051</v>
      </c>
      <c r="O497" s="10">
        <f t="shared" si="67"/>
        <v>9.1535472877790555E-3</v>
      </c>
      <c r="P497" s="66">
        <f t="shared" si="68"/>
        <v>4</v>
      </c>
      <c r="Q497" s="10">
        <f t="shared" si="69"/>
        <v>1.8054728795648892E-32</v>
      </c>
    </row>
    <row r="498" spans="9:17">
      <c r="I498" s="66">
        <v>96.4</v>
      </c>
      <c r="J498" s="10">
        <f t="shared" si="62"/>
        <v>1.088942111830126E-17</v>
      </c>
      <c r="K498" s="10">
        <f t="shared" si="63"/>
        <v>2.9774176623861927E-14</v>
      </c>
      <c r="L498" s="10">
        <f t="shared" si="64"/>
        <v>0.99519159755910636</v>
      </c>
      <c r="M498" s="10">
        <f t="shared" si="65"/>
        <v>3.2266455040971982E-31</v>
      </c>
      <c r="N498" s="10">
        <f t="shared" si="66"/>
        <v>2.8268583204197175</v>
      </c>
      <c r="O498" s="10">
        <f t="shared" si="67"/>
        <v>9.0646610554901957E-3</v>
      </c>
      <c r="P498" s="66">
        <f t="shared" si="68"/>
        <v>2</v>
      </c>
      <c r="Q498" s="10">
        <f t="shared" si="69"/>
        <v>3.3072487255321608E-33</v>
      </c>
    </row>
    <row r="499" spans="9:17">
      <c r="I499" s="66">
        <v>96.6</v>
      </c>
      <c r="J499" s="10">
        <f t="shared" si="62"/>
        <v>6.1615091648626502E-18</v>
      </c>
      <c r="K499" s="10">
        <f t="shared" si="63"/>
        <v>1.8907807289010463E-14</v>
      </c>
      <c r="L499" s="10">
        <f t="shared" si="64"/>
        <v>0.99518164569289014</v>
      </c>
      <c r="M499" s="10">
        <f t="shared" si="65"/>
        <v>1.1593928659647811E-31</v>
      </c>
      <c r="N499" s="10">
        <f t="shared" si="66"/>
        <v>2.8680413237971027</v>
      </c>
      <c r="O499" s="10">
        <f t="shared" si="67"/>
        <v>8.9766379598676064E-3</v>
      </c>
      <c r="P499" s="66">
        <f t="shared" si="68"/>
        <v>4</v>
      </c>
      <c r="Q499" s="10">
        <f t="shared" si="69"/>
        <v>2.3879197365564431E-33</v>
      </c>
    </row>
    <row r="500" spans="9:17">
      <c r="I500" s="66">
        <v>96.8</v>
      </c>
      <c r="J500" s="10">
        <f t="shared" si="62"/>
        <v>3.4575327226474196E-18</v>
      </c>
      <c r="K500" s="10">
        <f t="shared" si="63"/>
        <v>1.192805591592641E-14</v>
      </c>
      <c r="L500" s="10">
        <f t="shared" si="64"/>
        <v>0.9951716939261922</v>
      </c>
      <c r="M500" s="10">
        <f t="shared" si="65"/>
        <v>4.1042516368369637E-32</v>
      </c>
      <c r="N500" s="10">
        <f t="shared" si="66"/>
        <v>2.9098243324013957</v>
      </c>
      <c r="O500" s="10">
        <f t="shared" si="67"/>
        <v>8.8894696193556107E-3</v>
      </c>
      <c r="P500" s="66">
        <f t="shared" si="68"/>
        <v>2</v>
      </c>
      <c r="Q500" s="10">
        <f t="shared" si="69"/>
        <v>4.2465534288283442E-34</v>
      </c>
    </row>
    <row r="501" spans="9:17">
      <c r="I501" s="66">
        <v>97</v>
      </c>
      <c r="J501" s="10">
        <f t="shared" si="62"/>
        <v>1.9239328031466805E-18</v>
      </c>
      <c r="K501" s="10">
        <f t="shared" si="63"/>
        <v>7.4745216023872575E-15</v>
      </c>
      <c r="L501" s="10">
        <f t="shared" si="64"/>
        <v>0.99516174225901133</v>
      </c>
      <c r="M501" s="10">
        <f t="shared" si="65"/>
        <v>1.4310900843051975E-32</v>
      </c>
      <c r="N501" s="10">
        <f t="shared" si="66"/>
        <v>2.9522160878551804</v>
      </c>
      <c r="O501" s="10">
        <f t="shared" si="67"/>
        <v>8.8031477337883104E-3</v>
      </c>
      <c r="P501" s="66">
        <f t="shared" si="68"/>
        <v>4</v>
      </c>
      <c r="Q501" s="10">
        <f t="shared" si="69"/>
        <v>2.9753844733270634E-34</v>
      </c>
    </row>
    <row r="502" spans="9:17">
      <c r="I502" s="66">
        <v>97.2</v>
      </c>
      <c r="J502" s="10">
        <f t="shared" si="62"/>
        <v>1.0614624632192275E-18</v>
      </c>
      <c r="K502" s="10">
        <f t="shared" si="63"/>
        <v>4.6520021480619765E-15</v>
      </c>
      <c r="L502" s="10">
        <f t="shared" si="64"/>
        <v>0.99515179069134663</v>
      </c>
      <c r="M502" s="10">
        <f t="shared" si="65"/>
        <v>4.9139855618376833E-33</v>
      </c>
      <c r="N502" s="10">
        <f t="shared" si="66"/>
        <v>2.9952254591398506</v>
      </c>
      <c r="O502" s="10">
        <f t="shared" si="67"/>
        <v>8.7176640835990981E-3</v>
      </c>
      <c r="P502" s="66">
        <f t="shared" si="68"/>
        <v>2</v>
      </c>
      <c r="Q502" s="10">
        <f t="shared" si="69"/>
        <v>5.132435690715884E-35</v>
      </c>
    </row>
    <row r="503" spans="9:17">
      <c r="I503" s="66">
        <v>97.4</v>
      </c>
      <c r="J503" s="10">
        <f t="shared" si="62"/>
        <v>5.8057253582685859E-19</v>
      </c>
      <c r="K503" s="10">
        <f t="shared" si="63"/>
        <v>2.8753856254539153E-15</v>
      </c>
      <c r="L503" s="10">
        <f t="shared" si="64"/>
        <v>0.99514183922319721</v>
      </c>
      <c r="M503" s="10">
        <f t="shared" si="65"/>
        <v>1.6612598565628841E-33</v>
      </c>
      <c r="N503" s="10">
        <f t="shared" si="66"/>
        <v>3.0388614444511961</v>
      </c>
      <c r="O503" s="10">
        <f t="shared" si="67"/>
        <v>8.6330105290382819E-3</v>
      </c>
      <c r="P503" s="66">
        <f t="shared" si="68"/>
        <v>4</v>
      </c>
      <c r="Q503" s="10">
        <f t="shared" si="69"/>
        <v>3.4865887728426527E-35</v>
      </c>
    </row>
    <row r="504" spans="9:17">
      <c r="I504" s="66">
        <v>97.6</v>
      </c>
      <c r="J504" s="10">
        <f t="shared" si="62"/>
        <v>3.1476803103441806E-19</v>
      </c>
      <c r="K504" s="10">
        <f t="shared" si="63"/>
        <v>1.7648518771126045E-15</v>
      </c>
      <c r="L504" s="10">
        <f t="shared" si="64"/>
        <v>0.99513188785456186</v>
      </c>
      <c r="M504" s="10">
        <f t="shared" si="65"/>
        <v>5.5281462187654072E-34</v>
      </c>
      <c r="N504" s="10">
        <f t="shared" si="66"/>
        <v>3.0831331730818849</v>
      </c>
      <c r="O504" s="10">
        <f t="shared" si="67"/>
        <v>8.5491790093977262E-3</v>
      </c>
      <c r="P504" s="66">
        <f t="shared" si="68"/>
        <v>2</v>
      </c>
      <c r="Q504" s="10">
        <f t="shared" si="69"/>
        <v>5.8284920405972001E-36</v>
      </c>
    </row>
    <row r="505" spans="9:17">
      <c r="I505" s="66">
        <v>97.8</v>
      </c>
      <c r="J505" s="10">
        <f t="shared" si="62"/>
        <v>1.6914197957908124E-19</v>
      </c>
      <c r="K505" s="10">
        <f t="shared" si="63"/>
        <v>1.0755535774163634E-15</v>
      </c>
      <c r="L505" s="10">
        <f t="shared" si="64"/>
        <v>0.99512193658543979</v>
      </c>
      <c r="M505" s="10">
        <f t="shared" si="65"/>
        <v>1.8103383777884149E-34</v>
      </c>
      <c r="N505" s="10">
        <f t="shared" si="66"/>
        <v>3.1280499073315</v>
      </c>
      <c r="O505" s="10">
        <f t="shared" si="67"/>
        <v>8.4661615422434375E-3</v>
      </c>
      <c r="P505" s="66">
        <f t="shared" si="68"/>
        <v>4</v>
      </c>
      <c r="Q505" s="10">
        <f t="shared" si="69"/>
        <v>3.8353938690815472E-36</v>
      </c>
    </row>
    <row r="506" spans="9:17">
      <c r="I506" s="66">
        <v>98</v>
      </c>
      <c r="J506" s="10">
        <f t="shared" si="62"/>
        <v>9.0070470423042863E-20</v>
      </c>
      <c r="K506" s="10">
        <f t="shared" si="63"/>
        <v>6.5076242040563781E-16</v>
      </c>
      <c r="L506" s="10">
        <f t="shared" si="64"/>
        <v>0.99511198541582979</v>
      </c>
      <c r="M506" s="10">
        <f t="shared" si="65"/>
        <v>5.8327968919494429E-35</v>
      </c>
      <c r="N506" s="10">
        <f t="shared" si="66"/>
        <v>3.1736210444443183</v>
      </c>
      <c r="O506" s="10">
        <f t="shared" si="67"/>
        <v>8.3839502226555323E-3</v>
      </c>
      <c r="P506" s="66">
        <f t="shared" si="68"/>
        <v>2</v>
      </c>
      <c r="Q506" s="10">
        <f t="shared" si="69"/>
        <v>6.2078412670241971E-37</v>
      </c>
    </row>
    <row r="507" spans="9:17">
      <c r="I507" s="66">
        <v>98.2</v>
      </c>
      <c r="J507" s="10">
        <f t="shared" si="62"/>
        <v>4.7525470963885391E-20</v>
      </c>
      <c r="K507" s="10">
        <f t="shared" si="63"/>
        <v>3.9087136936703889E-16</v>
      </c>
      <c r="L507" s="10">
        <f t="shared" si="64"/>
        <v>0.99510203434573108</v>
      </c>
      <c r="M507" s="10">
        <f t="shared" si="65"/>
        <v>1.8485359611191549E-35</v>
      </c>
      <c r="N507" s="10">
        <f t="shared" si="66"/>
        <v>3.2198561185753394</v>
      </c>
      <c r="O507" s="10">
        <f t="shared" si="67"/>
        <v>8.302537222475332E-3</v>
      </c>
      <c r="P507" s="66">
        <f t="shared" si="68"/>
        <v>4</v>
      </c>
      <c r="Q507" s="10">
        <f t="shared" si="69"/>
        <v>3.9533492915557132E-37</v>
      </c>
    </row>
    <row r="508" spans="9:17">
      <c r="I508" s="66">
        <v>98.4</v>
      </c>
      <c r="J508" s="10">
        <f t="shared" si="62"/>
        <v>2.4844217124835951E-20</v>
      </c>
      <c r="K508" s="10">
        <f t="shared" si="63"/>
        <v>2.3303433638275363E-16</v>
      </c>
      <c r="L508" s="10">
        <f t="shared" si="64"/>
        <v>0.99509208337514254</v>
      </c>
      <c r="M508" s="10">
        <f t="shared" si="65"/>
        <v>5.7611409942068994E-36</v>
      </c>
      <c r="N508" s="10">
        <f t="shared" si="66"/>
        <v>3.266764802785036</v>
      </c>
      <c r="O508" s="10">
        <f t="shared" si="67"/>
        <v>8.2219147895602664E-3</v>
      </c>
      <c r="P508" s="66">
        <f t="shared" si="68"/>
        <v>2</v>
      </c>
      <c r="Q508" s="10">
        <f t="shared" si="69"/>
        <v>6.1895536906848165E-38</v>
      </c>
    </row>
    <row r="509" spans="9:17">
      <c r="I509" s="66">
        <v>98.6</v>
      </c>
      <c r="J509" s="10">
        <f t="shared" si="62"/>
        <v>1.2865307091271269E-20</v>
      </c>
      <c r="K509" s="10">
        <f t="shared" si="63"/>
        <v>1.3789027711192558E-16</v>
      </c>
      <c r="L509" s="10">
        <f t="shared" si="64"/>
        <v>0.9950821325040633</v>
      </c>
      <c r="M509" s="10">
        <f t="shared" si="65"/>
        <v>1.7652764592703139E-36</v>
      </c>
      <c r="N509" s="10">
        <f t="shared" si="66"/>
        <v>3.3143569110630269</v>
      </c>
      <c r="O509" s="10">
        <f t="shared" si="67"/>
        <v>8.1420752470454522E-3</v>
      </c>
      <c r="P509" s="66">
        <f t="shared" si="68"/>
        <v>4</v>
      </c>
      <c r="Q509" s="10">
        <f t="shared" si="69"/>
        <v>3.8109837999137446E-38</v>
      </c>
    </row>
    <row r="510" spans="9:17">
      <c r="I510" s="66">
        <v>98.8</v>
      </c>
      <c r="J510" s="10">
        <f t="shared" si="62"/>
        <v>6.5985902298699568E-21</v>
      </c>
      <c r="K510" s="10">
        <f t="shared" si="63"/>
        <v>8.0970601937550768E-17</v>
      </c>
      <c r="L510" s="10">
        <f t="shared" si="64"/>
        <v>0.99507218173249212</v>
      </c>
      <c r="M510" s="10">
        <f t="shared" si="65"/>
        <v>5.3165892984698266E-37</v>
      </c>
      <c r="N510" s="10">
        <f t="shared" si="66"/>
        <v>3.3626424003813624</v>
      </c>
      <c r="O510" s="10">
        <f t="shared" si="67"/>
        <v>8.0630109926128034E-3</v>
      </c>
      <c r="P510" s="66">
        <f t="shared" si="68"/>
        <v>2</v>
      </c>
      <c r="Q510" s="10">
        <f t="shared" si="69"/>
        <v>5.7659522403609456E-39</v>
      </c>
    </row>
    <row r="511" spans="9:17">
      <c r="I511" s="66">
        <v>99</v>
      </c>
      <c r="J511" s="10">
        <f t="shared" si="62"/>
        <v>3.3516422749479413E-21</v>
      </c>
      <c r="K511" s="10">
        <f t="shared" si="63"/>
        <v>4.7179432992845295E-17</v>
      </c>
      <c r="L511" s="10">
        <f t="shared" si="64"/>
        <v>0.99506223106042824</v>
      </c>
      <c r="M511" s="10">
        <f t="shared" si="65"/>
        <v>1.5734777972560927E-37</v>
      </c>
      <c r="N511" s="10">
        <f t="shared" si="66"/>
        <v>3.4116313727776424</v>
      </c>
      <c r="O511" s="10">
        <f t="shared" si="67"/>
        <v>7.9847144977671734E-3</v>
      </c>
      <c r="P511" s="66">
        <f t="shared" si="68"/>
        <v>4</v>
      </c>
      <c r="Q511" s="10">
        <f t="shared" si="69"/>
        <v>3.4290364187696041E-39</v>
      </c>
    </row>
    <row r="512" spans="9:17">
      <c r="I512" s="66">
        <v>99.2</v>
      </c>
      <c r="J512" s="10">
        <f t="shared" si="62"/>
        <v>1.6856915478288305E-21</v>
      </c>
      <c r="K512" s="10">
        <f t="shared" si="63"/>
        <v>2.7274739901404282E-17</v>
      </c>
      <c r="L512" s="10">
        <f t="shared" si="64"/>
        <v>0.99505228048787064</v>
      </c>
      <c r="M512" s="10">
        <f t="shared" si="65"/>
        <v>4.5749318217879221E-38</v>
      </c>
      <c r="N512" s="10">
        <f t="shared" si="66"/>
        <v>3.4613340774684898</v>
      </c>
      <c r="O512" s="10">
        <f t="shared" si="67"/>
        <v>7.907178307119362E-3</v>
      </c>
      <c r="P512" s="66">
        <f t="shared" si="68"/>
        <v>2</v>
      </c>
      <c r="Q512" s="10">
        <f t="shared" si="69"/>
        <v>5.0085229489510958E-40</v>
      </c>
    </row>
    <row r="513" spans="9:17">
      <c r="I513" s="66">
        <v>99.4</v>
      </c>
      <c r="J513" s="10">
        <f t="shared" si="62"/>
        <v>8.393634693377106E-22</v>
      </c>
      <c r="K513" s="10">
        <f t="shared" si="63"/>
        <v>1.564232409592563E-17</v>
      </c>
      <c r="L513" s="10">
        <f t="shared" si="64"/>
        <v>0.99504233001481823</v>
      </c>
      <c r="M513" s="10">
        <f t="shared" si="65"/>
        <v>1.3064503220521456E-38</v>
      </c>
      <c r="N513" s="10">
        <f t="shared" si="66"/>
        <v>3.5117609129939136</v>
      </c>
      <c r="O513" s="10">
        <f t="shared" si="67"/>
        <v>7.8303950376764422E-3</v>
      </c>
      <c r="P513" s="66">
        <f t="shared" si="68"/>
        <v>4</v>
      </c>
      <c r="Q513" s="10">
        <f t="shared" si="69"/>
        <v>2.8740313452601868E-40</v>
      </c>
    </row>
    <row r="514" spans="9:17">
      <c r="I514" s="66">
        <v>99.6</v>
      </c>
      <c r="J514" s="10">
        <f t="shared" si="62"/>
        <v>4.1372348049243242E-22</v>
      </c>
      <c r="K514" s="10">
        <f t="shared" si="63"/>
        <v>8.8986512907594213E-18</v>
      </c>
      <c r="L514" s="10">
        <f t="shared" si="64"/>
        <v>0.99503237964127</v>
      </c>
      <c r="M514" s="10">
        <f t="shared" si="65"/>
        <v>3.663292287054515E-39</v>
      </c>
      <c r="N514" s="10">
        <f t="shared" si="66"/>
        <v>3.5629224293927533</v>
      </c>
      <c r="O514" s="10">
        <f t="shared" si="67"/>
        <v>7.7543573781385256E-3</v>
      </c>
      <c r="P514" s="66">
        <f t="shared" si="68"/>
        <v>2</v>
      </c>
      <c r="Q514" s="10">
        <f t="shared" si="69"/>
        <v>4.048403043594757E-41</v>
      </c>
    </row>
    <row r="515" spans="9:17">
      <c r="I515" s="66">
        <v>99.8</v>
      </c>
      <c r="J515" s="10">
        <f t="shared" si="62"/>
        <v>2.0183391702399062E-22</v>
      </c>
      <c r="K515" s="10">
        <f t="shared" si="63"/>
        <v>5.0208597787167302E-18</v>
      </c>
      <c r="L515" s="10">
        <f t="shared" si="64"/>
        <v>0.99502242936722507</v>
      </c>
      <c r="M515" s="10">
        <f t="shared" si="65"/>
        <v>1.0083356264543536E-39</v>
      </c>
      <c r="N515" s="10">
        <f t="shared" si="66"/>
        <v>3.614829330409965</v>
      </c>
      <c r="O515" s="10">
        <f t="shared" si="67"/>
        <v>7.679058088202669E-3</v>
      </c>
      <c r="P515" s="66">
        <f t="shared" si="68"/>
        <v>4</v>
      </c>
      <c r="Q515" s="10">
        <f t="shared" si="69"/>
        <v>2.2391895011291152E-41</v>
      </c>
    </row>
    <row r="516" spans="9:17">
      <c r="I516" s="66">
        <v>100</v>
      </c>
      <c r="J516" s="10">
        <f t="shared" si="62"/>
        <v>9.7439890583627765E-23</v>
      </c>
      <c r="K516" s="10">
        <f t="shared" si="63"/>
        <v>2.8093832881919284E-18</v>
      </c>
      <c r="L516" s="10">
        <f t="shared" si="64"/>
        <v>0.99501247919268232</v>
      </c>
      <c r="M516" s="10">
        <f t="shared" si="65"/>
        <v>2.7238068633693204E-40</v>
      </c>
      <c r="N516" s="10">
        <f t="shared" si="66"/>
        <v>3.6674924757359655</v>
      </c>
      <c r="O516" s="10">
        <f t="shared" si="67"/>
        <v>7.6044899978735007E-3</v>
      </c>
      <c r="P516" s="66">
        <v>1</v>
      </c>
      <c r="Q516" s="10">
        <f t="shared" si="69"/>
        <v>1.5193073192410929E-42</v>
      </c>
    </row>
    <row r="517" spans="9:17">
      <c r="I517" s="66"/>
      <c r="P517" s="66"/>
      <c r="Q517" s="10">
        <f>SUM(Q16:Q516)/3</f>
        <v>0.14368133184758974</v>
      </c>
    </row>
    <row r="518" spans="9:17">
      <c r="I518" s="66"/>
      <c r="P518" s="60" t="s">
        <v>87</v>
      </c>
      <c r="Q518" s="57">
        <f>500000*Q517/G47</f>
        <v>4948.2362241958263</v>
      </c>
    </row>
    <row r="519" spans="9:17">
      <c r="I519" s="66"/>
      <c r="P519" s="66"/>
      <c r="Q519" s="10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1"/>
  <sheetViews>
    <sheetView zoomScale="125" zoomScaleNormal="125" zoomScalePageLayoutView="125" workbookViewId="0"/>
  </sheetViews>
  <sheetFormatPr baseColWidth="10" defaultRowHeight="12" x14ac:dyDescent="0"/>
  <sheetData>
    <row r="1" spans="1:19" ht="15">
      <c r="A1" s="70" t="s">
        <v>733</v>
      </c>
    </row>
    <row r="2" spans="1:19" ht="15">
      <c r="A2" s="70"/>
    </row>
    <row r="3" spans="1:19">
      <c r="A3" s="72" t="s">
        <v>74</v>
      </c>
      <c r="B3" s="73">
        <v>0.04</v>
      </c>
    </row>
    <row r="4" spans="1:19" ht="12" customHeight="1">
      <c r="A4" s="70"/>
    </row>
    <row r="5" spans="1:19">
      <c r="F5" s="66" t="s">
        <v>311</v>
      </c>
      <c r="K5" s="66" t="s">
        <v>312</v>
      </c>
      <c r="L5" s="66" t="s">
        <v>311</v>
      </c>
      <c r="M5" s="66" t="s">
        <v>313</v>
      </c>
      <c r="N5" s="66" t="s">
        <v>75</v>
      </c>
      <c r="Q5" t="s">
        <v>329</v>
      </c>
    </row>
    <row r="6" spans="1:19" ht="14" customHeight="1">
      <c r="A6" s="66" t="s">
        <v>5</v>
      </c>
      <c r="B6" s="66" t="s">
        <v>314</v>
      </c>
      <c r="C6" s="66" t="s">
        <v>315</v>
      </c>
      <c r="D6" s="66" t="s">
        <v>316</v>
      </c>
      <c r="E6" s="66" t="s">
        <v>317</v>
      </c>
      <c r="F6" s="66" t="s">
        <v>318</v>
      </c>
      <c r="G6" s="66" t="s">
        <v>23</v>
      </c>
      <c r="I6" s="66" t="s">
        <v>5</v>
      </c>
      <c r="J6" s="66" t="s">
        <v>319</v>
      </c>
      <c r="K6" s="66" t="s">
        <v>318</v>
      </c>
      <c r="L6" s="66" t="s">
        <v>318</v>
      </c>
      <c r="M6" s="66" t="s">
        <v>320</v>
      </c>
      <c r="N6" s="66" t="s">
        <v>86</v>
      </c>
      <c r="O6" s="66" t="s">
        <v>23</v>
      </c>
      <c r="Q6" s="52" t="s">
        <v>270</v>
      </c>
      <c r="R6" s="51">
        <v>2.2000000000000001E-4</v>
      </c>
    </row>
    <row r="7" spans="1:19">
      <c r="A7" s="66">
        <v>35</v>
      </c>
      <c r="B7" s="140">
        <v>1.4610000000000001</v>
      </c>
      <c r="C7" s="142">
        <v>218833.88360175057</v>
      </c>
      <c r="D7" s="5">
        <f>0.01*B7/B$7</f>
        <v>0.01</v>
      </c>
      <c r="E7" s="5">
        <f>0.5*(C7+C8)/C$7</f>
        <v>0.97495343880836216</v>
      </c>
      <c r="F7" s="139">
        <f>(1+B$3)^-(A7+0.5-35)</f>
        <v>0.98058067569092011</v>
      </c>
      <c r="G7" s="5">
        <f>D7*E7*F7</f>
        <v>9.5602050179388991E-3</v>
      </c>
      <c r="I7" s="66">
        <v>60</v>
      </c>
      <c r="J7" s="142">
        <v>27925.614352342582</v>
      </c>
      <c r="K7" s="19">
        <f>(B29+B30+B31)/(3*B7)</f>
        <v>2.3148528405201918</v>
      </c>
      <c r="L7" s="5">
        <f>(1+B$3)^-25</f>
        <v>0.37511680225396377</v>
      </c>
      <c r="M7" s="19">
        <f>(I7-35)/60</f>
        <v>0.41666666666666669</v>
      </c>
      <c r="N7" s="5">
        <f>S13</f>
        <v>16.100220039914415</v>
      </c>
      <c r="O7" s="5">
        <f t="shared" ref="O7:O13" si="0">J7*K7*L7*M7*N7/C$7</f>
        <v>0.74335906713223343</v>
      </c>
      <c r="Q7" s="52" t="s">
        <v>271</v>
      </c>
      <c r="R7" s="51">
        <v>2.7E-6</v>
      </c>
    </row>
    <row r="8" spans="1:19">
      <c r="A8" s="66">
        <v>36</v>
      </c>
      <c r="B8" s="140">
        <v>1.5660000000000001</v>
      </c>
      <c r="C8" s="142">
        <v>207871.81108888055</v>
      </c>
      <c r="D8" s="5">
        <f t="shared" ref="D8:D31" si="1">0.01*B8/B$7</f>
        <v>1.0718685831622176E-2</v>
      </c>
      <c r="E8" s="5">
        <f t="shared" ref="E8:E37" si="2">0.5*(C8+C9)/C$7</f>
        <v>0.9261053924965591</v>
      </c>
      <c r="F8" s="139">
        <f t="shared" ref="F8:F37" si="3">(1+B$3)^-(A8+0.5-35)</f>
        <v>0.94286603431819238</v>
      </c>
      <c r="G8" s="5">
        <f t="shared" ref="G8:G37" si="4">D8*E8*F8</f>
        <v>9.3594848543163897E-3</v>
      </c>
      <c r="I8" s="66">
        <v>60</v>
      </c>
      <c r="J8" s="142">
        <v>6187.5564028877789</v>
      </c>
      <c r="K8" s="19">
        <f>(0.5*B33+B31+B30+0.5*B29)/(3*B$7)</f>
        <v>2.3321925621720281</v>
      </c>
      <c r="L8" s="5">
        <f>L7/((1+B$3)^0.5)</f>
        <v>0.36783228741720903</v>
      </c>
      <c r="M8" s="19">
        <f>(I8+0.5-35)/60</f>
        <v>0.42499999999999999</v>
      </c>
      <c r="N8" s="5">
        <f>S19</f>
        <v>15.94001718183662</v>
      </c>
      <c r="O8" s="5">
        <f t="shared" si="0"/>
        <v>0.16432232536766708</v>
      </c>
      <c r="Q8" s="52" t="s">
        <v>323</v>
      </c>
      <c r="R8" s="51">
        <v>1.1240000000000001</v>
      </c>
    </row>
    <row r="9" spans="1:19">
      <c r="A9" s="66">
        <v>37</v>
      </c>
      <c r="B9" s="140">
        <v>1.6739999999999999</v>
      </c>
      <c r="C9" s="142">
        <v>197454.66824021054</v>
      </c>
      <c r="D9" s="5">
        <f t="shared" si="1"/>
        <v>1.1457905544147844E-2</v>
      </c>
      <c r="E9" s="5">
        <f t="shared" si="2"/>
        <v>0.87968496051502965</v>
      </c>
      <c r="F9" s="139">
        <f t="shared" si="3"/>
        <v>0.9066019560751849</v>
      </c>
      <c r="G9" s="5">
        <f t="shared" si="4"/>
        <v>9.1379558749595264E-3</v>
      </c>
      <c r="I9" s="66">
        <v>61</v>
      </c>
      <c r="J9" s="142">
        <v>5573.0702934915898</v>
      </c>
      <c r="K9" s="19">
        <f>(0.5*B34+B33+B31+0.5*B30)/(3*B$7)</f>
        <v>2.3671001597079626</v>
      </c>
      <c r="L9" s="5">
        <f>L8/(1+B$3)</f>
        <v>0.35368489174731638</v>
      </c>
      <c r="M9" s="19">
        <f>(I9+0.5-35)/60</f>
        <v>0.44166666666666665</v>
      </c>
      <c r="N9" s="5">
        <f>S31</f>
        <v>15.613758078625766</v>
      </c>
      <c r="O9" s="5">
        <f t="shared" si="0"/>
        <v>0.14703311767005492</v>
      </c>
      <c r="Q9" s="9" t="s">
        <v>321</v>
      </c>
      <c r="R9" s="18">
        <f>EXP(-R6)</f>
        <v>0.99978002419822543</v>
      </c>
    </row>
    <row r="10" spans="1:19">
      <c r="A10" s="66">
        <v>38</v>
      </c>
      <c r="B10" s="140">
        <v>1.7829999999999999</v>
      </c>
      <c r="C10" s="142">
        <v>187555.08427090256</v>
      </c>
      <c r="D10" s="5">
        <f t="shared" si="1"/>
        <v>1.2203969883641339E-2</v>
      </c>
      <c r="E10" s="5">
        <f t="shared" si="2"/>
        <v>0.8355701652437425</v>
      </c>
      <c r="F10" s="139">
        <f t="shared" si="3"/>
        <v>0.87173265007229317</v>
      </c>
      <c r="G10" s="5">
        <f t="shared" si="4"/>
        <v>8.8892959311342289E-3</v>
      </c>
      <c r="I10" s="66">
        <v>62</v>
      </c>
      <c r="J10" s="142">
        <v>5017.5091453403647</v>
      </c>
      <c r="K10" s="19">
        <f>(0.5*B35+B34+B33+0.5*B31)/(3*B$7)</f>
        <v>2.4025781428245492</v>
      </c>
      <c r="L10" s="5">
        <f t="shared" ref="L10:L12" si="5">L9/(1+B$3)</f>
        <v>0.34008162668011188</v>
      </c>
      <c r="M10" s="19">
        <f>(I10+0.5-35)/60</f>
        <v>0.45833333333333331</v>
      </c>
      <c r="N10" s="5">
        <f>S43</f>
        <v>15.279811547345741</v>
      </c>
      <c r="O10" s="5">
        <f t="shared" si="0"/>
        <v>0.13119997051837032</v>
      </c>
      <c r="Q10" s="9" t="s">
        <v>322</v>
      </c>
      <c r="R10" s="18">
        <f>EXP(-R7/LN(R8))</f>
        <v>0.99997690236831238</v>
      </c>
    </row>
    <row r="11" spans="1:19">
      <c r="A11" s="66">
        <v>39</v>
      </c>
      <c r="B11" s="140">
        <v>1.8939999999999999</v>
      </c>
      <c r="C11" s="142">
        <v>178147.04429318669</v>
      </c>
      <c r="D11" s="5">
        <f t="shared" si="1"/>
        <v>1.2963723477070498E-2</v>
      </c>
      <c r="E11" s="5">
        <f t="shared" si="2"/>
        <v>0.79364506884983621</v>
      </c>
      <c r="F11" s="139">
        <f t="shared" si="3"/>
        <v>0.83820447122335884</v>
      </c>
      <c r="G11" s="5">
        <f t="shared" si="4"/>
        <v>8.6239465088947982E-3</v>
      </c>
      <c r="I11" s="66">
        <v>63</v>
      </c>
      <c r="J11" s="142">
        <v>4515.2062952301267</v>
      </c>
      <c r="K11" s="19">
        <f>(0.5*B36+B35+B34+0.5*B33)/(3*B$7)</f>
        <v>2.4386265115217891</v>
      </c>
      <c r="L11" s="5">
        <f t="shared" si="5"/>
        <v>0.32700156411549219</v>
      </c>
      <c r="M11" s="19">
        <f>(I11+0.5-35)/60</f>
        <v>0.47499999999999998</v>
      </c>
      <c r="N11" s="5">
        <f>S55</f>
        <v>14.938351154033315</v>
      </c>
      <c r="O11" s="5">
        <f t="shared" si="0"/>
        <v>0.11674933740929296</v>
      </c>
    </row>
    <row r="12" spans="1:19">
      <c r="A12" s="66">
        <v>40</v>
      </c>
      <c r="B12" s="140">
        <v>2.0049999999999999</v>
      </c>
      <c r="C12" s="142">
        <v>169205.82094239004</v>
      </c>
      <c r="D12" s="5">
        <f t="shared" si="1"/>
        <v>1.3723477070499656E-2</v>
      </c>
      <c r="E12" s="5">
        <f t="shared" si="2"/>
        <v>0.75379946856166336</v>
      </c>
      <c r="F12" s="139">
        <f t="shared" si="3"/>
        <v>0.80596583771476804</v>
      </c>
      <c r="G12" s="5">
        <f t="shared" si="4"/>
        <v>8.337514876093341E-3</v>
      </c>
      <c r="I12" s="66">
        <v>64</v>
      </c>
      <c r="J12" s="142">
        <v>4061.0419290480754</v>
      </c>
      <c r="K12" s="19">
        <f>(0.5*B37+B36+B35+0.5*B34)/(3*B$7)</f>
        <v>2.4752452657996806</v>
      </c>
      <c r="L12" s="5">
        <f t="shared" si="5"/>
        <v>0.31442458088028097</v>
      </c>
      <c r="M12" s="19">
        <f>(I12+0.5-35)/60</f>
        <v>0.49166666666666664</v>
      </c>
      <c r="N12" s="5">
        <f>S67</f>
        <v>14.5895904255049</v>
      </c>
      <c r="O12" s="5">
        <f t="shared" si="0"/>
        <v>0.10360280183367213</v>
      </c>
      <c r="Q12" s="66" t="s">
        <v>5</v>
      </c>
      <c r="R12" s="7" t="s">
        <v>324</v>
      </c>
      <c r="S12" s="15" t="s">
        <v>325</v>
      </c>
    </row>
    <row r="13" spans="1:19">
      <c r="A13" s="66">
        <v>41</v>
      </c>
      <c r="B13" s="140">
        <v>2.1150000000000002</v>
      </c>
      <c r="C13" s="142">
        <v>160707.90938217886</v>
      </c>
      <c r="D13" s="5">
        <f t="shared" si="1"/>
        <v>1.4476386036960987E-2</v>
      </c>
      <c r="E13" s="5">
        <f t="shared" si="2"/>
        <v>0.71592860699882488</v>
      </c>
      <c r="F13" s="139">
        <f t="shared" si="3"/>
        <v>0.77496715164881547</v>
      </c>
      <c r="G13" s="5">
        <f t="shared" si="4"/>
        <v>8.0318051973633977E-3</v>
      </c>
      <c r="I13" s="66">
        <v>65</v>
      </c>
      <c r="J13" s="142">
        <v>38488.264553547444</v>
      </c>
      <c r="K13" s="19">
        <f>(B37+B36+B35)/(3*B$7)</f>
        <v>2.4937257586128223</v>
      </c>
      <c r="L13" s="5">
        <f>L12/(1+B$3)^0.5</f>
        <v>0.30831866797342028</v>
      </c>
      <c r="M13" s="19">
        <f>(I13-35)/60</f>
        <v>0.5</v>
      </c>
      <c r="N13" s="5">
        <f>S73</f>
        <v>14.412550662130018</v>
      </c>
      <c r="O13" s="5">
        <f t="shared" si="0"/>
        <v>0.97448043689379571</v>
      </c>
      <c r="Q13" s="66">
        <v>60</v>
      </c>
      <c r="R13" s="10">
        <f>(R$9^(1/12))*R$10^((R$8^(Q13))*((R$8^(1/12))-1))</f>
        <v>0.9997303534430424</v>
      </c>
      <c r="S13" s="5">
        <f>(1/12)+R13*S14/((1+B$3)^(1/12))</f>
        <v>16.100220039914415</v>
      </c>
    </row>
    <row r="14" spans="1:19">
      <c r="A14" s="66">
        <v>42</v>
      </c>
      <c r="B14" s="140">
        <v>2.2250000000000001</v>
      </c>
      <c r="C14" s="142">
        <v>152630.96552010966</v>
      </c>
      <c r="D14" s="5">
        <f t="shared" si="1"/>
        <v>1.5229295003422315E-2</v>
      </c>
      <c r="E14" s="5">
        <f t="shared" si="2"/>
        <v>0.6799328968065812</v>
      </c>
      <c r="F14" s="139">
        <f t="shared" si="3"/>
        <v>0.74516072273924561</v>
      </c>
      <c r="G14" s="5">
        <f t="shared" si="4"/>
        <v>7.7160637753377328E-3</v>
      </c>
      <c r="O14" s="131">
        <f>SUM(O7:O13)</f>
        <v>2.3807470568250868</v>
      </c>
      <c r="Q14" s="19">
        <f>Q13+1/12</f>
        <v>60.083333333333336</v>
      </c>
      <c r="R14" s="10">
        <f t="shared" ref="R14:R77" si="6">(R$9^(1/12))*R$10^((R$8^(Q14))*((R$8^(1/12))-1))</f>
        <v>0.99972789371242654</v>
      </c>
      <c r="S14" s="5">
        <f t="shared" ref="S14:S77" si="7">(1/12)+R14*S15/((1+B$3)^(1/12))</f>
        <v>16.073656031786083</v>
      </c>
    </row>
    <row r="15" spans="1:19">
      <c r="A15" s="66">
        <v>43</v>
      </c>
      <c r="B15" s="140">
        <v>2.3330000000000002</v>
      </c>
      <c r="C15" s="142">
        <v>144953.74727343526</v>
      </c>
      <c r="D15" s="5">
        <f t="shared" si="1"/>
        <v>1.5968514715947981E-2</v>
      </c>
      <c r="E15" s="5">
        <f t="shared" si="2"/>
        <v>0.64571765888270116</v>
      </c>
      <c r="F15" s="139">
        <f t="shared" si="3"/>
        <v>0.71650069494158231</v>
      </c>
      <c r="G15" s="5">
        <f t="shared" si="4"/>
        <v>7.3879475293799294E-3</v>
      </c>
      <c r="Q15" s="19">
        <f t="shared" ref="Q15:Q78" si="8">Q14+1/12</f>
        <v>60.166666666666671</v>
      </c>
      <c r="R15" s="10">
        <f t="shared" si="6"/>
        <v>0.99972540991027514</v>
      </c>
      <c r="S15" s="5">
        <f t="shared" si="7"/>
        <v>16.047037353761755</v>
      </c>
    </row>
    <row r="16" spans="1:19">
      <c r="A16" s="66">
        <v>44</v>
      </c>
      <c r="B16" s="140">
        <v>2.4380000000000002</v>
      </c>
      <c r="C16" s="142">
        <v>137656.05873362857</v>
      </c>
      <c r="D16" s="5">
        <f t="shared" si="1"/>
        <v>1.6687200547570159E-2</v>
      </c>
      <c r="E16" s="5">
        <f t="shared" si="2"/>
        <v>0.61319287352308072</v>
      </c>
      <c r="F16" s="139">
        <f t="shared" si="3"/>
        <v>0.68894297590536757</v>
      </c>
      <c r="G16" s="5">
        <f t="shared" si="4"/>
        <v>7.0495900238937183E-3</v>
      </c>
      <c r="N16" s="141" t="s">
        <v>328</v>
      </c>
      <c r="O16" s="130">
        <f>(O14/G39)-1</f>
        <v>2.1505776710467481</v>
      </c>
      <c r="Q16" s="19">
        <f t="shared" si="8"/>
        <v>60.250000000000007</v>
      </c>
      <c r="R16" s="10">
        <f t="shared" si="6"/>
        <v>0.99972290180107881</v>
      </c>
      <c r="S16" s="5">
        <f t="shared" si="7"/>
        <v>16.020364066557807</v>
      </c>
    </row>
    <row r="17" spans="1:19">
      <c r="A17" s="66">
        <v>45</v>
      </c>
      <c r="B17" s="140">
        <v>2.5390000000000001</v>
      </c>
      <c r="C17" s="142">
        <v>130718.69708631701</v>
      </c>
      <c r="D17" s="5">
        <f t="shared" si="1"/>
        <v>1.7378507871321013E-2</v>
      </c>
      <c r="E17" s="5">
        <f t="shared" si="2"/>
        <v>0.59090990697198131</v>
      </c>
      <c r="F17" s="139">
        <f t="shared" si="3"/>
        <v>0.66244516913977647</v>
      </c>
      <c r="G17" s="5">
        <f t="shared" si="4"/>
        <v>6.8027371957125656E-3</v>
      </c>
      <c r="Q17" s="19">
        <f t="shared" si="8"/>
        <v>60.333333333333343</v>
      </c>
      <c r="R17" s="10">
        <f t="shared" si="6"/>
        <v>0.99972036914702522</v>
      </c>
      <c r="S17" s="5">
        <f t="shared" si="7"/>
        <v>15.993636232540194</v>
      </c>
    </row>
    <row r="18" spans="1:19">
      <c r="A18" s="66">
        <v>46</v>
      </c>
      <c r="B18" s="140">
        <v>2.637</v>
      </c>
      <c r="C18" s="142">
        <v>127903.52251653859</v>
      </c>
      <c r="D18" s="5">
        <f t="shared" si="1"/>
        <v>1.8049281314168379E-2</v>
      </c>
      <c r="E18" s="5">
        <f t="shared" si="2"/>
        <v>0.57816444473738859</v>
      </c>
      <c r="F18" s="139">
        <f t="shared" si="3"/>
        <v>0.63696650878824657</v>
      </c>
      <c r="G18" s="5">
        <f t="shared" si="4"/>
        <v>6.6470338796224913E-3</v>
      </c>
      <c r="Q18" s="19">
        <f t="shared" si="8"/>
        <v>60.416666666666679</v>
      </c>
      <c r="R18" s="10">
        <f t="shared" si="6"/>
        <v>0.9997178117079768</v>
      </c>
      <c r="S18" s="5">
        <f t="shared" si="7"/>
        <v>15.966853915734609</v>
      </c>
    </row>
    <row r="19" spans="1:19">
      <c r="A19" s="66">
        <v>47</v>
      </c>
      <c r="B19" s="140">
        <v>2.73</v>
      </c>
      <c r="C19" s="142">
        <v>125140.41908812628</v>
      </c>
      <c r="D19" s="5">
        <f t="shared" si="1"/>
        <v>1.8685831622176591E-2</v>
      </c>
      <c r="E19" s="5">
        <f t="shared" si="2"/>
        <v>0.56565284285454165</v>
      </c>
      <c r="F19" s="139">
        <f t="shared" si="3"/>
        <v>0.61246779691177555</v>
      </c>
      <c r="G19" s="5">
        <f t="shared" si="4"/>
        <v>6.4735970623573625E-3</v>
      </c>
      <c r="Q19" s="19">
        <f t="shared" si="8"/>
        <v>60.500000000000014</v>
      </c>
      <c r="R19" s="10">
        <f t="shared" si="6"/>
        <v>0.99971522924144729</v>
      </c>
      <c r="S19" s="5">
        <f t="shared" si="7"/>
        <v>15.94001718183662</v>
      </c>
    </row>
    <row r="20" spans="1:19">
      <c r="A20" s="66">
        <v>48</v>
      </c>
      <c r="B20" s="140">
        <v>2.8159999999999998</v>
      </c>
      <c r="C20" s="142">
        <v>122427.59765633389</v>
      </c>
      <c r="D20" s="5">
        <f t="shared" si="1"/>
        <v>1.9274469541409992E-2</v>
      </c>
      <c r="E20" s="5">
        <f t="shared" si="2"/>
        <v>0.55336685749448267</v>
      </c>
      <c r="F20" s="139">
        <f t="shared" si="3"/>
        <v>0.58891134318439953</v>
      </c>
      <c r="G20" s="5">
        <f t="shared" si="4"/>
        <v>6.2812416044311405E-3</v>
      </c>
      <c r="Q20" s="19">
        <f t="shared" si="8"/>
        <v>60.58333333333335</v>
      </c>
      <c r="R20" s="10">
        <f t="shared" si="6"/>
        <v>0.99971262150257989</v>
      </c>
      <c r="S20" s="5">
        <f t="shared" si="7"/>
        <v>15.913126098221818</v>
      </c>
    </row>
    <row r="21" spans="1:19">
      <c r="A21" s="66">
        <v>49</v>
      </c>
      <c r="B21" s="140">
        <v>2.8969999999999998</v>
      </c>
      <c r="C21" s="142">
        <v>119763.23930769437</v>
      </c>
      <c r="D21" s="5">
        <f t="shared" si="1"/>
        <v>1.9828884325804243E-2</v>
      </c>
      <c r="E21" s="5">
        <f t="shared" si="2"/>
        <v>0.54129809613230739</v>
      </c>
      <c r="F21" s="139">
        <f t="shared" si="3"/>
        <v>0.56626090690807651</v>
      </c>
      <c r="G21" s="5">
        <f t="shared" si="4"/>
        <v>6.0778693328929949E-3</v>
      </c>
      <c r="Q21" s="19">
        <f t="shared" si="8"/>
        <v>60.666666666666686</v>
      </c>
      <c r="R21" s="10">
        <f t="shared" si="6"/>
        <v>0.99970998824412338</v>
      </c>
      <c r="S21" s="5">
        <f t="shared" si="7"/>
        <v>15.886180733955932</v>
      </c>
    </row>
    <row r="22" spans="1:19">
      <c r="A22" s="66">
        <v>50</v>
      </c>
      <c r="B22" s="140">
        <v>2.97</v>
      </c>
      <c r="C22" s="142">
        <v>117145.48981803872</v>
      </c>
      <c r="D22" s="5">
        <f t="shared" si="1"/>
        <v>2.0328542094455854E-2</v>
      </c>
      <c r="E22" s="5">
        <f t="shared" si="2"/>
        <v>0.5294379913896764</v>
      </c>
      <c r="F22" s="139">
        <f t="shared" si="3"/>
        <v>0.54448164125776588</v>
      </c>
      <c r="G22" s="5">
        <f t="shared" si="4"/>
        <v>5.8600939185031887E-3</v>
      </c>
      <c r="Q22" s="19">
        <f t="shared" si="8"/>
        <v>60.750000000000021</v>
      </c>
      <c r="R22" s="10">
        <f t="shared" si="6"/>
        <v>0.99970732921640848</v>
      </c>
      <c r="S22" s="5">
        <f t="shared" si="7"/>
        <v>15.859181159804956</v>
      </c>
    </row>
    <row r="23" spans="1:19">
      <c r="A23" s="66">
        <v>51</v>
      </c>
      <c r="B23" s="140">
        <v>3.0350000000000001</v>
      </c>
      <c r="C23" s="142">
        <v>114572.45374618744</v>
      </c>
      <c r="D23" s="5">
        <f t="shared" si="1"/>
        <v>2.077344284736482E-2</v>
      </c>
      <c r="E23" s="5">
        <f t="shared" si="2"/>
        <v>0.51777777319279594</v>
      </c>
      <c r="F23" s="139">
        <f t="shared" si="3"/>
        <v>0.52354003967092866</v>
      </c>
      <c r="G23" s="5">
        <f t="shared" si="4"/>
        <v>5.631210791316751E-3</v>
      </c>
      <c r="Q23" s="19">
        <f t="shared" si="8"/>
        <v>60.833333333333357</v>
      </c>
      <c r="R23" s="10">
        <f t="shared" si="6"/>
        <v>0.99970464416732507</v>
      </c>
      <c r="S23" s="5">
        <f t="shared" si="7"/>
        <v>15.832127448245258</v>
      </c>
    </row>
    <row r="24" spans="1:19">
      <c r="A24" s="66">
        <v>52</v>
      </c>
      <c r="B24" s="140">
        <v>3.0910000000000002</v>
      </c>
      <c r="C24" s="142">
        <v>112042.18815470437</v>
      </c>
      <c r="D24" s="5">
        <f t="shared" si="1"/>
        <v>2.1156741957563313E-2</v>
      </c>
      <c r="E24" s="5">
        <f t="shared" si="2"/>
        <v>0.50630843921981938</v>
      </c>
      <c r="F24" s="139">
        <f t="shared" si="3"/>
        <v>0.50340388429896976</v>
      </c>
      <c r="G24" s="5">
        <f t="shared" si="4"/>
        <v>5.3923803535309298E-3</v>
      </c>
      <c r="Q24" s="19">
        <f t="shared" si="8"/>
        <v>60.916666666666693</v>
      </c>
      <c r="R24" s="10">
        <f t="shared" si="6"/>
        <v>0.9997019328422978</v>
      </c>
      <c r="S24" s="5">
        <f t="shared" si="7"/>
        <v>15.805019673473673</v>
      </c>
    </row>
    <row r="25" spans="1:19">
      <c r="A25" s="66">
        <v>53</v>
      </c>
      <c r="B25" s="140">
        <v>3.1389999999999998</v>
      </c>
      <c r="C25" s="142">
        <v>109552.69595492356</v>
      </c>
      <c r="D25" s="5">
        <f t="shared" si="1"/>
        <v>2.1485284052019164E-2</v>
      </c>
      <c r="E25" s="5">
        <f t="shared" si="2"/>
        <v>0.49502072364290378</v>
      </c>
      <c r="F25" s="139">
        <f t="shared" si="3"/>
        <v>0.48404219644131707</v>
      </c>
      <c r="G25" s="5">
        <f t="shared" si="4"/>
        <v>5.1481086428455808E-3</v>
      </c>
      <c r="Q25" s="19">
        <f t="shared" si="8"/>
        <v>61.000000000000028</v>
      </c>
      <c r="R25" s="10">
        <f t="shared" si="6"/>
        <v>0.99969919498426196</v>
      </c>
      <c r="S25" s="5">
        <f t="shared" si="7"/>
        <v>15.777857911417595</v>
      </c>
    </row>
    <row r="26" spans="1:19">
      <c r="A26" s="66">
        <v>54</v>
      </c>
      <c r="B26" s="140">
        <v>3.1859999999999999</v>
      </c>
      <c r="C26" s="142">
        <v>107101.9188813275</v>
      </c>
      <c r="D26" s="5">
        <f t="shared" si="1"/>
        <v>2.1806981519507187E-2</v>
      </c>
      <c r="E26" s="5">
        <f t="shared" si="2"/>
        <v>0.48390506421194474</v>
      </c>
      <c r="F26" s="139">
        <f t="shared" si="3"/>
        <v>0.46542518888588186</v>
      </c>
      <c r="G26" s="5">
        <f t="shared" si="4"/>
        <v>4.9114033979533317E-3</v>
      </c>
      <c r="Q26" s="19">
        <f t="shared" si="8"/>
        <v>61.083333333333364</v>
      </c>
      <c r="R26" s="10">
        <f t="shared" si="6"/>
        <v>0.99969643033363975</v>
      </c>
      <c r="S26" s="5">
        <f t="shared" si="7"/>
        <v>15.750642239745044</v>
      </c>
    </row>
    <row r="27" spans="1:19">
      <c r="A27" s="66">
        <v>55</v>
      </c>
      <c r="B27" s="140">
        <v>3.234</v>
      </c>
      <c r="C27" s="142">
        <v>104687.73011078122</v>
      </c>
      <c r="D27" s="5">
        <f t="shared" si="1"/>
        <v>2.2135523613963037E-2</v>
      </c>
      <c r="E27" s="5">
        <f t="shared" si="2"/>
        <v>0.47295156778191955</v>
      </c>
      <c r="F27" s="139">
        <f t="shared" si="3"/>
        <v>0.44752422008257869</v>
      </c>
      <c r="G27" s="5">
        <f t="shared" si="4"/>
        <v>4.6851447528972155E-3</v>
      </c>
      <c r="Q27" s="19">
        <f t="shared" si="8"/>
        <v>61.1666666666667</v>
      </c>
      <c r="R27" s="10">
        <f t="shared" si="6"/>
        <v>0.99969363862831473</v>
      </c>
      <c r="S27" s="5">
        <f t="shared" si="7"/>
        <v>15.723372737874724</v>
      </c>
    </row>
    <row r="28" spans="1:19">
      <c r="A28" s="66">
        <v>56</v>
      </c>
      <c r="B28" s="140">
        <v>3.282</v>
      </c>
      <c r="C28" s="142">
        <v>102307.92655572682</v>
      </c>
      <c r="D28" s="5">
        <f t="shared" si="1"/>
        <v>2.2464065708418891E-2</v>
      </c>
      <c r="E28" s="5">
        <f t="shared" si="2"/>
        <v>0.46214997445685091</v>
      </c>
      <c r="F28" s="139">
        <f t="shared" si="3"/>
        <v>0.43031175007940259</v>
      </c>
      <c r="G28" s="5">
        <f t="shared" si="4"/>
        <v>4.4673964959466225E-3</v>
      </c>
      <c r="Q28" s="19">
        <f t="shared" si="8"/>
        <v>61.250000000000036</v>
      </c>
      <c r="R28" s="10">
        <f t="shared" si="6"/>
        <v>0.99969081960360795</v>
      </c>
      <c r="S28" s="5">
        <f t="shared" si="7"/>
        <v>15.69604948698607</v>
      </c>
    </row>
    <row r="29" spans="1:19">
      <c r="A29" s="66">
        <v>57</v>
      </c>
      <c r="B29" s="140">
        <v>3.3319999999999999</v>
      </c>
      <c r="C29" s="142">
        <v>99960.2208779582</v>
      </c>
      <c r="D29" s="5">
        <f t="shared" si="1"/>
        <v>2.2806297056810403E-2</v>
      </c>
      <c r="E29" s="5">
        <f t="shared" si="2"/>
        <v>0.45148962061442838</v>
      </c>
      <c r="F29" s="139">
        <f t="shared" si="3"/>
        <v>0.41376129815327167</v>
      </c>
      <c r="G29" s="5">
        <f t="shared" si="4"/>
        <v>4.2604199852964353E-3</v>
      </c>
      <c r="Q29" s="19">
        <f t="shared" si="8"/>
        <v>61.333333333333371</v>
      </c>
      <c r="R29" s="10">
        <f t="shared" si="6"/>
        <v>0.99968797299225265</v>
      </c>
      <c r="S29" s="5">
        <f t="shared" si="7"/>
        <v>15.668672570029266</v>
      </c>
    </row>
    <row r="30" spans="1:19">
      <c r="A30" s="66">
        <v>58</v>
      </c>
      <c r="B30" s="140">
        <v>3.3820000000000001</v>
      </c>
      <c r="C30" s="142">
        <v>97642.233291914483</v>
      </c>
      <c r="D30" s="5">
        <f t="shared" si="1"/>
        <v>2.3148528405201919E-2</v>
      </c>
      <c r="E30" s="5">
        <f t="shared" si="2"/>
        <v>0.44095940119066745</v>
      </c>
      <c r="F30" s="139">
        <f t="shared" si="3"/>
        <v>0.39784740207045349</v>
      </c>
      <c r="G30" s="5">
        <f t="shared" si="4"/>
        <v>4.0610517144446896E-3</v>
      </c>
      <c r="Q30" s="19">
        <f t="shared" si="8"/>
        <v>61.416666666666707</v>
      </c>
      <c r="R30" s="10">
        <f t="shared" si="6"/>
        <v>0.99968509852436882</v>
      </c>
      <c r="S30" s="5">
        <f t="shared" si="7"/>
        <v>15.641242071735265</v>
      </c>
    </row>
    <row r="31" spans="1:19">
      <c r="A31" s="66">
        <v>59</v>
      </c>
      <c r="B31" s="140">
        <v>3.4319999999999999</v>
      </c>
      <c r="C31" s="142">
        <v>95351.483254597813</v>
      </c>
      <c r="D31" s="5">
        <f t="shared" si="1"/>
        <v>2.3490759753593431E-2</v>
      </c>
      <c r="E31" s="5">
        <f t="shared" si="2"/>
        <v>0.43054773174890015</v>
      </c>
      <c r="F31" s="139">
        <f t="shared" si="3"/>
        <v>0.38254557891389762</v>
      </c>
      <c r="G31" s="5">
        <f t="shared" si="4"/>
        <v>3.8690251786034726E-3</v>
      </c>
      <c r="Q31" s="19">
        <f t="shared" si="8"/>
        <v>61.500000000000043</v>
      </c>
      <c r="R31" s="10">
        <f t="shared" si="6"/>
        <v>0.99968219592743779</v>
      </c>
      <c r="S31" s="5">
        <f t="shared" si="7"/>
        <v>15.613758078625766</v>
      </c>
    </row>
    <row r="32" spans="1:19">
      <c r="A32" s="66" t="s">
        <v>326</v>
      </c>
      <c r="B32" s="140"/>
      <c r="C32" s="142">
        <v>93085.381174475275</v>
      </c>
      <c r="D32" s="5"/>
      <c r="F32" s="139"/>
      <c r="G32" s="5"/>
      <c r="Q32" s="19">
        <f t="shared" si="8"/>
        <v>61.583333333333378</v>
      </c>
      <c r="R32" s="10">
        <f t="shared" si="6"/>
        <v>0.99967926492627646</v>
      </c>
      <c r="S32" s="5">
        <f t="shared" si="7"/>
        <v>15.586220679023191</v>
      </c>
    </row>
    <row r="33" spans="1:19">
      <c r="A33" s="66">
        <v>60</v>
      </c>
      <c r="B33" s="140">
        <v>3.484</v>
      </c>
      <c r="C33" s="142">
        <v>65159.766822132689</v>
      </c>
      <c r="D33" s="5">
        <f>0.01*B33/B$7</f>
        <v>2.3846680355920604E-2</v>
      </c>
      <c r="E33" s="5">
        <f t="shared" si="2"/>
        <v>0.28299931336684842</v>
      </c>
      <c r="F33" s="139">
        <f t="shared" si="3"/>
        <v>0.36783228741720919</v>
      </c>
      <c r="G33" s="5">
        <f t="shared" si="4"/>
        <v>2.4823508292260398E-3</v>
      </c>
      <c r="Q33" s="19">
        <f t="shared" si="8"/>
        <v>61.666666666666714</v>
      </c>
      <c r="R33" s="10">
        <f t="shared" si="6"/>
        <v>0.99967630524301099</v>
      </c>
      <c r="S33" s="5">
        <f t="shared" si="7"/>
        <v>15.55862996306063</v>
      </c>
    </row>
    <row r="34" spans="1:19">
      <c r="A34" s="66">
        <v>61</v>
      </c>
      <c r="B34" s="140">
        <v>3.536</v>
      </c>
      <c r="C34" s="142">
        <v>58699.910779259779</v>
      </c>
      <c r="D34" s="5">
        <f>0.01*B34/B$7</f>
        <v>2.4202600958247777E-2</v>
      </c>
      <c r="E34" s="5">
        <f t="shared" si="2"/>
        <v>0.25489542942155846</v>
      </c>
      <c r="F34" s="139">
        <f t="shared" si="3"/>
        <v>0.35368489174731654</v>
      </c>
      <c r="G34" s="5">
        <f t="shared" si="4"/>
        <v>2.181928912467491E-3</v>
      </c>
      <c r="Q34" s="19">
        <f t="shared" si="8"/>
        <v>61.75000000000005</v>
      </c>
      <c r="R34" s="10">
        <f t="shared" si="6"/>
        <v>0.99967331659705161</v>
      </c>
      <c r="S34" s="5">
        <f t="shared" si="7"/>
        <v>15.530986022691778</v>
      </c>
    </row>
    <row r="35" spans="1:19">
      <c r="A35" s="66">
        <v>62</v>
      </c>
      <c r="B35" s="140">
        <v>3.589</v>
      </c>
      <c r="C35" s="142">
        <v>52859.602686051323</v>
      </c>
      <c r="D35" s="5">
        <f>0.01*B35/B$7</f>
        <v>2.4565366187542778E-2</v>
      </c>
      <c r="E35" s="5">
        <f t="shared" si="2"/>
        <v>0.22948652666472164</v>
      </c>
      <c r="F35" s="139">
        <f t="shared" si="3"/>
        <v>0.34008162668011205</v>
      </c>
      <c r="G35" s="5">
        <f t="shared" si="4"/>
        <v>1.917183155217826E-3</v>
      </c>
      <c r="Q35" s="19">
        <f t="shared" si="8"/>
        <v>61.833333333333385</v>
      </c>
      <c r="R35" s="10">
        <f t="shared" si="6"/>
        <v>0.99967029870506441</v>
      </c>
      <c r="S35" s="5">
        <f t="shared" si="7"/>
        <v>15.503288951700823</v>
      </c>
    </row>
    <row r="36" spans="1:19">
      <c r="A36" s="66">
        <v>63</v>
      </c>
      <c r="B36" s="140">
        <v>3.6429999999999998</v>
      </c>
      <c r="C36" s="142">
        <v>47579.253042584132</v>
      </c>
      <c r="D36" s="5">
        <f>0.01*B36/B$7</f>
        <v>2.493497604380561E-2</v>
      </c>
      <c r="E36" s="5">
        <f t="shared" si="2"/>
        <v>0.20651343600678648</v>
      </c>
      <c r="F36" s="139">
        <f t="shared" si="3"/>
        <v>0.3270015641154923</v>
      </c>
      <c r="G36" s="5">
        <f t="shared" si="4"/>
        <v>1.683864332782069E-3</v>
      </c>
      <c r="Q36" s="19">
        <f t="shared" si="8"/>
        <v>61.916666666666721</v>
      </c>
      <c r="R36" s="10">
        <f t="shared" si="6"/>
        <v>0.99966725128094591</v>
      </c>
      <c r="S36" s="5">
        <f t="shared" si="7"/>
        <v>15.475538845712336</v>
      </c>
    </row>
    <row r="37" spans="1:19">
      <c r="A37" s="66">
        <v>64</v>
      </c>
      <c r="B37" s="140">
        <v>3.698</v>
      </c>
      <c r="C37" s="142">
        <v>42805.02139202923</v>
      </c>
      <c r="D37" s="5">
        <f>0.01*B37/B$7</f>
        <v>2.5311430527036275E-2</v>
      </c>
      <c r="E37" s="5">
        <f t="shared" si="2"/>
        <v>0.18574199892535831</v>
      </c>
      <c r="F37" s="139">
        <f t="shared" si="3"/>
        <v>0.31442458088028108</v>
      </c>
      <c r="G37" s="5">
        <f t="shared" si="4"/>
        <v>1.4782343730757445E-3</v>
      </c>
      <c r="Q37" s="19">
        <f t="shared" si="8"/>
        <v>62.000000000000057</v>
      </c>
      <c r="R37" s="10">
        <f t="shared" si="6"/>
        <v>0.99966417403579533</v>
      </c>
      <c r="S37" s="5">
        <f t="shared" si="7"/>
        <v>15.447735802201127</v>
      </c>
    </row>
    <row r="38" spans="1:19">
      <c r="A38" s="66">
        <v>65</v>
      </c>
      <c r="C38" s="142">
        <v>38488.264553547444</v>
      </c>
      <c r="Q38" s="19">
        <f t="shared" si="8"/>
        <v>62.083333333333393</v>
      </c>
      <c r="R38" s="10">
        <f t="shared" si="6"/>
        <v>0.9996610666778879</v>
      </c>
      <c r="S38" s="5">
        <f t="shared" si="7"/>
        <v>15.419879920502062</v>
      </c>
    </row>
    <row r="39" spans="1:19">
      <c r="G39" s="131">
        <f>4*SUM(G7:G21)+5*(SUM(G22:G31)+SUM(G33:G37))</f>
        <v>0.75565413882785093</v>
      </c>
      <c r="Q39" s="19">
        <f t="shared" si="8"/>
        <v>62.166666666666728</v>
      </c>
      <c r="R39" s="10">
        <f t="shared" si="6"/>
        <v>0.99965792891264627</v>
      </c>
      <c r="S39" s="5">
        <f t="shared" si="7"/>
        <v>15.39197130181987</v>
      </c>
    </row>
    <row r="40" spans="1:19">
      <c r="A40" t="s">
        <v>327</v>
      </c>
      <c r="Q40" s="19">
        <f t="shared" si="8"/>
        <v>62.250000000000064</v>
      </c>
      <c r="R40" s="10">
        <f t="shared" si="6"/>
        <v>0.99965476044261381</v>
      </c>
      <c r="S40" s="5">
        <f t="shared" si="7"/>
        <v>15.364010049238908</v>
      </c>
    </row>
    <row r="41" spans="1:19">
      <c r="Q41" s="19">
        <f t="shared" si="8"/>
        <v>62.3333333333334</v>
      </c>
      <c r="R41" s="10">
        <f t="shared" si="6"/>
        <v>0.99965156096742558</v>
      </c>
      <c r="S41" s="5">
        <f t="shared" si="7"/>
        <v>15.335996267732902</v>
      </c>
    </row>
    <row r="42" spans="1:19">
      <c r="Q42" s="19">
        <f t="shared" si="8"/>
        <v>62.416666666666735</v>
      </c>
      <c r="R42" s="10">
        <f t="shared" si="6"/>
        <v>0.99964833018378052</v>
      </c>
      <c r="S42" s="5">
        <f t="shared" si="7"/>
        <v>15.307930064174661</v>
      </c>
    </row>
    <row r="43" spans="1:19">
      <c r="Q43" s="19">
        <f t="shared" si="8"/>
        <v>62.500000000000071</v>
      </c>
      <c r="R43" s="10">
        <f t="shared" si="6"/>
        <v>0.99964506778541251</v>
      </c>
      <c r="S43" s="5">
        <f t="shared" si="7"/>
        <v>15.279811547345741</v>
      </c>
    </row>
    <row r="44" spans="1:19">
      <c r="Q44" s="19">
        <f t="shared" si="8"/>
        <v>62.583333333333407</v>
      </c>
      <c r="R44" s="10">
        <f t="shared" si="6"/>
        <v>0.99964177346306138</v>
      </c>
      <c r="S44" s="5">
        <f t="shared" si="7"/>
        <v>15.251640827946094</v>
      </c>
    </row>
    <row r="45" spans="1:19">
      <c r="Q45" s="19">
        <f t="shared" si="8"/>
        <v>62.666666666666742</v>
      </c>
      <c r="R45" s="10">
        <f t="shared" si="6"/>
        <v>0.99963844690444403</v>
      </c>
      <c r="S45" s="5">
        <f t="shared" si="7"/>
        <v>15.223418018603674</v>
      </c>
    </row>
    <row r="46" spans="1:19">
      <c r="Q46" s="19">
        <f t="shared" si="8"/>
        <v>62.750000000000078</v>
      </c>
      <c r="R46" s="10">
        <f t="shared" si="6"/>
        <v>0.99963508779422461</v>
      </c>
      <c r="S46" s="5">
        <f t="shared" si="7"/>
        <v>15.195143233883996</v>
      </c>
    </row>
    <row r="47" spans="1:19">
      <c r="Q47" s="19">
        <f t="shared" si="8"/>
        <v>62.833333333333414</v>
      </c>
      <c r="R47" s="10">
        <f t="shared" si="6"/>
        <v>0.9996316958139847</v>
      </c>
      <c r="S47" s="5">
        <f t="shared" si="7"/>
        <v>15.166816590299678</v>
      </c>
    </row>
    <row r="48" spans="1:19">
      <c r="Q48" s="19">
        <f t="shared" si="8"/>
        <v>62.91666666666675</v>
      </c>
      <c r="R48" s="10">
        <f t="shared" si="6"/>
        <v>0.99962827064219306</v>
      </c>
      <c r="S48" s="5">
        <f t="shared" si="7"/>
        <v>15.138438206319929</v>
      </c>
    </row>
    <row r="49" spans="17:19">
      <c r="Q49" s="19">
        <f t="shared" si="8"/>
        <v>63.000000000000085</v>
      </c>
      <c r="R49" s="10">
        <f t="shared" si="6"/>
        <v>0.99962481195417596</v>
      </c>
      <c r="S49" s="5">
        <f t="shared" si="7"/>
        <v>15.110008202379996</v>
      </c>
    </row>
    <row r="50" spans="17:19">
      <c r="Q50" s="19">
        <f t="shared" si="8"/>
        <v>63.083333333333421</v>
      </c>
      <c r="R50" s="10">
        <f t="shared" si="6"/>
        <v>0.99962131942208599</v>
      </c>
      <c r="S50" s="5">
        <f t="shared" si="7"/>
        <v>15.08152670089058</v>
      </c>
    </row>
    <row r="51" spans="17:19">
      <c r="Q51" s="19">
        <f t="shared" si="8"/>
        <v>63.166666666666757</v>
      </c>
      <c r="R51" s="10">
        <f t="shared" si="6"/>
        <v>0.99961779271487095</v>
      </c>
      <c r="S51" s="5">
        <f t="shared" si="7"/>
        <v>15.052993826247189</v>
      </c>
    </row>
    <row r="52" spans="17:19">
      <c r="Q52" s="19">
        <f t="shared" si="8"/>
        <v>63.250000000000092</v>
      </c>
      <c r="R52" s="10">
        <f t="shared" si="6"/>
        <v>0.99961423149824258</v>
      </c>
      <c r="S52" s="5">
        <f t="shared" si="7"/>
        <v>15.024409704839471</v>
      </c>
    </row>
    <row r="53" spans="17:19">
      <c r="Q53" s="19">
        <f t="shared" si="8"/>
        <v>63.333333333333428</v>
      </c>
      <c r="R53" s="10">
        <f t="shared" si="6"/>
        <v>0.99961063543464557</v>
      </c>
      <c r="S53" s="5">
        <f t="shared" si="7"/>
        <v>14.995774465060487</v>
      </c>
    </row>
    <row r="54" spans="17:19">
      <c r="Q54" s="19">
        <f t="shared" si="8"/>
        <v>63.416666666666764</v>
      </c>
      <c r="R54" s="10">
        <f t="shared" si="6"/>
        <v>0.9996070041832249</v>
      </c>
      <c r="S54" s="5">
        <f t="shared" si="7"/>
        <v>14.967088237315931</v>
      </c>
    </row>
    <row r="55" spans="17:19">
      <c r="Q55" s="19">
        <f t="shared" si="8"/>
        <v>63.500000000000099</v>
      </c>
      <c r="R55" s="10">
        <f t="shared" si="6"/>
        <v>0.99960333739979434</v>
      </c>
      <c r="S55" s="5">
        <f t="shared" si="7"/>
        <v>14.938351154033315</v>
      </c>
    </row>
    <row r="56" spans="17:19">
      <c r="Q56" s="19">
        <f t="shared" si="8"/>
        <v>63.583333333333435</v>
      </c>
      <c r="R56" s="10">
        <f t="shared" si="6"/>
        <v>0.99959963473680313</v>
      </c>
      <c r="S56" s="5">
        <f t="shared" si="7"/>
        <v>14.909563349671091</v>
      </c>
    </row>
    <row r="57" spans="17:19">
      <c r="Q57" s="19">
        <f t="shared" si="8"/>
        <v>63.666666666666771</v>
      </c>
      <c r="R57" s="10">
        <f t="shared" si="6"/>
        <v>0.99959589584330399</v>
      </c>
      <c r="S57" s="5">
        <f t="shared" si="7"/>
        <v>14.880724960727736</v>
      </c>
    </row>
    <row r="58" spans="17:19">
      <c r="Q58" s="19">
        <f t="shared" si="8"/>
        <v>63.750000000000107</v>
      </c>
      <c r="R58" s="10">
        <f t="shared" si="6"/>
        <v>0.99959212036491951</v>
      </c>
      <c r="S58" s="5">
        <f t="shared" si="7"/>
        <v>14.851836125750763</v>
      </c>
    </row>
    <row r="59" spans="17:19">
      <c r="Q59" s="19">
        <f t="shared" si="8"/>
        <v>63.833333333333442</v>
      </c>
      <c r="R59" s="10">
        <f t="shared" si="6"/>
        <v>0.99958830794380849</v>
      </c>
      <c r="S59" s="5">
        <f t="shared" si="7"/>
        <v>14.822896985345702</v>
      </c>
    </row>
    <row r="60" spans="17:19">
      <c r="Q60" s="19">
        <f t="shared" si="8"/>
        <v>63.916666666666778</v>
      </c>
      <c r="R60" s="10">
        <f t="shared" si="6"/>
        <v>0.99958445821863284</v>
      </c>
      <c r="S60" s="5">
        <f t="shared" si="7"/>
        <v>14.793907682185001</v>
      </c>
    </row>
    <row r="61" spans="17:19">
      <c r="Q61" s="19">
        <f t="shared" si="8"/>
        <v>64.000000000000114</v>
      </c>
      <c r="R61" s="10">
        <f t="shared" si="6"/>
        <v>0.99958057082452267</v>
      </c>
      <c r="S61" s="5">
        <f t="shared" si="7"/>
        <v>14.764868361016886</v>
      </c>
    </row>
    <row r="62" spans="17:19">
      <c r="Q62" s="19">
        <f t="shared" si="8"/>
        <v>64.083333333333442</v>
      </c>
      <c r="R62" s="10">
        <f t="shared" si="6"/>
        <v>0.99957664539304225</v>
      </c>
      <c r="S62" s="5">
        <f t="shared" si="7"/>
        <v>14.735779168674158</v>
      </c>
    </row>
    <row r="63" spans="17:19">
      <c r="Q63" s="19">
        <f t="shared" si="8"/>
        <v>64.166666666666771</v>
      </c>
      <c r="R63" s="10">
        <f t="shared" si="6"/>
        <v>0.99957268155215528</v>
      </c>
      <c r="S63" s="5">
        <f t="shared" si="7"/>
        <v>14.706640254082931</v>
      </c>
    </row>
    <row r="64" spans="17:19">
      <c r="Q64" s="19">
        <f t="shared" si="8"/>
        <v>64.250000000000099</v>
      </c>
      <c r="R64" s="10">
        <f t="shared" si="6"/>
        <v>0.9995686789261895</v>
      </c>
      <c r="S64" s="5">
        <f t="shared" si="7"/>
        <v>14.677451768271293</v>
      </c>
    </row>
    <row r="65" spans="17:19">
      <c r="Q65" s="19">
        <f t="shared" si="8"/>
        <v>64.333333333333428</v>
      </c>
      <c r="R65" s="10">
        <f t="shared" si="6"/>
        <v>0.99956463713580135</v>
      </c>
      <c r="S65" s="5">
        <f t="shared" si="7"/>
        <v>14.648213864377928</v>
      </c>
    </row>
    <row r="66" spans="17:19">
      <c r="Q66" s="19">
        <f t="shared" si="8"/>
        <v>64.416666666666757</v>
      </c>
      <c r="R66" s="10">
        <f t="shared" si="6"/>
        <v>0.99956055579794012</v>
      </c>
      <c r="S66" s="5">
        <f t="shared" si="7"/>
        <v>14.618926697660653</v>
      </c>
    </row>
    <row r="67" spans="17:19">
      <c r="Q67" s="19">
        <f t="shared" si="8"/>
        <v>64.500000000000085</v>
      </c>
      <c r="R67" s="10">
        <f t="shared" si="6"/>
        <v>0.99955643452581222</v>
      </c>
      <c r="S67" s="5">
        <f t="shared" si="7"/>
        <v>14.5895904255049</v>
      </c>
    </row>
    <row r="68" spans="17:19">
      <c r="Q68" s="19">
        <f t="shared" si="8"/>
        <v>64.583333333333414</v>
      </c>
      <c r="R68" s="10">
        <f t="shared" si="6"/>
        <v>0.99955227292884341</v>
      </c>
      <c r="S68" s="5">
        <f t="shared" si="7"/>
        <v>14.560205207432119</v>
      </c>
    </row>
    <row r="69" spans="17:19">
      <c r="Q69" s="19">
        <f t="shared" si="8"/>
        <v>64.666666666666742</v>
      </c>
      <c r="R69" s="10">
        <f t="shared" si="6"/>
        <v>0.99954807061264339</v>
      </c>
      <c r="S69" s="5">
        <f t="shared" si="7"/>
        <v>14.530771205108129</v>
      </c>
    </row>
    <row r="70" spans="17:19">
      <c r="Q70" s="19">
        <f t="shared" si="8"/>
        <v>64.750000000000071</v>
      </c>
      <c r="R70" s="10">
        <f t="shared" si="6"/>
        <v>0.99954382717896784</v>
      </c>
      <c r="S70" s="5">
        <f t="shared" si="7"/>
        <v>14.501288582351375</v>
      </c>
    </row>
    <row r="71" spans="17:19">
      <c r="Q71" s="19">
        <f t="shared" si="8"/>
        <v>64.8333333333334</v>
      </c>
      <c r="R71" s="10">
        <f t="shared" si="6"/>
        <v>0.99953954222568098</v>
      </c>
      <c r="S71" s="5">
        <f t="shared" si="7"/>
        <v>14.471757505141129</v>
      </c>
    </row>
    <row r="72" spans="17:19">
      <c r="Q72" s="19">
        <f t="shared" si="8"/>
        <v>64.916666666666728</v>
      </c>
      <c r="R72" s="10">
        <f t="shared" si="6"/>
        <v>0.9995352153467173</v>
      </c>
      <c r="S72" s="5">
        <f t="shared" si="7"/>
        <v>14.442178141625607</v>
      </c>
    </row>
    <row r="73" spans="17:19">
      <c r="Q73" s="19">
        <f t="shared" si="8"/>
        <v>65.000000000000057</v>
      </c>
      <c r="R73" s="10">
        <f t="shared" si="6"/>
        <v>0.99953084613204368</v>
      </c>
      <c r="S73" s="5">
        <f t="shared" si="7"/>
        <v>14.412550662130018</v>
      </c>
    </row>
    <row r="74" spans="17:19">
      <c r="Q74" s="19">
        <f t="shared" si="8"/>
        <v>65.083333333333385</v>
      </c>
      <c r="R74" s="10">
        <f t="shared" si="6"/>
        <v>0.99952643416762055</v>
      </c>
      <c r="S74" s="5">
        <f t="shared" si="7"/>
        <v>14.382875239164527</v>
      </c>
    </row>
    <row r="75" spans="17:19">
      <c r="Q75" s="19">
        <f t="shared" si="8"/>
        <v>65.166666666666714</v>
      </c>
      <c r="R75" s="10">
        <f t="shared" si="6"/>
        <v>0.99952197903536255</v>
      </c>
      <c r="S75" s="5">
        <f t="shared" si="7"/>
        <v>14.353152047432143</v>
      </c>
    </row>
    <row r="76" spans="17:19">
      <c r="Q76" s="19">
        <f t="shared" si="8"/>
        <v>65.250000000000043</v>
      </c>
      <c r="R76" s="10">
        <f t="shared" si="6"/>
        <v>0.99951748031309962</v>
      </c>
      <c r="S76" s="5">
        <f t="shared" si="7"/>
        <v>14.323381263836531</v>
      </c>
    </row>
    <row r="77" spans="17:19">
      <c r="Q77" s="19">
        <f t="shared" si="8"/>
        <v>65.333333333333371</v>
      </c>
      <c r="R77" s="10">
        <f t="shared" si="6"/>
        <v>0.99951293757453641</v>
      </c>
      <c r="S77" s="5">
        <f t="shared" si="7"/>
        <v>14.293563067489719</v>
      </c>
    </row>
    <row r="78" spans="17:19">
      <c r="Q78" s="19">
        <f t="shared" si="8"/>
        <v>65.4166666666667</v>
      </c>
      <c r="R78" s="10">
        <f t="shared" ref="R78:R141" si="9">(R$9^(1/12))*R$10^((R$8^(Q78))*((R$8^(1/12))-1))</f>
        <v>0.99950835038921293</v>
      </c>
      <c r="S78" s="5">
        <f t="shared" ref="S78:S141" si="10">(1/12)+R78*S79/((1+B$3)^(1/12))</f>
        <v>14.26369763971976</v>
      </c>
    </row>
    <row r="79" spans="17:19">
      <c r="Q79" s="19">
        <f t="shared" ref="Q79:Q142" si="11">Q78+1/12</f>
        <v>65.500000000000028</v>
      </c>
      <c r="R79" s="10">
        <f t="shared" si="9"/>
        <v>0.99950371832246299</v>
      </c>
      <c r="S79" s="5">
        <f t="shared" si="10"/>
        <v>14.233785164078263</v>
      </c>
    </row>
    <row r="80" spans="17:19">
      <c r="Q80" s="19">
        <f t="shared" si="11"/>
        <v>65.583333333333357</v>
      </c>
      <c r="R80" s="10">
        <f t="shared" si="9"/>
        <v>0.99949904093537401</v>
      </c>
      <c r="S80" s="5">
        <f t="shared" si="10"/>
        <v>14.203825826347872</v>
      </c>
    </row>
    <row r="81" spans="17:19">
      <c r="Q81" s="19">
        <f t="shared" si="11"/>
        <v>65.666666666666686</v>
      </c>
      <c r="R81" s="10">
        <f t="shared" si="9"/>
        <v>0.99949431778474518</v>
      </c>
      <c r="S81" s="5">
        <f t="shared" si="10"/>
        <v>14.173819814549635</v>
      </c>
    </row>
    <row r="82" spans="17:19">
      <c r="Q82" s="19">
        <f t="shared" si="11"/>
        <v>65.750000000000014</v>
      </c>
      <c r="R82" s="10">
        <f t="shared" si="9"/>
        <v>0.99948954842304583</v>
      </c>
      <c r="S82" s="5">
        <f t="shared" si="10"/>
        <v>14.143767318950291</v>
      </c>
    </row>
    <row r="83" spans="17:19">
      <c r="Q83" s="19">
        <f t="shared" si="11"/>
        <v>65.833333333333343</v>
      </c>
      <c r="R83" s="10">
        <f t="shared" si="9"/>
        <v>0.99948473239837277</v>
      </c>
      <c r="S83" s="5">
        <f t="shared" si="10"/>
        <v>14.113668532069456</v>
      </c>
    </row>
    <row r="84" spans="17:19">
      <c r="Q84" s="19">
        <f t="shared" si="11"/>
        <v>65.916666666666671</v>
      </c>
      <c r="R84" s="10">
        <f t="shared" si="9"/>
        <v>0.99947986925440835</v>
      </c>
      <c r="S84" s="5">
        <f t="shared" si="10"/>
        <v>14.083523648686729</v>
      </c>
    </row>
    <row r="85" spans="17:19">
      <c r="Q85" s="19">
        <f t="shared" si="11"/>
        <v>66</v>
      </c>
      <c r="R85" s="10">
        <f t="shared" si="9"/>
        <v>0.99947495853037704</v>
      </c>
      <c r="S85" s="5">
        <f t="shared" si="10"/>
        <v>14.053332865848684</v>
      </c>
    </row>
    <row r="86" spans="17:19">
      <c r="Q86" s="19">
        <f t="shared" si="11"/>
        <v>66.083333333333329</v>
      </c>
      <c r="R86" s="10">
        <f t="shared" si="9"/>
        <v>0.99946999976100181</v>
      </c>
      <c r="S86" s="5">
        <f t="shared" si="10"/>
        <v>14.023096382875776</v>
      </c>
    </row>
    <row r="87" spans="17:19">
      <c r="Q87" s="19">
        <f t="shared" si="11"/>
        <v>66.166666666666657</v>
      </c>
      <c r="R87" s="10">
        <f t="shared" si="9"/>
        <v>0.9994649924764607</v>
      </c>
      <c r="S87" s="5">
        <f t="shared" si="10"/>
        <v>13.99281440136914</v>
      </c>
    </row>
    <row r="88" spans="17:19">
      <c r="Q88" s="19">
        <f t="shared" si="11"/>
        <v>66.249999999999986</v>
      </c>
      <c r="R88" s="10">
        <f t="shared" si="9"/>
        <v>0.99945993620234208</v>
      </c>
      <c r="S88" s="5">
        <f t="shared" si="10"/>
        <v>13.962487125217288</v>
      </c>
    </row>
    <row r="89" spans="17:19">
      <c r="Q89" s="19">
        <f t="shared" si="11"/>
        <v>66.333333333333314</v>
      </c>
      <c r="R89" s="10">
        <f t="shared" si="9"/>
        <v>0.99945483045960015</v>
      </c>
      <c r="S89" s="5">
        <f t="shared" si="10"/>
        <v>13.932114760602719</v>
      </c>
    </row>
    <row r="90" spans="17:19">
      <c r="Q90" s="19">
        <f t="shared" si="11"/>
        <v>66.416666666666643</v>
      </c>
      <c r="R90" s="10">
        <f t="shared" si="9"/>
        <v>0.99944967476450963</v>
      </c>
      <c r="S90" s="5">
        <f t="shared" si="10"/>
        <v>13.901697516008396</v>
      </c>
    </row>
    <row r="91" spans="17:19">
      <c r="Q91" s="19">
        <f t="shared" si="11"/>
        <v>66.499999999999972</v>
      </c>
      <c r="R91" s="10">
        <f t="shared" si="9"/>
        <v>0.99944446862862002</v>
      </c>
      <c r="S91" s="5">
        <f t="shared" si="10"/>
        <v>13.871235602224134</v>
      </c>
    </row>
    <row r="92" spans="17:19">
      <c r="Q92" s="19">
        <f t="shared" si="11"/>
        <v>66.5833333333333</v>
      </c>
      <c r="R92" s="10">
        <f t="shared" si="9"/>
        <v>0.99943921155871029</v>
      </c>
      <c r="S92" s="5">
        <f t="shared" si="10"/>
        <v>13.840729232352887</v>
      </c>
    </row>
    <row r="93" spans="17:19">
      <c r="Q93" s="19">
        <f t="shared" si="11"/>
        <v>66.666666666666629</v>
      </c>
      <c r="R93" s="10">
        <f t="shared" si="9"/>
        <v>0.99943390305674162</v>
      </c>
      <c r="S93" s="5">
        <f t="shared" si="10"/>
        <v>13.810178621816894</v>
      </c>
    </row>
    <row r="94" spans="17:19">
      <c r="Q94" s="19">
        <f t="shared" si="11"/>
        <v>66.749999999999957</v>
      </c>
      <c r="R94" s="10">
        <f t="shared" si="9"/>
        <v>0.99942854261981018</v>
      </c>
      <c r="S94" s="5">
        <f t="shared" si="10"/>
        <v>13.779583988363742</v>
      </c>
    </row>
    <row r="95" spans="17:19">
      <c r="Q95" s="19">
        <f t="shared" si="11"/>
        <v>66.833333333333286</v>
      </c>
      <c r="R95" s="10">
        <f t="shared" si="9"/>
        <v>0.99942312974010061</v>
      </c>
      <c r="S95" s="5">
        <f t="shared" si="10"/>
        <v>13.748945552072309</v>
      </c>
    </row>
    <row r="96" spans="17:19">
      <c r="Q96" s="19">
        <f t="shared" si="11"/>
        <v>66.916666666666615</v>
      </c>
      <c r="R96" s="10">
        <f t="shared" si="9"/>
        <v>0.99941766390483811</v>
      </c>
      <c r="S96" s="5">
        <f t="shared" si="10"/>
        <v>13.718263535358576</v>
      </c>
    </row>
    <row r="97" spans="17:19">
      <c r="Q97" s="19">
        <f t="shared" si="11"/>
        <v>66.999999999999943</v>
      </c>
      <c r="R97" s="10">
        <f t="shared" si="9"/>
        <v>0.99941214459623884</v>
      </c>
      <c r="S97" s="5">
        <f t="shared" si="10"/>
        <v>13.687538162981328</v>
      </c>
    </row>
    <row r="98" spans="17:19">
      <c r="Q98" s="19">
        <f t="shared" si="11"/>
        <v>67.083333333333272</v>
      </c>
      <c r="R98" s="10">
        <f t="shared" si="9"/>
        <v>0.99940657129146271</v>
      </c>
      <c r="S98" s="5">
        <f t="shared" si="10"/>
        <v>13.656769662047751</v>
      </c>
    </row>
    <row r="99" spans="17:19">
      <c r="Q99" s="19">
        <f t="shared" si="11"/>
        <v>67.1666666666666</v>
      </c>
      <c r="R99" s="10">
        <f t="shared" si="9"/>
        <v>0.99940094346256325</v>
      </c>
      <c r="S99" s="5">
        <f t="shared" si="10"/>
        <v>13.625958262018887</v>
      </c>
    </row>
    <row r="100" spans="17:19">
      <c r="Q100" s="19">
        <f t="shared" si="11"/>
        <v>67.249999999999929</v>
      </c>
      <c r="R100" s="10">
        <f t="shared" si="9"/>
        <v>0.99939526057643802</v>
      </c>
      <c r="S100" s="5">
        <f t="shared" si="10"/>
        <v>13.595104194714967</v>
      </c>
    </row>
    <row r="101" spans="17:19">
      <c r="Q101" s="19">
        <f t="shared" si="11"/>
        <v>67.333333333333258</v>
      </c>
      <c r="R101" s="10">
        <f t="shared" si="9"/>
        <v>0.99938952209477805</v>
      </c>
      <c r="S101" s="5">
        <f t="shared" si="10"/>
        <v>13.564207694320633</v>
      </c>
    </row>
    <row r="102" spans="17:19">
      <c r="Q102" s="19">
        <f t="shared" si="11"/>
        <v>67.416666666666586</v>
      </c>
      <c r="R102" s="10">
        <f t="shared" si="9"/>
        <v>0.99938372747401805</v>
      </c>
      <c r="S102" s="5">
        <f t="shared" si="10"/>
        <v>13.533268997390019</v>
      </c>
    </row>
    <row r="103" spans="17:19">
      <c r="Q103" s="19">
        <f t="shared" si="11"/>
        <v>67.499999999999915</v>
      </c>
      <c r="R103" s="10">
        <f t="shared" si="9"/>
        <v>0.99937787616528417</v>
      </c>
      <c r="S103" s="5">
        <f t="shared" si="10"/>
        <v>13.50228834285171</v>
      </c>
    </row>
    <row r="104" spans="17:19">
      <c r="Q104" s="19">
        <f t="shared" si="11"/>
        <v>67.583333333333243</v>
      </c>
      <c r="R104" s="10">
        <f t="shared" si="9"/>
        <v>0.99937196761434244</v>
      </c>
      <c r="S104" s="5">
        <f t="shared" si="10"/>
        <v>13.471265972013558</v>
      </c>
    </row>
    <row r="105" spans="17:19">
      <c r="Q105" s="19">
        <f t="shared" si="11"/>
        <v>67.666666666666572</v>
      </c>
      <c r="R105" s="10">
        <f t="shared" si="9"/>
        <v>0.99936600126154773</v>
      </c>
      <c r="S105" s="5">
        <f t="shared" si="10"/>
        <v>13.440202128567394</v>
      </c>
    </row>
    <row r="106" spans="17:19">
      <c r="Q106" s="19">
        <f t="shared" si="11"/>
        <v>67.749999999999901</v>
      </c>
      <c r="R106" s="10">
        <f t="shared" si="9"/>
        <v>0.9993599765417891</v>
      </c>
      <c r="S106" s="5">
        <f t="shared" si="10"/>
        <v>13.409097058593561</v>
      </c>
    </row>
    <row r="107" spans="17:19">
      <c r="Q107" s="19">
        <f t="shared" si="11"/>
        <v>67.833333333333229</v>
      </c>
      <c r="R107" s="10">
        <f t="shared" si="9"/>
        <v>0.99935389288443843</v>
      </c>
      <c r="S107" s="5">
        <f t="shared" si="10"/>
        <v>13.377951010565354</v>
      </c>
    </row>
    <row r="108" spans="17:19">
      <c r="Q108" s="19">
        <f t="shared" si="11"/>
        <v>67.916666666666558</v>
      </c>
      <c r="R108" s="10">
        <f t="shared" si="9"/>
        <v>0.99934774971329521</v>
      </c>
      <c r="S108" s="5">
        <f t="shared" si="10"/>
        <v>13.346764235353284</v>
      </c>
    </row>
    <row r="109" spans="17:19">
      <c r="Q109" s="19">
        <f t="shared" si="11"/>
        <v>67.999999999999886</v>
      </c>
      <c r="R109" s="10">
        <f t="shared" si="9"/>
        <v>0.99934154644653317</v>
      </c>
      <c r="S109" s="5">
        <f t="shared" si="10"/>
        <v>13.315536986229235</v>
      </c>
    </row>
    <row r="110" spans="17:19">
      <c r="Q110" s="19">
        <f t="shared" si="11"/>
        <v>68.083333333333215</v>
      </c>
      <c r="R110" s="10">
        <f t="shared" si="9"/>
        <v>0.99933528249664549</v>
      </c>
      <c r="S110" s="5">
        <f t="shared" si="10"/>
        <v>13.284269518870454</v>
      </c>
    </row>
    <row r="111" spans="17:19">
      <c r="Q111" s="19">
        <f t="shared" si="11"/>
        <v>68.166666666666544</v>
      </c>
      <c r="R111" s="10">
        <f t="shared" si="9"/>
        <v>0.99932895727038873</v>
      </c>
      <c r="S111" s="5">
        <f t="shared" si="10"/>
        <v>13.252962091363406</v>
      </c>
    </row>
    <row r="112" spans="17:19">
      <c r="Q112" s="19">
        <f t="shared" si="11"/>
        <v>68.249999999999872</v>
      </c>
      <c r="R112" s="10">
        <f t="shared" si="9"/>
        <v>0.99932257016872761</v>
      </c>
      <c r="S112" s="5">
        <f t="shared" si="10"/>
        <v>13.221614964207477</v>
      </c>
    </row>
    <row r="113" spans="17:19">
      <c r="Q113" s="19">
        <f t="shared" si="11"/>
        <v>68.333333333333201</v>
      </c>
      <c r="R113" s="10">
        <f t="shared" si="9"/>
        <v>0.99931612058677866</v>
      </c>
      <c r="S113" s="5">
        <f t="shared" si="10"/>
        <v>13.190228400318542</v>
      </c>
    </row>
    <row r="114" spans="17:19">
      <c r="Q114" s="19">
        <f t="shared" si="11"/>
        <v>68.416666666666529</v>
      </c>
      <c r="R114" s="10">
        <f t="shared" si="9"/>
        <v>0.99930960791375301</v>
      </c>
      <c r="S114" s="5">
        <f t="shared" si="10"/>
        <v>13.158802665032363</v>
      </c>
    </row>
    <row r="115" spans="17:19">
      <c r="Q115" s="19">
        <f t="shared" si="11"/>
        <v>68.499999999999858</v>
      </c>
      <c r="R115" s="10">
        <f t="shared" si="9"/>
        <v>0.99930303153289868</v>
      </c>
      <c r="S115" s="5">
        <f t="shared" si="10"/>
        <v>13.127338026107848</v>
      </c>
    </row>
    <row r="116" spans="17:19">
      <c r="Q116" s="19">
        <f t="shared" si="11"/>
        <v>68.583333333333186</v>
      </c>
      <c r="R116" s="10">
        <f t="shared" si="9"/>
        <v>0.99929639082144306</v>
      </c>
      <c r="S116" s="5">
        <f t="shared" si="10"/>
        <v>13.095834753730159</v>
      </c>
    </row>
    <row r="117" spans="17:19">
      <c r="Q117" s="19">
        <f t="shared" si="11"/>
        <v>68.666666666666515</v>
      </c>
      <c r="R117" s="10">
        <f t="shared" si="9"/>
        <v>0.99928968515053374</v>
      </c>
      <c r="S117" s="5">
        <f t="shared" si="10"/>
        <v>13.06429312051365</v>
      </c>
    </row>
    <row r="118" spans="17:19">
      <c r="Q118" s="19">
        <f t="shared" si="11"/>
        <v>68.749999999999844</v>
      </c>
      <c r="R118" s="10">
        <f t="shared" si="9"/>
        <v>0.9992829138851802</v>
      </c>
      <c r="S118" s="5">
        <f t="shared" si="10"/>
        <v>13.03271340150466</v>
      </c>
    </row>
    <row r="119" spans="17:19">
      <c r="Q119" s="19">
        <f t="shared" si="11"/>
        <v>68.833333333333172</v>
      </c>
      <c r="R119" s="10">
        <f t="shared" si="9"/>
        <v>0.99927607638419302</v>
      </c>
      <c r="S119" s="5">
        <f t="shared" si="10"/>
        <v>13.001095874184131</v>
      </c>
    </row>
    <row r="120" spans="17:19">
      <c r="Q120" s="19">
        <f t="shared" si="11"/>
        <v>68.916666666666501</v>
      </c>
      <c r="R120" s="10">
        <f t="shared" si="9"/>
        <v>0.99926917200012388</v>
      </c>
      <c r="S120" s="5">
        <f t="shared" si="10"/>
        <v>12.96944081847008</v>
      </c>
    </row>
    <row r="121" spans="17:19">
      <c r="Q121" s="19">
        <f t="shared" si="11"/>
        <v>68.999999999999829</v>
      </c>
      <c r="R121" s="10">
        <f t="shared" si="9"/>
        <v>0.99926220007920519</v>
      </c>
      <c r="S121" s="5">
        <f t="shared" si="10"/>
        <v>12.937748516719903</v>
      </c>
    </row>
    <row r="122" spans="17:19">
      <c r="Q122" s="19">
        <f t="shared" si="11"/>
        <v>69.083333333333158</v>
      </c>
      <c r="R122" s="10">
        <f t="shared" si="9"/>
        <v>0.99925515996128766</v>
      </c>
      <c r="S122" s="5">
        <f t="shared" si="10"/>
        <v>12.906019253732504</v>
      </c>
    </row>
    <row r="123" spans="17:19">
      <c r="Q123" s="19">
        <f t="shared" si="11"/>
        <v>69.166666666666487</v>
      </c>
      <c r="R123" s="10">
        <f t="shared" si="9"/>
        <v>0.9992480509797792</v>
      </c>
      <c r="S123" s="5">
        <f t="shared" si="10"/>
        <v>12.874253316750263</v>
      </c>
    </row>
    <row r="124" spans="17:19">
      <c r="Q124" s="19">
        <f t="shared" si="11"/>
        <v>69.249999999999815</v>
      </c>
      <c r="R124" s="10">
        <f t="shared" si="9"/>
        <v>0.99924087246158133</v>
      </c>
      <c r="S124" s="5">
        <f t="shared" si="10"/>
        <v>12.842450995460835</v>
      </c>
    </row>
    <row r="125" spans="17:19">
      <c r="Q125" s="19">
        <f t="shared" si="11"/>
        <v>69.333333333333144</v>
      </c>
      <c r="R125" s="10">
        <f t="shared" si="9"/>
        <v>0.99923362372702651</v>
      </c>
      <c r="S125" s="5">
        <f t="shared" si="10"/>
        <v>12.810612581998772</v>
      </c>
    </row>
    <row r="126" spans="17:19">
      <c r="Q126" s="19">
        <f t="shared" si="11"/>
        <v>69.416666666666472</v>
      </c>
      <c r="R126" s="10">
        <f t="shared" si="9"/>
        <v>0.99922630408981361</v>
      </c>
      <c r="S126" s="5">
        <f t="shared" si="10"/>
        <v>12.778738370946977</v>
      </c>
    </row>
    <row r="127" spans="17:19">
      <c r="Q127" s="19">
        <f t="shared" si="11"/>
        <v>69.499999999999801</v>
      </c>
      <c r="R127" s="10">
        <f t="shared" si="9"/>
        <v>0.99921891285694397</v>
      </c>
      <c r="S127" s="5">
        <f t="shared" si="10"/>
        <v>12.746828659337984</v>
      </c>
    </row>
    <row r="128" spans="17:19">
      <c r="Q128" s="19">
        <f t="shared" si="11"/>
        <v>69.58333333333313</v>
      </c>
      <c r="R128" s="10">
        <f t="shared" si="9"/>
        <v>0.99921144932865613</v>
      </c>
      <c r="S128" s="5">
        <f t="shared" si="10"/>
        <v>12.714883746655046</v>
      </c>
    </row>
    <row r="129" spans="17:19">
      <c r="Q129" s="19">
        <f t="shared" si="11"/>
        <v>69.666666666666458</v>
      </c>
      <c r="R129" s="10">
        <f t="shared" si="9"/>
        <v>0.99920391279835929</v>
      </c>
      <c r="S129" s="5">
        <f t="shared" si="10"/>
        <v>12.682903934833057</v>
      </c>
    </row>
    <row r="130" spans="17:19">
      <c r="Q130" s="19">
        <f t="shared" si="11"/>
        <v>69.749999999999787</v>
      </c>
      <c r="R130" s="10">
        <f t="shared" si="9"/>
        <v>0.99919630255256808</v>
      </c>
      <c r="S130" s="5">
        <f t="shared" si="10"/>
        <v>12.650889528259293</v>
      </c>
    </row>
    <row r="131" spans="17:19">
      <c r="Q131" s="19">
        <f t="shared" si="11"/>
        <v>69.833333333333115</v>
      </c>
      <c r="R131" s="10">
        <f t="shared" si="9"/>
        <v>0.99918861787083457</v>
      </c>
      <c r="S131" s="5">
        <f t="shared" si="10"/>
        <v>12.618840833773962</v>
      </c>
    </row>
    <row r="132" spans="17:19">
      <c r="Q132" s="19">
        <f t="shared" si="11"/>
        <v>69.916666666666444</v>
      </c>
      <c r="R132" s="10">
        <f t="shared" si="9"/>
        <v>0.99918085802568113</v>
      </c>
      <c r="S132" s="5">
        <f t="shared" si="10"/>
        <v>12.58675816067057</v>
      </c>
    </row>
    <row r="133" spans="17:19">
      <c r="Q133" s="19">
        <f t="shared" si="11"/>
        <v>69.999999999999773</v>
      </c>
      <c r="R133" s="10">
        <f t="shared" si="9"/>
        <v>0.99917302228253113</v>
      </c>
      <c r="S133" s="5">
        <f t="shared" si="10"/>
        <v>12.554641820696094</v>
      </c>
    </row>
    <row r="134" spans="17:19">
      <c r="Q134" s="19">
        <f t="shared" si="11"/>
        <v>70.083333333333101</v>
      </c>
      <c r="R134" s="10">
        <f t="shared" si="9"/>
        <v>0.99916510989964136</v>
      </c>
      <c r="S134" s="5">
        <f t="shared" si="10"/>
        <v>12.522492128050992</v>
      </c>
    </row>
    <row r="135" spans="17:19">
      <c r="Q135" s="19">
        <f t="shared" si="11"/>
        <v>70.16666666666643</v>
      </c>
      <c r="R135" s="10">
        <f t="shared" si="9"/>
        <v>0.99915712012803093</v>
      </c>
      <c r="S135" s="5">
        <f t="shared" si="10"/>
        <v>12.49030939938898</v>
      </c>
    </row>
    <row r="136" spans="17:19">
      <c r="Q136" s="19">
        <f t="shared" si="11"/>
        <v>70.249999999999758</v>
      </c>
      <c r="R136" s="10">
        <f t="shared" si="9"/>
        <v>0.99914905221141181</v>
      </c>
      <c r="S136" s="5">
        <f t="shared" si="10"/>
        <v>12.458093953816654</v>
      </c>
    </row>
    <row r="137" spans="17:19">
      <c r="Q137" s="19">
        <f t="shared" si="11"/>
        <v>70.333333333333087</v>
      </c>
      <c r="R137" s="10">
        <f t="shared" si="9"/>
        <v>0.99914090538611722</v>
      </c>
      <c r="S137" s="5">
        <f t="shared" si="10"/>
        <v>12.425846112892888</v>
      </c>
    </row>
    <row r="138" spans="17:19">
      <c r="Q138" s="19">
        <f t="shared" si="11"/>
        <v>70.416666666666416</v>
      </c>
      <c r="R138" s="10">
        <f t="shared" si="9"/>
        <v>0.99913267888103019</v>
      </c>
      <c r="S138" s="5">
        <f t="shared" si="10"/>
        <v>12.393566200628056</v>
      </c>
    </row>
    <row r="139" spans="17:19">
      <c r="Q139" s="19">
        <f t="shared" si="11"/>
        <v>70.499999999999744</v>
      </c>
      <c r="R139" s="10">
        <f t="shared" si="9"/>
        <v>0.99912437191751113</v>
      </c>
      <c r="S139" s="5">
        <f t="shared" si="10"/>
        <v>12.361254543483042</v>
      </c>
    </row>
    <row r="140" spans="17:19">
      <c r="Q140" s="19">
        <f t="shared" si="11"/>
        <v>70.583333333333073</v>
      </c>
      <c r="R140" s="10">
        <f t="shared" si="9"/>
        <v>0.99911598370932453</v>
      </c>
      <c r="S140" s="5">
        <f t="shared" si="10"/>
        <v>12.328911470368052</v>
      </c>
    </row>
    <row r="141" spans="17:19">
      <c r="Q141" s="19">
        <f t="shared" si="11"/>
        <v>70.666666666666401</v>
      </c>
      <c r="R141" s="10">
        <f t="shared" si="9"/>
        <v>0.99910751346256521</v>
      </c>
      <c r="S141" s="5">
        <f t="shared" si="10"/>
        <v>12.296537312641227</v>
      </c>
    </row>
    <row r="142" spans="17:19">
      <c r="Q142" s="19">
        <f t="shared" si="11"/>
        <v>70.74999999999973</v>
      </c>
      <c r="R142" s="10">
        <f t="shared" ref="R142:R205" si="12">(R$9^(1/12))*R$10^((R$8^(Q142))*((R$8^(1/12))-1))</f>
        <v>0.99909896037558354</v>
      </c>
      <c r="S142" s="5">
        <f t="shared" ref="S142:S205" si="13">(1/12)+R142*S143/((1+B$3)^(1/12))</f>
        <v>12.264132404107047</v>
      </c>
    </row>
    <row r="143" spans="17:19">
      <c r="Q143" s="19">
        <f t="shared" ref="Q143:Q206" si="14">Q142+1/12</f>
        <v>70.833333333333059</v>
      </c>
      <c r="R143" s="10">
        <f t="shared" si="12"/>
        <v>0.99909032363891082</v>
      </c>
      <c r="S143" s="5">
        <f t="shared" si="13"/>
        <v>12.231697081014529</v>
      </c>
    </row>
    <row r="144" spans="17:19">
      <c r="Q144" s="19">
        <f t="shared" si="14"/>
        <v>70.916666666666387</v>
      </c>
      <c r="R144" s="10">
        <f t="shared" si="12"/>
        <v>0.99908160243518251</v>
      </c>
      <c r="S144" s="5">
        <f t="shared" si="13"/>
        <v>12.199231682055217</v>
      </c>
    </row>
    <row r="145" spans="17:19">
      <c r="Q145" s="19">
        <f t="shared" si="14"/>
        <v>70.999999999999716</v>
      </c>
      <c r="R145" s="10">
        <f t="shared" si="12"/>
        <v>0.99907279593906173</v>
      </c>
      <c r="S145" s="5">
        <f t="shared" si="13"/>
        <v>12.166736548360964</v>
      </c>
    </row>
    <row r="146" spans="17:19">
      <c r="Q146" s="19">
        <f t="shared" si="14"/>
        <v>71.083333333333044</v>
      </c>
      <c r="R146" s="10">
        <f t="shared" si="12"/>
        <v>0.99906390331716222</v>
      </c>
      <c r="S146" s="5">
        <f t="shared" si="13"/>
        <v>12.134212023501492</v>
      </c>
    </row>
    <row r="147" spans="17:19">
      <c r="Q147" s="19">
        <f t="shared" si="14"/>
        <v>71.166666666666373</v>
      </c>
      <c r="R147" s="10">
        <f t="shared" si="12"/>
        <v>0.99905492372796956</v>
      </c>
      <c r="S147" s="5">
        <f t="shared" si="13"/>
        <v>12.101658453481756</v>
      </c>
    </row>
    <row r="148" spans="17:19">
      <c r="Q148" s="19">
        <f t="shared" si="14"/>
        <v>71.249999999999702</v>
      </c>
      <c r="R148" s="10">
        <f t="shared" si="12"/>
        <v>0.99904585632176235</v>
      </c>
      <c r="S148" s="5">
        <f t="shared" si="13"/>
        <v>12.069076186739066</v>
      </c>
    </row>
    <row r="149" spans="17:19">
      <c r="Q149" s="19">
        <f t="shared" si="14"/>
        <v>71.33333333333303</v>
      </c>
      <c r="R149" s="10">
        <f t="shared" si="12"/>
        <v>0.9990367002405327</v>
      </c>
      <c r="S149" s="5">
        <f t="shared" si="13"/>
        <v>12.036465574140024</v>
      </c>
    </row>
    <row r="150" spans="17:19">
      <c r="Q150" s="19">
        <f t="shared" si="14"/>
        <v>71.416666666666359</v>
      </c>
      <c r="R150" s="10">
        <f t="shared" si="12"/>
        <v>0.99902745461790565</v>
      </c>
      <c r="S150" s="5">
        <f t="shared" si="13"/>
        <v>12.003826968977206</v>
      </c>
    </row>
    <row r="151" spans="17:19">
      <c r="Q151" s="19">
        <f t="shared" si="14"/>
        <v>71.499999999999687</v>
      </c>
      <c r="R151" s="10">
        <f t="shared" si="12"/>
        <v>0.99901811857905742</v>
      </c>
      <c r="S151" s="5">
        <f t="shared" si="13"/>
        <v>11.97116072696565</v>
      </c>
    </row>
    <row r="152" spans="17:19">
      <c r="Q152" s="19">
        <f t="shared" si="14"/>
        <v>71.583333333333016</v>
      </c>
      <c r="R152" s="10">
        <f t="shared" si="12"/>
        <v>0.99900869124063407</v>
      </c>
      <c r="S152" s="5">
        <f t="shared" si="13"/>
        <v>11.938467206239103</v>
      </c>
    </row>
    <row r="153" spans="17:19">
      <c r="Q153" s="19">
        <f t="shared" si="14"/>
        <v>71.666666666666345</v>
      </c>
      <c r="R153" s="10">
        <f t="shared" si="12"/>
        <v>0.99899917171066821</v>
      </c>
      <c r="S153" s="5">
        <f t="shared" si="13"/>
        <v>11.905746767346058</v>
      </c>
    </row>
    <row r="154" spans="17:19">
      <c r="Q154" s="19">
        <f t="shared" si="14"/>
        <v>71.749999999999673</v>
      </c>
      <c r="R154" s="10">
        <f t="shared" si="12"/>
        <v>0.99898955908849518</v>
      </c>
      <c r="S154" s="5">
        <f t="shared" si="13"/>
        <v>11.872999773245548</v>
      </c>
    </row>
    <row r="155" spans="17:19">
      <c r="Q155" s="19">
        <f t="shared" si="14"/>
        <v>71.833333333333002</v>
      </c>
      <c r="R155" s="10">
        <f t="shared" si="12"/>
        <v>0.99897985246466903</v>
      </c>
      <c r="S155" s="5">
        <f t="shared" si="13"/>
        <v>11.840226589302729</v>
      </c>
    </row>
    <row r="156" spans="17:19">
      <c r="Q156" s="19">
        <f t="shared" si="14"/>
        <v>71.91666666666633</v>
      </c>
      <c r="R156" s="10">
        <f t="shared" si="12"/>
        <v>0.99897005092087754</v>
      </c>
      <c r="S156" s="5">
        <f t="shared" si="13"/>
        <v>11.807427583284214</v>
      </c>
    </row>
    <row r="157" spans="17:19">
      <c r="Q157" s="19">
        <f t="shared" si="14"/>
        <v>71.999999999999659</v>
      </c>
      <c r="R157" s="10">
        <f t="shared" si="12"/>
        <v>0.99896015352985457</v>
      </c>
      <c r="S157" s="5">
        <f t="shared" si="13"/>
        <v>11.774603125353185</v>
      </c>
    </row>
    <row r="158" spans="17:19">
      <c r="Q158" s="19">
        <f t="shared" si="14"/>
        <v>72.083333333332988</v>
      </c>
      <c r="R158" s="10">
        <f t="shared" si="12"/>
        <v>0.99895015935529519</v>
      </c>
      <c r="S158" s="5">
        <f t="shared" si="13"/>
        <v>11.741753588064272</v>
      </c>
    </row>
    <row r="159" spans="17:19">
      <c r="Q159" s="19">
        <f t="shared" si="14"/>
        <v>72.166666666666316</v>
      </c>
      <c r="R159" s="10">
        <f t="shared" si="12"/>
        <v>0.99894006745176656</v>
      </c>
      <c r="S159" s="5">
        <f t="shared" si="13"/>
        <v>11.708879346358197</v>
      </c>
    </row>
    <row r="160" spans="17:19">
      <c r="Q160" s="19">
        <f t="shared" si="14"/>
        <v>72.249999999999645</v>
      </c>
      <c r="R160" s="10">
        <f t="shared" si="12"/>
        <v>0.99892987686461954</v>
      </c>
      <c r="S160" s="5">
        <f t="shared" si="13"/>
        <v>11.675980777556168</v>
      </c>
    </row>
    <row r="161" spans="17:19">
      <c r="Q161" s="19">
        <f t="shared" si="14"/>
        <v>72.333333333332973</v>
      </c>
      <c r="R161" s="10">
        <f t="shared" si="12"/>
        <v>0.99891958662989977</v>
      </c>
      <c r="S161" s="5">
        <f t="shared" si="13"/>
        <v>11.643058261354049</v>
      </c>
    </row>
    <row r="162" spans="17:19">
      <c r="Q162" s="19">
        <f t="shared" si="14"/>
        <v>72.416666666666302</v>
      </c>
      <c r="R162" s="10">
        <f t="shared" si="12"/>
        <v>0.99890919577425641</v>
      </c>
      <c r="S162" s="5">
        <f t="shared" si="13"/>
        <v>11.610112179816291</v>
      </c>
    </row>
    <row r="163" spans="17:19">
      <c r="Q163" s="19">
        <f t="shared" si="14"/>
        <v>72.499999999999631</v>
      </c>
      <c r="R163" s="10">
        <f t="shared" si="12"/>
        <v>0.9988987033148522</v>
      </c>
      <c r="S163" s="5">
        <f t="shared" si="13"/>
        <v>11.577142917369601</v>
      </c>
    </row>
    <row r="164" spans="17:19">
      <c r="Q164" s="19">
        <f t="shared" si="14"/>
        <v>72.583333333332959</v>
      </c>
      <c r="R164" s="10">
        <f t="shared" si="12"/>
        <v>0.99888810825927021</v>
      </c>
      <c r="S164" s="5">
        <f t="shared" si="13"/>
        <v>11.544150860796387</v>
      </c>
    </row>
    <row r="165" spans="17:19">
      <c r="Q165" s="19">
        <f t="shared" si="14"/>
        <v>72.666666666666288</v>
      </c>
      <c r="R165" s="10">
        <f t="shared" si="12"/>
        <v>0.9988774096054216</v>
      </c>
      <c r="S165" s="5">
        <f t="shared" si="13"/>
        <v>11.511136399227947</v>
      </c>
    </row>
    <row r="166" spans="17:19">
      <c r="Q166" s="19">
        <f t="shared" si="14"/>
        <v>72.749999999999616</v>
      </c>
      <c r="R166" s="10">
        <f t="shared" si="12"/>
        <v>0.99886660634145141</v>
      </c>
      <c r="S166" s="5">
        <f t="shared" si="13"/>
        <v>11.478099924137414</v>
      </c>
    </row>
    <row r="167" spans="17:19">
      <c r="Q167" s="19">
        <f t="shared" si="14"/>
        <v>72.833333333332945</v>
      </c>
      <c r="R167" s="10">
        <f t="shared" si="12"/>
        <v>0.99885569744564418</v>
      </c>
      <c r="S167" s="5">
        <f t="shared" si="13"/>
        <v>11.445041829332455</v>
      </c>
    </row>
    <row r="168" spans="17:19">
      <c r="Q168" s="19">
        <f t="shared" si="14"/>
        <v>72.916666666666273</v>
      </c>
      <c r="R168" s="10">
        <f t="shared" si="12"/>
        <v>0.99884468188632791</v>
      </c>
      <c r="S168" s="5">
        <f t="shared" si="13"/>
        <v>11.411962510947712</v>
      </c>
    </row>
    <row r="169" spans="17:19">
      <c r="Q169" s="19">
        <f t="shared" si="14"/>
        <v>72.999999999999602</v>
      </c>
      <c r="R169" s="10">
        <f t="shared" si="12"/>
        <v>0.99883355862177781</v>
      </c>
      <c r="S169" s="5">
        <f t="shared" si="13"/>
        <v>11.378862367436996</v>
      </c>
    </row>
    <row r="170" spans="17:19">
      <c r="Q170" s="19">
        <f t="shared" si="14"/>
        <v>73.083333333332931</v>
      </c>
      <c r="R170" s="10">
        <f t="shared" si="12"/>
        <v>0.99882232660011827</v>
      </c>
      <c r="S170" s="5">
        <f t="shared" si="13"/>
        <v>11.345741799565229</v>
      </c>
    </row>
    <row r="171" spans="17:19">
      <c r="Q171" s="19">
        <f t="shared" si="14"/>
        <v>73.166666666666259</v>
      </c>
      <c r="R171" s="10">
        <f t="shared" si="12"/>
        <v>0.99881098475922525</v>
      </c>
      <c r="S171" s="5">
        <f t="shared" si="13"/>
        <v>11.31260121040013</v>
      </c>
    </row>
    <row r="172" spans="17:19">
      <c r="Q172" s="19">
        <f t="shared" si="14"/>
        <v>73.249999999999588</v>
      </c>
      <c r="R172" s="10">
        <f t="shared" si="12"/>
        <v>0.99879953202662608</v>
      </c>
      <c r="S172" s="5">
        <f t="shared" si="13"/>
        <v>11.279441005303644</v>
      </c>
    </row>
    <row r="173" spans="17:19">
      <c r="Q173" s="19">
        <f t="shared" si="14"/>
        <v>73.333333333332916</v>
      </c>
      <c r="R173" s="10">
        <f t="shared" si="12"/>
        <v>0.99878796731939967</v>
      </c>
      <c r="S173" s="5">
        <f t="shared" si="13"/>
        <v>11.24626159192311</v>
      </c>
    </row>
    <row r="174" spans="17:19">
      <c r="Q174" s="19">
        <f t="shared" si="14"/>
        <v>73.416666666666245</v>
      </c>
      <c r="R174" s="10">
        <f t="shared" si="12"/>
        <v>0.99877628954407494</v>
      </c>
      <c r="S174" s="5">
        <f t="shared" si="13"/>
        <v>11.213063380182177</v>
      </c>
    </row>
    <row r="175" spans="17:19">
      <c r="Q175" s="19">
        <f t="shared" si="14"/>
        <v>73.499999999999574</v>
      </c>
      <c r="R175" s="10">
        <f t="shared" si="12"/>
        <v>0.99876449759652852</v>
      </c>
      <c r="S175" s="5">
        <f t="shared" si="13"/>
        <v>11.179846782271452</v>
      </c>
    </row>
    <row r="176" spans="17:19">
      <c r="Q176" s="19">
        <f t="shared" si="14"/>
        <v>73.583333333332902</v>
      </c>
      <c r="R176" s="10">
        <f t="shared" si="12"/>
        <v>0.99875259036188169</v>
      </c>
      <c r="S176" s="5">
        <f t="shared" si="13"/>
        <v>11.146612212638892</v>
      </c>
    </row>
    <row r="177" spans="17:19">
      <c r="Q177" s="19">
        <f t="shared" si="14"/>
        <v>73.666666666666231</v>
      </c>
      <c r="R177" s="10">
        <f t="shared" si="12"/>
        <v>0.99874056671439582</v>
      </c>
      <c r="S177" s="5">
        <f t="shared" si="13"/>
        <v>11.113360087979929</v>
      </c>
    </row>
    <row r="178" spans="17:19">
      <c r="Q178" s="19">
        <f t="shared" si="14"/>
        <v>73.749999999999559</v>
      </c>
      <c r="R178" s="10">
        <f t="shared" si="12"/>
        <v>0.9987284255173674</v>
      </c>
      <c r="S178" s="5">
        <f t="shared" si="13"/>
        <v>11.080090827227327</v>
      </c>
    </row>
    <row r="179" spans="17:19">
      <c r="Q179" s="19">
        <f t="shared" si="14"/>
        <v>73.833333333332888</v>
      </c>
      <c r="R179" s="10">
        <f t="shared" si="12"/>
        <v>0.9987161656230219</v>
      </c>
      <c r="S179" s="5">
        <f t="shared" si="13"/>
        <v>11.046804851540788</v>
      </c>
    </row>
    <row r="180" spans="17:19">
      <c r="Q180" s="19">
        <f t="shared" si="14"/>
        <v>73.916666666666217</v>
      </c>
      <c r="R180" s="10">
        <f t="shared" si="12"/>
        <v>0.99870378587240594</v>
      </c>
      <c r="S180" s="5">
        <f t="shared" si="13"/>
        <v>11.013502584296271</v>
      </c>
    </row>
    <row r="181" spans="17:19">
      <c r="Q181" s="19">
        <f t="shared" si="14"/>
        <v>73.999999999999545</v>
      </c>
      <c r="R181" s="10">
        <f t="shared" si="12"/>
        <v>0.99869128509527949</v>
      </c>
      <c r="S181" s="5">
        <f t="shared" si="13"/>
        <v>10.980184451075054</v>
      </c>
    </row>
    <row r="182" spans="17:19">
      <c r="Q182" s="19">
        <f t="shared" si="14"/>
        <v>74.083333333332874</v>
      </c>
      <c r="R182" s="10">
        <f t="shared" si="12"/>
        <v>0.99867866211000633</v>
      </c>
      <c r="S182" s="5">
        <f t="shared" si="13"/>
        <v>10.946850879652523</v>
      </c>
    </row>
    <row r="183" spans="17:19">
      <c r="Q183" s="19">
        <f t="shared" si="14"/>
        <v>74.166666666666202</v>
      </c>
      <c r="R183" s="10">
        <f t="shared" si="12"/>
        <v>0.99866591572344354</v>
      </c>
      <c r="S183" s="5">
        <f t="shared" si="13"/>
        <v>10.913502299986694</v>
      </c>
    </row>
    <row r="184" spans="17:19">
      <c r="Q184" s="19">
        <f t="shared" si="14"/>
        <v>74.249999999999531</v>
      </c>
      <c r="R184" s="10">
        <f t="shared" si="12"/>
        <v>0.99865304473083039</v>
      </c>
      <c r="S184" s="5">
        <f t="shared" si="13"/>
        <v>10.880139144206463</v>
      </c>
    </row>
    <row r="185" spans="17:19">
      <c r="Q185" s="19">
        <f t="shared" si="14"/>
        <v>74.33333333333286</v>
      </c>
      <c r="R185" s="10">
        <f t="shared" si="12"/>
        <v>0.99864004791567573</v>
      </c>
      <c r="S185" s="5">
        <f t="shared" si="13"/>
        <v>10.846761846599566</v>
      </c>
    </row>
    <row r="186" spans="17:19">
      <c r="Q186" s="19">
        <f t="shared" si="14"/>
        <v>74.416666666666188</v>
      </c>
      <c r="R186" s="10">
        <f t="shared" si="12"/>
        <v>0.9986269240496437</v>
      </c>
      <c r="S186" s="5">
        <f t="shared" si="13"/>
        <v>10.813370843600293</v>
      </c>
    </row>
    <row r="187" spans="17:19">
      <c r="Q187" s="19">
        <f t="shared" si="14"/>
        <v>74.499999999999517</v>
      </c>
      <c r="R187" s="10">
        <f t="shared" si="12"/>
        <v>0.99861367189244021</v>
      </c>
      <c r="S187" s="5">
        <f t="shared" si="13"/>
        <v>10.779966573776903</v>
      </c>
    </row>
    <row r="188" spans="17:19">
      <c r="Q188" s="19">
        <f t="shared" si="14"/>
        <v>74.583333333332845</v>
      </c>
      <c r="R188" s="10">
        <f t="shared" si="12"/>
        <v>0.99860029019169616</v>
      </c>
      <c r="S188" s="5">
        <f t="shared" si="13"/>
        <v>10.746549477818782</v>
      </c>
    </row>
    <row r="189" spans="17:19">
      <c r="Q189" s="19">
        <f t="shared" si="14"/>
        <v>74.666666666666174</v>
      </c>
      <c r="R189" s="10">
        <f t="shared" si="12"/>
        <v>0.99858677768285131</v>
      </c>
      <c r="S189" s="5">
        <f t="shared" si="13"/>
        <v>10.713119998523306</v>
      </c>
    </row>
    <row r="190" spans="17:19">
      <c r="Q190" s="19">
        <f t="shared" si="14"/>
        <v>74.749999999999503</v>
      </c>
      <c r="R190" s="10">
        <f t="shared" si="12"/>
        <v>0.99857313308903561</v>
      </c>
      <c r="S190" s="5">
        <f t="shared" si="13"/>
        <v>10.679678580782427</v>
      </c>
    </row>
    <row r="191" spans="17:19">
      <c r="Q191" s="19">
        <f t="shared" si="14"/>
        <v>74.833333333332831</v>
      </c>
      <c r="R191" s="10">
        <f t="shared" si="12"/>
        <v>0.99855935512095051</v>
      </c>
      <c r="S191" s="5">
        <f t="shared" si="13"/>
        <v>10.646225671569002</v>
      </c>
    </row>
    <row r="192" spans="17:19">
      <c r="Q192" s="19">
        <f t="shared" si="14"/>
        <v>74.91666666666616</v>
      </c>
      <c r="R192" s="10">
        <f t="shared" si="12"/>
        <v>0.99854544247674837</v>
      </c>
      <c r="S192" s="5">
        <f t="shared" si="13"/>
        <v>10.612761719922814</v>
      </c>
    </row>
    <row r="193" spans="17:19">
      <c r="Q193" s="19">
        <f t="shared" si="14"/>
        <v>74.999999999999488</v>
      </c>
      <c r="R193" s="10">
        <f t="shared" si="12"/>
        <v>0.99853139384191147</v>
      </c>
      <c r="S193" s="5">
        <f t="shared" si="13"/>
        <v>10.579287176936324</v>
      </c>
    </row>
    <row r="194" spans="17:19">
      <c r="Q194" s="19">
        <f t="shared" si="14"/>
        <v>75.083333333332817</v>
      </c>
      <c r="R194" s="10">
        <f t="shared" si="12"/>
        <v>0.99851720788912879</v>
      </c>
      <c r="S194" s="5">
        <f t="shared" si="13"/>
        <v>10.545802495740146</v>
      </c>
    </row>
    <row r="195" spans="17:19">
      <c r="Q195" s="19">
        <f t="shared" si="14"/>
        <v>75.166666666666146</v>
      </c>
      <c r="R195" s="10">
        <f t="shared" si="12"/>
        <v>0.99850288327817305</v>
      </c>
      <c r="S195" s="5">
        <f t="shared" si="13"/>
        <v>10.512308131488231</v>
      </c>
    </row>
    <row r="196" spans="17:19">
      <c r="Q196" s="19">
        <f t="shared" si="14"/>
        <v>75.249999999999474</v>
      </c>
      <c r="R196" s="10">
        <f t="shared" si="12"/>
        <v>0.99848841865577453</v>
      </c>
      <c r="S196" s="5">
        <f t="shared" si="13"/>
        <v>10.478804541342768</v>
      </c>
    </row>
    <row r="197" spans="17:19">
      <c r="Q197" s="19">
        <f t="shared" si="14"/>
        <v>75.333333333332803</v>
      </c>
      <c r="R197" s="10">
        <f t="shared" si="12"/>
        <v>0.99847381265549662</v>
      </c>
      <c r="S197" s="5">
        <f t="shared" si="13"/>
        <v>10.445292184458809</v>
      </c>
    </row>
    <row r="198" spans="17:19">
      <c r="Q198" s="19">
        <f t="shared" si="14"/>
        <v>75.416666666666131</v>
      </c>
      <c r="R198" s="10">
        <f t="shared" si="12"/>
        <v>0.99845906389760697</v>
      </c>
      <c r="S198" s="5">
        <f t="shared" si="13"/>
        <v>10.411771521968603</v>
      </c>
    </row>
    <row r="199" spans="17:19">
      <c r="Q199" s="19">
        <f t="shared" si="14"/>
        <v>75.49999999999946</v>
      </c>
      <c r="R199" s="10">
        <f t="shared" si="12"/>
        <v>0.99844417098894978</v>
      </c>
      <c r="S199" s="5">
        <f t="shared" si="13"/>
        <v>10.378243016965639</v>
      </c>
    </row>
    <row r="200" spans="17:19">
      <c r="Q200" s="19">
        <f t="shared" si="14"/>
        <v>75.583333333332789</v>
      </c>
      <c r="R200" s="10">
        <f t="shared" si="12"/>
        <v>0.99842913252281562</v>
      </c>
      <c r="S200" s="5">
        <f t="shared" si="13"/>
        <v>10.344707134488411</v>
      </c>
    </row>
    <row r="201" spans="17:19">
      <c r="Q201" s="19">
        <f t="shared" si="14"/>
        <v>75.666666666666117</v>
      </c>
      <c r="R201" s="10">
        <f t="shared" si="12"/>
        <v>0.99841394707881048</v>
      </c>
      <c r="S201" s="5">
        <f t="shared" si="13"/>
        <v>10.311164341503904</v>
      </c>
    </row>
    <row r="202" spans="17:19">
      <c r="Q202" s="19">
        <f t="shared" si="14"/>
        <v>75.749999999999446</v>
      </c>
      <c r="R202" s="10">
        <f t="shared" si="12"/>
        <v>0.99839861322272383</v>
      </c>
      <c r="S202" s="5">
        <f t="shared" si="13"/>
        <v>10.277615106890771</v>
      </c>
    </row>
    <row r="203" spans="17:19">
      <c r="Q203" s="19">
        <f t="shared" si="14"/>
        <v>75.833333333332774</v>
      </c>
      <c r="R203" s="10">
        <f t="shared" si="12"/>
        <v>0.99838312950639452</v>
      </c>
      <c r="S203" s="5">
        <f t="shared" si="13"/>
        <v>10.24405990142224</v>
      </c>
    </row>
    <row r="204" spans="17:19">
      <c r="Q204" s="19">
        <f t="shared" si="14"/>
        <v>75.916666666666103</v>
      </c>
      <c r="R204" s="10">
        <f t="shared" si="12"/>
        <v>0.99836749446757633</v>
      </c>
      <c r="S204" s="5">
        <f t="shared" si="13"/>
        <v>10.210499197748726</v>
      </c>
    </row>
    <row r="205" spans="17:19">
      <c r="Q205" s="19">
        <f t="shared" si="14"/>
        <v>75.999999999999432</v>
      </c>
      <c r="R205" s="10">
        <f t="shared" si="12"/>
        <v>0.99835170662980177</v>
      </c>
      <c r="S205" s="5">
        <f t="shared" si="13"/>
        <v>10.17693347038016</v>
      </c>
    </row>
    <row r="206" spans="17:19">
      <c r="Q206" s="19">
        <f t="shared" si="14"/>
        <v>76.08333333333276</v>
      </c>
      <c r="R206" s="10">
        <f t="shared" ref="R206:R269" si="15">(R$9^(1/12))*R$10^((R$8^(Q206))*((R$8^(1/12))-1))</f>
        <v>0.99833576450224482</v>
      </c>
      <c r="S206" s="5">
        <f t="shared" ref="S206:S269" si="16">(1/12)+R206*S207/((1+B$3)^(1/12))</f>
        <v>10.143363195668016</v>
      </c>
    </row>
    <row r="207" spans="17:19">
      <c r="Q207" s="19">
        <f t="shared" ref="Q207:Q270" si="17">Q206+1/12</f>
        <v>76.166666666666089</v>
      </c>
      <c r="R207" s="10">
        <f t="shared" si="15"/>
        <v>0.99831966657958193</v>
      </c>
      <c r="S207" s="5">
        <f t="shared" si="16"/>
        <v>10.109788851787069</v>
      </c>
    </row>
    <row r="208" spans="17:19">
      <c r="Q208" s="19">
        <f t="shared" si="17"/>
        <v>76.249999999999417</v>
      </c>
      <c r="R208" s="10">
        <f t="shared" si="15"/>
        <v>0.99830341134185252</v>
      </c>
      <c r="S208" s="5">
        <f t="shared" si="16"/>
        <v>10.076210918716846</v>
      </c>
    </row>
    <row r="209" spans="17:19">
      <c r="Q209" s="19">
        <f t="shared" si="17"/>
        <v>76.333333333332746</v>
      </c>
      <c r="R209" s="10">
        <f t="shared" si="15"/>
        <v>0.99828699725431658</v>
      </c>
      <c r="S209" s="5">
        <f t="shared" si="16"/>
        <v>10.042629878222792</v>
      </c>
    </row>
    <row r="210" spans="17:19">
      <c r="Q210" s="19">
        <f t="shared" si="17"/>
        <v>76.416666666666075</v>
      </c>
      <c r="R210" s="10">
        <f t="shared" si="15"/>
        <v>0.99827042276731348</v>
      </c>
      <c r="S210" s="5">
        <f t="shared" si="16"/>
        <v>10.009046213837154</v>
      </c>
    </row>
    <row r="211" spans="17:19">
      <c r="Q211" s="19">
        <f t="shared" si="17"/>
        <v>76.499999999999403</v>
      </c>
      <c r="R211" s="10">
        <f t="shared" si="15"/>
        <v>0.99825368631611655</v>
      </c>
      <c r="S211" s="5">
        <f t="shared" si="16"/>
        <v>9.9754604108395633</v>
      </c>
    </row>
    <row r="212" spans="17:19">
      <c r="Q212" s="19">
        <f t="shared" si="17"/>
        <v>76.583333333332732</v>
      </c>
      <c r="R212" s="10">
        <f t="shared" si="15"/>
        <v>0.99823678632078827</v>
      </c>
      <c r="S212" s="5">
        <f t="shared" si="16"/>
        <v>9.9418729562373365</v>
      </c>
    </row>
    <row r="213" spans="17:19">
      <c r="Q213" s="19">
        <f t="shared" si="17"/>
        <v>76.66666666666606</v>
      </c>
      <c r="R213" s="10">
        <f t="shared" si="15"/>
        <v>0.99821972118603353</v>
      </c>
      <c r="S213" s="5">
        <f t="shared" si="16"/>
        <v>9.9082843387454833</v>
      </c>
    </row>
    <row r="214" spans="17:19">
      <c r="Q214" s="19">
        <f t="shared" si="17"/>
        <v>76.749999999999389</v>
      </c>
      <c r="R214" s="10">
        <f t="shared" si="15"/>
        <v>0.99820248930105093</v>
      </c>
      <c r="S214" s="5">
        <f t="shared" si="16"/>
        <v>9.8746950487664211</v>
      </c>
    </row>
    <row r="215" spans="17:19">
      <c r="Q215" s="19">
        <f t="shared" si="17"/>
        <v>76.833333333332718</v>
      </c>
      <c r="R215" s="10">
        <f t="shared" si="15"/>
        <v>0.99818508903938374</v>
      </c>
      <c r="S215" s="5">
        <f t="shared" si="16"/>
        <v>9.8411055783694064</v>
      </c>
    </row>
    <row r="216" spans="17:19">
      <c r="Q216" s="19">
        <f t="shared" si="17"/>
        <v>76.916666666666046</v>
      </c>
      <c r="R216" s="10">
        <f t="shared" si="15"/>
        <v>0.99816751875876863</v>
      </c>
      <c r="S216" s="5">
        <f t="shared" si="16"/>
        <v>9.8075164212696695</v>
      </c>
    </row>
    <row r="217" spans="17:19">
      <c r="Q217" s="19">
        <f t="shared" si="17"/>
        <v>76.999999999999375</v>
      </c>
      <c r="R217" s="10">
        <f t="shared" si="15"/>
        <v>0.99814977680098282</v>
      </c>
      <c r="S217" s="5">
        <f t="shared" si="16"/>
        <v>9.7739280728072639</v>
      </c>
    </row>
    <row r="218" spans="17:19">
      <c r="Q218" s="19">
        <f t="shared" si="17"/>
        <v>77.083333333332703</v>
      </c>
      <c r="R218" s="10">
        <f t="shared" si="15"/>
        <v>0.99813186149169064</v>
      </c>
      <c r="S218" s="5">
        <f t="shared" si="16"/>
        <v>9.7403410299256219</v>
      </c>
    </row>
    <row r="219" spans="17:19">
      <c r="Q219" s="19">
        <f t="shared" si="17"/>
        <v>77.166666666666032</v>
      </c>
      <c r="R219" s="10">
        <f t="shared" si="15"/>
        <v>0.99811377114028799</v>
      </c>
      <c r="S219" s="5">
        <f t="shared" si="16"/>
        <v>9.7067557911498259</v>
      </c>
    </row>
    <row r="220" spans="17:19">
      <c r="Q220" s="19">
        <f t="shared" si="17"/>
        <v>77.249999999999361</v>
      </c>
      <c r="R220" s="10">
        <f t="shared" si="15"/>
        <v>0.99809550403974523</v>
      </c>
      <c r="S220" s="5">
        <f t="shared" si="16"/>
        <v>9.6731728565645874</v>
      </c>
    </row>
    <row r="221" spans="17:19">
      <c r="Q221" s="19">
        <f t="shared" si="17"/>
        <v>77.333333333332689</v>
      </c>
      <c r="R221" s="10">
        <f t="shared" si="15"/>
        <v>0.99807705846644945</v>
      </c>
      <c r="S221" s="5">
        <f t="shared" si="16"/>
        <v>9.6395927277919409</v>
      </c>
    </row>
    <row r="222" spans="17:19">
      <c r="Q222" s="19">
        <f t="shared" si="17"/>
        <v>77.416666666666018</v>
      </c>
      <c r="R222" s="10">
        <f t="shared" si="15"/>
        <v>0.99805843268004391</v>
      </c>
      <c r="S222" s="5">
        <f t="shared" si="16"/>
        <v>9.6060159079686382</v>
      </c>
    </row>
    <row r="223" spans="17:19">
      <c r="Q223" s="19">
        <f t="shared" si="17"/>
        <v>77.499999999999346</v>
      </c>
      <c r="R223" s="10">
        <f t="shared" si="15"/>
        <v>0.99803962492326692</v>
      </c>
      <c r="S223" s="5">
        <f t="shared" si="16"/>
        <v>9.5724429017232708</v>
      </c>
    </row>
    <row r="224" spans="17:19">
      <c r="Q224" s="19">
        <f t="shared" si="17"/>
        <v>77.583333333332675</v>
      </c>
      <c r="R224" s="10">
        <f t="shared" si="15"/>
        <v>0.99802063342178893</v>
      </c>
      <c r="S224" s="5">
        <f t="shared" si="16"/>
        <v>9.5388742151530987</v>
      </c>
    </row>
    <row r="225" spans="17:19">
      <c r="Q225" s="19">
        <f t="shared" si="17"/>
        <v>77.666666666666003</v>
      </c>
      <c r="R225" s="10">
        <f t="shared" si="15"/>
        <v>0.99800145638404836</v>
      </c>
      <c r="S225" s="5">
        <f t="shared" si="16"/>
        <v>9.5053103558005816</v>
      </c>
    </row>
    <row r="226" spans="17:19">
      <c r="Q226" s="19">
        <f t="shared" si="17"/>
        <v>77.749999999999332</v>
      </c>
      <c r="R226" s="10">
        <f t="shared" si="15"/>
        <v>0.99798209200108512</v>
      </c>
      <c r="S226" s="5">
        <f t="shared" si="16"/>
        <v>9.4717518326296428</v>
      </c>
    </row>
    <row r="227" spans="17:19">
      <c r="Q227" s="19">
        <f t="shared" si="17"/>
        <v>77.833333333332661</v>
      </c>
      <c r="R227" s="10">
        <f t="shared" si="15"/>
        <v>0.99796253844637328</v>
      </c>
      <c r="S227" s="5">
        <f t="shared" si="16"/>
        <v>9.4381991560016338</v>
      </c>
    </row>
    <row r="228" spans="17:19">
      <c r="Q228" s="19">
        <f t="shared" si="17"/>
        <v>77.916666666665989</v>
      </c>
      <c r="R228" s="10">
        <f t="shared" si="15"/>
        <v>0.99794279387565188</v>
      </c>
      <c r="S228" s="5">
        <f t="shared" si="16"/>
        <v>9.4046528376510228</v>
      </c>
    </row>
    <row r="229" spans="17:19">
      <c r="Q229" s="19">
        <f t="shared" si="17"/>
        <v>77.999999999999318</v>
      </c>
      <c r="R229" s="10">
        <f t="shared" si="15"/>
        <v>0.99792285642675427</v>
      </c>
      <c r="S229" s="5">
        <f t="shared" si="16"/>
        <v>9.3711133906607884</v>
      </c>
    </row>
    <row r="230" spans="17:19">
      <c r="Q230" s="19">
        <f t="shared" si="17"/>
        <v>78.083333333332646</v>
      </c>
      <c r="R230" s="10">
        <f t="shared" si="15"/>
        <v>0.99790272421943527</v>
      </c>
      <c r="S230" s="5">
        <f t="shared" si="16"/>
        <v>9.3375813294375405</v>
      </c>
    </row>
    <row r="231" spans="17:19">
      <c r="Q231" s="19">
        <f t="shared" si="17"/>
        <v>78.166666666665975</v>
      </c>
      <c r="R231" s="10">
        <f t="shared" si="15"/>
        <v>0.99788239535519796</v>
      </c>
      <c r="S231" s="5">
        <f t="shared" si="16"/>
        <v>9.3040571696863612</v>
      </c>
    </row>
    <row r="232" spans="17:19">
      <c r="Q232" s="19">
        <f t="shared" si="17"/>
        <v>78.249999999999304</v>
      </c>
      <c r="R232" s="10">
        <f t="shared" si="15"/>
        <v>0.99786186791711717</v>
      </c>
      <c r="S232" s="5">
        <f t="shared" si="16"/>
        <v>9.2705414283853447</v>
      </c>
    </row>
    <row r="233" spans="17:19">
      <c r="Q233" s="19">
        <f t="shared" si="17"/>
        <v>78.333333333332632</v>
      </c>
      <c r="R233" s="10">
        <f t="shared" si="15"/>
        <v>0.99784113996966273</v>
      </c>
      <c r="S233" s="5">
        <f t="shared" si="16"/>
        <v>9.2370346237598824</v>
      </c>
    </row>
    <row r="234" spans="17:19">
      <c r="Q234" s="19">
        <f t="shared" si="17"/>
        <v>78.416666666665961</v>
      </c>
      <c r="R234" s="10">
        <f t="shared" si="15"/>
        <v>0.99782020955852002</v>
      </c>
      <c r="S234" s="5">
        <f t="shared" si="16"/>
        <v>9.2035372752566555</v>
      </c>
    </row>
    <row r="235" spans="17:19">
      <c r="Q235" s="19">
        <f t="shared" si="17"/>
        <v>78.499999999999289</v>
      </c>
      <c r="R235" s="10">
        <f t="shared" si="15"/>
        <v>0.99779907471040996</v>
      </c>
      <c r="S235" s="5">
        <f t="shared" si="16"/>
        <v>9.1700499035173451</v>
      </c>
    </row>
    <row r="236" spans="17:19">
      <c r="Q236" s="19">
        <f t="shared" si="17"/>
        <v>78.583333333332618</v>
      </c>
      <c r="R236" s="10">
        <f t="shared" si="15"/>
        <v>0.99777773343290566</v>
      </c>
      <c r="S236" s="5">
        <f t="shared" si="16"/>
        <v>9.1365730303520767</v>
      </c>
    </row>
    <row r="237" spans="17:19">
      <c r="Q237" s="19">
        <f t="shared" si="17"/>
        <v>78.666666666665947</v>
      </c>
      <c r="R237" s="10">
        <f t="shared" si="15"/>
        <v>0.99775618371424912</v>
      </c>
      <c r="S237" s="5">
        <f t="shared" si="16"/>
        <v>9.1031071787125839</v>
      </c>
    </row>
    <row r="238" spans="17:19">
      <c r="Q238" s="19">
        <f t="shared" si="17"/>
        <v>78.749999999999275</v>
      </c>
      <c r="R238" s="10">
        <f t="shared" si="15"/>
        <v>0.99773442352316533</v>
      </c>
      <c r="S238" s="5">
        <f t="shared" si="16"/>
        <v>9.0696528726650989</v>
      </c>
    </row>
    <row r="239" spans="17:19">
      <c r="Q239" s="19">
        <f t="shared" si="17"/>
        <v>78.833333333332604</v>
      </c>
      <c r="R239" s="10">
        <f t="shared" si="15"/>
        <v>0.99771245080867366</v>
      </c>
      <c r="S239" s="5">
        <f t="shared" si="16"/>
        <v>9.0362106373629594</v>
      </c>
    </row>
    <row r="240" spans="17:19">
      <c r="Q240" s="19">
        <f t="shared" si="17"/>
        <v>78.916666666665932</v>
      </c>
      <c r="R240" s="10">
        <f t="shared" si="15"/>
        <v>0.99769026349990009</v>
      </c>
      <c r="S240" s="5">
        <f t="shared" si="16"/>
        <v>9.0027809990189667</v>
      </c>
    </row>
    <row r="241" spans="17:19">
      <c r="Q241" s="19">
        <f t="shared" si="17"/>
        <v>78.999999999999261</v>
      </c>
      <c r="R241" s="10">
        <f t="shared" si="15"/>
        <v>0.99766785950588455</v>
      </c>
      <c r="S241" s="5">
        <f t="shared" si="16"/>
        <v>8.9693644848774507</v>
      </c>
    </row>
    <row r="242" spans="17:19">
      <c r="Q242" s="19">
        <f t="shared" si="17"/>
        <v>79.08333333333259</v>
      </c>
      <c r="R242" s="10">
        <f t="shared" si="15"/>
        <v>0.99764523671538874</v>
      </c>
      <c r="S242" s="5">
        <f t="shared" si="16"/>
        <v>8.9359616231860794</v>
      </c>
    </row>
    <row r="243" spans="17:19">
      <c r="Q243" s="19">
        <f t="shared" si="17"/>
        <v>79.166666666665918</v>
      </c>
      <c r="R243" s="10">
        <f t="shared" si="15"/>
        <v>0.99762239299670163</v>
      </c>
      <c r="S243" s="5">
        <f t="shared" si="16"/>
        <v>8.9025729431674012</v>
      </c>
    </row>
    <row r="244" spans="17:19">
      <c r="Q244" s="19">
        <f t="shared" si="17"/>
        <v>79.249999999999247</v>
      </c>
      <c r="R244" s="10">
        <f t="shared" si="15"/>
        <v>0.99759932619744196</v>
      </c>
      <c r="S244" s="5">
        <f t="shared" si="16"/>
        <v>8.869198974990109</v>
      </c>
    </row>
    <row r="245" spans="17:19">
      <c r="Q245" s="19">
        <f t="shared" si="17"/>
        <v>79.333333333332575</v>
      </c>
      <c r="R245" s="10">
        <f t="shared" si="15"/>
        <v>0.99757603414436014</v>
      </c>
      <c r="S245" s="5">
        <f t="shared" si="16"/>
        <v>8.8358402497400608</v>
      </c>
    </row>
    <row r="246" spans="17:19">
      <c r="Q246" s="19">
        <f t="shared" si="17"/>
        <v>79.416666666665904</v>
      </c>
      <c r="R246" s="10">
        <f t="shared" si="15"/>
        <v>0.99755251464313854</v>
      </c>
      <c r="S246" s="5">
        <f t="shared" si="16"/>
        <v>8.8024972993910247</v>
      </c>
    </row>
    <row r="247" spans="17:19">
      <c r="Q247" s="19">
        <f t="shared" si="17"/>
        <v>79.499999999999233</v>
      </c>
      <c r="R247" s="10">
        <f t="shared" si="15"/>
        <v>0.99752876547818803</v>
      </c>
      <c r="S247" s="5">
        <f t="shared" si="16"/>
        <v>8.7691706567751666</v>
      </c>
    </row>
    <row r="248" spans="17:19">
      <c r="Q248" s="19">
        <f t="shared" si="17"/>
        <v>79.583333333332561</v>
      </c>
      <c r="R248" s="10">
        <f t="shared" si="15"/>
        <v>0.99750478441244539</v>
      </c>
      <c r="S248" s="5">
        <f t="shared" si="16"/>
        <v>8.7358608555532804</v>
      </c>
    </row>
    <row r="249" spans="17:19">
      <c r="Q249" s="19">
        <f t="shared" si="17"/>
        <v>79.66666666666589</v>
      </c>
      <c r="R249" s="10">
        <f t="shared" si="15"/>
        <v>0.99748056918716566</v>
      </c>
      <c r="S249" s="5">
        <f t="shared" si="16"/>
        <v>8.7025684301847654</v>
      </c>
    </row>
    <row r="250" spans="17:19">
      <c r="Q250" s="19">
        <f t="shared" si="17"/>
        <v>79.749999999999218</v>
      </c>
      <c r="R250" s="10">
        <f t="shared" si="15"/>
        <v>0.99745611752171559</v>
      </c>
      <c r="S250" s="5">
        <f t="shared" si="16"/>
        <v>8.6692939158973488</v>
      </c>
    </row>
    <row r="251" spans="17:19">
      <c r="Q251" s="19">
        <f t="shared" si="17"/>
        <v>79.833333333332547</v>
      </c>
      <c r="R251" s="10">
        <f t="shared" si="15"/>
        <v>0.99743142711336263</v>
      </c>
      <c r="S251" s="5">
        <f t="shared" si="16"/>
        <v>8.6360378486565459</v>
      </c>
    </row>
    <row r="252" spans="17:19">
      <c r="Q252" s="19">
        <f t="shared" si="17"/>
        <v>79.916666666665876</v>
      </c>
      <c r="R252" s="10">
        <f t="shared" si="15"/>
        <v>0.99740649563706396</v>
      </c>
      <c r="S252" s="5">
        <f t="shared" si="16"/>
        <v>8.6028007651348872</v>
      </c>
    </row>
    <row r="253" spans="17:19">
      <c r="Q253" s="19">
        <f t="shared" si="17"/>
        <v>79.999999999999204</v>
      </c>
      <c r="R253" s="10">
        <f t="shared" si="15"/>
        <v>0.99738132074525176</v>
      </c>
      <c r="S253" s="5">
        <f t="shared" si="16"/>
        <v>8.5695832026808869</v>
      </c>
    </row>
    <row r="254" spans="17:19">
      <c r="Q254" s="19">
        <f t="shared" si="17"/>
        <v>80.083333333332533</v>
      </c>
      <c r="R254" s="10">
        <f t="shared" si="15"/>
        <v>0.99735590006761798</v>
      </c>
      <c r="S254" s="5">
        <f t="shared" si="16"/>
        <v>8.5363856992877718</v>
      </c>
    </row>
    <row r="255" spans="17:19">
      <c r="Q255" s="19">
        <f t="shared" si="17"/>
        <v>80.166666666665861</v>
      </c>
      <c r="R255" s="10">
        <f t="shared" si="15"/>
        <v>0.99733023121089592</v>
      </c>
      <c r="S255" s="5">
        <f t="shared" si="16"/>
        <v>8.50320879356196</v>
      </c>
    </row>
    <row r="256" spans="17:19">
      <c r="Q256" s="19">
        <f t="shared" si="17"/>
        <v>80.24999999999919</v>
      </c>
      <c r="R256" s="10">
        <f t="shared" si="15"/>
        <v>0.99730431175864087</v>
      </c>
      <c r="S256" s="5">
        <f t="shared" si="16"/>
        <v>8.4700530246913139</v>
      </c>
    </row>
    <row r="257" spans="17:19">
      <c r="Q257" s="19">
        <f t="shared" si="17"/>
        <v>80.333333333332519</v>
      </c>
      <c r="R257" s="10">
        <f t="shared" si="15"/>
        <v>0.99727813927100739</v>
      </c>
      <c r="S257" s="5">
        <f t="shared" si="16"/>
        <v>8.4369189324131373</v>
      </c>
    </row>
    <row r="258" spans="17:19">
      <c r="Q258" s="19">
        <f t="shared" si="17"/>
        <v>80.416666666665847</v>
      </c>
      <c r="R258" s="10">
        <f t="shared" si="15"/>
        <v>0.99725171128452594</v>
      </c>
      <c r="S258" s="5">
        <f t="shared" si="16"/>
        <v>8.403807056981945</v>
      </c>
    </row>
    <row r="259" spans="17:19">
      <c r="Q259" s="19">
        <f t="shared" si="17"/>
        <v>80.499999999999176</v>
      </c>
      <c r="R259" s="10">
        <f t="shared" si="15"/>
        <v>0.99722502531187618</v>
      </c>
      <c r="S259" s="5">
        <f t="shared" si="16"/>
        <v>8.3707179391370055</v>
      </c>
    </row>
    <row r="260" spans="17:19">
      <c r="Q260" s="19">
        <f t="shared" si="17"/>
        <v>80.583333333332504</v>
      </c>
      <c r="R260" s="10">
        <f t="shared" si="15"/>
        <v>0.9971980788416589</v>
      </c>
      <c r="S260" s="5">
        <f t="shared" si="16"/>
        <v>8.3376521200696487</v>
      </c>
    </row>
    <row r="261" spans="17:19">
      <c r="Q261" s="19">
        <f t="shared" si="17"/>
        <v>80.666666666665833</v>
      </c>
      <c r="R261" s="10">
        <f t="shared" si="15"/>
        <v>0.99717086933816534</v>
      </c>
      <c r="S261" s="5">
        <f t="shared" si="16"/>
        <v>8.3046101413903397</v>
      </c>
    </row>
    <row r="262" spans="17:19">
      <c r="Q262" s="19">
        <f t="shared" si="17"/>
        <v>80.749999999999162</v>
      </c>
      <c r="R262" s="10">
        <f t="shared" si="15"/>
        <v>0.99714339424114506</v>
      </c>
      <c r="S262" s="5">
        <f t="shared" si="16"/>
        <v>8.2715925450955439</v>
      </c>
    </row>
    <row r="263" spans="17:19">
      <c r="Q263" s="19">
        <f t="shared" si="17"/>
        <v>80.83333333333249</v>
      </c>
      <c r="R263" s="10">
        <f t="shared" si="15"/>
        <v>0.99711565096557109</v>
      </c>
      <c r="S263" s="5">
        <f t="shared" si="16"/>
        <v>8.2385998735343531</v>
      </c>
    </row>
    <row r="264" spans="17:19">
      <c r="Q264" s="19">
        <f t="shared" si="17"/>
        <v>80.916666666665819</v>
      </c>
      <c r="R264" s="10">
        <f t="shared" si="15"/>
        <v>0.99708763690140234</v>
      </c>
      <c r="S264" s="5">
        <f t="shared" si="16"/>
        <v>8.2056326693749</v>
      </c>
    </row>
    <row r="265" spans="17:19">
      <c r="Q265" s="19">
        <f t="shared" si="17"/>
        <v>80.999999999999147</v>
      </c>
      <c r="R265" s="10">
        <f t="shared" si="15"/>
        <v>0.99705934941334518</v>
      </c>
      <c r="S265" s="5">
        <f t="shared" si="16"/>
        <v>8.1726914755705682</v>
      </c>
    </row>
    <row r="266" spans="17:19">
      <c r="Q266" s="19">
        <f t="shared" si="17"/>
        <v>81.083333333332476</v>
      </c>
      <c r="R266" s="10">
        <f t="shared" si="15"/>
        <v>0.997030785840612</v>
      </c>
      <c r="S266" s="5">
        <f t="shared" si="16"/>
        <v>8.1397768353259714</v>
      </c>
    </row>
    <row r="267" spans="17:19">
      <c r="Q267" s="19">
        <f t="shared" si="17"/>
        <v>81.166666666665805</v>
      </c>
      <c r="R267" s="10">
        <f t="shared" si="15"/>
        <v>0.99700194349667703</v>
      </c>
      <c r="S267" s="5">
        <f t="shared" si="16"/>
        <v>8.106889292062732</v>
      </c>
    </row>
    <row r="268" spans="17:19">
      <c r="Q268" s="19">
        <f t="shared" si="17"/>
        <v>81.249999999999133</v>
      </c>
      <c r="R268" s="10">
        <f t="shared" si="15"/>
        <v>0.99697281966903106</v>
      </c>
      <c r="S268" s="5">
        <f t="shared" si="16"/>
        <v>8.074029389385057</v>
      </c>
    </row>
    <row r="269" spans="17:19">
      <c r="Q269" s="19">
        <f t="shared" si="17"/>
        <v>81.333333333332462</v>
      </c>
      <c r="R269" s="10">
        <f t="shared" si="15"/>
        <v>0.99694341161893285</v>
      </c>
      <c r="S269" s="5">
        <f t="shared" si="16"/>
        <v>8.0411976710451007</v>
      </c>
    </row>
    <row r="270" spans="17:19">
      <c r="Q270" s="19">
        <f t="shared" si="17"/>
        <v>81.41666666666579</v>
      </c>
      <c r="R270" s="10">
        <f t="shared" ref="R270:R333" si="18">(R$9^(1/12))*R$10^((R$8^(Q270))*((R$8^(1/12))-1))</f>
        <v>0.99691371658115879</v>
      </c>
      <c r="S270" s="5">
        <f t="shared" ref="S270:S333" si="19">(1/12)+R270*S271/((1+B$3)^(1/12))</f>
        <v>8.0083946809081397</v>
      </c>
    </row>
    <row r="271" spans="17:19">
      <c r="Q271" s="19">
        <f t="shared" ref="Q271:Q334" si="20">Q270+1/12</f>
        <v>81.499999999999119</v>
      </c>
      <c r="R271" s="10">
        <f t="shared" si="18"/>
        <v>0.99688373176375022</v>
      </c>
      <c r="S271" s="5">
        <f t="shared" si="19"/>
        <v>7.9756209629175432</v>
      </c>
    </row>
    <row r="272" spans="17:19">
      <c r="Q272" s="19">
        <f t="shared" si="20"/>
        <v>81.583333333332448</v>
      </c>
      <c r="R272" s="10">
        <f t="shared" si="18"/>
        <v>0.99685345434775774</v>
      </c>
      <c r="S272" s="5">
        <f t="shared" si="19"/>
        <v>7.9428770610595532</v>
      </c>
    </row>
    <row r="273" spans="17:19">
      <c r="Q273" s="19">
        <f t="shared" si="20"/>
        <v>81.666666666665776</v>
      </c>
      <c r="R273" s="10">
        <f t="shared" si="18"/>
        <v>0.99682288148698417</v>
      </c>
      <c r="S273" s="5">
        <f t="shared" si="19"/>
        <v>7.9101635193278756</v>
      </c>
    </row>
    <row r="274" spans="17:19">
      <c r="Q274" s="19">
        <f t="shared" si="20"/>
        <v>81.749999999999105</v>
      </c>
      <c r="R274" s="10">
        <f t="shared" si="18"/>
        <v>0.99679201030772457</v>
      </c>
      <c r="S274" s="5">
        <f t="shared" si="19"/>
        <v>7.8774808816880881</v>
      </c>
    </row>
    <row r="275" spans="17:19">
      <c r="Q275" s="19">
        <f t="shared" si="20"/>
        <v>81.833333333332433</v>
      </c>
      <c r="R275" s="10">
        <f t="shared" si="18"/>
        <v>0.99676083790850367</v>
      </c>
      <c r="S275" s="5">
        <f t="shared" si="19"/>
        <v>7.8448296920418583</v>
      </c>
    </row>
    <row r="276" spans="17:19">
      <c r="Q276" s="19">
        <f t="shared" si="20"/>
        <v>81.916666666665762</v>
      </c>
      <c r="R276" s="10">
        <f t="shared" si="18"/>
        <v>0.99672936135981072</v>
      </c>
      <c r="S276" s="5">
        <f t="shared" si="19"/>
        <v>7.8122104941909942</v>
      </c>
    </row>
    <row r="277" spans="17:19">
      <c r="Q277" s="19">
        <f t="shared" si="20"/>
        <v>81.999999999999091</v>
      </c>
      <c r="R277" s="10">
        <f t="shared" si="18"/>
        <v>0.9966975777038336</v>
      </c>
      <c r="S277" s="5">
        <f t="shared" si="19"/>
        <v>7.7796238318013167</v>
      </c>
    </row>
    <row r="278" spans="17:19">
      <c r="Q278" s="19">
        <f t="shared" si="20"/>
        <v>82.083333333332419</v>
      </c>
      <c r="R278" s="10">
        <f t="shared" si="18"/>
        <v>0.9966654839541873</v>
      </c>
      <c r="S278" s="5">
        <f t="shared" si="19"/>
        <v>7.7470702483663505</v>
      </c>
    </row>
    <row r="279" spans="17:19">
      <c r="Q279" s="19">
        <f t="shared" si="20"/>
        <v>82.166666666665748</v>
      </c>
      <c r="R279" s="10">
        <f t="shared" si="18"/>
        <v>0.99663307709564319</v>
      </c>
      <c r="S279" s="5">
        <f t="shared" si="19"/>
        <v>7.7145502871708675</v>
      </c>
    </row>
    <row r="280" spans="17:19">
      <c r="Q280" s="19">
        <f t="shared" si="20"/>
        <v>82.249999999999076</v>
      </c>
      <c r="R280" s="10">
        <f t="shared" si="18"/>
        <v>0.99660035408385361</v>
      </c>
      <c r="S280" s="5">
        <f t="shared" si="19"/>
        <v>7.6820644912542528</v>
      </c>
    </row>
    <row r="281" spans="17:19">
      <c r="Q281" s="19">
        <f t="shared" si="20"/>
        <v>82.333333333332405</v>
      </c>
      <c r="R281" s="10">
        <f t="shared" si="18"/>
        <v>0.99656731184507463</v>
      </c>
      <c r="S281" s="5">
        <f t="shared" si="19"/>
        <v>7.6496134033737189</v>
      </c>
    </row>
    <row r="282" spans="17:19">
      <c r="Q282" s="19">
        <f t="shared" si="20"/>
        <v>82.416666666665733</v>
      </c>
      <c r="R282" s="10">
        <f t="shared" si="18"/>
        <v>0.99653394727588618</v>
      </c>
      <c r="S282" s="5">
        <f t="shared" si="19"/>
        <v>7.6171975659673583</v>
      </c>
    </row>
    <row r="283" spans="17:19">
      <c r="Q283" s="19">
        <f t="shared" si="20"/>
        <v>82.499999999999062</v>
      </c>
      <c r="R283" s="10">
        <f t="shared" si="18"/>
        <v>0.99650025724291003</v>
      </c>
      <c r="S283" s="5">
        <f t="shared" si="19"/>
        <v>7.584817521117059</v>
      </c>
    </row>
    <row r="284" spans="17:19">
      <c r="Q284" s="19">
        <f t="shared" si="20"/>
        <v>82.583333333332391</v>
      </c>
      <c r="R284" s="10">
        <f t="shared" si="18"/>
        <v>0.99646623858252426</v>
      </c>
      <c r="S284" s="5">
        <f t="shared" si="19"/>
        <v>7.5524738105112581</v>
      </c>
    </row>
    <row r="285" spans="17:19">
      <c r="Q285" s="19">
        <f t="shared" si="20"/>
        <v>82.666666666665719</v>
      </c>
      <c r="R285" s="10">
        <f t="shared" si="18"/>
        <v>0.99643188810057604</v>
      </c>
      <c r="S285" s="5">
        <f t="shared" si="19"/>
        <v>7.5201669754075651</v>
      </c>
    </row>
    <row r="286" spans="17:19">
      <c r="Q286" s="19">
        <f t="shared" si="20"/>
        <v>82.749999999999048</v>
      </c>
      <c r="R286" s="10">
        <f t="shared" si="18"/>
        <v>0.99639720257209086</v>
      </c>
      <c r="S286" s="5">
        <f t="shared" si="19"/>
        <v>7.4878975565952413</v>
      </c>
    </row>
    <row r="287" spans="17:19">
      <c r="Q287" s="19">
        <f t="shared" si="20"/>
        <v>82.833333333332376</v>
      </c>
      <c r="R287" s="10">
        <f t="shared" si="18"/>
        <v>0.99636217874097988</v>
      </c>
      <c r="S287" s="5">
        <f t="shared" si="19"/>
        <v>7.4556660943575483</v>
      </c>
    </row>
    <row r="288" spans="17:19">
      <c r="Q288" s="19">
        <f t="shared" si="20"/>
        <v>82.916666666665705</v>
      </c>
      <c r="R288" s="10">
        <f t="shared" si="18"/>
        <v>0.99632681331974449</v>
      </c>
      <c r="S288" s="5">
        <f t="shared" si="19"/>
        <v>7.4234731284339706</v>
      </c>
    </row>
    <row r="289" spans="17:19">
      <c r="Q289" s="19">
        <f t="shared" si="20"/>
        <v>82.999999999999034</v>
      </c>
      <c r="R289" s="10">
        <f t="shared" si="18"/>
        <v>0.99629110298917745</v>
      </c>
      <c r="S289" s="5">
        <f t="shared" si="19"/>
        <v>7.3913191979823054</v>
      </c>
    </row>
    <row r="290" spans="17:19">
      <c r="Q290" s="19">
        <f t="shared" si="20"/>
        <v>83.083333333332362</v>
      </c>
      <c r="R290" s="10">
        <f t="shared" si="18"/>
        <v>0.99625504439806156</v>
      </c>
      <c r="S290" s="5">
        <f t="shared" si="19"/>
        <v>7.3592048415406417</v>
      </c>
    </row>
    <row r="291" spans="17:19">
      <c r="Q291" s="19">
        <f t="shared" si="20"/>
        <v>83.166666666665691</v>
      </c>
      <c r="R291" s="10">
        <f t="shared" si="18"/>
        <v>0.99621863416286682</v>
      </c>
      <c r="S291" s="5">
        <f t="shared" si="19"/>
        <v>7.3271305969892238</v>
      </c>
    </row>
    <row r="292" spans="17:19">
      <c r="Q292" s="19">
        <f t="shared" si="20"/>
        <v>83.249999999999019</v>
      </c>
      <c r="R292" s="10">
        <f t="shared" si="18"/>
        <v>0.99618186886744242</v>
      </c>
      <c r="S292" s="5">
        <f t="shared" si="19"/>
        <v>7.2950970015121959</v>
      </c>
    </row>
    <row r="293" spans="17:19">
      <c r="Q293" s="19">
        <f t="shared" si="20"/>
        <v>83.333333333332348</v>
      </c>
      <c r="R293" s="10">
        <f t="shared" si="18"/>
        <v>0.99614474506270811</v>
      </c>
      <c r="S293" s="5">
        <f t="shared" si="19"/>
        <v>7.2631045915592516</v>
      </c>
    </row>
    <row r="294" spans="17:19">
      <c r="Q294" s="19">
        <f t="shared" si="20"/>
        <v>83.416666666665677</v>
      </c>
      <c r="R294" s="10">
        <f t="shared" si="18"/>
        <v>0.99610725926634147</v>
      </c>
      <c r="S294" s="5">
        <f t="shared" si="19"/>
        <v>7.2311539028071765</v>
      </c>
    </row>
    <row r="295" spans="17:19">
      <c r="Q295" s="19">
        <f t="shared" si="20"/>
        <v>83.499999999999005</v>
      </c>
      <c r="R295" s="10">
        <f t="shared" si="18"/>
        <v>0.99606940796246302</v>
      </c>
      <c r="S295" s="5">
        <f t="shared" si="19"/>
        <v>7.1992454701212978</v>
      </c>
    </row>
    <row r="296" spans="17:19">
      <c r="Q296" s="19">
        <f t="shared" si="20"/>
        <v>83.583333333332334</v>
      </c>
      <c r="R296" s="10">
        <f t="shared" si="18"/>
        <v>0.9960311876013177</v>
      </c>
      <c r="S296" s="5">
        <f t="shared" si="19"/>
        <v>7.1673798275168403</v>
      </c>
    </row>
    <row r="297" spans="17:19">
      <c r="Q297" s="19">
        <f t="shared" si="20"/>
        <v>83.666666666665662</v>
      </c>
      <c r="R297" s="10">
        <f t="shared" si="18"/>
        <v>0.99599259459895406</v>
      </c>
      <c r="S297" s="5">
        <f t="shared" si="19"/>
        <v>7.1355575081202005</v>
      </c>
    </row>
    <row r="298" spans="17:19">
      <c r="Q298" s="19">
        <f t="shared" si="20"/>
        <v>83.749999999998991</v>
      </c>
      <c r="R298" s="10">
        <f t="shared" si="18"/>
        <v>0.99595362533690057</v>
      </c>
      <c r="S298" s="5">
        <f t="shared" si="19"/>
        <v>7.1037790441301363</v>
      </c>
    </row>
    <row r="299" spans="17:19">
      <c r="Q299" s="19">
        <f t="shared" si="20"/>
        <v>83.83333333333232</v>
      </c>
      <c r="R299" s="10">
        <f t="shared" si="18"/>
        <v>0.99591427616183836</v>
      </c>
      <c r="S299" s="5">
        <f t="shared" si="19"/>
        <v>7.0720449667788801</v>
      </c>
    </row>
    <row r="300" spans="17:19">
      <c r="Q300" s="19">
        <f t="shared" si="20"/>
        <v>83.916666666665648</v>
      </c>
      <c r="R300" s="10">
        <f t="shared" si="18"/>
        <v>0.99587454338527115</v>
      </c>
      <c r="S300" s="5">
        <f t="shared" si="19"/>
        <v>7.0403558062931859</v>
      </c>
    </row>
    <row r="301" spans="17:19">
      <c r="Q301" s="19">
        <f t="shared" si="20"/>
        <v>83.999999999998977</v>
      </c>
      <c r="R301" s="10">
        <f t="shared" si="18"/>
        <v>0.99583442328319327</v>
      </c>
      <c r="S301" s="5">
        <f t="shared" si="19"/>
        <v>7.0087120918553083</v>
      </c>
    </row>
    <row r="302" spans="17:19">
      <c r="Q302" s="19">
        <f t="shared" si="20"/>
        <v>84.083333333332305</v>
      </c>
      <c r="R302" s="10">
        <f t="shared" si="18"/>
        <v>0.99579391209575263</v>
      </c>
      <c r="S302" s="5">
        <f t="shared" si="19"/>
        <v>6.9771143515639169</v>
      </c>
    </row>
    <row r="303" spans="17:19">
      <c r="Q303" s="19">
        <f t="shared" si="20"/>
        <v>84.166666666665634</v>
      </c>
      <c r="R303" s="10">
        <f t="shared" si="18"/>
        <v>0.99575300602691252</v>
      </c>
      <c r="S303" s="5">
        <f t="shared" si="19"/>
        <v>6.9455631123949644</v>
      </c>
    </row>
    <row r="304" spans="17:19">
      <c r="Q304" s="19">
        <f t="shared" si="20"/>
        <v>84.249999999998963</v>
      </c>
      <c r="R304" s="10">
        <f t="shared" si="18"/>
        <v>0.99571170124410879</v>
      </c>
      <c r="S304" s="5">
        <f t="shared" si="19"/>
        <v>6.9140589001624972</v>
      </c>
    </row>
    <row r="305" spans="17:19">
      <c r="Q305" s="19">
        <f t="shared" si="20"/>
        <v>84.333333333332291</v>
      </c>
      <c r="R305" s="10">
        <f t="shared" si="18"/>
        <v>0.99566999387790556</v>
      </c>
      <c r="S305" s="5">
        <f t="shared" si="19"/>
        <v>6.8826022394794295</v>
      </c>
    </row>
    <row r="306" spans="17:19">
      <c r="Q306" s="19">
        <f t="shared" si="20"/>
        <v>84.41666666666562</v>
      </c>
      <c r="R306" s="10">
        <f t="shared" si="18"/>
        <v>0.99562788002164626</v>
      </c>
      <c r="S306" s="5">
        <f t="shared" si="19"/>
        <v>6.85119365371827</v>
      </c>
    </row>
    <row r="307" spans="17:19">
      <c r="Q307" s="19">
        <f t="shared" si="20"/>
        <v>84.499999999998948</v>
      </c>
      <c r="R307" s="10">
        <f t="shared" si="18"/>
        <v>0.99558535573110207</v>
      </c>
      <c r="S307" s="5">
        <f t="shared" si="19"/>
        <v>6.819833664971819</v>
      </c>
    </row>
    <row r="308" spans="17:19">
      <c r="Q308" s="19">
        <f t="shared" si="20"/>
        <v>84.583333333332277</v>
      </c>
      <c r="R308" s="10">
        <f t="shared" si="18"/>
        <v>0.99554241702411783</v>
      </c>
      <c r="S308" s="5">
        <f t="shared" si="19"/>
        <v>6.7885227940138435</v>
      </c>
    </row>
    <row r="309" spans="17:19">
      <c r="Q309" s="19">
        <f t="shared" si="20"/>
        <v>84.666666666665606</v>
      </c>
      <c r="R309" s="10">
        <f t="shared" si="18"/>
        <v>0.99549905988025356</v>
      </c>
      <c r="S309" s="5">
        <f t="shared" si="19"/>
        <v>6.7572615602597175</v>
      </c>
    </row>
    <row r="310" spans="17:19">
      <c r="Q310" s="19">
        <f t="shared" si="20"/>
        <v>84.749999999998934</v>
      </c>
      <c r="R310" s="10">
        <f t="shared" si="18"/>
        <v>0.99545528024042351</v>
      </c>
      <c r="S310" s="5">
        <f t="shared" si="19"/>
        <v>6.726050481727059</v>
      </c>
    </row>
    <row r="311" spans="17:19">
      <c r="Q311" s="19">
        <f t="shared" si="20"/>
        <v>84.833333333332263</v>
      </c>
      <c r="R311" s="10">
        <f t="shared" si="18"/>
        <v>0.99541107400653206</v>
      </c>
      <c r="S311" s="5">
        <f t="shared" si="19"/>
        <v>6.694890074996346</v>
      </c>
    </row>
    <row r="312" spans="17:19">
      <c r="Q312" s="19">
        <f t="shared" si="20"/>
        <v>84.916666666665591</v>
      </c>
      <c r="R312" s="10">
        <f t="shared" si="18"/>
        <v>0.99536643704110539</v>
      </c>
      <c r="S312" s="5">
        <f t="shared" si="19"/>
        <v>6.663780855171531</v>
      </c>
    </row>
    <row r="313" spans="17:19">
      <c r="Q313" s="19">
        <f t="shared" si="20"/>
        <v>84.99999999999892</v>
      </c>
      <c r="R313" s="10">
        <f t="shared" si="18"/>
        <v>0.99532136516692116</v>
      </c>
      <c r="S313" s="5">
        <f t="shared" si="19"/>
        <v>6.6327233358406597</v>
      </c>
    </row>
    <row r="314" spans="17:19">
      <c r="Q314" s="19">
        <f t="shared" si="20"/>
        <v>85.083333333332249</v>
      </c>
      <c r="R314" s="10">
        <f t="shared" si="18"/>
        <v>0.99527585416663322</v>
      </c>
      <c r="S314" s="5">
        <f t="shared" si="19"/>
        <v>6.6017180290364852</v>
      </c>
    </row>
    <row r="315" spans="17:19">
      <c r="Q315" s="19">
        <f t="shared" si="20"/>
        <v>85.166666666665577</v>
      </c>
      <c r="R315" s="10">
        <f t="shared" si="18"/>
        <v>0.99522989978239507</v>
      </c>
      <c r="S315" s="5">
        <f t="shared" si="19"/>
        <v>6.57076544519711</v>
      </c>
    </row>
    <row r="316" spans="17:19">
      <c r="Q316" s="19">
        <f t="shared" si="20"/>
        <v>85.249999999998906</v>
      </c>
      <c r="R316" s="10">
        <f t="shared" si="18"/>
        <v>0.99518349771547754</v>
      </c>
      <c r="S316" s="5">
        <f t="shared" si="19"/>
        <v>6.5398660931266308</v>
      </c>
    </row>
    <row r="317" spans="17:19">
      <c r="Q317" s="19">
        <f t="shared" si="20"/>
        <v>85.333333333332234</v>
      </c>
      <c r="R317" s="10">
        <f t="shared" si="18"/>
        <v>0.99513664362588472</v>
      </c>
      <c r="S317" s="5">
        <f t="shared" si="19"/>
        <v>6.5090204799558142</v>
      </c>
    </row>
    <row r="318" spans="17:19">
      <c r="Q318" s="19">
        <f t="shared" si="20"/>
        <v>85.416666666665563</v>
      </c>
      <c r="R318" s="10">
        <f t="shared" si="18"/>
        <v>0.99508933313196624</v>
      </c>
      <c r="S318" s="5">
        <f t="shared" si="19"/>
        <v>6.478229111102805</v>
      </c>
    </row>
    <row r="319" spans="17:19">
      <c r="Q319" s="19">
        <f t="shared" si="20"/>
        <v>85.499999999998892</v>
      </c>
      <c r="R319" s="10">
        <f t="shared" si="18"/>
        <v>0.9950415618100249</v>
      </c>
      <c r="S319" s="5">
        <f t="shared" si="19"/>
        <v>6.4474924902338593</v>
      </c>
    </row>
    <row r="320" spans="17:19">
      <c r="Q320" s="19">
        <f t="shared" si="20"/>
        <v>85.58333333333222</v>
      </c>
      <c r="R320" s="10">
        <f t="shared" si="18"/>
        <v>0.99499332519392258</v>
      </c>
      <c r="S320" s="5">
        <f t="shared" si="19"/>
        <v>6.4168111192241346</v>
      </c>
    </row>
    <row r="321" spans="17:19">
      <c r="Q321" s="19">
        <f t="shared" si="20"/>
        <v>85.666666666665549</v>
      </c>
      <c r="R321" s="10">
        <f t="shared" si="18"/>
        <v>0.99494461877468032</v>
      </c>
      <c r="S321" s="5">
        <f t="shared" si="19"/>
        <v>6.3861854981185129</v>
      </c>
    </row>
    <row r="322" spans="17:19">
      <c r="Q322" s="19">
        <f t="shared" si="20"/>
        <v>85.749999999998877</v>
      </c>
      <c r="R322" s="10">
        <f t="shared" si="18"/>
        <v>0.99489543800007796</v>
      </c>
      <c r="S322" s="5">
        <f t="shared" si="19"/>
        <v>6.355616125092487</v>
      </c>
    </row>
    <row r="323" spans="17:19">
      <c r="Q323" s="19">
        <f t="shared" si="20"/>
        <v>85.833333333332206</v>
      </c>
      <c r="R323" s="10">
        <f t="shared" si="18"/>
        <v>0.99484577827424647</v>
      </c>
      <c r="S323" s="5">
        <f t="shared" si="19"/>
        <v>6.3251034964131021</v>
      </c>
    </row>
    <row r="324" spans="17:19">
      <c r="Q324" s="19">
        <f t="shared" si="20"/>
        <v>85.916666666665535</v>
      </c>
      <c r="R324" s="10">
        <f t="shared" si="18"/>
        <v>0.99479563495725987</v>
      </c>
      <c r="S324" s="5">
        <f t="shared" si="19"/>
        <v>6.2946481063999657</v>
      </c>
    </row>
    <row r="325" spans="17:19">
      <c r="Q325" s="19">
        <f t="shared" si="20"/>
        <v>85.999999999998863</v>
      </c>
      <c r="R325" s="10">
        <f t="shared" si="18"/>
        <v>0.99474500336472171</v>
      </c>
      <c r="S325" s="5">
        <f t="shared" si="19"/>
        <v>6.2642504473863267</v>
      </c>
    </row>
    <row r="326" spans="17:19">
      <c r="Q326" s="19">
        <f t="shared" si="20"/>
        <v>86.083333333332192</v>
      </c>
      <c r="R326" s="10">
        <f t="shared" si="18"/>
        <v>0.99469387876734816</v>
      </c>
      <c r="S326" s="5">
        <f t="shared" si="19"/>
        <v>6.233911009680237</v>
      </c>
    </row>
    <row r="327" spans="17:19">
      <c r="Q327" s="19">
        <f t="shared" si="20"/>
        <v>86.16666666666552</v>
      </c>
      <c r="R327" s="10">
        <f t="shared" si="18"/>
        <v>0.99464225639054782</v>
      </c>
      <c r="S327" s="5">
        <f t="shared" si="19"/>
        <v>6.2036302815257915</v>
      </c>
    </row>
    <row r="328" spans="17:19">
      <c r="Q328" s="19">
        <f t="shared" si="20"/>
        <v>86.249999999998849</v>
      </c>
      <c r="R328" s="10">
        <f t="shared" si="18"/>
        <v>0.99459013141399699</v>
      </c>
      <c r="S328" s="5">
        <f t="shared" si="19"/>
        <v>6.1734087490644631</v>
      </c>
    </row>
    <row r="329" spans="17:19">
      <c r="Q329" s="19">
        <f t="shared" si="20"/>
        <v>86.333333333332178</v>
      </c>
      <c r="R329" s="10">
        <f t="shared" si="18"/>
        <v>0.99453749897121257</v>
      </c>
      <c r="S329" s="5">
        <f t="shared" si="19"/>
        <v>6.1432468962965352</v>
      </c>
    </row>
    <row r="330" spans="17:19">
      <c r="Q330" s="19">
        <f t="shared" si="20"/>
        <v>86.416666666665506</v>
      </c>
      <c r="R330" s="10">
        <f t="shared" si="18"/>
        <v>0.9944843541491194</v>
      </c>
      <c r="S330" s="5">
        <f t="shared" si="19"/>
        <v>6.1131452050426338</v>
      </c>
    </row>
    <row r="331" spans="17:19">
      <c r="Q331" s="19">
        <f t="shared" si="20"/>
        <v>86.499999999998835</v>
      </c>
      <c r="R331" s="10">
        <f t="shared" si="18"/>
        <v>0.99443069198761491</v>
      </c>
      <c r="S331" s="5">
        <f t="shared" si="19"/>
        <v>6.083104154905369</v>
      </c>
    </row>
    <row r="332" spans="17:19">
      <c r="Q332" s="19">
        <f t="shared" si="20"/>
        <v>86.583333333332163</v>
      </c>
      <c r="R332" s="10">
        <f t="shared" si="18"/>
        <v>0.99437650747912998</v>
      </c>
      <c r="S332" s="5">
        <f t="shared" si="19"/>
        <v>6.0531242232310962</v>
      </c>
    </row>
    <row r="333" spans="17:19">
      <c r="Q333" s="19">
        <f t="shared" si="20"/>
        <v>86.666666666665492</v>
      </c>
      <c r="R333" s="10">
        <f t="shared" si="18"/>
        <v>0.99432179556818456</v>
      </c>
      <c r="S333" s="5">
        <f t="shared" si="19"/>
        <v>6.0232058850717918</v>
      </c>
    </row>
    <row r="334" spans="17:19">
      <c r="Q334" s="19">
        <f t="shared" si="20"/>
        <v>86.74999999999882</v>
      </c>
      <c r="R334" s="10">
        <f t="shared" ref="R334:R397" si="21">(R$9^(1/12))*R$10^((R$8^(Q334))*((R$8^(1/12))-1))</f>
        <v>0.99426655115094176</v>
      </c>
      <c r="S334" s="5">
        <f t="shared" ref="S334:S397" si="22">(1/12)+R334*S335/((1+B$3)^(1/12))</f>
        <v>5.9933496131470667</v>
      </c>
    </row>
    <row r="335" spans="17:19">
      <c r="Q335" s="19">
        <f t="shared" ref="Q335:Q398" si="23">Q334+1/12</f>
        <v>86.833333333332149</v>
      </c>
      <c r="R335" s="10">
        <f t="shared" si="21"/>
        <v>0.99421076907475514</v>
      </c>
      <c r="S335" s="5">
        <f t="shared" si="22"/>
        <v>5.9635558778063054</v>
      </c>
    </row>
    <row r="336" spans="17:19">
      <c r="Q336" s="19">
        <f t="shared" si="23"/>
        <v>86.916666666665478</v>
      </c>
      <c r="R336" s="10">
        <f t="shared" si="21"/>
        <v>0.99415444413771425</v>
      </c>
      <c r="S336" s="5">
        <f t="shared" si="22"/>
        <v>5.9338251469909524</v>
      </c>
    </row>
    <row r="337" spans="17:19">
      <c r="Q337" s="19">
        <f t="shared" si="23"/>
        <v>86.999999999998806</v>
      </c>
      <c r="R337" s="10">
        <f t="shared" si="21"/>
        <v>0.99409757108818531</v>
      </c>
      <c r="S337" s="5">
        <f t="shared" si="22"/>
        <v>5.9041578861969386</v>
      </c>
    </row>
    <row r="338" spans="17:19">
      <c r="Q338" s="19">
        <f t="shared" si="23"/>
        <v>87.083333333332135</v>
      </c>
      <c r="R338" s="10">
        <f t="shared" si="21"/>
        <v>0.99404014462434775</v>
      </c>
      <c r="S338" s="5">
        <f t="shared" si="22"/>
        <v>5.8745545584372687</v>
      </c>
    </row>
    <row r="339" spans="17:19">
      <c r="Q339" s="19">
        <f t="shared" si="23"/>
        <v>87.166666666665463</v>
      </c>
      <c r="R339" s="10">
        <f t="shared" si="21"/>
        <v>0.99398215939372625</v>
      </c>
      <c r="S339" s="5">
        <f t="shared" si="22"/>
        <v>5.8450156242047608</v>
      </c>
    </row>
    <row r="340" spans="17:19">
      <c r="Q340" s="19">
        <f t="shared" si="23"/>
        <v>87.249999999998792</v>
      </c>
      <c r="R340" s="10">
        <f t="shared" si="21"/>
        <v>0.99392360999272045</v>
      </c>
      <c r="S340" s="5">
        <f t="shared" si="22"/>
        <v>5.815541541434964</v>
      </c>
    </row>
    <row r="341" spans="17:19">
      <c r="Q341" s="19">
        <f t="shared" si="23"/>
        <v>87.333333333332121</v>
      </c>
      <c r="R341" s="10">
        <f t="shared" si="21"/>
        <v>0.99386449096612772</v>
      </c>
      <c r="S341" s="5">
        <f t="shared" si="22"/>
        <v>5.7861327654692305</v>
      </c>
    </row>
    <row r="342" spans="17:19">
      <c r="Q342" s="19">
        <f t="shared" si="23"/>
        <v>87.416666666665449</v>
      </c>
      <c r="R342" s="10">
        <f t="shared" si="21"/>
        <v>0.99380479680666467</v>
      </c>
      <c r="S342" s="5">
        <f t="shared" si="22"/>
        <v>5.7567897490179849</v>
      </c>
    </row>
    <row r="343" spans="17:19">
      <c r="Q343" s="19">
        <f t="shared" si="23"/>
        <v>87.499999999998778</v>
      </c>
      <c r="R343" s="10">
        <f t="shared" si="21"/>
        <v>0.99374452195448248</v>
      </c>
      <c r="S343" s="5">
        <f t="shared" si="22"/>
        <v>5.7275129421241679</v>
      </c>
    </row>
    <row r="344" spans="17:19">
      <c r="Q344" s="19">
        <f t="shared" si="23"/>
        <v>87.583333333332106</v>
      </c>
      <c r="R344" s="10">
        <f t="shared" si="21"/>
        <v>0.99368366079667847</v>
      </c>
      <c r="S344" s="5">
        <f t="shared" si="22"/>
        <v>5.6983027921268707</v>
      </c>
    </row>
    <row r="345" spans="17:19">
      <c r="Q345" s="19">
        <f t="shared" si="23"/>
        <v>87.666666666665435</v>
      </c>
      <c r="R345" s="10">
        <f t="shared" si="21"/>
        <v>0.99362220766680387</v>
      </c>
      <c r="S345" s="5">
        <f t="shared" si="22"/>
        <v>5.6691597436251744</v>
      </c>
    </row>
    <row r="346" spans="17:19">
      <c r="Q346" s="19">
        <f t="shared" si="23"/>
        <v>87.749999999998764</v>
      </c>
      <c r="R346" s="10">
        <f t="shared" si="21"/>
        <v>0.99356015684436649</v>
      </c>
      <c r="S346" s="5">
        <f t="shared" si="22"/>
        <v>5.6400842384421876</v>
      </c>
    </row>
    <row r="347" spans="17:19">
      <c r="Q347" s="19">
        <f t="shared" si="23"/>
        <v>87.833333333332092</v>
      </c>
      <c r="R347" s="10">
        <f t="shared" si="21"/>
        <v>0.99349750255433056</v>
      </c>
      <c r="S347" s="5">
        <f t="shared" si="22"/>
        <v>5.6110767155893022</v>
      </c>
    </row>
    <row r="348" spans="17:19">
      <c r="Q348" s="19">
        <f t="shared" si="23"/>
        <v>87.916666666665421</v>
      </c>
      <c r="R348" s="10">
        <f t="shared" si="21"/>
        <v>0.99343423896660965</v>
      </c>
      <c r="S348" s="5">
        <f t="shared" si="22"/>
        <v>5.5821376112306496</v>
      </c>
    </row>
    <row r="349" spans="17:19">
      <c r="Q349" s="19">
        <f t="shared" si="23"/>
        <v>87.999999999998749</v>
      </c>
      <c r="R349" s="10">
        <f t="shared" si="21"/>
        <v>0.99337036019555813</v>
      </c>
      <c r="S349" s="5">
        <f t="shared" si="22"/>
        <v>5.553267358647803</v>
      </c>
    </row>
    <row r="350" spans="17:19">
      <c r="Q350" s="19">
        <f t="shared" si="23"/>
        <v>88.083333333332078</v>
      </c>
      <c r="R350" s="10">
        <f t="shared" si="21"/>
        <v>0.99330586029945589</v>
      </c>
      <c r="S350" s="5">
        <f t="shared" si="22"/>
        <v>5.5244663882046883</v>
      </c>
    </row>
    <row r="351" spans="17:19">
      <c r="Q351" s="19">
        <f t="shared" si="23"/>
        <v>88.166666666665407</v>
      </c>
      <c r="R351" s="10">
        <f t="shared" si="21"/>
        <v>0.99324073327998974</v>
      </c>
      <c r="S351" s="5">
        <f t="shared" si="22"/>
        <v>5.4957351273127442</v>
      </c>
    </row>
    <row r="352" spans="17:19">
      <c r="Q352" s="19">
        <f t="shared" si="23"/>
        <v>88.249999999998735</v>
      </c>
      <c r="R352" s="10">
        <f t="shared" si="21"/>
        <v>0.99317497308173019</v>
      </c>
      <c r="S352" s="5">
        <f t="shared" si="22"/>
        <v>5.4670740003963179</v>
      </c>
    </row>
    <row r="353" spans="17:19">
      <c r="Q353" s="19">
        <f t="shared" si="23"/>
        <v>88.333333333332064</v>
      </c>
      <c r="R353" s="10">
        <f t="shared" si="21"/>
        <v>0.99310857359160354</v>
      </c>
      <c r="S353" s="5">
        <f t="shared" si="22"/>
        <v>5.438483428858313</v>
      </c>
    </row>
    <row r="354" spans="17:19">
      <c r="Q354" s="19">
        <f t="shared" si="23"/>
        <v>88.416666666665392</v>
      </c>
      <c r="R354" s="10">
        <f t="shared" si="21"/>
        <v>0.99304152863835948</v>
      </c>
      <c r="S354" s="5">
        <f t="shared" si="22"/>
        <v>5.4099638310460874</v>
      </c>
    </row>
    <row r="355" spans="17:19">
      <c r="Q355" s="19">
        <f t="shared" si="23"/>
        <v>88.499999999998721</v>
      </c>
      <c r="R355" s="10">
        <f t="shared" si="21"/>
        <v>0.99297383199203371</v>
      </c>
      <c r="S355" s="5">
        <f t="shared" si="22"/>
        <v>5.3815156222176128</v>
      </c>
    </row>
    <row r="356" spans="17:19">
      <c r="Q356" s="19">
        <f t="shared" si="23"/>
        <v>88.58333333333205</v>
      </c>
      <c r="R356" s="10">
        <f t="shared" si="21"/>
        <v>0.99290547736340684</v>
      </c>
      <c r="S356" s="5">
        <f t="shared" si="22"/>
        <v>5.353139214507908</v>
      </c>
    </row>
    <row r="357" spans="17:19">
      <c r="Q357" s="19">
        <f t="shared" si="23"/>
        <v>88.666666666665378</v>
      </c>
      <c r="R357" s="10">
        <f t="shared" si="21"/>
        <v>0.9928364584034578</v>
      </c>
      <c r="S357" s="5">
        <f t="shared" si="22"/>
        <v>5.324835016895733</v>
      </c>
    </row>
    <row r="358" spans="17:19">
      <c r="Q358" s="19">
        <f t="shared" si="23"/>
        <v>88.749999999998707</v>
      </c>
      <c r="R358" s="10">
        <f t="shared" si="21"/>
        <v>0.99276676870281244</v>
      </c>
      <c r="S358" s="5">
        <f t="shared" si="22"/>
        <v>5.2966034351705735</v>
      </c>
    </row>
    <row r="359" spans="17:19">
      <c r="Q359" s="19">
        <f t="shared" si="23"/>
        <v>88.833333333332035</v>
      </c>
      <c r="R359" s="10">
        <f t="shared" si="21"/>
        <v>0.99269640179118879</v>
      </c>
      <c r="S359" s="5">
        <f t="shared" si="22"/>
        <v>5.2684448718999075</v>
      </c>
    </row>
    <row r="360" spans="17:19">
      <c r="Q360" s="19">
        <f t="shared" si="23"/>
        <v>88.916666666665364</v>
      </c>
      <c r="R360" s="10">
        <f t="shared" si="21"/>
        <v>0.99262535113683592</v>
      </c>
      <c r="S360" s="5">
        <f t="shared" si="22"/>
        <v>5.2403597263967558</v>
      </c>
    </row>
    <row r="361" spans="17:19">
      <c r="Q361" s="19">
        <f t="shared" si="23"/>
        <v>88.999999999998693</v>
      </c>
      <c r="R361" s="10">
        <f t="shared" si="21"/>
        <v>0.99255361014596821</v>
      </c>
      <c r="S361" s="5">
        <f t="shared" si="22"/>
        <v>5.2123483946875417</v>
      </c>
    </row>
    <row r="362" spans="17:19">
      <c r="Q362" s="19">
        <f t="shared" si="23"/>
        <v>89.083333333332021</v>
      </c>
      <c r="R362" s="10">
        <f t="shared" si="21"/>
        <v>0.99248117216219633</v>
      </c>
      <c r="S362" s="5">
        <f t="shared" si="22"/>
        <v>5.1844112694802469</v>
      </c>
    </row>
    <row r="363" spans="17:19">
      <c r="Q363" s="19">
        <f t="shared" si="23"/>
        <v>89.16666666666535</v>
      </c>
      <c r="R363" s="10">
        <f t="shared" si="21"/>
        <v>0.99240803046595172</v>
      </c>
      <c r="S363" s="5">
        <f t="shared" si="22"/>
        <v>5.1565487401328776</v>
      </c>
    </row>
    <row r="364" spans="17:19">
      <c r="Q364" s="19">
        <f t="shared" si="23"/>
        <v>89.249999999998678</v>
      </c>
      <c r="R364" s="10">
        <f t="shared" si="21"/>
        <v>0.99233417827390635</v>
      </c>
      <c r="S364" s="5">
        <f t="shared" si="22"/>
        <v>5.1287611926222461</v>
      </c>
    </row>
    <row r="365" spans="17:19">
      <c r="Q365" s="19">
        <f t="shared" si="23"/>
        <v>89.333333333332007</v>
      </c>
      <c r="R365" s="10">
        <f t="shared" si="21"/>
        <v>0.9922596087383887</v>
      </c>
      <c r="S365" s="5">
        <f t="shared" si="22"/>
        <v>5.1010490095130763</v>
      </c>
    </row>
    <row r="366" spans="17:19">
      <c r="Q366" s="19">
        <f t="shared" si="23"/>
        <v>89.416666666665336</v>
      </c>
      <c r="R366" s="10">
        <f t="shared" si="21"/>
        <v>0.9921843149467936</v>
      </c>
      <c r="S366" s="5">
        <f t="shared" si="22"/>
        <v>5.0734125699274308</v>
      </c>
    </row>
    <row r="367" spans="17:19">
      <c r="Q367" s="19">
        <f t="shared" si="23"/>
        <v>89.499999999998664</v>
      </c>
      <c r="R367" s="10">
        <f t="shared" si="21"/>
        <v>0.99210828992098754</v>
      </c>
      <c r="S367" s="5">
        <f t="shared" si="22"/>
        <v>5.0458522495144793</v>
      </c>
    </row>
    <row r="368" spans="17:19">
      <c r="Q368" s="19">
        <f t="shared" si="23"/>
        <v>89.583333333331993</v>
      </c>
      <c r="R368" s="10">
        <f t="shared" si="21"/>
        <v>0.99203152661670879</v>
      </c>
      <c r="S368" s="5">
        <f t="shared" si="22"/>
        <v>5.0183684204205941</v>
      </c>
    </row>
    <row r="369" spans="17:19">
      <c r="Q369" s="19">
        <f t="shared" si="23"/>
        <v>89.666666666665321</v>
      </c>
      <c r="R369" s="10">
        <f t="shared" si="21"/>
        <v>0.99195401792296278</v>
      </c>
      <c r="S369" s="5">
        <f t="shared" si="22"/>
        <v>4.9909614512598024</v>
      </c>
    </row>
    <row r="370" spans="17:19">
      <c r="Q370" s="19">
        <f t="shared" si="23"/>
        <v>89.74999999999865</v>
      </c>
      <c r="R370" s="10">
        <f t="shared" si="21"/>
        <v>0.99187575666141226</v>
      </c>
      <c r="S370" s="5">
        <f t="shared" si="22"/>
        <v>4.9636317070845797</v>
      </c>
    </row>
    <row r="371" spans="17:19">
      <c r="Q371" s="19">
        <f t="shared" si="23"/>
        <v>89.833333333331979</v>
      </c>
      <c r="R371" s="10">
        <f t="shared" si="21"/>
        <v>0.99179673558576176</v>
      </c>
      <c r="S371" s="5">
        <f t="shared" si="22"/>
        <v>4.9363795493570013</v>
      </c>
    </row>
    <row r="372" spans="17:19">
      <c r="Q372" s="19">
        <f t="shared" si="23"/>
        <v>89.916666666665307</v>
      </c>
      <c r="R372" s="10">
        <f t="shared" si="21"/>
        <v>0.99171694738113791</v>
      </c>
      <c r="S372" s="5">
        <f t="shared" si="22"/>
        <v>4.9092053359202579</v>
      </c>
    </row>
    <row r="373" spans="17:19">
      <c r="Q373" s="19">
        <f t="shared" si="23"/>
        <v>89.999999999998636</v>
      </c>
      <c r="R373" s="10">
        <f t="shared" si="21"/>
        <v>0.99163638466346393</v>
      </c>
      <c r="S373" s="5">
        <f t="shared" si="22"/>
        <v>4.8821094209705347</v>
      </c>
    </row>
    <row r="374" spans="17:19">
      <c r="Q374" s="19">
        <f t="shared" si="23"/>
        <v>90.083333333331964</v>
      </c>
      <c r="R374" s="10">
        <f t="shared" si="21"/>
        <v>0.99155503997882866</v>
      </c>
      <c r="S374" s="5">
        <f t="shared" si="22"/>
        <v>4.8550921550292632</v>
      </c>
    </row>
    <row r="375" spans="17:19">
      <c r="Q375" s="19">
        <f t="shared" si="23"/>
        <v>90.166666666665293</v>
      </c>
      <c r="R375" s="10">
        <f t="shared" si="21"/>
        <v>0.99147290580285097</v>
      </c>
      <c r="S375" s="5">
        <f t="shared" si="22"/>
        <v>4.8281538849157517</v>
      </c>
    </row>
    <row r="376" spans="17:19">
      <c r="Q376" s="19">
        <f t="shared" si="23"/>
        <v>90.249999999998622</v>
      </c>
      <c r="R376" s="10">
        <f t="shared" si="21"/>
        <v>0.99138997454003841</v>
      </c>
      <c r="S376" s="5">
        <f t="shared" si="22"/>
        <v>4.8012949537201974</v>
      </c>
    </row>
    <row r="377" spans="17:19">
      <c r="Q377" s="19">
        <f t="shared" si="23"/>
        <v>90.33333333333195</v>
      </c>
      <c r="R377" s="10">
        <f t="shared" si="21"/>
        <v>0.9913062385231407</v>
      </c>
      <c r="S377" s="5">
        <f t="shared" si="22"/>
        <v>4.7745157007770889</v>
      </c>
    </row>
    <row r="378" spans="17:19">
      <c r="Q378" s="19">
        <f t="shared" si="23"/>
        <v>90.416666666665279</v>
      </c>
      <c r="R378" s="10">
        <f t="shared" si="21"/>
        <v>0.99122169001249771</v>
      </c>
      <c r="S378" s="5">
        <f t="shared" si="22"/>
        <v>4.747816461639002</v>
      </c>
    </row>
    <row r="379" spans="17:19">
      <c r="Q379" s="19">
        <f t="shared" si="23"/>
        <v>90.499999999998607</v>
      </c>
      <c r="R379" s="10">
        <f t="shared" si="21"/>
        <v>0.99113632119538253</v>
      </c>
      <c r="S379" s="5">
        <f t="shared" si="22"/>
        <v>4.7211975680507905</v>
      </c>
    </row>
    <row r="380" spans="17:19">
      <c r="Q380" s="19">
        <f t="shared" si="23"/>
        <v>90.583333333331936</v>
      </c>
      <c r="R380" s="10">
        <f t="shared" si="21"/>
        <v>0.991050124185338</v>
      </c>
      <c r="S380" s="5">
        <f t="shared" si="22"/>
        <v>4.6946593479241843</v>
      </c>
    </row>
    <row r="381" spans="17:19">
      <c r="Q381" s="19">
        <f t="shared" si="23"/>
        <v>90.666666666665265</v>
      </c>
      <c r="R381" s="10">
        <f t="shared" si="21"/>
        <v>0.99096309102150926</v>
      </c>
      <c r="S381" s="5">
        <f t="shared" si="22"/>
        <v>4.6682021253127965</v>
      </c>
    </row>
    <row r="382" spans="17:19">
      <c r="Q382" s="19">
        <f t="shared" si="23"/>
        <v>90.749999999998593</v>
      </c>
      <c r="R382" s="10">
        <f t="shared" si="21"/>
        <v>0.99087521366796949</v>
      </c>
      <c r="S382" s="5">
        <f t="shared" si="22"/>
        <v>4.6418262203875429</v>
      </c>
    </row>
    <row r="383" spans="17:19">
      <c r="Q383" s="19">
        <f t="shared" si="23"/>
        <v>90.833333333331922</v>
      </c>
      <c r="R383" s="10">
        <f t="shared" si="21"/>
        <v>0.99078648401304092</v>
      </c>
      <c r="S383" s="5">
        <f t="shared" si="22"/>
        <v>4.6155319494124791</v>
      </c>
    </row>
    <row r="384" spans="17:19">
      <c r="Q384" s="19">
        <f t="shared" si="23"/>
        <v>90.91666666666525</v>
      </c>
      <c r="R384" s="10">
        <f t="shared" si="21"/>
        <v>0.99069689386860971</v>
      </c>
      <c r="S384" s="5">
        <f t="shared" si="22"/>
        <v>4.5893196247210639</v>
      </c>
    </row>
    <row r="385" spans="17:19">
      <c r="Q385" s="19">
        <f t="shared" si="23"/>
        <v>90.999999999998579</v>
      </c>
      <c r="R385" s="10">
        <f t="shared" si="21"/>
        <v>0.9906064349694359</v>
      </c>
      <c r="S385" s="5">
        <f t="shared" si="22"/>
        <v>4.5631895546928494</v>
      </c>
    </row>
    <row r="386" spans="17:19">
      <c r="Q386" s="19">
        <f t="shared" si="23"/>
        <v>91.083333333331908</v>
      </c>
      <c r="R386" s="10">
        <f t="shared" si="21"/>
        <v>0.99051509897245693</v>
      </c>
      <c r="S386" s="5">
        <f t="shared" si="22"/>
        <v>4.5371420437306025</v>
      </c>
    </row>
    <row r="387" spans="17:19">
      <c r="Q387" s="19">
        <f t="shared" si="23"/>
        <v>91.166666666665236</v>
      </c>
      <c r="R387" s="10">
        <f t="shared" si="21"/>
        <v>0.99042287745608615</v>
      </c>
      <c r="S387" s="5">
        <f t="shared" si="22"/>
        <v>4.5111773922378671</v>
      </c>
    </row>
    <row r="388" spans="17:19">
      <c r="Q388" s="19">
        <f t="shared" si="23"/>
        <v>91.249999999998565</v>
      </c>
      <c r="R388" s="10">
        <f t="shared" si="21"/>
        <v>0.99032976191950528</v>
      </c>
      <c r="S388" s="5">
        <f t="shared" si="22"/>
        <v>4.4852958965969663</v>
      </c>
    </row>
    <row r="389" spans="17:19">
      <c r="Q389" s="19">
        <f t="shared" si="23"/>
        <v>91.333333333331893</v>
      </c>
      <c r="R389" s="10">
        <f t="shared" si="21"/>
        <v>0.99023574378195089</v>
      </c>
      <c r="S389" s="5">
        <f t="shared" si="22"/>
        <v>4.45949784914745</v>
      </c>
    </row>
    <row r="390" spans="17:19">
      <c r="Q390" s="19">
        <f t="shared" si="23"/>
        <v>91.416666666665222</v>
      </c>
      <c r="R390" s="10">
        <f t="shared" si="21"/>
        <v>0.99014081438199608</v>
      </c>
      <c r="S390" s="5">
        <f t="shared" si="22"/>
        <v>4.4337835381649962</v>
      </c>
    </row>
    <row r="391" spans="17:19">
      <c r="Q391" s="19">
        <f t="shared" si="23"/>
        <v>91.49999999999855</v>
      </c>
      <c r="R391" s="10">
        <f t="shared" si="21"/>
        <v>0.99004496497682515</v>
      </c>
      <c r="S391" s="5">
        <f t="shared" si="22"/>
        <v>4.4081532478407643</v>
      </c>
    </row>
    <row r="392" spans="17:19">
      <c r="Q392" s="19">
        <f t="shared" si="23"/>
        <v>91.583333333331879</v>
      </c>
      <c r="R392" s="10">
        <f t="shared" si="21"/>
        <v>0.98994818674150298</v>
      </c>
      <c r="S392" s="5">
        <f t="shared" si="22"/>
        <v>4.3826072582612108</v>
      </c>
    </row>
    <row r="393" spans="17:19">
      <c r="Q393" s="19">
        <f t="shared" si="23"/>
        <v>91.666666666665208</v>
      </c>
      <c r="R393" s="10">
        <f t="shared" si="21"/>
        <v>0.98985047076823851</v>
      </c>
      <c r="S393" s="5">
        <f t="shared" si="22"/>
        <v>4.3571458453883647</v>
      </c>
    </row>
    <row r="394" spans="17:19">
      <c r="Q394" s="19">
        <f t="shared" si="23"/>
        <v>91.749999999998536</v>
      </c>
      <c r="R394" s="10">
        <f t="shared" si="21"/>
        <v>0.98975180806564322</v>
      </c>
      <c r="S394" s="5">
        <f t="shared" si="22"/>
        <v>4.3317692810405726</v>
      </c>
    </row>
    <row r="395" spans="17:19">
      <c r="Q395" s="19">
        <f t="shared" si="23"/>
        <v>91.833333333331865</v>
      </c>
      <c r="R395" s="10">
        <f t="shared" si="21"/>
        <v>0.98965218955798095</v>
      </c>
      <c r="S395" s="5">
        <f t="shared" si="22"/>
        <v>4.306477832873715</v>
      </c>
    </row>
    <row r="396" spans="17:19">
      <c r="Q396" s="19">
        <f t="shared" si="23"/>
        <v>91.916666666665193</v>
      </c>
      <c r="R396" s="10">
        <f t="shared" si="21"/>
        <v>0.9895516060844155</v>
      </c>
      <c r="S396" s="5">
        <f t="shared" si="22"/>
        <v>4.2812717643628968</v>
      </c>
    </row>
    <row r="397" spans="17:19">
      <c r="Q397" s="19">
        <f t="shared" si="23"/>
        <v>91.999999999998522</v>
      </c>
      <c r="R397" s="10">
        <f t="shared" si="21"/>
        <v>0.98945004839824924</v>
      </c>
      <c r="S397" s="5">
        <f t="shared" si="22"/>
        <v>4.2561513347846169</v>
      </c>
    </row>
    <row r="398" spans="17:19">
      <c r="Q398" s="19">
        <f t="shared" si="23"/>
        <v>92.083333333331851</v>
      </c>
      <c r="R398" s="10">
        <f t="shared" ref="R398:R461" si="24">(R$9^(1/12))*R$10^((R$8^(Q398))*((R$8^(1/12))-1))</f>
        <v>0.98934750716615627</v>
      </c>
      <c r="S398" s="5">
        <f t="shared" ref="S398:S461" si="25">(1/12)+R398*S399/((1+B$3)^(1/12))</f>
        <v>4.2311167991994187</v>
      </c>
    </row>
    <row r="399" spans="17:19">
      <c r="Q399" s="19">
        <f t="shared" ref="Q399:Q462" si="26">Q398+1/12</f>
        <v>92.166666666665179</v>
      </c>
      <c r="R399" s="10">
        <f t="shared" si="24"/>
        <v>0.98924397296741151</v>
      </c>
      <c r="S399" s="5">
        <f t="shared" si="25"/>
        <v>4.2061684084350324</v>
      </c>
    </row>
    <row r="400" spans="17:19">
      <c r="Q400" s="19">
        <f t="shared" si="26"/>
        <v>92.249999999998508</v>
      </c>
      <c r="R400" s="10">
        <f t="shared" si="24"/>
        <v>0.98913943629311074</v>
      </c>
      <c r="S400" s="5">
        <f t="shared" si="25"/>
        <v>4.1813064090699967</v>
      </c>
    </row>
    <row r="401" spans="17:19">
      <c r="Q401" s="19">
        <f t="shared" si="26"/>
        <v>92.333333333331836</v>
      </c>
      <c r="R401" s="10">
        <f t="shared" si="24"/>
        <v>0.98903388754538668</v>
      </c>
      <c r="S401" s="5">
        <f t="shared" si="25"/>
        <v>4.1565310434177842</v>
      </c>
    </row>
    <row r="402" spans="17:19">
      <c r="Q402" s="19">
        <f t="shared" si="26"/>
        <v>92.416666666665165</v>
      </c>
      <c r="R402" s="10">
        <f t="shared" si="24"/>
        <v>0.98892731703661774</v>
      </c>
      <c r="S402" s="5">
        <f t="shared" si="25"/>
        <v>4.1318425495114148</v>
      </c>
    </row>
    <row r="403" spans="17:19">
      <c r="Q403" s="19">
        <f t="shared" si="26"/>
        <v>92.499999999998494</v>
      </c>
      <c r="R403" s="10">
        <f t="shared" si="24"/>
        <v>0.9888197149886313</v>
      </c>
      <c r="S403" s="5">
        <f t="shared" si="25"/>
        <v>4.1072411610885711</v>
      </c>
    </row>
    <row r="404" spans="17:19">
      <c r="Q404" s="19">
        <f t="shared" si="26"/>
        <v>92.583333333331822</v>
      </c>
      <c r="R404" s="10">
        <f t="shared" si="24"/>
        <v>0.98871107153190008</v>
      </c>
      <c r="S404" s="5">
        <f t="shared" si="25"/>
        <v>4.0827271075772167</v>
      </c>
    </row>
    <row r="405" spans="17:19">
      <c r="Q405" s="19">
        <f t="shared" si="26"/>
        <v>92.666666666665151</v>
      </c>
      <c r="R405" s="10">
        <f t="shared" si="24"/>
        <v>0.98860137670473303</v>
      </c>
      <c r="S405" s="5">
        <f t="shared" si="25"/>
        <v>4.0583006140817188</v>
      </c>
    </row>
    <row r="406" spans="17:19">
      <c r="Q406" s="19">
        <f t="shared" si="26"/>
        <v>92.749999999998479</v>
      </c>
      <c r="R406" s="10">
        <f t="shared" si="24"/>
        <v>0.98849062045245906</v>
      </c>
      <c r="S406" s="5">
        <f t="shared" si="25"/>
        <v>4.0339619013694801</v>
      </c>
    </row>
    <row r="407" spans="17:19">
      <c r="Q407" s="19">
        <f t="shared" si="26"/>
        <v>92.833333333331808</v>
      </c>
      <c r="R407" s="10">
        <f t="shared" si="24"/>
        <v>0.98837879262660522</v>
      </c>
      <c r="S407" s="5">
        <f t="shared" si="25"/>
        <v>4.0097111858580794</v>
      </c>
    </row>
    <row r="408" spans="17:19">
      <c r="Q408" s="19">
        <f t="shared" si="26"/>
        <v>92.916666666665137</v>
      </c>
      <c r="R408" s="10">
        <f t="shared" si="24"/>
        <v>0.98826588298406814</v>
      </c>
      <c r="S408" s="5">
        <f t="shared" si="25"/>
        <v>3.9855486796029265</v>
      </c>
    </row>
    <row r="409" spans="17:19">
      <c r="Q409" s="19">
        <f t="shared" si="26"/>
        <v>92.999999999998465</v>
      </c>
      <c r="R409" s="10">
        <f t="shared" si="24"/>
        <v>0.98815188118627906</v>
      </c>
      <c r="S409" s="5">
        <f t="shared" si="25"/>
        <v>3.9614745902854329</v>
      </c>
    </row>
    <row r="410" spans="17:19">
      <c r="Q410" s="19">
        <f t="shared" si="26"/>
        <v>93.083333333331794</v>
      </c>
      <c r="R410" s="10">
        <f t="shared" si="24"/>
        <v>0.98803677679836244</v>
      </c>
      <c r="S410" s="5">
        <f t="shared" si="25"/>
        <v>3.9374891212017018</v>
      </c>
    </row>
    <row r="411" spans="17:19">
      <c r="Q411" s="19">
        <f t="shared" si="26"/>
        <v>93.166666666665122</v>
      </c>
      <c r="R411" s="10">
        <f t="shared" si="24"/>
        <v>0.98792055928828892</v>
      </c>
      <c r="S411" s="5">
        <f t="shared" si="25"/>
        <v>3.913592471251738</v>
      </c>
    </row>
    <row r="412" spans="17:19">
      <c r="Q412" s="19">
        <f t="shared" si="26"/>
        <v>93.249999999998451</v>
      </c>
      <c r="R412" s="10">
        <f t="shared" si="24"/>
        <v>0.98780321802602</v>
      </c>
      <c r="S412" s="5">
        <f t="shared" si="25"/>
        <v>3.8897848349291788</v>
      </c>
    </row>
    <row r="413" spans="17:19">
      <c r="Q413" s="19">
        <f t="shared" si="26"/>
        <v>93.33333333333178</v>
      </c>
      <c r="R413" s="10">
        <f t="shared" si="24"/>
        <v>0.98768474228264824</v>
      </c>
      <c r="S413" s="5">
        <f t="shared" si="25"/>
        <v>3.8660664023115534</v>
      </c>
    </row>
    <row r="414" spans="17:19">
      <c r="Q414" s="19">
        <f t="shared" si="26"/>
        <v>93.416666666665108</v>
      </c>
      <c r="R414" s="10">
        <f t="shared" si="24"/>
        <v>0.98756512122952977</v>
      </c>
      <c r="S414" s="5">
        <f t="shared" si="25"/>
        <v>3.8424373590510674</v>
      </c>
    </row>
    <row r="415" spans="17:19">
      <c r="Q415" s="19">
        <f t="shared" si="26"/>
        <v>93.499999999998437</v>
      </c>
      <c r="R415" s="10">
        <f t="shared" si="24"/>
        <v>0.98744434393741043</v>
      </c>
      <c r="S415" s="5">
        <f t="shared" si="25"/>
        <v>3.8188978863659155</v>
      </c>
    </row>
    <row r="416" spans="17:19">
      <c r="Q416" s="19">
        <f t="shared" si="26"/>
        <v>93.583333333331765</v>
      </c>
      <c r="R416" s="10">
        <f t="shared" si="24"/>
        <v>0.98732239937554589</v>
      </c>
      <c r="S416" s="5">
        <f t="shared" si="25"/>
        <v>3.7954481610321245</v>
      </c>
    </row>
    <row r="417" spans="17:19">
      <c r="Q417" s="19">
        <f t="shared" si="26"/>
        <v>93.666666666665094</v>
      </c>
      <c r="R417" s="10">
        <f t="shared" si="24"/>
        <v>0.98719927641081373</v>
      </c>
      <c r="S417" s="5">
        <f t="shared" si="25"/>
        <v>3.7720883553759288</v>
      </c>
    </row>
    <row r="418" spans="17:19">
      <c r="Q418" s="19">
        <f t="shared" si="26"/>
        <v>93.749999999998423</v>
      </c>
      <c r="R418" s="10">
        <f t="shared" si="24"/>
        <v>0.9870749638068208</v>
      </c>
      <c r="S418" s="5">
        <f t="shared" si="25"/>
        <v>3.748818637266683</v>
      </c>
    </row>
    <row r="419" spans="17:19">
      <c r="Q419" s="19">
        <f t="shared" si="26"/>
        <v>93.833333333331751</v>
      </c>
      <c r="R419" s="10">
        <f t="shared" si="24"/>
        <v>0.98694945022300296</v>
      </c>
      <c r="S419" s="5">
        <f t="shared" si="25"/>
        <v>3.7256391701103033</v>
      </c>
    </row>
    <row r="420" spans="17:19">
      <c r="Q420" s="19">
        <f t="shared" si="26"/>
        <v>93.91666666666508</v>
      </c>
      <c r="R420" s="10">
        <f t="shared" si="24"/>
        <v>0.9868227242137172</v>
      </c>
      <c r="S420" s="5">
        <f t="shared" si="25"/>
        <v>3.7025501128432485</v>
      </c>
    </row>
    <row r="421" spans="17:19">
      <c r="Q421" s="19">
        <f t="shared" si="26"/>
        <v>93.999999999998408</v>
      </c>
      <c r="R421" s="10">
        <f t="shared" si="24"/>
        <v>0.9866947742273291</v>
      </c>
      <c r="S421" s="5">
        <f t="shared" si="25"/>
        <v>3.6795516199270408</v>
      </c>
    </row>
    <row r="422" spans="17:19">
      <c r="Q422" s="19">
        <f t="shared" si="26"/>
        <v>94.083333333331737</v>
      </c>
      <c r="R422" s="10">
        <f t="shared" si="24"/>
        <v>0.98656558860529198</v>
      </c>
      <c r="S422" s="5">
        <f t="shared" si="25"/>
        <v>3.6566438413433198</v>
      </c>
    </row>
    <row r="423" spans="17:19">
      <c r="Q423" s="19">
        <f t="shared" si="26"/>
        <v>94.166666666665066</v>
      </c>
      <c r="R423" s="10">
        <f t="shared" si="24"/>
        <v>0.98643515558121986</v>
      </c>
      <c r="S423" s="5">
        <f t="shared" si="25"/>
        <v>3.6338269225894404</v>
      </c>
    </row>
    <row r="424" spans="17:19">
      <c r="Q424" s="19">
        <f t="shared" si="26"/>
        <v>94.249999999998394</v>
      </c>
      <c r="R424" s="10">
        <f t="shared" si="24"/>
        <v>0.98630346327995322</v>
      </c>
      <c r="S424" s="5">
        <f t="shared" si="25"/>
        <v>3.6111010046746084</v>
      </c>
    </row>
    <row r="425" spans="17:19">
      <c r="Q425" s="19">
        <f t="shared" si="26"/>
        <v>94.333333333331723</v>
      </c>
      <c r="R425" s="10">
        <f t="shared" si="24"/>
        <v>0.98617049971661908</v>
      </c>
      <c r="S425" s="5">
        <f t="shared" si="25"/>
        <v>3.5884662241165599</v>
      </c>
    </row>
    <row r="426" spans="17:19">
      <c r="Q426" s="19">
        <f t="shared" si="26"/>
        <v>94.416666666665051</v>
      </c>
      <c r="R426" s="10">
        <f t="shared" si="24"/>
        <v>0.98603625279568263</v>
      </c>
      <c r="S426" s="5">
        <f t="shared" si="25"/>
        <v>3.5659227129387787</v>
      </c>
    </row>
    <row r="427" spans="17:19">
      <c r="Q427" s="19">
        <f t="shared" si="26"/>
        <v>94.49999999999838</v>
      </c>
      <c r="R427" s="10">
        <f t="shared" si="24"/>
        <v>0.98590071030999349</v>
      </c>
      <c r="S427" s="5">
        <f t="shared" si="25"/>
        <v>3.5434705986682578</v>
      </c>
    </row>
    <row r="428" spans="17:19">
      <c r="Q428" s="19">
        <f t="shared" si="26"/>
        <v>94.583333333331709</v>
      </c>
      <c r="R428" s="10">
        <f t="shared" si="24"/>
        <v>0.98576385993982396</v>
      </c>
      <c r="S428" s="5">
        <f t="shared" si="25"/>
        <v>3.5211100043338024</v>
      </c>
    </row>
    <row r="429" spans="17:19">
      <c r="Q429" s="19">
        <f t="shared" si="26"/>
        <v>94.666666666665037</v>
      </c>
      <c r="R429" s="10">
        <f t="shared" si="24"/>
        <v>0.98562568925190119</v>
      </c>
      <c r="S429" s="5">
        <f t="shared" si="25"/>
        <v>3.498841048464878</v>
      </c>
    </row>
    <row r="430" spans="17:19">
      <c r="Q430" s="19">
        <f t="shared" si="26"/>
        <v>94.749999999998366</v>
      </c>
      <c r="R430" s="10">
        <f t="shared" si="24"/>
        <v>0.98548618569843227</v>
      </c>
      <c r="S430" s="5">
        <f t="shared" si="25"/>
        <v>3.4766638450909961</v>
      </c>
    </row>
    <row r="431" spans="17:19">
      <c r="Q431" s="19">
        <f t="shared" si="26"/>
        <v>94.833333333331694</v>
      </c>
      <c r="R431" s="10">
        <f t="shared" si="24"/>
        <v>0.98534533661612189</v>
      </c>
      <c r="S431" s="5">
        <f t="shared" si="25"/>
        <v>3.4545785037416472</v>
      </c>
    </row>
    <row r="432" spans="17:19">
      <c r="Q432" s="19">
        <f t="shared" si="26"/>
        <v>94.916666666665023</v>
      </c>
      <c r="R432" s="10">
        <f t="shared" si="24"/>
        <v>0.98520312922518372</v>
      </c>
      <c r="S432" s="5">
        <f t="shared" si="25"/>
        <v>3.4325851294467737</v>
      </c>
    </row>
    <row r="433" spans="17:19">
      <c r="Q433" s="19">
        <f t="shared" si="26"/>
        <v>94.999999999998352</v>
      </c>
      <c r="R433" s="10">
        <f t="shared" si="24"/>
        <v>0.98505955062834438</v>
      </c>
      <c r="S433" s="5">
        <f t="shared" si="25"/>
        <v>3.4106838227377856</v>
      </c>
    </row>
    <row r="434" spans="17:19">
      <c r="Q434" s="19">
        <f t="shared" si="26"/>
        <v>95.08333333333168</v>
      </c>
      <c r="R434" s="10">
        <f t="shared" si="24"/>
        <v>0.98491458780984065</v>
      </c>
      <c r="S434" s="5">
        <f t="shared" si="25"/>
        <v>3.3888746796491178</v>
      </c>
    </row>
    <row r="435" spans="17:19">
      <c r="Q435" s="19">
        <f t="shared" si="26"/>
        <v>95.166666666665009</v>
      </c>
      <c r="R435" s="10">
        <f t="shared" si="24"/>
        <v>0.98476822763440963</v>
      </c>
      <c r="S435" s="5">
        <f t="shared" si="25"/>
        <v>3.3671577917203295</v>
      </c>
    </row>
    <row r="436" spans="17:19">
      <c r="Q436" s="19">
        <f t="shared" si="26"/>
        <v>95.249999999998337</v>
      </c>
      <c r="R436" s="10">
        <f t="shared" si="24"/>
        <v>0.98462045684627175</v>
      </c>
      <c r="S436" s="5">
        <f t="shared" si="25"/>
        <v>3.3455332459987428</v>
      </c>
    </row>
    <row r="437" spans="17:19">
      <c r="Q437" s="19">
        <f t="shared" si="26"/>
        <v>95.333333333331666</v>
      </c>
      <c r="R437" s="10">
        <f t="shared" si="24"/>
        <v>0.9844712620681072</v>
      </c>
      <c r="S437" s="5">
        <f t="shared" si="25"/>
        <v>3.324001125042622</v>
      </c>
    </row>
    <row r="438" spans="17:19">
      <c r="Q438" s="19">
        <f t="shared" si="26"/>
        <v>95.416666666664995</v>
      </c>
      <c r="R438" s="10">
        <f t="shared" si="24"/>
        <v>0.98432062980002477</v>
      </c>
      <c r="S438" s="5">
        <f t="shared" si="25"/>
        <v>3.3025615069248917</v>
      </c>
    </row>
    <row r="439" spans="17:19">
      <c r="Q439" s="19">
        <f t="shared" si="26"/>
        <v>95.499999999998323</v>
      </c>
      <c r="R439" s="10">
        <f t="shared" si="24"/>
        <v>0.98416854641852358</v>
      </c>
      <c r="S439" s="5">
        <f t="shared" si="25"/>
        <v>3.2812144652373911</v>
      </c>
    </row>
    <row r="440" spans="17:19">
      <c r="Q440" s="19">
        <f t="shared" si="26"/>
        <v>95.583333333331652</v>
      </c>
      <c r="R440" s="10">
        <f t="shared" si="24"/>
        <v>0.98401499817544891</v>
      </c>
      <c r="S440" s="5">
        <f t="shared" si="25"/>
        <v>3.25996006909567</v>
      </c>
    </row>
    <row r="441" spans="17:19">
      <c r="Q441" s="19">
        <f t="shared" si="26"/>
        <v>95.66666666666498</v>
      </c>
      <c r="R441" s="10">
        <f t="shared" si="24"/>
        <v>0.98385997119693913</v>
      </c>
      <c r="S441" s="5">
        <f t="shared" si="25"/>
        <v>3.2387983831443137</v>
      </c>
    </row>
    <row r="442" spans="17:19">
      <c r="Q442" s="19">
        <f t="shared" si="26"/>
        <v>95.749999999998309</v>
      </c>
      <c r="R442" s="10">
        <f t="shared" si="24"/>
        <v>0.98370345148236704</v>
      </c>
      <c r="S442" s="5">
        <f t="shared" si="25"/>
        <v>3.2177294675628061</v>
      </c>
    </row>
    <row r="443" spans="17:19">
      <c r="Q443" s="19">
        <f t="shared" si="26"/>
        <v>95.833333333331638</v>
      </c>
      <c r="R443" s="10">
        <f t="shared" si="24"/>
        <v>0.98354542490327357</v>
      </c>
      <c r="S443" s="5">
        <f t="shared" si="25"/>
        <v>3.1967533780719264</v>
      </c>
    </row>
    <row r="444" spans="17:19">
      <c r="Q444" s="19">
        <f t="shared" si="26"/>
        <v>95.916666666664966</v>
      </c>
      <c r="R444" s="10">
        <f t="shared" si="24"/>
        <v>0.98338587720229442</v>
      </c>
      <c r="S444" s="5">
        <f t="shared" si="25"/>
        <v>3.175870165940673</v>
      </c>
    </row>
    <row r="445" spans="17:19">
      <c r="Q445" s="19">
        <f t="shared" si="26"/>
        <v>95.999999999998295</v>
      </c>
      <c r="R445" s="10">
        <f t="shared" si="24"/>
        <v>0.98322479399207907</v>
      </c>
      <c r="S445" s="5">
        <f t="shared" si="25"/>
        <v>3.1550798779937188</v>
      </c>
    </row>
    <row r="446" spans="17:19">
      <c r="Q446" s="19">
        <f t="shared" si="26"/>
        <v>96.083333333331623</v>
      </c>
      <c r="R446" s="10">
        <f t="shared" si="24"/>
        <v>0.98306216075420416</v>
      </c>
      <c r="S446" s="5">
        <f t="shared" si="25"/>
        <v>3.1343825566193964</v>
      </c>
    </row>
    <row r="447" spans="17:19">
      <c r="Q447" s="19">
        <f t="shared" si="26"/>
        <v>96.166666666664952</v>
      </c>
      <c r="R447" s="10">
        <f t="shared" si="24"/>
        <v>0.98289796283807751</v>
      </c>
      <c r="S447" s="5">
        <f t="shared" si="25"/>
        <v>3.1137782397782017</v>
      </c>
    </row>
    <row r="448" spans="17:19">
      <c r="Q448" s="19">
        <f t="shared" si="26"/>
        <v>96.24999999999828</v>
      </c>
      <c r="R448" s="10">
        <f t="shared" si="24"/>
        <v>0.98273218545983732</v>
      </c>
      <c r="S448" s="5">
        <f t="shared" si="25"/>
        <v>3.0932669610118304</v>
      </c>
    </row>
    <row r="449" spans="17:19">
      <c r="Q449" s="19">
        <f t="shared" si="26"/>
        <v>96.333333333331609</v>
      </c>
      <c r="R449" s="10">
        <f t="shared" si="24"/>
        <v>0.98256481370124282</v>
      </c>
      <c r="S449" s="5">
        <f t="shared" si="25"/>
        <v>3.072848749452727</v>
      </c>
    </row>
    <row r="450" spans="17:19">
      <c r="Q450" s="19">
        <f t="shared" si="26"/>
        <v>96.416666666664938</v>
      </c>
      <c r="R450" s="10">
        <f t="shared" si="24"/>
        <v>0.98239583250855822</v>
      </c>
      <c r="S450" s="5">
        <f t="shared" si="25"/>
        <v>3.0525236298341576</v>
      </c>
    </row>
    <row r="451" spans="17:19">
      <c r="Q451" s="19">
        <f t="shared" si="26"/>
        <v>96.499999999998266</v>
      </c>
      <c r="R451" s="10">
        <f t="shared" si="24"/>
        <v>0.98222522669142942</v>
      </c>
      <c r="S451" s="5">
        <f t="shared" si="25"/>
        <v>3.0322916225007974</v>
      </c>
    </row>
    <row r="452" spans="17:19">
      <c r="Q452" s="19">
        <f t="shared" si="26"/>
        <v>96.583333333331595</v>
      </c>
      <c r="R452" s="10">
        <f t="shared" si="24"/>
        <v>0.98205298092175397</v>
      </c>
      <c r="S452" s="5">
        <f t="shared" si="25"/>
        <v>3.0121527434198336</v>
      </c>
    </row>
    <row r="453" spans="17:19">
      <c r="Q453" s="19">
        <f t="shared" si="26"/>
        <v>96.666666666664923</v>
      </c>
      <c r="R453" s="10">
        <f t="shared" si="24"/>
        <v>0.98187907973254307</v>
      </c>
      <c r="S453" s="5">
        <f t="shared" si="25"/>
        <v>2.9921070041925741</v>
      </c>
    </row>
    <row r="454" spans="17:19">
      <c r="Q454" s="19">
        <f t="shared" si="26"/>
        <v>96.749999999998252</v>
      </c>
      <c r="R454" s="10">
        <f t="shared" si="24"/>
        <v>0.98170350751677771</v>
      </c>
      <c r="S454" s="5">
        <f t="shared" si="25"/>
        <v>2.9721544120665739</v>
      </c>
    </row>
    <row r="455" spans="17:19">
      <c r="Q455" s="19">
        <f t="shared" si="26"/>
        <v>96.833333333331581</v>
      </c>
      <c r="R455" s="10">
        <f t="shared" si="24"/>
        <v>0.98152624852625636</v>
      </c>
      <c r="S455" s="5">
        <f t="shared" si="25"/>
        <v>2.9522949699482575</v>
      </c>
    </row>
    <row r="456" spans="17:19">
      <c r="Q456" s="19">
        <f t="shared" si="26"/>
        <v>96.916666666664909</v>
      </c>
      <c r="R456" s="10">
        <f t="shared" si="24"/>
        <v>0.98134728687043693</v>
      </c>
      <c r="S456" s="5">
        <f t="shared" si="25"/>
        <v>2.932528676416049</v>
      </c>
    </row>
    <row r="457" spans="17:19">
      <c r="Q457" s="19">
        <f t="shared" si="26"/>
        <v>96.999999999998238</v>
      </c>
      <c r="R457" s="10">
        <f t="shared" si="24"/>
        <v>0.98116660651527021</v>
      </c>
      <c r="S457" s="5">
        <f t="shared" si="25"/>
        <v>2.9128555257340003</v>
      </c>
    </row>
    <row r="458" spans="17:19">
      <c r="Q458" s="19">
        <f t="shared" si="26"/>
        <v>97.083333333331566</v>
      </c>
      <c r="R458" s="10">
        <f t="shared" si="24"/>
        <v>0.9809841912820273</v>
      </c>
      <c r="S458" s="5">
        <f t="shared" si="25"/>
        <v>2.8932755078659134</v>
      </c>
    </row>
    <row r="459" spans="17:19">
      <c r="Q459" s="19">
        <f t="shared" si="26"/>
        <v>97.166666666664895</v>
      </c>
      <c r="R459" s="10">
        <f t="shared" si="24"/>
        <v>0.9808000248461195</v>
      </c>
      <c r="S459" s="5">
        <f t="shared" si="25"/>
        <v>2.8737886084899595</v>
      </c>
    </row>
    <row r="460" spans="17:19">
      <c r="Q460" s="19">
        <f t="shared" si="26"/>
        <v>97.249999999998224</v>
      </c>
      <c r="R460" s="10">
        <f t="shared" si="24"/>
        <v>0.98061409073591144</v>
      </c>
      <c r="S460" s="5">
        <f t="shared" si="25"/>
        <v>2.8543948090137832</v>
      </c>
    </row>
    <row r="461" spans="17:19">
      <c r="Q461" s="19">
        <f t="shared" si="26"/>
        <v>97.333333333331552</v>
      </c>
      <c r="R461" s="10">
        <f t="shared" si="24"/>
        <v>0.98042637233152652</v>
      </c>
      <c r="S461" s="5">
        <f t="shared" si="25"/>
        <v>2.8350940865900931</v>
      </c>
    </row>
    <row r="462" spans="17:19">
      <c r="Q462" s="19">
        <f t="shared" si="26"/>
        <v>97.416666666664881</v>
      </c>
      <c r="R462" s="10">
        <f t="shared" ref="R462:R525" si="27">(R$9^(1/12))*R$10^((R$8^(Q462))*((R$8^(1/12))-1))</f>
        <v>0.98023685286364637</v>
      </c>
      <c r="S462" s="5">
        <f t="shared" ref="S462:S525" si="28">(1/12)+R462*S463/((1+B$3)^(1/12))</f>
        <v>2.8158864141327369</v>
      </c>
    </row>
    <row r="463" spans="17:19">
      <c r="Q463" s="19">
        <f t="shared" ref="Q463:Q526" si="29">Q462+1/12</f>
        <v>97.499999999998209</v>
      </c>
      <c r="R463" s="10">
        <f t="shared" si="27"/>
        <v>0.98004551541230234</v>
      </c>
      <c r="S463" s="5">
        <f t="shared" si="28"/>
        <v>2.7967717603332516</v>
      </c>
    </row>
    <row r="464" spans="17:19">
      <c r="Q464" s="19">
        <f t="shared" si="29"/>
        <v>97.583333333331538</v>
      </c>
      <c r="R464" s="10">
        <f t="shared" si="27"/>
        <v>0.97985234290566048</v>
      </c>
      <c r="S464" s="5">
        <f t="shared" si="28"/>
        <v>2.7777500896778884</v>
      </c>
    </row>
    <row r="465" spans="17:19">
      <c r="Q465" s="19">
        <f t="shared" si="29"/>
        <v>97.666666666664867</v>
      </c>
      <c r="R465" s="10">
        <f t="shared" si="27"/>
        <v>0.97965731811879952</v>
      </c>
      <c r="S465" s="5">
        <f t="shared" si="28"/>
        <v>2.7588213624651092</v>
      </c>
    </row>
    <row r="466" spans="17:19">
      <c r="Q466" s="19">
        <f t="shared" si="29"/>
        <v>97.749999999998195</v>
      </c>
      <c r="R466" s="10">
        <f t="shared" si="27"/>
        <v>0.97946042367248143</v>
      </c>
      <c r="S466" s="5">
        <f t="shared" si="28"/>
        <v>2.7399855348235476</v>
      </c>
    </row>
    <row r="467" spans="17:19">
      <c r="Q467" s="19">
        <f t="shared" si="29"/>
        <v>97.833333333331524</v>
      </c>
      <c r="R467" s="10">
        <f t="shared" si="27"/>
        <v>0.97926164203191601</v>
      </c>
      <c r="S467" s="5">
        <f t="shared" si="28"/>
        <v>2.721242558730435</v>
      </c>
    </row>
    <row r="468" spans="17:19">
      <c r="Q468" s="19">
        <f t="shared" si="29"/>
        <v>97.916666666664852</v>
      </c>
      <c r="R468" s="10">
        <f t="shared" si="27"/>
        <v>0.97906095550551808</v>
      </c>
      <c r="S468" s="5">
        <f t="shared" si="28"/>
        <v>2.7025923820304785</v>
      </c>
    </row>
    <row r="469" spans="17:19">
      <c r="Q469" s="19">
        <f t="shared" si="29"/>
        <v>97.999999999998181</v>
      </c>
      <c r="R469" s="10">
        <f t="shared" si="27"/>
        <v>0.9788583462436572</v>
      </c>
      <c r="S469" s="5">
        <f t="shared" si="28"/>
        <v>2.6840349484551971</v>
      </c>
    </row>
    <row r="470" spans="17:19">
      <c r="Q470" s="19">
        <f t="shared" si="29"/>
        <v>98.08333333333151</v>
      </c>
      <c r="R470" s="10">
        <f t="shared" si="27"/>
        <v>0.97865379623740156</v>
      </c>
      <c r="S470" s="5">
        <f t="shared" si="28"/>
        <v>2.6655701976427055</v>
      </c>
    </row>
    <row r="471" spans="17:19">
      <c r="Q471" s="19">
        <f t="shared" si="29"/>
        <v>98.166666666664838</v>
      </c>
      <c r="R471" s="10">
        <f t="shared" si="27"/>
        <v>0.97844728731725494</v>
      </c>
      <c r="S471" s="5">
        <f t="shared" si="28"/>
        <v>2.6471980651579399</v>
      </c>
    </row>
    <row r="472" spans="17:19">
      <c r="Q472" s="19">
        <f t="shared" si="29"/>
        <v>98.249999999998167</v>
      </c>
      <c r="R472" s="10">
        <f t="shared" si="27"/>
        <v>0.97823880115188566</v>
      </c>
      <c r="S472" s="5">
        <f t="shared" si="28"/>
        <v>2.6289184825133249</v>
      </c>
    </row>
    <row r="473" spans="17:19">
      <c r="Q473" s="19">
        <f t="shared" si="29"/>
        <v>98.333333333331495</v>
      </c>
      <c r="R473" s="10">
        <f t="shared" si="27"/>
        <v>0.97802831924685107</v>
      </c>
      <c r="S473" s="5">
        <f t="shared" si="28"/>
        <v>2.610731377189877</v>
      </c>
    </row>
    <row r="474" spans="17:19">
      <c r="Q474" s="19">
        <f t="shared" si="29"/>
        <v>98.416666666664824</v>
      </c>
      <c r="R474" s="10">
        <f t="shared" si="27"/>
        <v>0.97781582294331293</v>
      </c>
      <c r="S474" s="5">
        <f t="shared" si="28"/>
        <v>2.5926366726587324</v>
      </c>
    </row>
    <row r="475" spans="17:19">
      <c r="Q475" s="19">
        <f t="shared" si="29"/>
        <v>98.499999999998153</v>
      </c>
      <c r="R475" s="10">
        <f t="shared" si="27"/>
        <v>0.97760129341674828</v>
      </c>
      <c r="S475" s="5">
        <f t="shared" si="28"/>
        <v>2.574634288403105</v>
      </c>
    </row>
    <row r="476" spans="17:19">
      <c r="Q476" s="19">
        <f t="shared" si="29"/>
        <v>98.583333333331481</v>
      </c>
      <c r="R476" s="10">
        <f t="shared" si="27"/>
        <v>0.97738471167565166</v>
      </c>
      <c r="S476" s="5">
        <f t="shared" si="28"/>
        <v>2.5567241399406608</v>
      </c>
    </row>
    <row r="477" spans="17:19">
      <c r="Q477" s="19">
        <f t="shared" si="29"/>
        <v>98.66666666666481</v>
      </c>
      <c r="R477" s="10">
        <f t="shared" si="27"/>
        <v>0.97716605856023286</v>
      </c>
      <c r="S477" s="5">
        <f t="shared" si="28"/>
        <v>2.5389061388463103</v>
      </c>
    </row>
    <row r="478" spans="17:19">
      <c r="Q478" s="19">
        <f t="shared" si="29"/>
        <v>98.749999999998138</v>
      </c>
      <c r="R478" s="10">
        <f t="shared" si="27"/>
        <v>0.97694531474110669</v>
      </c>
      <c r="S478" s="5">
        <f t="shared" si="28"/>
        <v>2.5211801927754052</v>
      </c>
    </row>
    <row r="479" spans="17:19">
      <c r="Q479" s="19">
        <f t="shared" si="29"/>
        <v>98.833333333331467</v>
      </c>
      <c r="R479" s="10">
        <f t="shared" si="27"/>
        <v>0.97672246071797664</v>
      </c>
      <c r="S479" s="5">
        <f t="shared" si="28"/>
        <v>2.5035462054873432</v>
      </c>
    </row>
    <row r="480" spans="17:19">
      <c r="Q480" s="19">
        <f t="shared" si="29"/>
        <v>98.916666666664796</v>
      </c>
      <c r="R480" s="10">
        <f t="shared" si="27"/>
        <v>0.97649747681831256</v>
      </c>
      <c r="S480" s="5">
        <f t="shared" si="28"/>
        <v>2.4860040768695719</v>
      </c>
    </row>
    <row r="481" spans="17:19">
      <c r="Q481" s="19">
        <f t="shared" si="29"/>
        <v>98.999999999998124</v>
      </c>
      <c r="R481" s="10">
        <f t="shared" si="27"/>
        <v>0.97627034319602202</v>
      </c>
      <c r="S481" s="5">
        <f t="shared" si="28"/>
        <v>2.4685537029619828</v>
      </c>
    </row>
    <row r="482" spans="17:19">
      <c r="Q482" s="19">
        <f t="shared" si="29"/>
        <v>99.083333333331453</v>
      </c>
      <c r="R482" s="10">
        <f t="shared" si="27"/>
        <v>0.97604103983011437</v>
      </c>
      <c r="S482" s="5">
        <f t="shared" si="28"/>
        <v>2.4511949759816947</v>
      </c>
    </row>
    <row r="483" spans="17:19">
      <c r="Q483" s="19">
        <f t="shared" si="29"/>
        <v>99.166666666664781</v>
      </c>
      <c r="R483" s="10">
        <f t="shared" si="27"/>
        <v>0.97580954652335961</v>
      </c>
      <c r="S483" s="5">
        <f t="shared" si="28"/>
        <v>2.433927784348219</v>
      </c>
    </row>
    <row r="484" spans="17:19">
      <c r="Q484" s="19">
        <f t="shared" si="29"/>
        <v>99.24999999999811</v>
      </c>
      <c r="R484" s="10">
        <f t="shared" si="27"/>
        <v>0.97557584290094135</v>
      </c>
      <c r="S484" s="5">
        <f t="shared" si="28"/>
        <v>2.416752012709003</v>
      </c>
    </row>
    <row r="485" spans="17:19">
      <c r="Q485" s="19">
        <f t="shared" si="29"/>
        <v>99.333333333331439</v>
      </c>
      <c r="R485" s="10">
        <f t="shared" si="27"/>
        <v>0.97533990840910256</v>
      </c>
      <c r="S485" s="5">
        <f t="shared" si="28"/>
        <v>2.399667541965341</v>
      </c>
    </row>
    <row r="486" spans="17:19">
      <c r="Q486" s="19">
        <f t="shared" si="29"/>
        <v>99.416666666664767</v>
      </c>
      <c r="R486" s="10">
        <f t="shared" si="27"/>
        <v>0.97510172231378645</v>
      </c>
      <c r="S486" s="5">
        <f t="shared" si="28"/>
        <v>2.3826742492986517</v>
      </c>
    </row>
    <row r="487" spans="17:19">
      <c r="Q487" s="19">
        <f t="shared" si="29"/>
        <v>99.499999999998096</v>
      </c>
      <c r="R487" s="10">
        <f t="shared" si="27"/>
        <v>0.97486126369927029</v>
      </c>
      <c r="S487" s="5">
        <f t="shared" si="28"/>
        <v>2.3657720081971143</v>
      </c>
    </row>
    <row r="488" spans="17:19">
      <c r="Q488" s="19">
        <f t="shared" si="29"/>
        <v>99.583333333331424</v>
      </c>
      <c r="R488" s="10">
        <f t="shared" si="27"/>
        <v>0.97461851146679446</v>
      </c>
      <c r="S488" s="5">
        <f t="shared" si="28"/>
        <v>2.3489606884826579</v>
      </c>
    </row>
    <row r="489" spans="17:19">
      <c r="Q489" s="19">
        <f t="shared" si="29"/>
        <v>99.666666666664753</v>
      </c>
      <c r="R489" s="10">
        <f t="shared" si="27"/>
        <v>0.9743734443331854</v>
      </c>
      <c r="S489" s="5">
        <f t="shared" si="28"/>
        <v>2.3322401563382971</v>
      </c>
    </row>
    <row r="490" spans="17:19">
      <c r="Q490" s="19">
        <f t="shared" si="29"/>
        <v>99.749999999998082</v>
      </c>
      <c r="R490" s="10">
        <f t="shared" si="27"/>
        <v>0.97412604082947207</v>
      </c>
      <c r="S490" s="5">
        <f t="shared" si="28"/>
        <v>2.3156102743358078</v>
      </c>
    </row>
    <row r="491" spans="17:19">
      <c r="Q491" s="19">
        <f t="shared" si="29"/>
        <v>99.83333333333141</v>
      </c>
      <c r="R491" s="10">
        <f t="shared" si="27"/>
        <v>0.97387627929949816</v>
      </c>
      <c r="S491" s="5">
        <f t="shared" si="28"/>
        <v>2.2990709014637409</v>
      </c>
    </row>
    <row r="492" spans="17:19">
      <c r="Q492" s="19">
        <f t="shared" si="29"/>
        <v>99.916666666664739</v>
      </c>
      <c r="R492" s="10">
        <f t="shared" si="27"/>
        <v>0.97362413789852786</v>
      </c>
      <c r="S492" s="5">
        <f t="shared" si="28"/>
        <v>2.2826218931557603</v>
      </c>
    </row>
    <row r="493" spans="17:19">
      <c r="Q493" s="19">
        <f t="shared" si="29"/>
        <v>99.999999999998067</v>
      </c>
      <c r="R493" s="10">
        <f t="shared" si="27"/>
        <v>0.97336959459184624</v>
      </c>
      <c r="S493" s="5">
        <f t="shared" si="28"/>
        <v>2.2662631013193049</v>
      </c>
    </row>
    <row r="494" spans="17:19">
      <c r="Q494" s="19">
        <f t="shared" si="29"/>
        <v>100.0833333333314</v>
      </c>
      <c r="R494" s="10">
        <f t="shared" si="27"/>
        <v>0.97311262715335489</v>
      </c>
      <c r="S494" s="5">
        <f t="shared" si="28"/>
        <v>2.249994374364567</v>
      </c>
    </row>
    <row r="495" spans="17:19">
      <c r="Q495" s="19">
        <f t="shared" si="29"/>
        <v>100.16666666666472</v>
      </c>
      <c r="R495" s="10">
        <f t="shared" si="27"/>
        <v>0.97285321316416162</v>
      </c>
      <c r="S495" s="5">
        <f t="shared" si="28"/>
        <v>2.233815557233779</v>
      </c>
    </row>
    <row r="496" spans="17:19">
      <c r="Q496" s="19">
        <f t="shared" si="29"/>
        <v>100.24999999999805</v>
      </c>
      <c r="R496" s="10">
        <f t="shared" si="27"/>
        <v>0.9725913300111656</v>
      </c>
      <c r="S496" s="5">
        <f t="shared" si="28"/>
        <v>2.2177264914308039</v>
      </c>
    </row>
    <row r="497" spans="17:19">
      <c r="Q497" s="19">
        <f t="shared" si="29"/>
        <v>100.33333333333138</v>
      </c>
      <c r="R497" s="10">
        <f t="shared" si="27"/>
        <v>0.97232695488563747</v>
      </c>
      <c r="S497" s="5">
        <f t="shared" si="28"/>
        <v>2.2017270150510222</v>
      </c>
    </row>
    <row r="498" spans="17:19">
      <c r="Q498" s="19">
        <f t="shared" si="29"/>
        <v>100.41666666666471</v>
      </c>
      <c r="R498" s="10">
        <f t="shared" si="27"/>
        <v>0.97206006478179408</v>
      </c>
      <c r="S498" s="5">
        <f t="shared" si="28"/>
        <v>2.1858169628115083</v>
      </c>
    </row>
    <row r="499" spans="17:19">
      <c r="Q499" s="19">
        <f t="shared" si="29"/>
        <v>100.49999999999804</v>
      </c>
      <c r="R499" s="10">
        <f t="shared" si="27"/>
        <v>0.97179063649536868</v>
      </c>
      <c r="S499" s="5">
        <f t="shared" si="28"/>
        <v>2.1699961660814919</v>
      </c>
    </row>
    <row r="500" spans="17:19">
      <c r="Q500" s="19">
        <f t="shared" si="29"/>
        <v>100.58333333333137</v>
      </c>
      <c r="R500" s="10">
        <f t="shared" si="27"/>
        <v>0.9715186466221768</v>
      </c>
      <c r="S500" s="5">
        <f t="shared" si="28"/>
        <v>2.1542644529130932</v>
      </c>
    </row>
    <row r="501" spans="17:19">
      <c r="Q501" s="19">
        <f t="shared" si="29"/>
        <v>100.6666666666647</v>
      </c>
      <c r="R501" s="10">
        <f t="shared" si="27"/>
        <v>0.97124407155667736</v>
      </c>
      <c r="S501" s="5">
        <f t="shared" si="28"/>
        <v>2.1386216480723328</v>
      </c>
    </row>
    <row r="502" spans="17:19">
      <c r="Q502" s="19">
        <f t="shared" si="29"/>
        <v>100.74999999999802</v>
      </c>
      <c r="R502" s="10">
        <f t="shared" si="27"/>
        <v>0.97096688749052895</v>
      </c>
      <c r="S502" s="5">
        <f t="shared" si="28"/>
        <v>2.1230675730703998</v>
      </c>
    </row>
    <row r="503" spans="17:19">
      <c r="Q503" s="19">
        <f t="shared" si="29"/>
        <v>100.83333333333135</v>
      </c>
      <c r="R503" s="10">
        <f t="shared" si="27"/>
        <v>0.97068707041114277</v>
      </c>
      <c r="S503" s="5">
        <f t="shared" si="28"/>
        <v>2.1076020461951832</v>
      </c>
    </row>
    <row r="504" spans="17:19">
      <c r="Q504" s="19">
        <f t="shared" si="29"/>
        <v>100.91666666666468</v>
      </c>
      <c r="R504" s="10">
        <f t="shared" si="27"/>
        <v>0.97040459610023022</v>
      </c>
      <c r="S504" s="5">
        <f t="shared" si="28"/>
        <v>2.0922248825430456</v>
      </c>
    </row>
    <row r="505" spans="17:19">
      <c r="Q505" s="19">
        <f t="shared" si="29"/>
        <v>100.99999999999801</v>
      </c>
      <c r="R505" s="10">
        <f t="shared" si="27"/>
        <v>0.97011944013234774</v>
      </c>
      <c r="S505" s="5">
        <f t="shared" si="28"/>
        <v>2.0769358940508473</v>
      </c>
    </row>
    <row r="506" spans="17:19">
      <c r="Q506" s="19">
        <f t="shared" si="29"/>
        <v>101.08333333333134</v>
      </c>
      <c r="R506" s="10">
        <f t="shared" si="27"/>
        <v>0.96983157787343677</v>
      </c>
      <c r="S506" s="5">
        <f t="shared" si="28"/>
        <v>2.0617348895282035</v>
      </c>
    </row>
    <row r="507" spans="17:19">
      <c r="Q507" s="19">
        <f t="shared" si="29"/>
        <v>101.16666666666467</v>
      </c>
      <c r="R507" s="10">
        <f t="shared" si="27"/>
        <v>0.96954098447936099</v>
      </c>
      <c r="S507" s="5">
        <f t="shared" si="28"/>
        <v>2.0466216746899701</v>
      </c>
    </row>
    <row r="508" spans="17:19">
      <c r="Q508" s="19">
        <f t="shared" si="29"/>
        <v>101.249999999998</v>
      </c>
      <c r="R508" s="10">
        <f t="shared" si="27"/>
        <v>0.9692476348944391</v>
      </c>
      <c r="S508" s="5">
        <f t="shared" si="28"/>
        <v>2.0315960521889558</v>
      </c>
    </row>
    <row r="509" spans="17:19">
      <c r="Q509" s="19">
        <f t="shared" si="29"/>
        <v>101.33333333333132</v>
      </c>
      <c r="R509" s="10">
        <f t="shared" si="27"/>
        <v>0.96895150384997464</v>
      </c>
      <c r="S509" s="5">
        <f t="shared" si="28"/>
        <v>2.0166578216488453</v>
      </c>
    </row>
    <row r="510" spans="17:19">
      <c r="Q510" s="19">
        <f t="shared" si="29"/>
        <v>101.41666666666465</v>
      </c>
      <c r="R510" s="10">
        <f t="shared" si="27"/>
        <v>0.96865256586278248</v>
      </c>
      <c r="S510" s="5">
        <f t="shared" si="28"/>
        <v>2.0018067796973376</v>
      </c>
    </row>
    <row r="511" spans="17:19">
      <c r="Q511" s="19">
        <f t="shared" si="29"/>
        <v>101.49999999999798</v>
      </c>
      <c r="R511" s="10">
        <f t="shared" si="27"/>
        <v>0.96835079523371259</v>
      </c>
      <c r="S511" s="5">
        <f t="shared" si="28"/>
        <v>1.9870427199994793</v>
      </c>
    </row>
    <row r="512" spans="17:19">
      <c r="Q512" s="19">
        <f t="shared" si="29"/>
        <v>101.58333333333131</v>
      </c>
      <c r="R512" s="10">
        <f t="shared" si="27"/>
        <v>0.96804616604617055</v>
      </c>
      <c r="S512" s="5">
        <f t="shared" si="28"/>
        <v>1.9723654332912011</v>
      </c>
    </row>
    <row r="513" spans="17:19">
      <c r="Q513" s="19">
        <f t="shared" si="29"/>
        <v>101.66666666666464</v>
      </c>
      <c r="R513" s="10">
        <f t="shared" si="27"/>
        <v>0.96773865216463562</v>
      </c>
      <c r="S513" s="5">
        <f t="shared" si="28"/>
        <v>1.9577747074130336</v>
      </c>
    </row>
    <row r="514" spans="17:19">
      <c r="Q514" s="19">
        <f t="shared" si="29"/>
        <v>101.74999999999797</v>
      </c>
      <c r="R514" s="10">
        <f t="shared" si="27"/>
        <v>0.96742822723317545</v>
      </c>
      <c r="S514" s="5">
        <f t="shared" si="28"/>
        <v>1.9432703273440122</v>
      </c>
    </row>
    <row r="515" spans="17:19">
      <c r="Q515" s="19">
        <f t="shared" si="29"/>
        <v>101.8333333333313</v>
      </c>
      <c r="R515" s="10">
        <f t="shared" si="27"/>
        <v>0.96711486467396068</v>
      </c>
      <c r="S515" s="5">
        <f t="shared" si="28"/>
        <v>1.9288520752357521</v>
      </c>
    </row>
    <row r="516" spans="17:19">
      <c r="Q516" s="19">
        <f t="shared" si="29"/>
        <v>101.91666666666463</v>
      </c>
      <c r="R516" s="10">
        <f t="shared" si="27"/>
        <v>0.96679853768577451</v>
      </c>
      <c r="S516" s="5">
        <f t="shared" si="28"/>
        <v>1.9145197304466903</v>
      </c>
    </row>
    <row r="517" spans="17:19">
      <c r="Q517" s="19">
        <f t="shared" si="29"/>
        <v>101.99999999999795</v>
      </c>
      <c r="R517" s="10">
        <f t="shared" si="27"/>
        <v>0.96647921924252223</v>
      </c>
      <c r="S517" s="5">
        <f t="shared" si="28"/>
        <v>1.90027306957649</v>
      </c>
    </row>
    <row r="518" spans="17:19">
      <c r="Q518" s="19">
        <f t="shared" si="29"/>
        <v>102.08333333333128</v>
      </c>
      <c r="R518" s="10">
        <f t="shared" si="27"/>
        <v>0.966156882091739</v>
      </c>
      <c r="S518" s="5">
        <f t="shared" si="28"/>
        <v>1.8861118665005976</v>
      </c>
    </row>
    <row r="519" spans="17:19">
      <c r="Q519" s="19">
        <f t="shared" si="29"/>
        <v>102.16666666666461</v>
      </c>
      <c r="R519" s="10">
        <f t="shared" si="27"/>
        <v>0.96583149875309504</v>
      </c>
      <c r="S519" s="5">
        <f t="shared" si="28"/>
        <v>1.8720358924049454</v>
      </c>
    </row>
    <row r="520" spans="17:19">
      <c r="Q520" s="19">
        <f t="shared" si="29"/>
        <v>102.24999999999794</v>
      </c>
      <c r="R520" s="10">
        <f t="shared" si="27"/>
        <v>0.9655030415169007</v>
      </c>
      <c r="S520" s="5">
        <f t="shared" si="28"/>
        <v>1.8580449158207941</v>
      </c>
    </row>
    <row r="521" spans="17:19">
      <c r="Q521" s="19">
        <f t="shared" si="29"/>
        <v>102.33333333333127</v>
      </c>
      <c r="R521" s="10">
        <f t="shared" si="27"/>
        <v>0.96517148244260975</v>
      </c>
      <c r="S521" s="5">
        <f t="shared" si="28"/>
        <v>1.844138702659708</v>
      </c>
    </row>
    <row r="522" spans="17:19">
      <c r="Q522" s="19">
        <f t="shared" si="29"/>
        <v>102.4166666666646</v>
      </c>
      <c r="R522" s="10">
        <f t="shared" si="27"/>
        <v>0.96483679335732231</v>
      </c>
      <c r="S522" s="5">
        <f t="shared" si="28"/>
        <v>1.8303170162486544</v>
      </c>
    </row>
    <row r="523" spans="17:19">
      <c r="Q523" s="19">
        <f t="shared" si="29"/>
        <v>102.49999999999793</v>
      </c>
      <c r="R523" s="10">
        <f t="shared" si="27"/>
        <v>0.96449894585428664</v>
      </c>
      <c r="S523" s="5">
        <f t="shared" si="28"/>
        <v>1.8165796173652233</v>
      </c>
    </row>
    <row r="524" spans="17:19">
      <c r="Q524" s="19">
        <f t="shared" si="29"/>
        <v>102.58333333333125</v>
      </c>
      <c r="R524" s="10">
        <f t="shared" si="27"/>
        <v>0.96415791129140083</v>
      </c>
      <c r="S524" s="5">
        <f t="shared" si="28"/>
        <v>1.8029262642729567</v>
      </c>
    </row>
    <row r="525" spans="17:19">
      <c r="Q525" s="19">
        <f t="shared" si="29"/>
        <v>102.66666666666458</v>
      </c>
      <c r="R525" s="10">
        <f t="shared" si="27"/>
        <v>0.9638136607897152</v>
      </c>
      <c r="S525" s="5">
        <f t="shared" si="28"/>
        <v>1.7893567127567844</v>
      </c>
    </row>
    <row r="526" spans="17:19">
      <c r="Q526" s="19">
        <f t="shared" si="29"/>
        <v>102.74999999999791</v>
      </c>
      <c r="R526" s="10">
        <f t="shared" ref="R526:R589" si="30">(R$9^(1/12))*R$10^((R$8^(Q526))*((R$8^(1/12))-1))</f>
        <v>0.96346616523193362</v>
      </c>
      <c r="S526" s="5">
        <f t="shared" ref="S526:S589" si="31">(1/12)+R526*S527/((1+B$3)^(1/12))</f>
        <v>1.7758707161585561</v>
      </c>
    </row>
    <row r="527" spans="17:19">
      <c r="Q527" s="19">
        <f t="shared" ref="Q527:Q590" si="32">Q526+1/12</f>
        <v>102.83333333333124</v>
      </c>
      <c r="R527" s="10">
        <f t="shared" si="30"/>
        <v>0.96311539526091516</v>
      </c>
      <c r="S527" s="5">
        <f t="shared" si="31"/>
        <v>1.762468025412663</v>
      </c>
    </row>
    <row r="528" spans="17:19">
      <c r="Q528" s="19">
        <f t="shared" si="32"/>
        <v>102.91666666666457</v>
      </c>
      <c r="R528" s="10">
        <f t="shared" si="30"/>
        <v>0.96276132127817859</v>
      </c>
      <c r="S528" s="5">
        <f t="shared" si="31"/>
        <v>1.7491483890817474</v>
      </c>
    </row>
    <row r="529" spans="17:19">
      <c r="Q529" s="19">
        <f t="shared" si="32"/>
        <v>102.9999999999979</v>
      </c>
      <c r="R529" s="10">
        <f t="shared" si="30"/>
        <v>0.96240391344240506</v>
      </c>
      <c r="S529" s="5">
        <f t="shared" si="31"/>
        <v>1.7359115533924843</v>
      </c>
    </row>
    <row r="530" spans="17:19">
      <c r="Q530" s="19">
        <f t="shared" si="32"/>
        <v>103.08333333333123</v>
      </c>
      <c r="R530" s="10">
        <f t="shared" si="30"/>
        <v>0.96204314166794369</v>
      </c>
      <c r="S530" s="5">
        <f t="shared" si="31"/>
        <v>1.7227572622714364</v>
      </c>
    </row>
    <row r="531" spans="17:19">
      <c r="Q531" s="19">
        <f t="shared" si="32"/>
        <v>103.16666666666455</v>
      </c>
      <c r="R531" s="10">
        <f t="shared" si="30"/>
        <v>0.96167897562331872</v>
      </c>
      <c r="S531" s="5">
        <f t="shared" si="31"/>
        <v>1.7096852573809713</v>
      </c>
    </row>
    <row r="532" spans="17:19">
      <c r="Q532" s="19">
        <f t="shared" si="32"/>
        <v>103.24999999999788</v>
      </c>
      <c r="R532" s="10">
        <f t="shared" si="30"/>
        <v>0.96131138472973754</v>
      </c>
      <c r="S532" s="5">
        <f t="shared" si="31"/>
        <v>1.6966952781552351</v>
      </c>
    </row>
    <row r="533" spans="17:19">
      <c r="Q533" s="19">
        <f t="shared" si="32"/>
        <v>103.33333333333121</v>
      </c>
      <c r="R533" s="10">
        <f t="shared" si="30"/>
        <v>0.96094033815960211</v>
      </c>
      <c r="S533" s="5">
        <f t="shared" si="31"/>
        <v>1.6837870618361765</v>
      </c>
    </row>
    <row r="534" spans="17:19">
      <c r="Q534" s="19">
        <f t="shared" si="32"/>
        <v>103.41666666666454</v>
      </c>
      <c r="R534" s="10">
        <f t="shared" si="30"/>
        <v>0.96056580483502174</v>
      </c>
      <c r="S534" s="5">
        <f t="shared" si="31"/>
        <v>1.6709603435096123</v>
      </c>
    </row>
    <row r="535" spans="17:19">
      <c r="Q535" s="19">
        <f t="shared" si="32"/>
        <v>103.49999999999787</v>
      </c>
      <c r="R535" s="10">
        <f t="shared" si="30"/>
        <v>0.96018775342632945</v>
      </c>
      <c r="S535" s="5">
        <f t="shared" si="31"/>
        <v>1.6582148561413304</v>
      </c>
    </row>
    <row r="536" spans="17:19">
      <c r="Q536" s="19">
        <f t="shared" si="32"/>
        <v>103.5833333333312</v>
      </c>
      <c r="R536" s="10">
        <f t="shared" si="30"/>
        <v>0.9598061523506014</v>
      </c>
      <c r="S536" s="5">
        <f t="shared" si="31"/>
        <v>1.6455503306132224</v>
      </c>
    </row>
    <row r="537" spans="17:19">
      <c r="Q537" s="19">
        <f t="shared" si="32"/>
        <v>103.66666666666453</v>
      </c>
      <c r="R537" s="10">
        <f t="shared" si="30"/>
        <v>0.95942096977017899</v>
      </c>
      <c r="S537" s="5">
        <f t="shared" si="31"/>
        <v>1.632966495759439</v>
      </c>
    </row>
    <row r="538" spans="17:19">
      <c r="Q538" s="19">
        <f t="shared" si="32"/>
        <v>103.74999999999785</v>
      </c>
      <c r="R538" s="10">
        <f t="shared" si="30"/>
        <v>0.95903217359119608</v>
      </c>
      <c r="S538" s="5">
        <f t="shared" si="31"/>
        <v>1.6204630784025613</v>
      </c>
    </row>
    <row r="539" spans="17:19">
      <c r="Q539" s="19">
        <f t="shared" si="32"/>
        <v>103.83333333333118</v>
      </c>
      <c r="R539" s="10">
        <f t="shared" si="30"/>
        <v>0.95863973146210923</v>
      </c>
      <c r="S539" s="5">
        <f t="shared" si="31"/>
        <v>1.6080398033897823</v>
      </c>
    </row>
    <row r="540" spans="17:19">
      <c r="Q540" s="19">
        <f t="shared" si="32"/>
        <v>103.91666666666451</v>
      </c>
      <c r="R540" s="10">
        <f t="shared" si="30"/>
        <v>0.95824361077223341</v>
      </c>
      <c r="S540" s="5">
        <f t="shared" si="31"/>
        <v>1.595696393629092</v>
      </c>
    </row>
    <row r="541" spans="17:19">
      <c r="Q541" s="19">
        <f t="shared" si="32"/>
        <v>103.99999999999784</v>
      </c>
      <c r="R541" s="10">
        <f t="shared" si="30"/>
        <v>0.95784377865028159</v>
      </c>
      <c r="S541" s="5">
        <f t="shared" si="31"/>
        <v>1.5834325701254586</v>
      </c>
    </row>
    <row r="542" spans="17:19">
      <c r="Q542" s="19">
        <f t="shared" si="32"/>
        <v>104.08333333333117</v>
      </c>
      <c r="R542" s="10">
        <f t="shared" si="30"/>
        <v>0.9574402019629108</v>
      </c>
      <c r="S542" s="5">
        <f t="shared" si="31"/>
        <v>1.5712480520170005</v>
      </c>
    </row>
    <row r="543" spans="17:19">
      <c r="Q543" s="19">
        <f t="shared" si="32"/>
        <v>104.1666666666645</v>
      </c>
      <c r="R543" s="10">
        <f t="shared" si="30"/>
        <v>0.95703284731327287</v>
      </c>
      <c r="S543" s="5">
        <f t="shared" si="31"/>
        <v>1.5591425566111423</v>
      </c>
    </row>
    <row r="544" spans="17:19">
      <c r="Q544" s="19">
        <f t="shared" si="32"/>
        <v>104.24999999999783</v>
      </c>
      <c r="R544" s="10">
        <f t="shared" si="30"/>
        <v>0.95662168103957224</v>
      </c>
      <c r="S544" s="5">
        <f t="shared" si="31"/>
        <v>1.5471157994207489</v>
      </c>
    </row>
    <row r="545" spans="17:19">
      <c r="Q545" s="19">
        <f t="shared" si="32"/>
        <v>104.33333333333115</v>
      </c>
      <c r="R545" s="10">
        <f t="shared" si="30"/>
        <v>0.95620666921362907</v>
      </c>
      <c r="S545" s="5">
        <f t="shared" si="31"/>
        <v>1.5351674942002296</v>
      </c>
    </row>
    <row r="546" spans="17:19">
      <c r="Q546" s="19">
        <f t="shared" si="32"/>
        <v>104.41666666666448</v>
      </c>
      <c r="R546" s="10">
        <f t="shared" si="30"/>
        <v>0.95578777763945066</v>
      </c>
      <c r="S546" s="5">
        <f t="shared" si="31"/>
        <v>1.5232973529816085</v>
      </c>
    </row>
    <row r="547" spans="17:19">
      <c r="Q547" s="19">
        <f t="shared" si="32"/>
        <v>104.49999999999781</v>
      </c>
      <c r="R547" s="10">
        <f t="shared" si="30"/>
        <v>0.95536497185180891</v>
      </c>
      <c r="S547" s="5">
        <f t="shared" si="31"/>
        <v>1.5115050861105539</v>
      </c>
    </row>
    <row r="548" spans="17:19">
      <c r="Q548" s="19">
        <f t="shared" si="32"/>
        <v>104.58333333333114</v>
      </c>
      <c r="R548" s="10">
        <f t="shared" si="30"/>
        <v>0.95493821711482652</v>
      </c>
      <c r="S548" s="5">
        <f t="shared" si="31"/>
        <v>1.4997904022823603</v>
      </c>
    </row>
    <row r="549" spans="17:19">
      <c r="Q549" s="19">
        <f t="shared" si="32"/>
        <v>104.66666666666447</v>
      </c>
      <c r="R549" s="10">
        <f t="shared" si="30"/>
        <v>0.95450747842057104</v>
      </c>
      <c r="S549" s="5">
        <f t="shared" si="31"/>
        <v>1.4881530085778762</v>
      </c>
    </row>
    <row r="550" spans="17:19">
      <c r="Q550" s="19">
        <f t="shared" si="32"/>
        <v>104.7499999999978</v>
      </c>
      <c r="R550" s="10">
        <f t="shared" si="30"/>
        <v>0.95407272048765746</v>
      </c>
      <c r="S550" s="5">
        <f t="shared" si="31"/>
        <v>1.476592610499375</v>
      </c>
    </row>
    <row r="551" spans="17:19">
      <c r="Q551" s="19">
        <f t="shared" si="32"/>
        <v>104.83333333333113</v>
      </c>
      <c r="R551" s="10">
        <f t="shared" si="30"/>
        <v>0.9536339077598609</v>
      </c>
      <c r="S551" s="5">
        <f t="shared" si="31"/>
        <v>1.4651089120063578</v>
      </c>
    </row>
    <row r="552" spans="17:19">
      <c r="Q552" s="19">
        <f t="shared" si="32"/>
        <v>104.91666666666445</v>
      </c>
      <c r="R552" s="10">
        <f t="shared" si="30"/>
        <v>0.95319100440473703</v>
      </c>
      <c r="S552" s="5">
        <f t="shared" si="31"/>
        <v>1.4537016155512876</v>
      </c>
    </row>
    <row r="553" spans="17:19">
      <c r="Q553" s="19">
        <f t="shared" si="32"/>
        <v>104.99999999999778</v>
      </c>
      <c r="R553" s="10">
        <f t="shared" si="30"/>
        <v>0.95274397431225533</v>
      </c>
      <c r="S553" s="5">
        <f t="shared" si="31"/>
        <v>1.4423704221152449</v>
      </c>
    </row>
    <row r="554" spans="17:19">
      <c r="Q554" s="19">
        <f t="shared" si="32"/>
        <v>105.08333333333111</v>
      </c>
      <c r="R554" s="10">
        <f t="shared" si="30"/>
        <v>0.95229278109344007</v>
      </c>
      <c r="S554" s="5">
        <f t="shared" si="31"/>
        <v>1.4311150312435013</v>
      </c>
    </row>
    <row r="555" spans="17:19">
      <c r="Q555" s="19">
        <f t="shared" si="32"/>
        <v>105.16666666666444</v>
      </c>
      <c r="R555" s="10">
        <f t="shared" si="30"/>
        <v>0.95183738807902518</v>
      </c>
      <c r="S555" s="5">
        <f t="shared" si="31"/>
        <v>1.4199351410810046</v>
      </c>
    </row>
    <row r="556" spans="17:19">
      <c r="Q556" s="19">
        <f t="shared" si="32"/>
        <v>105.24999999999777</v>
      </c>
      <c r="R556" s="10">
        <f t="shared" si="30"/>
        <v>0.95137775831811877</v>
      </c>
      <c r="S556" s="5">
        <f t="shared" si="31"/>
        <v>1.4088304484077703</v>
      </c>
    </row>
    <row r="557" spans="17:19">
      <c r="Q557" s="19">
        <f t="shared" si="32"/>
        <v>105.3333333333311</v>
      </c>
      <c r="R557" s="10">
        <f t="shared" si="30"/>
        <v>0.95091385457688049</v>
      </c>
      <c r="S557" s="5">
        <f t="shared" si="31"/>
        <v>1.3978006486741721</v>
      </c>
    </row>
    <row r="558" spans="17:19">
      <c r="Q558" s="19">
        <f t="shared" si="32"/>
        <v>105.41666666666443</v>
      </c>
      <c r="R558" s="10">
        <f t="shared" si="30"/>
        <v>0.95044563933721293</v>
      </c>
      <c r="S558" s="5">
        <f t="shared" si="31"/>
        <v>1.3868454360361293</v>
      </c>
    </row>
    <row r="559" spans="17:19">
      <c r="Q559" s="19">
        <f t="shared" si="32"/>
        <v>105.49999999999775</v>
      </c>
      <c r="R559" s="10">
        <f t="shared" si="30"/>
        <v>0.94997307479546378</v>
      </c>
      <c r="S559" s="5">
        <f t="shared" si="31"/>
        <v>1.3759645033901817</v>
      </c>
    </row>
    <row r="560" spans="17:19">
      <c r="Q560" s="19">
        <f t="shared" si="32"/>
        <v>105.58333333333108</v>
      </c>
      <c r="R560" s="10">
        <f t="shared" si="30"/>
        <v>0.9494961228611446</v>
      </c>
      <c r="S560" s="5">
        <f t="shared" si="31"/>
        <v>1.3651575424084499</v>
      </c>
    </row>
    <row r="561" spans="17:19">
      <c r="Q561" s="19">
        <f t="shared" si="32"/>
        <v>105.66666666666441</v>
      </c>
      <c r="R561" s="10">
        <f t="shared" si="30"/>
        <v>0.94901474515566187</v>
      </c>
      <c r="S561" s="5">
        <f t="shared" si="31"/>
        <v>1.3544242435734732</v>
      </c>
    </row>
    <row r="562" spans="17:19">
      <c r="Q562" s="19">
        <f t="shared" si="32"/>
        <v>105.74999999999774</v>
      </c>
      <c r="R562" s="10">
        <f t="shared" si="30"/>
        <v>0.94852890301106474</v>
      </c>
      <c r="S562" s="5">
        <f t="shared" si="31"/>
        <v>1.3437642962129233</v>
      </c>
    </row>
    <row r="563" spans="17:19">
      <c r="Q563" s="19">
        <f t="shared" si="32"/>
        <v>105.83333333333107</v>
      </c>
      <c r="R563" s="10">
        <f t="shared" si="30"/>
        <v>0.94803855746880761</v>
      </c>
      <c r="S563" s="5">
        <f t="shared" si="31"/>
        <v>1.3331773885341824</v>
      </c>
    </row>
    <row r="564" spans="17:19">
      <c r="Q564" s="19">
        <f t="shared" si="32"/>
        <v>105.9166666666644</v>
      </c>
      <c r="R564" s="10">
        <f t="shared" si="30"/>
        <v>0.94754366927852918</v>
      </c>
      <c r="S564" s="5">
        <f t="shared" si="31"/>
        <v>1.3226632076587899</v>
      </c>
    </row>
    <row r="565" spans="17:19">
      <c r="Q565" s="19">
        <f t="shared" si="32"/>
        <v>105.99999999999773</v>
      </c>
      <c r="R565" s="10">
        <f t="shared" si="30"/>
        <v>0.94704419889684843</v>
      </c>
      <c r="S565" s="5">
        <f t="shared" si="31"/>
        <v>1.312221439656742</v>
      </c>
    </row>
    <row r="566" spans="17:19">
      <c r="Q566" s="19">
        <f t="shared" si="32"/>
        <v>106.08333333333105</v>
      </c>
      <c r="R566" s="10">
        <f t="shared" si="30"/>
        <v>0.94654010648617859</v>
      </c>
      <c r="S566" s="5">
        <f t="shared" si="31"/>
        <v>1.3018517695806495</v>
      </c>
    </row>
    <row r="567" spans="17:19">
      <c r="Q567" s="19">
        <f t="shared" si="32"/>
        <v>106.16666666666438</v>
      </c>
      <c r="R567" s="10">
        <f t="shared" si="30"/>
        <v>0.94603135191355869</v>
      </c>
      <c r="S567" s="5">
        <f t="shared" si="31"/>
        <v>1.2915538814997409</v>
      </c>
    </row>
    <row r="568" spans="17:19">
      <c r="Q568" s="19">
        <f t="shared" si="32"/>
        <v>106.24999999999771</v>
      </c>
      <c r="R568" s="10">
        <f t="shared" si="30"/>
        <v>0.94551789474950498</v>
      </c>
      <c r="S568" s="5">
        <f t="shared" si="31"/>
        <v>1.2813274585337102</v>
      </c>
    </row>
    <row r="569" spans="17:19">
      <c r="Q569" s="19">
        <f t="shared" si="32"/>
        <v>106.33333333333104</v>
      </c>
      <c r="R569" s="10">
        <f t="shared" si="30"/>
        <v>0.94499969426688046</v>
      </c>
      <c r="S569" s="5">
        <f t="shared" si="31"/>
        <v>1.2711721828864047</v>
      </c>
    </row>
    <row r="570" spans="17:19">
      <c r="Q570" s="19">
        <f t="shared" si="32"/>
        <v>106.41666666666437</v>
      </c>
      <c r="R570" s="10">
        <f t="shared" si="30"/>
        <v>0.94447670943978668</v>
      </c>
      <c r="S570" s="5">
        <f t="shared" si="31"/>
        <v>1.2610877358793462</v>
      </c>
    </row>
    <row r="571" spans="17:19">
      <c r="Q571" s="19">
        <f t="shared" si="32"/>
        <v>106.4999999999977</v>
      </c>
      <c r="R571" s="10">
        <f t="shared" si="30"/>
        <v>0.94394889894247502</v>
      </c>
      <c r="S571" s="5">
        <f t="shared" si="31"/>
        <v>1.2510737979850832</v>
      </c>
    </row>
    <row r="572" spans="17:19">
      <c r="Q572" s="19">
        <f t="shared" si="32"/>
        <v>106.58333333333103</v>
      </c>
      <c r="R572" s="10">
        <f t="shared" si="30"/>
        <v>0.94341622114828072</v>
      </c>
      <c r="S572" s="5">
        <f t="shared" si="31"/>
        <v>1.2411300488603672</v>
      </c>
    </row>
    <row r="573" spans="17:19">
      <c r="Q573" s="19">
        <f t="shared" si="32"/>
        <v>106.66666666666436</v>
      </c>
      <c r="R573" s="10">
        <f t="shared" si="30"/>
        <v>0.94287863412857864</v>
      </c>
      <c r="S573" s="5">
        <f t="shared" si="31"/>
        <v>1.2312561673791513</v>
      </c>
    </row>
    <row r="574" spans="17:19">
      <c r="Q574" s="19">
        <f t="shared" si="32"/>
        <v>106.74999999999768</v>
      </c>
      <c r="R574" s="10">
        <f t="shared" si="30"/>
        <v>0.94233609565176268</v>
      </c>
      <c r="S574" s="5">
        <f t="shared" si="31"/>
        <v>1.2214518316654059</v>
      </c>
    </row>
    <row r="575" spans="17:19">
      <c r="Q575" s="19">
        <f t="shared" si="32"/>
        <v>106.83333333333101</v>
      </c>
      <c r="R575" s="10">
        <f t="shared" si="30"/>
        <v>0.9417885631822499</v>
      </c>
      <c r="S575" s="5">
        <f t="shared" si="31"/>
        <v>1.2117167191257459</v>
      </c>
    </row>
    <row r="576" spans="17:19">
      <c r="Q576" s="19">
        <f t="shared" si="32"/>
        <v>106.91666666666434</v>
      </c>
      <c r="R576" s="10">
        <f t="shared" si="30"/>
        <v>0.9412359938795084</v>
      </c>
      <c r="S576" s="5">
        <f t="shared" si="31"/>
        <v>1.2020505064818672</v>
      </c>
    </row>
    <row r="577" spans="17:19">
      <c r="Q577" s="19">
        <f t="shared" si="32"/>
        <v>106.99999999999767</v>
      </c>
      <c r="R577" s="10">
        <f t="shared" si="30"/>
        <v>0.94067834459711142</v>
      </c>
      <c r="S577" s="5">
        <f t="shared" si="31"/>
        <v>1.1924528698027883</v>
      </c>
    </row>
    <row r="578" spans="17:19">
      <c r="Q578" s="19">
        <f t="shared" si="32"/>
        <v>107.083333333331</v>
      </c>
      <c r="R578" s="10">
        <f t="shared" si="30"/>
        <v>0.94011557188181771</v>
      </c>
      <c r="S578" s="5">
        <f t="shared" si="31"/>
        <v>1.1829234845368908</v>
      </c>
    </row>
    <row r="579" spans="17:19">
      <c r="Q579" s="19">
        <f t="shared" si="32"/>
        <v>107.16666666666433</v>
      </c>
      <c r="R579" s="10">
        <f t="shared" si="30"/>
        <v>0.93954763197267988</v>
      </c>
      <c r="S579" s="5">
        <f t="shared" si="31"/>
        <v>1.1734620255437587</v>
      </c>
    </row>
    <row r="580" spans="17:19">
      <c r="Q580" s="19">
        <f t="shared" si="32"/>
        <v>107.24999999999766</v>
      </c>
      <c r="R580" s="10">
        <f t="shared" si="30"/>
        <v>0.93897448080017976</v>
      </c>
      <c r="S580" s="5">
        <f t="shared" si="31"/>
        <v>1.1640681671258084</v>
      </c>
    </row>
    <row r="581" spans="17:19">
      <c r="Q581" s="19">
        <f t="shared" si="32"/>
        <v>107.33333333333098</v>
      </c>
      <c r="R581" s="10">
        <f t="shared" si="30"/>
        <v>0.93839607398539426</v>
      </c>
      <c r="S581" s="5">
        <f t="shared" si="31"/>
        <v>1.154741583059711</v>
      </c>
    </row>
    <row r="582" spans="17:19">
      <c r="Q582" s="19">
        <f t="shared" si="32"/>
        <v>107.41666666666431</v>
      </c>
      <c r="R582" s="10">
        <f t="shared" si="30"/>
        <v>0.93781236683918967</v>
      </c>
      <c r="S582" s="5">
        <f t="shared" si="31"/>
        <v>1.1454819466275961</v>
      </c>
    </row>
    <row r="583" spans="17:19">
      <c r="Q583" s="19">
        <f t="shared" si="32"/>
        <v>107.49999999999764</v>
      </c>
      <c r="R583" s="10">
        <f t="shared" si="30"/>
        <v>0.93722331436144801</v>
      </c>
      <c r="S583" s="5">
        <f t="shared" si="31"/>
        <v>1.1362889306480415</v>
      </c>
    </row>
    <row r="584" spans="17:19">
      <c r="Q584" s="19">
        <f t="shared" si="32"/>
        <v>107.58333333333097</v>
      </c>
      <c r="R584" s="10">
        <f t="shared" si="30"/>
        <v>0.93662887124032423</v>
      </c>
      <c r="S584" s="5">
        <f t="shared" si="31"/>
        <v>1.1271622075068397</v>
      </c>
    </row>
    <row r="585" spans="17:19">
      <c r="Q585" s="19">
        <f t="shared" si="32"/>
        <v>107.6666666666643</v>
      </c>
      <c r="R585" s="10">
        <f t="shared" si="30"/>
        <v>0.9360289918515371</v>
      </c>
      <c r="S585" s="5">
        <f t="shared" si="31"/>
        <v>1.1181014491875396</v>
      </c>
    </row>
    <row r="586" spans="17:19">
      <c r="Q586" s="19">
        <f t="shared" si="32"/>
        <v>107.74999999999763</v>
      </c>
      <c r="R586" s="10">
        <f t="shared" si="30"/>
        <v>0.93542363025769293</v>
      </c>
      <c r="S586" s="5">
        <f t="shared" si="31"/>
        <v>1.1091063273017621</v>
      </c>
    </row>
    <row r="587" spans="17:19">
      <c r="Q587" s="19">
        <f t="shared" si="32"/>
        <v>107.83333333333096</v>
      </c>
      <c r="R587" s="10">
        <f t="shared" si="30"/>
        <v>0.93481274020764438</v>
      </c>
      <c r="S587" s="5">
        <f t="shared" si="31"/>
        <v>1.1001765131192813</v>
      </c>
    </row>
    <row r="588" spans="17:19">
      <c r="Q588" s="19">
        <f t="shared" si="32"/>
        <v>107.91666666666428</v>
      </c>
      <c r="R588" s="10">
        <f t="shared" si="30"/>
        <v>0.93419627513588421</v>
      </c>
      <c r="S588" s="5">
        <f t="shared" si="31"/>
        <v>1.0913116775978751</v>
      </c>
    </row>
    <row r="589" spans="17:19">
      <c r="Q589" s="19">
        <f t="shared" si="32"/>
        <v>107.99999999999761</v>
      </c>
      <c r="R589" s="10">
        <f t="shared" si="30"/>
        <v>0.93357418816197735</v>
      </c>
      <c r="S589" s="5">
        <f t="shared" si="31"/>
        <v>1.0825114914129361</v>
      </c>
    </row>
    <row r="590" spans="17:19">
      <c r="Q590" s="19">
        <f t="shared" si="32"/>
        <v>108.08333333333094</v>
      </c>
      <c r="R590" s="10">
        <f t="shared" ref="R590:R653" si="33">(R$9^(1/12))*R$10^((R$8^(Q590))*((R$8^(1/12))-1))</f>
        <v>0.93294643209002837</v>
      </c>
      <c r="S590" s="5">
        <f t="shared" ref="S590:S653" si="34">(1/12)+R590*S591/((1+B$3)^(1/12))</f>
        <v>1.0737756249868435</v>
      </c>
    </row>
    <row r="591" spans="17:19">
      <c r="Q591" s="19">
        <f t="shared" ref="Q591:Q654" si="35">Q590+1/12</f>
        <v>108.16666666666427</v>
      </c>
      <c r="R591" s="10">
        <f t="shared" si="33"/>
        <v>0.93231295940818992</v>
      </c>
      <c r="S591" s="5">
        <f t="shared" si="34"/>
        <v>1.0651037485180916</v>
      </c>
    </row>
    <row r="592" spans="17:19">
      <c r="Q592" s="19">
        <f t="shared" si="35"/>
        <v>108.2499999999976</v>
      </c>
      <c r="R592" s="10">
        <f t="shared" si="33"/>
        <v>0.93167372228820866</v>
      </c>
      <c r="S592" s="5">
        <f t="shared" si="34"/>
        <v>1.0564955320101732</v>
      </c>
    </row>
    <row r="593" spans="17:19">
      <c r="Q593" s="19">
        <f t="shared" si="35"/>
        <v>108.33333333333093</v>
      </c>
      <c r="R593" s="10">
        <f t="shared" si="33"/>
        <v>0.93102867258501432</v>
      </c>
      <c r="S593" s="5">
        <f t="shared" si="34"/>
        <v>1.0479506453002136</v>
      </c>
    </row>
    <row r="594" spans="17:19">
      <c r="Q594" s="19">
        <f t="shared" si="35"/>
        <v>108.41666666666426</v>
      </c>
      <c r="R594" s="10">
        <f t="shared" si="33"/>
        <v>0.93037776183634957</v>
      </c>
      <c r="S594" s="5">
        <f t="shared" si="34"/>
        <v>1.0394687580873556</v>
      </c>
    </row>
    <row r="595" spans="17:19">
      <c r="Q595" s="19">
        <f t="shared" si="35"/>
        <v>108.49999999999758</v>
      </c>
      <c r="R595" s="10">
        <f t="shared" si="33"/>
        <v>0.92972094126244276</v>
      </c>
      <c r="S595" s="5">
        <f t="shared" si="34"/>
        <v>1.0310495399608883</v>
      </c>
    </row>
    <row r="596" spans="17:19">
      <c r="Q596" s="19">
        <f t="shared" si="35"/>
        <v>108.58333333333091</v>
      </c>
      <c r="R596" s="10">
        <f t="shared" si="33"/>
        <v>0.92905816176572575</v>
      </c>
      <c r="S596" s="5">
        <f t="shared" si="34"/>
        <v>1.022692660428123</v>
      </c>
    </row>
    <row r="597" spans="17:19">
      <c r="Q597" s="19">
        <f t="shared" si="35"/>
        <v>108.66666666666424</v>
      </c>
      <c r="R597" s="10">
        <f t="shared" si="33"/>
        <v>0.92838937393059673</v>
      </c>
      <c r="S597" s="5">
        <f t="shared" si="34"/>
        <v>1.0143977889420088</v>
      </c>
    </row>
    <row r="598" spans="17:19">
      <c r="Q598" s="19">
        <f t="shared" si="35"/>
        <v>108.74999999999757</v>
      </c>
      <c r="R598" s="10">
        <f t="shared" si="33"/>
        <v>0.92771452802322918</v>
      </c>
      <c r="S598" s="5">
        <f t="shared" si="34"/>
        <v>1.0061645949284896</v>
      </c>
    </row>
    <row r="599" spans="17:19">
      <c r="Q599" s="19">
        <f t="shared" si="35"/>
        <v>108.8333333333309</v>
      </c>
      <c r="R599" s="10">
        <f t="shared" si="33"/>
        <v>0.92703357399143005</v>
      </c>
      <c r="S599" s="5">
        <f t="shared" si="34"/>
        <v>0.99799274781359748</v>
      </c>
    </row>
    <row r="600" spans="17:19">
      <c r="Q600" s="19">
        <f t="shared" si="35"/>
        <v>108.91666666666423</v>
      </c>
      <c r="R600" s="10">
        <f t="shared" si="33"/>
        <v>0.92634646146454502</v>
      </c>
      <c r="S600" s="5">
        <f t="shared" si="34"/>
        <v>0.98988191705028172</v>
      </c>
    </row>
    <row r="601" spans="17:19">
      <c r="Q601" s="19">
        <f t="shared" si="35"/>
        <v>108.99999999999756</v>
      </c>
      <c r="R601" s="10">
        <f t="shared" si="33"/>
        <v>0.92565313975341645</v>
      </c>
      <c r="S601" s="5">
        <f t="shared" si="34"/>
        <v>0.9818317721449723</v>
      </c>
    </row>
    <row r="602" spans="17:19">
      <c r="Q602" s="19">
        <f t="shared" si="35"/>
        <v>109.08333333333088</v>
      </c>
      <c r="R602" s="10">
        <f t="shared" si="33"/>
        <v>0.92495355785039057</v>
      </c>
      <c r="S602" s="5">
        <f t="shared" si="34"/>
        <v>0.97384198268387412</v>
      </c>
    </row>
    <row r="603" spans="17:19">
      <c r="Q603" s="19">
        <f t="shared" si="35"/>
        <v>109.16666666666421</v>
      </c>
      <c r="R603" s="10">
        <f t="shared" si="33"/>
        <v>0.92424766442937878</v>
      </c>
      <c r="S603" s="5">
        <f t="shared" si="34"/>
        <v>0.96591221835899077</v>
      </c>
    </row>
    <row r="604" spans="17:19">
      <c r="Q604" s="19">
        <f t="shared" si="35"/>
        <v>109.24999999999754</v>
      </c>
      <c r="R604" s="10">
        <f t="shared" si="33"/>
        <v>0.92353540784597354</v>
      </c>
      <c r="S604" s="5">
        <f t="shared" si="34"/>
        <v>0.95804214899387807</v>
      </c>
    </row>
    <row r="605" spans="17:19">
      <c r="Q605" s="19">
        <f t="shared" si="35"/>
        <v>109.33333333333087</v>
      </c>
      <c r="R605" s="10">
        <f t="shared" si="33"/>
        <v>0.92281673613761839</v>
      </c>
      <c r="S605" s="5">
        <f t="shared" si="34"/>
        <v>0.95023144456912212</v>
      </c>
    </row>
    <row r="606" spans="17:19">
      <c r="Q606" s="19">
        <f t="shared" si="35"/>
        <v>109.4166666666642</v>
      </c>
      <c r="R606" s="10">
        <f t="shared" si="33"/>
        <v>0.92209159702383547</v>
      </c>
      <c r="S606" s="5">
        <f t="shared" si="34"/>
        <v>0.94247977524754378</v>
      </c>
    </row>
    <row r="607" spans="17:19">
      <c r="Q607" s="19">
        <f t="shared" si="35"/>
        <v>109.49999999999753</v>
      </c>
      <c r="R607" s="10">
        <f t="shared" si="33"/>
        <v>0.92135993790651305</v>
      </c>
      <c r="S607" s="5">
        <f t="shared" si="34"/>
        <v>0.93478681139912678</v>
      </c>
    </row>
    <row r="608" spans="17:19">
      <c r="Q608" s="19">
        <f t="shared" si="35"/>
        <v>109.58333333333086</v>
      </c>
      <c r="R608" s="10">
        <f t="shared" si="33"/>
        <v>0.92062170587024872</v>
      </c>
      <c r="S608" s="5">
        <f t="shared" si="34"/>
        <v>0.92715222362566596</v>
      </c>
    </row>
    <row r="609" spans="17:19">
      <c r="Q609" s="19">
        <f t="shared" si="35"/>
        <v>109.66666666666418</v>
      </c>
      <c r="R609" s="10">
        <f t="shared" si="33"/>
        <v>0.91987684768275801</v>
      </c>
      <c r="S609" s="5">
        <f t="shared" si="34"/>
        <v>0.91957568278513924</v>
      </c>
    </row>
    <row r="610" spans="17:19">
      <c r="Q610" s="19">
        <f t="shared" si="35"/>
        <v>109.74999999999751</v>
      </c>
      <c r="R610" s="10">
        <f t="shared" si="33"/>
        <v>0.9191253097953429</v>
      </c>
      <c r="S610" s="5">
        <f t="shared" si="34"/>
        <v>0.91205686001579689</v>
      </c>
    </row>
    <row r="611" spans="17:19">
      <c r="Q611" s="19">
        <f t="shared" si="35"/>
        <v>109.83333333333084</v>
      </c>
      <c r="R611" s="10">
        <f t="shared" si="33"/>
        <v>0.91836703834342437</v>
      </c>
      <c r="S611" s="5">
        <f t="shared" si="34"/>
        <v>0.90459542675997018</v>
      </c>
    </row>
    <row r="612" spans="17:19">
      <c r="Q612" s="19">
        <f t="shared" si="35"/>
        <v>109.91666666666417</v>
      </c>
      <c r="R612" s="10">
        <f t="shared" si="33"/>
        <v>0.91760197914714237</v>
      </c>
      <c r="S612" s="5">
        <f t="shared" si="34"/>
        <v>0.8971910547875982</v>
      </c>
    </row>
    <row r="613" spans="17:19">
      <c r="Q613" s="19">
        <f t="shared" si="35"/>
        <v>109.9999999999975</v>
      </c>
      <c r="R613" s="10">
        <f t="shared" si="33"/>
        <v>0.91683007771202052</v>
      </c>
      <c r="S613" s="5">
        <f t="shared" si="34"/>
        <v>0.88984341621946939</v>
      </c>
    </row>
    <row r="614" spans="17:19">
      <c r="Q614" s="19">
        <f t="shared" si="35"/>
        <v>110.08333333333083</v>
      </c>
      <c r="R614" s="10">
        <f t="shared" si="33"/>
        <v>0.91605127922970087</v>
      </c>
      <c r="S614" s="5">
        <f t="shared" si="34"/>
        <v>0.88255218355018006</v>
      </c>
    </row>
    <row r="615" spans="17:19">
      <c r="Q615" s="19">
        <f t="shared" si="35"/>
        <v>110.16666666666416</v>
      </c>
      <c r="R615" s="10">
        <f t="shared" si="33"/>
        <v>0.91526552857874865</v>
      </c>
      <c r="S615" s="5">
        <f t="shared" si="34"/>
        <v>0.87531702967080705</v>
      </c>
    </row>
    <row r="616" spans="17:19">
      <c r="Q616" s="19">
        <f t="shared" si="35"/>
        <v>110.24999999999748</v>
      </c>
      <c r="R616" s="10">
        <f t="shared" si="33"/>
        <v>0.91447277032552732</v>
      </c>
      <c r="S616" s="5">
        <f t="shared" si="34"/>
        <v>0.86813762789129445</v>
      </c>
    </row>
    <row r="617" spans="17:19">
      <c r="Q617" s="19">
        <f t="shared" si="35"/>
        <v>110.33333333333081</v>
      </c>
      <c r="R617" s="10">
        <f t="shared" si="33"/>
        <v>0.91367294872514959</v>
      </c>
      <c r="S617" s="5">
        <f t="shared" si="34"/>
        <v>0.86101365196255386</v>
      </c>
    </row>
    <row r="618" spans="17:19">
      <c r="Q618" s="19">
        <f t="shared" si="35"/>
        <v>110.41666666666414</v>
      </c>
      <c r="R618" s="10">
        <f t="shared" si="33"/>
        <v>0.91286600772250004</v>
      </c>
      <c r="S618" s="5">
        <f t="shared" si="34"/>
        <v>0.85394477609827668</v>
      </c>
    </row>
    <row r="619" spans="17:19">
      <c r="Q619" s="19">
        <f t="shared" si="35"/>
        <v>110.49999999999747</v>
      </c>
      <c r="R619" s="10">
        <f t="shared" si="33"/>
        <v>0.91205189095333827</v>
      </c>
      <c r="S619" s="5">
        <f t="shared" si="34"/>
        <v>0.84693067499645991</v>
      </c>
    </row>
    <row r="620" spans="17:19">
      <c r="Q620" s="19">
        <f t="shared" si="35"/>
        <v>110.5833333333308</v>
      </c>
      <c r="R620" s="10">
        <f t="shared" si="33"/>
        <v>0.91123054174547735</v>
      </c>
      <c r="S620" s="5">
        <f t="shared" si="34"/>
        <v>0.83997102386064226</v>
      </c>
    </row>
    <row r="621" spans="17:19">
      <c r="Q621" s="19">
        <f t="shared" si="35"/>
        <v>110.66666666666413</v>
      </c>
      <c r="R621" s="10">
        <f t="shared" si="33"/>
        <v>0.91040190312004277</v>
      </c>
      <c r="S621" s="5">
        <f t="shared" si="34"/>
        <v>0.8330654984208522</v>
      </c>
    </row>
    <row r="622" spans="17:19">
      <c r="Q622" s="19">
        <f t="shared" si="35"/>
        <v>110.74999999999746</v>
      </c>
      <c r="R622" s="10">
        <f t="shared" si="33"/>
        <v>0.90956591779281504</v>
      </c>
      <c r="S622" s="5">
        <f t="shared" si="34"/>
        <v>0.82621377495426751</v>
      </c>
    </row>
    <row r="623" spans="17:19">
      <c r="Q623" s="19">
        <f t="shared" si="35"/>
        <v>110.83333333333078</v>
      </c>
      <c r="R623" s="10">
        <f t="shared" si="33"/>
        <v>0.9087225281756538</v>
      </c>
      <c r="S623" s="5">
        <f t="shared" si="34"/>
        <v>0.81941553030558545</v>
      </c>
    </row>
    <row r="624" spans="17:19">
      <c r="Q624" s="19">
        <f t="shared" si="35"/>
        <v>110.91666666666411</v>
      </c>
      <c r="R624" s="10">
        <f t="shared" si="33"/>
        <v>0.90787167637800803</v>
      </c>
      <c r="S624" s="5">
        <f t="shared" si="34"/>
        <v>0.81267044190710314</v>
      </c>
    </row>
    <row r="625" spans="17:19">
      <c r="Q625" s="19">
        <f t="shared" si="35"/>
        <v>110.99999999999744</v>
      </c>
      <c r="R625" s="10">
        <f t="shared" si="33"/>
        <v>0.90701330420851445</v>
      </c>
      <c r="S625" s="5">
        <f t="shared" si="34"/>
        <v>0.80597818779850938</v>
      </c>
    </row>
    <row r="626" spans="17:19">
      <c r="Q626" s="19">
        <f t="shared" si="35"/>
        <v>111.08333333333077</v>
      </c>
      <c r="R626" s="10">
        <f t="shared" si="33"/>
        <v>0.90614735317668249</v>
      </c>
      <c r="S626" s="5">
        <f t="shared" si="34"/>
        <v>0.79933844664638609</v>
      </c>
    </row>
    <row r="627" spans="17:19">
      <c r="Q627" s="19">
        <f t="shared" si="35"/>
        <v>111.1666666666641</v>
      </c>
      <c r="R627" s="10">
        <f t="shared" si="33"/>
        <v>0.90527376449467312</v>
      </c>
      <c r="S627" s="5">
        <f t="shared" si="34"/>
        <v>0.79275089776342178</v>
      </c>
    </row>
    <row r="628" spans="17:19">
      <c r="Q628" s="19">
        <f t="shared" si="35"/>
        <v>111.24999999999743</v>
      </c>
      <c r="R628" s="10">
        <f t="shared" si="33"/>
        <v>0.90439247907916787</v>
      </c>
      <c r="S628" s="5">
        <f t="shared" si="34"/>
        <v>0.78621522112733444</v>
      </c>
    </row>
    <row r="629" spans="17:19">
      <c r="Q629" s="19">
        <f t="shared" si="35"/>
        <v>111.33333333333076</v>
      </c>
      <c r="R629" s="10">
        <f t="shared" si="33"/>
        <v>0.90350343755333462</v>
      </c>
      <c r="S629" s="5">
        <f t="shared" si="34"/>
        <v>0.77973109739950608</v>
      </c>
    </row>
    <row r="630" spans="17:19">
      <c r="Q630" s="19">
        <f t="shared" si="35"/>
        <v>111.41666666666409</v>
      </c>
      <c r="R630" s="10">
        <f t="shared" si="33"/>
        <v>0.90260658024888885</v>
      </c>
      <c r="S630" s="5">
        <f t="shared" si="34"/>
        <v>0.77329820794332826</v>
      </c>
    </row>
    <row r="631" spans="17:19">
      <c r="Q631" s="19">
        <f t="shared" si="35"/>
        <v>111.49999999999741</v>
      </c>
      <c r="R631" s="10">
        <f t="shared" si="33"/>
        <v>0.9017018472082533</v>
      </c>
      <c r="S631" s="5">
        <f t="shared" si="34"/>
        <v>0.76691623484225935</v>
      </c>
    </row>
    <row r="632" spans="17:19">
      <c r="Q632" s="19">
        <f t="shared" si="35"/>
        <v>111.58333333333074</v>
      </c>
      <c r="R632" s="10">
        <f t="shared" si="33"/>
        <v>0.90078917818681969</v>
      </c>
      <c r="S632" s="5">
        <f t="shared" si="34"/>
        <v>0.7605848609175937</v>
      </c>
    </row>
    <row r="633" spans="17:19">
      <c r="Q633" s="19">
        <f t="shared" si="35"/>
        <v>111.66666666666407</v>
      </c>
      <c r="R633" s="10">
        <f t="shared" si="33"/>
        <v>0.89986851265531176</v>
      </c>
      <c r="S633" s="5">
        <f t="shared" si="34"/>
        <v>0.75430376974594282</v>
      </c>
    </row>
    <row r="634" spans="17:19">
      <c r="Q634" s="19">
        <f t="shared" si="35"/>
        <v>111.7499999999974</v>
      </c>
      <c r="R634" s="10">
        <f t="shared" si="33"/>
        <v>0.89893978980225375</v>
      </c>
      <c r="S634" s="5">
        <f t="shared" si="34"/>
        <v>0.74807264567642973</v>
      </c>
    </row>
    <row r="635" spans="17:19">
      <c r="Q635" s="19">
        <f t="shared" si="35"/>
        <v>111.83333333333073</v>
      </c>
      <c r="R635" s="10">
        <f t="shared" si="33"/>
        <v>0.8980029485365455</v>
      </c>
      <c r="S635" s="5">
        <f t="shared" si="34"/>
        <v>0.7418911738475964</v>
      </c>
    </row>
    <row r="636" spans="17:19">
      <c r="Q636" s="19">
        <f t="shared" si="35"/>
        <v>111.91666666666406</v>
      </c>
      <c r="R636" s="10">
        <f t="shared" si="33"/>
        <v>0.8970579274901459</v>
      </c>
      <c r="S636" s="5">
        <f t="shared" si="34"/>
        <v>0.73575904020402549</v>
      </c>
    </row>
    <row r="637" spans="17:19">
      <c r="Q637" s="19">
        <f t="shared" si="35"/>
        <v>111.99999999999739</v>
      </c>
      <c r="R637" s="10">
        <f t="shared" si="33"/>
        <v>0.8961046650208695</v>
      </c>
      <c r="S637" s="5">
        <f t="shared" si="34"/>
        <v>0.7296759315126774</v>
      </c>
    </row>
    <row r="638" spans="17:19">
      <c r="Q638" s="19">
        <f t="shared" si="35"/>
        <v>112.08333333333071</v>
      </c>
      <c r="R638" s="10">
        <f t="shared" si="33"/>
        <v>0.89514309921529334</v>
      </c>
      <c r="S638" s="5">
        <f t="shared" si="34"/>
        <v>0.72364153537894094</v>
      </c>
    </row>
    <row r="639" spans="17:19">
      <c r="Q639" s="19">
        <f t="shared" si="35"/>
        <v>112.16666666666404</v>
      </c>
      <c r="R639" s="10">
        <f t="shared" si="33"/>
        <v>0.89417316789178103</v>
      </c>
      <c r="S639" s="5">
        <f t="shared" si="34"/>
        <v>0.7176555402624023</v>
      </c>
    </row>
    <row r="640" spans="17:19">
      <c r="Q640" s="19">
        <f t="shared" si="35"/>
        <v>112.24999999999737</v>
      </c>
      <c r="R640" s="10">
        <f t="shared" si="33"/>
        <v>0.89319480860362566</v>
      </c>
      <c r="S640" s="5">
        <f t="shared" si="34"/>
        <v>0.71171763549233036</v>
      </c>
    </row>
    <row r="641" spans="17:19">
      <c r="Q641" s="19">
        <f t="shared" si="35"/>
        <v>112.3333333333307</v>
      </c>
      <c r="R641" s="10">
        <f t="shared" si="33"/>
        <v>0.89220795864230862</v>
      </c>
      <c r="S641" s="5">
        <f t="shared" si="34"/>
        <v>0.70582751128287857</v>
      </c>
    </row>
    <row r="642" spans="17:19">
      <c r="Q642" s="19">
        <f t="shared" si="35"/>
        <v>112.41666666666403</v>
      </c>
      <c r="R642" s="10">
        <f t="shared" si="33"/>
        <v>0.89121255504088537</v>
      </c>
      <c r="S642" s="5">
        <f t="shared" si="34"/>
        <v>0.69998485874800898</v>
      </c>
    </row>
    <row r="643" spans="17:19">
      <c r="Q643" s="19">
        <f t="shared" si="35"/>
        <v>112.49999999999736</v>
      </c>
      <c r="R643" s="10">
        <f t="shared" si="33"/>
        <v>0.89020853457749294</v>
      </c>
      <c r="S643" s="5">
        <f t="shared" si="34"/>
        <v>0.69418936991613311</v>
      </c>
    </row>
    <row r="644" spans="17:19">
      <c r="Q644" s="19">
        <f t="shared" si="35"/>
        <v>112.58333333333069</v>
      </c>
      <c r="R644" s="10">
        <f t="shared" si="33"/>
        <v>0.88919583377898337</v>
      </c>
      <c r="S644" s="5">
        <f t="shared" si="34"/>
        <v>0.68844073774447501</v>
      </c>
    </row>
    <row r="645" spans="17:19">
      <c r="Q645" s="19">
        <f t="shared" si="35"/>
        <v>112.66666666666401</v>
      </c>
      <c r="R645" s="10">
        <f t="shared" si="33"/>
        <v>0.88817438892468992</v>
      </c>
      <c r="S645" s="5">
        <f t="shared" si="34"/>
        <v>0.68273865613315743</v>
      </c>
    </row>
    <row r="646" spans="17:19">
      <c r="Q646" s="19">
        <f t="shared" si="35"/>
        <v>112.74999999999734</v>
      </c>
      <c r="R646" s="10">
        <f t="shared" si="33"/>
        <v>0.8871441360503205</v>
      </c>
      <c r="S646" s="5">
        <f t="shared" si="34"/>
        <v>0.67708281993900954</v>
      </c>
    </row>
    <row r="647" spans="17:19">
      <c r="Q647" s="19">
        <f t="shared" si="35"/>
        <v>112.83333333333067</v>
      </c>
      <c r="R647" s="10">
        <f t="shared" si="33"/>
        <v>0.88610501095198857</v>
      </c>
      <c r="S647" s="5">
        <f t="shared" si="34"/>
        <v>0.67147292498910072</v>
      </c>
    </row>
    <row r="648" spans="17:19">
      <c r="Q648" s="19">
        <f t="shared" si="35"/>
        <v>112.916666666664</v>
      </c>
      <c r="R648" s="10">
        <f t="shared" si="33"/>
        <v>0.88505694919037892</v>
      </c>
      <c r="S648" s="5">
        <f t="shared" si="34"/>
        <v>0.66590866809399885</v>
      </c>
    </row>
    <row r="649" spans="17:19">
      <c r="Q649" s="19">
        <f t="shared" si="35"/>
        <v>112.99999999999733</v>
      </c>
      <c r="R649" s="10">
        <f t="shared" si="33"/>
        <v>0.88399988609505098</v>
      </c>
      <c r="S649" s="5">
        <f t="shared" si="34"/>
        <v>0.6603897470607567</v>
      </c>
    </row>
    <row r="650" spans="17:19">
      <c r="Q650" s="19">
        <f t="shared" si="35"/>
        <v>113.08333333333066</v>
      </c>
      <c r="R650" s="10">
        <f t="shared" si="33"/>
        <v>0.88293375676888719</v>
      </c>
      <c r="S650" s="5">
        <f t="shared" si="34"/>
        <v>0.65491586070562613</v>
      </c>
    </row>
    <row r="651" spans="17:19">
      <c r="Q651" s="19">
        <f t="shared" si="35"/>
        <v>113.16666666666399</v>
      </c>
      <c r="R651" s="10">
        <f t="shared" si="33"/>
        <v>0.88185849609268052</v>
      </c>
      <c r="S651" s="5">
        <f t="shared" si="34"/>
        <v>0.64948670886650217</v>
      </c>
    </row>
    <row r="652" spans="17:19">
      <c r="Q652" s="19">
        <f t="shared" si="35"/>
        <v>113.24999999999731</v>
      </c>
      <c r="R652" s="10">
        <f t="shared" si="33"/>
        <v>0.88077403872987281</v>
      </c>
      <c r="S652" s="5">
        <f t="shared" si="34"/>
        <v>0.64410199241509858</v>
      </c>
    </row>
    <row r="653" spans="17:19">
      <c r="Q653" s="19">
        <f t="shared" si="35"/>
        <v>113.33333333333064</v>
      </c>
      <c r="R653" s="10">
        <f t="shared" si="33"/>
        <v>0.87968031913143918</v>
      </c>
      <c r="S653" s="5">
        <f t="shared" si="34"/>
        <v>0.63876141326885583</v>
      </c>
    </row>
    <row r="654" spans="17:19">
      <c r="Q654" s="19">
        <f t="shared" si="35"/>
        <v>113.41666666666397</v>
      </c>
      <c r="R654" s="10">
        <f t="shared" ref="R654:R717" si="36">(R$9^(1/12))*R$10^((R$8^(Q654))*((R$8^(1/12))-1))</f>
        <v>0.87857727154092402</v>
      </c>
      <c r="S654" s="5">
        <f t="shared" ref="S654:S717" si="37">(1/12)+R654*S655/((1+B$3)^(1/12))</f>
        <v>0.63346467440258336</v>
      </c>
    </row>
    <row r="655" spans="17:19">
      <c r="Q655" s="19">
        <f t="shared" ref="Q655:Q718" si="38">Q654+1/12</f>
        <v>113.4999999999973</v>
      </c>
      <c r="R655" s="10">
        <f t="shared" si="36"/>
        <v>0.87746482999963393</v>
      </c>
      <c r="S655" s="5">
        <f t="shared" si="37"/>
        <v>0.62821147985983827</v>
      </c>
    </row>
    <row r="656" spans="17:19">
      <c r="Q656" s="19">
        <f t="shared" si="38"/>
        <v>113.58333333333063</v>
      </c>
      <c r="R656" s="10">
        <f t="shared" si="36"/>
        <v>0.87634292835198402</v>
      </c>
      <c r="S656" s="5">
        <f t="shared" si="37"/>
        <v>0.62300153476404019</v>
      </c>
    </row>
    <row r="657" spans="17:19">
      <c r="Q657" s="19">
        <f t="shared" si="38"/>
        <v>113.66666666666396</v>
      </c>
      <c r="R657" s="10">
        <f t="shared" si="36"/>
        <v>0.87521150025100591</v>
      </c>
      <c r="S657" s="5">
        <f t="shared" si="37"/>
        <v>0.61783454532932613</v>
      </c>
    </row>
    <row r="658" spans="17:19">
      <c r="Q658" s="19">
        <f t="shared" si="38"/>
        <v>113.74999999999729</v>
      </c>
      <c r="R658" s="10">
        <f t="shared" si="36"/>
        <v>0.87407047916401692</v>
      </c>
      <c r="S658" s="5">
        <f t="shared" si="37"/>
        <v>0.61271021887114574</v>
      </c>
    </row>
    <row r="659" spans="17:19">
      <c r="Q659" s="19">
        <f t="shared" si="38"/>
        <v>113.83333333333061</v>
      </c>
      <c r="R659" s="10">
        <f t="shared" si="36"/>
        <v>0.8729197983784549</v>
      </c>
      <c r="S659" s="5">
        <f t="shared" si="37"/>
        <v>0.60762826381659873</v>
      </c>
    </row>
    <row r="660" spans="17:19">
      <c r="Q660" s="19">
        <f t="shared" si="38"/>
        <v>113.91666666666394</v>
      </c>
      <c r="R660" s="10">
        <f t="shared" si="36"/>
        <v>0.87175939100787969</v>
      </c>
      <c r="S660" s="5">
        <f t="shared" si="37"/>
        <v>0.60258838971451656</v>
      </c>
    </row>
    <row r="661" spans="17:19">
      <c r="Q661" s="19">
        <f t="shared" si="38"/>
        <v>113.99999999999727</v>
      </c>
      <c r="R661" s="10">
        <f t="shared" si="36"/>
        <v>0.8705891899981465</v>
      </c>
      <c r="S661" s="5">
        <f t="shared" si="37"/>
        <v>0.5975903072452905</v>
      </c>
    </row>
    <row r="662" spans="17:19">
      <c r="Q662" s="19">
        <f t="shared" si="38"/>
        <v>114.0833333333306</v>
      </c>
      <c r="R662" s="10">
        <f t="shared" si="36"/>
        <v>0.86940912813375004</v>
      </c>
      <c r="S662" s="5">
        <f t="shared" si="37"/>
        <v>0.59263372823044624</v>
      </c>
    </row>
    <row r="663" spans="17:19">
      <c r="Q663" s="19">
        <f t="shared" si="38"/>
        <v>114.16666666666393</v>
      </c>
      <c r="R663" s="10">
        <f t="shared" si="36"/>
        <v>0.86821913804434792</v>
      </c>
      <c r="S663" s="5">
        <f t="shared" si="37"/>
        <v>0.58771836564196944</v>
      </c>
    </row>
    <row r="664" spans="17:19">
      <c r="Q664" s="19">
        <f t="shared" si="38"/>
        <v>114.24999999999726</v>
      </c>
      <c r="R664" s="10">
        <f t="shared" si="36"/>
        <v>0.86701915221145953</v>
      </c>
      <c r="S664" s="5">
        <f t="shared" si="37"/>
        <v>0.5828439336113812</v>
      </c>
    </row>
    <row r="665" spans="17:19">
      <c r="Q665" s="19">
        <f t="shared" si="38"/>
        <v>114.33333333333059</v>
      </c>
      <c r="R665" s="10">
        <f t="shared" si="36"/>
        <v>0.86580910297534941</v>
      </c>
      <c r="S665" s="5">
        <f t="shared" si="37"/>
        <v>0.57801014743856827</v>
      </c>
    </row>
    <row r="666" spans="17:19">
      <c r="Q666" s="19">
        <f t="shared" si="38"/>
        <v>114.41666666666391</v>
      </c>
      <c r="R666" s="10">
        <f t="shared" si="36"/>
        <v>0.86458892254209319</v>
      </c>
      <c r="S666" s="5">
        <f t="shared" si="37"/>
        <v>0.57321672360036713</v>
      </c>
    </row>
    <row r="667" spans="17:19">
      <c r="Q667" s="19">
        <f t="shared" si="38"/>
        <v>114.49999999999724</v>
      </c>
      <c r="R667" s="10">
        <f t="shared" si="36"/>
        <v>0.86335854299083181</v>
      </c>
      <c r="S667" s="5">
        <f t="shared" si="37"/>
        <v>0.56846337975890615</v>
      </c>
    </row>
    <row r="668" spans="17:19">
      <c r="Q668" s="19">
        <f t="shared" si="38"/>
        <v>114.58333333333057</v>
      </c>
      <c r="R668" s="10">
        <f t="shared" si="36"/>
        <v>0.86211789628121638</v>
      </c>
      <c r="S668" s="5">
        <f t="shared" si="37"/>
        <v>0.56374983476970675</v>
      </c>
    </row>
    <row r="669" spans="17:19">
      <c r="Q669" s="19">
        <f t="shared" si="38"/>
        <v>114.6666666666639</v>
      </c>
      <c r="R669" s="10">
        <f t="shared" si="36"/>
        <v>0.86086691426104567</v>
      </c>
      <c r="S669" s="5">
        <f t="shared" si="37"/>
        <v>0.55907580868954521</v>
      </c>
    </row>
    <row r="670" spans="17:19">
      <c r="Q670" s="19">
        <f t="shared" si="38"/>
        <v>114.74999999999723</v>
      </c>
      <c r="R670" s="10">
        <f t="shared" si="36"/>
        <v>0.85960552867410023</v>
      </c>
      <c r="S670" s="5">
        <f t="shared" si="37"/>
        <v>0.55444102278407792</v>
      </c>
    </row>
    <row r="671" spans="17:19">
      <c r="Q671" s="19">
        <f t="shared" si="38"/>
        <v>114.83333333333056</v>
      </c>
      <c r="R671" s="10">
        <f t="shared" si="36"/>
        <v>0.85833367116817594</v>
      </c>
      <c r="S671" s="5">
        <f t="shared" si="37"/>
        <v>0.54984519953523214</v>
      </c>
    </row>
    <row r="672" spans="17:19">
      <c r="Q672" s="19">
        <f t="shared" si="38"/>
        <v>114.91666666666389</v>
      </c>
      <c r="R672" s="10">
        <f t="shared" si="36"/>
        <v>0.85705127330331854</v>
      </c>
      <c r="S672" s="5">
        <f t="shared" si="37"/>
        <v>0.54528806264836305</v>
      </c>
    </row>
    <row r="673" spans="17:19">
      <c r="Q673" s="19">
        <f t="shared" si="38"/>
        <v>114.99999999999721</v>
      </c>
      <c r="R673" s="10">
        <f t="shared" si="36"/>
        <v>0.85575826656026599</v>
      </c>
      <c r="S673" s="5">
        <f t="shared" si="37"/>
        <v>0.54076933705918184</v>
      </c>
    </row>
    <row r="674" spans="17:19">
      <c r="Q674" s="19">
        <f t="shared" si="38"/>
        <v>115.08333333333054</v>
      </c>
      <c r="R674" s="10">
        <f t="shared" si="36"/>
        <v>0.85445458234909533</v>
      </c>
      <c r="S674" s="5">
        <f t="shared" si="37"/>
        <v>0.5362887489404532</v>
      </c>
    </row>
    <row r="675" spans="17:19">
      <c r="Q675" s="19">
        <f t="shared" si="38"/>
        <v>115.16666666666387</v>
      </c>
      <c r="R675" s="10">
        <f t="shared" si="36"/>
        <v>0.85314015201808446</v>
      </c>
      <c r="S675" s="5">
        <f t="shared" si="37"/>
        <v>0.53184602570846806</v>
      </c>
    </row>
    <row r="676" spans="17:19">
      <c r="Q676" s="19">
        <f t="shared" si="38"/>
        <v>115.2499999999972</v>
      </c>
      <c r="R676" s="10">
        <f t="shared" si="36"/>
        <v>0.85181490686278627</v>
      </c>
      <c r="S676" s="5">
        <f t="shared" si="37"/>
        <v>0.52744089602929134</v>
      </c>
    </row>
    <row r="677" spans="17:19">
      <c r="Q677" s="19">
        <f t="shared" si="38"/>
        <v>115.33333333333053</v>
      </c>
      <c r="R677" s="10">
        <f t="shared" si="36"/>
        <v>0.85047877813531925</v>
      </c>
      <c r="S677" s="5">
        <f t="shared" si="37"/>
        <v>0.52307308982478751</v>
      </c>
    </row>
    <row r="678" spans="17:19">
      <c r="Q678" s="19">
        <f t="shared" si="38"/>
        <v>115.41666666666386</v>
      </c>
      <c r="R678" s="10">
        <f t="shared" si="36"/>
        <v>0.84913169705388192</v>
      </c>
      <c r="S678" s="5">
        <f t="shared" si="37"/>
        <v>0.51874233827842664</v>
      </c>
    </row>
    <row r="679" spans="17:19">
      <c r="Q679" s="19">
        <f t="shared" si="38"/>
        <v>115.49999999999719</v>
      </c>
      <c r="R679" s="10">
        <f t="shared" si="36"/>
        <v>0.84777359481248626</v>
      </c>
      <c r="S679" s="5">
        <f t="shared" si="37"/>
        <v>0.51444837384087216</v>
      </c>
    </row>
    <row r="680" spans="17:19">
      <c r="Q680" s="19">
        <f t="shared" si="38"/>
        <v>115.58333333333051</v>
      </c>
      <c r="R680" s="10">
        <f t="shared" si="36"/>
        <v>0.84640440259092209</v>
      </c>
      <c r="S680" s="5">
        <f t="shared" si="37"/>
        <v>0.51019093023535422</v>
      </c>
    </row>
    <row r="681" spans="17:19">
      <c r="Q681" s="19">
        <f t="shared" si="38"/>
        <v>115.66666666666384</v>
      </c>
      <c r="R681" s="10">
        <f t="shared" si="36"/>
        <v>0.84502405156494809</v>
      </c>
      <c r="S681" s="5">
        <f t="shared" si="37"/>
        <v>0.50596974246282833</v>
      </c>
    </row>
    <row r="682" spans="17:19">
      <c r="Q682" s="19">
        <f t="shared" si="38"/>
        <v>115.74999999999717</v>
      </c>
      <c r="R682" s="10">
        <f t="shared" si="36"/>
        <v>0.84363247291671661</v>
      </c>
      <c r="S682" s="5">
        <f t="shared" si="37"/>
        <v>0.50178454680692353</v>
      </c>
    </row>
    <row r="683" spans="17:19">
      <c r="Q683" s="19">
        <f t="shared" si="38"/>
        <v>115.8333333333305</v>
      </c>
      <c r="R683" s="10">
        <f t="shared" si="36"/>
        <v>0.8422295978454355</v>
      </c>
      <c r="S683" s="5">
        <f t="shared" si="37"/>
        <v>0.49763508083868269</v>
      </c>
    </row>
    <row r="684" spans="17:19">
      <c r="Q684" s="19">
        <f t="shared" si="38"/>
        <v>115.91666666666383</v>
      </c>
      <c r="R684" s="10">
        <f t="shared" si="36"/>
        <v>0.84081535757826631</v>
      </c>
      <c r="S684" s="5">
        <f t="shared" si="37"/>
        <v>0.49352108342109469</v>
      </c>
    </row>
    <row r="685" spans="17:19">
      <c r="Q685" s="19">
        <f t="shared" si="38"/>
        <v>115.99999999999716</v>
      </c>
      <c r="R685" s="10">
        <f t="shared" si="36"/>
        <v>0.83938968338146858</v>
      </c>
      <c r="S685" s="5">
        <f t="shared" si="37"/>
        <v>0.48944229471342349</v>
      </c>
    </row>
    <row r="686" spans="17:19">
      <c r="Q686" s="19">
        <f t="shared" si="38"/>
        <v>116.08333333333049</v>
      </c>
      <c r="R686" s="10">
        <f t="shared" si="36"/>
        <v>0.83795250657178533</v>
      </c>
      <c r="S686" s="5">
        <f t="shared" si="37"/>
        <v>0.48539845617533445</v>
      </c>
    </row>
    <row r="687" spans="17:19">
      <c r="Q687" s="19">
        <f t="shared" si="38"/>
        <v>116.16666666666382</v>
      </c>
      <c r="R687" s="10">
        <f t="shared" si="36"/>
        <v>0.83650375852807923</v>
      </c>
      <c r="S687" s="5">
        <f t="shared" si="37"/>
        <v>0.48138931057082168</v>
      </c>
    </row>
    <row r="688" spans="17:19">
      <c r="Q688" s="19">
        <f t="shared" si="38"/>
        <v>116.24999999999714</v>
      </c>
      <c r="R688" s="10">
        <f t="shared" si="36"/>
        <v>0.83504337070322054</v>
      </c>
      <c r="S688" s="5">
        <f t="shared" si="37"/>
        <v>0.47741460197193764</v>
      </c>
    </row>
    <row r="689" spans="17:19">
      <c r="Q689" s="19">
        <f t="shared" si="38"/>
        <v>116.33333333333047</v>
      </c>
      <c r="R689" s="10">
        <f t="shared" si="36"/>
        <v>0.83357127463622904</v>
      </c>
      <c r="S689" s="5">
        <f t="shared" si="37"/>
        <v>0.47347407576232747</v>
      </c>
    </row>
    <row r="690" spans="17:19">
      <c r="Q690" s="19">
        <f t="shared" si="38"/>
        <v>116.4166666666638</v>
      </c>
      <c r="R690" s="10">
        <f t="shared" si="36"/>
        <v>0.83208740196467235</v>
      </c>
      <c r="S690" s="5">
        <f t="shared" si="37"/>
        <v>0.46956747864057047</v>
      </c>
    </row>
    <row r="691" spans="17:19">
      <c r="Q691" s="19">
        <f t="shared" si="38"/>
        <v>116.49999999999713</v>
      </c>
      <c r="R691" s="10">
        <f t="shared" si="36"/>
        <v>0.83059168443732889</v>
      </c>
      <c r="S691" s="5">
        <f t="shared" si="37"/>
        <v>0.46569455862333187</v>
      </c>
    </row>
    <row r="692" spans="17:19">
      <c r="Q692" s="19">
        <f t="shared" si="38"/>
        <v>116.58333333333046</v>
      </c>
      <c r="R692" s="10">
        <f t="shared" si="36"/>
        <v>0.82908405392711004</v>
      </c>
      <c r="S692" s="5">
        <f t="shared" si="37"/>
        <v>0.46185506504832541</v>
      </c>
    </row>
    <row r="693" spans="17:19">
      <c r="Q693" s="19">
        <f t="shared" si="38"/>
        <v>116.66666666666379</v>
      </c>
      <c r="R693" s="10">
        <f t="shared" si="36"/>
        <v>0.82756444244425398</v>
      </c>
      <c r="S693" s="5">
        <f t="shared" si="37"/>
        <v>0.4580487485770911</v>
      </c>
    </row>
    <row r="694" spans="17:19">
      <c r="Q694" s="19">
        <f t="shared" si="38"/>
        <v>116.74999999999712</v>
      </c>
      <c r="R694" s="10">
        <f t="shared" si="36"/>
        <v>0.82603278214978704</v>
      </c>
      <c r="S694" s="5">
        <f t="shared" si="37"/>
        <v>0.45427536119758855</v>
      </c>
    </row>
    <row r="695" spans="17:19">
      <c r="Q695" s="19">
        <f t="shared" si="38"/>
        <v>116.83333333333044</v>
      </c>
      <c r="R695" s="10">
        <f t="shared" si="36"/>
        <v>0.82448900536925707</v>
      </c>
      <c r="S695" s="5">
        <f t="shared" si="37"/>
        <v>0.45053465622660932</v>
      </c>
    </row>
    <row r="696" spans="17:19">
      <c r="Q696" s="19">
        <f t="shared" si="38"/>
        <v>116.91666666666377</v>
      </c>
      <c r="R696" s="10">
        <f t="shared" si="36"/>
        <v>0.8229330446067481</v>
      </c>
      <c r="S696" s="5">
        <f t="shared" si="37"/>
        <v>0.44682638831201144</v>
      </c>
    </row>
    <row r="697" spans="17:19">
      <c r="Q697" s="19">
        <f t="shared" si="38"/>
        <v>116.9999999999971</v>
      </c>
      <c r="R697" s="10">
        <f t="shared" si="36"/>
        <v>0.82136483255916815</v>
      </c>
      <c r="S697" s="5">
        <f t="shared" si="37"/>
        <v>0.44315031343477596</v>
      </c>
    </row>
    <row r="698" spans="17:19">
      <c r="Q698" s="19">
        <f t="shared" si="38"/>
        <v>117.08333333333043</v>
      </c>
      <c r="R698" s="10">
        <f t="shared" si="36"/>
        <v>0.81978430213082443</v>
      </c>
      <c r="S698" s="5">
        <f t="shared" si="37"/>
        <v>0.43950618891089011</v>
      </c>
    </row>
    <row r="699" spans="17:19">
      <c r="Q699" s="19">
        <f t="shared" si="38"/>
        <v>117.16666666666376</v>
      </c>
      <c r="R699" s="10">
        <f t="shared" si="36"/>
        <v>0.81819138644828171</v>
      </c>
      <c r="S699" s="5">
        <f t="shared" si="37"/>
        <v>0.43589377339305874</v>
      </c>
    </row>
    <row r="700" spans="17:19">
      <c r="Q700" s="19">
        <f t="shared" si="38"/>
        <v>117.24999999999709</v>
      </c>
      <c r="R700" s="10">
        <f t="shared" si="36"/>
        <v>0.8165860188755073</v>
      </c>
      <c r="S700" s="5">
        <f t="shared" si="37"/>
        <v>0.43231282687224548</v>
      </c>
    </row>
    <row r="701" spans="17:19">
      <c r="Q701" s="19">
        <f t="shared" si="38"/>
        <v>117.33333333333042</v>
      </c>
      <c r="R701" s="10">
        <f t="shared" si="36"/>
        <v>0.81496813302931237</v>
      </c>
      <c r="S701" s="5">
        <f t="shared" si="37"/>
        <v>0.42876311067904777</v>
      </c>
    </row>
    <row r="702" spans="17:19">
      <c r="Q702" s="19">
        <f t="shared" si="38"/>
        <v>117.41666666666374</v>
      </c>
      <c r="R702" s="10">
        <f t="shared" si="36"/>
        <v>0.81333766279508135</v>
      </c>
      <c r="S702" s="5">
        <f t="shared" si="37"/>
        <v>0.42524438748490584</v>
      </c>
    </row>
    <row r="703" spans="17:19">
      <c r="Q703" s="19">
        <f t="shared" si="38"/>
        <v>117.49999999999707</v>
      </c>
      <c r="R703" s="10">
        <f t="shared" si="36"/>
        <v>0.81169454234280392</v>
      </c>
      <c r="S703" s="5">
        <f t="shared" si="37"/>
        <v>0.4217564213031505</v>
      </c>
    </row>
    <row r="704" spans="17:19">
      <c r="Q704" s="19">
        <f t="shared" si="38"/>
        <v>117.5833333333304</v>
      </c>
      <c r="R704" s="10">
        <f t="shared" si="36"/>
        <v>0.81003870614340368</v>
      </c>
      <c r="S704" s="5">
        <f t="shared" si="37"/>
        <v>0.41829897748988931</v>
      </c>
    </row>
    <row r="705" spans="17:19">
      <c r="Q705" s="19">
        <f t="shared" si="38"/>
        <v>117.66666666666373</v>
      </c>
      <c r="R705" s="10">
        <f t="shared" si="36"/>
        <v>0.80837008898536911</v>
      </c>
      <c r="S705" s="5">
        <f t="shared" si="37"/>
        <v>0.41487182274473566</v>
      </c>
    </row>
    <row r="706" spans="17:19">
      <c r="Q706" s="19">
        <f t="shared" si="38"/>
        <v>117.74999999999706</v>
      </c>
      <c r="R706" s="10">
        <f t="shared" si="36"/>
        <v>0.80668862599169477</v>
      </c>
      <c r="S706" s="5">
        <f t="shared" si="37"/>
        <v>0.4114747251113825</v>
      </c>
    </row>
    <row r="707" spans="17:19">
      <c r="Q707" s="19">
        <f t="shared" si="38"/>
        <v>117.83333333333039</v>
      </c>
      <c r="R707" s="10">
        <f t="shared" si="36"/>
        <v>0.80499425263712399</v>
      </c>
      <c r="S707" s="5">
        <f t="shared" si="37"/>
        <v>0.40810745397802167</v>
      </c>
    </row>
    <row r="708" spans="17:19">
      <c r="Q708" s="19">
        <f t="shared" si="38"/>
        <v>117.91666666666372</v>
      </c>
      <c r="R708" s="10">
        <f t="shared" si="36"/>
        <v>0.80328690476570885</v>
      </c>
      <c r="S708" s="5">
        <f t="shared" si="37"/>
        <v>0.40476978007761349</v>
      </c>
    </row>
    <row r="709" spans="17:19">
      <c r="Q709" s="19">
        <f t="shared" si="38"/>
        <v>117.99999999999704</v>
      </c>
      <c r="R709" s="10">
        <f t="shared" si="36"/>
        <v>0.80156651860868067</v>
      </c>
      <c r="S709" s="5">
        <f t="shared" si="37"/>
        <v>0.40146147548800698</v>
      </c>
    </row>
    <row r="710" spans="17:19">
      <c r="Q710" s="19">
        <f t="shared" si="38"/>
        <v>118.08333333333037</v>
      </c>
      <c r="R710" s="10">
        <f t="shared" si="36"/>
        <v>0.79983303080263557</v>
      </c>
      <c r="S710" s="5">
        <f t="shared" si="37"/>
        <v>0.39818231363191314</v>
      </c>
    </row>
    <row r="711" spans="17:19">
      <c r="Q711" s="19">
        <f t="shared" si="38"/>
        <v>118.1666666666637</v>
      </c>
      <c r="R711" s="10">
        <f t="shared" si="36"/>
        <v>0.79808637840804397</v>
      </c>
      <c r="S711" s="5">
        <f t="shared" si="37"/>
        <v>0.3949320692767358</v>
      </c>
    </row>
    <row r="712" spans="17:19">
      <c r="Q712" s="19">
        <f t="shared" si="38"/>
        <v>118.24999999999703</v>
      </c>
      <c r="R712" s="10">
        <f t="shared" si="36"/>
        <v>0.7963264989280745</v>
      </c>
      <c r="S712" s="5">
        <f t="shared" si="37"/>
        <v>0.39171051853425842</v>
      </c>
    </row>
    <row r="713" spans="17:19">
      <c r="Q713" s="19">
        <f t="shared" si="38"/>
        <v>118.33333333333036</v>
      </c>
      <c r="R713" s="10">
        <f t="shared" si="36"/>
        <v>0.79455333032774855</v>
      </c>
      <c r="S713" s="5">
        <f t="shared" si="37"/>
        <v>0.38851743886019319</v>
      </c>
    </row>
    <row r="714" spans="17:19">
      <c r="Q714" s="19">
        <f t="shared" si="38"/>
        <v>118.41666666666369</v>
      </c>
      <c r="R714" s="10">
        <f t="shared" si="36"/>
        <v>0.79276681105341618</v>
      </c>
      <c r="S714" s="5">
        <f t="shared" si="37"/>
        <v>0.38535260905359142</v>
      </c>
    </row>
    <row r="715" spans="17:19">
      <c r="Q715" s="19">
        <f t="shared" si="38"/>
        <v>118.49999999999702</v>
      </c>
      <c r="R715" s="10">
        <f t="shared" si="36"/>
        <v>0.79096688005256144</v>
      </c>
      <c r="S715" s="5">
        <f t="shared" si="37"/>
        <v>0.3822158092561192</v>
      </c>
    </row>
    <row r="716" spans="17:19">
      <c r="Q716" s="19">
        <f t="shared" si="38"/>
        <v>118.58333333333034</v>
      </c>
      <c r="R716" s="10">
        <f t="shared" si="36"/>
        <v>0.78915347679394088</v>
      </c>
      <c r="S716" s="5">
        <f t="shared" si="37"/>
        <v>0.37910682095120096</v>
      </c>
    </row>
    <row r="717" spans="17:19">
      <c r="Q717" s="19">
        <f t="shared" si="38"/>
        <v>118.66666666666367</v>
      </c>
      <c r="R717" s="10">
        <f t="shared" si="36"/>
        <v>0.78732654128805235</v>
      </c>
      <c r="S717" s="5">
        <f t="shared" si="37"/>
        <v>0.37602542696303093</v>
      </c>
    </row>
    <row r="718" spans="17:19">
      <c r="Q718" s="19">
        <f t="shared" si="38"/>
        <v>118.749999999997</v>
      </c>
      <c r="R718" s="10">
        <f t="shared" ref="R718:R781" si="39">(R$9^(1/12))*R$10^((R$8^(Q718))*((R$8^(1/12))-1))</f>
        <v>0.7854860141079385</v>
      </c>
      <c r="S718" s="5">
        <f t="shared" ref="S718:S781" si="40">(1/12)+R718*S719/((1+B$3)^(1/12))</f>
        <v>0.37297141145545731</v>
      </c>
    </row>
    <row r="719" spans="17:19">
      <c r="Q719" s="19">
        <f t="shared" ref="Q719:Q782" si="41">Q718+1/12</f>
        <v>118.83333333333033</v>
      </c>
      <c r="R719" s="10">
        <f t="shared" si="39"/>
        <v>0.78363183641033007</v>
      </c>
      <c r="S719" s="5">
        <f t="shared" si="40"/>
        <v>0.36994455993073955</v>
      </c>
    </row>
    <row r="720" spans="17:19">
      <c r="Q720" s="19">
        <f t="shared" si="41"/>
        <v>118.91666666666366</v>
      </c>
      <c r="R720" s="10">
        <f t="shared" si="39"/>
        <v>0.78176394995712462</v>
      </c>
      <c r="S720" s="5">
        <f t="shared" si="40"/>
        <v>0.36694465922818192</v>
      </c>
    </row>
    <row r="721" spans="17:19">
      <c r="Q721" s="19">
        <f t="shared" si="41"/>
        <v>118.99999999999699</v>
      </c>
      <c r="R721" s="10">
        <f t="shared" si="39"/>
        <v>0.77988229713720891</v>
      </c>
      <c r="S721" s="5">
        <f t="shared" si="40"/>
        <v>0.36397149752264502</v>
      </c>
    </row>
    <row r="722" spans="17:19">
      <c r="Q722" s="19">
        <f t="shared" si="41"/>
        <v>119.08333333333032</v>
      </c>
      <c r="R722" s="10">
        <f t="shared" si="39"/>
        <v>0.77798682098862249</v>
      </c>
      <c r="S722" s="5">
        <f t="shared" si="40"/>
        <v>0.36102486432293734</v>
      </c>
    </row>
    <row r="723" spans="17:19">
      <c r="Q723" s="19">
        <f t="shared" si="41"/>
        <v>119.16666666666364</v>
      </c>
      <c r="R723" s="10">
        <f t="shared" si="39"/>
        <v>0.77607746522106302</v>
      </c>
      <c r="S723" s="5">
        <f t="shared" si="40"/>
        <v>0.35810455047008921</v>
      </c>
    </row>
    <row r="724" spans="17:19">
      <c r="Q724" s="19">
        <f t="shared" si="41"/>
        <v>119.24999999999697</v>
      </c>
      <c r="R724" s="10">
        <f t="shared" si="39"/>
        <v>0.77415417423874344</v>
      </c>
      <c r="S724" s="5">
        <f t="shared" si="40"/>
        <v>0.35521034813551222</v>
      </c>
    </row>
    <row r="725" spans="17:19">
      <c r="Q725" s="19">
        <f t="shared" si="41"/>
        <v>119.3333333333303</v>
      </c>
      <c r="R725" s="10">
        <f t="shared" si="39"/>
        <v>0.77221689316358844</v>
      </c>
      <c r="S725" s="5">
        <f t="shared" si="40"/>
        <v>0.35234205081904385</v>
      </c>
    </row>
    <row r="726" spans="17:19">
      <c r="Q726" s="19">
        <f t="shared" si="41"/>
        <v>119.41666666666363</v>
      </c>
      <c r="R726" s="10">
        <f t="shared" si="39"/>
        <v>0.77026556785878619</v>
      </c>
      <c r="S726" s="5">
        <f t="shared" si="40"/>
        <v>0.34949945334688204</v>
      </c>
    </row>
    <row r="727" spans="17:19">
      <c r="Q727" s="19">
        <f t="shared" si="41"/>
        <v>119.49999999999696</v>
      </c>
      <c r="R727" s="10">
        <f t="shared" si="39"/>
        <v>0.76830014495268562</v>
      </c>
      <c r="S727" s="5">
        <f t="shared" si="40"/>
        <v>0.34668235186940999</v>
      </c>
    </row>
    <row r="728" spans="17:19">
      <c r="Q728" s="19">
        <f t="shared" si="41"/>
        <v>119.58333333333029</v>
      </c>
      <c r="R728" s="10">
        <f t="shared" si="39"/>
        <v>0.76632057186304381</v>
      </c>
      <c r="S728" s="5">
        <f t="shared" si="40"/>
        <v>0.34389054385891366</v>
      </c>
    </row>
    <row r="729" spans="17:19">
      <c r="Q729" s="19">
        <f t="shared" si="41"/>
        <v>119.66666666666362</v>
      </c>
      <c r="R729" s="10">
        <f t="shared" si="39"/>
        <v>0.76432679682162996</v>
      </c>
      <c r="S729" s="5">
        <f t="shared" si="40"/>
        <v>0.34112382810719549</v>
      </c>
    </row>
    <row r="730" spans="17:19">
      <c r="Q730" s="19">
        <f t="shared" si="41"/>
        <v>119.74999999999694</v>
      </c>
      <c r="R730" s="10">
        <f t="shared" si="39"/>
        <v>0.76231876889917538</v>
      </c>
      <c r="S730" s="5">
        <f t="shared" si="40"/>
        <v>0.33838200472308355</v>
      </c>
    </row>
    <row r="731" spans="17:19">
      <c r="Q731" s="19">
        <f t="shared" si="41"/>
        <v>119.83333333333027</v>
      </c>
      <c r="R731" s="10">
        <f t="shared" si="39"/>
        <v>0.76029643803068181</v>
      </c>
      <c r="S731" s="5">
        <f t="shared" si="40"/>
        <v>0.335664875129841</v>
      </c>
    </row>
    <row r="732" spans="17:19">
      <c r="Q732" s="19">
        <f t="shared" si="41"/>
        <v>119.9166666666636</v>
      </c>
      <c r="R732" s="10">
        <f t="shared" si="39"/>
        <v>0.75825975504108134</v>
      </c>
      <c r="S732" s="5">
        <f t="shared" si="40"/>
        <v>0.33297224206247605</v>
      </c>
    </row>
    <row r="733" spans="17:19">
      <c r="Q733" s="19">
        <f t="shared" si="41"/>
        <v>119.99999999999693</v>
      </c>
      <c r="R733" s="10">
        <f t="shared" si="39"/>
        <v>0.75620867167124839</v>
      </c>
      <c r="S733" s="5">
        <f t="shared" si="40"/>
        <v>0.3303039095649547</v>
      </c>
    </row>
    <row r="734" spans="17:19">
      <c r="Q734" s="19">
        <f t="shared" si="41"/>
        <v>120.08333333333026</v>
      </c>
      <c r="R734" s="10">
        <f t="shared" si="39"/>
        <v>0.75414314060437182</v>
      </c>
      <c r="S734" s="5">
        <f t="shared" si="40"/>
        <v>0.32765968298731973</v>
      </c>
    </row>
    <row r="735" spans="17:19">
      <c r="Q735" s="19">
        <f t="shared" si="41"/>
        <v>120.16666666666359</v>
      </c>
      <c r="R735" s="10">
        <f t="shared" si="39"/>
        <v>0.75206311549267446</v>
      </c>
      <c r="S735" s="5">
        <f t="shared" si="40"/>
        <v>0.32503936898271524</v>
      </c>
    </row>
    <row r="736" spans="17:19">
      <c r="Q736" s="19">
        <f t="shared" si="41"/>
        <v>120.24999999999692</v>
      </c>
      <c r="R736" s="10">
        <f t="shared" si="39"/>
        <v>0.74996855098449344</v>
      </c>
      <c r="S736" s="5">
        <f t="shared" si="40"/>
        <v>0.32244277550432127</v>
      </c>
    </row>
    <row r="737" spans="17:19">
      <c r="Q737" s="19">
        <f t="shared" si="41"/>
        <v>120.33333333333024</v>
      </c>
      <c r="R737" s="10">
        <f t="shared" si="39"/>
        <v>0.74785940275171092</v>
      </c>
      <c r="S737" s="5">
        <f t="shared" si="40"/>
        <v>0.3198697118021987</v>
      </c>
    </row>
    <row r="738" spans="17:19">
      <c r="Q738" s="19">
        <f t="shared" si="41"/>
        <v>120.41666666666357</v>
      </c>
      <c r="R738" s="10">
        <f t="shared" si="39"/>
        <v>0.74573562751753808</v>
      </c>
      <c r="S738" s="5">
        <f t="shared" si="40"/>
        <v>0.31731998842004699</v>
      </c>
    </row>
    <row r="739" spans="17:19">
      <c r="Q739" s="19">
        <f t="shared" si="41"/>
        <v>120.4999999999969</v>
      </c>
      <c r="R739" s="10">
        <f t="shared" si="39"/>
        <v>0.74359718308465672</v>
      </c>
      <c r="S739" s="5">
        <f t="shared" si="40"/>
        <v>0.3147934171918772</v>
      </c>
    </row>
    <row r="740" spans="17:19">
      <c r="Q740" s="19">
        <f t="shared" si="41"/>
        <v>120.58333333333023</v>
      </c>
      <c r="R740" s="10">
        <f t="shared" si="39"/>
        <v>0.74144402836370793</v>
      </c>
      <c r="S740" s="5">
        <f t="shared" si="40"/>
        <v>0.31228981123860072</v>
      </c>
    </row>
    <row r="741" spans="17:19">
      <c r="Q741" s="19">
        <f t="shared" si="41"/>
        <v>120.66666666666356</v>
      </c>
      <c r="R741" s="10">
        <f t="shared" si="39"/>
        <v>0.739276123402137</v>
      </c>
      <c r="S741" s="5">
        <f t="shared" si="40"/>
        <v>0.3098089849645374</v>
      </c>
    </row>
    <row r="742" spans="17:19">
      <c r="Q742" s="19">
        <f t="shared" si="41"/>
        <v>120.74999999999689</v>
      </c>
      <c r="R742" s="10">
        <f t="shared" si="39"/>
        <v>0.73709342941338529</v>
      </c>
      <c r="S742" s="5">
        <f t="shared" si="40"/>
        <v>0.30735075405384282</v>
      </c>
    </row>
    <row r="743" spans="17:19">
      <c r="Q743" s="19">
        <f t="shared" si="41"/>
        <v>120.83333333333022</v>
      </c>
      <c r="R743" s="10">
        <f t="shared" si="39"/>
        <v>0.73489590880643141</v>
      </c>
      <c r="S743" s="5">
        <f t="shared" si="40"/>
        <v>0.30491493546685855</v>
      </c>
    </row>
    <row r="744" spans="17:19">
      <c r="Q744" s="19">
        <f t="shared" si="41"/>
        <v>120.91666666666355</v>
      </c>
      <c r="R744" s="10">
        <f t="shared" si="39"/>
        <v>0.73268352521568403</v>
      </c>
      <c r="S744" s="5">
        <f t="shared" si="40"/>
        <v>0.30250134743638624</v>
      </c>
    </row>
    <row r="745" spans="17:19">
      <c r="Q745" s="19">
        <f t="shared" si="41"/>
        <v>120.99999999999687</v>
      </c>
      <c r="R745" s="10">
        <f t="shared" si="39"/>
        <v>0.73045624353121252</v>
      </c>
      <c r="S745" s="5">
        <f t="shared" si="40"/>
        <v>0.30010980946388649</v>
      </c>
    </row>
    <row r="746" spans="17:19">
      <c r="Q746" s="19">
        <f t="shared" si="41"/>
        <v>121.0833333333302</v>
      </c>
      <c r="R746" s="10">
        <f t="shared" si="39"/>
        <v>0.72821402992933004</v>
      </c>
      <c r="S746" s="5">
        <f t="shared" si="40"/>
        <v>0.29774014231560664</v>
      </c>
    </row>
    <row r="747" spans="17:19">
      <c r="Q747" s="19">
        <f t="shared" si="41"/>
        <v>121.16666666666353</v>
      </c>
      <c r="R747" s="10">
        <f t="shared" si="39"/>
        <v>0.72595685190351178</v>
      </c>
      <c r="S747" s="5">
        <f t="shared" si="40"/>
        <v>0.29539216801863633</v>
      </c>
    </row>
    <row r="748" spans="17:19">
      <c r="Q748" s="19">
        <f t="shared" si="41"/>
        <v>121.24999999999686</v>
      </c>
      <c r="R748" s="10">
        <f t="shared" si="39"/>
        <v>0.72368467829565275</v>
      </c>
      <c r="S748" s="5">
        <f t="shared" si="40"/>
        <v>0.29306570985689434</v>
      </c>
    </row>
    <row r="749" spans="17:19">
      <c r="Q749" s="19">
        <f t="shared" si="41"/>
        <v>121.33333333333019</v>
      </c>
      <c r="R749" s="10">
        <f t="shared" si="39"/>
        <v>0.72139747932766629</v>
      </c>
      <c r="S749" s="5">
        <f t="shared" si="40"/>
        <v>0.29076059236704904</v>
      </c>
    </row>
    <row r="750" spans="17:19">
      <c r="Q750" s="19">
        <f t="shared" si="41"/>
        <v>121.41666666666352</v>
      </c>
      <c r="R750" s="10">
        <f t="shared" si="39"/>
        <v>0.71909522663341063</v>
      </c>
      <c r="S750" s="5">
        <f t="shared" si="40"/>
        <v>0.28847664133437151</v>
      </c>
    </row>
    <row r="751" spans="17:19">
      <c r="Q751" s="19">
        <f t="shared" si="41"/>
        <v>121.49999999999685</v>
      </c>
      <c r="R751" s="10">
        <f t="shared" si="39"/>
        <v>0.71677789329094632</v>
      </c>
      <c r="S751" s="5">
        <f t="shared" si="40"/>
        <v>0.28621368378852552</v>
      </c>
    </row>
    <row r="752" spans="17:19">
      <c r="Q752" s="19">
        <f t="shared" si="41"/>
        <v>121.58333333333017</v>
      </c>
      <c r="R752" s="10">
        <f t="shared" si="39"/>
        <v>0.71444545385512481</v>
      </c>
      <c r="S752" s="5">
        <f t="shared" si="40"/>
        <v>0.28397154799929547</v>
      </c>
    </row>
    <row r="753" spans="17:19">
      <c r="Q753" s="19">
        <f t="shared" si="41"/>
        <v>121.6666666666635</v>
      </c>
      <c r="R753" s="10">
        <f t="shared" si="39"/>
        <v>0.71209788439049182</v>
      </c>
      <c r="S753" s="5">
        <f t="shared" si="40"/>
        <v>0.28175006347225223</v>
      </c>
    </row>
    <row r="754" spans="17:19">
      <c r="Q754" s="19">
        <f t="shared" si="41"/>
        <v>121.74999999999683</v>
      </c>
      <c r="R754" s="10">
        <f t="shared" si="39"/>
        <v>0.70973516250451796</v>
      </c>
      <c r="S754" s="5">
        <f t="shared" si="40"/>
        <v>0.27954906094436155</v>
      </c>
    </row>
    <row r="755" spans="17:19">
      <c r="Q755" s="19">
        <f t="shared" si="41"/>
        <v>121.83333333333016</v>
      </c>
      <c r="R755" s="10">
        <f t="shared" si="39"/>
        <v>0.70735726738113658</v>
      </c>
      <c r="S755" s="5">
        <f t="shared" si="40"/>
        <v>0.2773683723795331</v>
      </c>
    </row>
    <row r="756" spans="17:19">
      <c r="Q756" s="19">
        <f t="shared" si="41"/>
        <v>121.91666666666349</v>
      </c>
      <c r="R756" s="10">
        <f t="shared" si="39"/>
        <v>0.70496417981459469</v>
      </c>
      <c r="S756" s="5">
        <f t="shared" si="40"/>
        <v>0.27520783096411461</v>
      </c>
    </row>
    <row r="757" spans="17:19">
      <c r="Q757" s="19">
        <f t="shared" si="41"/>
        <v>121.99999999999682</v>
      </c>
      <c r="R757" s="10">
        <f t="shared" si="39"/>
        <v>0.7025558822436101</v>
      </c>
      <c r="S757" s="5">
        <f t="shared" si="40"/>
        <v>0.27306727110233131</v>
      </c>
    </row>
    <row r="758" spans="17:19">
      <c r="Q758" s="19">
        <f t="shared" si="41"/>
        <v>122.08333333333015</v>
      </c>
      <c r="R758" s="10">
        <f t="shared" si="39"/>
        <v>0.70013235878582292</v>
      </c>
      <c r="S758" s="5">
        <f t="shared" si="40"/>
        <v>0.27094652841167199</v>
      </c>
    </row>
    <row r="759" spans="17:19">
      <c r="Q759" s="19">
        <f t="shared" si="41"/>
        <v>122.16666666666347</v>
      </c>
      <c r="R759" s="10">
        <f t="shared" si="39"/>
        <v>0.69769359527254715</v>
      </c>
      <c r="S759" s="5">
        <f t="shared" si="40"/>
        <v>0.26884543971822422</v>
      </c>
    </row>
    <row r="760" spans="17:19">
      <c r="Q760" s="19">
        <f t="shared" si="41"/>
        <v>122.2499999999968</v>
      </c>
      <c r="R760" s="10">
        <f t="shared" si="39"/>
        <v>0.69523957928380664</v>
      </c>
      <c r="S760" s="5">
        <f t="shared" si="40"/>
        <v>0.26676384305195883</v>
      </c>
    </row>
    <row r="761" spans="17:19">
      <c r="Q761" s="19">
        <f t="shared" si="41"/>
        <v>122.33333333333013</v>
      </c>
      <c r="R761" s="10">
        <f t="shared" si="39"/>
        <v>0.69277030018365149</v>
      </c>
      <c r="S761" s="5">
        <f t="shared" si="40"/>
        <v>0.26470157764196606</v>
      </c>
    </row>
    <row r="762" spans="17:19">
      <c r="Q762" s="19">
        <f t="shared" si="41"/>
        <v>122.41666666666346</v>
      </c>
      <c r="R762" s="10">
        <f t="shared" si="39"/>
        <v>0.6902857491557558</v>
      </c>
      <c r="S762" s="5">
        <f t="shared" si="40"/>
        <v>0.26265848391164553</v>
      </c>
    </row>
    <row r="763" spans="17:19">
      <c r="Q763" s="19">
        <f t="shared" si="41"/>
        <v>122.49999999999679</v>
      </c>
      <c r="R763" s="10">
        <f t="shared" si="39"/>
        <v>0.68778591923927568</v>
      </c>
      <c r="S763" s="5">
        <f t="shared" si="40"/>
        <v>0.26063440347384881</v>
      </c>
    </row>
    <row r="764" spans="17:19">
      <c r="Q764" s="19">
        <f t="shared" si="41"/>
        <v>122.58333333333012</v>
      </c>
      <c r="R764" s="10">
        <f t="shared" si="39"/>
        <v>0.68527080536497564</v>
      </c>
      <c r="S764" s="5">
        <f t="shared" si="40"/>
        <v>0.25862917912597921</v>
      </c>
    </row>
    <row r="765" spans="17:19">
      <c r="Q765" s="19">
        <f t="shared" si="41"/>
        <v>122.66666666666345</v>
      </c>
      <c r="R765" s="10">
        <f t="shared" si="39"/>
        <v>0.68274040439160444</v>
      </c>
      <c r="S765" s="5">
        <f t="shared" si="40"/>
        <v>0.25664265484504795</v>
      </c>
    </row>
    <row r="766" spans="17:19">
      <c r="Q766" s="19">
        <f t="shared" si="41"/>
        <v>122.74999999999677</v>
      </c>
      <c r="R766" s="10">
        <f t="shared" si="39"/>
        <v>0.68019471514251506</v>
      </c>
      <c r="S766" s="5">
        <f t="shared" si="40"/>
        <v>0.25467467578268838</v>
      </c>
    </row>
    <row r="767" spans="17:19">
      <c r="Q767" s="19">
        <f t="shared" si="41"/>
        <v>122.8333333333301</v>
      </c>
      <c r="R767" s="10">
        <f t="shared" si="39"/>
        <v>0.67763373844252728</v>
      </c>
      <c r="S767" s="5">
        <f t="shared" si="40"/>
        <v>0.25272508826013113</v>
      </c>
    </row>
    <row r="768" spans="17:19">
      <c r="Q768" s="19">
        <f t="shared" si="41"/>
        <v>122.91666666666343</v>
      </c>
      <c r="R768" s="10">
        <f t="shared" si="39"/>
        <v>0.67505747715501108</v>
      </c>
      <c r="S768" s="5">
        <f t="shared" si="40"/>
        <v>0.25079373976313896</v>
      </c>
    </row>
    <row r="769" spans="17:19">
      <c r="Q769" s="19">
        <f t="shared" si="41"/>
        <v>122.99999999999676</v>
      </c>
      <c r="R769" s="10">
        <f t="shared" si="39"/>
        <v>0.67246593621919659</v>
      </c>
      <c r="S769" s="5">
        <f t="shared" si="40"/>
        <v>0.24888047893690518</v>
      </c>
    </row>
    <row r="770" spans="17:19">
      <c r="Q770" s="19">
        <f t="shared" si="41"/>
        <v>123.08333333333009</v>
      </c>
      <c r="R770" s="10">
        <f t="shared" si="39"/>
        <v>0.66985912268768777</v>
      </c>
      <c r="S770" s="5">
        <f t="shared" si="40"/>
        <v>0.24698515558091472</v>
      </c>
    </row>
    <row r="771" spans="17:19">
      <c r="Q771" s="19">
        <f t="shared" si="41"/>
        <v>123.16666666666342</v>
      </c>
      <c r="R771" s="10">
        <f t="shared" si="39"/>
        <v>0.66723704576417653</v>
      </c>
      <c r="S771" s="5">
        <f t="shared" si="40"/>
        <v>0.2451076206437704</v>
      </c>
    </row>
    <row r="772" spans="17:19">
      <c r="Q772" s="19">
        <f t="shared" si="41"/>
        <v>123.24999999999675</v>
      </c>
      <c r="R772" s="10">
        <f t="shared" si="39"/>
        <v>0.66459971684135</v>
      </c>
      <c r="S772" s="5">
        <f t="shared" si="40"/>
        <v>0.2432477262179859</v>
      </c>
    </row>
    <row r="773" spans="17:19">
      <c r="Q773" s="19">
        <f t="shared" si="41"/>
        <v>123.33333333333007</v>
      </c>
      <c r="R773" s="10">
        <f t="shared" si="39"/>
        <v>0.66194714953896883</v>
      </c>
      <c r="S773" s="5">
        <f t="shared" si="40"/>
        <v>0.2414053255347447</v>
      </c>
    </row>
    <row r="774" spans="17:19">
      <c r="Q774" s="19">
        <f t="shared" si="41"/>
        <v>123.4166666666634</v>
      </c>
      <c r="R774" s="10">
        <f t="shared" si="39"/>
        <v>0.6592793597421196</v>
      </c>
      <c r="S774" s="5">
        <f t="shared" si="40"/>
        <v>0.23958027295862899</v>
      </c>
    </row>
    <row r="775" spans="17:19">
      <c r="Q775" s="19">
        <f t="shared" si="41"/>
        <v>123.49999999999673</v>
      </c>
      <c r="R775" s="10">
        <f t="shared" si="39"/>
        <v>0.65659636563961743</v>
      </c>
      <c r="S775" s="5">
        <f t="shared" si="40"/>
        <v>0.23777242398231707</v>
      </c>
    </row>
    <row r="776" spans="17:19">
      <c r="Q776" s="19">
        <f t="shared" si="41"/>
        <v>123.58333333333006</v>
      </c>
      <c r="R776" s="10">
        <f t="shared" si="39"/>
        <v>0.65389818776255171</v>
      </c>
      <c r="S776" s="5">
        <f t="shared" si="40"/>
        <v>0.23598163522125193</v>
      </c>
    </row>
    <row r="777" spans="17:19">
      <c r="Q777" s="19">
        <f t="shared" si="41"/>
        <v>123.66666666666339</v>
      </c>
      <c r="R777" s="10">
        <f t="shared" si="39"/>
        <v>0.65118484902296514</v>
      </c>
      <c r="S777" s="5">
        <f t="shared" si="40"/>
        <v>0.23420776440828195</v>
      </c>
    </row>
    <row r="778" spans="17:19">
      <c r="Q778" s="19">
        <f t="shared" si="41"/>
        <v>123.74999999999672</v>
      </c>
      <c r="R778" s="10">
        <f t="shared" si="39"/>
        <v>0.64845637475264739</v>
      </c>
      <c r="S778" s="5">
        <f t="shared" si="40"/>
        <v>0.23245067038827411</v>
      </c>
    </row>
    <row r="779" spans="17:19">
      <c r="Q779" s="19">
        <f t="shared" si="41"/>
        <v>123.83333333333005</v>
      </c>
      <c r="R779" s="10">
        <f t="shared" si="39"/>
        <v>0.64571279274203031</v>
      </c>
      <c r="S779" s="5">
        <f t="shared" si="40"/>
        <v>0.23071021311270146</v>
      </c>
    </row>
    <row r="780" spans="17:19">
      <c r="Q780" s="19">
        <f t="shared" si="41"/>
        <v>123.91666666666337</v>
      </c>
      <c r="R780" s="10">
        <f t="shared" si="39"/>
        <v>0.6429541332791785</v>
      </c>
      <c r="S780" s="5">
        <f t="shared" si="40"/>
        <v>0.22898625363420622</v>
      </c>
    </row>
    <row r="781" spans="17:19">
      <c r="Q781" s="19">
        <f t="shared" si="41"/>
        <v>123.9999999999967</v>
      </c>
      <c r="R781" s="10">
        <f t="shared" si="39"/>
        <v>0.64018042918884666</v>
      </c>
      <c r="S781" s="5">
        <f t="shared" si="40"/>
        <v>0.22727865410113784</v>
      </c>
    </row>
    <row r="782" spans="17:19">
      <c r="Q782" s="19">
        <f t="shared" si="41"/>
        <v>124.08333333333003</v>
      </c>
      <c r="R782" s="10">
        <f t="shared" ref="R782:R845" si="42">(R$9^(1/12))*R$10^((R$8^(Q782))*((R$8^(1/12))-1))</f>
        <v>0.63739171587160393</v>
      </c>
      <c r="S782" s="5">
        <f t="shared" ref="S782:S845" si="43">(1/12)+R782*S783/((1+B$3)^(1/12))</f>
        <v>0.22558727775206955</v>
      </c>
    </row>
    <row r="783" spans="17:19">
      <c r="Q783" s="19">
        <f t="shared" ref="Q783:Q846" si="44">Q782+1/12</f>
        <v>124.16666666666336</v>
      </c>
      <c r="R783" s="10">
        <f t="shared" si="42"/>
        <v>0.63458803134299691</v>
      </c>
      <c r="S783" s="5">
        <f t="shared" si="43"/>
        <v>0.22391198891029196</v>
      </c>
    </row>
    <row r="784" spans="17:19">
      <c r="Q784" s="19">
        <f t="shared" si="44"/>
        <v>124.24999999999669</v>
      </c>
      <c r="R784" s="10">
        <f t="shared" si="42"/>
        <v>0.63176941627274186</v>
      </c>
      <c r="S784" s="5">
        <f t="shared" si="43"/>
        <v>0.22225265297828634</v>
      </c>
    </row>
    <row r="785" spans="17:19">
      <c r="Q785" s="19">
        <f t="shared" si="44"/>
        <v>124.33333333333002</v>
      </c>
      <c r="R785" s="10">
        <f t="shared" si="42"/>
        <v>0.62893591402393056</v>
      </c>
      <c r="S785" s="5">
        <f t="shared" si="43"/>
        <v>0.22060913643217789</v>
      </c>
    </row>
    <row r="786" spans="17:19">
      <c r="Q786" s="19">
        <f t="shared" si="44"/>
        <v>124.41666666666335</v>
      </c>
      <c r="R786" s="10">
        <f t="shared" si="42"/>
        <v>0.62608757069222565</v>
      </c>
      <c r="S786" s="5">
        <f t="shared" si="43"/>
        <v>0.21898130681616984</v>
      </c>
    </row>
    <row r="787" spans="17:19">
      <c r="Q787" s="19">
        <f t="shared" si="44"/>
        <v>124.49999999999667</v>
      </c>
      <c r="R787" s="10">
        <f t="shared" si="42"/>
        <v>0.62322443514503656</v>
      </c>
      <c r="S787" s="5">
        <f t="shared" si="43"/>
        <v>0.21736903273695968</v>
      </c>
    </row>
    <row r="788" spans="17:19">
      <c r="Q788" s="19">
        <f t="shared" si="44"/>
        <v>124.58333333333</v>
      </c>
      <c r="R788" s="10">
        <f t="shared" si="42"/>
        <v>0.62034655906065073</v>
      </c>
      <c r="S788" s="5">
        <f t="shared" si="43"/>
        <v>0.21577218385813768</v>
      </c>
    </row>
    <row r="789" spans="17:19">
      <c r="Q789" s="19">
        <f t="shared" si="44"/>
        <v>124.66666666666333</v>
      </c>
      <c r="R789" s="10">
        <f t="shared" si="42"/>
        <v>0.61745399696730274</v>
      </c>
      <c r="S789" s="5">
        <f t="shared" si="43"/>
        <v>0.21419063089456947</v>
      </c>
    </row>
    <row r="790" spans="17:19">
      <c r="Q790" s="19">
        <f t="shared" si="44"/>
        <v>124.74999999999666</v>
      </c>
      <c r="R790" s="10">
        <f t="shared" si="42"/>
        <v>0.61454680628216873</v>
      </c>
      <c r="S790" s="5">
        <f t="shared" si="43"/>
        <v>0.21262424560676318</v>
      </c>
    </row>
    <row r="791" spans="17:19">
      <c r="Q791" s="19">
        <f t="shared" si="44"/>
        <v>124.83333333332999</v>
      </c>
      <c r="R791" s="10">
        <f t="shared" si="42"/>
        <v>0.61162504735025203</v>
      </c>
      <c r="S791" s="5">
        <f t="shared" si="43"/>
        <v>0.21107290079522112</v>
      </c>
    </row>
    <row r="792" spans="17:19">
      <c r="Q792" s="19">
        <f t="shared" si="44"/>
        <v>124.91666666666332</v>
      </c>
      <c r="R792" s="10">
        <f t="shared" si="42"/>
        <v>0.60868878348315747</v>
      </c>
      <c r="S792" s="5">
        <f t="shared" si="43"/>
        <v>0.20953647029477862</v>
      </c>
    </row>
    <row r="793" spans="17:19">
      <c r="Q793" s="19">
        <f t="shared" si="44"/>
        <v>124.99999999999665</v>
      </c>
      <c r="R793" s="10">
        <f t="shared" si="42"/>
        <v>0.60573808099771642</v>
      </c>
      <c r="S793" s="5">
        <f t="shared" si="43"/>
        <v>0.20801482896892873</v>
      </c>
    </row>
    <row r="794" spans="17:19">
      <c r="Q794" s="19">
        <f t="shared" si="44"/>
        <v>125.08333333332997</v>
      </c>
      <c r="R794" s="10">
        <f t="shared" si="42"/>
        <v>0.60277300925444999</v>
      </c>
      <c r="S794" s="5">
        <f t="shared" si="43"/>
        <v>0.2065078527041348</v>
      </c>
    </row>
    <row r="795" spans="17:19">
      <c r="Q795" s="19">
        <f t="shared" si="44"/>
        <v>125.1666666666633</v>
      </c>
      <c r="R795" s="10">
        <f t="shared" si="42"/>
        <v>0.59979364069585084</v>
      </c>
      <c r="S795" s="5">
        <f t="shared" si="43"/>
        <v>0.20501541840413215</v>
      </c>
    </row>
    <row r="796" spans="17:19">
      <c r="Q796" s="19">
        <f t="shared" si="44"/>
        <v>125.24999999999663</v>
      </c>
      <c r="R796" s="10">
        <f t="shared" si="42"/>
        <v>0.59680005088444898</v>
      </c>
      <c r="S796" s="5">
        <f t="shared" si="43"/>
        <v>0.20353740398421755</v>
      </c>
    </row>
    <row r="797" spans="17:19">
      <c r="Q797" s="19">
        <f t="shared" si="44"/>
        <v>125.33333333332996</v>
      </c>
      <c r="R797" s="10">
        <f t="shared" si="42"/>
        <v>0.5937923185406524</v>
      </c>
      <c r="S797" s="5">
        <f t="shared" si="43"/>
        <v>0.20207368836552947</v>
      </c>
    </row>
    <row r="798" spans="17:19">
      <c r="Q798" s="19">
        <f t="shared" si="44"/>
        <v>125.41666666666329</v>
      </c>
      <c r="R798" s="10">
        <f t="shared" si="42"/>
        <v>0.59077052558032739</v>
      </c>
      <c r="S798" s="5">
        <f t="shared" si="43"/>
        <v>0.20062415146931817</v>
      </c>
    </row>
    <row r="799" spans="17:19">
      <c r="Q799" s="19">
        <f t="shared" si="44"/>
        <v>125.49999999999662</v>
      </c>
      <c r="R799" s="10">
        <f t="shared" si="42"/>
        <v>0.58773475715209733</v>
      </c>
      <c r="S799" s="5">
        <f t="shared" si="43"/>
        <v>0.19918867421120687</v>
      </c>
    </row>
    <row r="800" spans="17:19">
      <c r="Q800" s="19">
        <f t="shared" si="44"/>
        <v>125.58333333332995</v>
      </c>
      <c r="R800" s="10">
        <f t="shared" si="42"/>
        <v>0.58468510167434096</v>
      </c>
      <c r="S800" s="5">
        <f t="shared" si="43"/>
        <v>0.19776713849544514</v>
      </c>
    </row>
    <row r="801" spans="17:19">
      <c r="Q801" s="19">
        <f t="shared" si="44"/>
        <v>125.66666666666328</v>
      </c>
      <c r="R801" s="10">
        <f t="shared" si="42"/>
        <v>0.58162165087185047</v>
      </c>
      <c r="S801" s="5">
        <f t="shared" si="43"/>
        <v>0.19635942720915375</v>
      </c>
    </row>
    <row r="802" spans="17:19">
      <c r="Q802" s="19">
        <f t="shared" si="44"/>
        <v>125.7499999999966</v>
      </c>
      <c r="R802" s="10">
        <f t="shared" si="42"/>
        <v>0.57854449981213973</v>
      </c>
      <c r="S802" s="5">
        <f t="shared" si="43"/>
        <v>0.19496542421656338</v>
      </c>
    </row>
    <row r="803" spans="17:19">
      <c r="Q803" s="19">
        <f t="shared" si="44"/>
        <v>125.83333333332993</v>
      </c>
      <c r="R803" s="10">
        <f t="shared" si="42"/>
        <v>0.57545374694136164</v>
      </c>
      <c r="S803" s="5">
        <f t="shared" si="43"/>
        <v>0.19358501435324588</v>
      </c>
    </row>
    <row r="804" spans="17:19">
      <c r="Q804" s="19">
        <f t="shared" si="44"/>
        <v>125.91666666666326</v>
      </c>
      <c r="R804" s="10">
        <f t="shared" si="42"/>
        <v>0.5723494941198114</v>
      </c>
      <c r="S804" s="5">
        <f t="shared" si="43"/>
        <v>0.19221808342033975</v>
      </c>
    </row>
    <row r="805" spans="17:19">
      <c r="Q805" s="19">
        <f t="shared" si="44"/>
        <v>125.99999999999659</v>
      </c>
      <c r="R805" s="10">
        <f t="shared" si="42"/>
        <v>0.56923184665699433</v>
      </c>
      <c r="S805" s="5">
        <f t="shared" si="43"/>
        <v>0.19086451817877087</v>
      </c>
    </row>
    <row r="806" spans="17:19">
      <c r="Q806" s="19">
        <f t="shared" si="44"/>
        <v>126.08333333332992</v>
      </c>
      <c r="R806" s="10">
        <f t="shared" si="42"/>
        <v>0.56610091334621815</v>
      </c>
      <c r="S806" s="5">
        <f t="shared" si="43"/>
        <v>0.18952420634346717</v>
      </c>
    </row>
    <row r="807" spans="17:19">
      <c r="Q807" s="19">
        <f t="shared" si="44"/>
        <v>126.16666666666325</v>
      </c>
      <c r="R807" s="10">
        <f t="shared" si="42"/>
        <v>0.56295680649868518</v>
      </c>
      <c r="S807" s="5">
        <f t="shared" si="43"/>
        <v>0.1881970365775692</v>
      </c>
    </row>
    <row r="808" spans="17:19">
      <c r="Q808" s="19">
        <f t="shared" si="44"/>
        <v>126.24999999999658</v>
      </c>
      <c r="R808" s="10">
        <f t="shared" si="42"/>
        <v>0.55979964197705923</v>
      </c>
      <c r="S808" s="5">
        <f t="shared" si="43"/>
        <v>0.18688289848663717</v>
      </c>
    </row>
    <row r="809" spans="17:19">
      <c r="Q809" s="19">
        <f t="shared" si="44"/>
        <v>126.3333333333299</v>
      </c>
      <c r="R809" s="10">
        <f t="shared" si="42"/>
        <v>0.55662953922846581</v>
      </c>
      <c r="S809" s="5">
        <f t="shared" si="43"/>
        <v>0.18558168261285346</v>
      </c>
    </row>
    <row r="810" spans="17:19">
      <c r="Q810" s="19">
        <f t="shared" si="44"/>
        <v>126.41666666666323</v>
      </c>
      <c r="R810" s="10">
        <f t="shared" si="42"/>
        <v>0.55344662131690536</v>
      </c>
      <c r="S810" s="5">
        <f t="shared" si="43"/>
        <v>0.18429328042922274</v>
      </c>
    </row>
    <row r="811" spans="17:19">
      <c r="Q811" s="19">
        <f t="shared" si="44"/>
        <v>126.49999999999656</v>
      </c>
      <c r="R811" s="10">
        <f t="shared" si="42"/>
        <v>0.55025101495503936</v>
      </c>
      <c r="S811" s="5">
        <f t="shared" si="43"/>
        <v>0.18301758433376841</v>
      </c>
    </row>
    <row r="812" spans="17:19">
      <c r="Q812" s="19">
        <f t="shared" si="44"/>
        <v>126.58333333332989</v>
      </c>
      <c r="R812" s="10">
        <f t="shared" si="42"/>
        <v>0.54704285053531865</v>
      </c>
      <c r="S812" s="5">
        <f t="shared" si="43"/>
        <v>0.18175448764372693</v>
      </c>
    </row>
    <row r="813" spans="17:19">
      <c r="Q813" s="19">
        <f t="shared" si="44"/>
        <v>126.66666666666322</v>
      </c>
      <c r="R813" s="10">
        <f t="shared" si="42"/>
        <v>0.54382226216042762</v>
      </c>
      <c r="S813" s="5">
        <f t="shared" si="43"/>
        <v>0.18050388458973987</v>
      </c>
    </row>
    <row r="814" spans="17:19">
      <c r="Q814" s="19">
        <f t="shared" si="44"/>
        <v>126.74999999999655</v>
      </c>
      <c r="R814" s="10">
        <f t="shared" si="42"/>
        <v>0.54058938767299691</v>
      </c>
      <c r="S814" s="5">
        <f t="shared" si="43"/>
        <v>0.17926567031004273</v>
      </c>
    </row>
    <row r="815" spans="17:19">
      <c r="Q815" s="19">
        <f t="shared" si="44"/>
        <v>126.83333333332988</v>
      </c>
      <c r="R815" s="10">
        <f t="shared" si="42"/>
        <v>0.5373443686845657</v>
      </c>
      <c r="S815" s="5">
        <f t="shared" si="43"/>
        <v>0.17803974084465179</v>
      </c>
    </row>
    <row r="816" spans="17:19">
      <c r="Q816" s="19">
        <f t="shared" si="44"/>
        <v>126.9166666666632</v>
      </c>
      <c r="R816" s="10">
        <f t="shared" si="42"/>
        <v>0.53408735060374668</v>
      </c>
      <c r="S816" s="5">
        <f t="shared" si="43"/>
        <v>0.17682599312954633</v>
      </c>
    </row>
    <row r="817" spans="17:19">
      <c r="Q817" s="19">
        <f t="shared" si="44"/>
        <v>126.99999999999653</v>
      </c>
      <c r="R817" s="10">
        <f t="shared" si="42"/>
        <v>0.53081848266356246</v>
      </c>
      <c r="S817" s="5">
        <f t="shared" si="43"/>
        <v>0.1756243249908444</v>
      </c>
    </row>
    <row r="818" spans="17:19">
      <c r="Q818" s="19">
        <f t="shared" si="44"/>
        <v>127.08333333332986</v>
      </c>
      <c r="R818" s="10">
        <f t="shared" si="42"/>
        <v>0.52753791794792237</v>
      </c>
      <c r="S818" s="5">
        <f t="shared" si="43"/>
        <v>0.17443463513896745</v>
      </c>
    </row>
    <row r="819" spans="17:19">
      <c r="Q819" s="19">
        <f t="shared" si="44"/>
        <v>127.16666666666319</v>
      </c>
      <c r="R819" s="10">
        <f t="shared" si="42"/>
        <v>0.52424581341719145</v>
      </c>
      <c r="S819" s="5">
        <f t="shared" si="43"/>
        <v>0.1732568231627819</v>
      </c>
    </row>
    <row r="820" spans="17:19">
      <c r="Q820" s="19">
        <f t="shared" si="44"/>
        <v>127.24999999999652</v>
      </c>
      <c r="R820" s="10">
        <f t="shared" si="42"/>
        <v>0.5209423299328283</v>
      </c>
      <c r="S820" s="5">
        <f t="shared" si="43"/>
        <v>0.1720907895236973</v>
      </c>
    </row>
    <row r="821" spans="17:19">
      <c r="Q821" s="19">
        <f t="shared" si="44"/>
        <v>127.33333333332985</v>
      </c>
      <c r="R821" s="10">
        <f t="shared" si="42"/>
        <v>0.51762763228104325</v>
      </c>
      <c r="S821" s="5">
        <f t="shared" si="43"/>
        <v>0.17093643554967636</v>
      </c>
    </row>
    <row r="822" spans="17:19">
      <c r="Q822" s="19">
        <f t="shared" si="44"/>
        <v>127.41666666666318</v>
      </c>
      <c r="R822" s="10">
        <f t="shared" si="42"/>
        <v>0.51430188919544018</v>
      </c>
      <c r="S822" s="5">
        <f t="shared" si="43"/>
        <v>0.16979366342906776</v>
      </c>
    </row>
    <row r="823" spans="17:19">
      <c r="Q823" s="19">
        <f t="shared" si="44"/>
        <v>127.4999999999965</v>
      </c>
      <c r="R823" s="10">
        <f t="shared" si="42"/>
        <v>0.51096527337861475</v>
      </c>
      <c r="S823" s="5">
        <f t="shared" si="43"/>
        <v>0.16866237620408098</v>
      </c>
    </row>
    <row r="824" spans="17:19">
      <c r="Q824" s="19">
        <f t="shared" si="44"/>
        <v>127.58333333332983</v>
      </c>
      <c r="R824" s="10">
        <f t="shared" si="42"/>
        <v>0.50761796152264915</v>
      </c>
      <c r="S824" s="5">
        <f t="shared" si="43"/>
        <v>0.16754247776352602</v>
      </c>
    </row>
    <row r="825" spans="17:19">
      <c r="Q825" s="19">
        <f t="shared" si="44"/>
        <v>127.66666666666316</v>
      </c>
      <c r="R825" s="10">
        <f t="shared" si="42"/>
        <v>0.50426013432848538</v>
      </c>
      <c r="S825" s="5">
        <f t="shared" si="43"/>
        <v>0.16643387283404698</v>
      </c>
    </row>
    <row r="826" spans="17:19">
      <c r="Q826" s="19">
        <f t="shared" si="44"/>
        <v>127.74999999999649</v>
      </c>
      <c r="R826" s="10">
        <f t="shared" si="42"/>
        <v>0.50089197652412187</v>
      </c>
      <c r="S826" s="5">
        <f t="shared" si="43"/>
        <v>0.1653364669682349</v>
      </c>
    </row>
    <row r="827" spans="17:19">
      <c r="Q827" s="19">
        <f t="shared" si="44"/>
        <v>127.83333333332982</v>
      </c>
      <c r="R827" s="10">
        <f t="shared" si="42"/>
        <v>0.49751367688159631</v>
      </c>
      <c r="S827" s="5">
        <f t="shared" si="43"/>
        <v>0.16425016652624519</v>
      </c>
    </row>
    <row r="828" spans="17:19">
      <c r="Q828" s="19">
        <f t="shared" si="44"/>
        <v>127.91666666666315</v>
      </c>
      <c r="R828" s="10">
        <f t="shared" si="42"/>
        <v>0.49412542823272237</v>
      </c>
      <c r="S828" s="5">
        <f t="shared" si="43"/>
        <v>0.16317487864379965</v>
      </c>
    </row>
    <row r="829" spans="17:19">
      <c r="Q829" s="19">
        <f t="shared" si="44"/>
        <v>127.99999999999648</v>
      </c>
      <c r="R829" s="10">
        <f t="shared" si="42"/>
        <v>0.49072742748352294</v>
      </c>
      <c r="S829" s="5">
        <f t="shared" si="43"/>
        <v>0.16211051117145647</v>
      </c>
    </row>
    <row r="830" spans="17:19">
      <c r="Q830" s="19">
        <f t="shared" si="44"/>
        <v>128.08333333332982</v>
      </c>
      <c r="R830" s="10">
        <f t="shared" si="42"/>
        <v>0.48731987562733436</v>
      </c>
      <c r="S830" s="5">
        <f t="shared" si="43"/>
        <v>0.16105697255284335</v>
      </c>
    </row>
    <row r="831" spans="17:19">
      <c r="Q831" s="19">
        <f t="shared" si="44"/>
        <v>128.16666666666316</v>
      </c>
      <c r="R831" s="10">
        <f t="shared" si="42"/>
        <v>0.48390297775653041</v>
      </c>
      <c r="S831" s="5">
        <f t="shared" si="43"/>
        <v>0.16001417157233289</v>
      </c>
    </row>
    <row r="832" spans="17:19">
      <c r="Q832" s="19">
        <f t="shared" si="44"/>
        <v>128.2499999999965</v>
      </c>
      <c r="R832" s="10">
        <f t="shared" si="42"/>
        <v>0.48047694307281968</v>
      </c>
      <c r="S832" s="5">
        <f t="shared" si="43"/>
        <v>0.15898201682152535</v>
      </c>
    </row>
    <row r="833" spans="17:19">
      <c r="Q833" s="19">
        <f t="shared" si="44"/>
        <v>128.33333333332985</v>
      </c>
      <c r="R833" s="10">
        <f t="shared" si="42"/>
        <v>0.47704198489608912</v>
      </c>
      <c r="S833" s="5">
        <f t="shared" si="43"/>
        <v>0.15796041555587337</v>
      </c>
    </row>
    <row r="834" spans="17:19">
      <c r="Q834" s="19">
        <f t="shared" si="44"/>
        <v>128.41666666666319</v>
      </c>
      <c r="R834" s="10">
        <f t="shared" si="42"/>
        <v>0.47359832067173069</v>
      </c>
      <c r="S834" s="5">
        <f t="shared" si="43"/>
        <v>0.15694927121928301</v>
      </c>
    </row>
    <row r="835" spans="17:19">
      <c r="Q835" s="19">
        <f t="shared" si="44"/>
        <v>128.49999999999653</v>
      </c>
      <c r="R835" s="10">
        <f t="shared" si="42"/>
        <v>0.47014617197642722</v>
      </c>
      <c r="S835" s="5">
        <f t="shared" si="43"/>
        <v>0.1559484780386371</v>
      </c>
    </row>
    <row r="836" spans="17:19">
      <c r="Q836" s="19">
        <f t="shared" si="44"/>
        <v>128.58333333332988</v>
      </c>
      <c r="R836" s="10">
        <f t="shared" si="42"/>
        <v>0.46668576452233507</v>
      </c>
      <c r="S836" s="5">
        <f t="shared" si="43"/>
        <v>0.15495790912654384</v>
      </c>
    </row>
    <row r="837" spans="17:19">
      <c r="Q837" s="19">
        <f t="shared" si="44"/>
        <v>128.66666666666322</v>
      </c>
      <c r="R837" s="10">
        <f t="shared" si="42"/>
        <v>0.46321732815963929</v>
      </c>
      <c r="S837" s="5">
        <f t="shared" si="43"/>
        <v>0.15397739009656194</v>
      </c>
    </row>
    <row r="838" spans="17:19">
      <c r="Q838" s="19">
        <f t="shared" si="44"/>
        <v>128.74999999999656</v>
      </c>
      <c r="R838" s="10">
        <f t="shared" si="42"/>
        <v>0.45974109687741677</v>
      </c>
      <c r="S838" s="5">
        <f t="shared" si="43"/>
        <v>0.15300664010955231</v>
      </c>
    </row>
    <row r="839" spans="17:19">
      <c r="Q839" s="19">
        <f t="shared" si="44"/>
        <v>128.8333333333299</v>
      </c>
      <c r="R839" s="10">
        <f t="shared" si="42"/>
        <v>0.45625730880278415</v>
      </c>
      <c r="S839" s="5">
        <f t="shared" si="43"/>
        <v>0.15204513916015611</v>
      </c>
    </row>
    <row r="840" spans="17:19">
      <c r="Q840" s="19">
        <f t="shared" si="44"/>
        <v>128.91666666666325</v>
      </c>
      <c r="R840" s="10">
        <f t="shared" si="42"/>
        <v>0.45276620619826907</v>
      </c>
      <c r="S840" s="5">
        <f t="shared" si="43"/>
        <v>0.15109182706564042</v>
      </c>
    </row>
    <row r="841" spans="17:19">
      <c r="Q841" s="19">
        <f t="shared" si="44"/>
        <v>128.99999999999659</v>
      </c>
      <c r="R841" s="10">
        <f t="shared" si="42"/>
        <v>0.44926803545736765</v>
      </c>
      <c r="S841" s="5">
        <f t="shared" si="43"/>
        <v>0.15014441554644523</v>
      </c>
    </row>
    <row r="842" spans="17:19">
      <c r="Q842" s="19">
        <f t="shared" si="44"/>
        <v>129.08333333332993</v>
      </c>
      <c r="R842" s="10">
        <f t="shared" si="42"/>
        <v>0.44576304709825038</v>
      </c>
      <c r="S842" s="5">
        <f t="shared" si="43"/>
        <v>0.14919780402940636</v>
      </c>
    </row>
    <row r="843" spans="17:19">
      <c r="Q843" s="19">
        <f t="shared" si="44"/>
        <v>129.16666666666328</v>
      </c>
      <c r="R843" s="10">
        <f t="shared" si="42"/>
        <v>0.44225149575555578</v>
      </c>
      <c r="S843" s="5">
        <f t="shared" si="43"/>
        <v>0.1482404032011643</v>
      </c>
    </row>
    <row r="844" spans="17:19">
      <c r="Q844" s="19">
        <f t="shared" si="44"/>
        <v>129.24999999999662</v>
      </c>
      <c r="R844" s="10">
        <f t="shared" si="42"/>
        <v>0.43873364017024719</v>
      </c>
      <c r="S844" s="5">
        <f t="shared" si="43"/>
        <v>0.1472455364189352</v>
      </c>
    </row>
    <row r="845" spans="17:19">
      <c r="Q845" s="19">
        <f t="shared" si="44"/>
        <v>129.33333333332996</v>
      </c>
      <c r="R845" s="10">
        <f t="shared" si="42"/>
        <v>0.43520974317746974</v>
      </c>
      <c r="S845" s="5">
        <f t="shared" si="43"/>
        <v>0.1461511704061019</v>
      </c>
    </row>
    <row r="846" spans="17:19">
      <c r="Q846" s="19">
        <f t="shared" si="44"/>
        <v>129.4166666666633</v>
      </c>
      <c r="R846" s="10">
        <f t="shared" ref="R846:R851" si="45">(R$9^(1/12))*R$10^((R$8^(Q846))*((R$8^(1/12))-1))</f>
        <v>0.43168007169238204</v>
      </c>
      <c r="S846" s="5">
        <f t="shared" ref="S846:S850" si="46">(1/12)+R846*S847/((1+B$3)^(1/12))</f>
        <v>0.14481175413236483</v>
      </c>
    </row>
    <row r="847" spans="17:19">
      <c r="Q847" s="19">
        <f>Q846+1/12</f>
        <v>129.49999999999665</v>
      </c>
      <c r="R847" s="10">
        <f t="shared" si="45"/>
        <v>0.42814489669389877</v>
      </c>
      <c r="S847" s="5">
        <f t="shared" si="46"/>
        <v>0.14288286440728123</v>
      </c>
    </row>
    <row r="848" spans="17:19">
      <c r="Q848" s="19">
        <f>Q847+1/12</f>
        <v>129.58333333332999</v>
      </c>
      <c r="R848" s="10">
        <f t="shared" si="45"/>
        <v>0.42460449320632238</v>
      </c>
      <c r="S848" s="5">
        <f t="shared" si="46"/>
        <v>0.13954266699002643</v>
      </c>
    </row>
    <row r="849" spans="17:19">
      <c r="Q849" s="19">
        <f>Q848+1/12</f>
        <v>129.66666666666333</v>
      </c>
      <c r="R849" s="10">
        <f t="shared" si="45"/>
        <v>0.42105914027879848</v>
      </c>
      <c r="S849" s="5">
        <f t="shared" si="46"/>
        <v>0.13281382861159094</v>
      </c>
    </row>
    <row r="850" spans="17:19">
      <c r="Q850" s="19">
        <f>Q849+1/12</f>
        <v>129.74999999999667</v>
      </c>
      <c r="R850" s="10">
        <f t="shared" si="45"/>
        <v>0.41750912096257392</v>
      </c>
      <c r="S850" s="5">
        <f t="shared" si="46"/>
        <v>0.11789907116426178</v>
      </c>
    </row>
    <row r="851" spans="17:19">
      <c r="Q851" s="19">
        <f>Q850+1/12</f>
        <v>129.83333333333002</v>
      </c>
      <c r="R851" s="10">
        <f t="shared" si="45"/>
        <v>0.41395472228599312</v>
      </c>
      <c r="S851" s="5">
        <f>(1/12)*(1+B$3)^(-1/12)</f>
        <v>8.3061411884880185E-2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1"/>
  <sheetViews>
    <sheetView zoomScale="125" zoomScaleNormal="125" zoomScalePageLayoutView="125" workbookViewId="0"/>
  </sheetViews>
  <sheetFormatPr baseColWidth="10" defaultRowHeight="12" x14ac:dyDescent="0"/>
  <sheetData>
    <row r="1" spans="1:9" ht="15">
      <c r="A1" s="70" t="s">
        <v>732</v>
      </c>
    </row>
    <row r="3" spans="1:9">
      <c r="A3" s="72" t="s">
        <v>74</v>
      </c>
      <c r="B3" s="73">
        <v>0.06</v>
      </c>
    </row>
    <row r="5" spans="1:9">
      <c r="A5" s="66" t="s">
        <v>330</v>
      </c>
      <c r="C5" s="66" t="s">
        <v>311</v>
      </c>
      <c r="D5" s="66"/>
      <c r="G5" t="s">
        <v>329</v>
      </c>
    </row>
    <row r="6" spans="1:9">
      <c r="A6" s="66" t="s">
        <v>331</v>
      </c>
      <c r="B6" s="66" t="s">
        <v>319</v>
      </c>
      <c r="C6" s="66" t="s">
        <v>318</v>
      </c>
      <c r="D6" s="15" t="s">
        <v>325</v>
      </c>
      <c r="E6" s="15" t="s">
        <v>23</v>
      </c>
      <c r="G6" s="52" t="s">
        <v>270</v>
      </c>
      <c r="H6" s="51">
        <v>2.2000000000000001E-4</v>
      </c>
    </row>
    <row r="7" spans="1:9">
      <c r="A7" s="66">
        <v>60</v>
      </c>
      <c r="B7" s="24">
        <v>27925.614352342582</v>
      </c>
      <c r="C7" s="10">
        <f>(1+B$3)^-(A7-35)</f>
        <v>0.23299863050389524</v>
      </c>
      <c r="D7" s="5">
        <f>I13</f>
        <v>13.053575684905802</v>
      </c>
      <c r="E7" s="5">
        <f>B7*C7*D7/B$15</f>
        <v>0.3881244734882105</v>
      </c>
      <c r="G7" s="52" t="s">
        <v>271</v>
      </c>
      <c r="H7" s="51">
        <v>2.7E-6</v>
      </c>
    </row>
    <row r="8" spans="1:9">
      <c r="A8" s="66">
        <v>60.5</v>
      </c>
      <c r="B8" s="24">
        <v>6187.5564028877789</v>
      </c>
      <c r="C8" s="10">
        <f t="shared" ref="C8:C13" si="0">(1+B$3)^-(A8-35)</f>
        <v>0.22630827575703746</v>
      </c>
      <c r="D8" s="5">
        <f>I19</f>
        <v>12.952661260355434</v>
      </c>
      <c r="E8" s="5">
        <f t="shared" ref="E8:E13" si="1">B8*C8*D8/B$15</f>
        <v>8.2882729856683074E-2</v>
      </c>
      <c r="G8" s="52" t="s">
        <v>323</v>
      </c>
      <c r="H8" s="51">
        <v>1.1240000000000001</v>
      </c>
    </row>
    <row r="9" spans="1:9">
      <c r="A9" s="66">
        <f>A8+1</f>
        <v>61.5</v>
      </c>
      <c r="B9" s="24">
        <v>5573.0702934915898</v>
      </c>
      <c r="C9" s="10">
        <f t="shared" si="0"/>
        <v>0.21349837335569574</v>
      </c>
      <c r="D9" s="5">
        <f>I31</f>
        <v>12.745002091604022</v>
      </c>
      <c r="E9" s="5">
        <f t="shared" si="1"/>
        <v>6.9297000175006049E-2</v>
      </c>
      <c r="G9" s="9" t="s">
        <v>321</v>
      </c>
      <c r="H9" s="18">
        <f>EXP(-H6)</f>
        <v>0.99978002419822543</v>
      </c>
    </row>
    <row r="10" spans="1:9">
      <c r="A10" s="66">
        <f>A9+1</f>
        <v>62.5</v>
      </c>
      <c r="B10" s="24">
        <v>5017.5091453403647</v>
      </c>
      <c r="C10" s="10">
        <f t="shared" si="0"/>
        <v>0.20141355976952421</v>
      </c>
      <c r="D10" s="5">
        <f>I43</f>
        <v>12.529525990611884</v>
      </c>
      <c r="E10" s="5">
        <f t="shared" si="1"/>
        <v>5.786246772416824E-2</v>
      </c>
      <c r="G10" s="9" t="s">
        <v>322</v>
      </c>
      <c r="H10" s="18">
        <f>EXP(-H7/LN(H8))</f>
        <v>0.99997690236831238</v>
      </c>
    </row>
    <row r="11" spans="1:9">
      <c r="A11" s="66">
        <f>A10+1</f>
        <v>63.5</v>
      </c>
      <c r="B11" s="24">
        <v>4515.2062952301267</v>
      </c>
      <c r="C11" s="10">
        <f t="shared" si="0"/>
        <v>0.19001279223540021</v>
      </c>
      <c r="D11" s="5">
        <f>I55</f>
        <v>12.306206961891322</v>
      </c>
      <c r="E11" s="5">
        <f t="shared" si="1"/>
        <v>4.8246974486282214E-2</v>
      </c>
    </row>
    <row r="12" spans="1:9">
      <c r="A12" s="66">
        <f>A11+1</f>
        <v>64.5</v>
      </c>
      <c r="B12" s="24">
        <v>4061.0419290480754</v>
      </c>
      <c r="C12" s="10">
        <f t="shared" si="0"/>
        <v>0.1792573511654719</v>
      </c>
      <c r="D12" s="5">
        <f>I67</f>
        <v>12.075051323528626</v>
      </c>
      <c r="E12" s="5">
        <f t="shared" si="1"/>
        <v>4.0168800730988871E-2</v>
      </c>
      <c r="G12" s="66" t="s">
        <v>5</v>
      </c>
      <c r="H12" s="7" t="s">
        <v>324</v>
      </c>
      <c r="I12" s="15" t="s">
        <v>325</v>
      </c>
    </row>
    <row r="13" spans="1:9">
      <c r="A13" s="66">
        <v>65</v>
      </c>
      <c r="B13" s="24">
        <v>38488.264553547444</v>
      </c>
      <c r="C13" s="10">
        <f t="shared" si="0"/>
        <v>0.17411013091063426</v>
      </c>
      <c r="D13" s="5">
        <f>I73</f>
        <v>11.95654636245907</v>
      </c>
      <c r="E13" s="5">
        <f t="shared" si="1"/>
        <v>0.36613694673144426</v>
      </c>
      <c r="G13" s="66">
        <v>60</v>
      </c>
      <c r="H13" s="10">
        <f>(H$9^(1/12))*H$10^((H$8^(G13))*((H$8^(1/12))-1))</f>
        <v>0.9997303534430424</v>
      </c>
      <c r="I13" s="5">
        <f t="shared" ref="I13:I76" si="2">(1/12)+H13*I14/((1+B$3)^(1/12))</f>
        <v>13.053575684905802</v>
      </c>
    </row>
    <row r="14" spans="1:9">
      <c r="D14" s="9" t="s">
        <v>334</v>
      </c>
      <c r="E14" s="84">
        <f>SUM(E7:E13)*5*350</f>
        <v>1842.2589380873706</v>
      </c>
      <c r="G14" s="19">
        <f>G13+1/12</f>
        <v>60.083333333333336</v>
      </c>
      <c r="H14" s="10">
        <f t="shared" ref="H14:H77" si="3">(H$9^(1/12))*H$10^((H$8^(G14))*((H$8^(1/12))-1))</f>
        <v>0.99972789371242654</v>
      </c>
      <c r="I14" s="5">
        <f t="shared" si="2"/>
        <v>13.036891014839084</v>
      </c>
    </row>
    <row r="15" spans="1:9">
      <c r="A15" s="9" t="s">
        <v>332</v>
      </c>
      <c r="B15" s="24">
        <v>218833.88360175057</v>
      </c>
      <c r="G15" s="19">
        <f t="shared" ref="G15:G78" si="4">G14+1/12</f>
        <v>60.166666666666671</v>
      </c>
      <c r="H15" s="10">
        <f t="shared" si="3"/>
        <v>0.99972540991027514</v>
      </c>
      <c r="I15" s="5">
        <f t="shared" si="2"/>
        <v>13.020152643921143</v>
      </c>
    </row>
    <row r="16" spans="1:9">
      <c r="G16" s="19">
        <f t="shared" si="4"/>
        <v>60.250000000000007</v>
      </c>
      <c r="H16" s="10">
        <f t="shared" si="3"/>
        <v>0.99972290180107881</v>
      </c>
      <c r="I16" s="5">
        <f t="shared" si="2"/>
        <v>13.003360526670544</v>
      </c>
    </row>
    <row r="17" spans="1:9">
      <c r="A17" s="100" t="s">
        <v>333</v>
      </c>
      <c r="B17" s="100"/>
      <c r="C17" s="57">
        <f>E14/5</f>
        <v>368.45178761747411</v>
      </c>
      <c r="G17" s="19">
        <f t="shared" si="4"/>
        <v>60.333333333333343</v>
      </c>
      <c r="H17" s="10">
        <f t="shared" si="3"/>
        <v>0.99972036914702522</v>
      </c>
      <c r="I17" s="5">
        <f t="shared" si="2"/>
        <v>12.986514618817525</v>
      </c>
    </row>
    <row r="18" spans="1:9">
      <c r="G18" s="19">
        <f t="shared" si="4"/>
        <v>60.416666666666679</v>
      </c>
      <c r="H18" s="10">
        <f t="shared" si="3"/>
        <v>0.9997178117079768</v>
      </c>
      <c r="I18" s="5">
        <f t="shared" si="2"/>
        <v>12.969614877315971</v>
      </c>
    </row>
    <row r="19" spans="1:9">
      <c r="G19" s="19">
        <f t="shared" si="4"/>
        <v>60.500000000000014</v>
      </c>
      <c r="H19" s="10">
        <f t="shared" si="3"/>
        <v>0.99971522924144729</v>
      </c>
      <c r="I19" s="5">
        <f t="shared" si="2"/>
        <v>12.952661260355434</v>
      </c>
    </row>
    <row r="20" spans="1:9">
      <c r="G20" s="19">
        <f t="shared" si="4"/>
        <v>60.58333333333335</v>
      </c>
      <c r="H20" s="10">
        <f t="shared" si="3"/>
        <v>0.99971262150257989</v>
      </c>
      <c r="I20" s="5">
        <f t="shared" si="2"/>
        <v>12.935653727373181</v>
      </c>
    </row>
    <row r="21" spans="1:9">
      <c r="G21" s="19">
        <f t="shared" si="4"/>
        <v>60.666666666666686</v>
      </c>
      <c r="H21" s="10">
        <f t="shared" si="3"/>
        <v>0.99970998824412338</v>
      </c>
      <c r="I21" s="5">
        <f t="shared" si="2"/>
        <v>12.918592239066271</v>
      </c>
    </row>
    <row r="22" spans="1:9">
      <c r="G22" s="19">
        <f t="shared" si="4"/>
        <v>60.750000000000021</v>
      </c>
      <c r="H22" s="10">
        <f t="shared" si="3"/>
        <v>0.99970732921640848</v>
      </c>
      <c r="I22" s="5">
        <f t="shared" si="2"/>
        <v>12.901476757403678</v>
      </c>
    </row>
    <row r="23" spans="1:9">
      <c r="G23" s="19">
        <f t="shared" si="4"/>
        <v>60.833333333333357</v>
      </c>
      <c r="H23" s="10">
        <f t="shared" si="3"/>
        <v>0.99970464416732507</v>
      </c>
      <c r="I23" s="5">
        <f t="shared" si="2"/>
        <v>12.884307245638441</v>
      </c>
    </row>
    <row r="24" spans="1:9">
      <c r="G24" s="19">
        <f t="shared" si="4"/>
        <v>60.916666666666693</v>
      </c>
      <c r="H24" s="10">
        <f t="shared" si="3"/>
        <v>0.9997019328422978</v>
      </c>
      <c r="I24" s="5">
        <f t="shared" si="2"/>
        <v>12.867083668319845</v>
      </c>
    </row>
    <row r="25" spans="1:9">
      <c r="G25" s="19">
        <f t="shared" si="4"/>
        <v>61.000000000000028</v>
      </c>
      <c r="H25" s="10">
        <f t="shared" si="3"/>
        <v>0.99969919498426196</v>
      </c>
      <c r="I25" s="5">
        <f t="shared" si="2"/>
        <v>12.849805991305633</v>
      </c>
    </row>
    <row r="26" spans="1:9">
      <c r="G26" s="19">
        <f t="shared" si="4"/>
        <v>61.083333333333364</v>
      </c>
      <c r="H26" s="10">
        <f t="shared" si="3"/>
        <v>0.99969643033363975</v>
      </c>
      <c r="I26" s="5">
        <f t="shared" si="2"/>
        <v>12.832474181774256</v>
      </c>
    </row>
    <row r="27" spans="1:9">
      <c r="G27" s="19">
        <f t="shared" si="4"/>
        <v>61.1666666666667</v>
      </c>
      <c r="H27" s="10">
        <f t="shared" si="3"/>
        <v>0.99969363862831473</v>
      </c>
      <c r="I27" s="5">
        <f t="shared" si="2"/>
        <v>12.815088208237141</v>
      </c>
    </row>
    <row r="28" spans="1:9">
      <c r="G28" s="19">
        <f t="shared" si="4"/>
        <v>61.250000000000036</v>
      </c>
      <c r="H28" s="10">
        <f t="shared" si="3"/>
        <v>0.99969081960360795</v>
      </c>
      <c r="I28" s="5">
        <f t="shared" si="2"/>
        <v>12.797648040551003</v>
      </c>
    </row>
    <row r="29" spans="1:9">
      <c r="G29" s="19">
        <f t="shared" si="4"/>
        <v>61.333333333333371</v>
      </c>
      <c r="H29" s="10">
        <f t="shared" si="3"/>
        <v>0.99968797299225265</v>
      </c>
      <c r="I29" s="5">
        <f t="shared" si="2"/>
        <v>12.780153649930174</v>
      </c>
    </row>
    <row r="30" spans="1:9">
      <c r="G30" s="19">
        <f t="shared" si="4"/>
        <v>61.416666666666707</v>
      </c>
      <c r="H30" s="10">
        <f t="shared" si="3"/>
        <v>0.99968509852436882</v>
      </c>
      <c r="I30" s="5">
        <f t="shared" si="2"/>
        <v>12.762605008958957</v>
      </c>
    </row>
    <row r="31" spans="1:9">
      <c r="G31" s="19">
        <f t="shared" si="4"/>
        <v>61.500000000000043</v>
      </c>
      <c r="H31" s="10">
        <f t="shared" si="3"/>
        <v>0.99968219592743779</v>
      </c>
      <c r="I31" s="5">
        <f t="shared" si="2"/>
        <v>12.745002091604022</v>
      </c>
    </row>
    <row r="32" spans="1:9">
      <c r="G32" s="19">
        <f t="shared" si="4"/>
        <v>61.583333333333378</v>
      </c>
      <c r="H32" s="10">
        <f t="shared" si="3"/>
        <v>0.99967926492627646</v>
      </c>
      <c r="I32" s="5">
        <f t="shared" si="2"/>
        <v>12.72734487322681</v>
      </c>
    </row>
    <row r="33" spans="7:9">
      <c r="G33" s="19">
        <f t="shared" si="4"/>
        <v>61.666666666666714</v>
      </c>
      <c r="H33" s="10">
        <f t="shared" si="3"/>
        <v>0.99967630524301099</v>
      </c>
      <c r="I33" s="5">
        <f t="shared" si="2"/>
        <v>12.709633330595976</v>
      </c>
    </row>
    <row r="34" spans="7:9">
      <c r="G34" s="19">
        <f t="shared" si="4"/>
        <v>61.75000000000005</v>
      </c>
      <c r="H34" s="10">
        <f t="shared" si="3"/>
        <v>0.99967331659705161</v>
      </c>
      <c r="I34" s="5">
        <f t="shared" si="2"/>
        <v>12.691867441899852</v>
      </c>
    </row>
    <row r="35" spans="7:9">
      <c r="G35" s="19">
        <f t="shared" si="4"/>
        <v>61.833333333333385</v>
      </c>
      <c r="H35" s="10">
        <f t="shared" si="3"/>
        <v>0.99967029870506441</v>
      </c>
      <c r="I35" s="5">
        <f t="shared" si="2"/>
        <v>12.674047186758918</v>
      </c>
    </row>
    <row r="36" spans="7:9">
      <c r="G36" s="19">
        <f t="shared" si="4"/>
        <v>61.916666666666721</v>
      </c>
      <c r="H36" s="10">
        <f t="shared" si="3"/>
        <v>0.99966725128094591</v>
      </c>
      <c r="I36" s="5">
        <f t="shared" si="2"/>
        <v>12.656172546238322</v>
      </c>
    </row>
    <row r="37" spans="7:9">
      <c r="G37" s="19">
        <f t="shared" si="4"/>
        <v>62.000000000000057</v>
      </c>
      <c r="H37" s="10">
        <f t="shared" si="3"/>
        <v>0.99966417403579533</v>
      </c>
      <c r="I37" s="5">
        <f t="shared" si="2"/>
        <v>12.638243502860401</v>
      </c>
    </row>
    <row r="38" spans="7:9">
      <c r="G38" s="19">
        <f t="shared" si="4"/>
        <v>62.083333333333393</v>
      </c>
      <c r="H38" s="10">
        <f t="shared" si="3"/>
        <v>0.9996610666778879</v>
      </c>
      <c r="I38" s="5">
        <f t="shared" si="2"/>
        <v>12.620260040617234</v>
      </c>
    </row>
    <row r="39" spans="7:9">
      <c r="G39" s="19">
        <f t="shared" si="4"/>
        <v>62.166666666666728</v>
      </c>
      <c r="H39" s="10">
        <f t="shared" si="3"/>
        <v>0.99965792891264627</v>
      </c>
      <c r="I39" s="5">
        <f t="shared" si="2"/>
        <v>12.602222144983198</v>
      </c>
    </row>
    <row r="40" spans="7:9">
      <c r="G40" s="19">
        <f t="shared" si="4"/>
        <v>62.250000000000064</v>
      </c>
      <c r="H40" s="10">
        <f t="shared" si="3"/>
        <v>0.99965476044261381</v>
      </c>
      <c r="I40" s="5">
        <f t="shared" si="2"/>
        <v>12.584129802927565</v>
      </c>
    </row>
    <row r="41" spans="7:9">
      <c r="G41" s="19">
        <f t="shared" si="4"/>
        <v>62.3333333333334</v>
      </c>
      <c r="H41" s="10">
        <f t="shared" si="3"/>
        <v>0.99965156096742558</v>
      </c>
      <c r="I41" s="5">
        <f t="shared" si="2"/>
        <v>12.565983002927096</v>
      </c>
    </row>
    <row r="42" spans="7:9">
      <c r="G42" s="19">
        <f t="shared" si="4"/>
        <v>62.416666666666735</v>
      </c>
      <c r="H42" s="10">
        <f t="shared" si="3"/>
        <v>0.99964833018378052</v>
      </c>
      <c r="I42" s="5">
        <f t="shared" si="2"/>
        <v>12.547781734978663</v>
      </c>
    </row>
    <row r="43" spans="7:9">
      <c r="G43" s="19">
        <f t="shared" si="4"/>
        <v>62.500000000000071</v>
      </c>
      <c r="H43" s="10">
        <f t="shared" si="3"/>
        <v>0.99964506778541251</v>
      </c>
      <c r="I43" s="5">
        <f t="shared" si="2"/>
        <v>12.529525990611884</v>
      </c>
    </row>
    <row r="44" spans="7:9">
      <c r="G44" s="19">
        <f t="shared" si="4"/>
        <v>62.583333333333407</v>
      </c>
      <c r="H44" s="10">
        <f t="shared" si="3"/>
        <v>0.99964177346306138</v>
      </c>
      <c r="I44" s="5">
        <f t="shared" si="2"/>
        <v>12.511215762901763</v>
      </c>
    </row>
    <row r="45" spans="7:9">
      <c r="G45" s="19">
        <f t="shared" si="4"/>
        <v>62.666666666666742</v>
      </c>
      <c r="H45" s="10">
        <f t="shared" si="3"/>
        <v>0.99963844690444403</v>
      </c>
      <c r="I45" s="5">
        <f t="shared" si="2"/>
        <v>12.492851046481363</v>
      </c>
    </row>
    <row r="46" spans="7:9">
      <c r="G46" s="19">
        <f t="shared" si="4"/>
        <v>62.750000000000078</v>
      </c>
      <c r="H46" s="10">
        <f t="shared" si="3"/>
        <v>0.99963508779422461</v>
      </c>
      <c r="I46" s="5">
        <f t="shared" si="2"/>
        <v>12.474431837554466</v>
      </c>
    </row>
    <row r="47" spans="7:9">
      <c r="G47" s="19">
        <f t="shared" si="4"/>
        <v>62.833333333333414</v>
      </c>
      <c r="H47" s="10">
        <f t="shared" si="3"/>
        <v>0.9996316958139847</v>
      </c>
      <c r="I47" s="5">
        <f t="shared" si="2"/>
        <v>12.455958133908265</v>
      </c>
    </row>
    <row r="48" spans="7:9">
      <c r="G48" s="19">
        <f t="shared" si="4"/>
        <v>62.91666666666675</v>
      </c>
      <c r="H48" s="10">
        <f t="shared" si="3"/>
        <v>0.99962827064219306</v>
      </c>
      <c r="I48" s="5">
        <f t="shared" si="2"/>
        <v>12.437429934926053</v>
      </c>
    </row>
    <row r="49" spans="7:9">
      <c r="G49" s="19">
        <f t="shared" si="4"/>
        <v>63.000000000000085</v>
      </c>
      <c r="H49" s="10">
        <f t="shared" si="3"/>
        <v>0.99962481195417596</v>
      </c>
      <c r="I49" s="5">
        <f t="shared" si="2"/>
        <v>12.418847241599925</v>
      </c>
    </row>
    <row r="50" spans="7:9">
      <c r="G50" s="19">
        <f t="shared" si="4"/>
        <v>63.083333333333421</v>
      </c>
      <c r="H50" s="10">
        <f t="shared" si="3"/>
        <v>0.99962131942208599</v>
      </c>
      <c r="I50" s="5">
        <f t="shared" si="2"/>
        <v>12.400210056543493</v>
      </c>
    </row>
    <row r="51" spans="7:9">
      <c r="G51" s="19">
        <f t="shared" si="4"/>
        <v>63.166666666666757</v>
      </c>
      <c r="H51" s="10">
        <f t="shared" si="3"/>
        <v>0.99961779271487095</v>
      </c>
      <c r="I51" s="5">
        <f t="shared" si="2"/>
        <v>12.38151838400459</v>
      </c>
    </row>
    <row r="52" spans="7:9">
      <c r="G52" s="19">
        <f t="shared" si="4"/>
        <v>63.250000000000092</v>
      </c>
      <c r="H52" s="10">
        <f t="shared" si="3"/>
        <v>0.99961423149824258</v>
      </c>
      <c r="I52" s="5">
        <f t="shared" si="2"/>
        <v>12.362772229877995</v>
      </c>
    </row>
    <row r="53" spans="7:9">
      <c r="G53" s="19">
        <f t="shared" si="4"/>
        <v>63.333333333333428</v>
      </c>
      <c r="H53" s="10">
        <f t="shared" si="3"/>
        <v>0.99961063543464557</v>
      </c>
      <c r="I53" s="5">
        <f t="shared" si="2"/>
        <v>12.343971601718165</v>
      </c>
    </row>
    <row r="54" spans="7:9">
      <c r="G54" s="19">
        <f t="shared" si="4"/>
        <v>63.416666666666764</v>
      </c>
      <c r="H54" s="10">
        <f t="shared" si="3"/>
        <v>0.9996070041832249</v>
      </c>
      <c r="I54" s="5">
        <f t="shared" si="2"/>
        <v>12.325116508751947</v>
      </c>
    </row>
    <row r="55" spans="7:9">
      <c r="G55" s="19">
        <f t="shared" si="4"/>
        <v>63.500000000000099</v>
      </c>
      <c r="H55" s="10">
        <f t="shared" si="3"/>
        <v>0.99960333739979434</v>
      </c>
      <c r="I55" s="5">
        <f t="shared" si="2"/>
        <v>12.306206961891322</v>
      </c>
    </row>
    <row r="56" spans="7:9">
      <c r="G56" s="19">
        <f t="shared" si="4"/>
        <v>63.583333333333435</v>
      </c>
      <c r="H56" s="10">
        <f t="shared" si="3"/>
        <v>0.99959963473680313</v>
      </c>
      <c r="I56" s="5">
        <f t="shared" si="2"/>
        <v>12.287242973746116</v>
      </c>
    </row>
    <row r="57" spans="7:9">
      <c r="G57" s="19">
        <f t="shared" si="4"/>
        <v>63.666666666666771</v>
      </c>
      <c r="H57" s="10">
        <f t="shared" si="3"/>
        <v>0.99959589584330399</v>
      </c>
      <c r="I57" s="5">
        <f t="shared" si="2"/>
        <v>12.268224558636746</v>
      </c>
    </row>
    <row r="58" spans="7:9">
      <c r="G58" s="19">
        <f t="shared" si="4"/>
        <v>63.750000000000107</v>
      </c>
      <c r="H58" s="10">
        <f t="shared" si="3"/>
        <v>0.99959212036491951</v>
      </c>
      <c r="I58" s="5">
        <f t="shared" si="2"/>
        <v>12.249151732606927</v>
      </c>
    </row>
    <row r="59" spans="7:9">
      <c r="G59" s="19">
        <f t="shared" si="4"/>
        <v>63.833333333333442</v>
      </c>
      <c r="H59" s="10">
        <f t="shared" si="3"/>
        <v>0.99958830794380849</v>
      </c>
      <c r="I59" s="5">
        <f t="shared" si="2"/>
        <v>12.230024513436405</v>
      </c>
    </row>
    <row r="60" spans="7:9">
      <c r="G60" s="19">
        <f t="shared" si="4"/>
        <v>63.916666666666778</v>
      </c>
      <c r="H60" s="10">
        <f t="shared" si="3"/>
        <v>0.99958445821863284</v>
      </c>
      <c r="I60" s="5">
        <f t="shared" si="2"/>
        <v>12.210842920653665</v>
      </c>
    </row>
    <row r="61" spans="7:9">
      <c r="G61" s="19">
        <f t="shared" si="4"/>
        <v>64.000000000000114</v>
      </c>
      <c r="H61" s="10">
        <f t="shared" si="3"/>
        <v>0.99958057082452267</v>
      </c>
      <c r="I61" s="5">
        <f t="shared" si="2"/>
        <v>12.191606975548643</v>
      </c>
    </row>
    <row r="62" spans="7:9">
      <c r="G62" s="19">
        <f t="shared" si="4"/>
        <v>64.083333333333442</v>
      </c>
      <c r="H62" s="10">
        <f t="shared" si="3"/>
        <v>0.99957664539304225</v>
      </c>
      <c r="I62" s="5">
        <f t="shared" si="2"/>
        <v>12.17231670118543</v>
      </c>
    </row>
    <row r="63" spans="7:9">
      <c r="G63" s="19">
        <f t="shared" si="4"/>
        <v>64.166666666666771</v>
      </c>
      <c r="H63" s="10">
        <f t="shared" si="3"/>
        <v>0.99957268155215528</v>
      </c>
      <c r="I63" s="5">
        <f t="shared" si="2"/>
        <v>12.152972122414962</v>
      </c>
    </row>
    <row r="64" spans="7:9">
      <c r="G64" s="19">
        <f t="shared" si="4"/>
        <v>64.250000000000099</v>
      </c>
      <c r="H64" s="10">
        <f t="shared" si="3"/>
        <v>0.9995686789261895</v>
      </c>
      <c r="I64" s="5">
        <f t="shared" si="2"/>
        <v>12.133573265887698</v>
      </c>
    </row>
    <row r="65" spans="7:9">
      <c r="G65" s="19">
        <f t="shared" si="4"/>
        <v>64.333333333333428</v>
      </c>
      <c r="H65" s="10">
        <f t="shared" si="3"/>
        <v>0.99956463713580135</v>
      </c>
      <c r="I65" s="5">
        <f t="shared" si="2"/>
        <v>12.114120160066296</v>
      </c>
    </row>
    <row r="66" spans="7:9">
      <c r="G66" s="19">
        <f t="shared" si="4"/>
        <v>64.416666666666757</v>
      </c>
      <c r="H66" s="10">
        <f t="shared" si="3"/>
        <v>0.99956055579794012</v>
      </c>
      <c r="I66" s="5">
        <f t="shared" si="2"/>
        <v>12.094612835238269</v>
      </c>
    </row>
    <row r="67" spans="7:9">
      <c r="G67" s="19">
        <f t="shared" si="4"/>
        <v>64.500000000000085</v>
      </c>
      <c r="H67" s="10">
        <f t="shared" si="3"/>
        <v>0.99955643452581222</v>
      </c>
      <c r="I67" s="5">
        <f t="shared" si="2"/>
        <v>12.075051323528626</v>
      </c>
    </row>
    <row r="68" spans="7:9">
      <c r="G68" s="19">
        <f t="shared" si="4"/>
        <v>64.583333333333414</v>
      </c>
      <c r="H68" s="10">
        <f t="shared" si="3"/>
        <v>0.99955227292884341</v>
      </c>
      <c r="I68" s="5">
        <f t="shared" si="2"/>
        <v>12.055435658912486</v>
      </c>
    </row>
    <row r="69" spans="7:9">
      <c r="G69" s="19">
        <f t="shared" si="4"/>
        <v>64.666666666666742</v>
      </c>
      <c r="H69" s="10">
        <f t="shared" si="3"/>
        <v>0.99954807061264339</v>
      </c>
      <c r="I69" s="5">
        <f t="shared" si="2"/>
        <v>12.035765877227707</v>
      </c>
    </row>
    <row r="70" spans="7:9">
      <c r="G70" s="19">
        <f t="shared" si="4"/>
        <v>64.750000000000071</v>
      </c>
      <c r="H70" s="10">
        <f t="shared" si="3"/>
        <v>0.99954382717896784</v>
      </c>
      <c r="I70" s="5">
        <f t="shared" si="2"/>
        <v>12.016042016187457</v>
      </c>
    </row>
    <row r="71" spans="7:9">
      <c r="G71" s="19">
        <f t="shared" si="4"/>
        <v>64.8333333333334</v>
      </c>
      <c r="H71" s="10">
        <f t="shared" si="3"/>
        <v>0.99953954222568098</v>
      </c>
      <c r="I71" s="5">
        <f t="shared" si="2"/>
        <v>11.99626411539279</v>
      </c>
    </row>
    <row r="72" spans="7:9">
      <c r="G72" s="19">
        <f t="shared" si="4"/>
        <v>64.916666666666728</v>
      </c>
      <c r="H72" s="10">
        <f t="shared" si="3"/>
        <v>0.9995352153467173</v>
      </c>
      <c r="I72" s="5">
        <f t="shared" si="2"/>
        <v>11.976432216345184</v>
      </c>
    </row>
    <row r="73" spans="7:9">
      <c r="G73" s="19">
        <f t="shared" si="4"/>
        <v>65.000000000000057</v>
      </c>
      <c r="H73" s="10">
        <f t="shared" si="3"/>
        <v>0.99953084613204368</v>
      </c>
      <c r="I73" s="5">
        <f t="shared" si="2"/>
        <v>11.95654636245907</v>
      </c>
    </row>
    <row r="74" spans="7:9">
      <c r="G74" s="19">
        <f t="shared" si="4"/>
        <v>65.083333333333385</v>
      </c>
      <c r="H74" s="10">
        <f t="shared" si="3"/>
        <v>0.99952643416762055</v>
      </c>
      <c r="I74" s="5">
        <f t="shared" si="2"/>
        <v>11.936606599074324</v>
      </c>
    </row>
    <row r="75" spans="7:9">
      <c r="G75" s="19">
        <f t="shared" si="4"/>
        <v>65.166666666666714</v>
      </c>
      <c r="H75" s="10">
        <f t="shared" si="3"/>
        <v>0.99952197903536255</v>
      </c>
      <c r="I75" s="5">
        <f t="shared" si="2"/>
        <v>11.916612973468737</v>
      </c>
    </row>
    <row r="76" spans="7:9">
      <c r="G76" s="19">
        <f t="shared" si="4"/>
        <v>65.250000000000043</v>
      </c>
      <c r="H76" s="10">
        <f t="shared" si="3"/>
        <v>0.99951748031309962</v>
      </c>
      <c r="I76" s="5">
        <f t="shared" si="2"/>
        <v>11.89656553487046</v>
      </c>
    </row>
    <row r="77" spans="7:9">
      <c r="G77" s="19">
        <f t="shared" si="4"/>
        <v>65.333333333333371</v>
      </c>
      <c r="H77" s="10">
        <f t="shared" si="3"/>
        <v>0.99951293757453641</v>
      </c>
      <c r="I77" s="5">
        <f t="shared" ref="I77:I140" si="5">(1/12)+H77*I78/((1+B$3)^(1/12))</f>
        <v>11.876464334470398</v>
      </c>
    </row>
    <row r="78" spans="7:9">
      <c r="G78" s="19">
        <f t="shared" si="4"/>
        <v>65.4166666666667</v>
      </c>
      <c r="H78" s="10">
        <f t="shared" ref="H78:H141" si="6">(H$9^(1/12))*H$10^((H$8^(G78))*((H$8^(1/12))-1))</f>
        <v>0.99950835038921293</v>
      </c>
      <c r="I78" s="5">
        <f t="shared" si="5"/>
        <v>11.856309425434613</v>
      </c>
    </row>
    <row r="79" spans="7:9">
      <c r="G79" s="19">
        <f t="shared" ref="G79:G142" si="7">G78+1/12</f>
        <v>65.500000000000028</v>
      </c>
      <c r="H79" s="10">
        <f t="shared" si="6"/>
        <v>0.99950371832246299</v>
      </c>
      <c r="I79" s="5">
        <f t="shared" si="5"/>
        <v>11.836100862916647</v>
      </c>
    </row>
    <row r="80" spans="7:9">
      <c r="G80" s="19">
        <f t="shared" si="7"/>
        <v>65.583333333333357</v>
      </c>
      <c r="H80" s="10">
        <f t="shared" si="6"/>
        <v>0.99949904093537401</v>
      </c>
      <c r="I80" s="5">
        <f t="shared" si="5"/>
        <v>11.815838704069844</v>
      </c>
    </row>
    <row r="81" spans="7:9">
      <c r="G81" s="19">
        <f t="shared" si="7"/>
        <v>65.666666666666686</v>
      </c>
      <c r="H81" s="10">
        <f t="shared" si="6"/>
        <v>0.99949431778474518</v>
      </c>
      <c r="I81" s="5">
        <f t="shared" si="5"/>
        <v>11.795523008059622</v>
      </c>
    </row>
    <row r="82" spans="7:9">
      <c r="G82" s="19">
        <f t="shared" si="7"/>
        <v>65.750000000000014</v>
      </c>
      <c r="H82" s="10">
        <f t="shared" si="6"/>
        <v>0.99948954842304583</v>
      </c>
      <c r="I82" s="5">
        <f t="shared" si="5"/>
        <v>11.775153836075701</v>
      </c>
    </row>
    <row r="83" spans="7:9">
      <c r="G83" s="19">
        <f t="shared" si="7"/>
        <v>65.833333333333343</v>
      </c>
      <c r="H83" s="10">
        <f t="shared" si="6"/>
        <v>0.99948473239837277</v>
      </c>
      <c r="I83" s="5">
        <f t="shared" si="5"/>
        <v>11.754731251344301</v>
      </c>
    </row>
    <row r="84" spans="7:9">
      <c r="G84" s="19">
        <f t="shared" si="7"/>
        <v>65.916666666666671</v>
      </c>
      <c r="H84" s="10">
        <f t="shared" si="6"/>
        <v>0.99947986925440835</v>
      </c>
      <c r="I84" s="5">
        <f t="shared" si="5"/>
        <v>11.734255319140301</v>
      </c>
    </row>
    <row r="85" spans="7:9">
      <c r="G85" s="19">
        <f t="shared" si="7"/>
        <v>66</v>
      </c>
      <c r="H85" s="10">
        <f t="shared" si="6"/>
        <v>0.99947495853037704</v>
      </c>
      <c r="I85" s="5">
        <f t="shared" si="5"/>
        <v>11.713726106799337</v>
      </c>
    </row>
    <row r="86" spans="7:9">
      <c r="G86" s="19">
        <f t="shared" si="7"/>
        <v>66.083333333333329</v>
      </c>
      <c r="H86" s="10">
        <f t="shared" si="6"/>
        <v>0.99946999976100181</v>
      </c>
      <c r="I86" s="5">
        <f t="shared" si="5"/>
        <v>11.693143683729867</v>
      </c>
    </row>
    <row r="87" spans="7:9">
      <c r="G87" s="19">
        <f t="shared" si="7"/>
        <v>66.166666666666657</v>
      </c>
      <c r="H87" s="10">
        <f t="shared" si="6"/>
        <v>0.9994649924764607</v>
      </c>
      <c r="I87" s="5">
        <f t="shared" si="5"/>
        <v>11.672508121425194</v>
      </c>
    </row>
    <row r="88" spans="7:9">
      <c r="G88" s="19">
        <f t="shared" si="7"/>
        <v>66.249999999999986</v>
      </c>
      <c r="H88" s="10">
        <f t="shared" si="6"/>
        <v>0.99945993620234208</v>
      </c>
      <c r="I88" s="5">
        <f t="shared" si="5"/>
        <v>11.651819493475427</v>
      </c>
    </row>
    <row r="89" spans="7:9">
      <c r="G89" s="19">
        <f t="shared" si="7"/>
        <v>66.333333333333314</v>
      </c>
      <c r="H89" s="10">
        <f t="shared" si="6"/>
        <v>0.99945483045960015</v>
      </c>
      <c r="I89" s="5">
        <f t="shared" si="5"/>
        <v>11.631077875579397</v>
      </c>
    </row>
    <row r="90" spans="7:9">
      <c r="G90" s="19">
        <f t="shared" si="7"/>
        <v>66.416666666666643</v>
      </c>
      <c r="H90" s="10">
        <f t="shared" si="6"/>
        <v>0.99944967476450963</v>
      </c>
      <c r="I90" s="5">
        <f t="shared" si="5"/>
        <v>11.610283345556518</v>
      </c>
    </row>
    <row r="91" spans="7:9">
      <c r="G91" s="19">
        <f t="shared" si="7"/>
        <v>66.499999999999972</v>
      </c>
      <c r="H91" s="10">
        <f t="shared" si="6"/>
        <v>0.99944446862862002</v>
      </c>
      <c r="I91" s="5">
        <f t="shared" si="5"/>
        <v>11.589435983358605</v>
      </c>
    </row>
    <row r="92" spans="7:9">
      <c r="G92" s="19">
        <f t="shared" si="7"/>
        <v>66.5833333333333</v>
      </c>
      <c r="H92" s="10">
        <f t="shared" si="6"/>
        <v>0.99943921155871029</v>
      </c>
      <c r="I92" s="5">
        <f t="shared" si="5"/>
        <v>11.568535871081618</v>
      </c>
    </row>
    <row r="93" spans="7:9">
      <c r="G93" s="19">
        <f t="shared" si="7"/>
        <v>66.666666666666629</v>
      </c>
      <c r="H93" s="10">
        <f t="shared" si="6"/>
        <v>0.99943390305674162</v>
      </c>
      <c r="I93" s="5">
        <f t="shared" si="5"/>
        <v>11.547583092977353</v>
      </c>
    </row>
    <row r="94" spans="7:9">
      <c r="G94" s="19">
        <f t="shared" si="7"/>
        <v>66.749999999999957</v>
      </c>
      <c r="H94" s="10">
        <f t="shared" si="6"/>
        <v>0.99942854261981018</v>
      </c>
      <c r="I94" s="5">
        <f t="shared" si="5"/>
        <v>11.526577735465084</v>
      </c>
    </row>
    <row r="95" spans="7:9">
      <c r="G95" s="19">
        <f t="shared" si="7"/>
        <v>66.833333333333286</v>
      </c>
      <c r="H95" s="10">
        <f t="shared" si="6"/>
        <v>0.99942312974010061</v>
      </c>
      <c r="I95" s="5">
        <f t="shared" si="5"/>
        <v>11.505519887143134</v>
      </c>
    </row>
    <row r="96" spans="7:9">
      <c r="G96" s="19">
        <f t="shared" si="7"/>
        <v>66.916666666666615</v>
      </c>
      <c r="H96" s="10">
        <f t="shared" si="6"/>
        <v>0.99941766390483811</v>
      </c>
      <c r="I96" s="5">
        <f t="shared" si="5"/>
        <v>11.484409638800377</v>
      </c>
    </row>
    <row r="97" spans="7:9">
      <c r="G97" s="19">
        <f t="shared" si="7"/>
        <v>66.999999999999943</v>
      </c>
      <c r="H97" s="10">
        <f t="shared" si="6"/>
        <v>0.99941214459623884</v>
      </c>
      <c r="I97" s="5">
        <f t="shared" si="5"/>
        <v>11.463247083427678</v>
      </c>
    </row>
    <row r="98" spans="7:9">
      <c r="G98" s="19">
        <f t="shared" si="7"/>
        <v>67.083333333333272</v>
      </c>
      <c r="H98" s="10">
        <f t="shared" si="6"/>
        <v>0.99940657129146271</v>
      </c>
      <c r="I98" s="5">
        <f t="shared" si="5"/>
        <v>11.442032316229275</v>
      </c>
    </row>
    <row r="99" spans="7:9">
      <c r="G99" s="19">
        <f t="shared" si="7"/>
        <v>67.1666666666666</v>
      </c>
      <c r="H99" s="10">
        <f t="shared" si="6"/>
        <v>0.99940094346256325</v>
      </c>
      <c r="I99" s="5">
        <f t="shared" si="5"/>
        <v>11.420765434634079</v>
      </c>
    </row>
    <row r="100" spans="7:9">
      <c r="G100" s="19">
        <f t="shared" si="7"/>
        <v>67.249999999999929</v>
      </c>
      <c r="H100" s="10">
        <f t="shared" si="6"/>
        <v>0.99939526057643802</v>
      </c>
      <c r="I100" s="5">
        <f t="shared" si="5"/>
        <v>11.399446538306904</v>
      </c>
    </row>
    <row r="101" spans="7:9">
      <c r="G101" s="19">
        <f t="shared" si="7"/>
        <v>67.333333333333258</v>
      </c>
      <c r="H101" s="10">
        <f t="shared" si="6"/>
        <v>0.99938952209477805</v>
      </c>
      <c r="I101" s="5">
        <f t="shared" si="5"/>
        <v>11.378075729159622</v>
      </c>
    </row>
    <row r="102" spans="7:9">
      <c r="G102" s="19">
        <f t="shared" si="7"/>
        <v>67.416666666666586</v>
      </c>
      <c r="H102" s="10">
        <f t="shared" si="6"/>
        <v>0.99938372747401805</v>
      </c>
      <c r="I102" s="5">
        <f t="shared" si="5"/>
        <v>11.356653111362254</v>
      </c>
    </row>
    <row r="103" spans="7:9">
      <c r="G103" s="19">
        <f t="shared" si="7"/>
        <v>67.499999999999915</v>
      </c>
      <c r="H103" s="10">
        <f t="shared" si="6"/>
        <v>0.99937787616528417</v>
      </c>
      <c r="I103" s="5">
        <f t="shared" si="5"/>
        <v>11.335178791353963</v>
      </c>
    </row>
    <row r="104" spans="7:9">
      <c r="G104" s="19">
        <f t="shared" si="7"/>
        <v>67.583333333333243</v>
      </c>
      <c r="H104" s="10">
        <f t="shared" si="6"/>
        <v>0.99937196761434244</v>
      </c>
      <c r="I104" s="5">
        <f t="shared" si="5"/>
        <v>11.313652877853984</v>
      </c>
    </row>
    <row r="105" spans="7:9">
      <c r="G105" s="19">
        <f t="shared" si="7"/>
        <v>67.666666666666572</v>
      </c>
      <c r="H105" s="10">
        <f t="shared" si="6"/>
        <v>0.99936600126154773</v>
      </c>
      <c r="I105" s="5">
        <f t="shared" si="5"/>
        <v>11.29207548187247</v>
      </c>
    </row>
    <row r="106" spans="7:9">
      <c r="G106" s="19">
        <f t="shared" si="7"/>
        <v>67.749999999999901</v>
      </c>
      <c r="H106" s="10">
        <f t="shared" si="6"/>
        <v>0.9993599765417891</v>
      </c>
      <c r="I106" s="5">
        <f t="shared" si="5"/>
        <v>11.270446716721237</v>
      </c>
    </row>
    <row r="107" spans="7:9">
      <c r="G107" s="19">
        <f t="shared" si="7"/>
        <v>67.833333333333229</v>
      </c>
      <c r="H107" s="10">
        <f t="shared" si="6"/>
        <v>0.99935389288443843</v>
      </c>
      <c r="I107" s="5">
        <f t="shared" si="5"/>
        <v>11.248766698024447</v>
      </c>
    </row>
    <row r="108" spans="7:9">
      <c r="G108" s="19">
        <f t="shared" si="7"/>
        <v>67.916666666666558</v>
      </c>
      <c r="H108" s="10">
        <f t="shared" si="6"/>
        <v>0.99934774971329521</v>
      </c>
      <c r="I108" s="5">
        <f t="shared" si="5"/>
        <v>11.227035543729182</v>
      </c>
    </row>
    <row r="109" spans="7:9">
      <c r="G109" s="19">
        <f t="shared" si="7"/>
        <v>67.999999999999886</v>
      </c>
      <c r="H109" s="10">
        <f t="shared" si="6"/>
        <v>0.99934154644653317</v>
      </c>
      <c r="I109" s="5">
        <f t="shared" si="5"/>
        <v>11.205253374115941</v>
      </c>
    </row>
    <row r="110" spans="7:9">
      <c r="G110" s="19">
        <f t="shared" si="7"/>
        <v>68.083333333333215</v>
      </c>
      <c r="H110" s="10">
        <f t="shared" si="6"/>
        <v>0.99933528249664549</v>
      </c>
      <c r="I110" s="5">
        <f t="shared" si="5"/>
        <v>11.183420311809041</v>
      </c>
    </row>
    <row r="111" spans="7:9">
      <c r="G111" s="19">
        <f t="shared" si="7"/>
        <v>68.166666666666544</v>
      </c>
      <c r="H111" s="10">
        <f t="shared" si="6"/>
        <v>0.99932895727038873</v>
      </c>
      <c r="I111" s="5">
        <f t="shared" si="5"/>
        <v>11.161536481786918</v>
      </c>
    </row>
    <row r="112" spans="7:9">
      <c r="G112" s="19">
        <f t="shared" si="7"/>
        <v>68.249999999999872</v>
      </c>
      <c r="H112" s="10">
        <f t="shared" si="6"/>
        <v>0.99932257016872761</v>
      </c>
      <c r="I112" s="5">
        <f t="shared" si="5"/>
        <v>11.139602011392332</v>
      </c>
    </row>
    <row r="113" spans="7:9">
      <c r="G113" s="19">
        <f t="shared" si="7"/>
        <v>68.333333333333201</v>
      </c>
      <c r="H113" s="10">
        <f t="shared" si="6"/>
        <v>0.99931612058677866</v>
      </c>
      <c r="I113" s="5">
        <f t="shared" si="5"/>
        <v>11.117617030342487</v>
      </c>
    </row>
    <row r="114" spans="7:9">
      <c r="G114" s="19">
        <f t="shared" si="7"/>
        <v>68.416666666666529</v>
      </c>
      <c r="H114" s="10">
        <f t="shared" si="6"/>
        <v>0.99930960791375301</v>
      </c>
      <c r="I114" s="5">
        <f t="shared" si="5"/>
        <v>11.095581670739019</v>
      </c>
    </row>
    <row r="115" spans="7:9">
      <c r="G115" s="19">
        <f t="shared" si="7"/>
        <v>68.499999999999858</v>
      </c>
      <c r="H115" s="10">
        <f t="shared" si="6"/>
        <v>0.99930303153289868</v>
      </c>
      <c r="I115" s="5">
        <f t="shared" si="5"/>
        <v>11.073496067077921</v>
      </c>
    </row>
    <row r="116" spans="7:9">
      <c r="G116" s="19">
        <f t="shared" si="7"/>
        <v>68.583333333333186</v>
      </c>
      <c r="H116" s="10">
        <f t="shared" si="6"/>
        <v>0.99929639082144306</v>
      </c>
      <c r="I116" s="5">
        <f t="shared" si="5"/>
        <v>11.051360356259325</v>
      </c>
    </row>
    <row r="117" spans="7:9">
      <c r="G117" s="19">
        <f t="shared" si="7"/>
        <v>68.666666666666515</v>
      </c>
      <c r="H117" s="10">
        <f t="shared" si="6"/>
        <v>0.99928968515053374</v>
      </c>
      <c r="I117" s="5">
        <f t="shared" si="5"/>
        <v>11.029174677597197</v>
      </c>
    </row>
    <row r="118" spans="7:9">
      <c r="G118" s="19">
        <f t="shared" si="7"/>
        <v>68.749999999999844</v>
      </c>
      <c r="H118" s="10">
        <f t="shared" si="6"/>
        <v>0.9992829138851802</v>
      </c>
      <c r="I118" s="5">
        <f t="shared" si="5"/>
        <v>11.006939172828922</v>
      </c>
    </row>
    <row r="119" spans="7:9">
      <c r="G119" s="19">
        <f t="shared" si="7"/>
        <v>68.833333333333172</v>
      </c>
      <c r="H119" s="10">
        <f t="shared" si="6"/>
        <v>0.99927607638419302</v>
      </c>
      <c r="I119" s="5">
        <f t="shared" si="5"/>
        <v>10.98465398612476</v>
      </c>
    </row>
    <row r="120" spans="7:9">
      <c r="G120" s="19">
        <f t="shared" si="7"/>
        <v>68.916666666666501</v>
      </c>
      <c r="H120" s="10">
        <f t="shared" si="6"/>
        <v>0.99926917200012388</v>
      </c>
      <c r="I120" s="5">
        <f t="shared" si="5"/>
        <v>10.962319264097204</v>
      </c>
    </row>
    <row r="121" spans="7:9">
      <c r="G121" s="19">
        <f t="shared" si="7"/>
        <v>68.999999999999829</v>
      </c>
      <c r="H121" s="10">
        <f t="shared" si="6"/>
        <v>0.99926220007920519</v>
      </c>
      <c r="I121" s="5">
        <f t="shared" si="5"/>
        <v>10.939935155810215</v>
      </c>
    </row>
    <row r="122" spans="7:9">
      <c r="G122" s="19">
        <f t="shared" si="7"/>
        <v>69.083333333333158</v>
      </c>
      <c r="H122" s="10">
        <f t="shared" si="6"/>
        <v>0.99925515996128766</v>
      </c>
      <c r="I122" s="5">
        <f t="shared" si="5"/>
        <v>10.917501812788336</v>
      </c>
    </row>
    <row r="123" spans="7:9">
      <c r="G123" s="19">
        <f t="shared" si="7"/>
        <v>69.166666666666487</v>
      </c>
      <c r="H123" s="10">
        <f t="shared" si="6"/>
        <v>0.9992480509797792</v>
      </c>
      <c r="I123" s="5">
        <f t="shared" si="5"/>
        <v>10.895019389025688</v>
      </c>
    </row>
    <row r="124" spans="7:9">
      <c r="G124" s="19">
        <f t="shared" si="7"/>
        <v>69.249999999999815</v>
      </c>
      <c r="H124" s="10">
        <f t="shared" si="6"/>
        <v>0.99924087246158133</v>
      </c>
      <c r="I124" s="5">
        <f t="shared" si="5"/>
        <v>10.87248804099484</v>
      </c>
    </row>
    <row r="125" spans="7:9">
      <c r="G125" s="19">
        <f t="shared" si="7"/>
        <v>69.333333333333144</v>
      </c>
      <c r="H125" s="10">
        <f t="shared" si="6"/>
        <v>0.99923362372702651</v>
      </c>
      <c r="I125" s="5">
        <f t="shared" si="5"/>
        <v>10.849907927655549</v>
      </c>
    </row>
    <row r="126" spans="7:9">
      <c r="G126" s="19">
        <f t="shared" si="7"/>
        <v>69.416666666666472</v>
      </c>
      <c r="H126" s="10">
        <f t="shared" si="6"/>
        <v>0.99922630408981361</v>
      </c>
      <c r="I126" s="5">
        <f t="shared" si="5"/>
        <v>10.827279210463374</v>
      </c>
    </row>
    <row r="127" spans="7:9">
      <c r="G127" s="19">
        <f t="shared" si="7"/>
        <v>69.499999999999801</v>
      </c>
      <c r="H127" s="10">
        <f t="shared" si="6"/>
        <v>0.99921891285694397</v>
      </c>
      <c r="I127" s="5">
        <f t="shared" si="5"/>
        <v>10.80460205337817</v>
      </c>
    </row>
    <row r="128" spans="7:9">
      <c r="G128" s="19">
        <f t="shared" si="7"/>
        <v>69.58333333333313</v>
      </c>
      <c r="H128" s="10">
        <f t="shared" si="6"/>
        <v>0.99921144932865613</v>
      </c>
      <c r="I128" s="5">
        <f t="shared" si="5"/>
        <v>10.781876622872428</v>
      </c>
    </row>
    <row r="129" spans="7:9">
      <c r="G129" s="19">
        <f t="shared" si="7"/>
        <v>69.666666666666458</v>
      </c>
      <c r="H129" s="10">
        <f t="shared" si="6"/>
        <v>0.99920391279835929</v>
      </c>
      <c r="I129" s="5">
        <f t="shared" si="5"/>
        <v>10.759103087939488</v>
      </c>
    </row>
    <row r="130" spans="7:9">
      <c r="G130" s="19">
        <f t="shared" si="7"/>
        <v>69.749999999999787</v>
      </c>
      <c r="H130" s="10">
        <f t="shared" si="6"/>
        <v>0.99919630255256808</v>
      </c>
      <c r="I130" s="5">
        <f t="shared" si="5"/>
        <v>10.736281620101634</v>
      </c>
    </row>
    <row r="131" spans="7:9">
      <c r="G131" s="19">
        <f t="shared" si="7"/>
        <v>69.833333333333115</v>
      </c>
      <c r="H131" s="10">
        <f t="shared" si="6"/>
        <v>0.99918861787083457</v>
      </c>
      <c r="I131" s="5">
        <f t="shared" si="5"/>
        <v>10.713412393418006</v>
      </c>
    </row>
    <row r="132" spans="7:9">
      <c r="G132" s="19">
        <f t="shared" si="7"/>
        <v>69.916666666666444</v>
      </c>
      <c r="H132" s="10">
        <f t="shared" si="6"/>
        <v>0.99918085802568113</v>
      </c>
      <c r="I132" s="5">
        <f t="shared" si="5"/>
        <v>10.690495584492407</v>
      </c>
    </row>
    <row r="133" spans="7:9">
      <c r="G133" s="19">
        <f t="shared" si="7"/>
        <v>69.999999999999773</v>
      </c>
      <c r="H133" s="10">
        <f t="shared" si="6"/>
        <v>0.99917302228253113</v>
      </c>
      <c r="I133" s="5">
        <f t="shared" si="5"/>
        <v>10.66753137248095</v>
      </c>
    </row>
    <row r="134" spans="7:9">
      <c r="G134" s="19">
        <f t="shared" si="7"/>
        <v>70.083333333333101</v>
      </c>
      <c r="H134" s="10">
        <f t="shared" si="6"/>
        <v>0.99916510989964136</v>
      </c>
      <c r="I134" s="5">
        <f t="shared" si="5"/>
        <v>10.64451993909956</v>
      </c>
    </row>
    <row r="135" spans="7:9">
      <c r="G135" s="19">
        <f t="shared" si="7"/>
        <v>70.16666666666643</v>
      </c>
      <c r="H135" s="10">
        <f t="shared" si="6"/>
        <v>0.99915712012803093</v>
      </c>
      <c r="I135" s="5">
        <f t="shared" si="5"/>
        <v>10.621461468631317</v>
      </c>
    </row>
    <row r="136" spans="7:9">
      <c r="G136" s="19">
        <f t="shared" si="7"/>
        <v>70.249999999999758</v>
      </c>
      <c r="H136" s="10">
        <f t="shared" si="6"/>
        <v>0.99914905221141181</v>
      </c>
      <c r="I136" s="5">
        <f t="shared" si="5"/>
        <v>10.598356147933663</v>
      </c>
    </row>
    <row r="137" spans="7:9">
      <c r="G137" s="19">
        <f t="shared" si="7"/>
        <v>70.333333333333087</v>
      </c>
      <c r="H137" s="10">
        <f t="shared" si="6"/>
        <v>0.99914090538611722</v>
      </c>
      <c r="I137" s="5">
        <f t="shared" si="5"/>
        <v>10.575204166445436</v>
      </c>
    </row>
    <row r="138" spans="7:9">
      <c r="G138" s="19">
        <f t="shared" si="7"/>
        <v>70.416666666666416</v>
      </c>
      <c r="H138" s="10">
        <f t="shared" si="6"/>
        <v>0.99913267888103019</v>
      </c>
      <c r="I138" s="5">
        <f t="shared" si="5"/>
        <v>10.552005716193765</v>
      </c>
    </row>
    <row r="139" spans="7:9">
      <c r="G139" s="19">
        <f t="shared" si="7"/>
        <v>70.499999999999744</v>
      </c>
      <c r="H139" s="10">
        <f t="shared" si="6"/>
        <v>0.99912437191751113</v>
      </c>
      <c r="I139" s="5">
        <f t="shared" si="5"/>
        <v>10.528760991800789</v>
      </c>
    </row>
    <row r="140" spans="7:9">
      <c r="G140" s="19">
        <f t="shared" si="7"/>
        <v>70.583333333333073</v>
      </c>
      <c r="H140" s="10">
        <f t="shared" si="6"/>
        <v>0.99911598370932453</v>
      </c>
      <c r="I140" s="5">
        <f t="shared" si="5"/>
        <v>10.505470190490222</v>
      </c>
    </row>
    <row r="141" spans="7:9">
      <c r="G141" s="19">
        <f t="shared" si="7"/>
        <v>70.666666666666401</v>
      </c>
      <c r="H141" s="10">
        <f t="shared" si="6"/>
        <v>0.99910751346256521</v>
      </c>
      <c r="I141" s="5">
        <f t="shared" ref="I141:I204" si="8">(1/12)+H141*I142/((1+B$3)^(1/12))</f>
        <v>10.482133512093752</v>
      </c>
    </row>
    <row r="142" spans="7:9">
      <c r="G142" s="19">
        <f t="shared" si="7"/>
        <v>70.74999999999973</v>
      </c>
      <c r="H142" s="10">
        <f t="shared" ref="H142:H205" si="9">(H$9^(1/12))*H$10^((H$8^(G142))*((H$8^(1/12))-1))</f>
        <v>0.99909896037558354</v>
      </c>
      <c r="I142" s="5">
        <f t="shared" si="8"/>
        <v>10.458751159057272</v>
      </c>
    </row>
    <row r="143" spans="7:9">
      <c r="G143" s="19">
        <f t="shared" ref="G143:G206" si="10">G142+1/12</f>
        <v>70.833333333333059</v>
      </c>
      <c r="H143" s="10">
        <f t="shared" si="9"/>
        <v>0.99909032363891082</v>
      </c>
      <c r="I143" s="5">
        <f t="shared" si="8"/>
        <v>10.435323336446947</v>
      </c>
    </row>
    <row r="144" spans="7:9">
      <c r="G144" s="19">
        <f t="shared" si="10"/>
        <v>70.916666666666387</v>
      </c>
      <c r="H144" s="10">
        <f t="shared" si="9"/>
        <v>0.99908160243518251</v>
      </c>
      <c r="I144" s="5">
        <f t="shared" si="8"/>
        <v>10.411850251955098</v>
      </c>
    </row>
    <row r="145" spans="7:9">
      <c r="G145" s="19">
        <f t="shared" si="10"/>
        <v>70.999999999999716</v>
      </c>
      <c r="H145" s="10">
        <f t="shared" si="9"/>
        <v>0.99907279593906173</v>
      </c>
      <c r="I145" s="5">
        <f t="shared" si="8"/>
        <v>10.38833211590592</v>
      </c>
    </row>
    <row r="146" spans="7:9">
      <c r="G146" s="19">
        <f t="shared" si="10"/>
        <v>71.083333333333044</v>
      </c>
      <c r="H146" s="10">
        <f t="shared" si="9"/>
        <v>0.99906390331716222</v>
      </c>
      <c r="I146" s="5">
        <f t="shared" si="8"/>
        <v>10.364769141261021</v>
      </c>
    </row>
    <row r="147" spans="7:9">
      <c r="G147" s="19">
        <f t="shared" si="10"/>
        <v>71.166666666666373</v>
      </c>
      <c r="H147" s="10">
        <f t="shared" si="9"/>
        <v>0.99905492372796956</v>
      </c>
      <c r="I147" s="5">
        <f t="shared" si="8"/>
        <v>10.34116154362478</v>
      </c>
    </row>
    <row r="148" spans="7:9">
      <c r="G148" s="19">
        <f t="shared" si="10"/>
        <v>71.249999999999702</v>
      </c>
      <c r="H148" s="10">
        <f t="shared" si="9"/>
        <v>0.99904585632176235</v>
      </c>
      <c r="I148" s="5">
        <f t="shared" si="8"/>
        <v>10.317509541249525</v>
      </c>
    </row>
    <row r="149" spans="7:9">
      <c r="G149" s="19">
        <f t="shared" si="10"/>
        <v>71.33333333333303</v>
      </c>
      <c r="H149" s="10">
        <f t="shared" si="9"/>
        <v>0.9990367002405327</v>
      </c>
      <c r="I149" s="5">
        <f t="shared" si="8"/>
        <v>10.293813355040523</v>
      </c>
    </row>
    <row r="150" spans="7:9">
      <c r="G150" s="19">
        <f t="shared" si="10"/>
        <v>71.416666666666359</v>
      </c>
      <c r="H150" s="10">
        <f t="shared" si="9"/>
        <v>0.99902745461790565</v>
      </c>
      <c r="I150" s="5">
        <f t="shared" si="8"/>
        <v>10.270073208560794</v>
      </c>
    </row>
    <row r="151" spans="7:9">
      <c r="G151" s="19">
        <f t="shared" si="10"/>
        <v>71.499999999999687</v>
      </c>
      <c r="H151" s="10">
        <f t="shared" si="9"/>
        <v>0.99901811857905742</v>
      </c>
      <c r="I151" s="5">
        <f t="shared" si="8"/>
        <v>10.246289328035708</v>
      </c>
    </row>
    <row r="152" spans="7:9">
      <c r="G152" s="19">
        <f t="shared" si="10"/>
        <v>71.583333333333016</v>
      </c>
      <c r="H152" s="10">
        <f t="shared" si="9"/>
        <v>0.99900869124063407</v>
      </c>
      <c r="I152" s="5">
        <f t="shared" si="8"/>
        <v>10.222461942357437</v>
      </c>
    </row>
    <row r="153" spans="7:9">
      <c r="G153" s="19">
        <f t="shared" si="10"/>
        <v>71.666666666666345</v>
      </c>
      <c r="H153" s="10">
        <f t="shared" si="9"/>
        <v>0.99899917171066821</v>
      </c>
      <c r="I153" s="5">
        <f t="shared" si="8"/>
        <v>10.198591283089163</v>
      </c>
    </row>
    <row r="154" spans="7:9">
      <c r="G154" s="19">
        <f t="shared" si="10"/>
        <v>71.749999999999673</v>
      </c>
      <c r="H154" s="10">
        <f t="shared" si="9"/>
        <v>0.99898955908849518</v>
      </c>
      <c r="I154" s="5">
        <f t="shared" si="8"/>
        <v>10.174677584469121</v>
      </c>
    </row>
    <row r="155" spans="7:9">
      <c r="G155" s="19">
        <f t="shared" si="10"/>
        <v>71.833333333333002</v>
      </c>
      <c r="H155" s="10">
        <f t="shared" si="9"/>
        <v>0.99897985246466903</v>
      </c>
      <c r="I155" s="5">
        <f t="shared" si="8"/>
        <v>10.15072108341443</v>
      </c>
    </row>
    <row r="156" spans="7:9">
      <c r="G156" s="19">
        <f t="shared" si="10"/>
        <v>71.91666666666633</v>
      </c>
      <c r="H156" s="10">
        <f t="shared" si="9"/>
        <v>0.99897005092087754</v>
      </c>
      <c r="I156" s="5">
        <f t="shared" si="8"/>
        <v>10.126722019524731</v>
      </c>
    </row>
    <row r="157" spans="7:9">
      <c r="G157" s="19">
        <f t="shared" si="10"/>
        <v>71.999999999999659</v>
      </c>
      <c r="H157" s="10">
        <f t="shared" si="9"/>
        <v>0.99896015352985457</v>
      </c>
      <c r="I157" s="5">
        <f t="shared" si="8"/>
        <v>10.102680635085603</v>
      </c>
    </row>
    <row r="158" spans="7:9">
      <c r="G158" s="19">
        <f t="shared" si="10"/>
        <v>72.083333333332988</v>
      </c>
      <c r="H158" s="10">
        <f t="shared" si="9"/>
        <v>0.99895015935529519</v>
      </c>
      <c r="I158" s="5">
        <f t="shared" si="8"/>
        <v>10.078597175071797</v>
      </c>
    </row>
    <row r="159" spans="7:9">
      <c r="G159" s="19">
        <f t="shared" si="10"/>
        <v>72.166666666666316</v>
      </c>
      <c r="H159" s="10">
        <f t="shared" si="9"/>
        <v>0.99894006745176656</v>
      </c>
      <c r="I159" s="5">
        <f t="shared" si="8"/>
        <v>10.054471887150243</v>
      </c>
    </row>
    <row r="160" spans="7:9">
      <c r="G160" s="19">
        <f t="shared" si="10"/>
        <v>72.249999999999645</v>
      </c>
      <c r="H160" s="10">
        <f t="shared" si="9"/>
        <v>0.99892987686461954</v>
      </c>
      <c r="I160" s="5">
        <f t="shared" si="8"/>
        <v>10.030305021682846</v>
      </c>
    </row>
    <row r="161" spans="7:9">
      <c r="G161" s="19">
        <f t="shared" si="10"/>
        <v>72.333333333332973</v>
      </c>
      <c r="H161" s="10">
        <f t="shared" si="9"/>
        <v>0.99891958662989977</v>
      </c>
      <c r="I161" s="5">
        <f t="shared" si="8"/>
        <v>10.00609683172908</v>
      </c>
    </row>
    <row r="162" spans="7:9">
      <c r="G162" s="19">
        <f t="shared" si="10"/>
        <v>72.416666666666302</v>
      </c>
      <c r="H162" s="10">
        <f t="shared" si="9"/>
        <v>0.99890919577425641</v>
      </c>
      <c r="I162" s="5">
        <f t="shared" si="8"/>
        <v>9.9818475730483502</v>
      </c>
    </row>
    <row r="163" spans="7:9">
      <c r="G163" s="19">
        <f t="shared" si="10"/>
        <v>72.499999999999631</v>
      </c>
      <c r="H163" s="10">
        <f t="shared" si="9"/>
        <v>0.9988987033148522</v>
      </c>
      <c r="I163" s="5">
        <f t="shared" si="8"/>
        <v>9.9575575041021569</v>
      </c>
    </row>
    <row r="164" spans="7:9">
      <c r="G164" s="19">
        <f t="shared" si="10"/>
        <v>72.583333333332959</v>
      </c>
      <c r="H164" s="10">
        <f t="shared" si="9"/>
        <v>0.99888810825927021</v>
      </c>
      <c r="I164" s="5">
        <f t="shared" si="8"/>
        <v>9.9332268860560067</v>
      </c>
    </row>
    <row r="165" spans="7:9">
      <c r="G165" s="19">
        <f t="shared" si="10"/>
        <v>72.666666666666288</v>
      </c>
      <c r="H165" s="10">
        <f t="shared" si="9"/>
        <v>0.9988774096054216</v>
      </c>
      <c r="I165" s="5">
        <f t="shared" si="8"/>
        <v>9.908855982781132</v>
      </c>
    </row>
    <row r="166" spans="7:9">
      <c r="G166" s="19">
        <f t="shared" si="10"/>
        <v>72.749999999999616</v>
      </c>
      <c r="H166" s="10">
        <f t="shared" si="9"/>
        <v>0.99886660634145141</v>
      </c>
      <c r="I166" s="5">
        <f t="shared" si="8"/>
        <v>9.8844450608559633</v>
      </c>
    </row>
    <row r="167" spans="7:9">
      <c r="G167" s="19">
        <f t="shared" si="10"/>
        <v>72.833333333332945</v>
      </c>
      <c r="H167" s="10">
        <f t="shared" si="9"/>
        <v>0.99885569744564418</v>
      </c>
      <c r="I167" s="5">
        <f t="shared" si="8"/>
        <v>9.8599943895673832</v>
      </c>
    </row>
    <row r="168" spans="7:9">
      <c r="G168" s="19">
        <f t="shared" si="10"/>
        <v>72.916666666666273</v>
      </c>
      <c r="H168" s="10">
        <f t="shared" si="9"/>
        <v>0.99884468188632791</v>
      </c>
      <c r="I168" s="5">
        <f t="shared" si="8"/>
        <v>9.8355042409117424</v>
      </c>
    </row>
    <row r="169" spans="7:9">
      <c r="G169" s="19">
        <f t="shared" si="10"/>
        <v>72.999999999999602</v>
      </c>
      <c r="H169" s="10">
        <f t="shared" si="9"/>
        <v>0.99883355862177781</v>
      </c>
      <c r="I169" s="5">
        <f t="shared" si="8"/>
        <v>9.810974889595645</v>
      </c>
    </row>
    <row r="170" spans="7:9">
      <c r="G170" s="19">
        <f t="shared" si="10"/>
        <v>73.083333333332931</v>
      </c>
      <c r="H170" s="10">
        <f t="shared" si="9"/>
        <v>0.99882232660011827</v>
      </c>
      <c r="I170" s="5">
        <f t="shared" si="8"/>
        <v>9.7864066130365028</v>
      </c>
    </row>
    <row r="171" spans="7:9">
      <c r="G171" s="19">
        <f t="shared" si="10"/>
        <v>73.166666666666259</v>
      </c>
      <c r="H171" s="10">
        <f t="shared" si="9"/>
        <v>0.99881098475922525</v>
      </c>
      <c r="I171" s="5">
        <f t="shared" si="8"/>
        <v>9.761799691362846</v>
      </c>
    </row>
    <row r="172" spans="7:9">
      <c r="G172" s="19">
        <f t="shared" si="10"/>
        <v>73.249999999999588</v>
      </c>
      <c r="H172" s="10">
        <f t="shared" si="9"/>
        <v>0.99879953202662608</v>
      </c>
      <c r="I172" s="5">
        <f t="shared" si="8"/>
        <v>9.7371544074143852</v>
      </c>
    </row>
    <row r="173" spans="7:9">
      <c r="G173" s="19">
        <f t="shared" si="10"/>
        <v>73.333333333332916</v>
      </c>
      <c r="H173" s="10">
        <f t="shared" si="9"/>
        <v>0.99878796731939967</v>
      </c>
      <c r="I173" s="5">
        <f t="shared" si="8"/>
        <v>9.7124710467418502</v>
      </c>
    </row>
    <row r="174" spans="7:9">
      <c r="G174" s="19">
        <f t="shared" si="10"/>
        <v>73.416666666666245</v>
      </c>
      <c r="H174" s="10">
        <f t="shared" si="9"/>
        <v>0.99877628954407494</v>
      </c>
      <c r="I174" s="5">
        <f t="shared" si="8"/>
        <v>9.6877498976065652</v>
      </c>
    </row>
    <row r="175" spans="7:9">
      <c r="G175" s="19">
        <f t="shared" si="10"/>
        <v>73.499999999999574</v>
      </c>
      <c r="H175" s="10">
        <f t="shared" si="9"/>
        <v>0.99876449759652852</v>
      </c>
      <c r="I175" s="5">
        <f t="shared" si="8"/>
        <v>9.6629912509797862</v>
      </c>
    </row>
    <row r="176" spans="7:9">
      <c r="G176" s="19">
        <f t="shared" si="10"/>
        <v>73.583333333332902</v>
      </c>
      <c r="H176" s="10">
        <f t="shared" si="9"/>
        <v>0.99875259036188169</v>
      </c>
      <c r="I176" s="5">
        <f t="shared" si="8"/>
        <v>9.6381954005417825</v>
      </c>
    </row>
    <row r="177" spans="7:9">
      <c r="G177" s="19">
        <f t="shared" si="10"/>
        <v>73.666666666666231</v>
      </c>
      <c r="H177" s="10">
        <f t="shared" si="9"/>
        <v>0.99874056671439582</v>
      </c>
      <c r="I177" s="5">
        <f t="shared" si="8"/>
        <v>9.61336264268067</v>
      </c>
    </row>
    <row r="178" spans="7:9">
      <c r="G178" s="19">
        <f t="shared" si="10"/>
        <v>73.749999999999559</v>
      </c>
      <c r="H178" s="10">
        <f t="shared" si="9"/>
        <v>0.9987284255173674</v>
      </c>
      <c r="I178" s="5">
        <f t="shared" si="8"/>
        <v>9.5884932764909898</v>
      </c>
    </row>
    <row r="179" spans="7:9">
      <c r="G179" s="19">
        <f t="shared" si="10"/>
        <v>73.833333333332888</v>
      </c>
      <c r="H179" s="10">
        <f t="shared" si="9"/>
        <v>0.9987161656230219</v>
      </c>
      <c r="I179" s="5">
        <f t="shared" si="8"/>
        <v>9.5635876037720262</v>
      </c>
    </row>
    <row r="180" spans="7:9">
      <c r="G180" s="19">
        <f t="shared" si="10"/>
        <v>73.916666666666217</v>
      </c>
      <c r="H180" s="10">
        <f t="shared" si="9"/>
        <v>0.99870378587240594</v>
      </c>
      <c r="I180" s="5">
        <f t="shared" si="8"/>
        <v>9.5386459290258667</v>
      </c>
    </row>
    <row r="181" spans="7:9">
      <c r="G181" s="19">
        <f t="shared" si="10"/>
        <v>73.999999999999545</v>
      </c>
      <c r="H181" s="10">
        <f t="shared" si="9"/>
        <v>0.99869128509527949</v>
      </c>
      <c r="I181" s="5">
        <f t="shared" si="8"/>
        <v>9.5136685594552048</v>
      </c>
    </row>
    <row r="182" spans="7:9">
      <c r="G182" s="19">
        <f t="shared" si="10"/>
        <v>74.083333333332874</v>
      </c>
      <c r="H182" s="10">
        <f t="shared" si="9"/>
        <v>0.99867866211000633</v>
      </c>
      <c r="I182" s="5">
        <f t="shared" si="8"/>
        <v>9.4886558049608691</v>
      </c>
    </row>
    <row r="183" spans="7:9">
      <c r="G183" s="19">
        <f t="shared" si="10"/>
        <v>74.166666666666202</v>
      </c>
      <c r="H183" s="10">
        <f t="shared" si="9"/>
        <v>0.99866591572344354</v>
      </c>
      <c r="I183" s="5">
        <f t="shared" si="8"/>
        <v>9.4636079781391</v>
      </c>
    </row>
    <row r="184" spans="7:9">
      <c r="G184" s="19">
        <f t="shared" si="10"/>
        <v>74.249999999999531</v>
      </c>
      <c r="H184" s="10">
        <f t="shared" si="9"/>
        <v>0.99865304473083039</v>
      </c>
      <c r="I184" s="5">
        <f t="shared" si="8"/>
        <v>9.4385253942785496</v>
      </c>
    </row>
    <row r="185" spans="7:9">
      <c r="G185" s="19">
        <f t="shared" si="10"/>
        <v>74.33333333333286</v>
      </c>
      <c r="H185" s="10">
        <f t="shared" si="9"/>
        <v>0.99864004791567573</v>
      </c>
      <c r="I185" s="5">
        <f t="shared" si="8"/>
        <v>9.4134083713570078</v>
      </c>
    </row>
    <row r="186" spans="7:9">
      <c r="G186" s="19">
        <f t="shared" si="10"/>
        <v>74.416666666666188</v>
      </c>
      <c r="H186" s="10">
        <f t="shared" si="9"/>
        <v>0.9986269240496437</v>
      </c>
      <c r="I186" s="5">
        <f t="shared" si="8"/>
        <v>9.3882572300378619</v>
      </c>
    </row>
    <row r="187" spans="7:9">
      <c r="G187" s="19">
        <f t="shared" si="10"/>
        <v>74.499999999999517</v>
      </c>
      <c r="H187" s="10">
        <f t="shared" si="9"/>
        <v>0.99861367189244021</v>
      </c>
      <c r="I187" s="5">
        <f t="shared" si="8"/>
        <v>9.3630722936662867</v>
      </c>
    </row>
    <row r="188" spans="7:9">
      <c r="G188" s="19">
        <f t="shared" si="10"/>
        <v>74.583333333332845</v>
      </c>
      <c r="H188" s="10">
        <f t="shared" si="9"/>
        <v>0.99860029019169616</v>
      </c>
      <c r="I188" s="5">
        <f t="shared" si="8"/>
        <v>9.3378538882651458</v>
      </c>
    </row>
    <row r="189" spans="7:9">
      <c r="G189" s="19">
        <f t="shared" si="10"/>
        <v>74.666666666666174</v>
      </c>
      <c r="H189" s="10">
        <f t="shared" si="9"/>
        <v>0.99858677768285131</v>
      </c>
      <c r="I189" s="5">
        <f t="shared" si="8"/>
        <v>9.3126023425306226</v>
      </c>
    </row>
    <row r="190" spans="7:9">
      <c r="G190" s="19">
        <f t="shared" si="10"/>
        <v>74.749999999999503</v>
      </c>
      <c r="H190" s="10">
        <f t="shared" si="9"/>
        <v>0.99857313308903561</v>
      </c>
      <c r="I190" s="5">
        <f t="shared" si="8"/>
        <v>9.2873179878275636</v>
      </c>
    </row>
    <row r="191" spans="7:9">
      <c r="G191" s="19">
        <f t="shared" si="10"/>
        <v>74.833333333332831</v>
      </c>
      <c r="H191" s="10">
        <f t="shared" si="9"/>
        <v>0.99855935512095051</v>
      </c>
      <c r="I191" s="5">
        <f t="shared" si="8"/>
        <v>9.2620011581845496</v>
      </c>
    </row>
    <row r="192" spans="7:9">
      <c r="G192" s="19">
        <f t="shared" si="10"/>
        <v>74.91666666666616</v>
      </c>
      <c r="H192" s="10">
        <f t="shared" si="9"/>
        <v>0.99854544247674837</v>
      </c>
      <c r="I192" s="5">
        <f t="shared" si="8"/>
        <v>9.2366521902886678</v>
      </c>
    </row>
    <row r="193" spans="7:9">
      <c r="G193" s="19">
        <f t="shared" si="10"/>
        <v>74.999999999999488</v>
      </c>
      <c r="H193" s="10">
        <f t="shared" si="9"/>
        <v>0.99853139384191147</v>
      </c>
      <c r="I193" s="5">
        <f t="shared" si="8"/>
        <v>9.2112714234800066</v>
      </c>
    </row>
    <row r="194" spans="7:9">
      <c r="G194" s="19">
        <f t="shared" si="10"/>
        <v>75.083333333332817</v>
      </c>
      <c r="H194" s="10">
        <f t="shared" si="9"/>
        <v>0.99851720788912879</v>
      </c>
      <c r="I194" s="5">
        <f t="shared" si="8"/>
        <v>9.185859199745865</v>
      </c>
    </row>
    <row r="195" spans="7:9">
      <c r="G195" s="19">
        <f t="shared" si="10"/>
        <v>75.166666666666146</v>
      </c>
      <c r="H195" s="10">
        <f t="shared" si="9"/>
        <v>0.99850288327817305</v>
      </c>
      <c r="I195" s="5">
        <f t="shared" si="8"/>
        <v>9.1604158637146522</v>
      </c>
    </row>
    <row r="196" spans="7:9">
      <c r="G196" s="19">
        <f t="shared" si="10"/>
        <v>75.249999999999474</v>
      </c>
      <c r="H196" s="10">
        <f t="shared" si="9"/>
        <v>0.99848841865577453</v>
      </c>
      <c r="I196" s="5">
        <f t="shared" si="8"/>
        <v>9.13494176264952</v>
      </c>
    </row>
    <row r="197" spans="7:9">
      <c r="G197" s="19">
        <f t="shared" si="10"/>
        <v>75.333333333332803</v>
      </c>
      <c r="H197" s="10">
        <f t="shared" si="9"/>
        <v>0.99847381265549662</v>
      </c>
      <c r="I197" s="5">
        <f t="shared" si="8"/>
        <v>9.1094372464416828</v>
      </c>
    </row>
    <row r="198" spans="7:9">
      <c r="G198" s="19">
        <f t="shared" si="10"/>
        <v>75.416666666666131</v>
      </c>
      <c r="H198" s="10">
        <f t="shared" si="9"/>
        <v>0.99845906389760697</v>
      </c>
      <c r="I198" s="5">
        <f t="shared" si="8"/>
        <v>9.0839026676034411</v>
      </c>
    </row>
    <row r="199" spans="7:9">
      <c r="G199" s="19">
        <f t="shared" si="10"/>
        <v>75.49999999999946</v>
      </c>
      <c r="H199" s="10">
        <f t="shared" si="9"/>
        <v>0.99844417098894978</v>
      </c>
      <c r="I199" s="5">
        <f t="shared" si="8"/>
        <v>9.0583383812609206</v>
      </c>
    </row>
    <row r="200" spans="7:9">
      <c r="G200" s="19">
        <f t="shared" si="10"/>
        <v>75.583333333332789</v>
      </c>
      <c r="H200" s="10">
        <f t="shared" si="9"/>
        <v>0.99842913252281562</v>
      </c>
      <c r="I200" s="5">
        <f t="shared" si="8"/>
        <v>9.0327447451464931</v>
      </c>
    </row>
    <row r="201" spans="7:9">
      <c r="G201" s="19">
        <f t="shared" si="10"/>
        <v>75.666666666666117</v>
      </c>
      <c r="H201" s="10">
        <f t="shared" si="9"/>
        <v>0.99841394707881048</v>
      </c>
      <c r="I201" s="5">
        <f t="shared" si="8"/>
        <v>9.0071221195909121</v>
      </c>
    </row>
    <row r="202" spans="7:9">
      <c r="G202" s="19">
        <f t="shared" si="10"/>
        <v>75.749999999999446</v>
      </c>
      <c r="H202" s="10">
        <f t="shared" si="9"/>
        <v>0.99839861322272383</v>
      </c>
      <c r="I202" s="5">
        <f t="shared" si="8"/>
        <v>8.9814708675151298</v>
      </c>
    </row>
    <row r="203" spans="7:9">
      <c r="G203" s="19">
        <f t="shared" si="10"/>
        <v>75.833333333332774</v>
      </c>
      <c r="H203" s="10">
        <f t="shared" si="9"/>
        <v>0.99838312950639452</v>
      </c>
      <c r="I203" s="5">
        <f t="shared" si="8"/>
        <v>8.9557913544218177</v>
      </c>
    </row>
    <row r="204" spans="7:9">
      <c r="G204" s="19">
        <f t="shared" si="10"/>
        <v>75.916666666666103</v>
      </c>
      <c r="H204" s="10">
        <f t="shared" si="9"/>
        <v>0.99836749446757633</v>
      </c>
      <c r="I204" s="5">
        <f t="shared" si="8"/>
        <v>8.9300839483865815</v>
      </c>
    </row>
    <row r="205" spans="7:9">
      <c r="G205" s="19">
        <f t="shared" si="10"/>
        <v>75.999999999999432</v>
      </c>
      <c r="H205" s="10">
        <f t="shared" si="9"/>
        <v>0.99835170662980177</v>
      </c>
      <c r="I205" s="5">
        <f t="shared" ref="I205:I268" si="11">(1/12)+H205*I206/((1+B$3)^(1/12))</f>
        <v>8.9043490200488584</v>
      </c>
    </row>
    <row r="206" spans="7:9">
      <c r="G206" s="19">
        <f t="shared" si="10"/>
        <v>76.08333333333276</v>
      </c>
      <c r="H206" s="10">
        <f t="shared" ref="H206:H269" si="12">(H$9^(1/12))*H$10^((H$8^(G206))*((H$8^(1/12))-1))</f>
        <v>0.99833576450224482</v>
      </c>
      <c r="I206" s="5">
        <f t="shared" si="11"/>
        <v>8.8785869426025172</v>
      </c>
    </row>
    <row r="207" spans="7:9">
      <c r="G207" s="19">
        <f t="shared" ref="G207:G270" si="13">G206+1/12</f>
        <v>76.166666666666089</v>
      </c>
      <c r="H207" s="10">
        <f t="shared" si="12"/>
        <v>0.99831966657958193</v>
      </c>
      <c r="I207" s="5">
        <f t="shared" si="11"/>
        <v>8.8527980917861271</v>
      </c>
    </row>
    <row r="208" spans="7:9">
      <c r="G208" s="19">
        <f t="shared" si="13"/>
        <v>76.249999999999417</v>
      </c>
      <c r="H208" s="10">
        <f t="shared" si="12"/>
        <v>0.99830341134185252</v>
      </c>
      <c r="I208" s="5">
        <f t="shared" si="11"/>
        <v>8.8269828458729336</v>
      </c>
    </row>
    <row r="209" spans="7:9">
      <c r="G209" s="19">
        <f t="shared" si="13"/>
        <v>76.333333333332746</v>
      </c>
      <c r="H209" s="10">
        <f t="shared" si="12"/>
        <v>0.99828699725431658</v>
      </c>
      <c r="I209" s="5">
        <f t="shared" si="11"/>
        <v>8.8011415856605044</v>
      </c>
    </row>
    <row r="210" spans="7:9">
      <c r="G210" s="19">
        <f t="shared" si="13"/>
        <v>76.416666666666075</v>
      </c>
      <c r="H210" s="10">
        <f t="shared" si="12"/>
        <v>0.99827042276731348</v>
      </c>
      <c r="I210" s="5">
        <f t="shared" si="11"/>
        <v>8.775274694460073</v>
      </c>
    </row>
    <row r="211" spans="7:9">
      <c r="G211" s="19">
        <f t="shared" si="13"/>
        <v>76.499999999999403</v>
      </c>
      <c r="H211" s="10">
        <f t="shared" si="12"/>
        <v>0.99825368631611655</v>
      </c>
      <c r="I211" s="5">
        <f t="shared" si="11"/>
        <v>8.74938255808555</v>
      </c>
    </row>
    <row r="212" spans="7:9">
      <c r="G212" s="19">
        <f t="shared" si="13"/>
        <v>76.583333333332732</v>
      </c>
      <c r="H212" s="10">
        <f t="shared" si="12"/>
        <v>0.99823678632078827</v>
      </c>
      <c r="I212" s="5">
        <f t="shared" si="11"/>
        <v>8.7234655648422201</v>
      </c>
    </row>
    <row r="213" spans="7:9">
      <c r="G213" s="19">
        <f t="shared" si="13"/>
        <v>76.66666666666606</v>
      </c>
      <c r="H213" s="10">
        <f t="shared" si="12"/>
        <v>0.99821972118603353</v>
      </c>
      <c r="I213" s="5">
        <f t="shared" si="11"/>
        <v>8.6975241055151251</v>
      </c>
    </row>
    <row r="214" spans="7:9">
      <c r="G214" s="19">
        <f t="shared" si="13"/>
        <v>76.749999999999389</v>
      </c>
      <c r="H214" s="10">
        <f t="shared" si="12"/>
        <v>0.99820248930105093</v>
      </c>
      <c r="I214" s="5">
        <f t="shared" si="11"/>
        <v>8.6715585733571139</v>
      </c>
    </row>
    <row r="215" spans="7:9">
      <c r="G215" s="19">
        <f t="shared" si="13"/>
        <v>76.833333333332718</v>
      </c>
      <c r="H215" s="10">
        <f t="shared" si="12"/>
        <v>0.99818508903938374</v>
      </c>
      <c r="I215" s="5">
        <f t="shared" si="11"/>
        <v>8.6455693640765858</v>
      </c>
    </row>
    <row r="216" spans="7:9">
      <c r="G216" s="19">
        <f t="shared" si="13"/>
        <v>76.916666666666046</v>
      </c>
      <c r="H216" s="10">
        <f t="shared" si="12"/>
        <v>0.99816751875876863</v>
      </c>
      <c r="I216" s="5">
        <f t="shared" si="11"/>
        <v>8.6195568758248857</v>
      </c>
    </row>
    <row r="217" spans="7:9">
      <c r="G217" s="19">
        <f t="shared" si="13"/>
        <v>76.999999999999375</v>
      </c>
      <c r="H217" s="10">
        <f t="shared" si="12"/>
        <v>0.99814977680098282</v>
      </c>
      <c r="I217" s="5">
        <f t="shared" si="11"/>
        <v>8.5935215091833985</v>
      </c>
    </row>
    <row r="218" spans="7:9">
      <c r="G218" s="19">
        <f t="shared" si="13"/>
        <v>77.083333333332703</v>
      </c>
      <c r="H218" s="10">
        <f t="shared" si="12"/>
        <v>0.99813186149169064</v>
      </c>
      <c r="I218" s="5">
        <f t="shared" si="11"/>
        <v>8.5674636671502977</v>
      </c>
    </row>
    <row r="219" spans="7:9">
      <c r="G219" s="19">
        <f t="shared" si="13"/>
        <v>77.166666666666032</v>
      </c>
      <c r="H219" s="10">
        <f t="shared" si="12"/>
        <v>0.99811377114028799</v>
      </c>
      <c r="I219" s="5">
        <f t="shared" si="11"/>
        <v>8.5413837551269793</v>
      </c>
    </row>
    <row r="220" spans="7:9">
      <c r="G220" s="19">
        <f t="shared" si="13"/>
        <v>77.249999999999361</v>
      </c>
      <c r="H220" s="10">
        <f t="shared" si="12"/>
        <v>0.99809550403974523</v>
      </c>
      <c r="I220" s="5">
        <f t="shared" si="11"/>
        <v>8.5152821809041601</v>
      </c>
    </row>
    <row r="221" spans="7:9">
      <c r="G221" s="19">
        <f t="shared" si="13"/>
        <v>77.333333333332689</v>
      </c>
      <c r="H221" s="10">
        <f t="shared" si="12"/>
        <v>0.99807705846644945</v>
      </c>
      <c r="I221" s="5">
        <f t="shared" si="11"/>
        <v>8.4891593546476471</v>
      </c>
    </row>
    <row r="222" spans="7:9">
      <c r="G222" s="19">
        <f t="shared" si="13"/>
        <v>77.416666666666018</v>
      </c>
      <c r="H222" s="10">
        <f t="shared" si="12"/>
        <v>0.99805843268004391</v>
      </c>
      <c r="I222" s="5">
        <f t="shared" si="11"/>
        <v>8.4630156888837806</v>
      </c>
    </row>
    <row r="223" spans="7:9">
      <c r="G223" s="19">
        <f t="shared" si="13"/>
        <v>77.499999999999346</v>
      </c>
      <c r="H223" s="10">
        <f t="shared" si="12"/>
        <v>0.99803962492326692</v>
      </c>
      <c r="I223" s="5">
        <f t="shared" si="11"/>
        <v>8.4368515984845391</v>
      </c>
    </row>
    <row r="224" spans="7:9">
      <c r="G224" s="19">
        <f t="shared" si="13"/>
        <v>77.583333333332675</v>
      </c>
      <c r="H224" s="10">
        <f t="shared" si="12"/>
        <v>0.99802063342178893</v>
      </c>
      <c r="I224" s="5">
        <f t="shared" si="11"/>
        <v>8.4106675006523126</v>
      </c>
    </row>
    <row r="225" spans="7:9">
      <c r="G225" s="19">
        <f t="shared" si="13"/>
        <v>77.666666666666003</v>
      </c>
      <c r="H225" s="10">
        <f t="shared" si="12"/>
        <v>0.99800145638404836</v>
      </c>
      <c r="I225" s="5">
        <f t="shared" si="11"/>
        <v>8.3844638149043558</v>
      </c>
    </row>
    <row r="226" spans="7:9">
      <c r="G226" s="19">
        <f t="shared" si="13"/>
        <v>77.749999999999332</v>
      </c>
      <c r="H226" s="10">
        <f t="shared" si="12"/>
        <v>0.99798209200108512</v>
      </c>
      <c r="I226" s="5">
        <f t="shared" si="11"/>
        <v>8.3582409630568826</v>
      </c>
    </row>
    <row r="227" spans="7:9">
      <c r="G227" s="19">
        <f t="shared" si="13"/>
        <v>77.833333333332661</v>
      </c>
      <c r="H227" s="10">
        <f t="shared" si="12"/>
        <v>0.99796253844637328</v>
      </c>
      <c r="I227" s="5">
        <f t="shared" si="11"/>
        <v>8.3319993692088499</v>
      </c>
    </row>
    <row r="228" spans="7:9">
      <c r="G228" s="19">
        <f t="shared" si="13"/>
        <v>77.916666666665989</v>
      </c>
      <c r="H228" s="10">
        <f t="shared" si="12"/>
        <v>0.99794279387565188</v>
      </c>
      <c r="I228" s="5">
        <f t="shared" si="11"/>
        <v>8.3057394597253982</v>
      </c>
    </row>
    <row r="229" spans="7:9">
      <c r="G229" s="19">
        <f t="shared" si="13"/>
        <v>77.999999999999318</v>
      </c>
      <c r="H229" s="10">
        <f t="shared" si="12"/>
        <v>0.99792285642675427</v>
      </c>
      <c r="I229" s="5">
        <f t="shared" si="11"/>
        <v>8.2794616632209479</v>
      </c>
    </row>
    <row r="230" spans="7:9">
      <c r="G230" s="19">
        <f t="shared" si="13"/>
        <v>78.083333333332646</v>
      </c>
      <c r="H230" s="10">
        <f t="shared" si="12"/>
        <v>0.99790272421943527</v>
      </c>
      <c r="I230" s="5">
        <f t="shared" si="11"/>
        <v>8.2531664105419669</v>
      </c>
    </row>
    <row r="231" spans="7:9">
      <c r="G231" s="19">
        <f t="shared" si="13"/>
        <v>78.166666666665975</v>
      </c>
      <c r="H231" s="10">
        <f t="shared" si="12"/>
        <v>0.99788239535519796</v>
      </c>
      <c r="I231" s="5">
        <f t="shared" si="11"/>
        <v>8.2268541347494057</v>
      </c>
    </row>
    <row r="232" spans="7:9">
      <c r="G232" s="19">
        <f t="shared" si="13"/>
        <v>78.249999999999304</v>
      </c>
      <c r="H232" s="10">
        <f t="shared" si="12"/>
        <v>0.99786186791711717</v>
      </c>
      <c r="I232" s="5">
        <f t="shared" si="11"/>
        <v>8.200525271100787</v>
      </c>
    </row>
    <row r="233" spans="7:9">
      <c r="G233" s="19">
        <f t="shared" si="13"/>
        <v>78.333333333332632</v>
      </c>
      <c r="H233" s="10">
        <f t="shared" si="12"/>
        <v>0.99784113996966273</v>
      </c>
      <c r="I233" s="5">
        <f t="shared" si="11"/>
        <v>8.1741802570319582</v>
      </c>
    </row>
    <row r="234" spans="7:9">
      <c r="G234" s="19">
        <f t="shared" si="13"/>
        <v>78.416666666665961</v>
      </c>
      <c r="H234" s="10">
        <f t="shared" si="12"/>
        <v>0.99782020955852002</v>
      </c>
      <c r="I234" s="5">
        <f t="shared" si="11"/>
        <v>8.1478195321385112</v>
      </c>
    </row>
    <row r="235" spans="7:9">
      <c r="G235" s="19">
        <f t="shared" si="13"/>
        <v>78.499999999999289</v>
      </c>
      <c r="H235" s="10">
        <f t="shared" si="12"/>
        <v>0.99779907471040996</v>
      </c>
      <c r="I235" s="5">
        <f t="shared" si="11"/>
        <v>8.1214435381568677</v>
      </c>
    </row>
    <row r="236" spans="7:9">
      <c r="G236" s="19">
        <f t="shared" si="13"/>
        <v>78.583333333332618</v>
      </c>
      <c r="H236" s="10">
        <f t="shared" si="12"/>
        <v>0.99777773343290566</v>
      </c>
      <c r="I236" s="5">
        <f t="shared" si="11"/>
        <v>8.0950527189450021</v>
      </c>
    </row>
    <row r="237" spans="7:9">
      <c r="G237" s="19">
        <f t="shared" si="13"/>
        <v>78.666666666665947</v>
      </c>
      <c r="H237" s="10">
        <f t="shared" si="12"/>
        <v>0.99775618371424912</v>
      </c>
      <c r="I237" s="5">
        <f t="shared" si="11"/>
        <v>8.0686475204628643</v>
      </c>
    </row>
    <row r="238" spans="7:9">
      <c r="G238" s="19">
        <f t="shared" si="13"/>
        <v>78.749999999999275</v>
      </c>
      <c r="H238" s="10">
        <f t="shared" si="12"/>
        <v>0.99773442352316533</v>
      </c>
      <c r="I238" s="5">
        <f t="shared" si="11"/>
        <v>8.0422283907524328</v>
      </c>
    </row>
    <row r="239" spans="7:9">
      <c r="G239" s="19">
        <f t="shared" si="13"/>
        <v>78.833333333332604</v>
      </c>
      <c r="H239" s="10">
        <f t="shared" si="12"/>
        <v>0.99771245080867366</v>
      </c>
      <c r="I239" s="5">
        <f t="shared" si="11"/>
        <v>8.015795779917438</v>
      </c>
    </row>
    <row r="240" spans="7:9">
      <c r="G240" s="19">
        <f t="shared" si="13"/>
        <v>78.916666666665932</v>
      </c>
      <c r="H240" s="10">
        <f t="shared" si="12"/>
        <v>0.99769026349990009</v>
      </c>
      <c r="I240" s="5">
        <f t="shared" si="11"/>
        <v>7.9893501401027534</v>
      </c>
    </row>
    <row r="241" spans="7:9">
      <c r="G241" s="19">
        <f t="shared" si="13"/>
        <v>78.999999999999261</v>
      </c>
      <c r="H241" s="10">
        <f t="shared" si="12"/>
        <v>0.99766785950588455</v>
      </c>
      <c r="I241" s="5">
        <f t="shared" si="11"/>
        <v>7.96289192547344</v>
      </c>
    </row>
    <row r="242" spans="7:9">
      <c r="G242" s="19">
        <f t="shared" si="13"/>
        <v>79.08333333333259</v>
      </c>
      <c r="H242" s="10">
        <f t="shared" si="12"/>
        <v>0.99764523671538874</v>
      </c>
      <c r="I242" s="5">
        <f t="shared" si="11"/>
        <v>7.9364215921934589</v>
      </c>
    </row>
    <row r="243" spans="7:9">
      <c r="G243" s="19">
        <f t="shared" si="13"/>
        <v>79.166666666665918</v>
      </c>
      <c r="H243" s="10">
        <f t="shared" si="12"/>
        <v>0.99762239299670163</v>
      </c>
      <c r="I243" s="5">
        <f t="shared" si="11"/>
        <v>7.9099395984040441</v>
      </c>
    </row>
    <row r="244" spans="7:9">
      <c r="G244" s="19">
        <f t="shared" si="13"/>
        <v>79.249999999999247</v>
      </c>
      <c r="H244" s="10">
        <f t="shared" si="12"/>
        <v>0.99759932619744196</v>
      </c>
      <c r="I244" s="5">
        <f t="shared" si="11"/>
        <v>7.8834464042017309</v>
      </c>
    </row>
    <row r="245" spans="7:9">
      <c r="G245" s="19">
        <f t="shared" si="13"/>
        <v>79.333333333332575</v>
      </c>
      <c r="H245" s="10">
        <f t="shared" si="12"/>
        <v>0.99757603414436014</v>
      </c>
      <c r="I245" s="5">
        <f t="shared" si="11"/>
        <v>7.8569424716160574</v>
      </c>
    </row>
    <row r="246" spans="7:9">
      <c r="G246" s="19">
        <f t="shared" si="13"/>
        <v>79.416666666665904</v>
      </c>
      <c r="H246" s="10">
        <f t="shared" si="12"/>
        <v>0.99755251464313854</v>
      </c>
      <c r="I246" s="5">
        <f t="shared" si="11"/>
        <v>7.8304282645869243</v>
      </c>
    </row>
    <row r="247" spans="7:9">
      <c r="G247" s="19">
        <f t="shared" si="13"/>
        <v>79.499999999999233</v>
      </c>
      <c r="H247" s="10">
        <f t="shared" si="12"/>
        <v>0.99752876547818803</v>
      </c>
      <c r="I247" s="5">
        <f t="shared" si="11"/>
        <v>7.8039042489416142</v>
      </c>
    </row>
    <row r="248" spans="7:9">
      <c r="G248" s="19">
        <f t="shared" si="13"/>
        <v>79.583333333332561</v>
      </c>
      <c r="H248" s="10">
        <f t="shared" si="12"/>
        <v>0.99750478441244539</v>
      </c>
      <c r="I248" s="5">
        <f t="shared" si="11"/>
        <v>7.7773708923714846</v>
      </c>
    </row>
    <row r="249" spans="7:9">
      <c r="G249" s="19">
        <f t="shared" si="13"/>
        <v>79.66666666666589</v>
      </c>
      <c r="H249" s="10">
        <f t="shared" si="12"/>
        <v>0.99748056918716566</v>
      </c>
      <c r="I249" s="5">
        <f t="shared" si="11"/>
        <v>7.7508286644083153</v>
      </c>
    </row>
    <row r="250" spans="7:9">
      <c r="G250" s="19">
        <f t="shared" si="13"/>
        <v>79.749999999999218</v>
      </c>
      <c r="H250" s="10">
        <f t="shared" si="12"/>
        <v>0.99745611752171559</v>
      </c>
      <c r="I250" s="5">
        <f t="shared" si="11"/>
        <v>7.7242780364003281</v>
      </c>
    </row>
    <row r="251" spans="7:9">
      <c r="G251" s="19">
        <f t="shared" si="13"/>
        <v>79.833333333332547</v>
      </c>
      <c r="H251" s="10">
        <f t="shared" si="12"/>
        <v>0.99743142711336263</v>
      </c>
      <c r="I251" s="5">
        <f t="shared" si="11"/>
        <v>7.6977194814878693</v>
      </c>
    </row>
    <row r="252" spans="7:9">
      <c r="G252" s="19">
        <f t="shared" si="13"/>
        <v>79.916666666665876</v>
      </c>
      <c r="H252" s="10">
        <f t="shared" si="12"/>
        <v>0.99740649563706396</v>
      </c>
      <c r="I252" s="5">
        <f t="shared" si="11"/>
        <v>7.6711534745787633</v>
      </c>
    </row>
    <row r="253" spans="7:9">
      <c r="G253" s="19">
        <f t="shared" si="13"/>
        <v>79.999999999999204</v>
      </c>
      <c r="H253" s="10">
        <f t="shared" si="12"/>
        <v>0.99738132074525176</v>
      </c>
      <c r="I253" s="5">
        <f t="shared" si="11"/>
        <v>7.6445804923233265</v>
      </c>
    </row>
    <row r="254" spans="7:9">
      <c r="G254" s="19">
        <f t="shared" si="13"/>
        <v>80.083333333332533</v>
      </c>
      <c r="H254" s="10">
        <f t="shared" si="12"/>
        <v>0.99735590006761798</v>
      </c>
      <c r="I254" s="5">
        <f t="shared" si="11"/>
        <v>7.618001013089061</v>
      </c>
    </row>
    <row r="255" spans="7:9">
      <c r="G255" s="19">
        <f t="shared" si="13"/>
        <v>80.166666666665861</v>
      </c>
      <c r="H255" s="10">
        <f t="shared" si="12"/>
        <v>0.99733023121089592</v>
      </c>
      <c r="I255" s="5">
        <f t="shared" si="11"/>
        <v>7.5914155169350064</v>
      </c>
    </row>
    <row r="256" spans="7:9">
      <c r="G256" s="19">
        <f t="shared" si="13"/>
        <v>80.24999999999919</v>
      </c>
      <c r="H256" s="10">
        <f t="shared" si="12"/>
        <v>0.99730431175864087</v>
      </c>
      <c r="I256" s="5">
        <f t="shared" si="11"/>
        <v>7.5648244855857723</v>
      </c>
    </row>
    <row r="257" spans="7:9">
      <c r="G257" s="19">
        <f t="shared" si="13"/>
        <v>80.333333333332519</v>
      </c>
      <c r="H257" s="10">
        <f t="shared" si="12"/>
        <v>0.99727813927100739</v>
      </c>
      <c r="I257" s="5">
        <f t="shared" si="11"/>
        <v>7.5382284024052382</v>
      </c>
    </row>
    <row r="258" spans="7:9">
      <c r="G258" s="19">
        <f t="shared" si="13"/>
        <v>80.416666666665847</v>
      </c>
      <c r="H258" s="10">
        <f t="shared" si="12"/>
        <v>0.99725171128452594</v>
      </c>
      <c r="I258" s="5">
        <f t="shared" si="11"/>
        <v>7.5116277523699262</v>
      </c>
    </row>
    <row r="259" spans="7:9">
      <c r="G259" s="19">
        <f t="shared" si="13"/>
        <v>80.499999999999176</v>
      </c>
      <c r="H259" s="10">
        <f t="shared" si="12"/>
        <v>0.99722502531187618</v>
      </c>
      <c r="I259" s="5">
        <f t="shared" si="11"/>
        <v>7.4850230220420517</v>
      </c>
    </row>
    <row r="260" spans="7:9">
      <c r="G260" s="19">
        <f t="shared" si="13"/>
        <v>80.583333333332504</v>
      </c>
      <c r="H260" s="10">
        <f t="shared" si="12"/>
        <v>0.9971980788416589</v>
      </c>
      <c r="I260" s="5">
        <f t="shared" si="11"/>
        <v>7.4584146995422476</v>
      </c>
    </row>
    <row r="261" spans="7:9">
      <c r="G261" s="19">
        <f t="shared" si="13"/>
        <v>80.666666666665833</v>
      </c>
      <c r="H261" s="10">
        <f t="shared" si="12"/>
        <v>0.99717086933816534</v>
      </c>
      <c r="I261" s="5">
        <f t="shared" si="11"/>
        <v>7.4318032745219673</v>
      </c>
    </row>
    <row r="262" spans="7:9">
      <c r="G262" s="19">
        <f t="shared" si="13"/>
        <v>80.749999999999162</v>
      </c>
      <c r="H262" s="10">
        <f t="shared" si="12"/>
        <v>0.99714339424114506</v>
      </c>
      <c r="I262" s="5">
        <f t="shared" si="11"/>
        <v>7.4051892381355708</v>
      </c>
    </row>
    <row r="263" spans="7:9">
      <c r="G263" s="19">
        <f t="shared" si="13"/>
        <v>80.83333333333249</v>
      </c>
      <c r="H263" s="10">
        <f t="shared" si="12"/>
        <v>0.99711565096557109</v>
      </c>
      <c r="I263" s="5">
        <f t="shared" si="11"/>
        <v>7.3785730830120819</v>
      </c>
    </row>
    <row r="264" spans="7:9">
      <c r="G264" s="19">
        <f t="shared" si="13"/>
        <v>80.916666666665819</v>
      </c>
      <c r="H264" s="10">
        <f t="shared" si="12"/>
        <v>0.99708763690140234</v>
      </c>
      <c r="I264" s="5">
        <f t="shared" si="11"/>
        <v>7.3519553032266369</v>
      </c>
    </row>
    <row r="265" spans="7:9">
      <c r="G265" s="19">
        <f t="shared" si="13"/>
        <v>80.999999999999147</v>
      </c>
      <c r="H265" s="10">
        <f t="shared" si="12"/>
        <v>0.99705934941334518</v>
      </c>
      <c r="I265" s="5">
        <f t="shared" si="11"/>
        <v>7.3253363942716145</v>
      </c>
    </row>
    <row r="266" spans="7:9">
      <c r="G266" s="19">
        <f t="shared" si="13"/>
        <v>81.083333333332476</v>
      </c>
      <c r="H266" s="10">
        <f t="shared" si="12"/>
        <v>0.997030785840612</v>
      </c>
      <c r="I266" s="5">
        <f t="shared" si="11"/>
        <v>7.2987168530274511</v>
      </c>
    </row>
    <row r="267" spans="7:9">
      <c r="G267" s="19">
        <f t="shared" si="13"/>
        <v>81.166666666665805</v>
      </c>
      <c r="H267" s="10">
        <f t="shared" si="12"/>
        <v>0.99700194349667703</v>
      </c>
      <c r="I267" s="5">
        <f t="shared" si="11"/>
        <v>7.2720971777331425</v>
      </c>
    </row>
    <row r="268" spans="7:9">
      <c r="G268" s="19">
        <f t="shared" si="13"/>
        <v>81.249999999999133</v>
      </c>
      <c r="H268" s="10">
        <f t="shared" si="12"/>
        <v>0.99697281966903106</v>
      </c>
      <c r="I268" s="5">
        <f t="shared" si="11"/>
        <v>7.2454778679564447</v>
      </c>
    </row>
    <row r="269" spans="7:9">
      <c r="G269" s="19">
        <f t="shared" si="13"/>
        <v>81.333333333332462</v>
      </c>
      <c r="H269" s="10">
        <f t="shared" si="12"/>
        <v>0.99694341161893285</v>
      </c>
      <c r="I269" s="5">
        <f t="shared" ref="I269:I332" si="14">(1/12)+H269*I270/((1+B$3)^(1/12))</f>
        <v>7.2188594245637541</v>
      </c>
    </row>
    <row r="270" spans="7:9">
      <c r="G270" s="19">
        <f t="shared" si="13"/>
        <v>81.41666666666579</v>
      </c>
      <c r="H270" s="10">
        <f t="shared" ref="H270:H333" si="15">(H$9^(1/12))*H$10^((H$8^(G270))*((H$8^(1/12))-1))</f>
        <v>0.99691371658115879</v>
      </c>
      <c r="I270" s="5">
        <f t="shared" si="14"/>
        <v>7.1922423496896899</v>
      </c>
    </row>
    <row r="271" spans="7:9">
      <c r="G271" s="19">
        <f t="shared" ref="G271:G334" si="16">G270+1/12</f>
        <v>81.499999999999119</v>
      </c>
      <c r="H271" s="10">
        <f t="shared" si="15"/>
        <v>0.99688373176375022</v>
      </c>
      <c r="I271" s="5">
        <f t="shared" si="14"/>
        <v>7.165627146706373</v>
      </c>
    </row>
    <row r="272" spans="7:9">
      <c r="G272" s="19">
        <f t="shared" si="16"/>
        <v>81.583333333332448</v>
      </c>
      <c r="H272" s="10">
        <f t="shared" si="15"/>
        <v>0.99685345434775774</v>
      </c>
      <c r="I272" s="5">
        <f t="shared" si="14"/>
        <v>7.1390143201923975</v>
      </c>
    </row>
    <row r="273" spans="7:9">
      <c r="G273" s="19">
        <f t="shared" si="16"/>
        <v>81.666666666665776</v>
      </c>
      <c r="H273" s="10">
        <f t="shared" si="15"/>
        <v>0.99682288148698417</v>
      </c>
      <c r="I273" s="5">
        <f t="shared" si="14"/>
        <v>7.1124043759015123</v>
      </c>
    </row>
    <row r="274" spans="7:9">
      <c r="G274" s="19">
        <f t="shared" si="16"/>
        <v>81.749999999999105</v>
      </c>
      <c r="H274" s="10">
        <f t="shared" si="15"/>
        <v>0.99679201030772457</v>
      </c>
      <c r="I274" s="5">
        <f t="shared" si="14"/>
        <v>7.085797820731</v>
      </c>
    </row>
    <row r="275" spans="7:9">
      <c r="G275" s="19">
        <f t="shared" si="16"/>
        <v>81.833333333332433</v>
      </c>
      <c r="H275" s="10">
        <f t="shared" si="15"/>
        <v>0.99676083790850367</v>
      </c>
      <c r="I275" s="5">
        <f t="shared" si="14"/>
        <v>7.0591951626897629</v>
      </c>
    </row>
    <row r="276" spans="7:9">
      <c r="G276" s="19">
        <f t="shared" si="16"/>
        <v>81.916666666665762</v>
      </c>
      <c r="H276" s="10">
        <f t="shared" si="15"/>
        <v>0.99672936135981072</v>
      </c>
      <c r="I276" s="5">
        <f t="shared" si="14"/>
        <v>7.032596910866121</v>
      </c>
    </row>
    <row r="277" spans="7:9">
      <c r="G277" s="19">
        <f t="shared" si="16"/>
        <v>81.999999999999091</v>
      </c>
      <c r="H277" s="10">
        <f t="shared" si="15"/>
        <v>0.9966975777038336</v>
      </c>
      <c r="I277" s="5">
        <f t="shared" si="14"/>
        <v>7.0060035753953178</v>
      </c>
    </row>
    <row r="278" spans="7:9">
      <c r="G278" s="19">
        <f t="shared" si="16"/>
        <v>82.083333333332419</v>
      </c>
      <c r="H278" s="10">
        <f t="shared" si="15"/>
        <v>0.9966654839541873</v>
      </c>
      <c r="I278" s="5">
        <f t="shared" si="14"/>
        <v>6.97941566742674</v>
      </c>
    </row>
    <row r="279" spans="7:9">
      <c r="G279" s="19">
        <f t="shared" si="16"/>
        <v>82.166666666665748</v>
      </c>
      <c r="H279" s="10">
        <f t="shared" si="15"/>
        <v>0.99663307709564319</v>
      </c>
      <c r="I279" s="5">
        <f t="shared" si="14"/>
        <v>6.9528336990908617</v>
      </c>
    </row>
    <row r="280" spans="7:9">
      <c r="G280" s="19">
        <f t="shared" si="16"/>
        <v>82.249999999999076</v>
      </c>
      <c r="H280" s="10">
        <f t="shared" si="15"/>
        <v>0.99660035408385361</v>
      </c>
      <c r="I280" s="5">
        <f t="shared" si="14"/>
        <v>6.9262581834658956</v>
      </c>
    </row>
    <row r="281" spans="7:9">
      <c r="G281" s="19">
        <f t="shared" si="16"/>
        <v>82.333333333332405</v>
      </c>
      <c r="H281" s="10">
        <f t="shared" si="15"/>
        <v>0.99656731184507463</v>
      </c>
      <c r="I281" s="5">
        <f t="shared" si="14"/>
        <v>6.8996896345441812</v>
      </c>
    </row>
    <row r="282" spans="7:9">
      <c r="G282" s="19">
        <f t="shared" si="16"/>
        <v>82.416666666665733</v>
      </c>
      <c r="H282" s="10">
        <f t="shared" si="15"/>
        <v>0.99653394727588618</v>
      </c>
      <c r="I282" s="5">
        <f t="shared" si="14"/>
        <v>6.8731285671982878</v>
      </c>
    </row>
    <row r="283" spans="7:9">
      <c r="G283" s="19">
        <f t="shared" si="16"/>
        <v>82.499999999999062</v>
      </c>
      <c r="H283" s="10">
        <f t="shared" si="15"/>
        <v>0.99650025724291003</v>
      </c>
      <c r="I283" s="5">
        <f t="shared" si="14"/>
        <v>6.8465754971468549</v>
      </c>
    </row>
    <row r="284" spans="7:9">
      <c r="G284" s="19">
        <f t="shared" si="16"/>
        <v>82.583333333332391</v>
      </c>
      <c r="H284" s="10">
        <f t="shared" si="15"/>
        <v>0.99646623858252426</v>
      </c>
      <c r="I284" s="5">
        <f t="shared" si="14"/>
        <v>6.8200309409201587</v>
      </c>
    </row>
    <row r="285" spans="7:9">
      <c r="G285" s="19">
        <f t="shared" si="16"/>
        <v>82.666666666665719</v>
      </c>
      <c r="H285" s="10">
        <f t="shared" si="15"/>
        <v>0.99643188810057604</v>
      </c>
      <c r="I285" s="5">
        <f t="shared" si="14"/>
        <v>6.793495415825423</v>
      </c>
    </row>
    <row r="286" spans="7:9">
      <c r="G286" s="19">
        <f t="shared" si="16"/>
        <v>82.749999999999048</v>
      </c>
      <c r="H286" s="10">
        <f t="shared" si="15"/>
        <v>0.99639720257209086</v>
      </c>
      <c r="I286" s="5">
        <f t="shared" si="14"/>
        <v>6.7669694399118558</v>
      </c>
    </row>
    <row r="287" spans="7:9">
      <c r="G287" s="19">
        <f t="shared" si="16"/>
        <v>82.833333333332376</v>
      </c>
      <c r="H287" s="10">
        <f t="shared" si="15"/>
        <v>0.99636217874097988</v>
      </c>
      <c r="I287" s="5">
        <f t="shared" si="14"/>
        <v>6.7404535319354446</v>
      </c>
    </row>
    <row r="288" spans="7:9">
      <c r="G288" s="19">
        <f t="shared" si="16"/>
        <v>82.916666666665705</v>
      </c>
      <c r="H288" s="10">
        <f t="shared" si="15"/>
        <v>0.99632681331974449</v>
      </c>
      <c r="I288" s="5">
        <f t="shared" si="14"/>
        <v>6.7139482113234861</v>
      </c>
    </row>
    <row r="289" spans="7:9">
      <c r="G289" s="19">
        <f t="shared" si="16"/>
        <v>82.999999999999034</v>
      </c>
      <c r="H289" s="10">
        <f t="shared" si="15"/>
        <v>0.99629110298917745</v>
      </c>
      <c r="I289" s="5">
        <f t="shared" si="14"/>
        <v>6.6874539981388708</v>
      </c>
    </row>
    <row r="290" spans="7:9">
      <c r="G290" s="19">
        <f t="shared" si="16"/>
        <v>83.083333333332362</v>
      </c>
      <c r="H290" s="10">
        <f t="shared" si="15"/>
        <v>0.99625504439806156</v>
      </c>
      <c r="I290" s="5">
        <f t="shared" si="14"/>
        <v>6.6609714130441198</v>
      </c>
    </row>
    <row r="291" spans="7:9">
      <c r="G291" s="19">
        <f t="shared" si="16"/>
        <v>83.166666666665691</v>
      </c>
      <c r="H291" s="10">
        <f t="shared" si="15"/>
        <v>0.99621863416286682</v>
      </c>
      <c r="I291" s="5">
        <f t="shared" si="14"/>
        <v>6.6345009772651808</v>
      </c>
    </row>
    <row r="292" spans="7:9">
      <c r="G292" s="19">
        <f t="shared" si="16"/>
        <v>83.249999999999019</v>
      </c>
      <c r="H292" s="10">
        <f t="shared" si="15"/>
        <v>0.99618186886744242</v>
      </c>
      <c r="I292" s="5">
        <f t="shared" si="14"/>
        <v>6.6080432125549811</v>
      </c>
    </row>
    <row r="293" spans="7:9">
      <c r="G293" s="19">
        <f t="shared" si="16"/>
        <v>83.333333333332348</v>
      </c>
      <c r="H293" s="10">
        <f t="shared" si="15"/>
        <v>0.99614474506270811</v>
      </c>
      <c r="I293" s="5">
        <f t="shared" si="14"/>
        <v>6.5815986411567522</v>
      </c>
    </row>
    <row r="294" spans="7:9">
      <c r="G294" s="19">
        <f t="shared" si="16"/>
        <v>83.416666666665677</v>
      </c>
      <c r="H294" s="10">
        <f t="shared" si="15"/>
        <v>0.99610725926634147</v>
      </c>
      <c r="I294" s="5">
        <f t="shared" si="14"/>
        <v>6.5551677857671198</v>
      </c>
    </row>
    <row r="295" spans="7:9">
      <c r="G295" s="19">
        <f t="shared" si="16"/>
        <v>83.499999999999005</v>
      </c>
      <c r="H295" s="10">
        <f t="shared" si="15"/>
        <v>0.99606940796246302</v>
      </c>
      <c r="I295" s="5">
        <f t="shared" si="14"/>
        <v>6.5287511694989675</v>
      </c>
    </row>
    <row r="296" spans="7:9">
      <c r="G296" s="19">
        <f t="shared" si="16"/>
        <v>83.583333333332334</v>
      </c>
      <c r="H296" s="10">
        <f t="shared" si="15"/>
        <v>0.9960311876013177</v>
      </c>
      <c r="I296" s="5">
        <f t="shared" si="14"/>
        <v>6.5023493158440751</v>
      </c>
    </row>
    <row r="297" spans="7:9">
      <c r="G297" s="19">
        <f t="shared" si="16"/>
        <v>83.666666666665662</v>
      </c>
      <c r="H297" s="10">
        <f t="shared" si="15"/>
        <v>0.99599259459895406</v>
      </c>
      <c r="I297" s="5">
        <f t="shared" si="14"/>
        <v>6.4759627486355473</v>
      </c>
    </row>
    <row r="298" spans="7:9">
      <c r="G298" s="19">
        <f t="shared" si="16"/>
        <v>83.749999999998991</v>
      </c>
      <c r="H298" s="10">
        <f t="shared" si="15"/>
        <v>0.99595362533690057</v>
      </c>
      <c r="I298" s="5">
        <f t="shared" si="14"/>
        <v>6.4495919920100206</v>
      </c>
    </row>
    <row r="299" spans="7:9">
      <c r="G299" s="19">
        <f t="shared" si="16"/>
        <v>83.83333333333232</v>
      </c>
      <c r="H299" s="10">
        <f t="shared" si="15"/>
        <v>0.99591427616183836</v>
      </c>
      <c r="I299" s="5">
        <f t="shared" si="14"/>
        <v>6.4232375703696611</v>
      </c>
    </row>
    <row r="300" spans="7:9">
      <c r="G300" s="19">
        <f t="shared" si="16"/>
        <v>83.916666666665648</v>
      </c>
      <c r="H300" s="10">
        <f t="shared" si="15"/>
        <v>0.99587454338527115</v>
      </c>
      <c r="I300" s="5">
        <f t="shared" si="14"/>
        <v>6.3969000083439624</v>
      </c>
    </row>
    <row r="301" spans="7:9">
      <c r="G301" s="19">
        <f t="shared" si="16"/>
        <v>83.999999999998977</v>
      </c>
      <c r="H301" s="10">
        <f t="shared" si="15"/>
        <v>0.99583442328319327</v>
      </c>
      <c r="I301" s="5">
        <f t="shared" si="14"/>
        <v>6.3705798307513399</v>
      </c>
    </row>
    <row r="302" spans="7:9">
      <c r="G302" s="19">
        <f t="shared" si="16"/>
        <v>84.083333333332305</v>
      </c>
      <c r="H302" s="10">
        <f t="shared" si="15"/>
        <v>0.99579391209575263</v>
      </c>
      <c r="I302" s="5">
        <f t="shared" si="14"/>
        <v>6.344277562560527</v>
      </c>
    </row>
    <row r="303" spans="7:9">
      <c r="G303" s="19">
        <f t="shared" si="16"/>
        <v>84.166666666665634</v>
      </c>
      <c r="H303" s="10">
        <f t="shared" si="15"/>
        <v>0.99575300602691252</v>
      </c>
      <c r="I303" s="5">
        <f t="shared" si="14"/>
        <v>6.3179937288517847</v>
      </c>
    </row>
    <row r="304" spans="7:9">
      <c r="G304" s="19">
        <f t="shared" si="16"/>
        <v>84.249999999998963</v>
      </c>
      <c r="H304" s="10">
        <f t="shared" si="15"/>
        <v>0.99571170124410879</v>
      </c>
      <c r="I304" s="5">
        <f t="shared" si="14"/>
        <v>6.2917288547779222</v>
      </c>
    </row>
    <row r="305" spans="7:9">
      <c r="G305" s="19">
        <f t="shared" si="16"/>
        <v>84.333333333332291</v>
      </c>
      <c r="H305" s="10">
        <f t="shared" si="15"/>
        <v>0.99566999387790556</v>
      </c>
      <c r="I305" s="5">
        <f t="shared" si="14"/>
        <v>6.2654834655251381</v>
      </c>
    </row>
    <row r="306" spans="7:9">
      <c r="G306" s="19">
        <f t="shared" si="16"/>
        <v>84.41666666666562</v>
      </c>
      <c r="H306" s="10">
        <f t="shared" si="15"/>
        <v>0.99562788002164626</v>
      </c>
      <c r="I306" s="5">
        <f t="shared" si="14"/>
        <v>6.2392580862736837</v>
      </c>
    </row>
    <row r="307" spans="7:9">
      <c r="G307" s="19">
        <f t="shared" si="16"/>
        <v>84.499999999998948</v>
      </c>
      <c r="H307" s="10">
        <f t="shared" si="15"/>
        <v>0.99558535573110207</v>
      </c>
      <c r="I307" s="5">
        <f t="shared" si="14"/>
        <v>6.2130532421583506</v>
      </c>
    </row>
    <row r="308" spans="7:9">
      <c r="G308" s="19">
        <f t="shared" si="16"/>
        <v>84.583333333332277</v>
      </c>
      <c r="H308" s="10">
        <f t="shared" si="15"/>
        <v>0.99554241702411783</v>
      </c>
      <c r="I308" s="5">
        <f t="shared" si="14"/>
        <v>6.1868694582288022</v>
      </c>
    </row>
    <row r="309" spans="7:9">
      <c r="G309" s="19">
        <f t="shared" si="16"/>
        <v>84.666666666665606</v>
      </c>
      <c r="H309" s="10">
        <f t="shared" si="15"/>
        <v>0.99549905988025356</v>
      </c>
      <c r="I309" s="5">
        <f t="shared" si="14"/>
        <v>6.160707259409735</v>
      </c>
    </row>
    <row r="310" spans="7:9">
      <c r="G310" s="19">
        <f t="shared" si="16"/>
        <v>84.749999999998934</v>
      </c>
      <c r="H310" s="10">
        <f t="shared" si="15"/>
        <v>0.99545528024042351</v>
      </c>
      <c r="I310" s="5">
        <f t="shared" si="14"/>
        <v>6.1345671704608833</v>
      </c>
    </row>
    <row r="311" spans="7:9">
      <c r="G311" s="19">
        <f t="shared" si="16"/>
        <v>84.833333333332263</v>
      </c>
      <c r="H311" s="10">
        <f t="shared" si="15"/>
        <v>0.99541107400653206</v>
      </c>
      <c r="I311" s="5">
        <f t="shared" si="14"/>
        <v>6.1084497159368816</v>
      </c>
    </row>
    <row r="312" spans="7:9">
      <c r="G312" s="19">
        <f t="shared" si="16"/>
        <v>84.916666666665591</v>
      </c>
      <c r="H312" s="10">
        <f t="shared" si="15"/>
        <v>0.99536643704110539</v>
      </c>
      <c r="I312" s="5">
        <f t="shared" si="14"/>
        <v>6.0823554201469712</v>
      </c>
    </row>
    <row r="313" spans="7:9">
      <c r="G313" s="19">
        <f t="shared" si="16"/>
        <v>84.99999999999892</v>
      </c>
      <c r="H313" s="10">
        <f t="shared" si="15"/>
        <v>0.99532136516692116</v>
      </c>
      <c r="I313" s="5">
        <f t="shared" si="14"/>
        <v>6.056284807114575</v>
      </c>
    </row>
    <row r="314" spans="7:9">
      <c r="G314" s="19">
        <f t="shared" si="16"/>
        <v>85.083333333332249</v>
      </c>
      <c r="H314" s="10">
        <f t="shared" si="15"/>
        <v>0.99527585416663322</v>
      </c>
      <c r="I314" s="5">
        <f t="shared" si="14"/>
        <v>6.0302384005367333</v>
      </c>
    </row>
    <row r="315" spans="7:9">
      <c r="G315" s="19">
        <f t="shared" si="16"/>
        <v>85.166666666665577</v>
      </c>
      <c r="H315" s="10">
        <f t="shared" si="15"/>
        <v>0.99522989978239507</v>
      </c>
      <c r="I315" s="5">
        <f t="shared" si="14"/>
        <v>6.0042167237434114</v>
      </c>
    </row>
    <row r="316" spans="7:9">
      <c r="G316" s="19">
        <f t="shared" si="16"/>
        <v>85.249999999998906</v>
      </c>
      <c r="H316" s="10">
        <f t="shared" si="15"/>
        <v>0.99518349771547754</v>
      </c>
      <c r="I316" s="5">
        <f t="shared" si="14"/>
        <v>5.978220299656682</v>
      </c>
    </row>
    <row r="317" spans="7:9">
      <c r="G317" s="19">
        <f t="shared" si="16"/>
        <v>85.333333333332234</v>
      </c>
      <c r="H317" s="10">
        <f t="shared" si="15"/>
        <v>0.99513664362588472</v>
      </c>
      <c r="I317" s="5">
        <f t="shared" si="14"/>
        <v>5.9522496507497946</v>
      </c>
    </row>
    <row r="318" spans="7:9">
      <c r="G318" s="19">
        <f t="shared" si="16"/>
        <v>85.416666666665563</v>
      </c>
      <c r="H318" s="10">
        <f t="shared" si="15"/>
        <v>0.99508933313196624</v>
      </c>
      <c r="I318" s="5">
        <f t="shared" si="14"/>
        <v>5.9263052990061285</v>
      </c>
    </row>
    <row r="319" spans="7:9">
      <c r="G319" s="19">
        <f t="shared" si="16"/>
        <v>85.499999999998892</v>
      </c>
      <c r="H319" s="10">
        <f t="shared" si="15"/>
        <v>0.9950415618100249</v>
      </c>
      <c r="I319" s="5">
        <f t="shared" si="14"/>
        <v>5.9003877658780386</v>
      </c>
    </row>
    <row r="320" spans="7:9">
      <c r="G320" s="19">
        <f t="shared" si="16"/>
        <v>85.58333333333222</v>
      </c>
      <c r="H320" s="10">
        <f t="shared" si="15"/>
        <v>0.99499332519392258</v>
      </c>
      <c r="I320" s="5">
        <f t="shared" si="14"/>
        <v>5.8744975722456081</v>
      </c>
    </row>
    <row r="321" spans="7:9">
      <c r="G321" s="19">
        <f t="shared" si="16"/>
        <v>85.666666666665549</v>
      </c>
      <c r="H321" s="10">
        <f t="shared" si="15"/>
        <v>0.99494461877468032</v>
      </c>
      <c r="I321" s="5">
        <f t="shared" si="14"/>
        <v>5.8486352383752971</v>
      </c>
    </row>
    <row r="322" spans="7:9">
      <c r="G322" s="19">
        <f t="shared" si="16"/>
        <v>85.749999999998877</v>
      </c>
      <c r="H322" s="10">
        <f t="shared" si="15"/>
        <v>0.99489543800007796</v>
      </c>
      <c r="I322" s="5">
        <f t="shared" si="14"/>
        <v>5.822801283878511</v>
      </c>
    </row>
    <row r="323" spans="7:9">
      <c r="G323" s="19">
        <f t="shared" si="16"/>
        <v>85.833333333332206</v>
      </c>
      <c r="H323" s="10">
        <f t="shared" si="15"/>
        <v>0.99484577827424647</v>
      </c>
      <c r="I323" s="5">
        <f t="shared" si="14"/>
        <v>5.7969962276700784</v>
      </c>
    </row>
    <row r="324" spans="7:9">
      <c r="G324" s="19">
        <f t="shared" si="16"/>
        <v>85.916666666665535</v>
      </c>
      <c r="H324" s="10">
        <f t="shared" si="15"/>
        <v>0.99479563495725987</v>
      </c>
      <c r="I324" s="5">
        <f t="shared" si="14"/>
        <v>5.7712205879266616</v>
      </c>
    </row>
    <row r="325" spans="7:9">
      <c r="G325" s="19">
        <f t="shared" si="16"/>
        <v>85.999999999998863</v>
      </c>
      <c r="H325" s="10">
        <f t="shared" si="15"/>
        <v>0.99474500336472171</v>
      </c>
      <c r="I325" s="5">
        <f t="shared" si="14"/>
        <v>5.7454748820450883</v>
      </c>
    </row>
    <row r="326" spans="7:9">
      <c r="G326" s="19">
        <f t="shared" si="16"/>
        <v>86.083333333332192</v>
      </c>
      <c r="H326" s="10">
        <f t="shared" si="15"/>
        <v>0.99469387876734816</v>
      </c>
      <c r="I326" s="5">
        <f t="shared" si="14"/>
        <v>5.7197596266006272</v>
      </c>
    </row>
    <row r="327" spans="7:9">
      <c r="G327" s="19">
        <f t="shared" si="16"/>
        <v>86.16666666666552</v>
      </c>
      <c r="H327" s="10">
        <f t="shared" si="15"/>
        <v>0.99464225639054782</v>
      </c>
      <c r="I327" s="5">
        <f t="shared" si="14"/>
        <v>5.694075337305196</v>
      </c>
    </row>
    <row r="328" spans="7:9">
      <c r="G328" s="19">
        <f t="shared" si="16"/>
        <v>86.249999999998849</v>
      </c>
      <c r="H328" s="10">
        <f t="shared" si="15"/>
        <v>0.99459013141399699</v>
      </c>
      <c r="I328" s="5">
        <f t="shared" si="14"/>
        <v>5.6684225289655306</v>
      </c>
    </row>
    <row r="329" spans="7:9">
      <c r="G329" s="19">
        <f t="shared" si="16"/>
        <v>86.333333333332178</v>
      </c>
      <c r="H329" s="10">
        <f t="shared" si="15"/>
        <v>0.99453749897121257</v>
      </c>
      <c r="I329" s="5">
        <f t="shared" si="14"/>
        <v>5.6428017154412986</v>
      </c>
    </row>
    <row r="330" spans="7:9">
      <c r="G330" s="19">
        <f t="shared" si="16"/>
        <v>86.416666666665506</v>
      </c>
      <c r="H330" s="10">
        <f t="shared" si="15"/>
        <v>0.9944843541491194</v>
      </c>
      <c r="I330" s="5">
        <f t="shared" si="14"/>
        <v>5.6172134096031776</v>
      </c>
    </row>
    <row r="331" spans="7:9">
      <c r="G331" s="19">
        <f t="shared" si="16"/>
        <v>86.499999999998835</v>
      </c>
      <c r="H331" s="10">
        <f t="shared" si="15"/>
        <v>0.99443069198761491</v>
      </c>
      <c r="I331" s="5">
        <f t="shared" si="14"/>
        <v>5.5916581232909053</v>
      </c>
    </row>
    <row r="332" spans="7:9">
      <c r="G332" s="19">
        <f t="shared" si="16"/>
        <v>86.583333333332163</v>
      </c>
      <c r="H332" s="10">
        <f t="shared" si="15"/>
        <v>0.99437650747912998</v>
      </c>
      <c r="I332" s="5">
        <f t="shared" si="14"/>
        <v>5.5661363672712953</v>
      </c>
    </row>
    <row r="333" spans="7:9">
      <c r="G333" s="19">
        <f t="shared" si="16"/>
        <v>86.666666666665492</v>
      </c>
      <c r="H333" s="10">
        <f t="shared" si="15"/>
        <v>0.99432179556818456</v>
      </c>
      <c r="I333" s="5">
        <f t="shared" ref="I333:I396" si="17">(1/12)+H333*I334/((1+B$3)^(1/12))</f>
        <v>5.5406486511962418</v>
      </c>
    </row>
    <row r="334" spans="7:9">
      <c r="G334" s="19">
        <f t="shared" si="16"/>
        <v>86.74999999999882</v>
      </c>
      <c r="H334" s="10">
        <f t="shared" ref="H334:H397" si="18">(H$9^(1/12))*H$10^((H$8^(G334))*((H$8^(1/12))-1))</f>
        <v>0.99426655115094176</v>
      </c>
      <c r="I334" s="5">
        <f t="shared" si="17"/>
        <v>5.51519548356071</v>
      </c>
    </row>
    <row r="335" spans="7:9">
      <c r="G335" s="19">
        <f t="shared" ref="G335:G398" si="19">G334+1/12</f>
        <v>86.833333333332149</v>
      </c>
      <c r="H335" s="10">
        <f t="shared" si="18"/>
        <v>0.99421076907475514</v>
      </c>
      <c r="I335" s="5">
        <f t="shared" si="17"/>
        <v>5.4897773716607157</v>
      </c>
    </row>
    <row r="336" spans="7:9">
      <c r="G336" s="19">
        <f t="shared" si="19"/>
        <v>86.916666666665478</v>
      </c>
      <c r="H336" s="10">
        <f t="shared" si="18"/>
        <v>0.99415444413771425</v>
      </c>
      <c r="I336" s="5">
        <f t="shared" si="17"/>
        <v>5.464394821551311</v>
      </c>
    </row>
    <row r="337" spans="7:9">
      <c r="G337" s="19">
        <f t="shared" si="19"/>
        <v>86.999999999998806</v>
      </c>
      <c r="H337" s="10">
        <f t="shared" si="18"/>
        <v>0.99409757108818531</v>
      </c>
      <c r="I337" s="5">
        <f t="shared" si="17"/>
        <v>5.4390483380045778</v>
      </c>
    </row>
    <row r="338" spans="7:9">
      <c r="G338" s="19">
        <f t="shared" si="19"/>
        <v>87.083333333332135</v>
      </c>
      <c r="H338" s="10">
        <f t="shared" si="18"/>
        <v>0.99404014462434775</v>
      </c>
      <c r="I338" s="5">
        <f t="shared" si="17"/>
        <v>5.4137384244676285</v>
      </c>
    </row>
    <row r="339" spans="7:9">
      <c r="G339" s="19">
        <f t="shared" si="19"/>
        <v>87.166666666665463</v>
      </c>
      <c r="H339" s="10">
        <f t="shared" si="18"/>
        <v>0.99398215939372625</v>
      </c>
      <c r="I339" s="5">
        <f t="shared" si="17"/>
        <v>5.3884655830206363</v>
      </c>
    </row>
    <row r="340" spans="7:9">
      <c r="G340" s="19">
        <f t="shared" si="19"/>
        <v>87.249999999998792</v>
      </c>
      <c r="H340" s="10">
        <f t="shared" si="18"/>
        <v>0.99392360999272045</v>
      </c>
      <c r="I340" s="5">
        <f t="shared" si="17"/>
        <v>5.3632303143348912</v>
      </c>
    </row>
    <row r="341" spans="7:9">
      <c r="G341" s="19">
        <f t="shared" si="19"/>
        <v>87.333333333332121</v>
      </c>
      <c r="H341" s="10">
        <f t="shared" si="18"/>
        <v>0.99386449096612772</v>
      </c>
      <c r="I341" s="5">
        <f t="shared" si="17"/>
        <v>5.3380331176308848</v>
      </c>
    </row>
    <row r="342" spans="7:9">
      <c r="G342" s="19">
        <f t="shared" si="19"/>
        <v>87.416666666665449</v>
      </c>
      <c r="H342" s="10">
        <f t="shared" si="18"/>
        <v>0.99380479680666467</v>
      </c>
      <c r="I342" s="5">
        <f t="shared" si="17"/>
        <v>5.3128744906364469</v>
      </c>
    </row>
    <row r="343" spans="7:9">
      <c r="G343" s="19">
        <f t="shared" si="19"/>
        <v>87.499999999998778</v>
      </c>
      <c r="H343" s="10">
        <f t="shared" si="18"/>
        <v>0.99374452195448248</v>
      </c>
      <c r="I343" s="5">
        <f t="shared" si="17"/>
        <v>5.2877549295449207</v>
      </c>
    </row>
    <row r="344" spans="7:9">
      <c r="G344" s="19">
        <f t="shared" si="19"/>
        <v>87.583333333332106</v>
      </c>
      <c r="H344" s="10">
        <f t="shared" si="18"/>
        <v>0.99368366079667847</v>
      </c>
      <c r="I344" s="5">
        <f t="shared" si="17"/>
        <v>5.2626749289734001</v>
      </c>
    </row>
    <row r="345" spans="7:9">
      <c r="G345" s="19">
        <f t="shared" si="19"/>
        <v>87.666666666665435</v>
      </c>
      <c r="H345" s="10">
        <f t="shared" si="18"/>
        <v>0.99362220766680387</v>
      </c>
      <c r="I345" s="5">
        <f t="shared" si="17"/>
        <v>5.2376349819210253</v>
      </c>
    </row>
    <row r="346" spans="7:9">
      <c r="G346" s="19">
        <f t="shared" si="19"/>
        <v>87.749999999998764</v>
      </c>
      <c r="H346" s="10">
        <f t="shared" si="18"/>
        <v>0.99356015684436649</v>
      </c>
      <c r="I346" s="5">
        <f t="shared" si="17"/>
        <v>5.2126355797273538</v>
      </c>
    </row>
    <row r="347" spans="7:9">
      <c r="G347" s="19">
        <f t="shared" si="19"/>
        <v>87.833333333332092</v>
      </c>
      <c r="H347" s="10">
        <f t="shared" si="18"/>
        <v>0.99349750255433056</v>
      </c>
      <c r="I347" s="5">
        <f t="shared" si="17"/>
        <v>5.1876772120308035</v>
      </c>
    </row>
    <row r="348" spans="7:9">
      <c r="G348" s="19">
        <f t="shared" si="19"/>
        <v>87.916666666665421</v>
      </c>
      <c r="H348" s="10">
        <f t="shared" si="18"/>
        <v>0.99343423896660965</v>
      </c>
      <c r="I348" s="5">
        <f t="shared" si="17"/>
        <v>5.1627603667271762</v>
      </c>
    </row>
    <row r="349" spans="7:9">
      <c r="G349" s="19">
        <f t="shared" si="19"/>
        <v>87.999999999998749</v>
      </c>
      <c r="H349" s="10">
        <f t="shared" si="18"/>
        <v>0.99337036019555813</v>
      </c>
      <c r="I349" s="5">
        <f t="shared" si="17"/>
        <v>5.1378855299282815</v>
      </c>
    </row>
    <row r="350" spans="7:9">
      <c r="G350" s="19">
        <f t="shared" si="19"/>
        <v>88.083333333332078</v>
      </c>
      <c r="H350" s="10">
        <f t="shared" si="18"/>
        <v>0.99330586029945589</v>
      </c>
      <c r="I350" s="5">
        <f t="shared" si="17"/>
        <v>5.1130531859206476</v>
      </c>
    </row>
    <row r="351" spans="7:9">
      <c r="G351" s="19">
        <f t="shared" si="19"/>
        <v>88.166666666665407</v>
      </c>
      <c r="H351" s="10">
        <f t="shared" si="18"/>
        <v>0.99324073327998974</v>
      </c>
      <c r="I351" s="5">
        <f t="shared" si="17"/>
        <v>5.0882638171243473</v>
      </c>
    </row>
    <row r="352" spans="7:9">
      <c r="G352" s="19">
        <f t="shared" si="19"/>
        <v>88.249999999998735</v>
      </c>
      <c r="H352" s="10">
        <f t="shared" si="18"/>
        <v>0.99317497308173019</v>
      </c>
      <c r="I352" s="5">
        <f t="shared" si="17"/>
        <v>5.0635179040519285</v>
      </c>
    </row>
    <row r="353" spans="7:9">
      <c r="G353" s="19">
        <f t="shared" si="19"/>
        <v>88.333333333332064</v>
      </c>
      <c r="H353" s="10">
        <f t="shared" si="18"/>
        <v>0.99310857359160354</v>
      </c>
      <c r="I353" s="5">
        <f t="shared" si="17"/>
        <v>5.0388159252674667</v>
      </c>
    </row>
    <row r="354" spans="7:9">
      <c r="G354" s="19">
        <f t="shared" si="19"/>
        <v>88.416666666665392</v>
      </c>
      <c r="H354" s="10">
        <f t="shared" si="18"/>
        <v>0.99304152863835948</v>
      </c>
      <c r="I354" s="5">
        <f t="shared" si="17"/>
        <v>5.0141583573457442</v>
      </c>
    </row>
    <row r="355" spans="7:9">
      <c r="G355" s="19">
        <f t="shared" si="19"/>
        <v>88.499999999998721</v>
      </c>
      <c r="H355" s="10">
        <f t="shared" si="18"/>
        <v>0.99297383199203371</v>
      </c>
      <c r="I355" s="5">
        <f t="shared" si="17"/>
        <v>4.9895456748315627</v>
      </c>
    </row>
    <row r="356" spans="7:9">
      <c r="G356" s="19">
        <f t="shared" si="19"/>
        <v>88.58333333333205</v>
      </c>
      <c r="H356" s="10">
        <f t="shared" si="18"/>
        <v>0.99290547736340684</v>
      </c>
      <c r="I356" s="5">
        <f t="shared" si="17"/>
        <v>4.9649783501991971</v>
      </c>
    </row>
    <row r="357" spans="7:9">
      <c r="G357" s="19">
        <f t="shared" si="19"/>
        <v>88.666666666665378</v>
      </c>
      <c r="H357" s="10">
        <f t="shared" si="18"/>
        <v>0.9928364584034578</v>
      </c>
      <c r="I357" s="5">
        <f t="shared" si="17"/>
        <v>4.9404568538119946</v>
      </c>
    </row>
    <row r="358" spans="7:9">
      <c r="G358" s="19">
        <f t="shared" si="19"/>
        <v>88.749999999998707</v>
      </c>
      <c r="H358" s="10">
        <f t="shared" si="18"/>
        <v>0.99276676870281244</v>
      </c>
      <c r="I358" s="5">
        <f t="shared" si="17"/>
        <v>4.9159816538821319</v>
      </c>
    </row>
    <row r="359" spans="7:9">
      <c r="G359" s="19">
        <f t="shared" si="19"/>
        <v>88.833333333332035</v>
      </c>
      <c r="H359" s="10">
        <f t="shared" si="18"/>
        <v>0.99269640179118879</v>
      </c>
      <c r="I359" s="5">
        <f t="shared" si="17"/>
        <v>4.891553216430534</v>
      </c>
    </row>
    <row r="360" spans="7:9">
      <c r="G360" s="19">
        <f t="shared" si="19"/>
        <v>88.916666666665364</v>
      </c>
      <c r="H360" s="10">
        <f t="shared" si="18"/>
        <v>0.99262535113683592</v>
      </c>
      <c r="I360" s="5">
        <f t="shared" si="17"/>
        <v>4.867172005246962</v>
      </c>
    </row>
    <row r="361" spans="7:9">
      <c r="G361" s="19">
        <f t="shared" si="19"/>
        <v>88.999999999998693</v>
      </c>
      <c r="H361" s="10">
        <f t="shared" si="18"/>
        <v>0.99255361014596821</v>
      </c>
      <c r="I361" s="5">
        <f t="shared" si="17"/>
        <v>4.8428384818502765</v>
      </c>
    </row>
    <row r="362" spans="7:9">
      <c r="G362" s="19">
        <f t="shared" si="19"/>
        <v>89.083333333332021</v>
      </c>
      <c r="H362" s="10">
        <f t="shared" si="18"/>
        <v>0.99248117216219633</v>
      </c>
      <c r="I362" s="5">
        <f t="shared" si="17"/>
        <v>4.8185531054488875</v>
      </c>
    </row>
    <row r="363" spans="7:9">
      <c r="G363" s="19">
        <f t="shared" si="19"/>
        <v>89.16666666666535</v>
      </c>
      <c r="H363" s="10">
        <f t="shared" si="18"/>
        <v>0.99240803046595172</v>
      </c>
      <c r="I363" s="5">
        <f t="shared" si="17"/>
        <v>4.7943163329013956</v>
      </c>
    </row>
    <row r="364" spans="7:9">
      <c r="G364" s="19">
        <f t="shared" si="19"/>
        <v>89.249999999998678</v>
      </c>
      <c r="H364" s="10">
        <f t="shared" si="18"/>
        <v>0.99233417827390635</v>
      </c>
      <c r="I364" s="5">
        <f t="shared" si="17"/>
        <v>4.7701286186774219</v>
      </c>
    </row>
    <row r="365" spans="7:9">
      <c r="G365" s="19">
        <f t="shared" si="19"/>
        <v>89.333333333332007</v>
      </c>
      <c r="H365" s="10">
        <f t="shared" si="18"/>
        <v>0.9922596087383887</v>
      </c>
      <c r="I365" s="5">
        <f t="shared" si="17"/>
        <v>4.7459904148186611</v>
      </c>
    </row>
    <row r="366" spans="7:9">
      <c r="G366" s="19">
        <f t="shared" si="19"/>
        <v>89.416666666665336</v>
      </c>
      <c r="H366" s="10">
        <f t="shared" si="18"/>
        <v>0.9921843149467936</v>
      </c>
      <c r="I366" s="5">
        <f t="shared" si="17"/>
        <v>4.7219021709001314</v>
      </c>
    </row>
    <row r="367" spans="7:9">
      <c r="G367" s="19">
        <f t="shared" si="19"/>
        <v>89.499999999998664</v>
      </c>
      <c r="H367" s="10">
        <f t="shared" si="18"/>
        <v>0.99210828992098754</v>
      </c>
      <c r="I367" s="5">
        <f t="shared" si="17"/>
        <v>4.6978643339916495</v>
      </c>
    </row>
    <row r="368" spans="7:9">
      <c r="G368" s="19">
        <f t="shared" si="19"/>
        <v>89.583333333331993</v>
      </c>
      <c r="H368" s="10">
        <f t="shared" si="18"/>
        <v>0.99203152661670879</v>
      </c>
      <c r="I368" s="5">
        <f t="shared" si="17"/>
        <v>4.6738773486195324</v>
      </c>
    </row>
    <row r="369" spans="7:9">
      <c r="G369" s="19">
        <f t="shared" si="19"/>
        <v>89.666666666665321</v>
      </c>
      <c r="H369" s="10">
        <f t="shared" si="18"/>
        <v>0.99195401792296278</v>
      </c>
      <c r="I369" s="5">
        <f t="shared" si="17"/>
        <v>4.6499416567285357</v>
      </c>
    </row>
    <row r="370" spans="7:9">
      <c r="G370" s="19">
        <f t="shared" si="19"/>
        <v>89.74999999999865</v>
      </c>
      <c r="H370" s="10">
        <f t="shared" si="18"/>
        <v>0.99187575666141226</v>
      </c>
      <c r="I370" s="5">
        <f t="shared" si="17"/>
        <v>4.6260576976440291</v>
      </c>
    </row>
    <row r="371" spans="7:9">
      <c r="G371" s="19">
        <f t="shared" si="19"/>
        <v>89.833333333331979</v>
      </c>
      <c r="H371" s="10">
        <f t="shared" si="18"/>
        <v>0.99179673558576176</v>
      </c>
      <c r="I371" s="5">
        <f t="shared" si="17"/>
        <v>4.602225908034419</v>
      </c>
    </row>
    <row r="372" spans="7:9">
      <c r="G372" s="19">
        <f t="shared" si="19"/>
        <v>89.916666666665307</v>
      </c>
      <c r="H372" s="10">
        <f t="shared" si="18"/>
        <v>0.99171694738113791</v>
      </c>
      <c r="I372" s="5">
        <f t="shared" si="17"/>
        <v>4.5784467218738305</v>
      </c>
    </row>
    <row r="373" spans="7:9">
      <c r="G373" s="19">
        <f t="shared" si="19"/>
        <v>89.999999999998636</v>
      </c>
      <c r="H373" s="10">
        <f t="shared" si="18"/>
        <v>0.99163638466346393</v>
      </c>
      <c r="I373" s="5">
        <f t="shared" si="17"/>
        <v>4.5547205704050473</v>
      </c>
    </row>
    <row r="374" spans="7:9">
      <c r="G374" s="19">
        <f t="shared" si="19"/>
        <v>90.083333333331964</v>
      </c>
      <c r="H374" s="10">
        <f t="shared" si="18"/>
        <v>0.99155503997882866</v>
      </c>
      <c r="I374" s="5">
        <f t="shared" si="17"/>
        <v>4.5310478821027234</v>
      </c>
    </row>
    <row r="375" spans="7:9">
      <c r="G375" s="19">
        <f t="shared" si="19"/>
        <v>90.166666666665293</v>
      </c>
      <c r="H375" s="10">
        <f t="shared" si="18"/>
        <v>0.99147290580285097</v>
      </c>
      <c r="I375" s="5">
        <f t="shared" si="17"/>
        <v>4.5074290826368708</v>
      </c>
    </row>
    <row r="376" spans="7:9">
      <c r="G376" s="19">
        <f t="shared" si="19"/>
        <v>90.249999999998622</v>
      </c>
      <c r="H376" s="10">
        <f t="shared" si="18"/>
        <v>0.99138997454003841</v>
      </c>
      <c r="I376" s="5">
        <f t="shared" si="17"/>
        <v>4.4838645948366258</v>
      </c>
    </row>
    <row r="377" spans="7:9">
      <c r="G377" s="19">
        <f t="shared" si="19"/>
        <v>90.33333333333195</v>
      </c>
      <c r="H377" s="10">
        <f t="shared" si="18"/>
        <v>0.9913062385231407</v>
      </c>
      <c r="I377" s="5">
        <f t="shared" si="17"/>
        <v>4.4603548386543093</v>
      </c>
    </row>
    <row r="378" spans="7:9">
      <c r="G378" s="19">
        <f t="shared" si="19"/>
        <v>90.416666666665279</v>
      </c>
      <c r="H378" s="10">
        <f t="shared" si="18"/>
        <v>0.99122169001249771</v>
      </c>
      <c r="I378" s="5">
        <f t="shared" si="17"/>
        <v>4.4369002311297843</v>
      </c>
    </row>
    <row r="379" spans="7:9">
      <c r="G379" s="19">
        <f t="shared" si="19"/>
        <v>90.499999999998607</v>
      </c>
      <c r="H379" s="10">
        <f t="shared" si="18"/>
        <v>0.99113632119538253</v>
      </c>
      <c r="I379" s="5">
        <f t="shared" si="17"/>
        <v>4.4135011863551128</v>
      </c>
    </row>
    <row r="380" spans="7:9">
      <c r="G380" s="19">
        <f t="shared" si="19"/>
        <v>90.583333333331936</v>
      </c>
      <c r="H380" s="10">
        <f t="shared" si="18"/>
        <v>0.991050124185338</v>
      </c>
      <c r="I380" s="5">
        <f t="shared" si="17"/>
        <v>4.3901581154395268</v>
      </c>
    </row>
    <row r="381" spans="7:9">
      <c r="G381" s="19">
        <f t="shared" si="19"/>
        <v>90.666666666665265</v>
      </c>
      <c r="H381" s="10">
        <f t="shared" si="18"/>
        <v>0.99096309102150926</v>
      </c>
      <c r="I381" s="5">
        <f t="shared" si="17"/>
        <v>4.366871426474713</v>
      </c>
    </row>
    <row r="382" spans="7:9">
      <c r="G382" s="19">
        <f t="shared" si="19"/>
        <v>90.749999999998593</v>
      </c>
      <c r="H382" s="10">
        <f t="shared" si="18"/>
        <v>0.99087521366796949</v>
      </c>
      <c r="I382" s="5">
        <f t="shared" si="17"/>
        <v>4.3436415245004225</v>
      </c>
    </row>
    <row r="383" spans="7:9">
      <c r="G383" s="19">
        <f t="shared" si="19"/>
        <v>90.833333333331922</v>
      </c>
      <c r="H383" s="10">
        <f t="shared" si="18"/>
        <v>0.99078648401304092</v>
      </c>
      <c r="I383" s="5">
        <f t="shared" si="17"/>
        <v>4.32046881147041</v>
      </c>
    </row>
    <row r="384" spans="7:9">
      <c r="G384" s="19">
        <f t="shared" si="19"/>
        <v>90.91666666666525</v>
      </c>
      <c r="H384" s="10">
        <f t="shared" si="18"/>
        <v>0.99069689386860971</v>
      </c>
      <c r="I384" s="5">
        <f t="shared" si="17"/>
        <v>4.2973536862187123</v>
      </c>
    </row>
    <row r="385" spans="7:9">
      <c r="G385" s="19">
        <f t="shared" si="19"/>
        <v>90.999999999998579</v>
      </c>
      <c r="H385" s="10">
        <f t="shared" si="18"/>
        <v>0.9906064349694359</v>
      </c>
      <c r="I385" s="5">
        <f t="shared" si="17"/>
        <v>4.2742965444262655</v>
      </c>
    </row>
    <row r="386" spans="7:9">
      <c r="G386" s="19">
        <f t="shared" si="19"/>
        <v>91.083333333331908</v>
      </c>
      <c r="H386" s="10">
        <f t="shared" si="18"/>
        <v>0.99051509897245693</v>
      </c>
      <c r="I386" s="5">
        <f t="shared" si="17"/>
        <v>4.2512977785878778</v>
      </c>
    </row>
    <row r="387" spans="7:9">
      <c r="G387" s="19">
        <f t="shared" si="19"/>
        <v>91.166666666665236</v>
      </c>
      <c r="H387" s="10">
        <f t="shared" si="18"/>
        <v>0.99042287745608615</v>
      </c>
      <c r="I387" s="5">
        <f t="shared" si="17"/>
        <v>4.2283577779795518</v>
      </c>
    </row>
    <row r="388" spans="7:9">
      <c r="G388" s="19">
        <f t="shared" si="19"/>
        <v>91.249999999998565</v>
      </c>
      <c r="H388" s="10">
        <f t="shared" si="18"/>
        <v>0.99032976191950528</v>
      </c>
      <c r="I388" s="5">
        <f t="shared" si="17"/>
        <v>4.2054769286261724</v>
      </c>
    </row>
    <row r="389" spans="7:9">
      <c r="G389" s="19">
        <f t="shared" si="19"/>
        <v>91.333333333331893</v>
      </c>
      <c r="H389" s="10">
        <f t="shared" si="18"/>
        <v>0.99023574378195089</v>
      </c>
      <c r="I389" s="5">
        <f t="shared" si="17"/>
        <v>4.1826556132695671</v>
      </c>
    </row>
    <row r="390" spans="7:9">
      <c r="G390" s="19">
        <f t="shared" si="19"/>
        <v>91.416666666665222</v>
      </c>
      <c r="H390" s="10">
        <f t="shared" si="18"/>
        <v>0.99014081438199608</v>
      </c>
      <c r="I390" s="5">
        <f t="shared" si="17"/>
        <v>4.1598942113369342</v>
      </c>
    </row>
    <row r="391" spans="7:9">
      <c r="G391" s="19">
        <f t="shared" si="19"/>
        <v>91.49999999999855</v>
      </c>
      <c r="H391" s="10">
        <f t="shared" si="18"/>
        <v>0.99004496497682515</v>
      </c>
      <c r="I391" s="5">
        <f t="shared" si="17"/>
        <v>4.1371930989096581</v>
      </c>
    </row>
    <row r="392" spans="7:9">
      <c r="G392" s="19">
        <f t="shared" si="19"/>
        <v>91.583333333331879</v>
      </c>
      <c r="H392" s="10">
        <f t="shared" si="18"/>
        <v>0.98994818674150298</v>
      </c>
      <c r="I392" s="5">
        <f t="shared" si="17"/>
        <v>4.1145526486925084</v>
      </c>
    </row>
    <row r="393" spans="7:9">
      <c r="G393" s="19">
        <f t="shared" si="19"/>
        <v>91.666666666665208</v>
      </c>
      <c r="H393" s="10">
        <f t="shared" si="18"/>
        <v>0.98985047076823851</v>
      </c>
      <c r="I393" s="5">
        <f t="shared" si="17"/>
        <v>4.0919732299832337</v>
      </c>
    </row>
    <row r="394" spans="7:9">
      <c r="G394" s="19">
        <f t="shared" si="19"/>
        <v>91.749999999998536</v>
      </c>
      <c r="H394" s="10">
        <f t="shared" si="18"/>
        <v>0.98975180806564322</v>
      </c>
      <c r="I394" s="5">
        <f t="shared" si="17"/>
        <v>4.0694552086425571</v>
      </c>
    </row>
    <row r="395" spans="7:9">
      <c r="G395" s="19">
        <f t="shared" si="19"/>
        <v>91.833333333331865</v>
      </c>
      <c r="H395" s="10">
        <f t="shared" si="18"/>
        <v>0.98965218955798095</v>
      </c>
      <c r="I395" s="5">
        <f t="shared" si="17"/>
        <v>4.0469989470645684</v>
      </c>
    </row>
    <row r="396" spans="7:9">
      <c r="G396" s="19">
        <f t="shared" si="19"/>
        <v>91.916666666665193</v>
      </c>
      <c r="H396" s="10">
        <f t="shared" si="18"/>
        <v>0.9895516060844155</v>
      </c>
      <c r="I396" s="5">
        <f t="shared" si="17"/>
        <v>4.0246048041475415</v>
      </c>
    </row>
    <row r="397" spans="7:9">
      <c r="G397" s="19">
        <f t="shared" si="19"/>
        <v>91.999999999998522</v>
      </c>
      <c r="H397" s="10">
        <f t="shared" si="18"/>
        <v>0.98945004839824924</v>
      </c>
      <c r="I397" s="5">
        <f t="shared" ref="I397:I460" si="20">(1/12)+H397*I398/((1+B$3)^(1/12))</f>
        <v>4.0022731352651526</v>
      </c>
    </row>
    <row r="398" spans="7:9">
      <c r="G398" s="19">
        <f t="shared" si="19"/>
        <v>92.083333333331851</v>
      </c>
      <c r="H398" s="10">
        <f t="shared" ref="H398:H461" si="21">(H$9^(1/12))*H$10^((H$8^(G398))*((H$8^(1/12))-1))</f>
        <v>0.98934750716615627</v>
      </c>
      <c r="I398" s="5">
        <f t="shared" si="20"/>
        <v>3.9800042922381307</v>
      </c>
    </row>
    <row r="399" spans="7:9">
      <c r="G399" s="19">
        <f t="shared" ref="G399:G462" si="22">G398+1/12</f>
        <v>92.166666666665179</v>
      </c>
      <c r="H399" s="10">
        <f t="shared" si="21"/>
        <v>0.98924397296741151</v>
      </c>
      <c r="I399" s="5">
        <f t="shared" si="20"/>
        <v>3.9577986233063376</v>
      </c>
    </row>
    <row r="400" spans="7:9">
      <c r="G400" s="19">
        <f t="shared" si="22"/>
        <v>92.249999999998508</v>
      </c>
      <c r="H400" s="10">
        <f t="shared" si="21"/>
        <v>0.98913943629311074</v>
      </c>
      <c r="I400" s="5">
        <f t="shared" si="20"/>
        <v>3.9356564731012735</v>
      </c>
    </row>
    <row r="401" spans="7:9">
      <c r="G401" s="19">
        <f t="shared" si="22"/>
        <v>92.333333333331836</v>
      </c>
      <c r="H401" s="10">
        <f t="shared" si="21"/>
        <v>0.98903388754538668</v>
      </c>
      <c r="I401" s="5">
        <f t="shared" si="20"/>
        <v>3.9135781826190277</v>
      </c>
    </row>
    <row r="402" spans="7:9">
      <c r="G402" s="19">
        <f t="shared" si="22"/>
        <v>92.416666666665165</v>
      </c>
      <c r="H402" s="10">
        <f t="shared" si="21"/>
        <v>0.98892731703661774</v>
      </c>
      <c r="I402" s="5">
        <f t="shared" si="20"/>
        <v>3.89156408919367</v>
      </c>
    </row>
    <row r="403" spans="7:9">
      <c r="G403" s="19">
        <f t="shared" si="22"/>
        <v>92.499999999998494</v>
      </c>
      <c r="H403" s="10">
        <f t="shared" si="21"/>
        <v>0.9888197149886313</v>
      </c>
      <c r="I403" s="5">
        <f t="shared" si="20"/>
        <v>3.8696145264710942</v>
      </c>
    </row>
    <row r="404" spans="7:9">
      <c r="G404" s="19">
        <f t="shared" si="22"/>
        <v>92.583333333331822</v>
      </c>
      <c r="H404" s="10">
        <f t="shared" si="21"/>
        <v>0.98871107153190008</v>
      </c>
      <c r="I404" s="5">
        <f t="shared" si="20"/>
        <v>3.8477298243833151</v>
      </c>
    </row>
    <row r="405" spans="7:9">
      <c r="G405" s="19">
        <f t="shared" si="22"/>
        <v>92.666666666665151</v>
      </c>
      <c r="H405" s="10">
        <f t="shared" si="21"/>
        <v>0.98860137670473303</v>
      </c>
      <c r="I405" s="5">
        <f t="shared" si="20"/>
        <v>3.8259103091232256</v>
      </c>
    </row>
    <row r="406" spans="7:9">
      <c r="G406" s="19">
        <f t="shared" si="22"/>
        <v>92.749999999998479</v>
      </c>
      <c r="H406" s="10">
        <f t="shared" si="21"/>
        <v>0.98849062045245906</v>
      </c>
      <c r="I406" s="5">
        <f t="shared" si="20"/>
        <v>3.8041563031198162</v>
      </c>
    </row>
    <row r="407" spans="7:9">
      <c r="G407" s="19">
        <f t="shared" si="22"/>
        <v>92.833333333331808</v>
      </c>
      <c r="H407" s="10">
        <f t="shared" si="21"/>
        <v>0.98837879262660522</v>
      </c>
      <c r="I407" s="5">
        <f t="shared" si="20"/>
        <v>3.7824681250138688</v>
      </c>
    </row>
    <row r="408" spans="7:9">
      <c r="G408" s="19">
        <f t="shared" si="22"/>
        <v>92.916666666665137</v>
      </c>
      <c r="H408" s="10">
        <f t="shared" si="21"/>
        <v>0.98826588298406814</v>
      </c>
      <c r="I408" s="5">
        <f t="shared" si="20"/>
        <v>3.7608460896341187</v>
      </c>
    </row>
    <row r="409" spans="7:9">
      <c r="G409" s="19">
        <f t="shared" si="22"/>
        <v>92.999999999998465</v>
      </c>
      <c r="H409" s="10">
        <f t="shared" si="21"/>
        <v>0.98815188118627906</v>
      </c>
      <c r="I409" s="5">
        <f t="shared" si="20"/>
        <v>3.7392905079739025</v>
      </c>
    </row>
    <row r="410" spans="7:9">
      <c r="G410" s="19">
        <f t="shared" si="22"/>
        <v>93.083333333331794</v>
      </c>
      <c r="H410" s="10">
        <f t="shared" si="21"/>
        <v>0.98803677679836244</v>
      </c>
      <c r="I410" s="5">
        <f t="shared" si="20"/>
        <v>3.7178016871682829</v>
      </c>
    </row>
    <row r="411" spans="7:9">
      <c r="G411" s="19">
        <f t="shared" si="22"/>
        <v>93.166666666665122</v>
      </c>
      <c r="H411" s="10">
        <f t="shared" si="21"/>
        <v>0.98792055928828892</v>
      </c>
      <c r="I411" s="5">
        <f t="shared" si="20"/>
        <v>3.6963799304716658</v>
      </c>
    </row>
    <row r="412" spans="7:9">
      <c r="G412" s="19">
        <f t="shared" si="22"/>
        <v>93.249999999998451</v>
      </c>
      <c r="H412" s="10">
        <f t="shared" si="21"/>
        <v>0.98780321802602</v>
      </c>
      <c r="I412" s="5">
        <f t="shared" si="20"/>
        <v>3.6750255372359089</v>
      </c>
    </row>
    <row r="413" spans="7:9">
      <c r="G413" s="19">
        <f t="shared" si="22"/>
        <v>93.33333333333178</v>
      </c>
      <c r="H413" s="10">
        <f t="shared" si="21"/>
        <v>0.98768474228264824</v>
      </c>
      <c r="I413" s="5">
        <f t="shared" si="20"/>
        <v>3.6537388028889266</v>
      </c>
    </row>
    <row r="414" spans="7:9">
      <c r="G414" s="19">
        <f t="shared" si="22"/>
        <v>93.416666666665108</v>
      </c>
      <c r="H414" s="10">
        <f t="shared" si="21"/>
        <v>0.98756512122952977</v>
      </c>
      <c r="I414" s="5">
        <f t="shared" si="20"/>
        <v>3.6325200189137949</v>
      </c>
    </row>
    <row r="415" spans="7:9">
      <c r="G415" s="19">
        <f t="shared" si="22"/>
        <v>93.499999999998437</v>
      </c>
      <c r="H415" s="10">
        <f t="shared" si="21"/>
        <v>0.98744434393741043</v>
      </c>
      <c r="I415" s="5">
        <f t="shared" si="20"/>
        <v>3.6113694728283643</v>
      </c>
    </row>
    <row r="416" spans="7:9">
      <c r="G416" s="19">
        <f t="shared" si="22"/>
        <v>93.583333333331765</v>
      </c>
      <c r="H416" s="10">
        <f t="shared" si="21"/>
        <v>0.98732239937554589</v>
      </c>
      <c r="I416" s="5">
        <f t="shared" si="20"/>
        <v>3.5902874481653773</v>
      </c>
    </row>
    <row r="417" spans="7:9">
      <c r="G417" s="19">
        <f t="shared" si="22"/>
        <v>93.666666666665094</v>
      </c>
      <c r="H417" s="10">
        <f t="shared" si="21"/>
        <v>0.98719927641081373</v>
      </c>
      <c r="I417" s="5">
        <f t="shared" si="20"/>
        <v>3.5692742244531015</v>
      </c>
    </row>
    <row r="418" spans="7:9">
      <c r="G418" s="19">
        <f t="shared" si="22"/>
        <v>93.749999999998423</v>
      </c>
      <c r="H418" s="10">
        <f t="shared" si="21"/>
        <v>0.9870749638068208</v>
      </c>
      <c r="I418" s="5">
        <f t="shared" si="20"/>
        <v>3.548330077196479</v>
      </c>
    </row>
    <row r="419" spans="7:9">
      <c r="G419" s="19">
        <f t="shared" si="22"/>
        <v>93.833333333331751</v>
      </c>
      <c r="H419" s="10">
        <f t="shared" si="21"/>
        <v>0.98694945022300296</v>
      </c>
      <c r="I419" s="5">
        <f t="shared" si="20"/>
        <v>3.527455277858794</v>
      </c>
    </row>
    <row r="420" spans="7:9">
      <c r="G420" s="19">
        <f t="shared" si="22"/>
        <v>93.91666666666508</v>
      </c>
      <c r="H420" s="10">
        <f t="shared" si="21"/>
        <v>0.9868227242137172</v>
      </c>
      <c r="I420" s="5">
        <f t="shared" si="20"/>
        <v>3.5066500938438665</v>
      </c>
    </row>
    <row r="421" spans="7:9">
      <c r="G421" s="19">
        <f t="shared" si="22"/>
        <v>93.999999999998408</v>
      </c>
      <c r="H421" s="10">
        <f t="shared" si="21"/>
        <v>0.9866947742273291</v>
      </c>
      <c r="I421" s="5">
        <f t="shared" si="20"/>
        <v>3.4859147884787709</v>
      </c>
    </row>
    <row r="422" spans="7:9">
      <c r="G422" s="19">
        <f t="shared" si="22"/>
        <v>94.083333333331737</v>
      </c>
      <c r="H422" s="10">
        <f t="shared" si="21"/>
        <v>0.98656558860529198</v>
      </c>
      <c r="I422" s="5">
        <f t="shared" si="20"/>
        <v>3.4652496209970849</v>
      </c>
    </row>
    <row r="423" spans="7:9">
      <c r="G423" s="19">
        <f t="shared" si="22"/>
        <v>94.166666666665066</v>
      </c>
      <c r="H423" s="10">
        <f t="shared" si="21"/>
        <v>0.98643515558121986</v>
      </c>
      <c r="I423" s="5">
        <f t="shared" si="20"/>
        <v>3.4446548465226727</v>
      </c>
    </row>
    <row r="424" spans="7:9">
      <c r="G424" s="19">
        <f t="shared" si="22"/>
        <v>94.249999999998394</v>
      </c>
      <c r="H424" s="10">
        <f t="shared" si="21"/>
        <v>0.98630346327995322</v>
      </c>
      <c r="I424" s="5">
        <f t="shared" si="20"/>
        <v>3.4241307160540027</v>
      </c>
    </row>
    <row r="425" spans="7:9">
      <c r="G425" s="19">
        <f t="shared" si="22"/>
        <v>94.333333333331723</v>
      </c>
      <c r="H425" s="10">
        <f t="shared" si="21"/>
        <v>0.98617049971661908</v>
      </c>
      <c r="I425" s="5">
        <f t="shared" si="20"/>
        <v>3.4036774764490079</v>
      </c>
    </row>
    <row r="426" spans="7:9">
      <c r="G426" s="19">
        <f t="shared" si="22"/>
        <v>94.416666666665051</v>
      </c>
      <c r="H426" s="10">
        <f t="shared" si="21"/>
        <v>0.98603625279568263</v>
      </c>
      <c r="I426" s="5">
        <f t="shared" si="20"/>
        <v>3.383295370410484</v>
      </c>
    </row>
    <row r="427" spans="7:9">
      <c r="G427" s="19">
        <f t="shared" si="22"/>
        <v>94.49999999999838</v>
      </c>
      <c r="H427" s="10">
        <f t="shared" si="21"/>
        <v>0.98590071030999349</v>
      </c>
      <c r="I427" s="5">
        <f t="shared" si="20"/>
        <v>3.3629846364720346</v>
      </c>
    </row>
    <row r="428" spans="7:9">
      <c r="G428" s="19">
        <f t="shared" si="22"/>
        <v>94.583333333331709</v>
      </c>
      <c r="H428" s="10">
        <f t="shared" si="21"/>
        <v>0.98576385993982396</v>
      </c>
      <c r="I428" s="5">
        <f t="shared" si="20"/>
        <v>3.3427455089845637</v>
      </c>
    </row>
    <row r="429" spans="7:9">
      <c r="G429" s="19">
        <f t="shared" si="22"/>
        <v>94.666666666665037</v>
      </c>
      <c r="H429" s="10">
        <f t="shared" si="21"/>
        <v>0.98562568925190119</v>
      </c>
      <c r="I429" s="5">
        <f t="shared" si="20"/>
        <v>3.3225782181033163</v>
      </c>
    </row>
    <row r="430" spans="7:9">
      <c r="G430" s="19">
        <f t="shared" si="22"/>
        <v>94.749999999998366</v>
      </c>
      <c r="H430" s="10">
        <f t="shared" si="21"/>
        <v>0.98548618569843227</v>
      </c>
      <c r="I430" s="5">
        <f t="shared" si="20"/>
        <v>3.3024829897754726</v>
      </c>
    </row>
    <row r="431" spans="7:9">
      <c r="G431" s="19">
        <f t="shared" si="22"/>
        <v>94.833333333331694</v>
      </c>
      <c r="H431" s="10">
        <f t="shared" si="21"/>
        <v>0.98534533661612189</v>
      </c>
      <c r="I431" s="5">
        <f t="shared" si="20"/>
        <v>3.282460045728294</v>
      </c>
    </row>
    <row r="432" spans="7:9">
      <c r="G432" s="19">
        <f t="shared" si="22"/>
        <v>94.916666666665023</v>
      </c>
      <c r="H432" s="10">
        <f t="shared" si="21"/>
        <v>0.98520312922518372</v>
      </c>
      <c r="I432" s="5">
        <f t="shared" si="20"/>
        <v>3.2625096034578269</v>
      </c>
    </row>
    <row r="433" spans="7:9">
      <c r="G433" s="19">
        <f t="shared" si="22"/>
        <v>94.999999999998352</v>
      </c>
      <c r="H433" s="10">
        <f t="shared" si="21"/>
        <v>0.98505955062834438</v>
      </c>
      <c r="I433" s="5">
        <f t="shared" si="20"/>
        <v>3.2426318762181636</v>
      </c>
    </row>
    <row r="434" spans="7:9">
      <c r="G434" s="19">
        <f t="shared" si="22"/>
        <v>95.08333333333168</v>
      </c>
      <c r="H434" s="10">
        <f t="shared" si="21"/>
        <v>0.98491458780984065</v>
      </c>
      <c r="I434" s="5">
        <f t="shared" si="20"/>
        <v>3.2228270730112625</v>
      </c>
    </row>
    <row r="435" spans="7:9">
      <c r="G435" s="19">
        <f t="shared" si="22"/>
        <v>95.166666666665009</v>
      </c>
      <c r="H435" s="10">
        <f t="shared" si="21"/>
        <v>0.98476822763440963</v>
      </c>
      <c r="I435" s="5">
        <f t="shared" si="20"/>
        <v>3.2030953985773309</v>
      </c>
    </row>
    <row r="436" spans="7:9">
      <c r="G436" s="19">
        <f t="shared" si="22"/>
        <v>95.249999999998337</v>
      </c>
      <c r="H436" s="10">
        <f t="shared" si="21"/>
        <v>0.98462045684627175</v>
      </c>
      <c r="I436" s="5">
        <f t="shared" si="20"/>
        <v>3.1834370533857697</v>
      </c>
    </row>
    <row r="437" spans="7:9">
      <c r="G437" s="19">
        <f t="shared" si="22"/>
        <v>95.333333333331666</v>
      </c>
      <c r="H437" s="10">
        <f t="shared" si="21"/>
        <v>0.9844712620681072</v>
      </c>
      <c r="I437" s="5">
        <f t="shared" si="20"/>
        <v>3.1638522336266806</v>
      </c>
    </row>
    <row r="438" spans="7:9">
      <c r="G438" s="19">
        <f t="shared" si="22"/>
        <v>95.416666666664995</v>
      </c>
      <c r="H438" s="10">
        <f t="shared" si="21"/>
        <v>0.98432062980002477</v>
      </c>
      <c r="I438" s="5">
        <f t="shared" si="20"/>
        <v>3.1443411312029421</v>
      </c>
    </row>
    <row r="439" spans="7:9">
      <c r="G439" s="19">
        <f t="shared" si="22"/>
        <v>95.499999999998323</v>
      </c>
      <c r="H439" s="10">
        <f t="shared" si="21"/>
        <v>0.98416854641852358</v>
      </c>
      <c r="I439" s="5">
        <f t="shared" si="20"/>
        <v>3.1249039337228477</v>
      </c>
    </row>
    <row r="440" spans="7:9">
      <c r="G440" s="19">
        <f t="shared" si="22"/>
        <v>95.583333333331652</v>
      </c>
      <c r="H440" s="10">
        <f t="shared" si="21"/>
        <v>0.98401499817544891</v>
      </c>
      <c r="I440" s="5">
        <f t="shared" si="20"/>
        <v>3.1055408244933171</v>
      </c>
    </row>
    <row r="441" spans="7:9">
      <c r="G441" s="19">
        <f t="shared" si="22"/>
        <v>95.66666666666498</v>
      </c>
      <c r="H441" s="10">
        <f t="shared" si="21"/>
        <v>0.98385997119693913</v>
      </c>
      <c r="I441" s="5">
        <f t="shared" si="20"/>
        <v>3.0862519825136689</v>
      </c>
    </row>
    <row r="442" spans="7:9">
      <c r="G442" s="19">
        <f t="shared" si="22"/>
        <v>95.749999999998309</v>
      </c>
      <c r="H442" s="10">
        <f t="shared" si="21"/>
        <v>0.98370345148236704</v>
      </c>
      <c r="I442" s="5">
        <f t="shared" si="20"/>
        <v>3.0670375824699678</v>
      </c>
    </row>
    <row r="443" spans="7:9">
      <c r="G443" s="19">
        <f t="shared" si="22"/>
        <v>95.833333333331638</v>
      </c>
      <c r="H443" s="10">
        <f t="shared" si="21"/>
        <v>0.98354542490327357</v>
      </c>
      <c r="I443" s="5">
        <f t="shared" si="20"/>
        <v>3.0478977947299386</v>
      </c>
    </row>
    <row r="444" spans="7:9">
      <c r="G444" s="19">
        <f t="shared" si="22"/>
        <v>95.916666666664966</v>
      </c>
      <c r="H444" s="10">
        <f t="shared" si="21"/>
        <v>0.98338587720229442</v>
      </c>
      <c r="I444" s="5">
        <f t="shared" si="20"/>
        <v>3.0288327853384507</v>
      </c>
    </row>
    <row r="445" spans="7:9">
      <c r="G445" s="19">
        <f t="shared" si="22"/>
        <v>95.999999999998295</v>
      </c>
      <c r="H445" s="10">
        <f t="shared" si="21"/>
        <v>0.98322479399207907</v>
      </c>
      <c r="I445" s="5">
        <f t="shared" si="20"/>
        <v>3.0098427160135719</v>
      </c>
    </row>
    <row r="446" spans="7:9">
      <c r="G446" s="19">
        <f t="shared" si="22"/>
        <v>96.083333333331623</v>
      </c>
      <c r="H446" s="10">
        <f t="shared" si="21"/>
        <v>0.98306216075420416</v>
      </c>
      <c r="I446" s="5">
        <f t="shared" si="20"/>
        <v>2.9909277441431938</v>
      </c>
    </row>
    <row r="447" spans="7:9">
      <c r="G447" s="19">
        <f t="shared" si="22"/>
        <v>96.166666666664952</v>
      </c>
      <c r="H447" s="10">
        <f t="shared" si="21"/>
        <v>0.98289796283807751</v>
      </c>
      <c r="I447" s="5">
        <f t="shared" si="20"/>
        <v>2.9720880227822271</v>
      </c>
    </row>
    <row r="448" spans="7:9">
      <c r="G448" s="19">
        <f t="shared" si="22"/>
        <v>96.24999999999828</v>
      </c>
      <c r="H448" s="10">
        <f t="shared" si="21"/>
        <v>0.98273218545983732</v>
      </c>
      <c r="I448" s="5">
        <f t="shared" si="20"/>
        <v>2.9533237006503672</v>
      </c>
    </row>
    <row r="449" spans="7:9">
      <c r="G449" s="19">
        <f t="shared" si="22"/>
        <v>96.333333333331609</v>
      </c>
      <c r="H449" s="10">
        <f t="shared" si="21"/>
        <v>0.98256481370124282</v>
      </c>
      <c r="I449" s="5">
        <f t="shared" si="20"/>
        <v>2.9346349221304298</v>
      </c>
    </row>
    <row r="450" spans="7:9">
      <c r="G450" s="19">
        <f t="shared" si="22"/>
        <v>96.416666666664938</v>
      </c>
      <c r="H450" s="10">
        <f t="shared" si="21"/>
        <v>0.98239583250855822</v>
      </c>
      <c r="I450" s="5">
        <f t="shared" si="20"/>
        <v>2.9160218272672558</v>
      </c>
    </row>
    <row r="451" spans="7:9">
      <c r="G451" s="19">
        <f t="shared" si="22"/>
        <v>96.499999999998266</v>
      </c>
      <c r="H451" s="10">
        <f t="shared" si="21"/>
        <v>0.98222522669142942</v>
      </c>
      <c r="I451" s="5">
        <f t="shared" si="20"/>
        <v>2.8974845517671857</v>
      </c>
    </row>
    <row r="452" spans="7:9">
      <c r="G452" s="19">
        <f t="shared" si="22"/>
        <v>96.583333333331595</v>
      </c>
      <c r="H452" s="10">
        <f t="shared" si="21"/>
        <v>0.98205298092175397</v>
      </c>
      <c r="I452" s="5">
        <f t="shared" si="20"/>
        <v>2.8790232269981013</v>
      </c>
    </row>
    <row r="453" spans="7:9">
      <c r="G453" s="19">
        <f t="shared" si="22"/>
        <v>96.666666666664923</v>
      </c>
      <c r="H453" s="10">
        <f t="shared" si="21"/>
        <v>0.98187907973254307</v>
      </c>
      <c r="I453" s="5">
        <f t="shared" si="20"/>
        <v>2.8606379799900363</v>
      </c>
    </row>
    <row r="454" spans="7:9">
      <c r="G454" s="19">
        <f t="shared" si="22"/>
        <v>96.749999999998252</v>
      </c>
      <c r="H454" s="10">
        <f t="shared" si="21"/>
        <v>0.98170350751677771</v>
      </c>
      <c r="I454" s="5">
        <f t="shared" si="20"/>
        <v>2.8423289334363528</v>
      </c>
    </row>
    <row r="455" spans="7:9">
      <c r="G455" s="19">
        <f t="shared" si="22"/>
        <v>96.833333333331581</v>
      </c>
      <c r="H455" s="10">
        <f t="shared" si="21"/>
        <v>0.98152624852625636</v>
      </c>
      <c r="I455" s="5">
        <f t="shared" si="20"/>
        <v>2.8240962056954837</v>
      </c>
    </row>
    <row r="456" spans="7:9">
      <c r="G456" s="19">
        <f t="shared" si="22"/>
        <v>96.916666666664909</v>
      </c>
      <c r="H456" s="10">
        <f t="shared" si="21"/>
        <v>0.98134728687043693</v>
      </c>
      <c r="I456" s="5">
        <f t="shared" si="20"/>
        <v>2.8059399107932403</v>
      </c>
    </row>
    <row r="457" spans="7:9">
      <c r="G457" s="19">
        <f t="shared" si="22"/>
        <v>96.999999999998238</v>
      </c>
      <c r="H457" s="10">
        <f t="shared" si="21"/>
        <v>0.98116660651527021</v>
      </c>
      <c r="I457" s="5">
        <f t="shared" si="20"/>
        <v>2.7878601584256808</v>
      </c>
    </row>
    <row r="458" spans="7:9">
      <c r="G458" s="19">
        <f t="shared" si="22"/>
        <v>97.083333333331566</v>
      </c>
      <c r="H458" s="10">
        <f t="shared" si="21"/>
        <v>0.9809841912820273</v>
      </c>
      <c r="I458" s="5">
        <f t="shared" si="20"/>
        <v>2.769857053962542</v>
      </c>
    </row>
    <row r="459" spans="7:9">
      <c r="G459" s="19">
        <f t="shared" si="22"/>
        <v>97.166666666664895</v>
      </c>
      <c r="H459" s="10">
        <f t="shared" si="21"/>
        <v>0.9808000248461195</v>
      </c>
      <c r="I459" s="5">
        <f t="shared" si="20"/>
        <v>2.7519306984512304</v>
      </c>
    </row>
    <row r="460" spans="7:9">
      <c r="G460" s="19">
        <f t="shared" si="22"/>
        <v>97.249999999998224</v>
      </c>
      <c r="H460" s="10">
        <f t="shared" si="21"/>
        <v>0.98061409073591144</v>
      </c>
      <c r="I460" s="5">
        <f t="shared" si="20"/>
        <v>2.7340811886213721</v>
      </c>
    </row>
    <row r="461" spans="7:9">
      <c r="G461" s="19">
        <f t="shared" si="22"/>
        <v>97.333333333331552</v>
      </c>
      <c r="H461" s="10">
        <f t="shared" si="21"/>
        <v>0.98042637233152652</v>
      </c>
      <c r="I461" s="5">
        <f t="shared" ref="I461:I524" si="23">(1/12)+H461*I462/((1+B$3)^(1/12))</f>
        <v>2.716308616889918</v>
      </c>
    </row>
    <row r="462" spans="7:9">
      <c r="G462" s="19">
        <f t="shared" si="22"/>
        <v>97.416666666664881</v>
      </c>
      <c r="H462" s="10">
        <f t="shared" ref="H462:H525" si="24">(H$9^(1/12))*H$10^((H$8^(G462))*((H$8^(1/12))-1))</f>
        <v>0.98023685286364637</v>
      </c>
      <c r="I462" s="5">
        <f t="shared" si="23"/>
        <v>2.6986130713668044</v>
      </c>
    </row>
    <row r="463" spans="7:9">
      <c r="G463" s="19">
        <f t="shared" ref="G463:G526" si="25">G462+1/12</f>
        <v>97.499999999998209</v>
      </c>
      <c r="H463" s="10">
        <f t="shared" si="24"/>
        <v>0.98004551541230234</v>
      </c>
      <c r="I463" s="5">
        <f t="shared" si="23"/>
        <v>2.6809946358611647</v>
      </c>
    </row>
    <row r="464" spans="7:9">
      <c r="G464" s="19">
        <f t="shared" si="25"/>
        <v>97.583333333331538</v>
      </c>
      <c r="H464" s="10">
        <f t="shared" si="24"/>
        <v>0.97985234290566048</v>
      </c>
      <c r="I464" s="5">
        <f t="shared" si="23"/>
        <v>2.6634533898880934</v>
      </c>
    </row>
    <row r="465" spans="7:9">
      <c r="G465" s="19">
        <f t="shared" si="25"/>
        <v>97.666666666664867</v>
      </c>
      <c r="H465" s="10">
        <f t="shared" si="24"/>
        <v>0.97965731811879952</v>
      </c>
      <c r="I465" s="5">
        <f t="shared" si="23"/>
        <v>2.6459894086759532</v>
      </c>
    </row>
    <row r="466" spans="7:9">
      <c r="G466" s="19">
        <f t="shared" si="25"/>
        <v>97.749999999998195</v>
      </c>
      <c r="H466" s="10">
        <f t="shared" si="24"/>
        <v>0.97946042367248143</v>
      </c>
      <c r="I466" s="5">
        <f t="shared" si="23"/>
        <v>2.6286027631742312</v>
      </c>
    </row>
    <row r="467" spans="7:9">
      <c r="G467" s="19">
        <f t="shared" si="25"/>
        <v>97.833333333331524</v>
      </c>
      <c r="H467" s="10">
        <f t="shared" si="24"/>
        <v>0.97926164203191601</v>
      </c>
      <c r="I467" s="5">
        <f t="shared" si="23"/>
        <v>2.6112935200619369</v>
      </c>
    </row>
    <row r="468" spans="7:9">
      <c r="G468" s="19">
        <f t="shared" si="25"/>
        <v>97.916666666664852</v>
      </c>
      <c r="H468" s="10">
        <f t="shared" si="24"/>
        <v>0.97906095550551808</v>
      </c>
      <c r="I468" s="5">
        <f t="shared" si="23"/>
        <v>2.5940617417565375</v>
      </c>
    </row>
    <row r="469" spans="7:9">
      <c r="G469" s="19">
        <f t="shared" si="25"/>
        <v>97.999999999998181</v>
      </c>
      <c r="H469" s="10">
        <f t="shared" si="24"/>
        <v>0.9788583462436572</v>
      </c>
      <c r="I469" s="5">
        <f t="shared" si="23"/>
        <v>2.5769074864234307</v>
      </c>
    </row>
    <row r="470" spans="7:9">
      <c r="G470" s="19">
        <f t="shared" si="25"/>
        <v>98.08333333333151</v>
      </c>
      <c r="H470" s="10">
        <f t="shared" si="24"/>
        <v>0.97865379623740156</v>
      </c>
      <c r="I470" s="5">
        <f t="shared" si="23"/>
        <v>2.5598308079859544</v>
      </c>
    </row>
    <row r="471" spans="7:9">
      <c r="G471" s="19">
        <f t="shared" si="25"/>
        <v>98.166666666664838</v>
      </c>
      <c r="H471" s="10">
        <f t="shared" si="24"/>
        <v>0.97844728731725494</v>
      </c>
      <c r="I471" s="5">
        <f t="shared" si="23"/>
        <v>2.5428317561359202</v>
      </c>
    </row>
    <row r="472" spans="7:9">
      <c r="G472" s="19">
        <f t="shared" si="25"/>
        <v>98.249999999998167</v>
      </c>
      <c r="H472" s="10">
        <f t="shared" si="24"/>
        <v>0.97823880115188566</v>
      </c>
      <c r="I472" s="5">
        <f t="shared" si="23"/>
        <v>2.5259103763446813</v>
      </c>
    </row>
    <row r="473" spans="7:9">
      <c r="G473" s="19">
        <f t="shared" si="25"/>
        <v>98.333333333331495</v>
      </c>
      <c r="H473" s="10">
        <f t="shared" si="24"/>
        <v>0.97802831924685107</v>
      </c>
      <c r="I473" s="5">
        <f t="shared" si="23"/>
        <v>2.5090667098747192</v>
      </c>
    </row>
    <row r="474" spans="7:9">
      <c r="G474" s="19">
        <f t="shared" si="25"/>
        <v>98.416666666664824</v>
      </c>
      <c r="H474" s="10">
        <f t="shared" si="24"/>
        <v>0.97781582294331293</v>
      </c>
      <c r="I474" s="5">
        <f t="shared" si="23"/>
        <v>2.4923007937917534</v>
      </c>
    </row>
    <row r="475" spans="7:9">
      <c r="G475" s="19">
        <f t="shared" si="25"/>
        <v>98.499999999998153</v>
      </c>
      <c r="H475" s="10">
        <f t="shared" si="24"/>
        <v>0.97760129341674828</v>
      </c>
      <c r="I475" s="5">
        <f t="shared" si="23"/>
        <v>2.4756126609773657</v>
      </c>
    </row>
    <row r="476" spans="7:9">
      <c r="G476" s="19">
        <f t="shared" si="25"/>
        <v>98.583333333331481</v>
      </c>
      <c r="H476" s="10">
        <f t="shared" si="24"/>
        <v>0.97738471167565166</v>
      </c>
      <c r="I476" s="5">
        <f t="shared" si="23"/>
        <v>2.459002340142137</v>
      </c>
    </row>
    <row r="477" spans="7:9">
      <c r="G477" s="19">
        <f t="shared" si="25"/>
        <v>98.66666666666481</v>
      </c>
      <c r="H477" s="10">
        <f t="shared" si="24"/>
        <v>0.97716605856023286</v>
      </c>
      <c r="I477" s="5">
        <f t="shared" si="23"/>
        <v>2.442469855839299</v>
      </c>
    </row>
    <row r="478" spans="7:9">
      <c r="G478" s="19">
        <f t="shared" si="25"/>
        <v>98.749999999998138</v>
      </c>
      <c r="H478" s="10">
        <f t="shared" si="24"/>
        <v>0.97694531474110669</v>
      </c>
      <c r="I478" s="5">
        <f t="shared" si="23"/>
        <v>2.4260152284788807</v>
      </c>
    </row>
    <row r="479" spans="7:9">
      <c r="G479" s="19">
        <f t="shared" si="25"/>
        <v>98.833333333331467</v>
      </c>
      <c r="H479" s="10">
        <f t="shared" si="24"/>
        <v>0.97672246071797664</v>
      </c>
      <c r="I479" s="5">
        <f t="shared" si="23"/>
        <v>2.4096384743423651</v>
      </c>
    </row>
    <row r="480" spans="7:9">
      <c r="G480" s="19">
        <f t="shared" si="25"/>
        <v>98.916666666664796</v>
      </c>
      <c r="H480" s="10">
        <f t="shared" si="24"/>
        <v>0.97649747681831256</v>
      </c>
      <c r="I480" s="5">
        <f t="shared" si="23"/>
        <v>2.3933396055978364</v>
      </c>
    </row>
    <row r="481" spans="7:9">
      <c r="G481" s="19">
        <f t="shared" si="25"/>
        <v>98.999999999998124</v>
      </c>
      <c r="H481" s="10">
        <f t="shared" si="24"/>
        <v>0.97627034319602202</v>
      </c>
      <c r="I481" s="5">
        <f t="shared" si="23"/>
        <v>2.377118630315624</v>
      </c>
    </row>
    <row r="482" spans="7:9">
      <c r="G482" s="19">
        <f t="shared" si="25"/>
        <v>99.083333333331453</v>
      </c>
      <c r="H482" s="10">
        <f t="shared" si="24"/>
        <v>0.97604103983011437</v>
      </c>
      <c r="I482" s="5">
        <f t="shared" si="23"/>
        <v>2.36097555248443</v>
      </c>
    </row>
    <row r="483" spans="7:9">
      <c r="G483" s="19">
        <f t="shared" si="25"/>
        <v>99.166666666664781</v>
      </c>
      <c r="H483" s="10">
        <f t="shared" si="24"/>
        <v>0.97580954652335961</v>
      </c>
      <c r="I483" s="5">
        <f t="shared" si="23"/>
        <v>2.3449103720279441</v>
      </c>
    </row>
    <row r="484" spans="7:9">
      <c r="G484" s="19">
        <f t="shared" si="25"/>
        <v>99.24999999999811</v>
      </c>
      <c r="H484" s="10">
        <f t="shared" si="24"/>
        <v>0.97557584290094135</v>
      </c>
      <c r="I484" s="5">
        <f t="shared" si="23"/>
        <v>2.328923084821934</v>
      </c>
    </row>
    <row r="485" spans="7:9">
      <c r="G485" s="19">
        <f t="shared" si="25"/>
        <v>99.333333333331439</v>
      </c>
      <c r="H485" s="10">
        <f t="shared" si="24"/>
        <v>0.97533990840910256</v>
      </c>
      <c r="I485" s="5">
        <f t="shared" si="23"/>
        <v>2.3130136827118131</v>
      </c>
    </row>
    <row r="486" spans="7:9">
      <c r="G486" s="19">
        <f t="shared" si="25"/>
        <v>99.416666666664767</v>
      </c>
      <c r="H486" s="10">
        <f t="shared" si="24"/>
        <v>0.97510172231378645</v>
      </c>
      <c r="I486" s="5">
        <f t="shared" si="23"/>
        <v>2.2971821535306725</v>
      </c>
    </row>
    <row r="487" spans="7:9">
      <c r="G487" s="19">
        <f t="shared" si="25"/>
        <v>99.499999999998096</v>
      </c>
      <c r="H487" s="10">
        <f t="shared" si="24"/>
        <v>0.97486126369927029</v>
      </c>
      <c r="I487" s="5">
        <f t="shared" si="23"/>
        <v>2.2814284811177816</v>
      </c>
    </row>
    <row r="488" spans="7:9">
      <c r="G488" s="19">
        <f t="shared" si="25"/>
        <v>99.583333333331424</v>
      </c>
      <c r="H488" s="10">
        <f t="shared" si="24"/>
        <v>0.97461851146679446</v>
      </c>
      <c r="I488" s="5">
        <f t="shared" si="23"/>
        <v>2.2657526453375456</v>
      </c>
    </row>
    <row r="489" spans="7:9">
      <c r="G489" s="19">
        <f t="shared" si="25"/>
        <v>99.666666666664753</v>
      </c>
      <c r="H489" s="10">
        <f t="shared" si="24"/>
        <v>0.9743734443331854</v>
      </c>
      <c r="I489" s="5">
        <f t="shared" si="23"/>
        <v>2.250154622098917</v>
      </c>
    </row>
    <row r="490" spans="7:9">
      <c r="G490" s="19">
        <f t="shared" si="25"/>
        <v>99.749999999998082</v>
      </c>
      <c r="H490" s="10">
        <f t="shared" si="24"/>
        <v>0.97412604082947207</v>
      </c>
      <c r="I490" s="5">
        <f t="shared" si="23"/>
        <v>2.2346343833752553</v>
      </c>
    </row>
    <row r="491" spans="7:9">
      <c r="G491" s="19">
        <f t="shared" si="25"/>
        <v>99.83333333333141</v>
      </c>
      <c r="H491" s="10">
        <f t="shared" si="24"/>
        <v>0.97387627929949816</v>
      </c>
      <c r="I491" s="5">
        <f t="shared" si="23"/>
        <v>2.2191918972246332</v>
      </c>
    </row>
    <row r="492" spans="7:9">
      <c r="G492" s="19">
        <f t="shared" si="25"/>
        <v>99.916666666664739</v>
      </c>
      <c r="H492" s="10">
        <f t="shared" si="24"/>
        <v>0.97362413789852786</v>
      </c>
      <c r="I492" s="5">
        <f t="shared" si="23"/>
        <v>2.2038271278105741</v>
      </c>
    </row>
    <row r="493" spans="7:9">
      <c r="G493" s="19">
        <f t="shared" si="25"/>
        <v>99.999999999998067</v>
      </c>
      <c r="H493" s="10">
        <f t="shared" si="24"/>
        <v>0.97336959459184624</v>
      </c>
      <c r="I493" s="5">
        <f t="shared" si="23"/>
        <v>2.1885400354232289</v>
      </c>
    </row>
    <row r="494" spans="7:9">
      <c r="G494" s="19">
        <f t="shared" si="25"/>
        <v>100.0833333333314</v>
      </c>
      <c r="H494" s="10">
        <f t="shared" si="24"/>
        <v>0.97311262715335489</v>
      </c>
      <c r="I494" s="5">
        <f t="shared" si="23"/>
        <v>2.1733305765009745</v>
      </c>
    </row>
    <row r="495" spans="7:9">
      <c r="G495" s="19">
        <f t="shared" si="25"/>
        <v>100.16666666666472</v>
      </c>
      <c r="H495" s="10">
        <f t="shared" si="24"/>
        <v>0.97285321316416162</v>
      </c>
      <c r="I495" s="5">
        <f t="shared" si="23"/>
        <v>2.1581987036524364</v>
      </c>
    </row>
    <row r="496" spans="7:9">
      <c r="G496" s="19">
        <f t="shared" si="25"/>
        <v>100.24999999999805</v>
      </c>
      <c r="H496" s="10">
        <f t="shared" si="24"/>
        <v>0.9725913300111656</v>
      </c>
      <c r="I496" s="5">
        <f t="shared" si="23"/>
        <v>2.143144365678924</v>
      </c>
    </row>
    <row r="497" spans="7:9">
      <c r="G497" s="19">
        <f t="shared" si="25"/>
        <v>100.33333333333138</v>
      </c>
      <c r="H497" s="10">
        <f t="shared" si="24"/>
        <v>0.97232695488563747</v>
      </c>
      <c r="I497" s="5">
        <f t="shared" si="23"/>
        <v>2.1281675075972779</v>
      </c>
    </row>
    <row r="498" spans="7:9">
      <c r="G498" s="19">
        <f t="shared" si="25"/>
        <v>100.41666666666471</v>
      </c>
      <c r="H498" s="10">
        <f t="shared" si="24"/>
        <v>0.97206006478179408</v>
      </c>
      <c r="I498" s="5">
        <f t="shared" si="23"/>
        <v>2.1132680706631177</v>
      </c>
    </row>
    <row r="499" spans="7:9">
      <c r="G499" s="19">
        <f t="shared" si="25"/>
        <v>100.49999999999804</v>
      </c>
      <c r="H499" s="10">
        <f t="shared" si="24"/>
        <v>0.97179063649536868</v>
      </c>
      <c r="I499" s="5">
        <f t="shared" si="23"/>
        <v>2.0984459923944891</v>
      </c>
    </row>
    <row r="500" spans="7:9">
      <c r="G500" s="19">
        <f t="shared" si="25"/>
        <v>100.58333333333137</v>
      </c>
      <c r="H500" s="10">
        <f t="shared" si="24"/>
        <v>0.9715186466221768</v>
      </c>
      <c r="I500" s="5">
        <f t="shared" si="23"/>
        <v>2.0837012065959013</v>
      </c>
    </row>
    <row r="501" spans="7:9">
      <c r="G501" s="19">
        <f t="shared" si="25"/>
        <v>100.6666666666647</v>
      </c>
      <c r="H501" s="10">
        <f t="shared" si="24"/>
        <v>0.97124407155667736</v>
      </c>
      <c r="I501" s="5">
        <f t="shared" si="23"/>
        <v>2.0690336433827503</v>
      </c>
    </row>
    <row r="502" spans="7:9">
      <c r="G502" s="19">
        <f t="shared" si="25"/>
        <v>100.74999999999802</v>
      </c>
      <c r="H502" s="10">
        <f t="shared" si="24"/>
        <v>0.97096688749052895</v>
      </c>
      <c r="I502" s="5">
        <f t="shared" si="23"/>
        <v>2.0544432292061194</v>
      </c>
    </row>
    <row r="503" spans="7:9">
      <c r="G503" s="19">
        <f t="shared" si="25"/>
        <v>100.83333333333135</v>
      </c>
      <c r="H503" s="10">
        <f t="shared" si="24"/>
        <v>0.97068707041114277</v>
      </c>
      <c r="I503" s="5">
        <f t="shared" si="23"/>
        <v>2.039929886877955</v>
      </c>
    </row>
    <row r="504" spans="7:9">
      <c r="G504" s="19">
        <f t="shared" si="25"/>
        <v>100.91666666666468</v>
      </c>
      <c r="H504" s="10">
        <f t="shared" si="24"/>
        <v>0.97040459610023022</v>
      </c>
      <c r="I504" s="5">
        <f t="shared" si="23"/>
        <v>2.0254935355966048</v>
      </c>
    </row>
    <row r="505" spans="7:9">
      <c r="G505" s="19">
        <f t="shared" si="25"/>
        <v>100.99999999999801</v>
      </c>
      <c r="H505" s="10">
        <f t="shared" si="24"/>
        <v>0.97011944013234774</v>
      </c>
      <c r="I505" s="5">
        <f t="shared" si="23"/>
        <v>2.0111340909727184</v>
      </c>
    </row>
    <row r="506" spans="7:9">
      <c r="G506" s="19">
        <f t="shared" si="25"/>
        <v>101.08333333333134</v>
      </c>
      <c r="H506" s="10">
        <f t="shared" si="24"/>
        <v>0.96983157787343677</v>
      </c>
      <c r="I506" s="5">
        <f t="shared" si="23"/>
        <v>1.9968514650555016</v>
      </c>
    </row>
    <row r="507" spans="7:9">
      <c r="G507" s="19">
        <f t="shared" si="25"/>
        <v>101.16666666666467</v>
      </c>
      <c r="H507" s="10">
        <f t="shared" si="24"/>
        <v>0.96954098447936099</v>
      </c>
      <c r="I507" s="5">
        <f t="shared" si="23"/>
        <v>1.9826455663593134</v>
      </c>
    </row>
    <row r="508" spans="7:9">
      <c r="G508" s="19">
        <f t="shared" si="25"/>
        <v>101.249999999998</v>
      </c>
      <c r="H508" s="10">
        <f t="shared" si="24"/>
        <v>0.9692476348944391</v>
      </c>
      <c r="I508" s="5">
        <f t="shared" si="23"/>
        <v>1.9685162998906078</v>
      </c>
    </row>
    <row r="509" spans="7:9">
      <c r="G509" s="19">
        <f t="shared" si="25"/>
        <v>101.33333333333132</v>
      </c>
      <c r="H509" s="10">
        <f t="shared" si="24"/>
        <v>0.96895150384997464</v>
      </c>
      <c r="I509" s="5">
        <f t="shared" si="23"/>
        <v>1.9544635671752042</v>
      </c>
    </row>
    <row r="510" spans="7:9">
      <c r="G510" s="19">
        <f t="shared" si="25"/>
        <v>101.41666666666465</v>
      </c>
      <c r="H510" s="10">
        <f t="shared" si="24"/>
        <v>0.96865256586278248</v>
      </c>
      <c r="I510" s="5">
        <f t="shared" si="23"/>
        <v>1.940487266285889</v>
      </c>
    </row>
    <row r="511" spans="7:9">
      <c r="G511" s="19">
        <f t="shared" si="25"/>
        <v>101.49999999999798</v>
      </c>
      <c r="H511" s="10">
        <f t="shared" si="24"/>
        <v>0.96835079523371259</v>
      </c>
      <c r="I511" s="5">
        <f t="shared" si="23"/>
        <v>1.9265872918703335</v>
      </c>
    </row>
    <row r="512" spans="7:9">
      <c r="G512" s="19">
        <f t="shared" si="25"/>
        <v>101.58333333333131</v>
      </c>
      <c r="H512" s="10">
        <f t="shared" si="24"/>
        <v>0.96804616604617055</v>
      </c>
      <c r="I512" s="5">
        <f t="shared" si="23"/>
        <v>1.9127635351793262</v>
      </c>
    </row>
    <row r="513" spans="7:9">
      <c r="G513" s="19">
        <f t="shared" si="25"/>
        <v>101.66666666666464</v>
      </c>
      <c r="H513" s="10">
        <f t="shared" si="24"/>
        <v>0.96773865216463562</v>
      </c>
      <c r="I513" s="5">
        <f t="shared" si="23"/>
        <v>1.8990158840953102</v>
      </c>
    </row>
    <row r="514" spans="7:9">
      <c r="G514" s="19">
        <f t="shared" si="25"/>
        <v>101.74999999999797</v>
      </c>
      <c r="H514" s="10">
        <f t="shared" si="24"/>
        <v>0.96742822723317545</v>
      </c>
      <c r="I514" s="5">
        <f t="shared" si="23"/>
        <v>1.8853442231612207</v>
      </c>
    </row>
    <row r="515" spans="7:9">
      <c r="G515" s="19">
        <f t="shared" si="25"/>
        <v>101.8333333333313</v>
      </c>
      <c r="H515" s="10">
        <f t="shared" si="24"/>
        <v>0.96711486467396068</v>
      </c>
      <c r="I515" s="5">
        <f t="shared" si="23"/>
        <v>1.8717484336096157</v>
      </c>
    </row>
    <row r="516" spans="7:9">
      <c r="G516" s="19">
        <f t="shared" si="25"/>
        <v>101.91666666666463</v>
      </c>
      <c r="H516" s="10">
        <f t="shared" si="24"/>
        <v>0.96679853768577451</v>
      </c>
      <c r="I516" s="5">
        <f t="shared" si="23"/>
        <v>1.8582283933920878</v>
      </c>
    </row>
    <row r="517" spans="7:9">
      <c r="G517" s="19">
        <f t="shared" si="25"/>
        <v>101.99999999999795</v>
      </c>
      <c r="H517" s="10">
        <f t="shared" si="24"/>
        <v>0.96647921924252223</v>
      </c>
      <c r="I517" s="5">
        <f t="shared" si="23"/>
        <v>1.8447839772089585</v>
      </c>
    </row>
    <row r="518" spans="7:9">
      <c r="G518" s="19">
        <f t="shared" si="25"/>
        <v>102.08333333333128</v>
      </c>
      <c r="H518" s="10">
        <f t="shared" si="24"/>
        <v>0.966156882091739</v>
      </c>
      <c r="I518" s="5">
        <f t="shared" si="23"/>
        <v>1.8314150565392415</v>
      </c>
    </row>
    <row r="519" spans="7:9">
      <c r="G519" s="19">
        <f t="shared" si="25"/>
        <v>102.16666666666461</v>
      </c>
      <c r="H519" s="10">
        <f t="shared" si="24"/>
        <v>0.96583149875309504</v>
      </c>
      <c r="I519" s="5">
        <f t="shared" si="23"/>
        <v>1.8181214996708706</v>
      </c>
    </row>
    <row r="520" spans="7:9">
      <c r="G520" s="19">
        <f t="shared" si="25"/>
        <v>102.24999999999794</v>
      </c>
      <c r="H520" s="10">
        <f t="shared" si="24"/>
        <v>0.9655030415169007</v>
      </c>
      <c r="I520" s="5">
        <f t="shared" si="23"/>
        <v>1.8049031717311836</v>
      </c>
    </row>
    <row r="521" spans="7:9">
      <c r="G521" s="19">
        <f t="shared" si="25"/>
        <v>102.33333333333127</v>
      </c>
      <c r="H521" s="10">
        <f t="shared" si="24"/>
        <v>0.96517148244260975</v>
      </c>
      <c r="I521" s="5">
        <f t="shared" si="23"/>
        <v>1.7917599347176572</v>
      </c>
    </row>
    <row r="522" spans="7:9">
      <c r="G522" s="19">
        <f t="shared" si="25"/>
        <v>102.4166666666646</v>
      </c>
      <c r="H522" s="10">
        <f t="shared" si="24"/>
        <v>0.96483679335732231</v>
      </c>
      <c r="I522" s="5">
        <f t="shared" si="23"/>
        <v>1.7786916475288823</v>
      </c>
    </row>
    <row r="523" spans="7:9">
      <c r="G523" s="19">
        <f t="shared" si="25"/>
        <v>102.49999999999793</v>
      </c>
      <c r="H523" s="10">
        <f t="shared" si="24"/>
        <v>0.96449894585428664</v>
      </c>
      <c r="I523" s="5">
        <f t="shared" si="23"/>
        <v>1.7656981659957773</v>
      </c>
    </row>
    <row r="524" spans="7:9">
      <c r="G524" s="19">
        <f t="shared" si="25"/>
        <v>102.58333333333125</v>
      </c>
      <c r="H524" s="10">
        <f t="shared" si="24"/>
        <v>0.96415791129140083</v>
      </c>
      <c r="I524" s="5">
        <f t="shared" si="23"/>
        <v>1.7527793429130267</v>
      </c>
    </row>
    <row r="525" spans="7:9">
      <c r="G525" s="19">
        <f t="shared" si="25"/>
        <v>102.66666666666458</v>
      </c>
      <c r="H525" s="10">
        <f t="shared" si="24"/>
        <v>0.9638136607897152</v>
      </c>
      <c r="I525" s="5">
        <f t="shared" ref="I525:I588" si="26">(1/12)+H525*I526/((1+B$3)^(1/12))</f>
        <v>1.7399350280707433</v>
      </c>
    </row>
    <row r="526" spans="7:9">
      <c r="G526" s="19">
        <f t="shared" si="25"/>
        <v>102.74999999999791</v>
      </c>
      <c r="H526" s="10">
        <f t="shared" ref="H526:H589" si="27">(H$9^(1/12))*H$10^((H$8^(G526))*((H$8^(1/12))-1))</f>
        <v>0.96346616523193362</v>
      </c>
      <c r="I526" s="5">
        <f t="shared" si="26"/>
        <v>1.7271650682863415</v>
      </c>
    </row>
    <row r="527" spans="7:9">
      <c r="G527" s="19">
        <f t="shared" ref="G527:G590" si="28">G526+1/12</f>
        <v>102.83333333333124</v>
      </c>
      <c r="H527" s="10">
        <f t="shared" si="27"/>
        <v>0.96311539526091516</v>
      </c>
      <c r="I527" s="5">
        <f t="shared" si="26"/>
        <v>1.7144693074366184</v>
      </c>
    </row>
    <row r="528" spans="7:9">
      <c r="G528" s="19">
        <f t="shared" si="28"/>
        <v>102.91666666666457</v>
      </c>
      <c r="H528" s="10">
        <f t="shared" si="27"/>
        <v>0.96276132127817859</v>
      </c>
      <c r="I528" s="5">
        <f t="shared" si="26"/>
        <v>1.7018475864900333</v>
      </c>
    </row>
    <row r="529" spans="7:9">
      <c r="G529" s="19">
        <f t="shared" si="28"/>
        <v>102.9999999999979</v>
      </c>
      <c r="H529" s="10">
        <f t="shared" si="27"/>
        <v>0.96240391344240506</v>
      </c>
      <c r="I529" s="5">
        <f t="shared" si="26"/>
        <v>1.6892997435391794</v>
      </c>
    </row>
    <row r="530" spans="7:9">
      <c r="G530" s="19">
        <f t="shared" si="28"/>
        <v>103.08333333333123</v>
      </c>
      <c r="H530" s="10">
        <f t="shared" si="27"/>
        <v>0.96204314166794369</v>
      </c>
      <c r="I530" s="5">
        <f t="shared" si="26"/>
        <v>1.6768256138334399</v>
      </c>
    </row>
    <row r="531" spans="7:9">
      <c r="G531" s="19">
        <f t="shared" si="28"/>
        <v>103.16666666666455</v>
      </c>
      <c r="H531" s="10">
        <f t="shared" si="27"/>
        <v>0.96167897562331872</v>
      </c>
      <c r="I531" s="5">
        <f t="shared" si="26"/>
        <v>1.6644250298118204</v>
      </c>
    </row>
    <row r="532" spans="7:9">
      <c r="G532" s="19">
        <f t="shared" si="28"/>
        <v>103.24999999999788</v>
      </c>
      <c r="H532" s="10">
        <f t="shared" si="27"/>
        <v>0.96131138472973754</v>
      </c>
      <c r="I532" s="5">
        <f t="shared" si="26"/>
        <v>1.6520978211359532</v>
      </c>
    </row>
    <row r="533" spans="7:9">
      <c r="G533" s="19">
        <f t="shared" si="28"/>
        <v>103.33333333333121</v>
      </c>
      <c r="H533" s="10">
        <f t="shared" si="27"/>
        <v>0.96094033815960211</v>
      </c>
      <c r="I533" s="5">
        <f t="shared" si="26"/>
        <v>1.6398438147232615</v>
      </c>
    </row>
    <row r="534" spans="7:9">
      <c r="G534" s="19">
        <f t="shared" si="28"/>
        <v>103.41666666666454</v>
      </c>
      <c r="H534" s="10">
        <f t="shared" si="27"/>
        <v>0.96056580483502174</v>
      </c>
      <c r="I534" s="5">
        <f t="shared" si="26"/>
        <v>1.6276628347802813</v>
      </c>
    </row>
    <row r="535" spans="7:9">
      <c r="G535" s="19">
        <f t="shared" si="28"/>
        <v>103.49999999999787</v>
      </c>
      <c r="H535" s="10">
        <f t="shared" si="27"/>
        <v>0.96018775342632945</v>
      </c>
      <c r="I535" s="5">
        <f t="shared" si="26"/>
        <v>1.6155547028361303</v>
      </c>
    </row>
    <row r="536" spans="7:9">
      <c r="G536" s="19">
        <f t="shared" si="28"/>
        <v>103.5833333333312</v>
      </c>
      <c r="H536" s="10">
        <f t="shared" si="27"/>
        <v>0.9598061523506014</v>
      </c>
      <c r="I536" s="5">
        <f t="shared" si="26"/>
        <v>1.6035192377761183</v>
      </c>
    </row>
    <row r="537" spans="7:9">
      <c r="G537" s="19">
        <f t="shared" si="28"/>
        <v>103.66666666666453</v>
      </c>
      <c r="H537" s="10">
        <f t="shared" si="27"/>
        <v>0.95942096977017899</v>
      </c>
      <c r="I537" s="5">
        <f t="shared" si="26"/>
        <v>1.5915562558754888</v>
      </c>
    </row>
    <row r="538" spans="7:9">
      <c r="G538" s="19">
        <f t="shared" si="28"/>
        <v>103.74999999999785</v>
      </c>
      <c r="H538" s="10">
        <f t="shared" si="27"/>
        <v>0.95903217359119608</v>
      </c>
      <c r="I538" s="5">
        <f t="shared" si="26"/>
        <v>1.5796655708332905</v>
      </c>
    </row>
    <row r="539" spans="7:9">
      <c r="G539" s="19">
        <f t="shared" si="28"/>
        <v>103.83333333333118</v>
      </c>
      <c r="H539" s="10">
        <f t="shared" si="27"/>
        <v>0.95863973146210923</v>
      </c>
      <c r="I539" s="5">
        <f t="shared" si="26"/>
        <v>1.5678469938063655</v>
      </c>
    </row>
    <row r="540" spans="7:9">
      <c r="G540" s="19">
        <f t="shared" si="28"/>
        <v>103.91666666666451</v>
      </c>
      <c r="H540" s="10">
        <f t="shared" si="27"/>
        <v>0.95824361077223341</v>
      </c>
      <c r="I540" s="5">
        <f t="shared" si="26"/>
        <v>1.5561003334434496</v>
      </c>
    </row>
    <row r="541" spans="7:9">
      <c r="G541" s="19">
        <f t="shared" si="28"/>
        <v>103.99999999999784</v>
      </c>
      <c r="H541" s="10">
        <f t="shared" si="27"/>
        <v>0.95784377865028159</v>
      </c>
      <c r="I541" s="5">
        <f t="shared" si="26"/>
        <v>1.5444253959193781</v>
      </c>
    </row>
    <row r="542" spans="7:9">
      <c r="G542" s="19">
        <f t="shared" si="28"/>
        <v>104.08333333333117</v>
      </c>
      <c r="H542" s="10">
        <f t="shared" si="27"/>
        <v>0.9574402019629108</v>
      </c>
      <c r="I542" s="5">
        <f t="shared" si="26"/>
        <v>1.532821984969388</v>
      </c>
    </row>
    <row r="543" spans="7:9">
      <c r="G543" s="19">
        <f t="shared" si="28"/>
        <v>104.1666666666645</v>
      </c>
      <c r="H543" s="10">
        <f t="shared" si="27"/>
        <v>0.95703284731327287</v>
      </c>
      <c r="I543" s="5">
        <f t="shared" si="26"/>
        <v>1.5212899019235122</v>
      </c>
    </row>
    <row r="544" spans="7:9">
      <c r="G544" s="19">
        <f t="shared" si="28"/>
        <v>104.24999999999783</v>
      </c>
      <c r="H544" s="10">
        <f t="shared" si="27"/>
        <v>0.95662168103957224</v>
      </c>
      <c r="I544" s="5">
        <f t="shared" si="26"/>
        <v>1.509828945741055</v>
      </c>
    </row>
    <row r="545" spans="7:9">
      <c r="G545" s="19">
        <f t="shared" si="28"/>
        <v>104.33333333333115</v>
      </c>
      <c r="H545" s="10">
        <f t="shared" si="27"/>
        <v>0.95620666921362907</v>
      </c>
      <c r="I545" s="5">
        <f t="shared" si="26"/>
        <v>1.4984389130451454</v>
      </c>
    </row>
    <row r="546" spans="7:9">
      <c r="G546" s="19">
        <f t="shared" si="28"/>
        <v>104.41666666666448</v>
      </c>
      <c r="H546" s="10">
        <f t="shared" si="27"/>
        <v>0.95578777763945066</v>
      </c>
      <c r="I546" s="5">
        <f t="shared" si="26"/>
        <v>1.4871195981573586</v>
      </c>
    </row>
    <row r="547" spans="7:9">
      <c r="G547" s="19">
        <f t="shared" si="28"/>
        <v>104.49999999999781</v>
      </c>
      <c r="H547" s="10">
        <f t="shared" si="27"/>
        <v>0.95536497185180891</v>
      </c>
      <c r="I547" s="5">
        <f t="shared" si="26"/>
        <v>1.4758707931324004</v>
      </c>
    </row>
    <row r="548" spans="7:9">
      <c r="G548" s="19">
        <f t="shared" si="28"/>
        <v>104.58333333333114</v>
      </c>
      <c r="H548" s="10">
        <f t="shared" si="27"/>
        <v>0.95493821711482652</v>
      </c>
      <c r="I548" s="5">
        <f t="shared" si="26"/>
        <v>1.4646922877928457</v>
      </c>
    </row>
    <row r="549" spans="7:9">
      <c r="G549" s="19">
        <f t="shared" si="28"/>
        <v>104.66666666666447</v>
      </c>
      <c r="H549" s="10">
        <f t="shared" si="27"/>
        <v>0.95450747842057104</v>
      </c>
      <c r="I549" s="5">
        <f t="shared" si="26"/>
        <v>1.4535838697639258</v>
      </c>
    </row>
    <row r="550" spans="7:9">
      <c r="G550" s="19">
        <f t="shared" si="28"/>
        <v>104.7499999999978</v>
      </c>
      <c r="H550" s="10">
        <f t="shared" si="27"/>
        <v>0.95407272048765746</v>
      </c>
      <c r="I550" s="5">
        <f t="shared" si="26"/>
        <v>1.4425453245083579</v>
      </c>
    </row>
    <row r="551" spans="7:9">
      <c r="G551" s="19">
        <f t="shared" si="28"/>
        <v>104.83333333333113</v>
      </c>
      <c r="H551" s="10">
        <f t="shared" si="27"/>
        <v>0.9536339077598609</v>
      </c>
      <c r="I551" s="5">
        <f t="shared" si="26"/>
        <v>1.4315764353612068</v>
      </c>
    </row>
    <row r="552" spans="7:9">
      <c r="G552" s="19">
        <f t="shared" si="28"/>
        <v>104.91666666666445</v>
      </c>
      <c r="H552" s="10">
        <f t="shared" si="27"/>
        <v>0.95319100440473703</v>
      </c>
      <c r="I552" s="5">
        <f t="shared" si="26"/>
        <v>1.4206769835647761</v>
      </c>
    </row>
    <row r="553" spans="7:9">
      <c r="G553" s="19">
        <f t="shared" si="28"/>
        <v>104.99999999999778</v>
      </c>
      <c r="H553" s="10">
        <f t="shared" si="27"/>
        <v>0.95274397431225533</v>
      </c>
      <c r="I553" s="5">
        <f t="shared" si="26"/>
        <v>1.4098467483035202</v>
      </c>
    </row>
    <row r="554" spans="7:9">
      <c r="G554" s="19">
        <f t="shared" si="28"/>
        <v>105.08333333333111</v>
      </c>
      <c r="H554" s="10">
        <f t="shared" si="27"/>
        <v>0.95229278109344007</v>
      </c>
      <c r="I554" s="5">
        <f t="shared" si="26"/>
        <v>1.3990855067389683</v>
      </c>
    </row>
    <row r="555" spans="7:9">
      <c r="G555" s="19">
        <f t="shared" si="28"/>
        <v>105.16666666666444</v>
      </c>
      <c r="H555" s="10">
        <f t="shared" si="27"/>
        <v>0.95183738807902518</v>
      </c>
      <c r="I555" s="5">
        <f t="shared" si="26"/>
        <v>1.3883930340446584</v>
      </c>
    </row>
    <row r="556" spans="7:9">
      <c r="G556" s="19">
        <f t="shared" si="28"/>
        <v>105.24999999999777</v>
      </c>
      <c r="H556" s="10">
        <f t="shared" si="27"/>
        <v>0.95137775831811877</v>
      </c>
      <c r="I556" s="5">
        <f t="shared" si="26"/>
        <v>1.3777691034410708</v>
      </c>
    </row>
    <row r="557" spans="7:9">
      <c r="G557" s="19">
        <f t="shared" si="28"/>
        <v>105.3333333333311</v>
      </c>
      <c r="H557" s="10">
        <f t="shared" si="27"/>
        <v>0.95091385457688049</v>
      </c>
      <c r="I557" s="5">
        <f t="shared" si="26"/>
        <v>1.3672134862305552</v>
      </c>
    </row>
    <row r="558" spans="7:9">
      <c r="G558" s="19">
        <f t="shared" si="28"/>
        <v>105.41666666666443</v>
      </c>
      <c r="H558" s="10">
        <f t="shared" si="27"/>
        <v>0.95044563933721293</v>
      </c>
      <c r="I558" s="5">
        <f t="shared" si="26"/>
        <v>1.3567259518322474</v>
      </c>
    </row>
    <row r="559" spans="7:9">
      <c r="G559" s="19">
        <f t="shared" si="28"/>
        <v>105.49999999999775</v>
      </c>
      <c r="H559" s="10">
        <f t="shared" si="27"/>
        <v>0.94997307479546378</v>
      </c>
      <c r="I559" s="5">
        <f t="shared" si="26"/>
        <v>1.3463062678169648</v>
      </c>
    </row>
    <row r="560" spans="7:9">
      <c r="G560" s="19">
        <f t="shared" si="28"/>
        <v>105.58333333333108</v>
      </c>
      <c r="H560" s="10">
        <f t="shared" si="27"/>
        <v>0.9494961228611446</v>
      </c>
      <c r="I560" s="5">
        <f t="shared" si="26"/>
        <v>1.3359541999420788</v>
      </c>
    </row>
    <row r="561" spans="7:9">
      <c r="G561" s="19">
        <f t="shared" si="28"/>
        <v>105.66666666666441</v>
      </c>
      <c r="H561" s="10">
        <f t="shared" si="27"/>
        <v>0.94901474515566187</v>
      </c>
      <c r="I561" s="5">
        <f t="shared" si="26"/>
        <v>1.3256695121863533</v>
      </c>
    </row>
    <row r="562" spans="7:9">
      <c r="G562" s="19">
        <f t="shared" si="28"/>
        <v>105.74999999999774</v>
      </c>
      <c r="H562" s="10">
        <f t="shared" si="27"/>
        <v>0.94852890301106474</v>
      </c>
      <c r="I562" s="5">
        <f t="shared" si="26"/>
        <v>1.3154519667847484</v>
      </c>
    </row>
    <row r="563" spans="7:9">
      <c r="G563" s="19">
        <f t="shared" si="28"/>
        <v>105.83333333333107</v>
      </c>
      <c r="H563" s="10">
        <f t="shared" si="27"/>
        <v>0.94803855746880761</v>
      </c>
      <c r="I563" s="5">
        <f t="shared" si="26"/>
        <v>1.305301324263177</v>
      </c>
    </row>
    <row r="564" spans="7:9">
      <c r="G564" s="19">
        <f t="shared" si="28"/>
        <v>105.9166666666644</v>
      </c>
      <c r="H564" s="10">
        <f t="shared" si="27"/>
        <v>0.94754366927852918</v>
      </c>
      <c r="I564" s="5">
        <f t="shared" si="26"/>
        <v>1.2952173434732124</v>
      </c>
    </row>
    <row r="565" spans="7:9">
      <c r="G565" s="19">
        <f t="shared" si="28"/>
        <v>105.99999999999773</v>
      </c>
      <c r="H565" s="10">
        <f t="shared" si="27"/>
        <v>0.94704419889684843</v>
      </c>
      <c r="I565" s="5">
        <f t="shared" si="26"/>
        <v>1.28519978162674</v>
      </c>
    </row>
    <row r="566" spans="7:9">
      <c r="G566" s="19">
        <f t="shared" si="28"/>
        <v>106.08333333333105</v>
      </c>
      <c r="H566" s="10">
        <f t="shared" si="27"/>
        <v>0.94654010648617859</v>
      </c>
      <c r="I566" s="5">
        <f t="shared" si="26"/>
        <v>1.2752483943305459</v>
      </c>
    </row>
    <row r="567" spans="7:9">
      <c r="G567" s="19">
        <f t="shared" si="28"/>
        <v>106.16666666666438</v>
      </c>
      <c r="H567" s="10">
        <f t="shared" si="27"/>
        <v>0.94603135191355869</v>
      </c>
      <c r="I567" s="5">
        <f t="shared" si="26"/>
        <v>1.2653629356208369</v>
      </c>
    </row>
    <row r="568" spans="7:9">
      <c r="G568" s="19">
        <f t="shared" si="28"/>
        <v>106.24999999999771</v>
      </c>
      <c r="H568" s="10">
        <f t="shared" si="27"/>
        <v>0.94551789474950498</v>
      </c>
      <c r="I568" s="5">
        <f t="shared" si="26"/>
        <v>1.2555431579976866</v>
      </c>
    </row>
    <row r="569" spans="7:9">
      <c r="G569" s="19">
        <f t="shared" si="28"/>
        <v>106.33333333333104</v>
      </c>
      <c r="H569" s="10">
        <f t="shared" si="27"/>
        <v>0.94499969426688046</v>
      </c>
      <c r="I569" s="5">
        <f t="shared" si="26"/>
        <v>1.2457888124594014</v>
      </c>
    </row>
    <row r="570" spans="7:9">
      <c r="G570" s="19">
        <f t="shared" si="28"/>
        <v>106.41666666666437</v>
      </c>
      <c r="H570" s="10">
        <f t="shared" si="27"/>
        <v>0.94447670943978668</v>
      </c>
      <c r="I570" s="5">
        <f t="shared" si="26"/>
        <v>1.2360996485368001</v>
      </c>
    </row>
    <row r="571" spans="7:9">
      <c r="G571" s="19">
        <f t="shared" si="28"/>
        <v>106.4999999999977</v>
      </c>
      <c r="H571" s="10">
        <f t="shared" si="27"/>
        <v>0.94394889894247502</v>
      </c>
      <c r="I571" s="5">
        <f t="shared" si="26"/>
        <v>1.2264754143274024</v>
      </c>
    </row>
    <row r="572" spans="7:9">
      <c r="G572" s="19">
        <f t="shared" si="28"/>
        <v>106.58333333333103</v>
      </c>
      <c r="H572" s="10">
        <f t="shared" si="27"/>
        <v>0.94341622114828072</v>
      </c>
      <c r="I572" s="5">
        <f t="shared" si="26"/>
        <v>1.2169158565295199</v>
      </c>
    </row>
    <row r="573" spans="7:9">
      <c r="G573" s="19">
        <f t="shared" si="28"/>
        <v>106.66666666666436</v>
      </c>
      <c r="H573" s="10">
        <f t="shared" si="27"/>
        <v>0.94287863412857864</v>
      </c>
      <c r="I573" s="5">
        <f t="shared" si="26"/>
        <v>1.2074207204762448</v>
      </c>
    </row>
    <row r="574" spans="7:9">
      <c r="G574" s="19">
        <f t="shared" si="28"/>
        <v>106.74999999999768</v>
      </c>
      <c r="H574" s="10">
        <f t="shared" si="27"/>
        <v>0.94233609565176268</v>
      </c>
      <c r="I574" s="5">
        <f t="shared" si="26"/>
        <v>1.1979897501693291</v>
      </c>
    </row>
    <row r="575" spans="7:9">
      <c r="G575" s="19">
        <f t="shared" si="28"/>
        <v>106.83333333333101</v>
      </c>
      <c r="H575" s="10">
        <f t="shared" si="27"/>
        <v>0.9417885631822499</v>
      </c>
      <c r="I575" s="5">
        <f t="shared" si="26"/>
        <v>1.1886226883129518</v>
      </c>
    </row>
    <row r="576" spans="7:9">
      <c r="G576" s="19">
        <f t="shared" si="28"/>
        <v>106.91666666666434</v>
      </c>
      <c r="H576" s="10">
        <f t="shared" si="27"/>
        <v>0.9412359938795084</v>
      </c>
      <c r="I576" s="5">
        <f t="shared" si="26"/>
        <v>1.1793192763473668</v>
      </c>
    </row>
    <row r="577" spans="7:9">
      <c r="G577" s="19">
        <f t="shared" si="28"/>
        <v>106.99999999999767</v>
      </c>
      <c r="H577" s="10">
        <f t="shared" si="27"/>
        <v>0.94067834459711142</v>
      </c>
      <c r="I577" s="5">
        <f t="shared" si="26"/>
        <v>1.170079254482425</v>
      </c>
    </row>
    <row r="578" spans="7:9">
      <c r="G578" s="19">
        <f t="shared" si="28"/>
        <v>107.083333333331</v>
      </c>
      <c r="H578" s="10">
        <f t="shared" si="27"/>
        <v>0.94011557188181771</v>
      </c>
      <c r="I578" s="5">
        <f t="shared" si="26"/>
        <v>1.1609023617309693</v>
      </c>
    </row>
    <row r="579" spans="7:9">
      <c r="G579" s="19">
        <f t="shared" si="28"/>
        <v>107.16666666666433</v>
      </c>
      <c r="H579" s="10">
        <f t="shared" si="27"/>
        <v>0.93954763197267988</v>
      </c>
      <c r="I579" s="5">
        <f t="shared" si="26"/>
        <v>1.1517883359420942</v>
      </c>
    </row>
    <row r="580" spans="7:9">
      <c r="G580" s="19">
        <f t="shared" si="28"/>
        <v>107.24999999999766</v>
      </c>
      <c r="H580" s="10">
        <f t="shared" si="27"/>
        <v>0.93897448080017976</v>
      </c>
      <c r="I580" s="5">
        <f t="shared" si="26"/>
        <v>1.1427369138342658</v>
      </c>
    </row>
    <row r="581" spans="7:9">
      <c r="G581" s="19">
        <f t="shared" si="28"/>
        <v>107.33333333333098</v>
      </c>
      <c r="H581" s="10">
        <f t="shared" si="27"/>
        <v>0.93839607398539426</v>
      </c>
      <c r="I581" s="5">
        <f t="shared" si="26"/>
        <v>1.1337478310282982</v>
      </c>
    </row>
    <row r="582" spans="7:9">
      <c r="G582" s="19">
        <f t="shared" si="28"/>
        <v>107.41666666666431</v>
      </c>
      <c r="H582" s="10">
        <f t="shared" si="27"/>
        <v>0.93781236683918967</v>
      </c>
      <c r="I582" s="5">
        <f t="shared" si="26"/>
        <v>1.1248208220801801</v>
      </c>
    </row>
    <row r="583" spans="7:9">
      <c r="G583" s="19">
        <f t="shared" si="28"/>
        <v>107.49999999999764</v>
      </c>
      <c r="H583" s="10">
        <f t="shared" si="27"/>
        <v>0.93722331436144801</v>
      </c>
      <c r="I583" s="5">
        <f t="shared" si="26"/>
        <v>1.1159556205137475</v>
      </c>
    </row>
    <row r="584" spans="7:9">
      <c r="G584" s="19">
        <f t="shared" si="28"/>
        <v>107.58333333333097</v>
      </c>
      <c r="H584" s="10">
        <f t="shared" si="27"/>
        <v>0.93662887124032423</v>
      </c>
      <c r="I584" s="5">
        <f t="shared" si="26"/>
        <v>1.1071519588531995</v>
      </c>
    </row>
    <row r="585" spans="7:9">
      <c r="G585" s="19">
        <f t="shared" si="28"/>
        <v>107.6666666666643</v>
      </c>
      <c r="H585" s="10">
        <f t="shared" si="27"/>
        <v>0.9360289918515371</v>
      </c>
      <c r="I585" s="5">
        <f t="shared" si="26"/>
        <v>1.0984095686554485</v>
      </c>
    </row>
    <row r="586" spans="7:9">
      <c r="G586" s="19">
        <f t="shared" si="28"/>
        <v>107.74999999999763</v>
      </c>
      <c r="H586" s="10">
        <f t="shared" si="27"/>
        <v>0.93542363025769293</v>
      </c>
      <c r="I586" s="5">
        <f t="shared" si="26"/>
        <v>1.0897281805423051</v>
      </c>
    </row>
    <row r="587" spans="7:9">
      <c r="G587" s="19">
        <f t="shared" si="28"/>
        <v>107.83333333333096</v>
      </c>
      <c r="H587" s="10">
        <f t="shared" si="27"/>
        <v>0.93481274020764438</v>
      </c>
      <c r="I587" s="5">
        <f t="shared" si="26"/>
        <v>1.0811075242324897</v>
      </c>
    </row>
    <row r="588" spans="7:9">
      <c r="G588" s="19">
        <f t="shared" si="28"/>
        <v>107.91666666666428</v>
      </c>
      <c r="H588" s="10">
        <f t="shared" si="27"/>
        <v>0.93419627513588421</v>
      </c>
      <c r="I588" s="5">
        <f t="shared" si="26"/>
        <v>1.0725473285734679</v>
      </c>
    </row>
    <row r="589" spans="7:9">
      <c r="G589" s="19">
        <f t="shared" si="28"/>
        <v>107.99999999999761</v>
      </c>
      <c r="H589" s="10">
        <f t="shared" si="27"/>
        <v>0.93357418816197735</v>
      </c>
      <c r="I589" s="5">
        <f t="shared" ref="I589:I652" si="29">(1/12)+H589*I590/((1+B$3)^(1/12))</f>
        <v>1.064047321573107</v>
      </c>
    </row>
    <row r="590" spans="7:9">
      <c r="G590" s="19">
        <f t="shared" si="28"/>
        <v>108.08333333333094</v>
      </c>
      <c r="H590" s="10">
        <f t="shared" ref="H590:H653" si="30">(H$9^(1/12))*H$10^((H$8^(G590))*((H$8^(1/12))-1))</f>
        <v>0.93294643209002837</v>
      </c>
      <c r="I590" s="5">
        <f t="shared" si="29"/>
        <v>1.0556072304311455</v>
      </c>
    </row>
    <row r="591" spans="7:9">
      <c r="G591" s="19">
        <f t="shared" ref="G591:G654" si="31">G590+1/12</f>
        <v>108.16666666666427</v>
      </c>
      <c r="H591" s="10">
        <f t="shared" si="30"/>
        <v>0.93231295940818992</v>
      </c>
      <c r="I591" s="5">
        <f t="shared" si="29"/>
        <v>1.0472267815704759</v>
      </c>
    </row>
    <row r="592" spans="7:9">
      <c r="G592" s="19">
        <f t="shared" si="31"/>
        <v>108.2499999999976</v>
      </c>
      <c r="H592" s="10">
        <f t="shared" si="30"/>
        <v>0.93167372228820866</v>
      </c>
      <c r="I592" s="5">
        <f t="shared" si="29"/>
        <v>1.0389057006682334</v>
      </c>
    </row>
    <row r="593" spans="7:9">
      <c r="G593" s="19">
        <f t="shared" si="31"/>
        <v>108.33333333333093</v>
      </c>
      <c r="H593" s="10">
        <f t="shared" si="30"/>
        <v>0.93102867258501432</v>
      </c>
      <c r="I593" s="5">
        <f t="shared" si="29"/>
        <v>1.0306437126866896</v>
      </c>
    </row>
    <row r="594" spans="7:9">
      <c r="G594" s="19">
        <f t="shared" si="31"/>
        <v>108.41666666666426</v>
      </c>
      <c r="H594" s="10">
        <f t="shared" si="30"/>
        <v>0.93037776183634957</v>
      </c>
      <c r="I594" s="5">
        <f t="shared" si="29"/>
        <v>1.0224405419039455</v>
      </c>
    </row>
    <row r="595" spans="7:9">
      <c r="G595" s="19">
        <f t="shared" si="31"/>
        <v>108.49999999999758</v>
      </c>
      <c r="H595" s="10">
        <f t="shared" si="30"/>
        <v>0.92972094126244276</v>
      </c>
      <c r="I595" s="5">
        <f t="shared" si="29"/>
        <v>1.014295911944419</v>
      </c>
    </row>
    <row r="596" spans="7:9">
      <c r="G596" s="19">
        <f t="shared" si="31"/>
        <v>108.58333333333091</v>
      </c>
      <c r="H596" s="10">
        <f t="shared" si="30"/>
        <v>0.92905816176572575</v>
      </c>
      <c r="I596" s="5">
        <f t="shared" si="29"/>
        <v>1.0062095458091278</v>
      </c>
    </row>
    <row r="597" spans="7:9">
      <c r="G597" s="19">
        <f t="shared" si="31"/>
        <v>108.66666666666424</v>
      </c>
      <c r="H597" s="10">
        <f t="shared" si="30"/>
        <v>0.92838937393059673</v>
      </c>
      <c r="I597" s="5">
        <f t="shared" si="29"/>
        <v>0.99818116590575812</v>
      </c>
    </row>
    <row r="598" spans="7:9">
      <c r="G598" s="19">
        <f t="shared" si="31"/>
        <v>108.74999999999757</v>
      </c>
      <c r="H598" s="10">
        <f t="shared" si="30"/>
        <v>0.92771452802322918</v>
      </c>
      <c r="I598" s="5">
        <f t="shared" si="29"/>
        <v>0.99021049407852157</v>
      </c>
    </row>
    <row r="599" spans="7:9">
      <c r="G599" s="19">
        <f t="shared" si="31"/>
        <v>108.8333333333309</v>
      </c>
      <c r="H599" s="10">
        <f t="shared" si="30"/>
        <v>0.92703357399143005</v>
      </c>
      <c r="I599" s="5">
        <f t="shared" si="29"/>
        <v>0.9822972516377928</v>
      </c>
    </row>
    <row r="600" spans="7:9">
      <c r="G600" s="19">
        <f t="shared" si="31"/>
        <v>108.91666666666423</v>
      </c>
      <c r="H600" s="10">
        <f t="shared" si="30"/>
        <v>0.92634646146454502</v>
      </c>
      <c r="I600" s="5">
        <f t="shared" si="29"/>
        <v>0.97444115938952625</v>
      </c>
    </row>
    <row r="601" spans="7:9">
      <c r="G601" s="19">
        <f t="shared" si="31"/>
        <v>108.99999999999756</v>
      </c>
      <c r="H601" s="10">
        <f t="shared" si="30"/>
        <v>0.92565313975341645</v>
      </c>
      <c r="I601" s="5">
        <f t="shared" si="29"/>
        <v>0.96664193766444972</v>
      </c>
    </row>
    <row r="602" spans="7:9">
      <c r="G602" s="19">
        <f t="shared" si="31"/>
        <v>109.08333333333088</v>
      </c>
      <c r="H602" s="10">
        <f t="shared" si="30"/>
        <v>0.92495355785039057</v>
      </c>
      <c r="I602" s="5">
        <f t="shared" si="29"/>
        <v>0.95889930634702913</v>
      </c>
    </row>
    <row r="603" spans="7:9">
      <c r="G603" s="19">
        <f t="shared" si="31"/>
        <v>109.16666666666421</v>
      </c>
      <c r="H603" s="10">
        <f t="shared" si="30"/>
        <v>0.92424766442937878</v>
      </c>
      <c r="I603" s="5">
        <f t="shared" si="29"/>
        <v>0.95121298490420447</v>
      </c>
    </row>
    <row r="604" spans="7:9">
      <c r="G604" s="19">
        <f t="shared" si="31"/>
        <v>109.24999999999754</v>
      </c>
      <c r="H604" s="10">
        <f t="shared" si="30"/>
        <v>0.92353540784597354</v>
      </c>
      <c r="I604" s="5">
        <f t="shared" si="29"/>
        <v>0.94358269241389203</v>
      </c>
    </row>
    <row r="605" spans="7:9">
      <c r="G605" s="19">
        <f t="shared" si="31"/>
        <v>109.33333333333087</v>
      </c>
      <c r="H605" s="10">
        <f t="shared" si="30"/>
        <v>0.92281673613761839</v>
      </c>
      <c r="I605" s="5">
        <f t="shared" si="29"/>
        <v>0.93600814759325091</v>
      </c>
    </row>
    <row r="606" spans="7:9">
      <c r="G606" s="19">
        <f t="shared" si="31"/>
        <v>109.4166666666642</v>
      </c>
      <c r="H606" s="10">
        <f t="shared" si="30"/>
        <v>0.92209159702383547</v>
      </c>
      <c r="I606" s="5">
        <f t="shared" si="29"/>
        <v>0.92848906882671123</v>
      </c>
    </row>
    <row r="607" spans="7:9">
      <c r="G607" s="19">
        <f t="shared" si="31"/>
        <v>109.49999999999753</v>
      </c>
      <c r="H607" s="10">
        <f t="shared" si="30"/>
        <v>0.92135993790651305</v>
      </c>
      <c r="I607" s="5">
        <f t="shared" si="29"/>
        <v>0.92102517419376129</v>
      </c>
    </row>
    <row r="608" spans="7:9">
      <c r="G608" s="19">
        <f t="shared" si="31"/>
        <v>109.58333333333086</v>
      </c>
      <c r="H608" s="10">
        <f t="shared" si="30"/>
        <v>0.92062170587024872</v>
      </c>
      <c r="I608" s="5">
        <f t="shared" si="29"/>
        <v>0.91361618149648971</v>
      </c>
    </row>
    <row r="609" spans="7:9">
      <c r="G609" s="19">
        <f t="shared" si="31"/>
        <v>109.66666666666418</v>
      </c>
      <c r="H609" s="10">
        <f t="shared" si="30"/>
        <v>0.91987684768275801</v>
      </c>
      <c r="I609" s="5">
        <f t="shared" si="29"/>
        <v>0.90626180828688419</v>
      </c>
    </row>
    <row r="610" spans="7:9">
      <c r="G610" s="19">
        <f t="shared" si="31"/>
        <v>109.74999999999751</v>
      </c>
      <c r="H610" s="10">
        <f t="shared" si="30"/>
        <v>0.9191253097953429</v>
      </c>
      <c r="I610" s="5">
        <f t="shared" si="29"/>
        <v>0.89896177189387894</v>
      </c>
    </row>
    <row r="611" spans="7:9">
      <c r="G611" s="19">
        <f t="shared" si="31"/>
        <v>109.83333333333084</v>
      </c>
      <c r="H611" s="10">
        <f t="shared" si="30"/>
        <v>0.91836703834342437</v>
      </c>
      <c r="I611" s="5">
        <f t="shared" si="29"/>
        <v>0.89171578945015317</v>
      </c>
    </row>
    <row r="612" spans="7:9">
      <c r="G612" s="19">
        <f t="shared" si="31"/>
        <v>109.91666666666417</v>
      </c>
      <c r="H612" s="10">
        <f t="shared" si="30"/>
        <v>0.91760197914714237</v>
      </c>
      <c r="I612" s="5">
        <f t="shared" si="29"/>
        <v>0.88452357791867708</v>
      </c>
    </row>
    <row r="613" spans="7:9">
      <c r="G613" s="19">
        <f t="shared" si="31"/>
        <v>109.9999999999975</v>
      </c>
      <c r="H613" s="10">
        <f t="shared" si="30"/>
        <v>0.91683007771202052</v>
      </c>
      <c r="I613" s="5">
        <f t="shared" si="29"/>
        <v>0.87738485411900147</v>
      </c>
    </row>
    <row r="614" spans="7:9">
      <c r="G614" s="19">
        <f t="shared" si="31"/>
        <v>110.08333333333083</v>
      </c>
      <c r="H614" s="10">
        <f t="shared" si="30"/>
        <v>0.91605127922970087</v>
      </c>
      <c r="I614" s="5">
        <f t="shared" si="29"/>
        <v>0.87029933475329135</v>
      </c>
    </row>
    <row r="615" spans="7:9">
      <c r="G615" s="19">
        <f t="shared" si="31"/>
        <v>110.16666666666416</v>
      </c>
      <c r="H615" s="10">
        <f t="shared" si="30"/>
        <v>0.91526552857874865</v>
      </c>
      <c r="I615" s="5">
        <f t="shared" si="29"/>
        <v>0.86326673643210128</v>
      </c>
    </row>
    <row r="616" spans="7:9">
      <c r="G616" s="19">
        <f t="shared" si="31"/>
        <v>110.24999999999748</v>
      </c>
      <c r="H616" s="10">
        <f t="shared" si="30"/>
        <v>0.91447277032552732</v>
      </c>
      <c r="I616" s="5">
        <f t="shared" si="29"/>
        <v>0.85628677569988887</v>
      </c>
    </row>
    <row r="617" spans="7:9">
      <c r="G617" s="19">
        <f t="shared" si="31"/>
        <v>110.33333333333081</v>
      </c>
      <c r="H617" s="10">
        <f t="shared" si="30"/>
        <v>0.91367294872514959</v>
      </c>
      <c r="I617" s="5">
        <f t="shared" si="29"/>
        <v>0.84935916906026743</v>
      </c>
    </row>
    <row r="618" spans="7:9">
      <c r="G618" s="19">
        <f t="shared" si="31"/>
        <v>110.41666666666414</v>
      </c>
      <c r="H618" s="10">
        <f t="shared" si="30"/>
        <v>0.91286600772250004</v>
      </c>
      <c r="I618" s="5">
        <f t="shared" si="29"/>
        <v>0.84248363300099305</v>
      </c>
    </row>
    <row r="619" spans="7:9">
      <c r="G619" s="19">
        <f t="shared" si="31"/>
        <v>110.49999999999747</v>
      </c>
      <c r="H619" s="10">
        <f t="shared" si="30"/>
        <v>0.91205189095333827</v>
      </c>
      <c r="I619" s="5">
        <f t="shared" si="29"/>
        <v>0.83565988401868818</v>
      </c>
    </row>
    <row r="620" spans="7:9">
      <c r="G620" s="19">
        <f t="shared" si="31"/>
        <v>110.5833333333308</v>
      </c>
      <c r="H620" s="10">
        <f t="shared" si="30"/>
        <v>0.91123054174547735</v>
      </c>
      <c r="I620" s="5">
        <f t="shared" si="29"/>
        <v>0.82888763864329651</v>
      </c>
    </row>
    <row r="621" spans="7:9">
      <c r="G621" s="19">
        <f t="shared" si="31"/>
        <v>110.66666666666413</v>
      </c>
      <c r="H621" s="10">
        <f t="shared" si="30"/>
        <v>0.91040190312004277</v>
      </c>
      <c r="I621" s="5">
        <f t="shared" si="29"/>
        <v>0.82216661346226982</v>
      </c>
    </row>
    <row r="622" spans="7:9">
      <c r="G622" s="19">
        <f t="shared" si="31"/>
        <v>110.74999999999746</v>
      </c>
      <c r="H622" s="10">
        <f t="shared" si="30"/>
        <v>0.90956591779281504</v>
      </c>
      <c r="I622" s="5">
        <f t="shared" si="29"/>
        <v>0.81549652514448645</v>
      </c>
    </row>
    <row r="623" spans="7:9">
      <c r="G623" s="19">
        <f t="shared" si="31"/>
        <v>110.83333333333078</v>
      </c>
      <c r="H623" s="10">
        <f t="shared" si="30"/>
        <v>0.9087225281756538</v>
      </c>
      <c r="I623" s="5">
        <f t="shared" si="29"/>
        <v>0.80887709046389755</v>
      </c>
    </row>
    <row r="624" spans="7:9">
      <c r="G624" s="19">
        <f t="shared" si="31"/>
        <v>110.91666666666411</v>
      </c>
      <c r="H624" s="10">
        <f t="shared" si="30"/>
        <v>0.90787167637800803</v>
      </c>
      <c r="I624" s="5">
        <f t="shared" si="29"/>
        <v>0.80230802632290166</v>
      </c>
    </row>
    <row r="625" spans="7:9">
      <c r="G625" s="19">
        <f t="shared" si="31"/>
        <v>110.99999999999744</v>
      </c>
      <c r="H625" s="10">
        <f t="shared" si="30"/>
        <v>0.90701330420851445</v>
      </c>
      <c r="I625" s="5">
        <f t="shared" si="29"/>
        <v>0.79578904977544684</v>
      </c>
    </row>
    <row r="626" spans="7:9">
      <c r="G626" s="19">
        <f t="shared" si="31"/>
        <v>111.08333333333077</v>
      </c>
      <c r="H626" s="10">
        <f t="shared" si="30"/>
        <v>0.90614735317668249</v>
      </c>
      <c r="I626" s="5">
        <f t="shared" si="29"/>
        <v>0.7893198780498577</v>
      </c>
    </row>
    <row r="627" spans="7:9">
      <c r="G627" s="19">
        <f t="shared" si="31"/>
        <v>111.1666666666641</v>
      </c>
      <c r="H627" s="10">
        <f t="shared" si="30"/>
        <v>0.90527376449467312</v>
      </c>
      <c r="I627" s="5">
        <f t="shared" si="29"/>
        <v>0.78290022857138897</v>
      </c>
    </row>
    <row r="628" spans="7:9">
      <c r="G628" s="19">
        <f t="shared" si="31"/>
        <v>111.24999999999743</v>
      </c>
      <c r="H628" s="10">
        <f t="shared" si="30"/>
        <v>0.90439247907916787</v>
      </c>
      <c r="I628" s="5">
        <f t="shared" si="29"/>
        <v>0.77652981898450169</v>
      </c>
    </row>
    <row r="629" spans="7:9">
      <c r="G629" s="19">
        <f t="shared" si="31"/>
        <v>111.33333333333076</v>
      </c>
      <c r="H629" s="10">
        <f t="shared" si="30"/>
        <v>0.90350343755333462</v>
      </c>
      <c r="I629" s="5">
        <f t="shared" si="29"/>
        <v>0.77020836717486429</v>
      </c>
    </row>
    <row r="630" spans="7:9">
      <c r="G630" s="19">
        <f t="shared" si="31"/>
        <v>111.41666666666409</v>
      </c>
      <c r="H630" s="10">
        <f t="shared" si="30"/>
        <v>0.90260658024888885</v>
      </c>
      <c r="I630" s="5">
        <f t="shared" si="29"/>
        <v>0.7639355912910758</v>
      </c>
    </row>
    <row r="631" spans="7:9">
      <c r="G631" s="19">
        <f t="shared" si="31"/>
        <v>111.49999999999741</v>
      </c>
      <c r="H631" s="10">
        <f t="shared" si="30"/>
        <v>0.9017018472082533</v>
      </c>
      <c r="I631" s="5">
        <f t="shared" si="29"/>
        <v>0.7577112097661115</v>
      </c>
    </row>
    <row r="632" spans="7:9">
      <c r="G632" s="19">
        <f t="shared" si="31"/>
        <v>111.58333333333074</v>
      </c>
      <c r="H632" s="10">
        <f t="shared" si="30"/>
        <v>0.90078917818681969</v>
      </c>
      <c r="I632" s="5">
        <f t="shared" si="29"/>
        <v>0.75153494133849075</v>
      </c>
    </row>
    <row r="633" spans="7:9">
      <c r="G633" s="19">
        <f t="shared" si="31"/>
        <v>111.66666666666407</v>
      </c>
      <c r="H633" s="10">
        <f t="shared" si="30"/>
        <v>0.89986851265531176</v>
      </c>
      <c r="I633" s="5">
        <f t="shared" si="29"/>
        <v>0.7454065050731653</v>
      </c>
    </row>
    <row r="634" spans="7:9">
      <c r="G634" s="19">
        <f t="shared" si="31"/>
        <v>111.7499999999974</v>
      </c>
      <c r="H634" s="10">
        <f t="shared" si="30"/>
        <v>0.89893978980225375</v>
      </c>
      <c r="I634" s="5">
        <f t="shared" si="29"/>
        <v>0.73932562038212957</v>
      </c>
    </row>
    <row r="635" spans="7:9">
      <c r="G635" s="19">
        <f t="shared" si="31"/>
        <v>111.83333333333073</v>
      </c>
      <c r="H635" s="10">
        <f t="shared" si="30"/>
        <v>0.8980029485365455</v>
      </c>
      <c r="I635" s="5">
        <f t="shared" si="29"/>
        <v>0.73329200704475095</v>
      </c>
    </row>
    <row r="636" spans="7:9">
      <c r="G636" s="19">
        <f t="shared" si="31"/>
        <v>111.91666666666406</v>
      </c>
      <c r="H636" s="10">
        <f t="shared" si="30"/>
        <v>0.8970579274901459</v>
      </c>
      <c r="I636" s="5">
        <f t="shared" si="29"/>
        <v>0.72730538522782084</v>
      </c>
    </row>
    <row r="637" spans="7:9">
      <c r="G637" s="19">
        <f t="shared" si="31"/>
        <v>111.99999999999739</v>
      </c>
      <c r="H637" s="10">
        <f t="shared" si="30"/>
        <v>0.8961046650208695</v>
      </c>
      <c r="I637" s="5">
        <f t="shared" si="29"/>
        <v>0.72136547550532626</v>
      </c>
    </row>
    <row r="638" spans="7:9">
      <c r="G638" s="19">
        <f t="shared" si="31"/>
        <v>112.08333333333071</v>
      </c>
      <c r="H638" s="10">
        <f t="shared" si="30"/>
        <v>0.89514309921529334</v>
      </c>
      <c r="I638" s="5">
        <f t="shared" si="29"/>
        <v>0.715471998877941</v>
      </c>
    </row>
    <row r="639" spans="7:9">
      <c r="G639" s="19">
        <f t="shared" si="31"/>
        <v>112.16666666666404</v>
      </c>
      <c r="H639" s="10">
        <f t="shared" si="30"/>
        <v>0.89417316789178103</v>
      </c>
      <c r="I639" s="5">
        <f t="shared" si="29"/>
        <v>0.70962467679223762</v>
      </c>
    </row>
    <row r="640" spans="7:9">
      <c r="G640" s="19">
        <f t="shared" si="31"/>
        <v>112.24999999999737</v>
      </c>
      <c r="H640" s="10">
        <f t="shared" si="30"/>
        <v>0.89319480860362566</v>
      </c>
      <c r="I640" s="5">
        <f t="shared" si="29"/>
        <v>0.70382323115962042</v>
      </c>
    </row>
    <row r="641" spans="7:9">
      <c r="G641" s="19">
        <f t="shared" si="31"/>
        <v>112.3333333333307</v>
      </c>
      <c r="H641" s="10">
        <f t="shared" si="30"/>
        <v>0.89220795864230862</v>
      </c>
      <c r="I641" s="5">
        <f t="shared" si="29"/>
        <v>0.69806738437497695</v>
      </c>
    </row>
    <row r="642" spans="7:9">
      <c r="G642" s="19">
        <f t="shared" si="31"/>
        <v>112.41666666666403</v>
      </c>
      <c r="H642" s="10">
        <f t="shared" si="30"/>
        <v>0.89121255504088537</v>
      </c>
      <c r="I642" s="5">
        <f t="shared" si="29"/>
        <v>0.6923568593350522</v>
      </c>
    </row>
    <row r="643" spans="7:9">
      <c r="G643" s="19">
        <f t="shared" si="31"/>
        <v>112.49999999999736</v>
      </c>
      <c r="H643" s="10">
        <f t="shared" si="30"/>
        <v>0.89020853457749294</v>
      </c>
      <c r="I643" s="5">
        <f t="shared" si="29"/>
        <v>0.68669137945654291</v>
      </c>
    </row>
    <row r="644" spans="7:9">
      <c r="G644" s="19">
        <f t="shared" si="31"/>
        <v>112.58333333333069</v>
      </c>
      <c r="H644" s="10">
        <f t="shared" si="30"/>
        <v>0.88919583377898337</v>
      </c>
      <c r="I644" s="5">
        <f t="shared" si="29"/>
        <v>0.68107066869391231</v>
      </c>
    </row>
    <row r="645" spans="7:9">
      <c r="G645" s="19">
        <f t="shared" si="31"/>
        <v>112.66666666666401</v>
      </c>
      <c r="H645" s="10">
        <f t="shared" si="30"/>
        <v>0.88817438892468992</v>
      </c>
      <c r="I645" s="5">
        <f t="shared" si="29"/>
        <v>0.67549445155692822</v>
      </c>
    </row>
    <row r="646" spans="7:9">
      <c r="G646" s="19">
        <f t="shared" si="31"/>
        <v>112.74999999999734</v>
      </c>
      <c r="H646" s="10">
        <f t="shared" si="30"/>
        <v>0.8871441360503205</v>
      </c>
      <c r="I646" s="5">
        <f t="shared" si="29"/>
        <v>0.66996245312792191</v>
      </c>
    </row>
    <row r="647" spans="7:9">
      <c r="G647" s="19">
        <f t="shared" si="31"/>
        <v>112.83333333333067</v>
      </c>
      <c r="H647" s="10">
        <f t="shared" si="30"/>
        <v>0.88610501095198857</v>
      </c>
      <c r="I647" s="5">
        <f t="shared" si="29"/>
        <v>0.66447439907877015</v>
      </c>
    </row>
    <row r="648" spans="7:9">
      <c r="G648" s="19">
        <f t="shared" si="31"/>
        <v>112.916666666664</v>
      </c>
      <c r="H648" s="10">
        <f t="shared" si="30"/>
        <v>0.88505694919037892</v>
      </c>
      <c r="I648" s="5">
        <f t="shared" si="29"/>
        <v>0.65903001568760011</v>
      </c>
    </row>
    <row r="649" spans="7:9">
      <c r="G649" s="19">
        <f t="shared" si="31"/>
        <v>112.99999999999733</v>
      </c>
      <c r="H649" s="10">
        <f t="shared" si="30"/>
        <v>0.88399988609505098</v>
      </c>
      <c r="I649" s="5">
        <f t="shared" si="29"/>
        <v>0.65362902985521798</v>
      </c>
    </row>
    <row r="650" spans="7:9">
      <c r="G650" s="19">
        <f t="shared" si="31"/>
        <v>113.08333333333066</v>
      </c>
      <c r="H650" s="10">
        <f t="shared" si="30"/>
        <v>0.88293375676888719</v>
      </c>
      <c r="I650" s="5">
        <f t="shared" si="29"/>
        <v>0.64827116912126348</v>
      </c>
    </row>
    <row r="651" spans="7:9">
      <c r="G651" s="19">
        <f t="shared" si="31"/>
        <v>113.16666666666399</v>
      </c>
      <c r="H651" s="10">
        <f t="shared" si="30"/>
        <v>0.88185849609268052</v>
      </c>
      <c r="I651" s="5">
        <f t="shared" si="29"/>
        <v>0.64295616168008718</v>
      </c>
    </row>
    <row r="652" spans="7:9">
      <c r="G652" s="19">
        <f t="shared" si="31"/>
        <v>113.24999999999731</v>
      </c>
      <c r="H652" s="10">
        <f t="shared" si="30"/>
        <v>0.88077403872987281</v>
      </c>
      <c r="I652" s="5">
        <f t="shared" si="29"/>
        <v>0.63768373639635612</v>
      </c>
    </row>
    <row r="653" spans="7:9">
      <c r="G653" s="19">
        <f t="shared" si="31"/>
        <v>113.33333333333064</v>
      </c>
      <c r="H653" s="10">
        <f t="shared" si="30"/>
        <v>0.87968031913143918</v>
      </c>
      <c r="I653" s="5">
        <f t="shared" ref="I653:I716" si="32">(1/12)+H653*I654/((1+B$3)^(1/12))</f>
        <v>0.6324536228203852</v>
      </c>
    </row>
    <row r="654" spans="7:9">
      <c r="G654" s="19">
        <f t="shared" si="31"/>
        <v>113.41666666666397</v>
      </c>
      <c r="H654" s="10">
        <f t="shared" ref="H654:H717" si="33">(H$9^(1/12))*H$10^((H$8^(G654))*((H$8^(1/12))-1))</f>
        <v>0.87857727154092402</v>
      </c>
      <c r="I654" s="5">
        <f t="shared" si="32"/>
        <v>0.62726555120319627</v>
      </c>
    </row>
    <row r="655" spans="7:9">
      <c r="G655" s="19">
        <f t="shared" ref="G655:G718" si="34">G654+1/12</f>
        <v>113.4999999999973</v>
      </c>
      <c r="H655" s="10">
        <f t="shared" si="33"/>
        <v>0.87746482999963393</v>
      </c>
      <c r="I655" s="5">
        <f t="shared" si="32"/>
        <v>0.62211925251130751</v>
      </c>
    </row>
    <row r="656" spans="7:9">
      <c r="G656" s="19">
        <f t="shared" si="34"/>
        <v>113.58333333333063</v>
      </c>
      <c r="H656" s="10">
        <f t="shared" si="33"/>
        <v>0.87634292835198402</v>
      </c>
      <c r="I656" s="5">
        <f t="shared" si="32"/>
        <v>0.61701445844125014</v>
      </c>
    </row>
    <row r="657" spans="7:9">
      <c r="G657" s="19">
        <f t="shared" si="34"/>
        <v>113.66666666666396</v>
      </c>
      <c r="H657" s="10">
        <f t="shared" si="33"/>
        <v>0.87521150025100591</v>
      </c>
      <c r="I657" s="5">
        <f t="shared" si="32"/>
        <v>0.61195090143381847</v>
      </c>
    </row>
    <row r="658" spans="7:9">
      <c r="G658" s="19">
        <f t="shared" si="34"/>
        <v>113.74999999999729</v>
      </c>
      <c r="H658" s="10">
        <f t="shared" si="33"/>
        <v>0.87407047916401692</v>
      </c>
      <c r="I658" s="5">
        <f t="shared" si="32"/>
        <v>0.60692831468804997</v>
      </c>
    </row>
    <row r="659" spans="7:9">
      <c r="G659" s="19">
        <f t="shared" si="34"/>
        <v>113.83333333333061</v>
      </c>
      <c r="H659" s="10">
        <f t="shared" si="33"/>
        <v>0.8729197983784549</v>
      </c>
      <c r="I659" s="5">
        <f t="shared" si="32"/>
        <v>0.60194643217494037</v>
      </c>
    </row>
    <row r="660" spans="7:9">
      <c r="G660" s="19">
        <f t="shared" si="34"/>
        <v>113.91666666666394</v>
      </c>
      <c r="H660" s="10">
        <f t="shared" si="33"/>
        <v>0.87175939100787969</v>
      </c>
      <c r="I660" s="5">
        <f t="shared" si="32"/>
        <v>0.59700498865089124</v>
      </c>
    </row>
    <row r="661" spans="7:9">
      <c r="G661" s="19">
        <f t="shared" si="34"/>
        <v>113.99999999999727</v>
      </c>
      <c r="H661" s="10">
        <f t="shared" si="33"/>
        <v>0.8705891899981465</v>
      </c>
      <c r="I661" s="5">
        <f t="shared" si="32"/>
        <v>0.59210371967089481</v>
      </c>
    </row>
    <row r="662" spans="7:9">
      <c r="G662" s="19">
        <f t="shared" si="34"/>
        <v>114.0833333333306</v>
      </c>
      <c r="H662" s="10">
        <f t="shared" si="33"/>
        <v>0.86940912813375004</v>
      </c>
      <c r="I662" s="5">
        <f t="shared" si="32"/>
        <v>0.58724236160145415</v>
      </c>
    </row>
    <row r="663" spans="7:9">
      <c r="G663" s="19">
        <f t="shared" si="34"/>
        <v>114.16666666666393</v>
      </c>
      <c r="H663" s="10">
        <f t="shared" si="33"/>
        <v>0.86821913804434792</v>
      </c>
      <c r="I663" s="5">
        <f t="shared" si="32"/>
        <v>0.58242065163324341</v>
      </c>
    </row>
    <row r="664" spans="7:9">
      <c r="G664" s="19">
        <f t="shared" si="34"/>
        <v>114.24999999999726</v>
      </c>
      <c r="H664" s="10">
        <f t="shared" si="33"/>
        <v>0.86701915221145953</v>
      </c>
      <c r="I664" s="5">
        <f t="shared" si="32"/>
        <v>0.5776383277935061</v>
      </c>
    </row>
    <row r="665" spans="7:9">
      <c r="G665" s="19">
        <f t="shared" si="34"/>
        <v>114.33333333333059</v>
      </c>
      <c r="H665" s="10">
        <f t="shared" si="33"/>
        <v>0.86580910297534941</v>
      </c>
      <c r="I665" s="5">
        <f t="shared" si="32"/>
        <v>0.57289512895819528</v>
      </c>
    </row>
    <row r="666" spans="7:9">
      <c r="G666" s="19">
        <f t="shared" si="34"/>
        <v>114.41666666666391</v>
      </c>
      <c r="H666" s="10">
        <f t="shared" si="33"/>
        <v>0.86458892254209319</v>
      </c>
      <c r="I666" s="5">
        <f t="shared" si="32"/>
        <v>0.56819079486385615</v>
      </c>
    </row>
    <row r="667" spans="7:9">
      <c r="G667" s="19">
        <f t="shared" si="34"/>
        <v>114.49999999999724</v>
      </c>
      <c r="H667" s="10">
        <f t="shared" si="33"/>
        <v>0.86335854299083181</v>
      </c>
      <c r="I667" s="5">
        <f t="shared" si="32"/>
        <v>0.56352506611925268</v>
      </c>
    </row>
    <row r="668" spans="7:9">
      <c r="G668" s="19">
        <f t="shared" si="34"/>
        <v>114.58333333333057</v>
      </c>
      <c r="H668" s="10">
        <f t="shared" si="33"/>
        <v>0.86211789628121638</v>
      </c>
      <c r="I668" s="5">
        <f t="shared" si="32"/>
        <v>0.5588976842167398</v>
      </c>
    </row>
    <row r="669" spans="7:9">
      <c r="G669" s="19">
        <f t="shared" si="34"/>
        <v>114.6666666666639</v>
      </c>
      <c r="H669" s="10">
        <f t="shared" si="33"/>
        <v>0.86086691426104567</v>
      </c>
      <c r="I669" s="5">
        <f t="shared" si="32"/>
        <v>0.55430839154338285</v>
      </c>
    </row>
    <row r="670" spans="7:9">
      <c r="G670" s="19">
        <f t="shared" si="34"/>
        <v>114.74999999999723</v>
      </c>
      <c r="H670" s="10">
        <f t="shared" si="33"/>
        <v>0.85960552867410023</v>
      </c>
      <c r="I670" s="5">
        <f t="shared" si="32"/>
        <v>0.54975693139182569</v>
      </c>
    </row>
    <row r="671" spans="7:9">
      <c r="G671" s="19">
        <f t="shared" si="34"/>
        <v>114.83333333333056</v>
      </c>
      <c r="H671" s="10">
        <f t="shared" si="33"/>
        <v>0.85833367116817594</v>
      </c>
      <c r="I671" s="5">
        <f t="shared" si="32"/>
        <v>0.54524304797090928</v>
      </c>
    </row>
    <row r="672" spans="7:9">
      <c r="G672" s="19">
        <f t="shared" si="34"/>
        <v>114.91666666666389</v>
      </c>
      <c r="H672" s="10">
        <f t="shared" si="33"/>
        <v>0.85705127330331854</v>
      </c>
      <c r="I672" s="5">
        <f t="shared" si="32"/>
        <v>0.54076648641604275</v>
      </c>
    </row>
    <row r="673" spans="7:9">
      <c r="G673" s="19">
        <f t="shared" si="34"/>
        <v>114.99999999999721</v>
      </c>
      <c r="H673" s="10">
        <f t="shared" si="33"/>
        <v>0.85575826656026599</v>
      </c>
      <c r="I673" s="5">
        <f t="shared" si="32"/>
        <v>0.53632699279932805</v>
      </c>
    </row>
    <row r="674" spans="7:9">
      <c r="G674" s="19">
        <f t="shared" si="34"/>
        <v>115.08333333333054</v>
      </c>
      <c r="H674" s="10">
        <f t="shared" si="33"/>
        <v>0.85445458234909533</v>
      </c>
      <c r="I674" s="5">
        <f t="shared" si="32"/>
        <v>0.53192431413943964</v>
      </c>
    </row>
    <row r="675" spans="7:9">
      <c r="G675" s="19">
        <f t="shared" si="34"/>
        <v>115.16666666666387</v>
      </c>
      <c r="H675" s="10">
        <f t="shared" si="33"/>
        <v>0.85314015201808446</v>
      </c>
      <c r="I675" s="5">
        <f t="shared" si="32"/>
        <v>0.52755819841126295</v>
      </c>
    </row>
    <row r="676" spans="7:9">
      <c r="G676" s="19">
        <f t="shared" si="34"/>
        <v>115.2499999999972</v>
      </c>
      <c r="H676" s="10">
        <f t="shared" si="33"/>
        <v>0.85181490686278627</v>
      </c>
      <c r="I676" s="5">
        <f t="shared" si="32"/>
        <v>0.5232283945552908</v>
      </c>
    </row>
    <row r="677" spans="7:9">
      <c r="G677" s="19">
        <f t="shared" si="34"/>
        <v>115.33333333333053</v>
      </c>
      <c r="H677" s="10">
        <f t="shared" si="33"/>
        <v>0.85047877813531925</v>
      </c>
      <c r="I677" s="5">
        <f t="shared" si="32"/>
        <v>0.51893465248678128</v>
      </c>
    </row>
    <row r="678" spans="7:9">
      <c r="G678" s="19">
        <f t="shared" si="34"/>
        <v>115.41666666666386</v>
      </c>
      <c r="H678" s="10">
        <f t="shared" si="33"/>
        <v>0.84913169705388192</v>
      </c>
      <c r="I678" s="5">
        <f t="shared" si="32"/>
        <v>0.51467672310467905</v>
      </c>
    </row>
    <row r="679" spans="7:9">
      <c r="G679" s="19">
        <f t="shared" si="34"/>
        <v>115.49999999999719</v>
      </c>
      <c r="H679" s="10">
        <f t="shared" si="33"/>
        <v>0.84777359481248626</v>
      </c>
      <c r="I679" s="5">
        <f t="shared" si="32"/>
        <v>0.51045435830030017</v>
      </c>
    </row>
    <row r="680" spans="7:9">
      <c r="G680" s="19">
        <f t="shared" si="34"/>
        <v>115.58333333333051</v>
      </c>
      <c r="H680" s="10">
        <f t="shared" si="33"/>
        <v>0.84640440259092209</v>
      </c>
      <c r="I680" s="5">
        <f t="shared" si="32"/>
        <v>0.50626731096578526</v>
      </c>
    </row>
    <row r="681" spans="7:9">
      <c r="G681" s="19">
        <f t="shared" si="34"/>
        <v>115.66666666666384</v>
      </c>
      <c r="H681" s="10">
        <f t="shared" si="33"/>
        <v>0.84502405156494809</v>
      </c>
      <c r="I681" s="5">
        <f t="shared" si="32"/>
        <v>0.5021153350023202</v>
      </c>
    </row>
    <row r="682" spans="7:9">
      <c r="G682" s="19">
        <f t="shared" si="34"/>
        <v>115.74999999999717</v>
      </c>
      <c r="H682" s="10">
        <f t="shared" si="33"/>
        <v>0.84363247291671661</v>
      </c>
      <c r="I682" s="5">
        <f t="shared" si="32"/>
        <v>0.49799818532812751</v>
      </c>
    </row>
    <row r="683" spans="7:9">
      <c r="G683" s="19">
        <f t="shared" si="34"/>
        <v>115.8333333333305</v>
      </c>
      <c r="H683" s="10">
        <f t="shared" si="33"/>
        <v>0.8422295978454355</v>
      </c>
      <c r="I683" s="5">
        <f t="shared" si="32"/>
        <v>0.49391561788623123</v>
      </c>
    </row>
    <row r="684" spans="7:9">
      <c r="G684" s="19">
        <f t="shared" si="34"/>
        <v>115.91666666666383</v>
      </c>
      <c r="H684" s="10">
        <f t="shared" si="33"/>
        <v>0.84081535757826631</v>
      </c>
      <c r="I684" s="5">
        <f t="shared" si="32"/>
        <v>0.48986738965199528</v>
      </c>
    </row>
    <row r="685" spans="7:9">
      <c r="G685" s="19">
        <f t="shared" si="34"/>
        <v>115.99999999999716</v>
      </c>
      <c r="H685" s="10">
        <f t="shared" si="33"/>
        <v>0.83938968338146858</v>
      </c>
      <c r="I685" s="5">
        <f t="shared" si="32"/>
        <v>0.48585325864043954</v>
      </c>
    </row>
    <row r="686" spans="7:9">
      <c r="G686" s="19">
        <f t="shared" si="34"/>
        <v>116.08333333333049</v>
      </c>
      <c r="H686" s="10">
        <f t="shared" si="33"/>
        <v>0.83795250657178533</v>
      </c>
      <c r="I686" s="5">
        <f t="shared" si="32"/>
        <v>0.48187298391333372</v>
      </c>
    </row>
    <row r="687" spans="7:9">
      <c r="G687" s="19">
        <f t="shared" si="34"/>
        <v>116.16666666666382</v>
      </c>
      <c r="H687" s="10">
        <f t="shared" si="33"/>
        <v>0.83650375852807923</v>
      </c>
      <c r="I687" s="5">
        <f t="shared" si="32"/>
        <v>0.47792632558607256</v>
      </c>
    </row>
    <row r="688" spans="7:9">
      <c r="G688" s="19">
        <f t="shared" si="34"/>
        <v>116.24999999999714</v>
      </c>
      <c r="H688" s="10">
        <f t="shared" si="33"/>
        <v>0.83504337070322054</v>
      </c>
      <c r="I688" s="5">
        <f t="shared" si="32"/>
        <v>0.47401304483433415</v>
      </c>
    </row>
    <row r="689" spans="7:9">
      <c r="G689" s="19">
        <f t="shared" si="34"/>
        <v>116.33333333333047</v>
      </c>
      <c r="H689" s="10">
        <f t="shared" si="33"/>
        <v>0.83357127463622904</v>
      </c>
      <c r="I689" s="5">
        <f t="shared" si="32"/>
        <v>0.47013290390052254</v>
      </c>
    </row>
    <row r="690" spans="7:9">
      <c r="G690" s="19">
        <f t="shared" si="34"/>
        <v>116.4166666666638</v>
      </c>
      <c r="H690" s="10">
        <f t="shared" si="33"/>
        <v>0.83208740196467235</v>
      </c>
      <c r="I690" s="5">
        <f t="shared" si="32"/>
        <v>0.46628566609999744</v>
      </c>
    </row>
    <row r="691" spans="7:9">
      <c r="G691" s="19">
        <f t="shared" si="34"/>
        <v>116.49999999999713</v>
      </c>
      <c r="H691" s="10">
        <f t="shared" si="33"/>
        <v>0.83059168443732889</v>
      </c>
      <c r="I691" s="5">
        <f t="shared" si="32"/>
        <v>0.46247109582709434</v>
      </c>
    </row>
    <row r="692" spans="7:9">
      <c r="G692" s="19">
        <f t="shared" si="34"/>
        <v>116.58333333333046</v>
      </c>
      <c r="H692" s="10">
        <f t="shared" si="33"/>
        <v>0.82908405392711004</v>
      </c>
      <c r="I692" s="5">
        <f t="shared" si="32"/>
        <v>0.45868895856093411</v>
      </c>
    </row>
    <row r="693" spans="7:9">
      <c r="G693" s="19">
        <f t="shared" si="34"/>
        <v>116.66666666666379</v>
      </c>
      <c r="H693" s="10">
        <f t="shared" si="33"/>
        <v>0.82756444244425398</v>
      </c>
      <c r="I693" s="5">
        <f t="shared" si="32"/>
        <v>0.45493902087102805</v>
      </c>
    </row>
    <row r="694" spans="7:9">
      <c r="G694" s="19">
        <f t="shared" si="34"/>
        <v>116.74999999999712</v>
      </c>
      <c r="H694" s="10">
        <f t="shared" si="33"/>
        <v>0.82603278214978704</v>
      </c>
      <c r="I694" s="5">
        <f t="shared" si="32"/>
        <v>0.45122105042267724</v>
      </c>
    </row>
    <row r="695" spans="7:9">
      <c r="G695" s="19">
        <f t="shared" si="34"/>
        <v>116.83333333333044</v>
      </c>
      <c r="H695" s="10">
        <f t="shared" si="33"/>
        <v>0.82448900536925707</v>
      </c>
      <c r="I695" s="5">
        <f t="shared" si="32"/>
        <v>0.4475348159821701</v>
      </c>
    </row>
    <row r="696" spans="7:9">
      <c r="G696" s="19">
        <f t="shared" si="34"/>
        <v>116.91666666666377</v>
      </c>
      <c r="H696" s="10">
        <f t="shared" si="33"/>
        <v>0.8229330446067481</v>
      </c>
      <c r="I696" s="5">
        <f t="shared" si="32"/>
        <v>0.44388008742178081</v>
      </c>
    </row>
    <row r="697" spans="7:9">
      <c r="G697" s="19">
        <f t="shared" si="34"/>
        <v>116.9999999999971</v>
      </c>
      <c r="H697" s="10">
        <f t="shared" si="33"/>
        <v>0.82136483255916815</v>
      </c>
      <c r="I697" s="5">
        <f t="shared" si="32"/>
        <v>0.44025663572456869</v>
      </c>
    </row>
    <row r="698" spans="7:9">
      <c r="G698" s="19">
        <f t="shared" si="34"/>
        <v>117.08333333333043</v>
      </c>
      <c r="H698" s="10">
        <f t="shared" si="33"/>
        <v>0.81978430213082443</v>
      </c>
      <c r="I698" s="5">
        <f t="shared" si="32"/>
        <v>0.43666423298898338</v>
      </c>
    </row>
    <row r="699" spans="7:9">
      <c r="G699" s="19">
        <f t="shared" si="34"/>
        <v>117.16666666666376</v>
      </c>
      <c r="H699" s="10">
        <f t="shared" si="33"/>
        <v>0.81819138644828171</v>
      </c>
      <c r="I699" s="5">
        <f t="shared" si="32"/>
        <v>0.43310265243327589</v>
      </c>
    </row>
    <row r="700" spans="7:9">
      <c r="G700" s="19">
        <f t="shared" si="34"/>
        <v>117.24999999999709</v>
      </c>
      <c r="H700" s="10">
        <f t="shared" si="33"/>
        <v>0.8165860188755073</v>
      </c>
      <c r="I700" s="5">
        <f t="shared" si="32"/>
        <v>0.42957166839971844</v>
      </c>
    </row>
    <row r="701" spans="7:9">
      <c r="G701" s="19">
        <f t="shared" si="34"/>
        <v>117.33333333333042</v>
      </c>
      <c r="H701" s="10">
        <f t="shared" si="33"/>
        <v>0.81496813302931237</v>
      </c>
      <c r="I701" s="5">
        <f t="shared" si="32"/>
        <v>0.42607105635863657</v>
      </c>
    </row>
    <row r="702" spans="7:9">
      <c r="G702" s="19">
        <f t="shared" si="34"/>
        <v>117.41666666666374</v>
      </c>
      <c r="H702" s="10">
        <f t="shared" si="33"/>
        <v>0.81333766279508135</v>
      </c>
      <c r="I702" s="5">
        <f t="shared" si="32"/>
        <v>0.42260059291225321</v>
      </c>
    </row>
    <row r="703" spans="7:9">
      <c r="G703" s="19">
        <f t="shared" si="34"/>
        <v>117.49999999999707</v>
      </c>
      <c r="H703" s="10">
        <f t="shared" si="33"/>
        <v>0.81169454234280392</v>
      </c>
      <c r="I703" s="5">
        <f t="shared" si="32"/>
        <v>0.41916005579834975</v>
      </c>
    </row>
    <row r="704" spans="7:9">
      <c r="G704" s="19">
        <f t="shared" si="34"/>
        <v>117.5833333333304</v>
      </c>
      <c r="H704" s="10">
        <f t="shared" si="33"/>
        <v>0.81003870614340368</v>
      </c>
      <c r="I704" s="5">
        <f t="shared" si="32"/>
        <v>0.41574922389374386</v>
      </c>
    </row>
    <row r="705" spans="7:9">
      <c r="G705" s="19">
        <f t="shared" si="34"/>
        <v>117.66666666666373</v>
      </c>
      <c r="H705" s="10">
        <f t="shared" si="33"/>
        <v>0.80837008898536911</v>
      </c>
      <c r="I705" s="5">
        <f t="shared" si="32"/>
        <v>0.41236787721758789</v>
      </c>
    </row>
    <row r="706" spans="7:9">
      <c r="G706" s="19">
        <f t="shared" si="34"/>
        <v>117.74999999999706</v>
      </c>
      <c r="H706" s="10">
        <f t="shared" si="33"/>
        <v>0.80668862599169477</v>
      </c>
      <c r="I706" s="5">
        <f t="shared" si="32"/>
        <v>0.40901579693449053</v>
      </c>
    </row>
    <row r="707" spans="7:9">
      <c r="G707" s="19">
        <f t="shared" si="34"/>
        <v>117.83333333333039</v>
      </c>
      <c r="H707" s="10">
        <f t="shared" si="33"/>
        <v>0.80499425263712399</v>
      </c>
      <c r="I707" s="5">
        <f t="shared" si="32"/>
        <v>0.40569276535746118</v>
      </c>
    </row>
    <row r="708" spans="7:9">
      <c r="G708" s="19">
        <f t="shared" si="34"/>
        <v>117.91666666666372</v>
      </c>
      <c r="H708" s="10">
        <f t="shared" si="33"/>
        <v>0.80328690476570885</v>
      </c>
      <c r="I708" s="5">
        <f t="shared" si="32"/>
        <v>0.40239856595068307</v>
      </c>
    </row>
    <row r="709" spans="7:9">
      <c r="G709" s="19">
        <f t="shared" si="34"/>
        <v>117.99999999999704</v>
      </c>
      <c r="H709" s="10">
        <f t="shared" si="33"/>
        <v>0.80156651860868067</v>
      </c>
      <c r="I709" s="5">
        <f t="shared" si="32"/>
        <v>0.39913298333211467</v>
      </c>
    </row>
    <row r="710" spans="7:9">
      <c r="G710" s="19">
        <f t="shared" si="34"/>
        <v>118.08333333333037</v>
      </c>
      <c r="H710" s="10">
        <f t="shared" si="33"/>
        <v>0.79983303080263557</v>
      </c>
      <c r="I710" s="5">
        <f t="shared" si="32"/>
        <v>0.39589580327592216</v>
      </c>
    </row>
    <row r="711" spans="7:9">
      <c r="G711" s="19">
        <f t="shared" si="34"/>
        <v>118.1666666666637</v>
      </c>
      <c r="H711" s="10">
        <f t="shared" si="33"/>
        <v>0.79808637840804397</v>
      </c>
      <c r="I711" s="5">
        <f t="shared" si="32"/>
        <v>0.39268681271474692</v>
      </c>
    </row>
    <row r="712" spans="7:9">
      <c r="G712" s="19">
        <f t="shared" si="34"/>
        <v>118.24999999999703</v>
      </c>
      <c r="H712" s="10">
        <f t="shared" si="33"/>
        <v>0.7963264989280745</v>
      </c>
      <c r="I712" s="5">
        <f t="shared" si="32"/>
        <v>0.38950579974180682</v>
      </c>
    </row>
    <row r="713" spans="7:9">
      <c r="G713" s="19">
        <f t="shared" si="34"/>
        <v>118.33333333333036</v>
      </c>
      <c r="H713" s="10">
        <f t="shared" si="33"/>
        <v>0.79455333032774855</v>
      </c>
      <c r="I713" s="5">
        <f t="shared" si="32"/>
        <v>0.3863525536128381</v>
      </c>
    </row>
    <row r="714" spans="7:9">
      <c r="G714" s="19">
        <f t="shared" si="34"/>
        <v>118.41666666666369</v>
      </c>
      <c r="H714" s="10">
        <f t="shared" si="33"/>
        <v>0.79276681105341618</v>
      </c>
      <c r="I714" s="5">
        <f t="shared" si="32"/>
        <v>0.38322686474787548</v>
      </c>
    </row>
    <row r="715" spans="7:9">
      <c r="G715" s="19">
        <f t="shared" si="34"/>
        <v>118.49999999999702</v>
      </c>
      <c r="H715" s="10">
        <f t="shared" si="33"/>
        <v>0.79096688005256144</v>
      </c>
      <c r="I715" s="5">
        <f t="shared" si="32"/>
        <v>0.38012852473287601</v>
      </c>
    </row>
    <row r="716" spans="7:9">
      <c r="G716" s="19">
        <f t="shared" si="34"/>
        <v>118.58333333333034</v>
      </c>
      <c r="H716" s="10">
        <f t="shared" si="33"/>
        <v>0.78915347679394088</v>
      </c>
      <c r="I716" s="5">
        <f t="shared" si="32"/>
        <v>0.37705732632118799</v>
      </c>
    </row>
    <row r="717" spans="7:9">
      <c r="G717" s="19">
        <f t="shared" si="34"/>
        <v>118.66666666666367</v>
      </c>
      <c r="H717" s="10">
        <f t="shared" si="33"/>
        <v>0.78732654128805235</v>
      </c>
      <c r="I717" s="5">
        <f t="shared" ref="I717:I780" si="35">(1/12)+H717*I718/((1+B$3)^(1/12))</f>
        <v>0.37401306343486634</v>
      </c>
    </row>
    <row r="718" spans="7:9">
      <c r="G718" s="19">
        <f t="shared" si="34"/>
        <v>118.749999999997</v>
      </c>
      <c r="H718" s="10">
        <f t="shared" ref="H718:H781" si="36">(H$9^(1/12))*H$10^((H$8^(G718))*((H$8^(1/12))-1))</f>
        <v>0.7854860141079385</v>
      </c>
      <c r="I718" s="5">
        <f t="shared" si="35"/>
        <v>0.37099553116583728</v>
      </c>
    </row>
    <row r="719" spans="7:9">
      <c r="G719" s="19">
        <f t="shared" ref="G719:G782" si="37">G718+1/12</f>
        <v>118.83333333333033</v>
      </c>
      <c r="H719" s="10">
        <f t="shared" si="36"/>
        <v>0.78363183641033007</v>
      </c>
      <c r="I719" s="5">
        <f t="shared" si="35"/>
        <v>0.36800452577691539</v>
      </c>
    </row>
    <row r="720" spans="7:9">
      <c r="G720" s="19">
        <f t="shared" si="37"/>
        <v>118.91666666666366</v>
      </c>
      <c r="H720" s="10">
        <f t="shared" si="36"/>
        <v>0.78176394995712462</v>
      </c>
      <c r="I720" s="5">
        <f t="shared" si="35"/>
        <v>0.36503984470267348</v>
      </c>
    </row>
    <row r="721" spans="7:9">
      <c r="G721" s="19">
        <f t="shared" si="37"/>
        <v>118.99999999999699</v>
      </c>
      <c r="H721" s="10">
        <f t="shared" si="36"/>
        <v>0.77988229713720891</v>
      </c>
      <c r="I721" s="5">
        <f t="shared" si="35"/>
        <v>0.36210128655016904</v>
      </c>
    </row>
    <row r="722" spans="7:9">
      <c r="G722" s="19">
        <f t="shared" si="37"/>
        <v>119.08333333333032</v>
      </c>
      <c r="H722" s="10">
        <f t="shared" si="36"/>
        <v>0.77798682098862249</v>
      </c>
      <c r="I722" s="5">
        <f t="shared" si="35"/>
        <v>0.35918865109952863</v>
      </c>
    </row>
    <row r="723" spans="7:9">
      <c r="G723" s="19">
        <f t="shared" si="37"/>
        <v>119.16666666666364</v>
      </c>
      <c r="H723" s="10">
        <f t="shared" si="36"/>
        <v>0.77607746522106302</v>
      </c>
      <c r="I723" s="5">
        <f t="shared" si="35"/>
        <v>0.3563017393043923</v>
      </c>
    </row>
    <row r="724" spans="7:9">
      <c r="G724" s="19">
        <f t="shared" si="37"/>
        <v>119.24999999999697</v>
      </c>
      <c r="H724" s="10">
        <f t="shared" si="36"/>
        <v>0.77415417423874344</v>
      </c>
      <c r="I724" s="5">
        <f t="shared" si="35"/>
        <v>0.3534403532922214</v>
      </c>
    </row>
    <row r="725" spans="7:9">
      <c r="G725" s="19">
        <f t="shared" si="37"/>
        <v>119.3333333333303</v>
      </c>
      <c r="H725" s="10">
        <f t="shared" si="36"/>
        <v>0.77221689316358844</v>
      </c>
      <c r="I725" s="5">
        <f t="shared" si="35"/>
        <v>0.35060429636447016</v>
      </c>
    </row>
    <row r="726" spans="7:9">
      <c r="G726" s="19">
        <f t="shared" si="37"/>
        <v>119.41666666666363</v>
      </c>
      <c r="H726" s="10">
        <f t="shared" si="36"/>
        <v>0.77026556785878619</v>
      </c>
      <c r="I726" s="5">
        <f t="shared" si="35"/>
        <v>0.34779337299662505</v>
      </c>
    </row>
    <row r="727" spans="7:9">
      <c r="G727" s="19">
        <f t="shared" si="37"/>
        <v>119.49999999999696</v>
      </c>
      <c r="H727" s="10">
        <f t="shared" si="36"/>
        <v>0.76830014495268562</v>
      </c>
      <c r="I727" s="5">
        <f t="shared" si="35"/>
        <v>0.34500738883811205</v>
      </c>
    </row>
    <row r="728" spans="7:9">
      <c r="G728" s="19">
        <f t="shared" si="37"/>
        <v>119.58333333333029</v>
      </c>
      <c r="H728" s="10">
        <f t="shared" si="36"/>
        <v>0.76632057186304381</v>
      </c>
      <c r="I728" s="5">
        <f t="shared" si="35"/>
        <v>0.34224615071207592</v>
      </c>
    </row>
    <row r="729" spans="7:9">
      <c r="G729" s="19">
        <f t="shared" si="37"/>
        <v>119.66666666666362</v>
      </c>
      <c r="H729" s="10">
        <f t="shared" si="36"/>
        <v>0.76432679682162996</v>
      </c>
      <c r="I729" s="5">
        <f t="shared" si="35"/>
        <v>0.33950946661503301</v>
      </c>
    </row>
    <row r="730" spans="7:9">
      <c r="G730" s="19">
        <f t="shared" si="37"/>
        <v>119.74999999999694</v>
      </c>
      <c r="H730" s="10">
        <f t="shared" si="36"/>
        <v>0.76231876889917538</v>
      </c>
      <c r="I730" s="5">
        <f t="shared" si="35"/>
        <v>0.33679714571639829</v>
      </c>
    </row>
    <row r="731" spans="7:9">
      <c r="G731" s="19">
        <f t="shared" si="37"/>
        <v>119.83333333333027</v>
      </c>
      <c r="H731" s="10">
        <f t="shared" si="36"/>
        <v>0.76029643803068181</v>
      </c>
      <c r="I731" s="5">
        <f t="shared" si="35"/>
        <v>0.33410899835789115</v>
      </c>
    </row>
    <row r="732" spans="7:9">
      <c r="G732" s="19">
        <f t="shared" si="37"/>
        <v>119.9166666666636</v>
      </c>
      <c r="H732" s="10">
        <f t="shared" si="36"/>
        <v>0.75825975504108134</v>
      </c>
      <c r="I732" s="5">
        <f t="shared" si="35"/>
        <v>0.3314448360528201</v>
      </c>
    </row>
    <row r="733" spans="7:9">
      <c r="G733" s="19">
        <f t="shared" si="37"/>
        <v>119.99999999999693</v>
      </c>
      <c r="H733" s="10">
        <f t="shared" si="36"/>
        <v>0.75620867167124839</v>
      </c>
      <c r="I733" s="5">
        <f t="shared" si="35"/>
        <v>0.32880447148524899</v>
      </c>
    </row>
    <row r="734" spans="7:9">
      <c r="G734" s="19">
        <f t="shared" si="37"/>
        <v>120.08333333333026</v>
      </c>
      <c r="H734" s="10">
        <f t="shared" si="36"/>
        <v>0.75414314060437182</v>
      </c>
      <c r="I734" s="5">
        <f t="shared" si="35"/>
        <v>0.32618771850904821</v>
      </c>
    </row>
    <row r="735" spans="7:9">
      <c r="G735" s="19">
        <f t="shared" si="37"/>
        <v>120.16666666666359</v>
      </c>
      <c r="H735" s="10">
        <f t="shared" si="36"/>
        <v>0.75206311549267446</v>
      </c>
      <c r="I735" s="5">
        <f t="shared" si="35"/>
        <v>0.32359439214682989</v>
      </c>
    </row>
    <row r="736" spans="7:9">
      <c r="G736" s="19">
        <f t="shared" si="37"/>
        <v>120.24999999999692</v>
      </c>
      <c r="H736" s="10">
        <f t="shared" si="36"/>
        <v>0.74996855098449344</v>
      </c>
      <c r="I736" s="5">
        <f t="shared" si="35"/>
        <v>0.32102430858877268</v>
      </c>
    </row>
    <row r="737" spans="7:9">
      <c r="G737" s="19">
        <f t="shared" si="37"/>
        <v>120.33333333333024</v>
      </c>
      <c r="H737" s="10">
        <f t="shared" si="36"/>
        <v>0.74785940275171092</v>
      </c>
      <c r="I737" s="5">
        <f t="shared" si="35"/>
        <v>0.31847728519133511</v>
      </c>
    </row>
    <row r="738" spans="7:9">
      <c r="G738" s="19">
        <f t="shared" si="37"/>
        <v>120.41666666666357</v>
      </c>
      <c r="H738" s="10">
        <f t="shared" si="36"/>
        <v>0.74573562751753808</v>
      </c>
      <c r="I738" s="5">
        <f t="shared" si="35"/>
        <v>0.31595314047586154</v>
      </c>
    </row>
    <row r="739" spans="7:9">
      <c r="G739" s="19">
        <f t="shared" si="37"/>
        <v>120.4999999999969</v>
      </c>
      <c r="H739" s="10">
        <f t="shared" si="36"/>
        <v>0.74359718308465672</v>
      </c>
      <c r="I739" s="5">
        <f t="shared" si="35"/>
        <v>0.3134516941270819</v>
      </c>
    </row>
    <row r="740" spans="7:9">
      <c r="G740" s="19">
        <f t="shared" si="37"/>
        <v>120.58333333333023</v>
      </c>
      <c r="H740" s="10">
        <f t="shared" si="36"/>
        <v>0.74144402836370793</v>
      </c>
      <c r="I740" s="5">
        <f t="shared" si="35"/>
        <v>0.31097276699150711</v>
      </c>
    </row>
    <row r="741" spans="7:9">
      <c r="G741" s="19">
        <f t="shared" si="37"/>
        <v>120.66666666666356</v>
      </c>
      <c r="H741" s="10">
        <f t="shared" si="36"/>
        <v>0.739276123402137</v>
      </c>
      <c r="I741" s="5">
        <f t="shared" si="35"/>
        <v>0.30851618107572265</v>
      </c>
    </row>
    <row r="742" spans="7:9">
      <c r="G742" s="19">
        <f t="shared" si="37"/>
        <v>120.74999999999689</v>
      </c>
      <c r="H742" s="10">
        <f t="shared" si="36"/>
        <v>0.73709342941338529</v>
      </c>
      <c r="I742" s="5">
        <f t="shared" si="35"/>
        <v>0.30608175954458161</v>
      </c>
    </row>
    <row r="743" spans="7:9">
      <c r="G743" s="19">
        <f t="shared" si="37"/>
        <v>120.83333333333022</v>
      </c>
      <c r="H743" s="10">
        <f t="shared" si="36"/>
        <v>0.73489590880643141</v>
      </c>
      <c r="I743" s="5">
        <f t="shared" si="35"/>
        <v>0.30366932671929936</v>
      </c>
    </row>
    <row r="744" spans="7:9">
      <c r="G744" s="19">
        <f t="shared" si="37"/>
        <v>120.91666666666355</v>
      </c>
      <c r="H744" s="10">
        <f t="shared" si="36"/>
        <v>0.73268352521568403</v>
      </c>
      <c r="I744" s="5">
        <f t="shared" si="35"/>
        <v>0.30127870807545265</v>
      </c>
    </row>
    <row r="745" spans="7:9">
      <c r="G745" s="19">
        <f t="shared" si="37"/>
        <v>120.99999999999687</v>
      </c>
      <c r="H745" s="10">
        <f t="shared" si="36"/>
        <v>0.73045624353121252</v>
      </c>
      <c r="I745" s="5">
        <f t="shared" si="35"/>
        <v>0.29890973024088291</v>
      </c>
    </row>
    <row r="746" spans="7:9">
      <c r="G746" s="19">
        <f t="shared" si="37"/>
        <v>121.0833333333302</v>
      </c>
      <c r="H746" s="10">
        <f t="shared" si="36"/>
        <v>0.72821402992933004</v>
      </c>
      <c r="I746" s="5">
        <f t="shared" si="35"/>
        <v>0.29656222099350854</v>
      </c>
    </row>
    <row r="747" spans="7:9">
      <c r="G747" s="19">
        <f t="shared" si="37"/>
        <v>121.16666666666353</v>
      </c>
      <c r="H747" s="10">
        <f t="shared" si="36"/>
        <v>0.72595685190351178</v>
      </c>
      <c r="I747" s="5">
        <f t="shared" si="35"/>
        <v>0.29423600925904519</v>
      </c>
    </row>
    <row r="748" spans="7:9">
      <c r="G748" s="19">
        <f t="shared" si="37"/>
        <v>121.24999999999686</v>
      </c>
      <c r="H748" s="10">
        <f t="shared" si="36"/>
        <v>0.72368467829565275</v>
      </c>
      <c r="I748" s="5">
        <f t="shared" si="35"/>
        <v>0.29193092510863766</v>
      </c>
    </row>
    <row r="749" spans="7:9">
      <c r="G749" s="19">
        <f t="shared" si="37"/>
        <v>121.33333333333019</v>
      </c>
      <c r="H749" s="10">
        <f t="shared" si="36"/>
        <v>0.72139747932766629</v>
      </c>
      <c r="I749" s="5">
        <f t="shared" si="35"/>
        <v>0.28964679975640512</v>
      </c>
    </row>
    <row r="750" spans="7:9">
      <c r="G750" s="19">
        <f t="shared" si="37"/>
        <v>121.41666666666352</v>
      </c>
      <c r="H750" s="10">
        <f t="shared" si="36"/>
        <v>0.71909522663341063</v>
      </c>
      <c r="I750" s="5">
        <f t="shared" si="35"/>
        <v>0.28738346555690059</v>
      </c>
    </row>
    <row r="751" spans="7:9">
      <c r="G751" s="19">
        <f t="shared" si="37"/>
        <v>121.49999999999685</v>
      </c>
      <c r="H751" s="10">
        <f t="shared" si="36"/>
        <v>0.71677789329094632</v>
      </c>
      <c r="I751" s="5">
        <f t="shared" si="35"/>
        <v>0.28514075600248695</v>
      </c>
    </row>
    <row r="752" spans="7:9">
      <c r="G752" s="19">
        <f t="shared" si="37"/>
        <v>121.58333333333017</v>
      </c>
      <c r="H752" s="10">
        <f t="shared" si="36"/>
        <v>0.71444545385512481</v>
      </c>
      <c r="I752" s="5">
        <f t="shared" si="35"/>
        <v>0.28291850572063221</v>
      </c>
    </row>
    <row r="753" spans="7:9">
      <c r="G753" s="19">
        <f t="shared" si="37"/>
        <v>121.6666666666635</v>
      </c>
      <c r="H753" s="10">
        <f t="shared" si="36"/>
        <v>0.71209788439049182</v>
      </c>
      <c r="I753" s="5">
        <f t="shared" si="35"/>
        <v>0.28071655047112332</v>
      </c>
    </row>
    <row r="754" spans="7:9">
      <c r="G754" s="19">
        <f t="shared" si="37"/>
        <v>121.74999999999683</v>
      </c>
      <c r="H754" s="10">
        <f t="shared" si="36"/>
        <v>0.70973516250451796</v>
      </c>
      <c r="I754" s="5">
        <f t="shared" si="35"/>
        <v>0.27853472714320376</v>
      </c>
    </row>
    <row r="755" spans="7:9">
      <c r="G755" s="19">
        <f t="shared" si="37"/>
        <v>121.83333333333016</v>
      </c>
      <c r="H755" s="10">
        <f t="shared" si="36"/>
        <v>0.70735726738113658</v>
      </c>
      <c r="I755" s="5">
        <f t="shared" si="35"/>
        <v>0.27637287375263275</v>
      </c>
    </row>
    <row r="756" spans="7:9">
      <c r="G756" s="19">
        <f t="shared" si="37"/>
        <v>121.91666666666349</v>
      </c>
      <c r="H756" s="10">
        <f t="shared" si="36"/>
        <v>0.70496417981459469</v>
      </c>
      <c r="I756" s="5">
        <f t="shared" si="35"/>
        <v>0.27423082943867111</v>
      </c>
    </row>
    <row r="757" spans="7:9">
      <c r="G757" s="19">
        <f t="shared" si="37"/>
        <v>121.99999999999682</v>
      </c>
      <c r="H757" s="10">
        <f t="shared" si="36"/>
        <v>0.7025558822436101</v>
      </c>
      <c r="I757" s="5">
        <f t="shared" si="35"/>
        <v>0.27210843446099375</v>
      </c>
    </row>
    <row r="758" spans="7:9">
      <c r="G758" s="19">
        <f t="shared" si="37"/>
        <v>122.08333333333015</v>
      </c>
      <c r="H758" s="10">
        <f t="shared" si="36"/>
        <v>0.70013235878582292</v>
      </c>
      <c r="I758" s="5">
        <f t="shared" si="35"/>
        <v>0.27000553019653034</v>
      </c>
    </row>
    <row r="759" spans="7:9">
      <c r="G759" s="19">
        <f t="shared" si="37"/>
        <v>122.16666666666347</v>
      </c>
      <c r="H759" s="10">
        <f t="shared" si="36"/>
        <v>0.69769359527254715</v>
      </c>
      <c r="I759" s="5">
        <f t="shared" si="35"/>
        <v>0.26792195913623673</v>
      </c>
    </row>
    <row r="760" spans="7:9">
      <c r="G760" s="19">
        <f t="shared" si="37"/>
        <v>122.2499999999968</v>
      </c>
      <c r="H760" s="10">
        <f t="shared" si="36"/>
        <v>0.69523957928380664</v>
      </c>
      <c r="I760" s="5">
        <f t="shared" si="35"/>
        <v>0.26585756488179818</v>
      </c>
    </row>
    <row r="761" spans="7:9">
      <c r="G761" s="19">
        <f t="shared" si="37"/>
        <v>122.33333333333013</v>
      </c>
      <c r="H761" s="10">
        <f t="shared" si="36"/>
        <v>0.69277030018365149</v>
      </c>
      <c r="I761" s="5">
        <f t="shared" si="35"/>
        <v>0.26381219214226542</v>
      </c>
    </row>
    <row r="762" spans="7:9">
      <c r="G762" s="19">
        <f t="shared" si="37"/>
        <v>122.41666666666346</v>
      </c>
      <c r="H762" s="10">
        <f t="shared" si="36"/>
        <v>0.6902857491557558</v>
      </c>
      <c r="I762" s="5">
        <f t="shared" si="35"/>
        <v>0.26178568673062724</v>
      </c>
    </row>
    <row r="763" spans="7:9">
      <c r="G763" s="19">
        <f t="shared" si="37"/>
        <v>122.49999999999679</v>
      </c>
      <c r="H763" s="10">
        <f t="shared" si="36"/>
        <v>0.68778591923927568</v>
      </c>
      <c r="I763" s="5">
        <f t="shared" si="35"/>
        <v>0.25977789556031783</v>
      </c>
    </row>
    <row r="764" spans="7:9">
      <c r="G764" s="19">
        <f t="shared" si="37"/>
        <v>122.58333333333012</v>
      </c>
      <c r="H764" s="10">
        <f t="shared" si="36"/>
        <v>0.68527080536497564</v>
      </c>
      <c r="I764" s="5">
        <f t="shared" si="35"/>
        <v>0.25778866664166411</v>
      </c>
    </row>
    <row r="765" spans="7:9">
      <c r="G765" s="19">
        <f t="shared" si="37"/>
        <v>122.66666666666345</v>
      </c>
      <c r="H765" s="10">
        <f t="shared" si="36"/>
        <v>0.68274040439160444</v>
      </c>
      <c r="I765" s="5">
        <f t="shared" si="35"/>
        <v>0.25581784907827143</v>
      </c>
    </row>
    <row r="766" spans="7:9">
      <c r="G766" s="19">
        <f t="shared" si="37"/>
        <v>122.74999999999677</v>
      </c>
      <c r="H766" s="10">
        <f t="shared" si="36"/>
        <v>0.68019471514251506</v>
      </c>
      <c r="I766" s="5">
        <f t="shared" si="35"/>
        <v>0.25386529306335082</v>
      </c>
    </row>
    <row r="767" spans="7:9">
      <c r="G767" s="19">
        <f t="shared" si="37"/>
        <v>122.8333333333301</v>
      </c>
      <c r="H767" s="10">
        <f t="shared" si="36"/>
        <v>0.67763373844252728</v>
      </c>
      <c r="I767" s="5">
        <f t="shared" si="35"/>
        <v>0.25193084987598952</v>
      </c>
    </row>
    <row r="768" spans="7:9">
      <c r="G768" s="19">
        <f t="shared" si="37"/>
        <v>122.91666666666343</v>
      </c>
      <c r="H768" s="10">
        <f t="shared" si="36"/>
        <v>0.67505747715501108</v>
      </c>
      <c r="I768" s="5">
        <f t="shared" si="35"/>
        <v>0.25001437187736464</v>
      </c>
    </row>
    <row r="769" spans="7:9">
      <c r="G769" s="19">
        <f t="shared" si="37"/>
        <v>122.99999999999676</v>
      </c>
      <c r="H769" s="10">
        <f t="shared" si="36"/>
        <v>0.67246593621919659</v>
      </c>
      <c r="I769" s="5">
        <f t="shared" si="35"/>
        <v>0.24811571250690345</v>
      </c>
    </row>
    <row r="770" spans="7:9">
      <c r="G770" s="19">
        <f t="shared" si="37"/>
        <v>123.08333333333009</v>
      </c>
      <c r="H770" s="10">
        <f t="shared" si="36"/>
        <v>0.66985912268768777</v>
      </c>
      <c r="I770" s="5">
        <f t="shared" si="35"/>
        <v>0.24623472627838983</v>
      </c>
    </row>
    <row r="771" spans="7:9">
      <c r="G771" s="19">
        <f t="shared" si="37"/>
        <v>123.16666666666342</v>
      </c>
      <c r="H771" s="10">
        <f t="shared" si="36"/>
        <v>0.66723704576417653</v>
      </c>
      <c r="I771" s="5">
        <f t="shared" si="35"/>
        <v>0.24437126877601922</v>
      </c>
    </row>
    <row r="772" spans="7:9">
      <c r="G772" s="19">
        <f t="shared" si="37"/>
        <v>123.24999999999675</v>
      </c>
      <c r="H772" s="10">
        <f t="shared" si="36"/>
        <v>0.66459971684135</v>
      </c>
      <c r="I772" s="5">
        <f t="shared" si="35"/>
        <v>0.24252519665040412</v>
      </c>
    </row>
    <row r="773" spans="7:9">
      <c r="G773" s="19">
        <f t="shared" si="37"/>
        <v>123.33333333333007</v>
      </c>
      <c r="H773" s="10">
        <f t="shared" si="36"/>
        <v>0.66194714953896883</v>
      </c>
      <c r="I773" s="5">
        <f t="shared" si="35"/>
        <v>0.24069636761452956</v>
      </c>
    </row>
    <row r="774" spans="7:9">
      <c r="G774" s="19">
        <f t="shared" si="37"/>
        <v>123.4166666666634</v>
      </c>
      <c r="H774" s="10">
        <f t="shared" si="36"/>
        <v>0.6592793597421196</v>
      </c>
      <c r="I774" s="5">
        <f t="shared" si="35"/>
        <v>0.23888464043966207</v>
      </c>
    </row>
    <row r="775" spans="7:9">
      <c r="G775" s="19">
        <f t="shared" si="37"/>
        <v>123.49999999999673</v>
      </c>
      <c r="H775" s="10">
        <f t="shared" si="36"/>
        <v>0.65659636563961743</v>
      </c>
      <c r="I775" s="5">
        <f t="shared" si="35"/>
        <v>0.23708987495121159</v>
      </c>
    </row>
    <row r="776" spans="7:9">
      <c r="G776" s="19">
        <f t="shared" si="37"/>
        <v>123.58333333333006</v>
      </c>
      <c r="H776" s="10">
        <f t="shared" si="36"/>
        <v>0.65389818776255171</v>
      </c>
      <c r="I776" s="5">
        <f t="shared" si="35"/>
        <v>0.23531193202454892</v>
      </c>
    </row>
    <row r="777" spans="7:9">
      <c r="G777" s="19">
        <f t="shared" si="37"/>
        <v>123.66666666666339</v>
      </c>
      <c r="H777" s="10">
        <f t="shared" si="36"/>
        <v>0.65118484902296514</v>
      </c>
      <c r="I777" s="5">
        <f t="shared" si="35"/>
        <v>0.23355067358077963</v>
      </c>
    </row>
    <row r="778" spans="7:9">
      <c r="G778" s="19">
        <f t="shared" si="37"/>
        <v>123.74999999999672</v>
      </c>
      <c r="H778" s="10">
        <f t="shared" si="36"/>
        <v>0.64845637475264739</v>
      </c>
      <c r="I778" s="5">
        <f t="shared" si="35"/>
        <v>0.23180596258247499</v>
      </c>
    </row>
    <row r="779" spans="7:9">
      <c r="G779" s="19">
        <f t="shared" si="37"/>
        <v>123.83333333333005</v>
      </c>
      <c r="H779" s="10">
        <f t="shared" si="36"/>
        <v>0.64571279274203031</v>
      </c>
      <c r="I779" s="5">
        <f t="shared" si="35"/>
        <v>0.230077663029362</v>
      </c>
    </row>
    <row r="780" spans="7:9">
      <c r="G780" s="19">
        <f t="shared" si="37"/>
        <v>123.91666666666337</v>
      </c>
      <c r="H780" s="10">
        <f t="shared" si="36"/>
        <v>0.6429541332791785</v>
      </c>
      <c r="I780" s="5">
        <f t="shared" si="35"/>
        <v>0.22836563995397385</v>
      </c>
    </row>
    <row r="781" spans="7:9">
      <c r="G781" s="19">
        <f t="shared" si="37"/>
        <v>123.9999999999967</v>
      </c>
      <c r="H781" s="10">
        <f t="shared" si="36"/>
        <v>0.64018042918884666</v>
      </c>
      <c r="I781" s="5">
        <f t="shared" ref="I781:I844" si="38">(1/12)+H781*I782/((1+B$3)^(1/12))</f>
        <v>0.22666975941726086</v>
      </c>
    </row>
    <row r="782" spans="7:9">
      <c r="G782" s="19">
        <f t="shared" si="37"/>
        <v>124.08333333333003</v>
      </c>
      <c r="H782" s="10">
        <f t="shared" ref="H782:H845" si="39">(H$9^(1/12))*H$10^((H$8^(G782))*((H$8^(1/12))-1))</f>
        <v>0.63739171587160393</v>
      </c>
      <c r="I782" s="5">
        <f t="shared" si="38"/>
        <v>0.22498988850416418</v>
      </c>
    </row>
    <row r="783" spans="7:9">
      <c r="G783" s="19">
        <f t="shared" ref="G783:G846" si="40">G782+1/12</f>
        <v>124.16666666666336</v>
      </c>
      <c r="H783" s="10">
        <f t="shared" si="39"/>
        <v>0.63458803134299691</v>
      </c>
      <c r="I783" s="5">
        <f t="shared" si="38"/>
        <v>0.22332589531915303</v>
      </c>
    </row>
    <row r="784" spans="7:9">
      <c r="G784" s="19">
        <f t="shared" si="40"/>
        <v>124.24999999999669</v>
      </c>
      <c r="H784" s="10">
        <f t="shared" si="39"/>
        <v>0.63176941627274186</v>
      </c>
      <c r="I784" s="5">
        <f t="shared" si="38"/>
        <v>0.22167764898172626</v>
      </c>
    </row>
    <row r="785" spans="7:9">
      <c r="G785" s="19">
        <f t="shared" si="40"/>
        <v>124.33333333333002</v>
      </c>
      <c r="H785" s="10">
        <f t="shared" si="39"/>
        <v>0.62893591402393056</v>
      </c>
      <c r="I785" s="5">
        <f t="shared" si="38"/>
        <v>0.22004501962188022</v>
      </c>
    </row>
    <row r="786" spans="7:9">
      <c r="G786" s="19">
        <f t="shared" si="40"/>
        <v>124.41666666666335</v>
      </c>
      <c r="H786" s="10">
        <f t="shared" si="39"/>
        <v>0.62608757069222565</v>
      </c>
      <c r="I786" s="5">
        <f t="shared" si="38"/>
        <v>0.21842787837554239</v>
      </c>
    </row>
    <row r="787" spans="7:9">
      <c r="G787" s="19">
        <f t="shared" si="40"/>
        <v>124.49999999999667</v>
      </c>
      <c r="H787" s="10">
        <f t="shared" si="39"/>
        <v>0.62322443514503656</v>
      </c>
      <c r="I787" s="5">
        <f t="shared" si="38"/>
        <v>0.21682609737997427</v>
      </c>
    </row>
    <row r="788" spans="7:9">
      <c r="G788" s="19">
        <f t="shared" si="40"/>
        <v>124.58333333333</v>
      </c>
      <c r="H788" s="10">
        <f t="shared" si="39"/>
        <v>0.62034655906065073</v>
      </c>
      <c r="I788" s="5">
        <f t="shared" si="38"/>
        <v>0.21523954976914178</v>
      </c>
    </row>
    <row r="789" spans="7:9">
      <c r="G789" s="19">
        <f t="shared" si="40"/>
        <v>124.66666666666333</v>
      </c>
      <c r="H789" s="10">
        <f t="shared" si="39"/>
        <v>0.61745399696730274</v>
      </c>
      <c r="I789" s="5">
        <f t="shared" si="38"/>
        <v>0.21366810966905631</v>
      </c>
    </row>
    <row r="790" spans="7:9">
      <c r="G790" s="19">
        <f t="shared" si="40"/>
        <v>124.74999999999666</v>
      </c>
      <c r="H790" s="10">
        <f t="shared" si="39"/>
        <v>0.61454680628216873</v>
      </c>
      <c r="I790" s="5">
        <f t="shared" si="38"/>
        <v>0.21211165219308681</v>
      </c>
    </row>
    <row r="791" spans="7:9">
      <c r="G791" s="19">
        <f t="shared" si="40"/>
        <v>124.83333333332999</v>
      </c>
      <c r="H791" s="10">
        <f t="shared" si="39"/>
        <v>0.61162504735025203</v>
      </c>
      <c r="I791" s="5">
        <f t="shared" si="38"/>
        <v>0.21057005343724283</v>
      </c>
    </row>
    <row r="792" spans="7:9">
      <c r="G792" s="19">
        <f t="shared" si="40"/>
        <v>124.91666666666332</v>
      </c>
      <c r="H792" s="10">
        <f t="shared" si="39"/>
        <v>0.60868878348315747</v>
      </c>
      <c r="I792" s="5">
        <f t="shared" si="38"/>
        <v>0.20904319047543174</v>
      </c>
    </row>
    <row r="793" spans="7:9">
      <c r="G793" s="19">
        <f t="shared" si="40"/>
        <v>124.99999999999665</v>
      </c>
      <c r="H793" s="10">
        <f t="shared" si="39"/>
        <v>0.60573808099771642</v>
      </c>
      <c r="I793" s="5">
        <f t="shared" si="38"/>
        <v>0.20753094135468814</v>
      </c>
    </row>
    <row r="794" spans="7:9">
      <c r="G794" s="19">
        <f t="shared" si="40"/>
        <v>125.08333333332997</v>
      </c>
      <c r="H794" s="10">
        <f t="shared" si="39"/>
        <v>0.60277300925444999</v>
      </c>
      <c r="I794" s="5">
        <f t="shared" si="38"/>
        <v>0.20603318509037888</v>
      </c>
    </row>
    <row r="795" spans="7:9">
      <c r="G795" s="19">
        <f t="shared" si="40"/>
        <v>125.1666666666633</v>
      </c>
      <c r="H795" s="10">
        <f t="shared" si="39"/>
        <v>0.59979364069585084</v>
      </c>
      <c r="I795" s="5">
        <f t="shared" si="38"/>
        <v>0.20454980166138359</v>
      </c>
    </row>
    <row r="796" spans="7:9">
      <c r="G796" s="19">
        <f t="shared" si="40"/>
        <v>125.24999999999663</v>
      </c>
      <c r="H796" s="10">
        <f t="shared" si="39"/>
        <v>0.59680005088444898</v>
      </c>
      <c r="I796" s="5">
        <f t="shared" si="38"/>
        <v>0.20308067200525082</v>
      </c>
    </row>
    <row r="797" spans="7:9">
      <c r="G797" s="19">
        <f t="shared" si="40"/>
        <v>125.33333333332996</v>
      </c>
      <c r="H797" s="10">
        <f t="shared" si="39"/>
        <v>0.5937923185406524</v>
      </c>
      <c r="I797" s="5">
        <f t="shared" si="38"/>
        <v>0.20162567801333237</v>
      </c>
    </row>
    <row r="798" spans="7:9">
      <c r="G798" s="19">
        <f t="shared" si="40"/>
        <v>125.41666666666329</v>
      </c>
      <c r="H798" s="10">
        <f t="shared" si="39"/>
        <v>0.59077052558032739</v>
      </c>
      <c r="I798" s="5">
        <f t="shared" si="38"/>
        <v>0.20018470252589488</v>
      </c>
    </row>
    <row r="799" spans="7:9">
      <c r="G799" s="19">
        <f t="shared" si="40"/>
        <v>125.49999999999662</v>
      </c>
      <c r="H799" s="10">
        <f t="shared" si="39"/>
        <v>0.58773475715209733</v>
      </c>
      <c r="I799" s="5">
        <f t="shared" si="38"/>
        <v>0.19875762932721031</v>
      </c>
    </row>
    <row r="800" spans="7:9">
      <c r="G800" s="19">
        <f t="shared" si="40"/>
        <v>125.58333333332995</v>
      </c>
      <c r="H800" s="10">
        <f t="shared" si="39"/>
        <v>0.58468510167434096</v>
      </c>
      <c r="I800" s="5">
        <f t="shared" si="38"/>
        <v>0.19734434314062649</v>
      </c>
    </row>
    <row r="801" spans="7:9">
      <c r="G801" s="19">
        <f t="shared" si="40"/>
        <v>125.66666666666328</v>
      </c>
      <c r="H801" s="10">
        <f t="shared" si="39"/>
        <v>0.58162165087185047</v>
      </c>
      <c r="I801" s="5">
        <f t="shared" si="38"/>
        <v>0.19594472962361736</v>
      </c>
    </row>
    <row r="802" spans="7:9">
      <c r="G802" s="19">
        <f t="shared" si="40"/>
        <v>125.7499999999966</v>
      </c>
      <c r="H802" s="10">
        <f t="shared" si="39"/>
        <v>0.57854449981213973</v>
      </c>
      <c r="I802" s="5">
        <f t="shared" si="38"/>
        <v>0.19455867536281496</v>
      </c>
    </row>
    <row r="803" spans="7:9">
      <c r="G803" s="19">
        <f t="shared" si="40"/>
        <v>125.83333333332993</v>
      </c>
      <c r="H803" s="10">
        <f t="shared" si="39"/>
        <v>0.57545374694136164</v>
      </c>
      <c r="I803" s="5">
        <f t="shared" si="38"/>
        <v>0.19318606786902248</v>
      </c>
    </row>
    <row r="804" spans="7:9">
      <c r="G804" s="19">
        <f t="shared" si="40"/>
        <v>125.91666666666326</v>
      </c>
      <c r="H804" s="10">
        <f t="shared" si="39"/>
        <v>0.5723494941198114</v>
      </c>
      <c r="I804" s="5">
        <f t="shared" si="38"/>
        <v>0.19182679557220994</v>
      </c>
    </row>
    <row r="805" spans="7:9">
      <c r="G805" s="19">
        <f t="shared" si="40"/>
        <v>125.99999999999659</v>
      </c>
      <c r="H805" s="10">
        <f t="shared" si="39"/>
        <v>0.56923184665699433</v>
      </c>
      <c r="I805" s="5">
        <f t="shared" si="38"/>
        <v>0.19048074781649357</v>
      </c>
    </row>
    <row r="806" spans="7:9">
      <c r="G806" s="19">
        <f t="shared" si="40"/>
        <v>126.08333333332992</v>
      </c>
      <c r="H806" s="10">
        <f t="shared" si="39"/>
        <v>0.56610091334621815</v>
      </c>
      <c r="I806" s="5">
        <f t="shared" si="38"/>
        <v>0.18914781485509818</v>
      </c>
    </row>
    <row r="807" spans="7:9">
      <c r="G807" s="19">
        <f t="shared" si="40"/>
        <v>126.16666666666325</v>
      </c>
      <c r="H807" s="10">
        <f t="shared" si="39"/>
        <v>0.56295680649868518</v>
      </c>
      <c r="I807" s="5">
        <f t="shared" si="38"/>
        <v>0.18782788784530396</v>
      </c>
    </row>
    <row r="808" spans="7:9">
      <c r="G808" s="19">
        <f t="shared" si="40"/>
        <v>126.24999999999658</v>
      </c>
      <c r="H808" s="10">
        <f t="shared" si="39"/>
        <v>0.55979964197705923</v>
      </c>
      <c r="I808" s="5">
        <f t="shared" si="38"/>
        <v>0.18652085884337893</v>
      </c>
    </row>
    <row r="809" spans="7:9">
      <c r="G809" s="19">
        <f t="shared" si="40"/>
        <v>126.3333333333299</v>
      </c>
      <c r="H809" s="10">
        <f t="shared" si="39"/>
        <v>0.55662953922846581</v>
      </c>
      <c r="I809" s="5">
        <f t="shared" si="38"/>
        <v>0.18522662079949601</v>
      </c>
    </row>
    <row r="810" spans="7:9">
      <c r="G810" s="19">
        <f t="shared" si="40"/>
        <v>126.41666666666323</v>
      </c>
      <c r="H810" s="10">
        <f t="shared" si="39"/>
        <v>0.55344662131690536</v>
      </c>
      <c r="I810" s="5">
        <f t="shared" si="38"/>
        <v>0.18394506755263684</v>
      </c>
    </row>
    <row r="811" spans="7:9">
      <c r="G811" s="19">
        <f t="shared" si="40"/>
        <v>126.49999999999656</v>
      </c>
      <c r="H811" s="10">
        <f t="shared" si="39"/>
        <v>0.55025101495503936</v>
      </c>
      <c r="I811" s="5">
        <f t="shared" si="38"/>
        <v>0.18267609382548167</v>
      </c>
    </row>
    <row r="812" spans="7:9">
      <c r="G812" s="19">
        <f t="shared" si="40"/>
        <v>126.58333333332989</v>
      </c>
      <c r="H812" s="10">
        <f t="shared" si="39"/>
        <v>0.54704285053531865</v>
      </c>
      <c r="I812" s="5">
        <f t="shared" si="38"/>
        <v>0.18141959521928616</v>
      </c>
    </row>
    <row r="813" spans="7:9">
      <c r="G813" s="19">
        <f t="shared" si="40"/>
        <v>126.66666666666322</v>
      </c>
      <c r="H813" s="10">
        <f t="shared" si="39"/>
        <v>0.54382226216042762</v>
      </c>
      <c r="I813" s="5">
        <f t="shared" si="38"/>
        <v>0.18017546820874616</v>
      </c>
    </row>
    <row r="814" spans="7:9">
      <c r="G814" s="19">
        <f t="shared" si="40"/>
        <v>126.74999999999655</v>
      </c>
      <c r="H814" s="10">
        <f t="shared" si="39"/>
        <v>0.54058938767299691</v>
      </c>
      <c r="I814" s="5">
        <f t="shared" si="38"/>
        <v>0.17894361013684867</v>
      </c>
    </row>
    <row r="815" spans="7:9">
      <c r="G815" s="19">
        <f t="shared" si="40"/>
        <v>126.83333333332988</v>
      </c>
      <c r="H815" s="10">
        <f t="shared" si="39"/>
        <v>0.5373443686845657</v>
      </c>
      <c r="I815" s="5">
        <f t="shared" si="38"/>
        <v>0.17772391920971112</v>
      </c>
    </row>
    <row r="816" spans="7:9">
      <c r="G816" s="19">
        <f t="shared" si="40"/>
        <v>126.9166666666632</v>
      </c>
      <c r="H816" s="10">
        <f t="shared" si="39"/>
        <v>0.53408735060374668</v>
      </c>
      <c r="I816" s="5">
        <f t="shared" si="38"/>
        <v>0.17651629449140596</v>
      </c>
    </row>
    <row r="817" spans="7:9">
      <c r="G817" s="19">
        <f t="shared" si="40"/>
        <v>126.99999999999653</v>
      </c>
      <c r="H817" s="10">
        <f t="shared" si="39"/>
        <v>0.53081848266356246</v>
      </c>
      <c r="I817" s="5">
        <f t="shared" si="38"/>
        <v>0.17532063589876953</v>
      </c>
    </row>
    <row r="818" spans="7:9">
      <c r="G818" s="19">
        <f t="shared" si="40"/>
        <v>127.08333333332986</v>
      </c>
      <c r="H818" s="10">
        <f t="shared" si="39"/>
        <v>0.52753791794792237</v>
      </c>
      <c r="I818" s="5">
        <f t="shared" si="38"/>
        <v>0.17413684419619041</v>
      </c>
    </row>
    <row r="819" spans="7:9">
      <c r="G819" s="19">
        <f t="shared" si="40"/>
        <v>127.16666666666319</v>
      </c>
      <c r="H819" s="10">
        <f t="shared" si="39"/>
        <v>0.52424581341719145</v>
      </c>
      <c r="I819" s="5">
        <f t="shared" si="38"/>
        <v>0.17296482099036586</v>
      </c>
    </row>
    <row r="820" spans="7:9">
      <c r="G820" s="19">
        <f t="shared" si="40"/>
        <v>127.24999999999652</v>
      </c>
      <c r="H820" s="10">
        <f t="shared" si="39"/>
        <v>0.5209423299328283</v>
      </c>
      <c r="I820" s="5">
        <f t="shared" si="38"/>
        <v>0.1718044687250076</v>
      </c>
    </row>
    <row r="821" spans="7:9">
      <c r="G821" s="19">
        <f t="shared" si="40"/>
        <v>127.33333333332985</v>
      </c>
      <c r="H821" s="10">
        <f t="shared" si="39"/>
        <v>0.51762763228104325</v>
      </c>
      <c r="I821" s="5">
        <f t="shared" si="38"/>
        <v>0.17065569067545305</v>
      </c>
    </row>
    <row r="822" spans="7:9">
      <c r="G822" s="19">
        <f t="shared" si="40"/>
        <v>127.41666666666318</v>
      </c>
      <c r="H822" s="10">
        <f t="shared" si="39"/>
        <v>0.51430188919544018</v>
      </c>
      <c r="I822" s="5">
        <f t="shared" si="38"/>
        <v>0.16951839094309676</v>
      </c>
    </row>
    <row r="823" spans="7:9">
      <c r="G823" s="19">
        <f t="shared" si="40"/>
        <v>127.4999999999965</v>
      </c>
      <c r="H823" s="10">
        <f t="shared" si="39"/>
        <v>0.51096527337861475</v>
      </c>
      <c r="I823" s="5">
        <f t="shared" si="38"/>
        <v>0.16839247444946737</v>
      </c>
    </row>
    <row r="824" spans="7:9">
      <c r="G824" s="19">
        <f t="shared" si="40"/>
        <v>127.58333333332983</v>
      </c>
      <c r="H824" s="10">
        <f t="shared" si="39"/>
        <v>0.50761796152264915</v>
      </c>
      <c r="I824" s="5">
        <f t="shared" si="38"/>
        <v>0.16727784692958497</v>
      </c>
    </row>
    <row r="825" spans="7:9">
      <c r="G825" s="19">
        <f t="shared" si="40"/>
        <v>127.66666666666316</v>
      </c>
      <c r="H825" s="10">
        <f t="shared" si="39"/>
        <v>0.50426013432848538</v>
      </c>
      <c r="I825" s="5">
        <f t="shared" si="38"/>
        <v>0.16617441492385177</v>
      </c>
    </row>
    <row r="826" spans="7:9">
      <c r="G826" s="19">
        <f t="shared" si="40"/>
        <v>127.74999999999649</v>
      </c>
      <c r="H826" s="10">
        <f t="shared" si="39"/>
        <v>0.50089197652412187</v>
      </c>
      <c r="I826" s="5">
        <f t="shared" si="38"/>
        <v>0.16508208576690886</v>
      </c>
    </row>
    <row r="827" spans="7:9">
      <c r="G827" s="19">
        <f t="shared" si="40"/>
        <v>127.83333333332982</v>
      </c>
      <c r="H827" s="10">
        <f t="shared" si="39"/>
        <v>0.49751367688159631</v>
      </c>
      <c r="I827" s="5">
        <f t="shared" si="38"/>
        <v>0.16400076757017817</v>
      </c>
    </row>
    <row r="828" spans="7:9">
      <c r="G828" s="19">
        <f t="shared" si="40"/>
        <v>127.91666666666315</v>
      </c>
      <c r="H828" s="10">
        <f t="shared" si="39"/>
        <v>0.49412542823272237</v>
      </c>
      <c r="I828" s="5">
        <f t="shared" si="38"/>
        <v>0.16293036919115841</v>
      </c>
    </row>
    <row r="829" spans="7:9">
      <c r="G829" s="19">
        <f t="shared" si="40"/>
        <v>127.99999999999648</v>
      </c>
      <c r="H829" s="10">
        <f t="shared" si="39"/>
        <v>0.49072742748352294</v>
      </c>
      <c r="I829" s="5">
        <f t="shared" si="38"/>
        <v>0.16187080017473521</v>
      </c>
    </row>
    <row r="830" spans="7:9">
      <c r="G830" s="19">
        <f t="shared" si="40"/>
        <v>128.08333333332982</v>
      </c>
      <c r="H830" s="10">
        <f t="shared" si="39"/>
        <v>0.48731987562733436</v>
      </c>
      <c r="I830" s="5">
        <f t="shared" si="38"/>
        <v>0.16082197063496359</v>
      </c>
    </row>
    <row r="831" spans="7:9">
      <c r="G831" s="19">
        <f t="shared" si="40"/>
        <v>128.16666666666316</v>
      </c>
      <c r="H831" s="10">
        <f t="shared" si="39"/>
        <v>0.48390297775653041</v>
      </c>
      <c r="I831" s="5">
        <f t="shared" si="38"/>
        <v>0.15978379100933982</v>
      </c>
    </row>
    <row r="832" spans="7:9">
      <c r="G832" s="19">
        <f t="shared" si="40"/>
        <v>128.2499999999965</v>
      </c>
      <c r="H832" s="10">
        <f t="shared" si="39"/>
        <v>0.48047694307281968</v>
      </c>
      <c r="I832" s="5">
        <f t="shared" si="38"/>
        <v>0.15875617153804822</v>
      </c>
    </row>
    <row r="833" spans="7:9">
      <c r="G833" s="19">
        <f t="shared" si="40"/>
        <v>128.33333333332985</v>
      </c>
      <c r="H833" s="10">
        <f t="shared" si="39"/>
        <v>0.47704198489608912</v>
      </c>
      <c r="I833" s="5">
        <f t="shared" si="38"/>
        <v>0.15773902114585245</v>
      </c>
    </row>
    <row r="834" spans="7:9">
      <c r="G834" s="19">
        <f t="shared" si="40"/>
        <v>128.41666666666319</v>
      </c>
      <c r="H834" s="10">
        <f t="shared" si="39"/>
        <v>0.47359832067173069</v>
      </c>
      <c r="I834" s="5">
        <f t="shared" si="38"/>
        <v>0.15673224501734762</v>
      </c>
    </row>
    <row r="835" spans="7:9">
      <c r="G835" s="19">
        <f t="shared" si="40"/>
        <v>128.49999999999653</v>
      </c>
      <c r="H835" s="10">
        <f t="shared" si="39"/>
        <v>0.47014617197642722</v>
      </c>
      <c r="I835" s="5">
        <f t="shared" si="38"/>
        <v>0.15573573929372242</v>
      </c>
    </row>
    <row r="836" spans="7:9">
      <c r="G836" s="19">
        <f t="shared" si="40"/>
        <v>128.58333333332988</v>
      </c>
      <c r="H836" s="10">
        <f t="shared" si="39"/>
        <v>0.46668576452233507</v>
      </c>
      <c r="I836" s="5">
        <f t="shared" si="38"/>
        <v>0.15474937938259262</v>
      </c>
    </row>
    <row r="837" spans="7:9">
      <c r="G837" s="19">
        <f t="shared" si="40"/>
        <v>128.66666666666322</v>
      </c>
      <c r="H837" s="10">
        <f t="shared" si="39"/>
        <v>0.46321732815963929</v>
      </c>
      <c r="I837" s="5">
        <f t="shared" si="38"/>
        <v>0.15377299399314848</v>
      </c>
    </row>
    <row r="838" spans="7:9">
      <c r="G838" s="19">
        <f t="shared" si="40"/>
        <v>128.74999999999656</v>
      </c>
      <c r="H838" s="10">
        <f t="shared" si="39"/>
        <v>0.45974109687741677</v>
      </c>
      <c r="I838" s="5">
        <f t="shared" si="38"/>
        <v>0.15280630703324749</v>
      </c>
    </row>
    <row r="839" spans="7:9">
      <c r="G839" s="19">
        <f t="shared" si="40"/>
        <v>128.8333333333299</v>
      </c>
      <c r="H839" s="10">
        <f t="shared" si="39"/>
        <v>0.45625730880278415</v>
      </c>
      <c r="I839" s="5">
        <f t="shared" si="38"/>
        <v>0.15184880661416567</v>
      </c>
    </row>
    <row r="840" spans="7:9">
      <c r="G840" s="19">
        <f t="shared" si="40"/>
        <v>128.91666666666325</v>
      </c>
      <c r="H840" s="10">
        <f t="shared" si="39"/>
        <v>0.45276620619826907</v>
      </c>
      <c r="I840" s="5">
        <f t="shared" si="38"/>
        <v>0.15089944748982631</v>
      </c>
    </row>
    <row r="841" spans="7:9">
      <c r="G841" s="19">
        <f t="shared" si="40"/>
        <v>128.99999999999659</v>
      </c>
      <c r="H841" s="10">
        <f t="shared" si="39"/>
        <v>0.44926803545736765</v>
      </c>
      <c r="I841" s="5">
        <f t="shared" si="38"/>
        <v>0.14995596999993813</v>
      </c>
    </row>
    <row r="842" spans="7:9">
      <c r="G842" s="19">
        <f t="shared" si="40"/>
        <v>129.08333333332993</v>
      </c>
      <c r="H842" s="10">
        <f t="shared" si="39"/>
        <v>0.44576304709825038</v>
      </c>
      <c r="I842" s="5">
        <f t="shared" si="38"/>
        <v>0.14901332931736866</v>
      </c>
    </row>
    <row r="843" spans="7:9">
      <c r="G843" s="19">
        <f t="shared" si="40"/>
        <v>129.16666666666328</v>
      </c>
      <c r="H843" s="10">
        <f t="shared" si="39"/>
        <v>0.44225149575555578</v>
      </c>
      <c r="I843" s="5">
        <f t="shared" si="38"/>
        <v>0.14806004471490478</v>
      </c>
    </row>
    <row r="844" spans="7:9">
      <c r="G844" s="19">
        <f t="shared" si="40"/>
        <v>129.24999999999662</v>
      </c>
      <c r="H844" s="10">
        <f t="shared" si="39"/>
        <v>0.43873364017024719</v>
      </c>
      <c r="I844" s="5">
        <f t="shared" si="38"/>
        <v>0.14706964825756053</v>
      </c>
    </row>
    <row r="845" spans="7:9">
      <c r="G845" s="19">
        <f t="shared" si="40"/>
        <v>129.33333333332996</v>
      </c>
      <c r="H845" s="10">
        <f t="shared" si="39"/>
        <v>0.43520974317746974</v>
      </c>
      <c r="I845" s="5">
        <f t="shared" ref="I845:I850" si="41">(1/12)+H845*I846/((1+B$3)^(1/12))</f>
        <v>0.14598049658356888</v>
      </c>
    </row>
    <row r="846" spans="7:9">
      <c r="G846" s="19">
        <f t="shared" si="40"/>
        <v>129.4166666666633</v>
      </c>
      <c r="H846" s="10">
        <f t="shared" ref="H846:H851" si="42">(H$9^(1/12))*H$10^((H$8^(G846))*((H$8^(1/12))-1))</f>
        <v>0.43168007169238204</v>
      </c>
      <c r="I846" s="5">
        <f t="shared" si="41"/>
        <v>0.14464773013930615</v>
      </c>
    </row>
    <row r="847" spans="7:9">
      <c r="G847" s="19">
        <f>G846+1/12</f>
        <v>129.49999999999665</v>
      </c>
      <c r="H847" s="10">
        <f t="shared" si="42"/>
        <v>0.42814489669389877</v>
      </c>
      <c r="I847" s="5">
        <f t="shared" si="41"/>
        <v>0.14272803349772212</v>
      </c>
    </row>
    <row r="848" spans="7:9">
      <c r="G848" s="19">
        <f>G847+1/12</f>
        <v>129.58333333332999</v>
      </c>
      <c r="H848" s="10">
        <f t="shared" si="42"/>
        <v>0.42460449320632238</v>
      </c>
      <c r="I848" s="5">
        <f t="shared" si="41"/>
        <v>0.13940095358283142</v>
      </c>
    </row>
    <row r="849" spans="7:9">
      <c r="G849" s="19">
        <f>G848+1/12</f>
        <v>129.66666666666333</v>
      </c>
      <c r="H849" s="10">
        <f t="shared" si="42"/>
        <v>0.42105914027879848</v>
      </c>
      <c r="I849" s="5">
        <f t="shared" si="41"/>
        <v>0.13268943953158821</v>
      </c>
    </row>
    <row r="850" spans="7:9">
      <c r="G850" s="19">
        <f>G849+1/12</f>
        <v>129.74999999999667</v>
      </c>
      <c r="H850" s="10">
        <f t="shared" si="42"/>
        <v>0.41750912096257392</v>
      </c>
      <c r="I850" s="5">
        <f t="shared" si="41"/>
        <v>0.11778950935026325</v>
      </c>
    </row>
    <row r="851" spans="7:9">
      <c r="G851" s="19">
        <f>G850+1/12</f>
        <v>129.83333333333002</v>
      </c>
      <c r="H851" s="10">
        <f t="shared" si="42"/>
        <v>0.41395472228599312</v>
      </c>
      <c r="I851" s="5">
        <f>(1/12)*(1+B$3)^(-1/12)</f>
        <v>8.2929668976224391E-2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zoomScale="125" zoomScaleNormal="125" zoomScalePageLayoutView="125" workbookViewId="0"/>
  </sheetViews>
  <sheetFormatPr baseColWidth="10" defaultRowHeight="12" x14ac:dyDescent="0"/>
  <sheetData>
    <row r="1" spans="1:5" ht="15">
      <c r="A1" s="70" t="s">
        <v>731</v>
      </c>
    </row>
    <row r="3" spans="1:5">
      <c r="A3" s="72" t="s">
        <v>74</v>
      </c>
      <c r="B3" s="73">
        <v>0.06</v>
      </c>
    </row>
    <row r="5" spans="1:5">
      <c r="A5" s="66" t="s">
        <v>330</v>
      </c>
      <c r="C5" s="66" t="s">
        <v>311</v>
      </c>
      <c r="D5" s="66"/>
    </row>
    <row r="6" spans="1:5" ht="14" customHeight="1">
      <c r="A6" s="66" t="s">
        <v>331</v>
      </c>
      <c r="B6" s="66" t="s">
        <v>319</v>
      </c>
      <c r="C6" s="66" t="s">
        <v>318</v>
      </c>
      <c r="D6" s="15" t="s">
        <v>325</v>
      </c>
      <c r="E6" s="15" t="s">
        <v>23</v>
      </c>
    </row>
    <row r="7" spans="1:5">
      <c r="A7" s="66">
        <v>60</v>
      </c>
      <c r="B7" s="24">
        <v>27925.614352342582</v>
      </c>
      <c r="C7" s="10">
        <f>(1+B$3)^-(A7-35)</f>
        <v>0.23299863050389524</v>
      </c>
      <c r="D7" s="5">
        <v>13.053575684905773</v>
      </c>
      <c r="E7" s="5">
        <f>B7*C7*D7/B$15</f>
        <v>0.38812447348820966</v>
      </c>
    </row>
    <row r="8" spans="1:5">
      <c r="A8" s="66">
        <v>60.5</v>
      </c>
      <c r="B8" s="24">
        <v>6187.5564028877789</v>
      </c>
      <c r="C8" s="10">
        <f t="shared" ref="C8:C13" si="0">(1+B$3)^-(A8-35)</f>
        <v>0.22630827575703746</v>
      </c>
      <c r="D8" s="5">
        <v>12.952661260355406</v>
      </c>
      <c r="E8" s="5">
        <f t="shared" ref="E8:E13" si="1">B8*C8*D8/B$15</f>
        <v>8.2882729856682893E-2</v>
      </c>
    </row>
    <row r="9" spans="1:5">
      <c r="A9" s="66">
        <f>A8+1</f>
        <v>61.5</v>
      </c>
      <c r="B9" s="24">
        <v>5573.0702934915898</v>
      </c>
      <c r="C9" s="10">
        <f t="shared" si="0"/>
        <v>0.21349837335569574</v>
      </c>
      <c r="D9" s="5">
        <v>12.745002091603993</v>
      </c>
      <c r="E9" s="5">
        <f t="shared" si="1"/>
        <v>6.9297000175005896E-2</v>
      </c>
    </row>
    <row r="10" spans="1:5">
      <c r="A10" s="66">
        <f>A9+1</f>
        <v>62.5</v>
      </c>
      <c r="B10" s="24">
        <v>5017.5091453403647</v>
      </c>
      <c r="C10" s="10">
        <f t="shared" si="0"/>
        <v>0.20141355976952421</v>
      </c>
      <c r="D10" s="5">
        <v>12.529525990611853</v>
      </c>
      <c r="E10" s="5">
        <f t="shared" si="1"/>
        <v>5.7862467724168101E-2</v>
      </c>
    </row>
    <row r="11" spans="1:5">
      <c r="A11" s="66">
        <f>A10+1</f>
        <v>63.5</v>
      </c>
      <c r="B11" s="24">
        <v>4515.2062952301267</v>
      </c>
      <c r="C11" s="10">
        <f t="shared" si="0"/>
        <v>0.19001279223540021</v>
      </c>
      <c r="D11" s="5">
        <v>12.306206961891293</v>
      </c>
      <c r="E11" s="5">
        <f t="shared" si="1"/>
        <v>4.824697448628211E-2</v>
      </c>
    </row>
    <row r="12" spans="1:5">
      <c r="A12" s="66">
        <f>A11+1</f>
        <v>64.5</v>
      </c>
      <c r="B12" s="24">
        <v>4061.0419290480754</v>
      </c>
      <c r="C12" s="10">
        <f t="shared" si="0"/>
        <v>0.1792573511654719</v>
      </c>
      <c r="D12" s="5">
        <v>12.075051323528594</v>
      </c>
      <c r="E12" s="5">
        <f t="shared" si="1"/>
        <v>4.0168800730988767E-2</v>
      </c>
    </row>
    <row r="13" spans="1:5">
      <c r="A13" s="66">
        <v>65</v>
      </c>
      <c r="B13" s="24">
        <v>38488.264553547444</v>
      </c>
      <c r="C13" s="10">
        <f t="shared" si="0"/>
        <v>0.17411013091063426</v>
      </c>
      <c r="D13" s="5">
        <v>11.956546362459036</v>
      </c>
      <c r="E13" s="5">
        <f t="shared" si="1"/>
        <v>0.3661369467314432</v>
      </c>
    </row>
    <row r="14" spans="1:5">
      <c r="D14" s="9" t="s">
        <v>334</v>
      </c>
      <c r="E14" s="84">
        <f>SUM(E7:E13)*0.025*5*175000/5</f>
        <v>4605.6473452184146</v>
      </c>
    </row>
    <row r="15" spans="1:5">
      <c r="A15" s="9" t="s">
        <v>332</v>
      </c>
      <c r="B15" s="24">
        <v>218833.88360175057</v>
      </c>
    </row>
    <row r="17" spans="1:3">
      <c r="A17" t="s">
        <v>336</v>
      </c>
    </row>
    <row r="19" spans="1:3">
      <c r="A19" s="100" t="s">
        <v>333</v>
      </c>
      <c r="B19" s="100"/>
      <c r="C19" s="57">
        <f>(40/175)*E14</f>
        <v>1052.7193931927804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11"/>
  <sheetViews>
    <sheetView zoomScale="125" zoomScaleNormal="125" zoomScalePageLayoutView="125" workbookViewId="0"/>
  </sheetViews>
  <sheetFormatPr baseColWidth="10" defaultColWidth="8.83203125" defaultRowHeight="12" x14ac:dyDescent="0"/>
  <cols>
    <col min="3" max="3" width="4.6640625" customWidth="1"/>
    <col min="6" max="6" width="4.6640625" customWidth="1"/>
    <col min="8" max="8" width="8.83203125" style="21"/>
    <col min="9" max="9" width="4.6640625" customWidth="1"/>
    <col min="10" max="10" width="9.1640625" style="3" customWidth="1"/>
    <col min="11" max="11" width="9.1640625" style="10" customWidth="1"/>
    <col min="12" max="12" width="9.1640625" style="3" customWidth="1"/>
    <col min="13" max="13" width="8.83203125" style="13"/>
    <col min="14" max="14" width="4.6640625" customWidth="1"/>
  </cols>
  <sheetData>
    <row r="1" spans="1:16" ht="15">
      <c r="A1" s="70" t="s">
        <v>26</v>
      </c>
    </row>
    <row r="3" spans="1:16">
      <c r="A3" s="52" t="s">
        <v>9</v>
      </c>
      <c r="B3" s="51">
        <v>1E-4</v>
      </c>
    </row>
    <row r="4" spans="1:16">
      <c r="A4" s="52" t="s">
        <v>10</v>
      </c>
      <c r="B4" s="51">
        <v>3.5E-4</v>
      </c>
    </row>
    <row r="5" spans="1:16">
      <c r="A5" s="52" t="s">
        <v>24</v>
      </c>
      <c r="B5" s="51">
        <v>1.075</v>
      </c>
    </row>
    <row r="6" spans="1:16">
      <c r="A6" s="53" t="s">
        <v>27</v>
      </c>
      <c r="B6" s="77">
        <f>EXP(-B3)</f>
        <v>0.99990000499983334</v>
      </c>
    </row>
    <row r="7" spans="1:16">
      <c r="A7" s="53" t="s">
        <v>25</v>
      </c>
      <c r="B7" s="77">
        <f>EXP(-B4/LN(B5))</f>
        <v>0.99517213429186457</v>
      </c>
    </row>
    <row r="8" spans="1:16">
      <c r="A8" s="9"/>
      <c r="B8" s="6"/>
      <c r="L8" s="3" t="s">
        <v>120</v>
      </c>
    </row>
    <row r="9" spans="1:16">
      <c r="A9" s="11" t="s">
        <v>1</v>
      </c>
      <c r="D9" s="1" t="s">
        <v>2</v>
      </c>
      <c r="G9" s="1" t="s">
        <v>3</v>
      </c>
      <c r="J9" s="11" t="s">
        <v>4</v>
      </c>
      <c r="L9" s="3" t="s">
        <v>121</v>
      </c>
    </row>
    <row r="10" spans="1:16">
      <c r="A10" s="3" t="s">
        <v>5</v>
      </c>
      <c r="B10" s="3" t="s">
        <v>28</v>
      </c>
      <c r="D10" s="3" t="s">
        <v>0</v>
      </c>
      <c r="E10" s="7" t="s">
        <v>29</v>
      </c>
      <c r="G10" s="3" t="s">
        <v>5</v>
      </c>
      <c r="H10" s="19" t="s">
        <v>30</v>
      </c>
      <c r="J10" s="3" t="s">
        <v>0</v>
      </c>
      <c r="K10" s="26" t="s">
        <v>19</v>
      </c>
      <c r="L10" s="3" t="s">
        <v>22</v>
      </c>
      <c r="M10" s="5" t="s">
        <v>23</v>
      </c>
      <c r="O10" s="48" t="s">
        <v>141</v>
      </c>
      <c r="P10" s="49">
        <f>SUM(M11:M1211)/60</f>
        <v>9.8340677110774664</v>
      </c>
    </row>
    <row r="11" spans="1:16">
      <c r="A11" s="3">
        <v>0</v>
      </c>
      <c r="B11" s="10">
        <f>B$6*(B$7^((B$5^A11)*(B$5-1)))</f>
        <v>0.99953714034025631</v>
      </c>
      <c r="D11" s="3">
        <v>0</v>
      </c>
      <c r="E11" s="10">
        <f>(PRODUCT(B$11:B80)-PRODUCT(B$11:B81))/PRODUCT(B$11:B$80)</f>
        <v>5.582167581339003E-2</v>
      </c>
      <c r="G11" s="3">
        <v>70</v>
      </c>
      <c r="H11" s="19">
        <f t="shared" ref="H11:H42" si="0">B81*(1+H12)</f>
        <v>9.3386839776414377</v>
      </c>
      <c r="J11" s="3">
        <v>0</v>
      </c>
      <c r="K11" s="10">
        <f t="shared" ref="K11:K74" si="1">(B$6^J11)*(B$7^((B$5^70)*((B$5^J11)-1)))</f>
        <v>1</v>
      </c>
      <c r="L11" s="3">
        <v>1</v>
      </c>
      <c r="M11" s="5">
        <f>K11*L11</f>
        <v>1</v>
      </c>
    </row>
    <row r="12" spans="1:16">
      <c r="A12" s="3">
        <v>1</v>
      </c>
      <c r="B12" s="10">
        <f t="shared" ref="B12:B75" si="2">B$6*(B$7^((B$5^A12)*(B$5-1)))</f>
        <v>0.99950993079989048</v>
      </c>
      <c r="D12" s="3">
        <v>1</v>
      </c>
      <c r="E12" s="10">
        <f>(PRODUCT(B$11:B81)-PRODUCT(B$11:B82))/PRODUCT(B$11:B$80)</f>
        <v>5.6531178099998192E-2</v>
      </c>
      <c r="G12" s="3">
        <v>71</v>
      </c>
      <c r="H12" s="19">
        <f t="shared" si="0"/>
        <v>8.8908053049052143</v>
      </c>
      <c r="J12" s="3">
        <v>0.05</v>
      </c>
      <c r="K12" s="10">
        <f t="shared" si="1"/>
        <v>0.99722925236082582</v>
      </c>
      <c r="L12" s="3">
        <v>4</v>
      </c>
      <c r="M12" s="5">
        <f t="shared" ref="M12:M75" si="3">K12*L12</f>
        <v>3.9889170094433033</v>
      </c>
    </row>
    <row r="13" spans="1:16">
      <c r="A13" s="3">
        <v>2</v>
      </c>
      <c r="B13" s="10">
        <f t="shared" si="2"/>
        <v>0.99948068137011081</v>
      </c>
      <c r="D13" s="3">
        <v>2</v>
      </c>
      <c r="E13" s="10">
        <f>(PRODUCT(B$11:B82)-PRODUCT(B$11:B83))/PRODUCT(B$11:B$80)</f>
        <v>5.6995502832996418E-2</v>
      </c>
      <c r="G13" s="3">
        <v>72</v>
      </c>
      <c r="H13" s="19">
        <f t="shared" si="0"/>
        <v>8.4570299588793318</v>
      </c>
      <c r="J13" s="3">
        <v>0.1</v>
      </c>
      <c r="K13" s="10">
        <f t="shared" si="1"/>
        <v>0.99445620426548198</v>
      </c>
      <c r="L13" s="3">
        <f>IF(L12=4,2,4)</f>
        <v>2</v>
      </c>
      <c r="M13" s="5">
        <f t="shared" si="3"/>
        <v>1.988912408530964</v>
      </c>
    </row>
    <row r="14" spans="1:16">
      <c r="A14" s="3">
        <v>3</v>
      </c>
      <c r="B14" s="10">
        <f t="shared" si="2"/>
        <v>0.9994492391877472</v>
      </c>
      <c r="D14" s="3">
        <v>3</v>
      </c>
      <c r="E14" s="55">
        <f>(PRODUCT(B$11:B83)-PRODUCT(B$11:B84))/PRODUCT(B$11:B$80)</f>
        <v>5.7189351144364055E-2</v>
      </c>
      <c r="G14" s="3">
        <v>73</v>
      </c>
      <c r="H14" s="19">
        <f t="shared" si="0"/>
        <v>8.0373125344871124</v>
      </c>
      <c r="J14" s="3">
        <v>0.15</v>
      </c>
      <c r="K14" s="10">
        <f t="shared" si="1"/>
        <v>0.99168088163446988</v>
      </c>
      <c r="L14" s="3">
        <f t="shared" ref="L14:L77" si="4">IF(L13=4,2,4)</f>
        <v>4</v>
      </c>
      <c r="M14" s="5">
        <f t="shared" si="3"/>
        <v>3.9667235265378795</v>
      </c>
    </row>
    <row r="15" spans="1:16">
      <c r="A15" s="3">
        <v>4</v>
      </c>
      <c r="B15" s="10">
        <f t="shared" si="2"/>
        <v>0.99941543994488835</v>
      </c>
      <c r="D15" s="3">
        <v>4</v>
      </c>
      <c r="E15" s="10">
        <f>(PRODUCT(B$11:B84)-PRODUCT(B$11:B85))/PRODUCT(B$11:B$80)</f>
        <v>5.7089411623182998E-2</v>
      </c>
      <c r="G15" s="3">
        <v>74</v>
      </c>
      <c r="H15" s="19">
        <f t="shared" si="0"/>
        <v>7.6315867395531516</v>
      </c>
      <c r="J15" s="3">
        <v>0.2</v>
      </c>
      <c r="K15" s="10">
        <f t="shared" si="1"/>
        <v>0.98890331055655634</v>
      </c>
      <c r="L15" s="3">
        <f t="shared" si="4"/>
        <v>2</v>
      </c>
      <c r="M15" s="5">
        <f t="shared" si="3"/>
        <v>1.9778066211131127</v>
      </c>
    </row>
    <row r="16" spans="1:16">
      <c r="A16" s="3">
        <v>5</v>
      </c>
      <c r="B16" s="10">
        <f t="shared" si="2"/>
        <v>0.99937910703363653</v>
      </c>
      <c r="D16" s="3">
        <v>5</v>
      </c>
      <c r="E16" s="10">
        <f>(PRODUCT(B$11:B85)-PRODUCT(B$11:B86))/PRODUCT(B$11:B$80)</f>
        <v>5.6675311358444967E-2</v>
      </c>
      <c r="G16" s="3">
        <v>75</v>
      </c>
      <c r="H16" s="19">
        <f t="shared" si="0"/>
        <v>7.2397655366298341</v>
      </c>
      <c r="J16" s="3">
        <v>0.25</v>
      </c>
      <c r="K16" s="10">
        <f t="shared" si="1"/>
        <v>0.98612351728873682</v>
      </c>
      <c r="L16" s="3">
        <f t="shared" si="4"/>
        <v>4</v>
      </c>
      <c r="M16" s="5">
        <f t="shared" si="3"/>
        <v>3.9444940691549473</v>
      </c>
    </row>
    <row r="17" spans="1:13">
      <c r="A17" s="3">
        <v>6</v>
      </c>
      <c r="B17" s="10">
        <f t="shared" si="2"/>
        <v>0.99934005062720299</v>
      </c>
      <c r="D17" s="3">
        <v>6</v>
      </c>
      <c r="E17" s="10">
        <f>(PRODUCT(B$11:B86)-PRODUCT(B$11:B87))/PRODUCT(B$11:B$80)</f>
        <v>5.5930642646935078E-2</v>
      </c>
      <c r="G17" s="3">
        <v>76</v>
      </c>
      <c r="H17" s="19">
        <f t="shared" si="0"/>
        <v>6.8617414012570634</v>
      </c>
      <c r="J17" s="3">
        <v>0.3</v>
      </c>
      <c r="K17" s="10">
        <f t="shared" si="1"/>
        <v>0.98334152825618693</v>
      </c>
      <c r="L17" s="3">
        <f t="shared" si="4"/>
        <v>2</v>
      </c>
      <c r="M17" s="5">
        <f t="shared" si="3"/>
        <v>1.9666830565123739</v>
      </c>
    </row>
    <row r="18" spans="1:13">
      <c r="A18" s="3">
        <v>7</v>
      </c>
      <c r="B18" s="10">
        <f t="shared" si="2"/>
        <v>0.99929806669264309</v>
      </c>
      <c r="D18" s="3">
        <v>7</v>
      </c>
      <c r="E18" s="10">
        <f>(PRODUCT(B$11:B87)-PRODUCT(B$11:B88))/PRODUCT(B$11:B$80)</f>
        <v>5.48440320714371E-2</v>
      </c>
      <c r="G18" s="3">
        <v>77</v>
      </c>
      <c r="H18" s="19">
        <f t="shared" si="0"/>
        <v>6.4973866965143285</v>
      </c>
      <c r="J18" s="3">
        <v>0.35</v>
      </c>
      <c r="K18" s="10">
        <f t="shared" si="1"/>
        <v>0.980557370052206</v>
      </c>
      <c r="L18" s="3">
        <f t="shared" si="4"/>
        <v>4</v>
      </c>
      <c r="M18" s="5">
        <f t="shared" si="3"/>
        <v>3.922229480208824</v>
      </c>
    </row>
    <row r="19" spans="1:13">
      <c r="A19" s="3">
        <v>8</v>
      </c>
      <c r="B19" s="10">
        <f t="shared" si="2"/>
        <v>0.99925293593019393</v>
      </c>
      <c r="D19" s="3">
        <v>8</v>
      </c>
      <c r="E19" s="10">
        <f>(PRODUCT(B$11:B88)-PRODUCT(B$11:B89))/PRODUCT(B$11:B$80)</f>
        <v>5.3410206723286099E-2</v>
      </c>
      <c r="G19" s="3">
        <v>78</v>
      </c>
      <c r="H19" s="19">
        <f t="shared" si="0"/>
        <v>6.1465541624617188</v>
      </c>
      <c r="J19" s="3">
        <v>0.4</v>
      </c>
      <c r="K19" s="10">
        <f t="shared" si="1"/>
        <v>0.97777106943814873</v>
      </c>
      <c r="L19" s="3">
        <f t="shared" si="4"/>
        <v>2</v>
      </c>
      <c r="M19" s="5">
        <f t="shared" si="3"/>
        <v>1.9555421388762975</v>
      </c>
    </row>
    <row r="20" spans="1:13">
      <c r="A20" s="3">
        <v>9</v>
      </c>
      <c r="B20" s="10">
        <f t="shared" si="2"/>
        <v>0.9992044226338066</v>
      </c>
      <c r="D20" s="3">
        <v>9</v>
      </c>
      <c r="E20" s="10">
        <f>(PRODUCT(B$11:B89)-PRODUCT(B$11:B90))/PRODUCT(B$11:B$80)</f>
        <v>5.1631000175692818E-2</v>
      </c>
      <c r="G20" s="3">
        <v>79</v>
      </c>
      <c r="H20" s="19">
        <f t="shared" si="0"/>
        <v>5.8090775177890217</v>
      </c>
      <c r="J20" s="3">
        <v>0.45</v>
      </c>
      <c r="K20" s="10">
        <f t="shared" si="1"/>
        <v>0.97498265334334666</v>
      </c>
      <c r="L20" s="3">
        <f t="shared" si="4"/>
        <v>4</v>
      </c>
      <c r="M20" s="5">
        <f t="shared" si="3"/>
        <v>3.8999306133733866</v>
      </c>
    </row>
    <row r="21" spans="1:13">
      <c r="A21" s="3">
        <v>10</v>
      </c>
      <c r="B21" s="10">
        <f t="shared" si="2"/>
        <v>0.99915227346708202</v>
      </c>
      <c r="D21" s="3">
        <v>10</v>
      </c>
      <c r="E21" s="10">
        <f>(PRODUCT(B$11:B90)-PRODUCT(B$11:B91))/PRODUCT(B$11:B$80)</f>
        <v>4.9516229496251084E-2</v>
      </c>
      <c r="G21" s="3">
        <v>80</v>
      </c>
      <c r="H21" s="19">
        <f t="shared" si="0"/>
        <v>5.4847721697217784</v>
      </c>
      <c r="J21" s="3">
        <v>0.5</v>
      </c>
      <c r="K21" s="10">
        <f t="shared" si="1"/>
        <v>0.97219214886502092</v>
      </c>
      <c r="L21" s="3">
        <f t="shared" si="4"/>
        <v>2</v>
      </c>
      <c r="M21" s="5">
        <f t="shared" si="3"/>
        <v>1.9443842977300418</v>
      </c>
    </row>
    <row r="22" spans="1:13">
      <c r="A22" s="3">
        <v>11</v>
      </c>
      <c r="B22" s="10">
        <f t="shared" si="2"/>
        <v>0.99909621614839628</v>
      </c>
      <c r="D22" s="3">
        <v>11</v>
      </c>
      <c r="E22" s="10">
        <f>(PRODUCT(B$11:B91)-PRODUCT(B$11:B92))/PRODUCT(B$11:B$80)</f>
        <v>4.7084365547327076E-2</v>
      </c>
      <c r="G22" s="3">
        <v>81</v>
      </c>
      <c r="H22" s="19">
        <f t="shared" si="0"/>
        <v>5.1734360269933219</v>
      </c>
      <c r="J22" s="3">
        <v>0.55000000000000004</v>
      </c>
      <c r="K22" s="10">
        <f t="shared" si="1"/>
        <v>0.96939958326818187</v>
      </c>
      <c r="L22" s="3">
        <f t="shared" si="4"/>
        <v>4</v>
      </c>
      <c r="M22" s="5">
        <f t="shared" si="3"/>
        <v>3.8775983330727275</v>
      </c>
    </row>
    <row r="23" spans="1:13">
      <c r="A23" s="3">
        <v>12</v>
      </c>
      <c r="B23" s="10">
        <f t="shared" si="2"/>
        <v>0.99903595803856138</v>
      </c>
      <c r="D23" s="3">
        <v>12</v>
      </c>
      <c r="E23" s="10">
        <f>(PRODUCT(B$11:B92)-PRODUCT(B$11:B93))/PRODUCT(B$11:B$80)</f>
        <v>4.4362913792317125E-2</v>
      </c>
      <c r="G23" s="3">
        <v>82</v>
      </c>
      <c r="H23" s="19">
        <f t="shared" si="0"/>
        <v>4.8748504095054548</v>
      </c>
      <c r="J23" s="3">
        <v>0.6</v>
      </c>
      <c r="K23" s="10">
        <f t="shared" si="1"/>
        <v>0.96660498398552053</v>
      </c>
      <c r="L23" s="3">
        <f t="shared" si="4"/>
        <v>2</v>
      </c>
      <c r="M23" s="5">
        <f t="shared" si="3"/>
        <v>1.9332099679710411</v>
      </c>
    </row>
    <row r="24" spans="1:13">
      <c r="A24" s="3">
        <v>13</v>
      </c>
      <c r="B24" s="10">
        <f t="shared" si="2"/>
        <v>0.99897118462389034</v>
      </c>
      <c r="D24" s="3">
        <v>13</v>
      </c>
      <c r="E24" s="10">
        <f>(PRODUCT(B$11:B93)-PRODUCT(B$11:B94))/PRODUCT(B$11:B$80)</f>
        <v>4.1388423727621804E-2</v>
      </c>
      <c r="G24" s="3">
        <v>83</v>
      </c>
      <c r="H24" s="19">
        <f t="shared" si="0"/>
        <v>4.5887810471903077</v>
      </c>
      <c r="J24" s="3">
        <v>0.65</v>
      </c>
      <c r="K24" s="10">
        <f t="shared" si="1"/>
        <v>0.96380837861728719</v>
      </c>
      <c r="L24" s="3">
        <f t="shared" si="4"/>
        <v>4</v>
      </c>
      <c r="M24" s="5">
        <f t="shared" si="3"/>
        <v>3.8552335144691487</v>
      </c>
    </row>
    <row r="25" spans="1:13">
      <c r="A25" s="3">
        <v>14</v>
      </c>
      <c r="B25" s="10">
        <f t="shared" si="2"/>
        <v>0.9989015578870265</v>
      </c>
      <c r="D25" s="3">
        <v>14</v>
      </c>
      <c r="E25" s="10">
        <f>(PRODUCT(B$11:B94)-PRODUCT(B$11:B95))/PRODUCT(B$11:B$80)</f>
        <v>3.8206053816354855E-2</v>
      </c>
      <c r="G25" s="3">
        <v>84</v>
      </c>
      <c r="H25" s="19">
        <f t="shared" si="0"/>
        <v>4.3149791595735767</v>
      </c>
      <c r="J25" s="3">
        <v>0.7</v>
      </c>
      <c r="K25" s="10">
        <f t="shared" si="1"/>
        <v>0.96100979493116123</v>
      </c>
      <c r="L25" s="3">
        <f t="shared" si="4"/>
        <v>2</v>
      </c>
      <c r="M25" s="5">
        <f t="shared" si="3"/>
        <v>1.9220195898623225</v>
      </c>
    </row>
    <row r="26" spans="1:13">
      <c r="A26" s="3">
        <v>15</v>
      </c>
      <c r="B26" s="10">
        <f t="shared" si="2"/>
        <v>0.99882671455736094</v>
      </c>
      <c r="D26" s="3">
        <v>15</v>
      </c>
      <c r="E26" s="10">
        <f>(PRODUCT(B$11:B95)-PRODUCT(B$11:B96))/PRODUCT(B$11:B$80)</f>
        <v>3.4868637041370242E-2</v>
      </c>
      <c r="G26" s="3">
        <v>85</v>
      </c>
      <c r="H26" s="19">
        <f t="shared" si="0"/>
        <v>4.0531826066445875</v>
      </c>
      <c r="J26" s="3">
        <v>0.75</v>
      </c>
      <c r="K26" s="10">
        <f t="shared" si="1"/>
        <v>0.95820926086210867</v>
      </c>
      <c r="L26" s="3">
        <f t="shared" si="4"/>
        <v>4</v>
      </c>
      <c r="M26" s="5">
        <f t="shared" si="3"/>
        <v>3.8328370434484347</v>
      </c>
    </row>
    <row r="27" spans="1:13">
      <c r="A27" s="3">
        <v>16</v>
      </c>
      <c r="B27" s="10">
        <f t="shared" si="2"/>
        <v>0.99874626423227841</v>
      </c>
      <c r="D27" s="3">
        <v>16</v>
      </c>
      <c r="E27" s="10">
        <f>(PRODUCT(B$11:B96)-PRODUCT(B$11:B97))/PRODUCT(B$11:B$80)</f>
        <v>3.143522088612033E-2</v>
      </c>
      <c r="G27" s="3">
        <v>86</v>
      </c>
      <c r="H27" s="19">
        <f t="shared" si="0"/>
        <v>3.8031171008788114</v>
      </c>
      <c r="J27" s="3">
        <v>0.8</v>
      </c>
      <c r="K27" s="10">
        <f t="shared" si="1"/>
        <v>0.95540680451222915</v>
      </c>
      <c r="L27" s="3">
        <f t="shared" si="4"/>
        <v>2</v>
      </c>
      <c r="M27" s="5">
        <f t="shared" si="3"/>
        <v>1.9108136090244583</v>
      </c>
    </row>
    <row r="28" spans="1:13">
      <c r="A28" s="3">
        <v>17</v>
      </c>
      <c r="B28" s="10">
        <f t="shared" si="2"/>
        <v>0.99865978735986638</v>
      </c>
      <c r="D28" s="3">
        <v>17</v>
      </c>
      <c r="E28" s="10">
        <f>(PRODUCT(B$11:B97)-PRODUCT(B$11:B98))/PRODUCT(B$11:B$80)</f>
        <v>2.7969094555402318E-2</v>
      </c>
      <c r="G28" s="3">
        <v>87</v>
      </c>
      <c r="H28" s="19">
        <f t="shared" si="0"/>
        <v>3.564497469647971</v>
      </c>
      <c r="J28" s="3">
        <v>0.85</v>
      </c>
      <c r="K28" s="10">
        <f t="shared" si="1"/>
        <v>0.95260245415059153</v>
      </c>
      <c r="L28" s="3">
        <f t="shared" si="4"/>
        <v>4</v>
      </c>
      <c r="M28" s="5">
        <f t="shared" si="3"/>
        <v>3.8104098166023661</v>
      </c>
    </row>
    <row r="29" spans="1:13">
      <c r="A29" s="3">
        <v>18</v>
      </c>
      <c r="B29" s="10">
        <f t="shared" si="2"/>
        <v>0.99856683307306027</v>
      </c>
      <c r="D29" s="3">
        <v>18</v>
      </c>
      <c r="E29" s="10">
        <f>(PRODUCT(B$11:B98)-PRODUCT(B$11:B99))/PRODUCT(B$11:B$80)</f>
        <v>2.4535363897081299E-2</v>
      </c>
      <c r="G29" s="3">
        <v>88</v>
      </c>
      <c r="H29" s="19">
        <f t="shared" si="0"/>
        <v>3.3370289568025946</v>
      </c>
      <c r="J29" s="3">
        <v>0.9</v>
      </c>
      <c r="K29" s="10">
        <f t="shared" si="1"/>
        <v>0.94979623821305992</v>
      </c>
      <c r="L29" s="3">
        <f t="shared" si="4"/>
        <v>2</v>
      </c>
      <c r="M29" s="5">
        <f t="shared" si="3"/>
        <v>1.8995924764261198</v>
      </c>
    </row>
    <row r="30" spans="1:13">
      <c r="A30" s="3">
        <v>19</v>
      </c>
      <c r="B30" s="10">
        <f t="shared" si="2"/>
        <v>0.99846691686451117</v>
      </c>
      <c r="D30" s="3">
        <v>19</v>
      </c>
      <c r="E30" s="10">
        <f>(PRODUCT(B$11:B99)-PRODUCT(B$11:B100))/PRODUCT(B$11:B$80)</f>
        <v>2.1198187251690235E-2</v>
      </c>
      <c r="G30" s="3">
        <v>89</v>
      </c>
      <c r="H30" s="19">
        <f t="shared" si="0"/>
        <v>3.1204085519288078</v>
      </c>
      <c r="J30" s="3">
        <v>0.95</v>
      </c>
      <c r="K30" s="10">
        <f t="shared" si="1"/>
        <v>0.94698818530210538</v>
      </c>
      <c r="L30" s="3">
        <f t="shared" si="4"/>
        <v>4</v>
      </c>
      <c r="M30" s="5">
        <f t="shared" si="3"/>
        <v>3.7879527412084215</v>
      </c>
    </row>
    <row r="31" spans="1:13">
      <c r="A31" s="3">
        <v>20</v>
      </c>
      <c r="B31" s="10">
        <f t="shared" si="2"/>
        <v>0.99835951809071555</v>
      </c>
      <c r="D31" s="3">
        <v>20</v>
      </c>
      <c r="E31" s="10">
        <f>(PRODUCT(B$11:B100)-PRODUCT(B$11:B101))/PRODUCT(B$11:B$80)</f>
        <v>1.8017837839148926E-2</v>
      </c>
      <c r="G31" s="3">
        <v>90</v>
      </c>
      <c r="H31" s="19">
        <f t="shared" si="0"/>
        <v>2.9143263356680662</v>
      </c>
      <c r="J31" s="3">
        <v>1</v>
      </c>
      <c r="K31" s="10">
        <f t="shared" si="1"/>
        <v>0.94417832418660996</v>
      </c>
      <c r="L31" s="3">
        <f t="shared" si="4"/>
        <v>2</v>
      </c>
      <c r="M31" s="5">
        <f t="shared" si="3"/>
        <v>1.8883566483732199</v>
      </c>
    </row>
    <row r="32" spans="1:13">
      <c r="A32" s="3">
        <v>21</v>
      </c>
      <c r="B32" s="10">
        <f t="shared" si="2"/>
        <v>0.99824407729317155</v>
      </c>
      <c r="D32" s="3">
        <v>21</v>
      </c>
      <c r="E32" s="10">
        <f>(PRODUCT(B$11:B101)-PRODUCT(B$11:B102))/PRODUCT(B$11:B$80)</f>
        <v>1.5047803063298823E-2</v>
      </c>
      <c r="G32" s="3">
        <v>91</v>
      </c>
      <c r="H32" s="19">
        <f t="shared" si="0"/>
        <v>2.7184668295437833</v>
      </c>
      <c r="J32" s="3">
        <v>1.05</v>
      </c>
      <c r="K32" s="10">
        <f t="shared" si="1"/>
        <v>0.941366683801656</v>
      </c>
      <c r="L32" s="3">
        <f t="shared" si="4"/>
        <v>4</v>
      </c>
      <c r="M32" s="5">
        <f t="shared" si="3"/>
        <v>3.765466735206624</v>
      </c>
    </row>
    <row r="33" spans="1:13">
      <c r="A33" s="3">
        <v>22</v>
      </c>
      <c r="B33" s="10">
        <f t="shared" si="2"/>
        <v>0.99811999332349055</v>
      </c>
      <c r="D33" s="3">
        <v>22</v>
      </c>
      <c r="E33" s="10">
        <f>(PRODUCT(B$11:B102)-PRODUCT(B$11:B103))/PRODUCT(B$11:B$80)</f>
        <v>1.2332160030818103E-2</v>
      </c>
      <c r="G33" s="3">
        <v>92</v>
      </c>
      <c r="H33" s="19">
        <f t="shared" si="0"/>
        <v>2.5325103389563219</v>
      </c>
      <c r="J33" s="3">
        <v>1.1000000000000001</v>
      </c>
      <c r="K33" s="10">
        <f t="shared" si="1"/>
        <v>0.93855329324830639</v>
      </c>
      <c r="L33" s="3">
        <f t="shared" si="4"/>
        <v>2</v>
      </c>
      <c r="M33" s="5">
        <f t="shared" si="3"/>
        <v>1.8771065864966128</v>
      </c>
    </row>
    <row r="34" spans="1:13">
      <c r="A34" s="3">
        <v>23</v>
      </c>
      <c r="B34" s="10">
        <f t="shared" si="2"/>
        <v>0.99798662025851481</v>
      </c>
      <c r="D34" s="3">
        <v>23</v>
      </c>
      <c r="E34" s="10">
        <f>(PRODUCT(B$11:B103)-PRODUCT(B$11:B104))/PRODUCT(B$11:B$80)</f>
        <v>9.9034715980615608E-3</v>
      </c>
      <c r="G34" s="3">
        <v>93</v>
      </c>
      <c r="H34" s="19">
        <f t="shared" si="0"/>
        <v>2.3561342783770898</v>
      </c>
      <c r="J34" s="3">
        <v>1.1499999999999999</v>
      </c>
      <c r="K34" s="10">
        <f t="shared" si="1"/>
        <v>0.9357381817933712</v>
      </c>
      <c r="L34" s="3">
        <f t="shared" si="4"/>
        <v>4</v>
      </c>
      <c r="M34" s="5">
        <f t="shared" si="3"/>
        <v>3.7429527271734848</v>
      </c>
    </row>
    <row r="35" spans="1:13">
      <c r="A35" s="3">
        <v>24</v>
      </c>
      <c r="B35" s="10">
        <f t="shared" si="2"/>
        <v>0.99784326409056467</v>
      </c>
      <c r="D35" s="3">
        <v>24</v>
      </c>
      <c r="E35" s="10">
        <f>(PRODUCT(B$11:B104)-PRODUCT(B$11:B105))/PRODUCT(B$11:B$80)</f>
        <v>7.7814221869080104E-3</v>
      </c>
      <c r="G35" s="3">
        <v>94</v>
      </c>
      <c r="H35" s="19">
        <f t="shared" si="0"/>
        <v>2.189014468278784</v>
      </c>
      <c r="J35" s="3">
        <v>1.2</v>
      </c>
      <c r="K35" s="10">
        <f t="shared" si="1"/>
        <v>0.9329213788691646</v>
      </c>
      <c r="L35" s="3">
        <f t="shared" si="4"/>
        <v>2</v>
      </c>
      <c r="M35" s="5">
        <f t="shared" si="3"/>
        <v>1.8658427577383292</v>
      </c>
    </row>
    <row r="36" spans="1:13">
      <c r="A36" s="3">
        <v>25</v>
      </c>
      <c r="B36" s="10">
        <f t="shared" si="2"/>
        <v>0.99768917917695421</v>
      </c>
      <c r="D36" s="3">
        <v>25</v>
      </c>
      <c r="E36" s="10">
        <f>(PRODUCT(B$11:B105)-PRODUCT(B$11:B106))/PRODUCT(B$11:B$80)</f>
        <v>5.9723549577870554E-3</v>
      </c>
      <c r="G36" s="3">
        <v>95</v>
      </c>
      <c r="H36" s="19">
        <f t="shared" si="0"/>
        <v>2.030826393963566</v>
      </c>
      <c r="J36" s="3">
        <v>1.25</v>
      </c>
      <c r="K36" s="10">
        <f t="shared" si="1"/>
        <v>0.93010291407324863</v>
      </c>
      <c r="L36" s="3">
        <f t="shared" si="4"/>
        <v>4</v>
      </c>
      <c r="M36" s="5">
        <f t="shared" si="3"/>
        <v>3.7204116562929945</v>
      </c>
    </row>
    <row r="37" spans="1:13">
      <c r="A37" s="3">
        <v>26</v>
      </c>
      <c r="B37" s="10">
        <f t="shared" si="2"/>
        <v>0.99752356443188273</v>
      </c>
      <c r="D37" s="3">
        <v>26</v>
      </c>
      <c r="E37" s="10">
        <f>(PRODUCT(B$11:B106)-PRODUCT(B$11:B107))/PRODUCT(B$11:B$80)</f>
        <v>4.469784538709577E-3</v>
      </c>
      <c r="G37" s="3">
        <v>96</v>
      </c>
      <c r="H37" s="19">
        <f t="shared" si="0"/>
        <v>1.8812464171719343</v>
      </c>
      <c r="J37" s="3">
        <v>1.3</v>
      </c>
      <c r="K37" s="10">
        <f t="shared" si="1"/>
        <v>0.92728281716816507</v>
      </c>
      <c r="L37" s="3">
        <f t="shared" si="4"/>
        <v>2</v>
      </c>
      <c r="M37" s="5">
        <f t="shared" si="3"/>
        <v>1.8545656343363301</v>
      </c>
    </row>
    <row r="38" spans="1:13">
      <c r="A38" s="3">
        <v>27</v>
      </c>
      <c r="B38" s="10">
        <f t="shared" si="2"/>
        <v>0.99734555924272095</v>
      </c>
      <c r="D38" s="3">
        <v>27</v>
      </c>
      <c r="E38" s="10">
        <f>(PRODUCT(B$11:B107)-PRODUCT(B$11:B108))/PRODUCT(B$11:B$80)</f>
        <v>3.2558514583451727E-3</v>
      </c>
      <c r="G38" s="3">
        <v>97</v>
      </c>
      <c r="H38" s="19">
        <f t="shared" si="0"/>
        <v>1.7399529321471212</v>
      </c>
      <c r="J38" s="3">
        <v>1.35</v>
      </c>
      <c r="K38" s="10">
        <f t="shared" si="1"/>
        <v>0.92446111808115605</v>
      </c>
      <c r="L38" s="3">
        <f t="shared" si="4"/>
        <v>4</v>
      </c>
      <c r="M38" s="5">
        <f t="shared" si="3"/>
        <v>3.6978444723246242</v>
      </c>
    </row>
    <row r="39" spans="1:13">
      <c r="A39" s="3">
        <v>28</v>
      </c>
      <c r="B39" s="10">
        <f t="shared" si="2"/>
        <v>0.99715423909156919</v>
      </c>
      <c r="D39" s="3">
        <v>28</v>
      </c>
      <c r="E39" s="10">
        <f>(PRODUCT(B$11:B108)-PRODUCT(B$11:B109))/PRODUCT(B$11:B$80)</f>
        <v>2.3035706532341976E-3</v>
      </c>
      <c r="G39" s="3">
        <v>98</v>
      </c>
      <c r="H39" s="19">
        <f t="shared" si="0"/>
        <v>1.606627458665296</v>
      </c>
      <c r="J39" s="3">
        <v>1.4</v>
      </c>
      <c r="K39" s="10">
        <f t="shared" si="1"/>
        <v>0.92163784690387207</v>
      </c>
      <c r="L39" s="3">
        <f t="shared" si="4"/>
        <v>2</v>
      </c>
      <c r="M39" s="5">
        <f t="shared" si="3"/>
        <v>1.8432756938077441</v>
      </c>
    </row>
    <row r="40" spans="1:13">
      <c r="A40" s="3">
        <v>29</v>
      </c>
      <c r="B40" s="10">
        <f t="shared" si="2"/>
        <v>0.99694861086176834</v>
      </c>
      <c r="D40" s="3">
        <v>29</v>
      </c>
      <c r="E40" s="10">
        <f>(PRODUCT(B$11:B109)-PRODUCT(B$11:B110))/PRODUCT(B$11:B$80)</f>
        <v>1.5796257256092889E-3</v>
      </c>
      <c r="G40" s="3">
        <v>99</v>
      </c>
      <c r="H40" s="19">
        <f t="shared" si="0"/>
        <v>1.4809556653910809</v>
      </c>
      <c r="J40" s="3">
        <v>1.45</v>
      </c>
      <c r="K40" s="10">
        <f t="shared" si="1"/>
        <v>0.91881303389206814</v>
      </c>
      <c r="L40" s="3">
        <f t="shared" si="4"/>
        <v>4</v>
      </c>
      <c r="M40" s="5">
        <f t="shared" si="3"/>
        <v>3.6752521355682726</v>
      </c>
    </row>
    <row r="41" spans="1:13">
      <c r="A41" s="3">
        <v>30</v>
      </c>
      <c r="B41" s="10">
        <f t="shared" si="2"/>
        <v>0.99672760780779801</v>
      </c>
      <c r="D41" s="3">
        <v>30</v>
      </c>
      <c r="E41" s="10">
        <f>(PRODUCT(B$11:B110)-PRODUCT(B$11:B111))/PRODUCT(B$11:B$80)</f>
        <v>1.0473921662013754E-3</v>
      </c>
      <c r="G41" s="3">
        <v>100</v>
      </c>
      <c r="H41" s="19">
        <f t="shared" si="0"/>
        <v>1.3626283177500582</v>
      </c>
      <c r="J41" s="3">
        <v>1.5</v>
      </c>
      <c r="K41" s="10">
        <f t="shared" si="1"/>
        <v>0.91598670946528804</v>
      </c>
      <c r="L41" s="3">
        <f t="shared" si="4"/>
        <v>2</v>
      </c>
      <c r="M41" s="5">
        <f t="shared" si="3"/>
        <v>1.8319734189305761</v>
      </c>
    </row>
    <row r="42" spans="1:13">
      <c r="A42" s="3">
        <v>31</v>
      </c>
      <c r="B42" s="10">
        <f t="shared" si="2"/>
        <v>0.99649008416569196</v>
      </c>
      <c r="D42" s="3">
        <v>31</v>
      </c>
      <c r="E42" s="10">
        <f>(PRODUCT(B$11:B111)-PRODUCT(B$11:B112))/PRODUCT(B$11:B$80)</f>
        <v>6.6985149991170931E-4</v>
      </c>
      <c r="G42" s="3">
        <v>101</v>
      </c>
      <c r="H42" s="19">
        <f t="shared" si="0"/>
        <v>1.2513421452936038</v>
      </c>
      <c r="J42" s="3">
        <v>1.55</v>
      </c>
      <c r="K42" s="10">
        <f t="shared" si="1"/>
        <v>0.91315890420653456</v>
      </c>
      <c r="L42" s="3">
        <f t="shared" si="4"/>
        <v>4</v>
      </c>
      <c r="M42" s="5">
        <f t="shared" si="3"/>
        <v>3.6526356168261382</v>
      </c>
    </row>
    <row r="43" spans="1:13">
      <c r="A43" s="3">
        <v>32</v>
      </c>
      <c r="B43" s="10">
        <f t="shared" si="2"/>
        <v>0.99623480937975817</v>
      </c>
      <c r="D43" s="3">
        <v>32</v>
      </c>
      <c r="E43" s="10">
        <f>(PRODUCT(B$11:B112)-PRODUCT(B$11:B113))/PRODUCT(B$11:B$80)</f>
        <v>4.120907122753478E-4</v>
      </c>
      <c r="G43" s="3">
        <v>102</v>
      </c>
      <c r="H43" s="19">
        <f t="shared" ref="H43:H69" si="5">B113*(1+H44)</f>
        <v>1.1468006242352209</v>
      </c>
      <c r="J43" s="3">
        <v>1.6</v>
      </c>
      <c r="K43" s="10">
        <f t="shared" si="1"/>
        <v>0.91032964886192991</v>
      </c>
      <c r="L43" s="3">
        <f t="shared" si="4"/>
        <v>2</v>
      </c>
      <c r="M43" s="5">
        <f t="shared" si="3"/>
        <v>1.8206592977238598</v>
      </c>
    </row>
    <row r="44" spans="1:13">
      <c r="A44" s="3">
        <v>33</v>
      </c>
      <c r="B44" s="10">
        <f t="shared" si="2"/>
        <v>0.99596046191999033</v>
      </c>
      <c r="D44" s="3">
        <v>33</v>
      </c>
      <c r="E44" s="10">
        <f>(PRODUCT(B$11:B113)-PRODUCT(B$11:B114))/PRODUCT(B$11:B$80)</f>
        <v>2.4316252676477142E-4</v>
      </c>
      <c r="G44" s="3">
        <v>103</v>
      </c>
      <c r="H44" s="19">
        <f t="shared" si="5"/>
        <v>1.0487146714313471</v>
      </c>
      <c r="J44" s="3">
        <v>1.65</v>
      </c>
      <c r="K44" s="10">
        <f t="shared" si="1"/>
        <v>0.90749897434036098</v>
      </c>
      <c r="L44" s="3">
        <f t="shared" si="4"/>
        <v>4</v>
      </c>
      <c r="M44" s="5">
        <f t="shared" si="3"/>
        <v>3.6299958973614439</v>
      </c>
    </row>
    <row r="45" spans="1:13">
      <c r="A45" s="3">
        <v>34</v>
      </c>
      <c r="B45" s="10">
        <f t="shared" si="2"/>
        <v>0.99566562266312619</v>
      </c>
      <c r="D45" s="3">
        <v>34</v>
      </c>
      <c r="E45" s="10">
        <f>(PRODUCT(B$11:B114)-PRODUCT(B$11:B115))/PRODUCT(B$11:B$80)</f>
        <v>1.3719604097467213E-4</v>
      </c>
      <c r="G45" s="3">
        <v>104</v>
      </c>
      <c r="H45" s="19">
        <f t="shared" si="5"/>
        <v>0.95680324653512983</v>
      </c>
      <c r="J45" s="3">
        <v>1.7</v>
      </c>
      <c r="K45" s="10">
        <f t="shared" si="1"/>
        <v>0.90466691171311464</v>
      </c>
      <c r="L45" s="3">
        <f t="shared" si="4"/>
        <v>2</v>
      </c>
      <c r="M45" s="5">
        <f t="shared" si="3"/>
        <v>1.8093338234262293</v>
      </c>
    </row>
    <row r="46" spans="1:13">
      <c r="A46" s="3">
        <v>35</v>
      </c>
      <c r="B46" s="10">
        <f t="shared" si="2"/>
        <v>0.99534876780884052</v>
      </c>
      <c r="D46" s="3">
        <v>35</v>
      </c>
      <c r="E46" s="10">
        <f>(PRODUCT(B$11:B115)-PRODUCT(B$11:B116))/PRODUCT(B$11:B$80)</f>
        <v>7.3769961317524409E-5</v>
      </c>
      <c r="G46" s="3">
        <v>105</v>
      </c>
      <c r="H46" s="19">
        <f t="shared" si="5"/>
        <v>0.87079385934410058</v>
      </c>
      <c r="J46" s="3">
        <v>1.75</v>
      </c>
      <c r="K46" s="10">
        <f t="shared" si="1"/>
        <v>0.90183349221349751</v>
      </c>
      <c r="L46" s="3">
        <f t="shared" si="4"/>
        <v>4</v>
      </c>
      <c r="M46" s="5">
        <f t="shared" si="3"/>
        <v>3.60733396885399</v>
      </c>
    </row>
    <row r="47" spans="1:13">
      <c r="A47" s="3">
        <v>36</v>
      </c>
      <c r="B47" s="10">
        <f t="shared" si="2"/>
        <v>0.99500826130106679</v>
      </c>
      <c r="D47" s="3">
        <v>36</v>
      </c>
      <c r="E47" s="10">
        <f>(PRODUCT(B$11:B116)-PRODUCT(B$11:B117))/PRODUCT(B$11:B$80)</f>
        <v>3.7666528830459954E-5</v>
      </c>
      <c r="G47" s="3">
        <v>106</v>
      </c>
      <c r="H47" s="19">
        <f t="shared" si="5"/>
        <v>0.79042297947250328</v>
      </c>
      <c r="J47" s="3">
        <v>1.8</v>
      </c>
      <c r="K47" s="10">
        <f t="shared" si="1"/>
        <v>0.89899874723644579</v>
      </c>
      <c r="L47" s="3">
        <f t="shared" si="4"/>
        <v>2</v>
      </c>
      <c r="M47" s="5">
        <f t="shared" si="3"/>
        <v>1.7979974944728916</v>
      </c>
    </row>
    <row r="48" spans="1:13">
      <c r="A48" s="3">
        <v>37</v>
      </c>
      <c r="B48" s="10">
        <f t="shared" si="2"/>
        <v>0.99464234672293428</v>
      </c>
      <c r="D48" s="3">
        <v>37</v>
      </c>
      <c r="E48" s="10">
        <f>(PRODUCT(B$11:B117)-PRODUCT(B$11:B118))/PRODUCT(B$11:B$80)</f>
        <v>1.8192820636182382E-5</v>
      </c>
      <c r="G48" s="3">
        <v>107</v>
      </c>
      <c r="H48" s="19">
        <f t="shared" si="5"/>
        <v>0.7154363453943503</v>
      </c>
      <c r="J48" s="3">
        <v>1.85</v>
      </c>
      <c r="K48" s="10">
        <f t="shared" si="1"/>
        <v>0.89616270833811973</v>
      </c>
      <c r="L48" s="3">
        <f t="shared" si="4"/>
        <v>4</v>
      </c>
      <c r="M48" s="5">
        <f t="shared" si="3"/>
        <v>3.5846508333524789</v>
      </c>
    </row>
    <row r="49" spans="1:13">
      <c r="A49" s="3">
        <v>38</v>
      </c>
      <c r="B49" s="10">
        <f t="shared" si="2"/>
        <v>0.99424913863230358</v>
      </c>
      <c r="D49" s="3">
        <v>38</v>
      </c>
      <c r="E49" s="10">
        <f>(PRODUCT(B$11:B118)-PRODUCT(B$11:B119))/PRODUCT(B$11:B$80)</f>
        <v>8.2778997627616865E-6</v>
      </c>
      <c r="G49" s="3">
        <v>108</v>
      </c>
      <c r="H49" s="19">
        <f t="shared" si="5"/>
        <v>0.64558916962352653</v>
      </c>
      <c r="J49" s="3">
        <v>1.9</v>
      </c>
      <c r="K49" s="10">
        <f t="shared" si="1"/>
        <v>0.89332540723548681</v>
      </c>
      <c r="L49" s="3">
        <f t="shared" si="4"/>
        <v>2</v>
      </c>
      <c r="M49" s="5">
        <f t="shared" si="3"/>
        <v>1.7866508144709736</v>
      </c>
    </row>
    <row r="50" spans="1:13">
      <c r="A50" s="3">
        <v>39</v>
      </c>
      <c r="B50" s="10">
        <f t="shared" si="2"/>
        <v>0.99382661330338784</v>
      </c>
      <c r="D50" s="3">
        <v>39</v>
      </c>
      <c r="E50" s="10">
        <f>(PRODUCT(B$11:B119)-PRODUCT(B$11:B120))/PRODUCT(B$11:B$80)</f>
        <v>3.5325742466640364E-6</v>
      </c>
      <c r="G50" s="3">
        <v>109</v>
      </c>
      <c r="H50" s="19">
        <f t="shared" si="5"/>
        <v>0.5806462363379149</v>
      </c>
      <c r="J50" s="3">
        <v>1.95</v>
      </c>
      <c r="K50" s="10">
        <f t="shared" si="1"/>
        <v>0.8904868758058917</v>
      </c>
      <c r="L50" s="3">
        <f t="shared" si="4"/>
        <v>4</v>
      </c>
      <c r="M50" s="5">
        <f t="shared" si="3"/>
        <v>3.5619475032235668</v>
      </c>
    </row>
    <row r="51" spans="1:13">
      <c r="A51" s="3">
        <v>40</v>
      </c>
      <c r="B51" s="10">
        <f t="shared" si="2"/>
        <v>0.99337259883849993</v>
      </c>
      <c r="D51" s="3">
        <v>40</v>
      </c>
      <c r="E51" s="10">
        <f>(PRODUCT(B$11:B120)-PRODUCT(B$11:B121))/PRODUCT(B$11:B$80)</f>
        <v>1.4071721192855907E-6</v>
      </c>
      <c r="G51" s="3">
        <v>110</v>
      </c>
      <c r="H51" s="19">
        <f t="shared" si="5"/>
        <v>0.52038188715368017</v>
      </c>
      <c r="J51" s="3">
        <v>2</v>
      </c>
      <c r="K51" s="10">
        <f t="shared" si="1"/>
        <v>0.88764714608661177</v>
      </c>
      <c r="L51" s="3">
        <f t="shared" si="4"/>
        <v>2</v>
      </c>
      <c r="M51" s="5">
        <f t="shared" si="3"/>
        <v>1.7752942921732235</v>
      </c>
    </row>
    <row r="52" spans="1:13">
      <c r="A52" s="3">
        <v>41</v>
      </c>
      <c r="B52" s="10">
        <f t="shared" si="2"/>
        <v>0.99288476461257136</v>
      </c>
      <c r="D52" s="3">
        <v>41</v>
      </c>
      <c r="E52" s="10">
        <f>(PRODUCT(B$11:B121)-PRODUCT(B$11:B122))/PRODUCT(B$11:B$80)</f>
        <v>5.2055893398373998E-7</v>
      </c>
      <c r="G52" s="3">
        <v>111</v>
      </c>
      <c r="H52" s="19">
        <f t="shared" si="5"/>
        <v>0.46457989008287787</v>
      </c>
      <c r="J52" s="3">
        <v>2.0499999999999998</v>
      </c>
      <c r="K52" s="10">
        <f t="shared" si="1"/>
        <v>0.8848062502744013</v>
      </c>
      <c r="L52" s="3">
        <f t="shared" si="4"/>
        <v>4</v>
      </c>
      <c r="M52" s="5">
        <f t="shared" si="3"/>
        <v>3.5392250010976052</v>
      </c>
    </row>
    <row r="53" spans="1:13">
      <c r="A53" s="3">
        <v>42</v>
      </c>
      <c r="B53" s="10">
        <f t="shared" si="2"/>
        <v>0.99236061001178621</v>
      </c>
      <c r="D53" s="3">
        <v>42</v>
      </c>
      <c r="E53" s="10">
        <f>(PRODUCT(B$11:B122)-PRODUCT(B$11:B123))/PRODUCT(B$11:B$80)</f>
        <v>1.7786009083614324E-7</v>
      </c>
      <c r="G53" s="3">
        <v>112</v>
      </c>
      <c r="H53" s="19">
        <f t="shared" si="5"/>
        <v>0.41303318607390721</v>
      </c>
      <c r="J53" s="3">
        <v>2.1</v>
      </c>
      <c r="K53" s="10">
        <f t="shared" si="1"/>
        <v>0.88196422072502112</v>
      </c>
      <c r="L53" s="3">
        <f t="shared" si="4"/>
        <v>2</v>
      </c>
      <c r="M53" s="5">
        <f t="shared" si="3"/>
        <v>1.7639284414500422</v>
      </c>
    </row>
    <row r="54" spans="1:13">
      <c r="A54" s="3">
        <v>43</v>
      </c>
      <c r="B54" s="10">
        <f t="shared" si="2"/>
        <v>0.99179745242651096</v>
      </c>
      <c r="D54" s="3">
        <v>43</v>
      </c>
      <c r="E54" s="10">
        <f>(PRODUCT(B$11:B123)-PRODUCT(B$11:B124))/PRODUCT(B$11:B$80)</f>
        <v>5.5797866639077364E-8</v>
      </c>
      <c r="G54" s="3">
        <v>113</v>
      </c>
      <c r="H54" s="19">
        <f t="shared" si="5"/>
        <v>0.36554350710657191</v>
      </c>
      <c r="J54" s="3">
        <v>2.15</v>
      </c>
      <c r="K54" s="10">
        <f t="shared" si="1"/>
        <v>0.87912108995275529</v>
      </c>
      <c r="L54" s="3">
        <f t="shared" si="4"/>
        <v>4</v>
      </c>
      <c r="M54" s="5">
        <f t="shared" si="3"/>
        <v>3.5164843598110211</v>
      </c>
    </row>
    <row r="55" spans="1:13">
      <c r="A55" s="3">
        <v>44</v>
      </c>
      <c r="B55" s="10">
        <f t="shared" si="2"/>
        <v>0.99119241445768724</v>
      </c>
      <c r="D55" s="3">
        <v>44</v>
      </c>
      <c r="E55" s="10">
        <f>(PRODUCT(B$11:B124)-PRODUCT(B$11:B125))/PRODUCT(B$11:B$80)</f>
        <v>1.5971453749419759E-8</v>
      </c>
      <c r="G55" s="3">
        <v>114</v>
      </c>
      <c r="H55" s="19">
        <f t="shared" si="5"/>
        <v>0.32192085982754071</v>
      </c>
      <c r="J55" s="3">
        <v>2.2000000000000002</v>
      </c>
      <c r="K55" s="10">
        <f t="shared" si="1"/>
        <v>0.87627689062991354</v>
      </c>
      <c r="L55" s="3">
        <f t="shared" si="4"/>
        <v>2</v>
      </c>
      <c r="M55" s="5">
        <f t="shared" si="3"/>
        <v>1.7525537812598271</v>
      </c>
    </row>
    <row r="56" spans="1:13">
      <c r="A56" s="3">
        <v>45</v>
      </c>
      <c r="B56" s="10">
        <f t="shared" si="2"/>
        <v>0.99054241029508427</v>
      </c>
      <c r="D56" s="3">
        <v>45</v>
      </c>
      <c r="E56" s="10">
        <f>(PRODUCT(B$11:B125)-PRODUCT(B$11:B126))/PRODUCT(B$11:B$80)</f>
        <v>4.1430054006726189E-9</v>
      </c>
      <c r="G56" s="3">
        <v>115</v>
      </c>
      <c r="H56" s="19">
        <f t="shared" si="5"/>
        <v>0.28198286948663287</v>
      </c>
      <c r="J56" s="3">
        <v>2.25</v>
      </c>
      <c r="K56" s="10">
        <f t="shared" si="1"/>
        <v>0.87343165558632252</v>
      </c>
      <c r="L56" s="3">
        <f t="shared" si="4"/>
        <v>4</v>
      </c>
      <c r="M56" s="5">
        <f t="shared" si="3"/>
        <v>3.4937266223452901</v>
      </c>
    </row>
    <row r="57" spans="1:13">
      <c r="A57" s="3">
        <v>46</v>
      </c>
      <c r="B57" s="10">
        <f t="shared" si="2"/>
        <v>0.98984413122529624</v>
      </c>
      <c r="D57" s="3">
        <v>46</v>
      </c>
      <c r="E57" s="10">
        <f>(PRODUCT(B$11:B126)-PRODUCT(B$11:B127))/PRODUCT(B$11:B$80)</f>
        <v>9.6687806750405525E-10</v>
      </c>
      <c r="G57" s="3">
        <v>116</v>
      </c>
      <c r="H57" s="19">
        <f t="shared" si="5"/>
        <v>0.24555398088023714</v>
      </c>
      <c r="J57" s="3">
        <v>2.2999999999999998</v>
      </c>
      <c r="K57" s="10">
        <f t="shared" si="1"/>
        <v>0.87058541780880017</v>
      </c>
      <c r="L57" s="3">
        <f t="shared" si="4"/>
        <v>2</v>
      </c>
      <c r="M57" s="5">
        <f t="shared" si="3"/>
        <v>1.7411708356176003</v>
      </c>
    </row>
    <row r="58" spans="1:13">
      <c r="A58" s="3">
        <v>47</v>
      </c>
      <c r="B58" s="10">
        <f t="shared" si="2"/>
        <v>0.98909403022722697</v>
      </c>
      <c r="D58" s="3">
        <v>47</v>
      </c>
      <c r="E58" s="10">
        <f>(PRODUCT(B$11:B127)-PRODUCT(B$11:B128))/PRODUCT(B$11:B$80)</f>
        <v>2.014293988910403E-10</v>
      </c>
      <c r="G58" s="3">
        <v>117</v>
      </c>
      <c r="H58" s="19">
        <f t="shared" si="5"/>
        <v>0.21246451662588059</v>
      </c>
      <c r="J58" s="3">
        <v>2.35</v>
      </c>
      <c r="K58" s="10">
        <f t="shared" si="1"/>
        <v>0.8677382104406185</v>
      </c>
      <c r="L58" s="3">
        <f t="shared" si="4"/>
        <v>4</v>
      </c>
      <c r="M58" s="5">
        <f t="shared" si="3"/>
        <v>3.470952841762474</v>
      </c>
    </row>
    <row r="59" spans="1:13">
      <c r="A59" s="3">
        <v>48</v>
      </c>
      <c r="B59" s="10">
        <f t="shared" si="2"/>
        <v>0.98828830561307301</v>
      </c>
      <c r="D59" s="3">
        <v>48</v>
      </c>
      <c r="E59" s="10">
        <f>(PRODUCT(B$11:B128)-PRODUCT(B$11:B129))/PRODUCT(B$11:B$80)</f>
        <v>3.714758828195182E-11</v>
      </c>
      <c r="G59" s="3">
        <v>118</v>
      </c>
      <c r="H59" s="19">
        <f t="shared" si="5"/>
        <v>0.18254959894921463</v>
      </c>
      <c r="J59" s="3">
        <v>2.4</v>
      </c>
      <c r="K59" s="10">
        <f t="shared" si="1"/>
        <v>0.86489006678095259</v>
      </c>
      <c r="L59" s="3">
        <f t="shared" si="4"/>
        <v>2</v>
      </c>
      <c r="M59" s="5">
        <f t="shared" si="3"/>
        <v>1.7297801335619052</v>
      </c>
    </row>
    <row r="60" spans="1:13">
      <c r="A60" s="3">
        <v>49</v>
      </c>
      <c r="B60" s="10">
        <f t="shared" si="2"/>
        <v>0.98742288367362985</v>
      </c>
      <c r="D60" s="3">
        <v>49</v>
      </c>
      <c r="E60" s="10">
        <f>(PRODUCT(B$11:B129)-PRODUCT(B$11:B130))/PRODUCT(B$11:B$80)</f>
        <v>6.0102197119215601E-12</v>
      </c>
      <c r="G60" s="3">
        <v>119</v>
      </c>
      <c r="H60" s="19">
        <f t="shared" si="5"/>
        <v>0.15564794983973781</v>
      </c>
      <c r="J60" s="3">
        <v>2.4500000000000002</v>
      </c>
      <c r="K60" s="10">
        <f t="shared" si="1"/>
        <v>0.86204102028431473</v>
      </c>
      <c r="L60" s="3">
        <f t="shared" si="4"/>
        <v>4</v>
      </c>
      <c r="M60" s="5">
        <f t="shared" si="3"/>
        <v>3.4481640811372589</v>
      </c>
    </row>
    <row r="61" spans="1:13">
      <c r="A61" s="3">
        <v>50</v>
      </c>
      <c r="B61" s="10">
        <f t="shared" si="2"/>
        <v>0.98649340028817778</v>
      </c>
      <c r="D61" s="3">
        <v>50</v>
      </c>
      <c r="E61" s="10">
        <f>(PRODUCT(B$11:B130)-PRODUCT(B$11:B131))/PRODUCT(B$11:B$80)</f>
        <v>8.4491172300520889E-13</v>
      </c>
      <c r="G61" s="3">
        <v>120</v>
      </c>
      <c r="H61" s="19">
        <f t="shared" si="5"/>
        <v>0.13160059640674901</v>
      </c>
      <c r="J61" s="3">
        <v>2.5</v>
      </c>
      <c r="K61" s="10">
        <f t="shared" si="1"/>
        <v>0.85919110455997461</v>
      </c>
      <c r="L61" s="3">
        <f t="shared" si="4"/>
        <v>2</v>
      </c>
      <c r="M61" s="5">
        <f t="shared" si="3"/>
        <v>1.7183822091199492</v>
      </c>
    </row>
    <row r="62" spans="1:13">
      <c r="A62" s="3">
        <v>51</v>
      </c>
      <c r="B62" s="10">
        <f t="shared" si="2"/>
        <v>0.98549518146141646</v>
      </c>
      <c r="G62" s="3">
        <v>121</v>
      </c>
      <c r="H62" s="19">
        <f t="shared" si="5"/>
        <v>0.11024952375742543</v>
      </c>
      <c r="J62" s="3">
        <v>2.5499999999999998</v>
      </c>
      <c r="K62" s="10">
        <f t="shared" si="1"/>
        <v>0.8563403533713666</v>
      </c>
      <c r="L62" s="3">
        <f t="shared" si="4"/>
        <v>4</v>
      </c>
      <c r="M62" s="5">
        <f t="shared" si="3"/>
        <v>3.4253614134854664</v>
      </c>
    </row>
    <row r="63" spans="1:13">
      <c r="A63" s="3">
        <v>52</v>
      </c>
      <c r="B63" s="10">
        <f t="shared" si="2"/>
        <v>0.98442322275303151</v>
      </c>
      <c r="G63" s="3">
        <v>122</v>
      </c>
      <c r="H63" s="19">
        <f t="shared" si="5"/>
        <v>9.1436336429284767E-2</v>
      </c>
      <c r="J63" s="3">
        <v>2.6</v>
      </c>
      <c r="K63" s="10">
        <f t="shared" si="1"/>
        <v>0.8534888006354826</v>
      </c>
      <c r="L63" s="3">
        <f t="shared" si="4"/>
        <v>2</v>
      </c>
      <c r="M63" s="5">
        <f t="shared" si="3"/>
        <v>1.7069776012709652</v>
      </c>
    </row>
    <row r="64" spans="1:13">
      <c r="A64" s="3">
        <v>53</v>
      </c>
      <c r="B64" s="10">
        <f t="shared" si="2"/>
        <v>0.9832721675696765</v>
      </c>
      <c r="G64" s="3">
        <v>123</v>
      </c>
      <c r="H64" s="19">
        <f t="shared" si="5"/>
        <v>7.5001010231027843E-2</v>
      </c>
      <c r="J64" s="3">
        <v>2.65</v>
      </c>
      <c r="K64" s="10">
        <f t="shared" si="1"/>
        <v>0.85063648042224915</v>
      </c>
      <c r="L64" s="3">
        <f t="shared" si="4"/>
        <v>4</v>
      </c>
      <c r="M64" s="5">
        <f t="shared" si="3"/>
        <v>3.4025459216889966</v>
      </c>
    </row>
    <row r="65" spans="1:13">
      <c r="A65" s="3">
        <v>54</v>
      </c>
      <c r="B65" s="10">
        <f t="shared" si="2"/>
        <v>0.9820362842946373</v>
      </c>
      <c r="G65" s="3">
        <v>124</v>
      </c>
      <c r="H65" s="19">
        <f t="shared" si="5"/>
        <v>6.0780837037538928E-2</v>
      </c>
      <c r="J65" s="3">
        <v>2.7</v>
      </c>
      <c r="K65" s="10">
        <f t="shared" si="1"/>
        <v>0.84778342695389242</v>
      </c>
      <c r="L65" s="3">
        <f t="shared" si="4"/>
        <v>2</v>
      </c>
      <c r="M65" s="5">
        <f t="shared" si="3"/>
        <v>1.6955668539077848</v>
      </c>
    </row>
    <row r="66" spans="1:13">
      <c r="A66" s="3">
        <v>55</v>
      </c>
      <c r="B66" s="10">
        <f t="shared" si="2"/>
        <v>0.9807094422374264</v>
      </c>
      <c r="G66" s="3">
        <v>125</v>
      </c>
      <c r="H66" s="19">
        <f t="shared" si="5"/>
        <v>4.8609681927401213E-2</v>
      </c>
      <c r="J66" s="3">
        <v>2.75</v>
      </c>
      <c r="K66" s="10">
        <f t="shared" si="1"/>
        <v>0.84492967460428736</v>
      </c>
      <c r="L66" s="3">
        <f t="shared" si="4"/>
        <v>4</v>
      </c>
      <c r="M66" s="5">
        <f t="shared" si="3"/>
        <v>3.3797186984171494</v>
      </c>
    </row>
    <row r="67" spans="1:13">
      <c r="A67" s="3">
        <v>56</v>
      </c>
      <c r="B67" s="10">
        <f t="shared" si="2"/>
        <v>0.9792850863943019</v>
      </c>
      <c r="G67" s="3">
        <v>126</v>
      </c>
      <c r="H67" s="19">
        <f t="shared" si="5"/>
        <v>3.8317676941201174E-2</v>
      </c>
      <c r="J67" s="3">
        <v>2.8</v>
      </c>
      <c r="K67" s="10">
        <f t="shared" si="1"/>
        <v>0.84207525789829329</v>
      </c>
      <c r="L67" s="3">
        <f t="shared" si="4"/>
        <v>2</v>
      </c>
      <c r="M67" s="5">
        <f t="shared" si="3"/>
        <v>1.6841505157965866</v>
      </c>
    </row>
    <row r="68" spans="1:13">
      <c r="A68" s="3">
        <v>57</v>
      </c>
      <c r="B68" s="10">
        <f t="shared" si="2"/>
        <v>0.97775621102149746</v>
      </c>
      <c r="G68" s="3">
        <v>127</v>
      </c>
      <c r="H68" s="19">
        <f t="shared" si="5"/>
        <v>2.9731368830436367E-2</v>
      </c>
      <c r="J68" s="3">
        <v>2.85</v>
      </c>
      <c r="K68" s="10">
        <f t="shared" si="1"/>
        <v>0.83922021151107473</v>
      </c>
      <c r="L68" s="3">
        <f t="shared" si="4"/>
        <v>4</v>
      </c>
      <c r="M68" s="5">
        <f t="shared" si="3"/>
        <v>3.3568808460442989</v>
      </c>
    </row>
    <row r="69" spans="1:13">
      <c r="A69" s="3">
        <v>58</v>
      </c>
      <c r="B69" s="10">
        <f t="shared" si="2"/>
        <v>0.97611533203613154</v>
      </c>
      <c r="G69" s="3">
        <v>128</v>
      </c>
      <c r="H69" s="19">
        <f t="shared" si="5"/>
        <v>2.2670613311462716E-2</v>
      </c>
      <c r="J69" s="3">
        <v>2.9</v>
      </c>
      <c r="K69" s="10">
        <f t="shared" si="1"/>
        <v>0.83636457026740685</v>
      </c>
      <c r="L69" s="3">
        <f t="shared" si="4"/>
        <v>2</v>
      </c>
      <c r="M69" s="5">
        <f t="shared" si="3"/>
        <v>1.6727291405348137</v>
      </c>
    </row>
    <row r="70" spans="1:13">
      <c r="A70" s="3">
        <v>59</v>
      </c>
      <c r="B70" s="10">
        <f t="shared" si="2"/>
        <v>0.974354458275699</v>
      </c>
      <c r="G70" s="3">
        <v>129</v>
      </c>
      <c r="H70" s="19">
        <f>B140</f>
        <v>1.6763504910102162E-2</v>
      </c>
      <c r="J70" s="3">
        <v>2.95</v>
      </c>
      <c r="K70" s="10">
        <f t="shared" si="1"/>
        <v>0.83350836914096782</v>
      </c>
      <c r="L70" s="3">
        <f t="shared" si="4"/>
        <v>4</v>
      </c>
      <c r="M70" s="5">
        <f t="shared" si="3"/>
        <v>3.3340334765638713</v>
      </c>
    </row>
    <row r="71" spans="1:13">
      <c r="A71" s="3">
        <v>60</v>
      </c>
      <c r="B71" s="10">
        <f t="shared" si="2"/>
        <v>0.97246506166615931</v>
      </c>
      <c r="G71" s="3">
        <v>130</v>
      </c>
      <c r="J71" s="3">
        <v>3</v>
      </c>
      <c r="K71" s="10">
        <f t="shared" si="1"/>
        <v>0.8306516432536154</v>
      </c>
      <c r="L71" s="3">
        <f t="shared" si="4"/>
        <v>2</v>
      </c>
      <c r="M71" s="5">
        <f t="shared" si="3"/>
        <v>1.6613032865072308</v>
      </c>
    </row>
    <row r="72" spans="1:13">
      <c r="A72" s="3">
        <v>61</v>
      </c>
      <c r="B72" s="10">
        <f t="shared" si="2"/>
        <v>0.9704380463714033</v>
      </c>
      <c r="J72" s="3">
        <v>3.05</v>
      </c>
      <c r="K72" s="10">
        <f t="shared" si="1"/>
        <v>0.82779442787464841</v>
      </c>
      <c r="L72" s="3">
        <f t="shared" si="4"/>
        <v>4</v>
      </c>
      <c r="M72" s="5">
        <f t="shared" si="3"/>
        <v>3.3111777114985936</v>
      </c>
    </row>
    <row r="73" spans="1:13">
      <c r="A73" s="3">
        <v>62</v>
      </c>
      <c r="B73" s="10">
        <f t="shared" si="2"/>
        <v>0.96826371702381908</v>
      </c>
      <c r="J73" s="3">
        <v>3.1</v>
      </c>
      <c r="K73" s="10">
        <f t="shared" si="1"/>
        <v>0.82493675842005409</v>
      </c>
      <c r="L73" s="3">
        <f t="shared" si="4"/>
        <v>2</v>
      </c>
      <c r="M73" s="5">
        <f t="shared" si="3"/>
        <v>1.6498735168401082</v>
      </c>
    </row>
    <row r="74" spans="1:13">
      <c r="A74" s="3">
        <v>63</v>
      </c>
      <c r="B74" s="10">
        <f t="shared" si="2"/>
        <v>0.96593174616738742</v>
      </c>
      <c r="J74" s="3">
        <v>3.15</v>
      </c>
      <c r="K74" s="10">
        <f t="shared" si="1"/>
        <v>0.82207867045174077</v>
      </c>
      <c r="L74" s="3">
        <f t="shared" si="4"/>
        <v>4</v>
      </c>
      <c r="M74" s="5">
        <f t="shared" si="3"/>
        <v>3.2883146818069631</v>
      </c>
    </row>
    <row r="75" spans="1:13">
      <c r="A75" s="3">
        <v>64</v>
      </c>
      <c r="B75" s="10">
        <f t="shared" si="2"/>
        <v>0.96343114108185202</v>
      </c>
      <c r="J75" s="3">
        <v>3.2</v>
      </c>
      <c r="K75" s="10">
        <f t="shared" ref="K75:K138" si="6">(B$6^J75)*(B$7^((B$5^70)*((B$5^J75)-1)))</f>
        <v>0.81922019967675463</v>
      </c>
      <c r="L75" s="3">
        <f t="shared" si="4"/>
        <v>2</v>
      </c>
      <c r="M75" s="5">
        <f t="shared" si="3"/>
        <v>1.6384403993535093</v>
      </c>
    </row>
    <row r="76" spans="1:13">
      <c r="A76" s="3">
        <v>65</v>
      </c>
      <c r="B76" s="10">
        <f t="shared" ref="B76:B139" si="7">B$6*(B$7^((B$5^A76)*(B$5-1)))</f>
        <v>0.96075021019974816</v>
      </c>
      <c r="J76" s="3">
        <v>3.25</v>
      </c>
      <c r="K76" s="10">
        <f t="shared" si="6"/>
        <v>0.81636138194648122</v>
      </c>
      <c r="L76" s="3">
        <f t="shared" si="4"/>
        <v>4</v>
      </c>
      <c r="M76" s="5">
        <f t="shared" ref="M76:M139" si="8">K76*L76</f>
        <v>3.2654455277859249</v>
      </c>
    </row>
    <row r="77" spans="1:13">
      <c r="A77" s="3">
        <v>66</v>
      </c>
      <c r="B77" s="10">
        <f t="shared" si="7"/>
        <v>0.95787652937821077</v>
      </c>
      <c r="J77" s="3">
        <v>3.3</v>
      </c>
      <c r="K77" s="10">
        <f t="shared" si="6"/>
        <v>0.81350225325583336</v>
      </c>
      <c r="L77" s="3">
        <f t="shared" si="4"/>
        <v>2</v>
      </c>
      <c r="M77" s="5">
        <f t="shared" si="8"/>
        <v>1.6270045065116667</v>
      </c>
    </row>
    <row r="78" spans="1:13">
      <c r="A78" s="3">
        <v>67</v>
      </c>
      <c r="B78" s="10">
        <f t="shared" si="7"/>
        <v>0.95479690834534192</v>
      </c>
      <c r="J78" s="3">
        <v>3.35</v>
      </c>
      <c r="K78" s="10">
        <f t="shared" si="6"/>
        <v>0.81064284974242207</v>
      </c>
      <c r="L78" s="3">
        <f t="shared" ref="L78:L141" si="9">IF(L77=4,2,4)</f>
        <v>4</v>
      </c>
      <c r="M78" s="5">
        <f t="shared" si="8"/>
        <v>3.2425713989696883</v>
      </c>
    </row>
    <row r="79" spans="1:13">
      <c r="A79" s="3">
        <v>68</v>
      </c>
      <c r="B79" s="10">
        <f t="shared" si="7"/>
        <v>0.95149735770741228</v>
      </c>
      <c r="J79" s="3">
        <v>3.4</v>
      </c>
      <c r="K79" s="10">
        <f t="shared" si="6"/>
        <v>0.80778320768571321</v>
      </c>
      <c r="L79" s="3">
        <f t="shared" si="9"/>
        <v>2</v>
      </c>
      <c r="M79" s="5">
        <f t="shared" si="8"/>
        <v>1.6155664153714264</v>
      </c>
    </row>
    <row r="80" spans="1:13">
      <c r="A80" s="3">
        <v>69</v>
      </c>
      <c r="B80" s="10">
        <f t="shared" si="7"/>
        <v>0.94796305697922867</v>
      </c>
      <c r="J80" s="3">
        <v>3.45</v>
      </c>
      <c r="K80" s="10">
        <f t="shared" si="6"/>
        <v>0.80492336350616867</v>
      </c>
      <c r="L80" s="3">
        <f t="shared" si="9"/>
        <v>4</v>
      </c>
      <c r="M80" s="5">
        <f t="shared" si="8"/>
        <v>3.2196934540246747</v>
      </c>
    </row>
    <row r="81" spans="1:13">
      <c r="A81" s="3">
        <v>70</v>
      </c>
      <c r="B81" s="10">
        <f t="shared" si="7"/>
        <v>0.94417832418660996</v>
      </c>
      <c r="J81" s="3">
        <v>3.5</v>
      </c>
      <c r="K81" s="10">
        <f t="shared" si="6"/>
        <v>0.80206335376437166</v>
      </c>
      <c r="L81" s="3">
        <f t="shared" si="9"/>
        <v>2</v>
      </c>
      <c r="M81" s="5">
        <f t="shared" si="8"/>
        <v>1.6041267075287433</v>
      </c>
    </row>
    <row r="82" spans="1:13">
      <c r="A82" s="3">
        <v>71</v>
      </c>
      <c r="B82" s="10">
        <f t="shared" si="7"/>
        <v>0.94012658768808466</v>
      </c>
      <c r="J82" s="3">
        <v>3.55</v>
      </c>
      <c r="K82" s="10">
        <f t="shared" si="6"/>
        <v>0.79920321516013715</v>
      </c>
      <c r="L82" s="3">
        <f t="shared" si="9"/>
        <v>4</v>
      </c>
      <c r="M82" s="5">
        <f t="shared" si="8"/>
        <v>3.1968128606405486</v>
      </c>
    </row>
    <row r="83" spans="1:13">
      <c r="A83" s="3">
        <v>72</v>
      </c>
      <c r="B83" s="10">
        <f t="shared" si="7"/>
        <v>0.93579036097364399</v>
      </c>
      <c r="J83" s="3">
        <v>3.6</v>
      </c>
      <c r="K83" s="10">
        <f t="shared" si="6"/>
        <v>0.79634298453160612</v>
      </c>
      <c r="L83" s="3">
        <f t="shared" si="9"/>
        <v>2</v>
      </c>
      <c r="M83" s="5">
        <f t="shared" si="8"/>
        <v>1.5926859690632122</v>
      </c>
    </row>
    <row r="84" spans="1:13">
      <c r="A84" s="3">
        <v>73</v>
      </c>
      <c r="B84" s="10">
        <f t="shared" si="7"/>
        <v>0.9311512213226274</v>
      </c>
      <c r="J84" s="3">
        <v>3.65</v>
      </c>
      <c r="K84" s="10">
        <f t="shared" si="6"/>
        <v>0.79348269885432476</v>
      </c>
      <c r="L84" s="3">
        <f t="shared" si="9"/>
        <v>4</v>
      </c>
      <c r="M84" s="5">
        <f t="shared" si="8"/>
        <v>3.1739307954172991</v>
      </c>
    </row>
    <row r="85" spans="1:13">
      <c r="A85" s="3">
        <v>74</v>
      </c>
      <c r="B85" s="10">
        <f t="shared" si="7"/>
        <v>0.92618979334144558</v>
      </c>
      <c r="J85" s="3">
        <v>3.7</v>
      </c>
      <c r="K85" s="10">
        <f t="shared" si="6"/>
        <v>0.79062239524030764</v>
      </c>
      <c r="L85" s="3">
        <f t="shared" si="9"/>
        <v>2</v>
      </c>
      <c r="M85" s="5">
        <f t="shared" si="8"/>
        <v>1.5812447904806153</v>
      </c>
    </row>
    <row r="86" spans="1:13">
      <c r="A86" s="3">
        <v>75</v>
      </c>
      <c r="B86" s="10">
        <f t="shared" si="7"/>
        <v>0.92088573855561084</v>
      </c>
      <c r="J86" s="3">
        <v>3.75</v>
      </c>
      <c r="K86" s="10">
        <f t="shared" si="6"/>
        <v>0.78776211093708537</v>
      </c>
      <c r="L86" s="3">
        <f t="shared" si="9"/>
        <v>4</v>
      </c>
      <c r="M86" s="5">
        <f t="shared" si="8"/>
        <v>3.1510484437483415</v>
      </c>
    </row>
    <row r="87" spans="1:13">
      <c r="A87" s="3">
        <v>76</v>
      </c>
      <c r="B87" s="10">
        <f t="shared" si="7"/>
        <v>0.91521775239994119</v>
      </c>
      <c r="J87" s="3">
        <v>3.8</v>
      </c>
      <c r="K87" s="10">
        <f t="shared" si="6"/>
        <v>0.78490188332673616</v>
      </c>
      <c r="L87" s="3">
        <f t="shared" si="9"/>
        <v>2</v>
      </c>
      <c r="M87" s="5">
        <f t="shared" si="8"/>
        <v>1.5698037666534723</v>
      </c>
    </row>
    <row r="88" spans="1:13">
      <c r="A88" s="3">
        <v>77</v>
      </c>
      <c r="B88" s="10">
        <f t="shared" si="7"/>
        <v>0.90916357013604776</v>
      </c>
      <c r="J88" s="3">
        <v>3.85</v>
      </c>
      <c r="K88" s="10">
        <f t="shared" si="6"/>
        <v>0.78204174992490183</v>
      </c>
      <c r="L88" s="3">
        <f t="shared" si="9"/>
        <v>4</v>
      </c>
      <c r="M88" s="5">
        <f t="shared" si="8"/>
        <v>3.1281669996996073</v>
      </c>
    </row>
    <row r="89" spans="1:13">
      <c r="A89" s="3">
        <v>78</v>
      </c>
      <c r="B89" s="10">
        <f t="shared" si="7"/>
        <v>0.90269998342706037</v>
      </c>
      <c r="J89" s="3">
        <v>3.9</v>
      </c>
      <c r="K89" s="10">
        <f t="shared" si="6"/>
        <v>0.77918174837978815</v>
      </c>
      <c r="L89" s="3">
        <f t="shared" si="9"/>
        <v>2</v>
      </c>
      <c r="M89" s="5">
        <f t="shared" si="8"/>
        <v>1.5583634967595763</v>
      </c>
    </row>
    <row r="90" spans="1:13">
      <c r="A90" s="3">
        <v>79</v>
      </c>
      <c r="B90" s="10">
        <f t="shared" si="7"/>
        <v>0.89580286951519117</v>
      </c>
      <c r="J90" s="3">
        <v>3.95</v>
      </c>
      <c r="K90" s="10">
        <f t="shared" si="6"/>
        <v>0.77632191647114834</v>
      </c>
      <c r="L90" s="3">
        <f t="shared" si="9"/>
        <v>4</v>
      </c>
      <c r="M90" s="5">
        <f t="shared" si="8"/>
        <v>3.1052876658845934</v>
      </c>
    </row>
    <row r="91" spans="1:13">
      <c r="A91" s="3">
        <v>80</v>
      </c>
      <c r="B91" s="10">
        <f t="shared" si="7"/>
        <v>0.88844723517659152</v>
      </c>
      <c r="J91" s="3">
        <v>4</v>
      </c>
      <c r="K91" s="10">
        <f t="shared" si="6"/>
        <v>0.77346229210925144</v>
      </c>
      <c r="L91" s="3">
        <f t="shared" si="9"/>
        <v>2</v>
      </c>
      <c r="M91" s="5">
        <f t="shared" si="8"/>
        <v>1.5469245842185029</v>
      </c>
    </row>
    <row r="92" spans="1:13">
      <c r="A92" s="3">
        <v>81</v>
      </c>
      <c r="B92" s="10">
        <f t="shared" si="7"/>
        <v>0.88060727786749249</v>
      </c>
      <c r="J92" s="3">
        <v>4.05</v>
      </c>
      <c r="K92" s="10">
        <f t="shared" si="6"/>
        <v>0.77060291333383391</v>
      </c>
      <c r="L92" s="3">
        <f t="shared" si="9"/>
        <v>4</v>
      </c>
      <c r="M92" s="5">
        <f t="shared" si="8"/>
        <v>3.0824116533353356</v>
      </c>
    </row>
    <row r="93" spans="1:13">
      <c r="A93" s="3">
        <v>82</v>
      </c>
      <c r="B93" s="10">
        <f t="shared" si="7"/>
        <v>0.87225646672206403</v>
      </c>
      <c r="J93" s="3">
        <v>4.0999999999999996</v>
      </c>
      <c r="K93" s="10">
        <f t="shared" si="6"/>
        <v>0.76774381831303617</v>
      </c>
      <c r="L93" s="3">
        <f t="shared" si="9"/>
        <v>2</v>
      </c>
      <c r="M93" s="5">
        <f t="shared" si="8"/>
        <v>1.5354876366260723</v>
      </c>
    </row>
    <row r="94" spans="1:13">
      <c r="A94" s="3">
        <v>83</v>
      </c>
      <c r="B94" s="10">
        <f t="shared" si="7"/>
        <v>0.86336764631048291</v>
      </c>
      <c r="J94" s="3">
        <v>4.1500000000000004</v>
      </c>
      <c r="K94" s="10">
        <f t="shared" si="6"/>
        <v>0.76488504534232138</v>
      </c>
      <c r="L94" s="3">
        <f t="shared" si="9"/>
        <v>4</v>
      </c>
      <c r="M94" s="5">
        <f t="shared" si="8"/>
        <v>3.0595401813692855</v>
      </c>
    </row>
    <row r="95" spans="1:13">
      <c r="A95" s="3">
        <v>84</v>
      </c>
      <c r="B95" s="10">
        <f t="shared" si="7"/>
        <v>0.85391316630823433</v>
      </c>
      <c r="J95" s="3">
        <v>4.2</v>
      </c>
      <c r="K95" s="10">
        <f t="shared" si="6"/>
        <v>0.76202663284337957</v>
      </c>
      <c r="L95" s="3">
        <f t="shared" si="9"/>
        <v>2</v>
      </c>
      <c r="M95" s="5">
        <f t="shared" si="8"/>
        <v>1.5240532656867591</v>
      </c>
    </row>
    <row r="96" spans="1:13">
      <c r="A96" s="3">
        <v>85</v>
      </c>
      <c r="B96" s="10">
        <f t="shared" si="7"/>
        <v>0.84386504045528876</v>
      </c>
      <c r="J96" s="3">
        <v>4.25</v>
      </c>
      <c r="K96" s="10">
        <f t="shared" si="6"/>
        <v>0.75916861936301483</v>
      </c>
      <c r="L96" s="3">
        <f t="shared" si="9"/>
        <v>4</v>
      </c>
      <c r="M96" s="5">
        <f t="shared" si="8"/>
        <v>3.0366744774520593</v>
      </c>
    </row>
    <row r="97" spans="1:13">
      <c r="A97" s="3">
        <v>86</v>
      </c>
      <c r="B97" s="10">
        <f t="shared" si="7"/>
        <v>0.83319513838444959</v>
      </c>
      <c r="J97" s="3">
        <v>4.3</v>
      </c>
      <c r="K97" s="10">
        <f t="shared" si="6"/>
        <v>0.7563110435720154</v>
      </c>
      <c r="L97" s="3">
        <f t="shared" si="9"/>
        <v>2</v>
      </c>
      <c r="M97" s="5">
        <f t="shared" si="8"/>
        <v>1.5126220871440308</v>
      </c>
    </row>
    <row r="98" spans="1:13">
      <c r="A98" s="3">
        <v>87</v>
      </c>
      <c r="B98" s="10">
        <f t="shared" si="7"/>
        <v>0.8218754140566864</v>
      </c>
      <c r="J98" s="3">
        <v>4.3499999999999996</v>
      </c>
      <c r="K98" s="10">
        <f t="shared" si="6"/>
        <v>0.75345394426400902</v>
      </c>
      <c r="L98" s="3">
        <f t="shared" si="9"/>
        <v>4</v>
      </c>
      <c r="M98" s="5">
        <f t="shared" si="8"/>
        <v>3.0138157770560361</v>
      </c>
    </row>
    <row r="99" spans="1:13">
      <c r="A99" s="3">
        <v>88</v>
      </c>
      <c r="B99" s="10">
        <f t="shared" si="7"/>
        <v>0.80987817463889478</v>
      </c>
      <c r="J99" s="3">
        <v>4.4000000000000004</v>
      </c>
      <c r="K99" s="10">
        <f t="shared" si="6"/>
        <v>0.7505973603543008</v>
      </c>
      <c r="L99" s="3">
        <f t="shared" si="9"/>
        <v>2</v>
      </c>
      <c r="M99" s="5">
        <f t="shared" si="8"/>
        <v>1.5011947207086016</v>
      </c>
    </row>
    <row r="100" spans="1:13">
      <c r="A100" s="3">
        <v>89</v>
      </c>
      <c r="B100" s="10">
        <f t="shared" si="7"/>
        <v>0.79717639367343174</v>
      </c>
      <c r="J100" s="3">
        <v>4.45</v>
      </c>
      <c r="K100" s="10">
        <f t="shared" si="6"/>
        <v>0.74774133087869432</v>
      </c>
      <c r="L100" s="3">
        <f t="shared" si="9"/>
        <v>4</v>
      </c>
      <c r="M100" s="5">
        <f t="shared" si="8"/>
        <v>2.9909653235147773</v>
      </c>
    </row>
    <row r="101" spans="1:13">
      <c r="A101" s="3">
        <v>90</v>
      </c>
      <c r="B101" s="10">
        <f t="shared" si="7"/>
        <v>0.78374407229165022</v>
      </c>
      <c r="J101" s="3">
        <v>4.5</v>
      </c>
      <c r="K101" s="10">
        <f t="shared" si="6"/>
        <v>0.74488589499229807</v>
      </c>
      <c r="L101" s="3">
        <f t="shared" si="9"/>
        <v>2</v>
      </c>
      <c r="M101" s="5">
        <f t="shared" si="8"/>
        <v>1.4897717899845961</v>
      </c>
    </row>
    <row r="102" spans="1:13">
      <c r="A102" s="3">
        <v>91</v>
      </c>
      <c r="B102" s="10">
        <f t="shared" si="7"/>
        <v>0.76955665198334644</v>
      </c>
      <c r="J102" s="3">
        <v>4.55</v>
      </c>
      <c r="K102" s="10">
        <f t="shared" si="6"/>
        <v>0.74203109196831218</v>
      </c>
      <c r="L102" s="3">
        <f t="shared" si="9"/>
        <v>4</v>
      </c>
      <c r="M102" s="5">
        <f t="shared" si="8"/>
        <v>2.9681243678732487</v>
      </c>
    </row>
    <row r="103" spans="1:13">
      <c r="A103" s="3">
        <v>92</v>
      </c>
      <c r="B103" s="10">
        <f t="shared" si="7"/>
        <v>0.7545914820133347</v>
      </c>
      <c r="J103" s="3">
        <v>4.5999999999999996</v>
      </c>
      <c r="K103" s="10">
        <f t="shared" si="6"/>
        <v>0.73917696119680287</v>
      </c>
      <c r="L103" s="3">
        <f t="shared" si="9"/>
        <v>2</v>
      </c>
      <c r="M103" s="5">
        <f t="shared" si="8"/>
        <v>1.4783539223936057</v>
      </c>
    </row>
    <row r="104" spans="1:13">
      <c r="A104" s="3">
        <v>93</v>
      </c>
      <c r="B104" s="10">
        <f t="shared" si="7"/>
        <v>0.73882834393309382</v>
      </c>
      <c r="J104" s="3">
        <v>4.6500000000000004</v>
      </c>
      <c r="K104" s="10">
        <f t="shared" si="6"/>
        <v>0.73632354218345564</v>
      </c>
      <c r="L104" s="3">
        <f t="shared" si="9"/>
        <v>4</v>
      </c>
      <c r="M104" s="5">
        <f t="shared" si="8"/>
        <v>2.9452941687338225</v>
      </c>
    </row>
    <row r="105" spans="1:13">
      <c r="A105" s="3">
        <v>94</v>
      </c>
      <c r="B105" s="10">
        <f t="shared" si="7"/>
        <v>0.72225003472274052</v>
      </c>
      <c r="J105" s="3">
        <v>4.7</v>
      </c>
      <c r="K105" s="10">
        <f t="shared" si="6"/>
        <v>0.73347087454831561</v>
      </c>
      <c r="L105" s="3">
        <f t="shared" si="9"/>
        <v>2</v>
      </c>
      <c r="M105" s="5">
        <f t="shared" si="8"/>
        <v>1.4669417490966312</v>
      </c>
    </row>
    <row r="106" spans="1:13">
      <c r="A106" s="3">
        <v>95</v>
      </c>
      <c r="B106" s="10">
        <f t="shared" si="7"/>
        <v>0.70484300886590201</v>
      </c>
      <c r="J106" s="3">
        <v>4.75</v>
      </c>
      <c r="K106" s="10">
        <f t="shared" si="6"/>
        <v>0.73061899802450903</v>
      </c>
      <c r="L106" s="3">
        <f t="shared" si="9"/>
        <v>4</v>
      </c>
      <c r="M106" s="5">
        <f t="shared" si="8"/>
        <v>2.9224759920980361</v>
      </c>
    </row>
    <row r="107" spans="1:13">
      <c r="A107" s="3">
        <v>96</v>
      </c>
      <c r="B107" s="10">
        <f t="shared" si="7"/>
        <v>0.68659807805447415</v>
      </c>
      <c r="J107" s="3">
        <v>4.8</v>
      </c>
      <c r="K107" s="10">
        <f t="shared" si="6"/>
        <v>0.7277679524569487</v>
      </c>
      <c r="L107" s="3">
        <f t="shared" si="9"/>
        <v>2</v>
      </c>
      <c r="M107" s="5">
        <f t="shared" si="8"/>
        <v>1.4555359049138974</v>
      </c>
    </row>
    <row r="108" spans="1:13">
      <c r="A108" s="3">
        <v>97</v>
      </c>
      <c r="B108" s="10">
        <f t="shared" si="7"/>
        <v>0.66751116518892617</v>
      </c>
      <c r="J108" s="3">
        <v>4.8499999999999996</v>
      </c>
      <c r="K108" s="10">
        <f t="shared" si="6"/>
        <v>0.72491777780102362</v>
      </c>
      <c r="L108" s="3">
        <f t="shared" si="9"/>
        <v>4</v>
      </c>
      <c r="M108" s="5">
        <f t="shared" si="8"/>
        <v>2.8996711112040945</v>
      </c>
    </row>
    <row r="109" spans="1:13">
      <c r="A109" s="3">
        <v>98</v>
      </c>
      <c r="B109" s="10">
        <f t="shared" si="7"/>
        <v>0.64758410683329903</v>
      </c>
      <c r="J109" s="3">
        <v>4.9000000000000004</v>
      </c>
      <c r="K109" s="10">
        <f t="shared" si="6"/>
        <v>0.72206851412126904</v>
      </c>
      <c r="L109" s="3">
        <f t="shared" si="9"/>
        <v>2</v>
      </c>
      <c r="M109" s="5">
        <f t="shared" si="8"/>
        <v>1.4441370282425381</v>
      </c>
    </row>
    <row r="110" spans="1:13">
      <c r="A110" s="3">
        <v>99</v>
      </c>
      <c r="B110" s="10">
        <f t="shared" si="7"/>
        <v>0.62682549526088882</v>
      </c>
      <c r="J110" s="3">
        <v>4.95</v>
      </c>
      <c r="K110" s="10">
        <f t="shared" si="6"/>
        <v>0.71922020159002431</v>
      </c>
      <c r="L110" s="3">
        <f t="shared" si="9"/>
        <v>4</v>
      </c>
      <c r="M110" s="5">
        <f t="shared" si="8"/>
        <v>2.8768808063600972</v>
      </c>
    </row>
    <row r="111" spans="1:13">
      <c r="A111" s="3">
        <v>100</v>
      </c>
      <c r="B111" s="10">
        <f t="shared" si="7"/>
        <v>0.60525154765952016</v>
      </c>
      <c r="J111" s="3">
        <v>5</v>
      </c>
      <c r="K111" s="10">
        <f t="shared" si="6"/>
        <v>0.71637288048606829</v>
      </c>
      <c r="L111" s="3">
        <f t="shared" si="9"/>
        <v>2</v>
      </c>
      <c r="M111" s="5">
        <f t="shared" si="8"/>
        <v>1.4327457609721366</v>
      </c>
    </row>
    <row r="112" spans="1:13">
      <c r="A112" s="3">
        <v>101</v>
      </c>
      <c r="B112" s="10">
        <f t="shared" si="7"/>
        <v>0.58288698594886224</v>
      </c>
      <c r="J112" s="3">
        <v>5.05</v>
      </c>
      <c r="K112" s="10">
        <f t="shared" si="6"/>
        <v>0.7135265911932438</v>
      </c>
      <c r="L112" s="3">
        <f t="shared" si="9"/>
        <v>4</v>
      </c>
      <c r="M112" s="5">
        <f t="shared" si="8"/>
        <v>2.8541063647729752</v>
      </c>
    </row>
    <row r="113" spans="1:13">
      <c r="A113" s="3">
        <v>102</v>
      </c>
      <c r="B113" s="10">
        <f t="shared" si="7"/>
        <v>0.55976590602243381</v>
      </c>
      <c r="J113" s="3">
        <v>5.0999999999999996</v>
      </c>
      <c r="K113" s="10">
        <f t="shared" si="6"/>
        <v>0.71068137419905963</v>
      </c>
      <c r="L113" s="3">
        <f t="shared" si="9"/>
        <v>2</v>
      </c>
      <c r="M113" s="5">
        <f t="shared" si="8"/>
        <v>1.4213627483981193</v>
      </c>
    </row>
    <row r="114" spans="1:13">
      <c r="A114" s="3">
        <v>103</v>
      </c>
      <c r="B114" s="10">
        <f t="shared" si="7"/>
        <v>0.53593261013251281</v>
      </c>
      <c r="J114" s="3">
        <v>5.15</v>
      </c>
      <c r="K114" s="10">
        <f t="shared" si="6"/>
        <v>0.70783727009328024</v>
      </c>
      <c r="L114" s="3">
        <f t="shared" si="9"/>
        <v>4</v>
      </c>
      <c r="M114" s="5">
        <f t="shared" si="8"/>
        <v>2.8313490803731209</v>
      </c>
    </row>
    <row r="115" spans="1:13">
      <c r="A115" s="3">
        <v>104</v>
      </c>
      <c r="B115" s="10">
        <f t="shared" si="7"/>
        <v>0.5114423707113217</v>
      </c>
      <c r="J115" s="3">
        <v>5.2</v>
      </c>
      <c r="K115" s="10">
        <f t="shared" si="6"/>
        <v>0.70499431956649572</v>
      </c>
      <c r="L115" s="3">
        <f t="shared" si="9"/>
        <v>2</v>
      </c>
      <c r="M115" s="5">
        <f t="shared" si="8"/>
        <v>1.4099886391329914</v>
      </c>
    </row>
    <row r="116" spans="1:13">
      <c r="A116" s="3">
        <v>105</v>
      </c>
      <c r="B116" s="10">
        <f t="shared" si="7"/>
        <v>0.48636208836006728</v>
      </c>
      <c r="J116" s="3">
        <v>5.25</v>
      </c>
      <c r="K116" s="10">
        <f t="shared" si="6"/>
        <v>0.70215256340867593</v>
      </c>
      <c r="L116" s="3">
        <f t="shared" si="9"/>
        <v>4</v>
      </c>
      <c r="M116" s="5">
        <f t="shared" si="8"/>
        <v>2.8086102536347037</v>
      </c>
    </row>
    <row r="117" spans="1:13">
      <c r="A117" s="3">
        <v>106</v>
      </c>
      <c r="B117" s="10">
        <f t="shared" si="7"/>
        <v>0.46077080131515935</v>
      </c>
      <c r="J117" s="3">
        <v>5.3</v>
      </c>
      <c r="K117" s="10">
        <f t="shared" si="6"/>
        <v>0.69931204250770806</v>
      </c>
      <c r="L117" s="3">
        <f t="shared" si="9"/>
        <v>2</v>
      </c>
      <c r="M117" s="5">
        <f t="shared" si="8"/>
        <v>1.3986240850154161</v>
      </c>
    </row>
    <row r="118" spans="1:13">
      <c r="A118" s="3">
        <v>107</v>
      </c>
      <c r="B118" s="10">
        <f t="shared" si="7"/>
        <v>0.43475999878999322</v>
      </c>
      <c r="J118" s="3">
        <v>5.35</v>
      </c>
      <c r="K118" s="10">
        <f t="shared" si="6"/>
        <v>0.6964727978479156</v>
      </c>
      <c r="L118" s="3">
        <f t="shared" si="9"/>
        <v>4</v>
      </c>
      <c r="M118" s="5">
        <f t="shared" si="8"/>
        <v>2.7858911913916624</v>
      </c>
    </row>
    <row r="119" spans="1:13">
      <c r="A119" s="3">
        <v>108</v>
      </c>
      <c r="B119" s="10">
        <f t="shared" si="7"/>
        <v>0.40843368666681895</v>
      </c>
      <c r="J119" s="3">
        <v>5.4</v>
      </c>
      <c r="K119" s="10">
        <f t="shared" si="6"/>
        <v>0.69363487050856243</v>
      </c>
      <c r="L119" s="3">
        <f t="shared" si="9"/>
        <v>2</v>
      </c>
      <c r="M119" s="5">
        <f t="shared" si="8"/>
        <v>1.3872697410171249</v>
      </c>
    </row>
    <row r="120" spans="1:13">
      <c r="A120" s="3">
        <v>109</v>
      </c>
      <c r="B120" s="10">
        <f t="shared" si="7"/>
        <v>0.3819081516584939</v>
      </c>
      <c r="J120" s="3">
        <v>5.45</v>
      </c>
      <c r="K120" s="10">
        <f t="shared" si="6"/>
        <v>0.69079830166233924</v>
      </c>
      <c r="L120" s="3">
        <f t="shared" si="9"/>
        <v>4</v>
      </c>
      <c r="M120" s="5">
        <f t="shared" si="8"/>
        <v>2.763193206649357</v>
      </c>
    </row>
    <row r="121" spans="1:13">
      <c r="A121" s="3">
        <v>110</v>
      </c>
      <c r="B121" s="10">
        <f t="shared" si="7"/>
        <v>0.35531136995485629</v>
      </c>
      <c r="J121" s="3">
        <v>5.5</v>
      </c>
      <c r="K121" s="10">
        <f t="shared" si="6"/>
        <v>0.68796313257383135</v>
      </c>
      <c r="L121" s="3">
        <f t="shared" si="9"/>
        <v>2</v>
      </c>
      <c r="M121" s="5">
        <f t="shared" si="8"/>
        <v>1.3759262651476627</v>
      </c>
    </row>
    <row r="122" spans="1:13">
      <c r="A122" s="3">
        <v>111</v>
      </c>
      <c r="B122" s="10">
        <f t="shared" si="7"/>
        <v>0.32878200927021861</v>
      </c>
      <c r="J122" s="3">
        <v>5.55</v>
      </c>
      <c r="K122" s="10">
        <f t="shared" si="6"/>
        <v>0.68512940459797234</v>
      </c>
      <c r="L122" s="3">
        <f t="shared" si="9"/>
        <v>4</v>
      </c>
      <c r="M122" s="5">
        <f t="shared" si="8"/>
        <v>2.7405176183918893</v>
      </c>
    </row>
    <row r="123" spans="1:13">
      <c r="A123" s="3">
        <v>112</v>
      </c>
      <c r="B123" s="10">
        <f t="shared" si="7"/>
        <v>0.30246797991012131</v>
      </c>
      <c r="J123" s="3">
        <v>5.6</v>
      </c>
      <c r="K123" s="10">
        <f t="shared" si="6"/>
        <v>0.68229715917847888</v>
      </c>
      <c r="L123" s="3">
        <f t="shared" si="9"/>
        <v>2</v>
      </c>
      <c r="M123" s="5">
        <f t="shared" si="8"/>
        <v>1.3645943183569578</v>
      </c>
    </row>
    <row r="124" spans="1:13">
      <c r="A124" s="3">
        <v>113</v>
      </c>
      <c r="B124" s="10">
        <f t="shared" si="7"/>
        <v>0.27652450174230636</v>
      </c>
      <c r="J124" s="3">
        <v>5.65</v>
      </c>
      <c r="K124" s="10">
        <f t="shared" si="6"/>
        <v>0.67946643784626837</v>
      </c>
      <c r="L124" s="3">
        <f t="shared" si="9"/>
        <v>4</v>
      </c>
      <c r="M124" s="5">
        <f t="shared" si="8"/>
        <v>2.7178657513850735</v>
      </c>
    </row>
    <row r="125" spans="1:13">
      <c r="A125" s="3">
        <v>114</v>
      </c>
      <c r="B125" s="10">
        <f t="shared" si="7"/>
        <v>0.25111167043632432</v>
      </c>
      <c r="J125" s="3">
        <v>5.7</v>
      </c>
      <c r="K125" s="10">
        <f t="shared" si="6"/>
        <v>0.67663728221786124</v>
      </c>
      <c r="L125" s="3">
        <f t="shared" si="9"/>
        <v>2</v>
      </c>
      <c r="M125" s="5">
        <f t="shared" si="8"/>
        <v>1.3532745644357225</v>
      </c>
    </row>
    <row r="126" spans="1:13">
      <c r="A126" s="3">
        <v>115</v>
      </c>
      <c r="B126" s="10">
        <f t="shared" si="7"/>
        <v>0.22639152844050534</v>
      </c>
      <c r="J126" s="3">
        <v>5.75</v>
      </c>
      <c r="K126" s="10">
        <f t="shared" si="6"/>
        <v>0.67380973399376476</v>
      </c>
      <c r="L126" s="3">
        <f t="shared" si="9"/>
        <v>4</v>
      </c>
      <c r="M126" s="5">
        <f t="shared" si="8"/>
        <v>2.695238935975059</v>
      </c>
    </row>
    <row r="127" spans="1:13">
      <c r="A127" s="3">
        <v>116</v>
      </c>
      <c r="B127" s="10">
        <f t="shared" si="7"/>
        <v>0.20252467392908091</v>
      </c>
      <c r="J127" s="3">
        <v>5.8</v>
      </c>
      <c r="K127" s="10">
        <f t="shared" si="6"/>
        <v>0.67098383495683978</v>
      </c>
      <c r="L127" s="3">
        <f t="shared" si="9"/>
        <v>2</v>
      </c>
      <c r="M127" s="5">
        <f t="shared" si="8"/>
        <v>1.3419676699136796</v>
      </c>
    </row>
    <row r="128" spans="1:13">
      <c r="A128" s="3">
        <v>117</v>
      </c>
      <c r="B128" s="10">
        <f t="shared" si="7"/>
        <v>0.17966647387532117</v>
      </c>
      <c r="J128" s="3">
        <v>5.85</v>
      </c>
      <c r="K128" s="10">
        <f t="shared" si="6"/>
        <v>0.66815962697065234</v>
      </c>
      <c r="L128" s="3">
        <f t="shared" si="9"/>
        <v>4</v>
      </c>
      <c r="M128" s="5">
        <f t="shared" si="8"/>
        <v>2.6726385078826094</v>
      </c>
    </row>
    <row r="129" spans="1:13">
      <c r="A129" s="3">
        <v>118</v>
      </c>
      <c r="B129" s="10">
        <f t="shared" si="7"/>
        <v>0.15796298429338287</v>
      </c>
      <c r="J129" s="3">
        <v>5.9</v>
      </c>
      <c r="K129" s="10">
        <f t="shared" si="6"/>
        <v>0.66533715197780596</v>
      </c>
      <c r="L129" s="3">
        <f t="shared" si="9"/>
        <v>2</v>
      </c>
      <c r="M129" s="5">
        <f t="shared" si="8"/>
        <v>1.3306743039556119</v>
      </c>
    </row>
    <row r="130" spans="1:13">
      <c r="A130" s="3">
        <v>119</v>
      </c>
      <c r="B130" s="10">
        <f t="shared" si="7"/>
        <v>0.13754671951744962</v>
      </c>
      <c r="J130" s="3">
        <v>5.95</v>
      </c>
      <c r="K130" s="10">
        <f t="shared" si="6"/>
        <v>0.66251645199825904</v>
      </c>
      <c r="L130" s="3">
        <f t="shared" si="9"/>
        <v>4</v>
      </c>
      <c r="M130" s="5">
        <f t="shared" si="8"/>
        <v>2.6500658079930361</v>
      </c>
    </row>
    <row r="131" spans="1:13">
      <c r="A131" s="3">
        <v>120</v>
      </c>
      <c r="B131" s="10">
        <f t="shared" si="7"/>
        <v>0.11853245022017408</v>
      </c>
      <c r="J131" s="3">
        <v>6</v>
      </c>
      <c r="K131" s="10">
        <f t="shared" si="6"/>
        <v>0.65969756912762334</v>
      </c>
      <c r="L131" s="3">
        <f t="shared" si="9"/>
        <v>2</v>
      </c>
      <c r="M131" s="5">
        <f t="shared" si="8"/>
        <v>1.3193951382552467</v>
      </c>
    </row>
    <row r="132" spans="1:13">
      <c r="A132" s="3">
        <v>121</v>
      </c>
      <c r="B132" s="10">
        <f t="shared" si="7"/>
        <v>0.10101324289615916</v>
      </c>
      <c r="J132" s="3">
        <v>6.05</v>
      </c>
      <c r="K132" s="10">
        <f t="shared" si="6"/>
        <v>0.65688054553544739</v>
      </c>
      <c r="L132" s="3">
        <f t="shared" si="9"/>
        <v>4</v>
      </c>
      <c r="M132" s="5">
        <f t="shared" si="8"/>
        <v>2.6275221821417896</v>
      </c>
    </row>
    <row r="133" spans="1:13">
      <c r="A133" s="3">
        <v>122</v>
      </c>
      <c r="B133" s="10">
        <f t="shared" si="7"/>
        <v>8.5056977211243959E-2</v>
      </c>
      <c r="J133" s="3">
        <v>6.1</v>
      </c>
      <c r="K133" s="10">
        <f t="shared" si="6"/>
        <v>0.65406542346348184</v>
      </c>
      <c r="L133" s="3">
        <f t="shared" si="9"/>
        <v>2</v>
      </c>
      <c r="M133" s="5">
        <f t="shared" si="8"/>
        <v>1.3081308469269637</v>
      </c>
    </row>
    <row r="134" spans="1:13">
      <c r="A134" s="3">
        <v>123</v>
      </c>
      <c r="B134" s="10">
        <f t="shared" si="7"/>
        <v>7.0703587029800119E-2</v>
      </c>
      <c r="J134" s="3">
        <v>6.15</v>
      </c>
      <c r="K134" s="10">
        <f t="shared" si="6"/>
        <v>0.65125224522392844</v>
      </c>
      <c r="L134" s="3">
        <f t="shared" si="9"/>
        <v>4</v>
      </c>
      <c r="M134" s="5">
        <f t="shared" si="8"/>
        <v>2.6050089808957138</v>
      </c>
    </row>
    <row r="135" spans="1:13">
      <c r="A135" s="3">
        <v>124</v>
      </c>
      <c r="B135" s="10">
        <f t="shared" si="7"/>
        <v>5.7963261340311559E-2</v>
      </c>
      <c r="J135" s="3">
        <v>6.2</v>
      </c>
      <c r="K135" s="10">
        <f t="shared" si="6"/>
        <v>0.64844105319767165</v>
      </c>
      <c r="L135" s="3">
        <f t="shared" si="9"/>
        <v>2</v>
      </c>
      <c r="M135" s="5">
        <f t="shared" si="8"/>
        <v>1.2968821063953433</v>
      </c>
    </row>
    <row r="136" spans="1:13">
      <c r="A136" s="3">
        <v>125</v>
      </c>
      <c r="B136" s="10">
        <f t="shared" si="7"/>
        <v>4.6815808886738162E-2</v>
      </c>
      <c r="J136" s="3">
        <v>6.25</v>
      </c>
      <c r="K136" s="10">
        <f t="shared" si="6"/>
        <v>0.64563188983249409</v>
      </c>
      <c r="L136" s="3">
        <f t="shared" si="9"/>
        <v>4</v>
      </c>
      <c r="M136" s="5">
        <f t="shared" si="8"/>
        <v>2.5825275593299764</v>
      </c>
    </row>
    <row r="137" spans="1:13">
      <c r="A137" s="3">
        <v>126</v>
      </c>
      <c r="B137" s="10">
        <f t="shared" si="7"/>
        <v>3.7211333072937454E-2</v>
      </c>
      <c r="J137" s="3">
        <v>6.3</v>
      </c>
      <c r="K137" s="10">
        <f t="shared" si="6"/>
        <v>0.64282479764127476</v>
      </c>
      <c r="L137" s="3">
        <f t="shared" si="9"/>
        <v>2</v>
      </c>
      <c r="M137" s="5">
        <f t="shared" si="8"/>
        <v>1.2856495952825495</v>
      </c>
    </row>
    <row r="138" spans="1:13">
      <c r="A138" s="3">
        <v>127</v>
      </c>
      <c r="B138" s="10">
        <f t="shared" si="7"/>
        <v>2.9072282358993957E-2</v>
      </c>
      <c r="J138" s="3">
        <v>6.35</v>
      </c>
      <c r="K138" s="10">
        <f t="shared" si="6"/>
        <v>0.64001981920017048</v>
      </c>
      <c r="L138" s="3">
        <f t="shared" si="9"/>
        <v>4</v>
      </c>
      <c r="M138" s="5">
        <f t="shared" si="8"/>
        <v>2.5600792768006819</v>
      </c>
    </row>
    <row r="139" spans="1:13">
      <c r="A139" s="3">
        <v>128</v>
      </c>
      <c r="B139" s="10">
        <f t="shared" si="7"/>
        <v>2.2296840122587949E-2</v>
      </c>
      <c r="J139" s="3">
        <v>6.4</v>
      </c>
      <c r="K139" s="10">
        <f t="shared" ref="K139:K202" si="10">(B$6^J139)*(B$7^((B$5^70)*((B$5^J139)-1)))</f>
        <v>0.63721699714678048</v>
      </c>
      <c r="L139" s="3">
        <f t="shared" si="9"/>
        <v>2</v>
      </c>
      <c r="M139" s="5">
        <f t="shared" si="8"/>
        <v>1.274433994293561</v>
      </c>
    </row>
    <row r="140" spans="1:13">
      <c r="A140" s="3">
        <v>129</v>
      </c>
      <c r="B140" s="10">
        <f>B$6*(B$7^((B$5^A140)*(B$5-1)))</f>
        <v>1.6763504910102162E-2</v>
      </c>
      <c r="J140" s="3">
        <v>6.45</v>
      </c>
      <c r="K140" s="10">
        <f t="shared" si="10"/>
        <v>0.63441637417829511</v>
      </c>
      <c r="L140" s="3">
        <f t="shared" si="9"/>
        <v>4</v>
      </c>
      <c r="M140" s="5">
        <f t="shared" ref="M140:M203" si="11">K140*L140</f>
        <v>2.5376654967131804</v>
      </c>
    </row>
    <row r="141" spans="1:13">
      <c r="A141" s="3">
        <v>130</v>
      </c>
      <c r="B141" s="10">
        <f>B$6*(B$7^((B$5^A141)*(B$5-1)))</f>
        <v>1.2336598911466103E-2</v>
      </c>
      <c r="J141" s="3">
        <v>6.5</v>
      </c>
      <c r="K141" s="10">
        <f t="shared" si="10"/>
        <v>0.63161799304962596</v>
      </c>
      <c r="L141" s="3">
        <f t="shared" si="9"/>
        <v>2</v>
      </c>
      <c r="M141" s="5">
        <f t="shared" si="11"/>
        <v>1.2632359860992519</v>
      </c>
    </row>
    <row r="142" spans="1:13">
      <c r="J142" s="3">
        <v>6.55</v>
      </c>
      <c r="K142" s="10">
        <f t="shared" si="10"/>
        <v>0.62882189657152243</v>
      </c>
      <c r="L142" s="3">
        <f t="shared" ref="L142:L205" si="12">IF(L141=4,2,4)</f>
        <v>4</v>
      </c>
      <c r="M142" s="5">
        <f t="shared" si="11"/>
        <v>2.5152875862860897</v>
      </c>
    </row>
    <row r="143" spans="1:13">
      <c r="J143" s="3">
        <v>6.6</v>
      </c>
      <c r="K143" s="10">
        <f t="shared" si="10"/>
        <v>0.62602812760866755</v>
      </c>
      <c r="L143" s="3">
        <f t="shared" si="12"/>
        <v>2</v>
      </c>
      <c r="M143" s="5">
        <f t="shared" si="11"/>
        <v>1.2520562552173351</v>
      </c>
    </row>
    <row r="144" spans="1:13">
      <c r="J144" s="3">
        <v>6.65</v>
      </c>
      <c r="K144" s="10">
        <f t="shared" si="10"/>
        <v>0.62323672907776173</v>
      </c>
      <c r="L144" s="3">
        <f t="shared" si="12"/>
        <v>4</v>
      </c>
      <c r="M144" s="5">
        <f t="shared" si="11"/>
        <v>2.4929469163110469</v>
      </c>
    </row>
    <row r="145" spans="10:13">
      <c r="J145" s="3">
        <v>6.7</v>
      </c>
      <c r="K145" s="10">
        <f t="shared" si="10"/>
        <v>0.62044774394558633</v>
      </c>
      <c r="L145" s="3">
        <f t="shared" si="12"/>
        <v>2</v>
      </c>
      <c r="M145" s="5">
        <f t="shared" si="11"/>
        <v>1.2408954878911727</v>
      </c>
    </row>
    <row r="146" spans="10:13">
      <c r="J146" s="3">
        <v>6.75</v>
      </c>
      <c r="K146" s="10">
        <f t="shared" si="10"/>
        <v>0.61766121522705264</v>
      </c>
      <c r="L146" s="3">
        <f t="shared" si="12"/>
        <v>4</v>
      </c>
      <c r="M146" s="5">
        <f t="shared" si="11"/>
        <v>2.4706448609082106</v>
      </c>
    </row>
    <row r="147" spans="10:13">
      <c r="J147" s="3">
        <v>6.8</v>
      </c>
      <c r="K147" s="10">
        <f t="shared" si="10"/>
        <v>0.61487718598323426</v>
      </c>
      <c r="L147" s="3">
        <f t="shared" si="12"/>
        <v>2</v>
      </c>
      <c r="M147" s="5">
        <f t="shared" si="11"/>
        <v>1.2297543719664685</v>
      </c>
    </row>
    <row r="148" spans="10:13">
      <c r="J148" s="3">
        <v>6.85</v>
      </c>
      <c r="K148" s="10">
        <f t="shared" si="10"/>
        <v>0.61209569931938268</v>
      </c>
      <c r="L148" s="3">
        <f t="shared" si="12"/>
        <v>4</v>
      </c>
      <c r="M148" s="5">
        <f t="shared" si="11"/>
        <v>2.4483827972775307</v>
      </c>
    </row>
    <row r="149" spans="10:13">
      <c r="J149" s="3">
        <v>6.9</v>
      </c>
      <c r="K149" s="10">
        <f t="shared" si="10"/>
        <v>0.60931679838292685</v>
      </c>
      <c r="L149" s="3">
        <f t="shared" si="12"/>
        <v>2</v>
      </c>
      <c r="M149" s="5">
        <f t="shared" si="11"/>
        <v>1.2186335967658537</v>
      </c>
    </row>
    <row r="150" spans="10:13">
      <c r="J150" s="3">
        <v>6.95</v>
      </c>
      <c r="K150" s="10">
        <f t="shared" si="10"/>
        <v>0.60654052636145628</v>
      </c>
      <c r="L150" s="3">
        <f t="shared" si="12"/>
        <v>4</v>
      </c>
      <c r="M150" s="5">
        <f t="shared" si="11"/>
        <v>2.4261621054458251</v>
      </c>
    </row>
    <row r="151" spans="10:13">
      <c r="J151" s="3">
        <v>7</v>
      </c>
      <c r="K151" s="10">
        <f t="shared" si="10"/>
        <v>0.6037669264806883</v>
      </c>
      <c r="L151" s="3">
        <f t="shared" si="12"/>
        <v>2</v>
      </c>
      <c r="M151" s="5">
        <f t="shared" si="11"/>
        <v>1.2075338529613766</v>
      </c>
    </row>
    <row r="152" spans="10:13">
      <c r="J152" s="3">
        <v>7.05</v>
      </c>
      <c r="K152" s="10">
        <f t="shared" si="10"/>
        <v>0.60099604200241896</v>
      </c>
      <c r="L152" s="3">
        <f t="shared" si="12"/>
        <v>4</v>
      </c>
      <c r="M152" s="5">
        <f t="shared" si="11"/>
        <v>2.4039841680096758</v>
      </c>
    </row>
    <row r="153" spans="10:13">
      <c r="J153" s="3">
        <v>7.1</v>
      </c>
      <c r="K153" s="10">
        <f t="shared" si="10"/>
        <v>0.59822791622245741</v>
      </c>
      <c r="L153" s="3">
        <f t="shared" si="12"/>
        <v>2</v>
      </c>
      <c r="M153" s="5">
        <f t="shared" si="11"/>
        <v>1.1964558324449148</v>
      </c>
    </row>
    <row r="154" spans="10:13">
      <c r="J154" s="3">
        <v>7.15</v>
      </c>
      <c r="K154" s="10">
        <f t="shared" si="10"/>
        <v>0.59546259246854594</v>
      </c>
      <c r="L154" s="3">
        <f t="shared" si="12"/>
        <v>4</v>
      </c>
      <c r="M154" s="5">
        <f t="shared" si="11"/>
        <v>2.3818503698741837</v>
      </c>
    </row>
    <row r="155" spans="10:13">
      <c r="J155" s="3">
        <v>7.2</v>
      </c>
      <c r="K155" s="10">
        <f t="shared" si="10"/>
        <v>0.59270011409826118</v>
      </c>
      <c r="L155" s="3">
        <f t="shared" si="12"/>
        <v>2</v>
      </c>
      <c r="M155" s="5">
        <f t="shared" si="11"/>
        <v>1.1854002281965224</v>
      </c>
    </row>
    <row r="156" spans="10:13">
      <c r="J156" s="3">
        <v>7.25</v>
      </c>
      <c r="K156" s="10">
        <f t="shared" si="10"/>
        <v>0.58994052449690315</v>
      </c>
      <c r="L156" s="3">
        <f t="shared" si="12"/>
        <v>4</v>
      </c>
      <c r="M156" s="5">
        <f t="shared" si="11"/>
        <v>2.3597620979876126</v>
      </c>
    </row>
    <row r="157" spans="10:13">
      <c r="J157" s="3">
        <v>7.3</v>
      </c>
      <c r="K157" s="10">
        <f t="shared" si="10"/>
        <v>0.58718386707536496</v>
      </c>
      <c r="L157" s="3">
        <f t="shared" si="12"/>
        <v>2</v>
      </c>
      <c r="M157" s="5">
        <f t="shared" si="11"/>
        <v>1.1743677341507299</v>
      </c>
    </row>
    <row r="158" spans="10:13">
      <c r="J158" s="3">
        <v>7.35</v>
      </c>
      <c r="K158" s="10">
        <f t="shared" si="10"/>
        <v>0.58443018526798995</v>
      </c>
      <c r="L158" s="3">
        <f t="shared" si="12"/>
        <v>4</v>
      </c>
      <c r="M158" s="5">
        <f t="shared" si="11"/>
        <v>2.3377207410719598</v>
      </c>
    </row>
    <row r="159" spans="10:13">
      <c r="J159" s="3">
        <v>7.4</v>
      </c>
      <c r="K159" s="10">
        <f t="shared" si="10"/>
        <v>0.58167952253041022</v>
      </c>
      <c r="L159" s="3">
        <f t="shared" si="12"/>
        <v>2</v>
      </c>
      <c r="M159" s="5">
        <f t="shared" si="11"/>
        <v>1.1633590450608204</v>
      </c>
    </row>
    <row r="160" spans="10:13">
      <c r="J160" s="3">
        <v>7.45</v>
      </c>
      <c r="K160" s="10">
        <f t="shared" si="10"/>
        <v>0.5789319223373729</v>
      </c>
      <c r="L160" s="3">
        <f t="shared" si="12"/>
        <v>4</v>
      </c>
      <c r="M160" s="5">
        <f t="shared" si="11"/>
        <v>2.3157276893494916</v>
      </c>
    </row>
    <row r="161" spans="10:13">
      <c r="J161" s="3">
        <v>7.5</v>
      </c>
      <c r="K161" s="10">
        <f t="shared" si="10"/>
        <v>0.57618742818054802</v>
      </c>
      <c r="L161" s="3">
        <f t="shared" si="12"/>
        <v>2</v>
      </c>
      <c r="M161" s="5">
        <f t="shared" si="11"/>
        <v>1.152374856361096</v>
      </c>
    </row>
    <row r="162" spans="10:13">
      <c r="J162" s="3">
        <v>7.55</v>
      </c>
      <c r="K162" s="10">
        <f t="shared" si="10"/>
        <v>0.57344608356632221</v>
      </c>
      <c r="L162" s="3">
        <f t="shared" si="12"/>
        <v>4</v>
      </c>
      <c r="M162" s="5">
        <f t="shared" si="11"/>
        <v>2.2937843342652888</v>
      </c>
    </row>
    <row r="163" spans="10:13">
      <c r="J163" s="3">
        <v>7.6</v>
      </c>
      <c r="K163" s="10">
        <f t="shared" si="10"/>
        <v>0.5707079320135785</v>
      </c>
      <c r="L163" s="3">
        <f t="shared" si="12"/>
        <v>2</v>
      </c>
      <c r="M163" s="5">
        <f t="shared" si="11"/>
        <v>1.141415864027157</v>
      </c>
    </row>
    <row r="164" spans="10:13">
      <c r="J164" s="3">
        <v>7.65</v>
      </c>
      <c r="K164" s="10">
        <f t="shared" si="10"/>
        <v>0.56797301705145831</v>
      </c>
      <c r="L164" s="3">
        <f t="shared" si="12"/>
        <v>4</v>
      </c>
      <c r="M164" s="5">
        <f t="shared" si="11"/>
        <v>2.2718920682058332</v>
      </c>
    </row>
    <row r="165" spans="10:13">
      <c r="J165" s="3">
        <v>7.7</v>
      </c>
      <c r="K165" s="10">
        <f t="shared" si="10"/>
        <v>0.56524138221711084</v>
      </c>
      <c r="L165" s="3">
        <f t="shared" si="12"/>
        <v>2</v>
      </c>
      <c r="M165" s="5">
        <f t="shared" si="11"/>
        <v>1.1304827644342217</v>
      </c>
    </row>
    <row r="166" spans="10:13">
      <c r="J166" s="3">
        <v>7.75</v>
      </c>
      <c r="K166" s="10">
        <f t="shared" si="10"/>
        <v>0.56251307105342574</v>
      </c>
      <c r="L166" s="3">
        <f t="shared" si="12"/>
        <v>4</v>
      </c>
      <c r="M166" s="5">
        <f t="shared" si="11"/>
        <v>2.250052284213703</v>
      </c>
    </row>
    <row r="167" spans="10:13">
      <c r="J167" s="3">
        <v>7.8</v>
      </c>
      <c r="K167" s="10">
        <f t="shared" si="10"/>
        <v>0.55978812710675274</v>
      </c>
      <c r="L167" s="3">
        <f t="shared" si="12"/>
        <v>2</v>
      </c>
      <c r="M167" s="5">
        <f t="shared" si="11"/>
        <v>1.1195762542135055</v>
      </c>
    </row>
    <row r="168" spans="10:13">
      <c r="J168" s="3">
        <v>7.85</v>
      </c>
      <c r="K168" s="10">
        <f t="shared" si="10"/>
        <v>0.557066593924604</v>
      </c>
      <c r="L168" s="3">
        <f t="shared" si="12"/>
        <v>4</v>
      </c>
      <c r="M168" s="5">
        <f t="shared" si="11"/>
        <v>2.228266375698416</v>
      </c>
    </row>
    <row r="169" spans="10:13">
      <c r="J169" s="3">
        <v>7.9</v>
      </c>
      <c r="K169" s="10">
        <f t="shared" si="10"/>
        <v>0.5543485150533447</v>
      </c>
      <c r="L169" s="3">
        <f t="shared" si="12"/>
        <v>2</v>
      </c>
      <c r="M169" s="5">
        <f t="shared" si="11"/>
        <v>1.1086970301066894</v>
      </c>
    </row>
    <row r="170" spans="10:13">
      <c r="J170" s="3">
        <v>7.95</v>
      </c>
      <c r="K170" s="10">
        <f t="shared" si="10"/>
        <v>0.55163393403586714</v>
      </c>
      <c r="L170" s="3">
        <f t="shared" si="12"/>
        <v>4</v>
      </c>
      <c r="M170" s="5">
        <f t="shared" si="11"/>
        <v>2.2065357361434685</v>
      </c>
    </row>
    <row r="171" spans="10:13">
      <c r="J171" s="3">
        <v>8</v>
      </c>
      <c r="K171" s="10">
        <f t="shared" si="10"/>
        <v>0.54892289440925124</v>
      </c>
      <c r="L171" s="3">
        <f t="shared" si="12"/>
        <v>2</v>
      </c>
      <c r="M171" s="5">
        <f t="shared" si="11"/>
        <v>1.0978457888185025</v>
      </c>
    </row>
    <row r="172" spans="10:13">
      <c r="J172" s="3">
        <v>8.0500000000000007</v>
      </c>
      <c r="K172" s="10">
        <f t="shared" si="10"/>
        <v>0.54621543970241082</v>
      </c>
      <c r="L172" s="3">
        <f t="shared" si="12"/>
        <v>4</v>
      </c>
      <c r="M172" s="5">
        <f t="shared" si="11"/>
        <v>2.1848617588096433</v>
      </c>
    </row>
    <row r="173" spans="10:13">
      <c r="J173" s="3">
        <v>8.1</v>
      </c>
      <c r="K173" s="10">
        <f t="shared" si="10"/>
        <v>0.54351161343372534</v>
      </c>
      <c r="L173" s="3">
        <f t="shared" si="12"/>
        <v>2</v>
      </c>
      <c r="M173" s="5">
        <f t="shared" si="11"/>
        <v>1.0870232268674507</v>
      </c>
    </row>
    <row r="174" spans="10:13">
      <c r="J174" s="3">
        <v>8.15</v>
      </c>
      <c r="K174" s="10">
        <f t="shared" si="10"/>
        <v>0.54081145910865736</v>
      </c>
      <c r="L174" s="3">
        <f t="shared" si="12"/>
        <v>4</v>
      </c>
      <c r="M174" s="5">
        <f t="shared" si="11"/>
        <v>2.1632458364346294</v>
      </c>
    </row>
    <row r="175" spans="10:13">
      <c r="J175" s="3">
        <v>8.1999999999999993</v>
      </c>
      <c r="K175" s="10">
        <f t="shared" si="10"/>
        <v>0.53811502021735802</v>
      </c>
      <c r="L175" s="3">
        <f t="shared" si="12"/>
        <v>2</v>
      </c>
      <c r="M175" s="5">
        <f t="shared" si="11"/>
        <v>1.076230040434716</v>
      </c>
    </row>
    <row r="176" spans="10:13">
      <c r="J176" s="3">
        <v>8.25</v>
      </c>
      <c r="K176" s="10">
        <f t="shared" si="10"/>
        <v>0.53542234023225588</v>
      </c>
      <c r="L176" s="3">
        <f t="shared" si="12"/>
        <v>4</v>
      </c>
      <c r="M176" s="5">
        <f t="shared" si="11"/>
        <v>2.1416893609290235</v>
      </c>
    </row>
    <row r="177" spans="10:13">
      <c r="J177" s="3">
        <v>8.3000000000000007</v>
      </c>
      <c r="K177" s="10">
        <f t="shared" si="10"/>
        <v>0.53273346260563459</v>
      </c>
      <c r="L177" s="3">
        <f t="shared" si="12"/>
        <v>2</v>
      </c>
      <c r="M177" s="5">
        <f t="shared" si="11"/>
        <v>1.0654669252112692</v>
      </c>
    </row>
    <row r="178" spans="10:13">
      <c r="J178" s="3">
        <v>8.35</v>
      </c>
      <c r="K178" s="10">
        <f t="shared" si="10"/>
        <v>0.53004843076719599</v>
      </c>
      <c r="L178" s="3">
        <f t="shared" si="12"/>
        <v>4</v>
      </c>
      <c r="M178" s="5">
        <f t="shared" si="11"/>
        <v>2.120193723068784</v>
      </c>
    </row>
    <row r="179" spans="10:13">
      <c r="J179" s="3">
        <v>8.4</v>
      </c>
      <c r="K179" s="10">
        <f t="shared" si="10"/>
        <v>0.5273672881216096</v>
      </c>
      <c r="L179" s="3">
        <f t="shared" si="12"/>
        <v>2</v>
      </c>
      <c r="M179" s="5">
        <f t="shared" si="11"/>
        <v>1.0547345762432192</v>
      </c>
    </row>
    <row r="180" spans="10:13">
      <c r="J180" s="3">
        <v>8.4499999999999993</v>
      </c>
      <c r="K180" s="10">
        <f t="shared" si="10"/>
        <v>0.52469007804604972</v>
      </c>
      <c r="L180" s="3">
        <f t="shared" si="12"/>
        <v>4</v>
      </c>
      <c r="M180" s="5">
        <f t="shared" si="11"/>
        <v>2.0987603121841989</v>
      </c>
    </row>
    <row r="181" spans="10:13">
      <c r="J181" s="3">
        <v>8.5</v>
      </c>
      <c r="K181" s="10">
        <f t="shared" si="10"/>
        <v>0.52201684388771885</v>
      </c>
      <c r="L181" s="3">
        <f t="shared" si="12"/>
        <v>2</v>
      </c>
      <c r="M181" s="5">
        <f t="shared" si="11"/>
        <v>1.0440336877754377</v>
      </c>
    </row>
    <row r="182" spans="10:13">
      <c r="J182" s="3">
        <v>8.5500000000000007</v>
      </c>
      <c r="K182" s="10">
        <f t="shared" si="10"/>
        <v>0.51934762896135944</v>
      </c>
      <c r="L182" s="3">
        <f t="shared" si="12"/>
        <v>4</v>
      </c>
      <c r="M182" s="5">
        <f t="shared" si="11"/>
        <v>2.0773905158454378</v>
      </c>
    </row>
    <row r="183" spans="10:13">
      <c r="J183" s="3">
        <v>8.6</v>
      </c>
      <c r="K183" s="10">
        <f t="shared" si="10"/>
        <v>0.51668247654675037</v>
      </c>
      <c r="L183" s="3">
        <f t="shared" si="12"/>
        <v>2</v>
      </c>
      <c r="M183" s="5">
        <f t="shared" si="11"/>
        <v>1.0333649530935007</v>
      </c>
    </row>
    <row r="184" spans="10:13">
      <c r="J184" s="3">
        <v>8.65</v>
      </c>
      <c r="K184" s="10">
        <f t="shared" si="10"/>
        <v>0.51402142988619415</v>
      </c>
      <c r="L184" s="3">
        <f t="shared" si="12"/>
        <v>4</v>
      </c>
      <c r="M184" s="5">
        <f t="shared" si="11"/>
        <v>2.0560857195447766</v>
      </c>
    </row>
    <row r="185" spans="10:13">
      <c r="J185" s="3">
        <v>8.6999999999999993</v>
      </c>
      <c r="K185" s="10">
        <f t="shared" si="10"/>
        <v>0.51136453218198907</v>
      </c>
      <c r="L185" s="3">
        <f t="shared" si="12"/>
        <v>2</v>
      </c>
      <c r="M185" s="5">
        <f t="shared" si="11"/>
        <v>1.0227290643639781</v>
      </c>
    </row>
    <row r="186" spans="10:13">
      <c r="J186" s="3">
        <v>8.75</v>
      </c>
      <c r="K186" s="10">
        <f t="shared" si="10"/>
        <v>0.50871182659389014</v>
      </c>
      <c r="L186" s="3">
        <f t="shared" si="12"/>
        <v>4</v>
      </c>
      <c r="M186" s="5">
        <f t="shared" si="11"/>
        <v>2.0348473063755605</v>
      </c>
    </row>
    <row r="187" spans="10:13">
      <c r="J187" s="3">
        <v>8.8000000000000007</v>
      </c>
      <c r="K187" s="10">
        <f t="shared" si="10"/>
        <v>0.50606335623655851</v>
      </c>
      <c r="L187" s="3">
        <f t="shared" si="12"/>
        <v>2</v>
      </c>
      <c r="M187" s="5">
        <f t="shared" si="11"/>
        <v>1.012126712473117</v>
      </c>
    </row>
    <row r="188" spans="10:13">
      <c r="J188" s="3">
        <v>8.85</v>
      </c>
      <c r="K188" s="10">
        <f t="shared" si="10"/>
        <v>0.50341916417699761</v>
      </c>
      <c r="L188" s="3">
        <f t="shared" si="12"/>
        <v>4</v>
      </c>
      <c r="M188" s="5">
        <f t="shared" si="11"/>
        <v>2.0136766567079905</v>
      </c>
    </row>
    <row r="189" spans="10:13">
      <c r="J189" s="3">
        <v>8.9</v>
      </c>
      <c r="K189" s="10">
        <f t="shared" si="10"/>
        <v>0.50077929343197913</v>
      </c>
      <c r="L189" s="3">
        <f t="shared" si="12"/>
        <v>2</v>
      </c>
      <c r="M189" s="5">
        <f t="shared" si="11"/>
        <v>1.0015585868639583</v>
      </c>
    </row>
    <row r="190" spans="10:13">
      <c r="J190" s="3">
        <v>8.9499999999999993</v>
      </c>
      <c r="K190" s="10">
        <f t="shared" si="10"/>
        <v>0.49814378696545614</v>
      </c>
      <c r="L190" s="3">
        <f t="shared" si="12"/>
        <v>4</v>
      </c>
      <c r="M190" s="5">
        <f t="shared" si="11"/>
        <v>1.9925751478618245</v>
      </c>
    </row>
    <row r="191" spans="10:13">
      <c r="J191" s="3">
        <v>9</v>
      </c>
      <c r="K191" s="10">
        <f t="shared" si="10"/>
        <v>0.49551268768596513</v>
      </c>
      <c r="L191" s="3">
        <f t="shared" si="12"/>
        <v>2</v>
      </c>
      <c r="M191" s="5">
        <f t="shared" si="11"/>
        <v>0.99102537537193025</v>
      </c>
    </row>
    <row r="192" spans="10:13">
      <c r="J192" s="3">
        <v>9.0500000000000007</v>
      </c>
      <c r="K192" s="10">
        <f t="shared" si="10"/>
        <v>0.49288603844401835</v>
      </c>
      <c r="L192" s="3">
        <f t="shared" si="12"/>
        <v>4</v>
      </c>
      <c r="M192" s="5">
        <f t="shared" si="11"/>
        <v>1.9715441537760734</v>
      </c>
    </row>
    <row r="193" spans="10:13">
      <c r="J193" s="3">
        <v>9.1</v>
      </c>
      <c r="K193" s="10">
        <f t="shared" si="10"/>
        <v>0.49026388202948251</v>
      </c>
      <c r="L193" s="3">
        <f t="shared" si="12"/>
        <v>2</v>
      </c>
      <c r="M193" s="5">
        <f t="shared" si="11"/>
        <v>0.98052776405896502</v>
      </c>
    </row>
    <row r="194" spans="10:13">
      <c r="J194" s="3">
        <v>9.15</v>
      </c>
      <c r="K194" s="10">
        <f t="shared" si="10"/>
        <v>0.48764626116894877</v>
      </c>
      <c r="L194" s="3">
        <f t="shared" si="12"/>
        <v>4</v>
      </c>
      <c r="M194" s="5">
        <f t="shared" si="11"/>
        <v>1.9505850446757951</v>
      </c>
    </row>
    <row r="195" spans="10:13">
      <c r="J195" s="3">
        <v>9.1999999999999993</v>
      </c>
      <c r="K195" s="10">
        <f t="shared" si="10"/>
        <v>0.48503321852309128</v>
      </c>
      <c r="L195" s="3">
        <f t="shared" si="12"/>
        <v>2</v>
      </c>
      <c r="M195" s="5">
        <f t="shared" si="11"/>
        <v>0.97006643704618256</v>
      </c>
    </row>
    <row r="196" spans="10:13">
      <c r="J196" s="3">
        <v>9.25</v>
      </c>
      <c r="K196" s="10">
        <f t="shared" si="10"/>
        <v>0.482424796684016</v>
      </c>
      <c r="L196" s="3">
        <f t="shared" si="12"/>
        <v>4</v>
      </c>
      <c r="M196" s="5">
        <f t="shared" si="11"/>
        <v>1.929699186736064</v>
      </c>
    </row>
    <row r="197" spans="10:13">
      <c r="J197" s="3">
        <v>9.3000000000000007</v>
      </c>
      <c r="K197" s="10">
        <f t="shared" si="10"/>
        <v>0.47982103817259769</v>
      </c>
      <c r="L197" s="3">
        <f t="shared" si="12"/>
        <v>2</v>
      </c>
      <c r="M197" s="5">
        <f t="shared" si="11"/>
        <v>0.95964207634519538</v>
      </c>
    </row>
    <row r="198" spans="10:13">
      <c r="J198" s="3">
        <v>9.35</v>
      </c>
      <c r="K198" s="10">
        <f t="shared" si="10"/>
        <v>0.4772219854358094</v>
      </c>
      <c r="L198" s="3">
        <f t="shared" si="12"/>
        <v>4</v>
      </c>
      <c r="M198" s="5">
        <f t="shared" si="11"/>
        <v>1.9088879417432376</v>
      </c>
    </row>
    <row r="199" spans="10:13">
      <c r="J199" s="3">
        <v>9.4</v>
      </c>
      <c r="K199" s="10">
        <f t="shared" si="10"/>
        <v>0.47462768084403928</v>
      </c>
      <c r="L199" s="3">
        <f t="shared" si="12"/>
        <v>2</v>
      </c>
      <c r="M199" s="5">
        <f t="shared" si="11"/>
        <v>0.94925536168807856</v>
      </c>
    </row>
    <row r="200" spans="10:13">
      <c r="J200" s="3">
        <v>9.4499999999999993</v>
      </c>
      <c r="K200" s="10">
        <f t="shared" si="10"/>
        <v>0.47203816668840087</v>
      </c>
      <c r="L200" s="3">
        <f t="shared" si="12"/>
        <v>4</v>
      </c>
      <c r="M200" s="5">
        <f t="shared" si="11"/>
        <v>1.8881526667536035</v>
      </c>
    </row>
    <row r="201" spans="10:13">
      <c r="J201" s="3">
        <v>9.5</v>
      </c>
      <c r="K201" s="10">
        <f t="shared" si="10"/>
        <v>0.46945348517803076</v>
      </c>
      <c r="L201" s="3">
        <f t="shared" si="12"/>
        <v>2</v>
      </c>
      <c r="M201" s="5">
        <f t="shared" si="11"/>
        <v>0.93890697035606152</v>
      </c>
    </row>
    <row r="202" spans="10:13">
      <c r="J202" s="3">
        <v>9.5500000000000007</v>
      </c>
      <c r="K202" s="10">
        <f t="shared" si="10"/>
        <v>0.46687367843738048</v>
      </c>
      <c r="L202" s="3">
        <f t="shared" si="12"/>
        <v>4</v>
      </c>
      <c r="M202" s="5">
        <f t="shared" si="11"/>
        <v>1.8674947137495219</v>
      </c>
    </row>
    <row r="203" spans="10:13">
      <c r="J203" s="3">
        <v>9.6</v>
      </c>
      <c r="K203" s="10">
        <f t="shared" ref="K203:K266" si="13">(B$6^J203)*(B$7^((B$5^70)*((B$5^J203)-1)))</f>
        <v>0.46429878850349626</v>
      </c>
      <c r="L203" s="3">
        <f t="shared" si="12"/>
        <v>2</v>
      </c>
      <c r="M203" s="5">
        <f t="shared" si="11"/>
        <v>0.92859757700699253</v>
      </c>
    </row>
    <row r="204" spans="10:13">
      <c r="J204" s="3">
        <v>9.65</v>
      </c>
      <c r="K204" s="10">
        <f t="shared" si="13"/>
        <v>0.4617288573232925</v>
      </c>
      <c r="L204" s="3">
        <f t="shared" si="12"/>
        <v>4</v>
      </c>
      <c r="M204" s="5">
        <f t="shared" ref="M204:M267" si="14">K204*L204</f>
        <v>1.84691542929317</v>
      </c>
    </row>
    <row r="205" spans="10:13">
      <c r="J205" s="3">
        <v>9.6999999999999993</v>
      </c>
      <c r="K205" s="10">
        <f t="shared" si="13"/>
        <v>0.45916392675081596</v>
      </c>
      <c r="L205" s="3">
        <f t="shared" si="12"/>
        <v>2</v>
      </c>
      <c r="M205" s="5">
        <f t="shared" si="14"/>
        <v>0.91832785350163193</v>
      </c>
    </row>
    <row r="206" spans="10:13">
      <c r="J206" s="3">
        <v>9.75</v>
      </c>
      <c r="K206" s="10">
        <f t="shared" si="13"/>
        <v>0.45660403854450038</v>
      </c>
      <c r="L206" s="3">
        <f t="shared" ref="L206:L269" si="15">IF(L205=4,2,4)</f>
        <v>4</v>
      </c>
      <c r="M206" s="5">
        <f t="shared" si="14"/>
        <v>1.8264161541780015</v>
      </c>
    </row>
    <row r="207" spans="10:13">
      <c r="J207" s="3">
        <v>9.8000000000000007</v>
      </c>
      <c r="K207" s="10">
        <f t="shared" si="13"/>
        <v>0.45404923436441613</v>
      </c>
      <c r="L207" s="3">
        <f t="shared" si="15"/>
        <v>2</v>
      </c>
      <c r="M207" s="5">
        <f t="shared" si="14"/>
        <v>0.90809846872883226</v>
      </c>
    </row>
    <row r="208" spans="10:13">
      <c r="J208" s="3">
        <v>9.85</v>
      </c>
      <c r="K208" s="10">
        <f t="shared" si="13"/>
        <v>0.4514995557695089</v>
      </c>
      <c r="L208" s="3">
        <f t="shared" si="15"/>
        <v>4</v>
      </c>
      <c r="M208" s="5">
        <f t="shared" si="14"/>
        <v>1.8059982230780356</v>
      </c>
    </row>
    <row r="209" spans="10:13">
      <c r="J209" s="3">
        <v>9.9</v>
      </c>
      <c r="K209" s="10">
        <f t="shared" si="13"/>
        <v>0.44895504421483218</v>
      </c>
      <c r="L209" s="3">
        <f t="shared" si="15"/>
        <v>2</v>
      </c>
      <c r="M209" s="5">
        <f t="shared" si="14"/>
        <v>0.89791008842966435</v>
      </c>
    </row>
    <row r="210" spans="10:13">
      <c r="J210" s="3">
        <v>9.9499999999999993</v>
      </c>
      <c r="K210" s="10">
        <f t="shared" si="13"/>
        <v>0.4464157410487738</v>
      </c>
      <c r="L210" s="3">
        <f t="shared" si="15"/>
        <v>4</v>
      </c>
      <c r="M210" s="5">
        <f t="shared" si="14"/>
        <v>1.7856629641950952</v>
      </c>
    </row>
    <row r="211" spans="10:13">
      <c r="J211" s="3">
        <v>10</v>
      </c>
      <c r="K211" s="10">
        <f t="shared" si="13"/>
        <v>0.4438816875102724</v>
      </c>
      <c r="L211" s="3">
        <f t="shared" si="15"/>
        <v>2</v>
      </c>
      <c r="M211" s="5">
        <f t="shared" si="14"/>
        <v>0.88776337502054481</v>
      </c>
    </row>
    <row r="212" spans="10:13">
      <c r="J212" s="3">
        <v>10.050000000000001</v>
      </c>
      <c r="K212" s="10">
        <f t="shared" si="13"/>
        <v>0.44135292472603022</v>
      </c>
      <c r="L212" s="3">
        <f t="shared" si="15"/>
        <v>4</v>
      </c>
      <c r="M212" s="5">
        <f t="shared" si="14"/>
        <v>1.7654116989041209</v>
      </c>
    </row>
    <row r="213" spans="10:13">
      <c r="J213" s="3">
        <v>10.1</v>
      </c>
      <c r="K213" s="10">
        <f t="shared" si="13"/>
        <v>0.43882949370771746</v>
      </c>
      <c r="L213" s="3">
        <f t="shared" si="15"/>
        <v>2</v>
      </c>
      <c r="M213" s="5">
        <f t="shared" si="14"/>
        <v>0.87765898741543491</v>
      </c>
    </row>
    <row r="214" spans="10:13">
      <c r="J214" s="3">
        <v>10.15</v>
      </c>
      <c r="K214" s="10">
        <f t="shared" si="13"/>
        <v>0.43631143534917038</v>
      </c>
      <c r="L214" s="3">
        <f t="shared" si="15"/>
        <v>4</v>
      </c>
      <c r="M214" s="5">
        <f t="shared" si="14"/>
        <v>1.7452457413966815</v>
      </c>
    </row>
    <row r="215" spans="10:13">
      <c r="J215" s="3">
        <v>10.199999999999999</v>
      </c>
      <c r="K215" s="10">
        <f t="shared" si="13"/>
        <v>0.43379879042358477</v>
      </c>
      <c r="L215" s="3">
        <f t="shared" si="15"/>
        <v>2</v>
      </c>
      <c r="M215" s="5">
        <f t="shared" si="14"/>
        <v>0.86759758084716954</v>
      </c>
    </row>
    <row r="216" spans="10:13">
      <c r="J216" s="3">
        <v>10.25</v>
      </c>
      <c r="K216" s="10">
        <f t="shared" si="13"/>
        <v>0.43129159958070218</v>
      </c>
      <c r="L216" s="3">
        <f t="shared" si="15"/>
        <v>4</v>
      </c>
      <c r="M216" s="5">
        <f t="shared" si="14"/>
        <v>1.7251663983228087</v>
      </c>
    </row>
    <row r="217" spans="10:13">
      <c r="J217" s="3">
        <v>10.3</v>
      </c>
      <c r="K217" s="10">
        <f t="shared" si="13"/>
        <v>0.42878990334399136</v>
      </c>
      <c r="L217" s="3">
        <f t="shared" si="15"/>
        <v>2</v>
      </c>
      <c r="M217" s="5">
        <f t="shared" si="14"/>
        <v>0.85757980668798273</v>
      </c>
    </row>
    <row r="218" spans="10:13">
      <c r="J218" s="3">
        <v>10.35</v>
      </c>
      <c r="K218" s="10">
        <f t="shared" si="13"/>
        <v>0.42629374210782478</v>
      </c>
      <c r="L218" s="3">
        <f t="shared" si="15"/>
        <v>4</v>
      </c>
      <c r="M218" s="5">
        <f t="shared" si="14"/>
        <v>1.7051749684312991</v>
      </c>
    </row>
    <row r="219" spans="10:13">
      <c r="J219" s="3">
        <v>10.4</v>
      </c>
      <c r="K219" s="10">
        <f t="shared" si="13"/>
        <v>0.42380315613464908</v>
      </c>
      <c r="L219" s="3">
        <f t="shared" si="15"/>
        <v>2</v>
      </c>
      <c r="M219" s="5">
        <f t="shared" si="14"/>
        <v>0.84760631226929817</v>
      </c>
    </row>
    <row r="220" spans="10:13">
      <c r="J220" s="3">
        <v>10.45</v>
      </c>
      <c r="K220" s="10">
        <f t="shared" si="13"/>
        <v>0.42131818555215278</v>
      </c>
      <c r="L220" s="3">
        <f t="shared" si="15"/>
        <v>4</v>
      </c>
      <c r="M220" s="5">
        <f t="shared" si="14"/>
        <v>1.6852727422086111</v>
      </c>
    </row>
    <row r="221" spans="10:13">
      <c r="J221" s="3">
        <v>10.5</v>
      </c>
      <c r="K221" s="10">
        <f t="shared" si="13"/>
        <v>0.41883887035042661</v>
      </c>
      <c r="L221" s="3">
        <f t="shared" si="15"/>
        <v>2</v>
      </c>
      <c r="M221" s="5">
        <f t="shared" si="14"/>
        <v>0.83767774070085321</v>
      </c>
    </row>
    <row r="222" spans="10:13">
      <c r="J222" s="3">
        <v>10.55</v>
      </c>
      <c r="K222" s="10">
        <f t="shared" si="13"/>
        <v>0.4163652503791237</v>
      </c>
      <c r="L222" s="3">
        <f t="shared" si="15"/>
        <v>4</v>
      </c>
      <c r="M222" s="5">
        <f t="shared" si="14"/>
        <v>1.6654610015164948</v>
      </c>
    </row>
    <row r="223" spans="10:13">
      <c r="J223" s="3">
        <v>10.6</v>
      </c>
      <c r="K223" s="10">
        <f t="shared" si="13"/>
        <v>0.4138973653446123</v>
      </c>
      <c r="L223" s="3">
        <f t="shared" si="15"/>
        <v>2</v>
      </c>
      <c r="M223" s="5">
        <f t="shared" si="14"/>
        <v>0.8277947306892246</v>
      </c>
    </row>
    <row r="224" spans="10:13">
      <c r="J224" s="3">
        <v>10.65</v>
      </c>
      <c r="K224" s="10">
        <f t="shared" si="13"/>
        <v>0.41143525480712695</v>
      </c>
      <c r="L224" s="3">
        <f t="shared" si="15"/>
        <v>4</v>
      </c>
      <c r="M224" s="5">
        <f t="shared" si="14"/>
        <v>1.6457410192285078</v>
      </c>
    </row>
    <row r="225" spans="10:13">
      <c r="J225" s="3">
        <v>10.7</v>
      </c>
      <c r="K225" s="10">
        <f t="shared" si="13"/>
        <v>0.40897895817791657</v>
      </c>
      <c r="L225" s="3">
        <f t="shared" si="15"/>
        <v>2</v>
      </c>
      <c r="M225" s="5">
        <f t="shared" si="14"/>
        <v>0.81795791635583315</v>
      </c>
    </row>
    <row r="226" spans="10:13">
      <c r="J226" s="3">
        <v>10.75</v>
      </c>
      <c r="K226" s="10">
        <f t="shared" si="13"/>
        <v>0.40652851471638818</v>
      </c>
      <c r="L226" s="3">
        <f t="shared" si="15"/>
        <v>4</v>
      </c>
      <c r="M226" s="5">
        <f t="shared" si="14"/>
        <v>1.6261140588655527</v>
      </c>
    </row>
    <row r="227" spans="10:13">
      <c r="J227" s="3">
        <v>10.8</v>
      </c>
      <c r="K227" s="10">
        <f t="shared" si="13"/>
        <v>0.40408396352724935</v>
      </c>
      <c r="L227" s="3">
        <f t="shared" si="15"/>
        <v>2</v>
      </c>
      <c r="M227" s="5">
        <f t="shared" si="14"/>
        <v>0.80816792705449869</v>
      </c>
    </row>
    <row r="228" spans="10:13">
      <c r="J228" s="3">
        <v>10.85</v>
      </c>
      <c r="K228" s="10">
        <f t="shared" si="13"/>
        <v>0.40164534355764764</v>
      </c>
      <c r="L228" s="3">
        <f t="shared" si="15"/>
        <v>4</v>
      </c>
      <c r="M228" s="5">
        <f t="shared" si="14"/>
        <v>1.6065813742305906</v>
      </c>
    </row>
    <row r="229" spans="10:13">
      <c r="J229" s="3">
        <v>10.9</v>
      </c>
      <c r="K229" s="10">
        <f t="shared" si="13"/>
        <v>0.39921269359430839</v>
      </c>
      <c r="L229" s="3">
        <f t="shared" si="15"/>
        <v>2</v>
      </c>
      <c r="M229" s="5">
        <f t="shared" si="14"/>
        <v>0.79842538718861678</v>
      </c>
    </row>
    <row r="230" spans="10:13">
      <c r="J230" s="3">
        <v>10.95</v>
      </c>
      <c r="K230" s="10">
        <f t="shared" si="13"/>
        <v>0.39678605226067049</v>
      </c>
      <c r="L230" s="3">
        <f t="shared" si="15"/>
        <v>4</v>
      </c>
      <c r="M230" s="5">
        <f t="shared" si="14"/>
        <v>1.5871442090426819</v>
      </c>
    </row>
    <row r="231" spans="10:13">
      <c r="J231" s="3">
        <v>11</v>
      </c>
      <c r="K231" s="10">
        <f t="shared" si="13"/>
        <v>0.39436545801402112</v>
      </c>
      <c r="L231" s="3">
        <f t="shared" si="15"/>
        <v>2</v>
      </c>
      <c r="M231" s="5">
        <f t="shared" si="14"/>
        <v>0.78873091602804224</v>
      </c>
    </row>
    <row r="232" spans="10:13">
      <c r="J232" s="3">
        <v>11.05</v>
      </c>
      <c r="K232" s="10">
        <f t="shared" si="13"/>
        <v>0.39195094914262951</v>
      </c>
      <c r="L232" s="3">
        <f t="shared" si="15"/>
        <v>4</v>
      </c>
      <c r="M232" s="5">
        <f t="shared" si="14"/>
        <v>1.567803796570518</v>
      </c>
    </row>
    <row r="233" spans="10:13">
      <c r="J233" s="3">
        <v>11.1</v>
      </c>
      <c r="K233" s="10">
        <f t="shared" si="13"/>
        <v>0.38954256376287782</v>
      </c>
      <c r="L233" s="3">
        <f t="shared" si="15"/>
        <v>2</v>
      </c>
      <c r="M233" s="5">
        <f t="shared" si="14"/>
        <v>0.77908512752575565</v>
      </c>
    </row>
    <row r="234" spans="10:13">
      <c r="J234" s="3">
        <v>11.15</v>
      </c>
      <c r="K234" s="10">
        <f t="shared" si="13"/>
        <v>0.38714033981639595</v>
      </c>
      <c r="L234" s="3">
        <f t="shared" si="15"/>
        <v>4</v>
      </c>
      <c r="M234" s="5">
        <f t="shared" si="14"/>
        <v>1.5485613592655838</v>
      </c>
    </row>
    <row r="235" spans="10:13">
      <c r="J235" s="3">
        <v>11.2</v>
      </c>
      <c r="K235" s="10">
        <f t="shared" si="13"/>
        <v>0.38474431506719192</v>
      </c>
      <c r="L235" s="3">
        <f t="shared" si="15"/>
        <v>2</v>
      </c>
      <c r="M235" s="5">
        <f t="shared" si="14"/>
        <v>0.76948863013438384</v>
      </c>
    </row>
    <row r="236" spans="10:13">
      <c r="J236" s="3">
        <v>11.25</v>
      </c>
      <c r="K236" s="10">
        <f t="shared" si="13"/>
        <v>0.3823545270987847</v>
      </c>
      <c r="L236" s="3">
        <f t="shared" si="15"/>
        <v>4</v>
      </c>
      <c r="M236" s="5">
        <f t="shared" si="14"/>
        <v>1.5294181083951388</v>
      </c>
    </row>
    <row r="237" spans="10:13">
      <c r="J237" s="3">
        <v>11.3</v>
      </c>
      <c r="K237" s="10">
        <f t="shared" si="13"/>
        <v>0.37997101331133726</v>
      </c>
      <c r="L237" s="3">
        <f t="shared" si="15"/>
        <v>2</v>
      </c>
      <c r="M237" s="5">
        <f t="shared" si="14"/>
        <v>0.75994202662267452</v>
      </c>
    </row>
    <row r="238" spans="10:13">
      <c r="J238" s="3">
        <v>11.35</v>
      </c>
      <c r="K238" s="10">
        <f t="shared" si="13"/>
        <v>0.37759381091878996</v>
      </c>
      <c r="L238" s="3">
        <f t="shared" si="15"/>
        <v>4</v>
      </c>
      <c r="M238" s="5">
        <f t="shared" si="14"/>
        <v>1.5103752436751599</v>
      </c>
    </row>
    <row r="239" spans="10:13">
      <c r="J239" s="3">
        <v>11.4</v>
      </c>
      <c r="K239" s="10">
        <f t="shared" si="13"/>
        <v>0.37522295694599567</v>
      </c>
      <c r="L239" s="3">
        <f t="shared" si="15"/>
        <v>2</v>
      </c>
      <c r="M239" s="5">
        <f t="shared" si="14"/>
        <v>0.75044591389199133</v>
      </c>
    </row>
    <row r="240" spans="10:13">
      <c r="J240" s="3">
        <v>11.45</v>
      </c>
      <c r="K240" s="10">
        <f t="shared" si="13"/>
        <v>0.37285848822585654</v>
      </c>
      <c r="L240" s="3">
        <f t="shared" si="15"/>
        <v>4</v>
      </c>
      <c r="M240" s="5">
        <f t="shared" si="14"/>
        <v>1.4914339529034262</v>
      </c>
    </row>
    <row r="241" spans="10:13">
      <c r="J241" s="3">
        <v>11.5</v>
      </c>
      <c r="K241" s="10">
        <f t="shared" si="13"/>
        <v>0.37050044139646204</v>
      </c>
      <c r="L241" s="3">
        <f t="shared" si="15"/>
        <v>2</v>
      </c>
      <c r="M241" s="5">
        <f t="shared" si="14"/>
        <v>0.74100088279292409</v>
      </c>
    </row>
    <row r="242" spans="10:13">
      <c r="J242" s="3">
        <v>11.55</v>
      </c>
      <c r="K242" s="10">
        <f t="shared" si="13"/>
        <v>0.36814885289822941</v>
      </c>
      <c r="L242" s="3">
        <f t="shared" si="15"/>
        <v>4</v>
      </c>
      <c r="M242" s="5">
        <f t="shared" si="14"/>
        <v>1.4725954115929176</v>
      </c>
    </row>
    <row r="243" spans="10:13">
      <c r="J243" s="3">
        <v>11.6</v>
      </c>
      <c r="K243" s="10">
        <f t="shared" si="13"/>
        <v>0.365803758971048</v>
      </c>
      <c r="L243" s="3">
        <f t="shared" si="15"/>
        <v>2</v>
      </c>
      <c r="M243" s="5">
        <f t="shared" si="14"/>
        <v>0.731607517942096</v>
      </c>
    </row>
    <row r="244" spans="10:13">
      <c r="J244" s="3">
        <v>11.65</v>
      </c>
      <c r="K244" s="10">
        <f t="shared" si="13"/>
        <v>0.3634651956514236</v>
      </c>
      <c r="L244" s="3">
        <f t="shared" si="15"/>
        <v>4</v>
      </c>
      <c r="M244" s="5">
        <f t="shared" si="14"/>
        <v>1.4538607826056944</v>
      </c>
    </row>
    <row r="245" spans="10:13">
      <c r="J245" s="3">
        <v>11.7</v>
      </c>
      <c r="K245" s="10">
        <f t="shared" si="13"/>
        <v>0.36113319876962979</v>
      </c>
      <c r="L245" s="3">
        <f t="shared" si="15"/>
        <v>2</v>
      </c>
      <c r="M245" s="5">
        <f t="shared" si="14"/>
        <v>0.72226639753925959</v>
      </c>
    </row>
    <row r="246" spans="10:13">
      <c r="J246" s="3">
        <v>11.75</v>
      </c>
      <c r="K246" s="10">
        <f t="shared" si="13"/>
        <v>0.35880780394685952</v>
      </c>
      <c r="L246" s="3">
        <f t="shared" si="15"/>
        <v>4</v>
      </c>
      <c r="M246" s="5">
        <f t="shared" si="14"/>
        <v>1.4352312157874381</v>
      </c>
    </row>
    <row r="247" spans="10:13">
      <c r="J247" s="3">
        <v>11.8</v>
      </c>
      <c r="K247" s="10">
        <f t="shared" si="13"/>
        <v>0.35648904659238312</v>
      </c>
      <c r="L247" s="3">
        <f t="shared" si="15"/>
        <v>2</v>
      </c>
      <c r="M247" s="5">
        <f t="shared" si="14"/>
        <v>0.71297809318476624</v>
      </c>
    </row>
    <row r="248" spans="10:13">
      <c r="J248" s="3">
        <v>11.85</v>
      </c>
      <c r="K248" s="10">
        <f t="shared" si="13"/>
        <v>0.3541769619007093</v>
      </c>
      <c r="L248" s="3">
        <f t="shared" si="15"/>
        <v>4</v>
      </c>
      <c r="M248" s="5">
        <f t="shared" si="14"/>
        <v>1.4167078476028372</v>
      </c>
    </row>
    <row r="249" spans="10:13">
      <c r="J249" s="3">
        <v>11.9</v>
      </c>
      <c r="K249" s="10">
        <f t="shared" si="13"/>
        <v>0.35187158484875147</v>
      </c>
      <c r="L249" s="3">
        <f t="shared" si="15"/>
        <v>2</v>
      </c>
      <c r="M249" s="5">
        <f t="shared" si="14"/>
        <v>0.70374316969750295</v>
      </c>
    </row>
    <row r="250" spans="10:13">
      <c r="J250" s="3">
        <v>11.95</v>
      </c>
      <c r="K250" s="10">
        <f t="shared" si="13"/>
        <v>0.34957295019299928</v>
      </c>
      <c r="L250" s="3">
        <f t="shared" si="15"/>
        <v>4</v>
      </c>
      <c r="M250" s="5">
        <f t="shared" si="14"/>
        <v>1.3982918007719971</v>
      </c>
    </row>
    <row r="251" spans="10:13">
      <c r="J251" s="3">
        <v>12</v>
      </c>
      <c r="K251" s="10">
        <f t="shared" si="13"/>
        <v>0.34728109246669409</v>
      </c>
      <c r="L251" s="3">
        <f t="shared" si="15"/>
        <v>2</v>
      </c>
      <c r="M251" s="5">
        <f t="shared" si="14"/>
        <v>0.69456218493338817</v>
      </c>
    </row>
    <row r="252" spans="10:13">
      <c r="J252" s="3">
        <v>12.05</v>
      </c>
      <c r="K252" s="10">
        <f t="shared" si="13"/>
        <v>0.34499604597701367</v>
      </c>
      <c r="L252" s="3">
        <f t="shared" si="15"/>
        <v>4</v>
      </c>
      <c r="M252" s="5">
        <f t="shared" si="14"/>
        <v>1.3799841839080547</v>
      </c>
    </row>
    <row r="253" spans="10:13">
      <c r="J253" s="3">
        <v>12.1</v>
      </c>
      <c r="K253" s="10">
        <f t="shared" si="13"/>
        <v>0.34271784480225909</v>
      </c>
      <c r="L253" s="3">
        <f t="shared" si="15"/>
        <v>2</v>
      </c>
      <c r="M253" s="5">
        <f t="shared" si="14"/>
        <v>0.68543568960451817</v>
      </c>
    </row>
    <row r="254" spans="10:13">
      <c r="J254" s="3">
        <v>12.15</v>
      </c>
      <c r="K254" s="10">
        <f t="shared" si="13"/>
        <v>0.3404465227890503</v>
      </c>
      <c r="L254" s="3">
        <f t="shared" si="15"/>
        <v>4</v>
      </c>
      <c r="M254" s="5">
        <f t="shared" si="14"/>
        <v>1.3617860911562012</v>
      </c>
    </row>
    <row r="255" spans="10:13">
      <c r="J255" s="3">
        <v>12.2</v>
      </c>
      <c r="K255" s="10">
        <f t="shared" si="13"/>
        <v>0.33818211354952943</v>
      </c>
      <c r="L255" s="3">
        <f t="shared" si="15"/>
        <v>2</v>
      </c>
      <c r="M255" s="5">
        <f t="shared" si="14"/>
        <v>0.67636422709905886</v>
      </c>
    </row>
    <row r="256" spans="10:13">
      <c r="J256" s="3">
        <v>12.25</v>
      </c>
      <c r="K256" s="10">
        <f t="shared" si="13"/>
        <v>0.33592465045856912</v>
      </c>
      <c r="L256" s="3">
        <f t="shared" si="15"/>
        <v>4</v>
      </c>
      <c r="M256" s="5">
        <f t="shared" si="14"/>
        <v>1.3436986018342765</v>
      </c>
    </row>
    <row r="257" spans="10:13">
      <c r="J257" s="3">
        <v>12.3</v>
      </c>
      <c r="K257" s="10">
        <f t="shared" si="13"/>
        <v>0.33367416665099064</v>
      </c>
      <c r="L257" s="3">
        <f t="shared" si="15"/>
        <v>2</v>
      </c>
      <c r="M257" s="5">
        <f t="shared" si="14"/>
        <v>0.66734833330198129</v>
      </c>
    </row>
    <row r="258" spans="10:13">
      <c r="J258" s="3">
        <v>12.35</v>
      </c>
      <c r="K258" s="10">
        <f t="shared" si="13"/>
        <v>0.33143069501878969</v>
      </c>
      <c r="L258" s="3">
        <f t="shared" si="15"/>
        <v>4</v>
      </c>
      <c r="M258" s="5">
        <f t="shared" si="14"/>
        <v>1.3257227800751588</v>
      </c>
    </row>
    <row r="259" spans="10:13">
      <c r="J259" s="3">
        <v>12.4</v>
      </c>
      <c r="K259" s="10">
        <f t="shared" si="13"/>
        <v>0.32919426820836822</v>
      </c>
      <c r="L259" s="3">
        <f t="shared" si="15"/>
        <v>2</v>
      </c>
      <c r="M259" s="5">
        <f t="shared" si="14"/>
        <v>0.65838853641673645</v>
      </c>
    </row>
    <row r="260" spans="10:13">
      <c r="J260" s="3">
        <v>12.45</v>
      </c>
      <c r="K260" s="10">
        <f t="shared" si="13"/>
        <v>0.32696491861778026</v>
      </c>
      <c r="L260" s="3">
        <f t="shared" si="15"/>
        <v>4</v>
      </c>
      <c r="M260" s="5">
        <f t="shared" si="14"/>
        <v>1.3078596744711211</v>
      </c>
    </row>
    <row r="261" spans="10:13">
      <c r="J261" s="3">
        <v>12.5</v>
      </c>
      <c r="K261" s="10">
        <f t="shared" si="13"/>
        <v>0.3247426783939813</v>
      </c>
      <c r="L261" s="3">
        <f t="shared" si="15"/>
        <v>2</v>
      </c>
      <c r="M261" s="5">
        <f t="shared" si="14"/>
        <v>0.6494853567879626</v>
      </c>
    </row>
    <row r="262" spans="10:13">
      <c r="J262" s="3">
        <v>12.55</v>
      </c>
      <c r="K262" s="10">
        <f t="shared" si="13"/>
        <v>0.32252757943009119</v>
      </c>
      <c r="L262" s="3">
        <f t="shared" si="15"/>
        <v>4</v>
      </c>
      <c r="M262" s="5">
        <f t="shared" si="14"/>
        <v>1.2901103177203648</v>
      </c>
    </row>
    <row r="263" spans="10:13">
      <c r="J263" s="3">
        <v>12.6</v>
      </c>
      <c r="K263" s="10">
        <f t="shared" si="13"/>
        <v>0.32031965336266616</v>
      </c>
      <c r="L263" s="3">
        <f t="shared" si="15"/>
        <v>2</v>
      </c>
      <c r="M263" s="5">
        <f t="shared" si="14"/>
        <v>0.64063930672533231</v>
      </c>
    </row>
    <row r="264" spans="10:13">
      <c r="J264" s="3">
        <v>12.65</v>
      </c>
      <c r="K264" s="10">
        <f t="shared" si="13"/>
        <v>0.31811893156897986</v>
      </c>
      <c r="L264" s="3">
        <f t="shared" si="15"/>
        <v>4</v>
      </c>
      <c r="M264" s="5">
        <f t="shared" si="14"/>
        <v>1.2724757262759194</v>
      </c>
    </row>
    <row r="265" spans="10:13">
      <c r="J265" s="3">
        <v>12.7</v>
      </c>
      <c r="K265" s="10">
        <f t="shared" si="13"/>
        <v>0.31592544516431781</v>
      </c>
      <c r="L265" s="3">
        <f t="shared" si="15"/>
        <v>2</v>
      </c>
      <c r="M265" s="5">
        <f t="shared" si="14"/>
        <v>0.63185089032863562</v>
      </c>
    </row>
    <row r="266" spans="10:13">
      <c r="J266" s="3">
        <v>12.75</v>
      </c>
      <c r="K266" s="10">
        <f t="shared" si="13"/>
        <v>0.31373922499927981</v>
      </c>
      <c r="L266" s="3">
        <f t="shared" si="15"/>
        <v>4</v>
      </c>
      <c r="M266" s="5">
        <f t="shared" si="14"/>
        <v>1.2549568999971192</v>
      </c>
    </row>
    <row r="267" spans="10:13">
      <c r="J267" s="3">
        <v>12.8</v>
      </c>
      <c r="K267" s="10">
        <f t="shared" ref="K267:K330" si="16">(B$6^J267)*(B$7^((B$5^70)*((B$5^J267)-1)))</f>
        <v>0.31156030165709808</v>
      </c>
      <c r="L267" s="3">
        <f t="shared" si="15"/>
        <v>2</v>
      </c>
      <c r="M267" s="5">
        <f t="shared" si="14"/>
        <v>0.62312060331419616</v>
      </c>
    </row>
    <row r="268" spans="10:13">
      <c r="J268" s="3">
        <v>12.85</v>
      </c>
      <c r="K268" s="10">
        <f t="shared" si="16"/>
        <v>0.30938870545096336</v>
      </c>
      <c r="L268" s="3">
        <f t="shared" si="15"/>
        <v>4</v>
      </c>
      <c r="M268" s="5">
        <f t="shared" ref="M268:M331" si="17">K268*L268</f>
        <v>1.2375548218038535</v>
      </c>
    </row>
    <row r="269" spans="10:13">
      <c r="J269" s="3">
        <v>12.9</v>
      </c>
      <c r="K269" s="10">
        <f t="shared" si="16"/>
        <v>0.30722446642136619</v>
      </c>
      <c r="L269" s="3">
        <f t="shared" si="15"/>
        <v>2</v>
      </c>
      <c r="M269" s="5">
        <f t="shared" si="17"/>
        <v>0.61444893284273239</v>
      </c>
    </row>
    <row r="270" spans="10:13">
      <c r="J270" s="3">
        <v>12.95</v>
      </c>
      <c r="K270" s="10">
        <f t="shared" si="16"/>
        <v>0.30506761433344992</v>
      </c>
      <c r="L270" s="3">
        <f t="shared" ref="L270:L333" si="18">IF(L269=4,2,4)</f>
        <v>4</v>
      </c>
      <c r="M270" s="5">
        <f t="shared" si="17"/>
        <v>1.2202704573337997</v>
      </c>
    </row>
    <row r="271" spans="10:13">
      <c r="J271" s="3">
        <v>13</v>
      </c>
      <c r="K271" s="10">
        <f t="shared" si="16"/>
        <v>0.30291817867437698</v>
      </c>
      <c r="L271" s="3">
        <f t="shared" si="18"/>
        <v>2</v>
      </c>
      <c r="M271" s="5">
        <f t="shared" si="17"/>
        <v>0.60583635734875396</v>
      </c>
    </row>
    <row r="272" spans="10:13">
      <c r="J272" s="3">
        <v>13.05</v>
      </c>
      <c r="K272" s="10">
        <f t="shared" si="16"/>
        <v>0.30077618865071004</v>
      </c>
      <c r="L272" s="3">
        <f t="shared" si="18"/>
        <v>4</v>
      </c>
      <c r="M272" s="5">
        <f t="shared" si="17"/>
        <v>1.2031047546028402</v>
      </c>
    </row>
    <row r="273" spans="10:13">
      <c r="J273" s="3">
        <v>13.1</v>
      </c>
      <c r="K273" s="10">
        <f t="shared" si="16"/>
        <v>0.29864167318580465</v>
      </c>
      <c r="L273" s="3">
        <f t="shared" si="18"/>
        <v>2</v>
      </c>
      <c r="M273" s="5">
        <f t="shared" si="17"/>
        <v>0.59728334637160929</v>
      </c>
    </row>
    <row r="274" spans="10:13">
      <c r="J274" s="3">
        <v>13.15</v>
      </c>
      <c r="K274" s="10">
        <f t="shared" si="16"/>
        <v>0.29651466091721945</v>
      </c>
      <c r="L274" s="3">
        <f t="shared" si="18"/>
        <v>4</v>
      </c>
      <c r="M274" s="5">
        <f t="shared" si="17"/>
        <v>1.1860586436688778</v>
      </c>
    </row>
    <row r="275" spans="10:13">
      <c r="J275" s="3">
        <v>13.2</v>
      </c>
      <c r="K275" s="10">
        <f t="shared" si="16"/>
        <v>0.29439518019413902</v>
      </c>
      <c r="L275" s="3">
        <f t="shared" si="18"/>
        <v>2</v>
      </c>
      <c r="M275" s="5">
        <f t="shared" si="17"/>
        <v>0.58879036038827803</v>
      </c>
    </row>
    <row r="276" spans="10:13">
      <c r="J276" s="3">
        <v>13.25</v>
      </c>
      <c r="K276" s="10">
        <f t="shared" si="16"/>
        <v>0.29228325907481328</v>
      </c>
      <c r="L276" s="3">
        <f t="shared" si="18"/>
        <v>4</v>
      </c>
      <c r="M276" s="5">
        <f t="shared" si="17"/>
        <v>1.1691330362992531</v>
      </c>
    </row>
    <row r="277" spans="10:13">
      <c r="J277" s="3">
        <v>13.3</v>
      </c>
      <c r="K277" s="10">
        <f t="shared" si="16"/>
        <v>0.29017892532401146</v>
      </c>
      <c r="L277" s="3">
        <f t="shared" si="18"/>
        <v>2</v>
      </c>
      <c r="M277" s="5">
        <f t="shared" si="17"/>
        <v>0.58035785064802292</v>
      </c>
    </row>
    <row r="278" spans="10:13">
      <c r="J278" s="3">
        <v>13.35</v>
      </c>
      <c r="K278" s="10">
        <f t="shared" si="16"/>
        <v>0.28808220641049442</v>
      </c>
      <c r="L278" s="3">
        <f t="shared" si="18"/>
        <v>4</v>
      </c>
      <c r="M278" s="5">
        <f t="shared" si="17"/>
        <v>1.1523288256419777</v>
      </c>
    </row>
    <row r="279" spans="10:13">
      <c r="J279" s="3">
        <v>13.4</v>
      </c>
      <c r="K279" s="10">
        <f t="shared" si="16"/>
        <v>0.28599312950449973</v>
      </c>
      <c r="L279" s="3">
        <f t="shared" si="18"/>
        <v>2</v>
      </c>
      <c r="M279" s="5">
        <f t="shared" si="17"/>
        <v>0.57198625900899946</v>
      </c>
    </row>
    <row r="280" spans="10:13">
      <c r="J280" s="3">
        <v>13.45</v>
      </c>
      <c r="K280" s="10">
        <f t="shared" si="16"/>
        <v>0.28391172147524857</v>
      </c>
      <c r="L280" s="3">
        <f t="shared" si="18"/>
        <v>4</v>
      </c>
      <c r="M280" s="5">
        <f t="shared" si="17"/>
        <v>1.1356468859009943</v>
      </c>
    </row>
    <row r="281" spans="10:13">
      <c r="J281" s="3">
        <v>13.5</v>
      </c>
      <c r="K281" s="10">
        <f t="shared" si="16"/>
        <v>0.28183800888846539</v>
      </c>
      <c r="L281" s="3">
        <f t="shared" si="18"/>
        <v>2</v>
      </c>
      <c r="M281" s="5">
        <f t="shared" si="17"/>
        <v>0.56367601777693077</v>
      </c>
    </row>
    <row r="282" spans="10:13">
      <c r="J282" s="3">
        <v>13.55</v>
      </c>
      <c r="K282" s="10">
        <f t="shared" si="16"/>
        <v>0.27977201800391904</v>
      </c>
      <c r="L282" s="3">
        <f t="shared" si="18"/>
        <v>4</v>
      </c>
      <c r="M282" s="5">
        <f t="shared" si="17"/>
        <v>1.1190880720156762</v>
      </c>
    </row>
    <row r="283" spans="10:13">
      <c r="J283" s="3">
        <v>13.6</v>
      </c>
      <c r="K283" s="10">
        <f t="shared" si="16"/>
        <v>0.2777137747729797</v>
      </c>
      <c r="L283" s="3">
        <f t="shared" si="18"/>
        <v>2</v>
      </c>
      <c r="M283" s="5">
        <f t="shared" si="17"/>
        <v>0.55542754954595941</v>
      </c>
    </row>
    <row r="284" spans="10:13">
      <c r="J284" s="3">
        <v>13.65</v>
      </c>
      <c r="K284" s="10">
        <f t="shared" si="16"/>
        <v>0.27566330483619528</v>
      </c>
      <c r="L284" s="3">
        <f t="shared" si="18"/>
        <v>4</v>
      </c>
      <c r="M284" s="5">
        <f t="shared" si="17"/>
        <v>1.1026532193447811</v>
      </c>
    </row>
    <row r="285" spans="10:13">
      <c r="J285" s="3">
        <v>13.7</v>
      </c>
      <c r="K285" s="10">
        <f t="shared" si="16"/>
        <v>0.27362063352088778</v>
      </c>
      <c r="L285" s="3">
        <f t="shared" si="18"/>
        <v>2</v>
      </c>
      <c r="M285" s="5">
        <f t="shared" si="17"/>
        <v>0.54724126704177556</v>
      </c>
    </row>
    <row r="286" spans="10:13">
      <c r="J286" s="3">
        <v>13.75</v>
      </c>
      <c r="K286" s="10">
        <f t="shared" si="16"/>
        <v>0.27158578583876719</v>
      </c>
      <c r="L286" s="3">
        <f t="shared" si="18"/>
        <v>4</v>
      </c>
      <c r="M286" s="5">
        <f t="shared" si="17"/>
        <v>1.0863431433550688</v>
      </c>
    </row>
    <row r="287" spans="10:13">
      <c r="J287" s="3">
        <v>13.8</v>
      </c>
      <c r="K287" s="10">
        <f t="shared" si="16"/>
        <v>0.26955878648356757</v>
      </c>
      <c r="L287" s="3">
        <f t="shared" si="18"/>
        <v>2</v>
      </c>
      <c r="M287" s="5">
        <f t="shared" si="17"/>
        <v>0.53911757296713514</v>
      </c>
    </row>
    <row r="288" spans="10:13">
      <c r="J288" s="3">
        <v>13.85</v>
      </c>
      <c r="K288" s="10">
        <f t="shared" si="16"/>
        <v>0.26753965982870143</v>
      </c>
      <c r="L288" s="3">
        <f t="shared" si="18"/>
        <v>4</v>
      </c>
      <c r="M288" s="5">
        <f t="shared" si="17"/>
        <v>1.0701586393148057</v>
      </c>
    </row>
    <row r="289" spans="10:13">
      <c r="J289" s="3">
        <v>13.9</v>
      </c>
      <c r="K289" s="10">
        <f t="shared" si="16"/>
        <v>0.26552842992493608</v>
      </c>
      <c r="L289" s="3">
        <f t="shared" si="18"/>
        <v>2</v>
      </c>
      <c r="M289" s="5">
        <f t="shared" si="17"/>
        <v>0.53105685984987216</v>
      </c>
    </row>
    <row r="290" spans="10:13">
      <c r="J290" s="3">
        <v>13.95</v>
      </c>
      <c r="K290" s="10">
        <f t="shared" si="16"/>
        <v>0.26352512049809057</v>
      </c>
      <c r="L290" s="3">
        <f t="shared" si="18"/>
        <v>4</v>
      </c>
      <c r="M290" s="5">
        <f t="shared" si="17"/>
        <v>1.0541004819923623</v>
      </c>
    </row>
    <row r="291" spans="10:13">
      <c r="J291" s="3">
        <v>14</v>
      </c>
      <c r="K291" s="10">
        <f t="shared" si="16"/>
        <v>0.26152975494675507</v>
      </c>
      <c r="L291" s="3">
        <f t="shared" si="18"/>
        <v>2</v>
      </c>
      <c r="M291" s="5">
        <f t="shared" si="17"/>
        <v>0.52305950989351013</v>
      </c>
    </row>
    <row r="292" spans="10:13">
      <c r="J292" s="3">
        <v>14.05</v>
      </c>
      <c r="K292" s="10">
        <f t="shared" si="16"/>
        <v>0.25954235634003175</v>
      </c>
      <c r="L292" s="3">
        <f t="shared" si="18"/>
        <v>4</v>
      </c>
      <c r="M292" s="5">
        <f t="shared" si="17"/>
        <v>1.038169425360127</v>
      </c>
    </row>
    <row r="293" spans="10:13">
      <c r="J293" s="3">
        <v>14.1</v>
      </c>
      <c r="K293" s="10">
        <f t="shared" si="16"/>
        <v>0.25756294741529617</v>
      </c>
      <c r="L293" s="3">
        <f t="shared" si="18"/>
        <v>2</v>
      </c>
      <c r="M293" s="5">
        <f t="shared" si="17"/>
        <v>0.51512589483059235</v>
      </c>
    </row>
    <row r="294" spans="10:13">
      <c r="J294" s="3">
        <v>14.15</v>
      </c>
      <c r="K294" s="10">
        <f t="shared" si="16"/>
        <v>0.25559155057598609</v>
      </c>
      <c r="L294" s="3">
        <f t="shared" si="18"/>
        <v>4</v>
      </c>
      <c r="M294" s="5">
        <f t="shared" si="17"/>
        <v>1.0223662023039444</v>
      </c>
    </row>
    <row r="295" spans="10:13">
      <c r="J295" s="3">
        <v>14.2</v>
      </c>
      <c r="K295" s="10">
        <f t="shared" si="16"/>
        <v>0.25362818788940877</v>
      </c>
      <c r="L295" s="3">
        <f t="shared" si="18"/>
        <v>2</v>
      </c>
      <c r="M295" s="5">
        <f t="shared" si="17"/>
        <v>0.50725637577881755</v>
      </c>
    </row>
    <row r="296" spans="10:13">
      <c r="J296" s="3">
        <v>14.25</v>
      </c>
      <c r="K296" s="10">
        <f t="shared" si="16"/>
        <v>0.25167288108457514</v>
      </c>
      <c r="L296" s="3">
        <f t="shared" si="18"/>
        <v>4</v>
      </c>
      <c r="M296" s="5">
        <f t="shared" si="17"/>
        <v>1.0066915243383006</v>
      </c>
    </row>
    <row r="297" spans="10:13">
      <c r="J297" s="3">
        <v>14.3</v>
      </c>
      <c r="K297" s="10">
        <f t="shared" si="16"/>
        <v>0.24972565155005641</v>
      </c>
      <c r="L297" s="3">
        <f t="shared" si="18"/>
        <v>2</v>
      </c>
      <c r="M297" s="5">
        <f t="shared" si="17"/>
        <v>0.49945130310011282</v>
      </c>
    </row>
    <row r="298" spans="10:13">
      <c r="J298" s="3">
        <v>14.35</v>
      </c>
      <c r="K298" s="10">
        <f t="shared" si="16"/>
        <v>0.24778652033186593</v>
      </c>
      <c r="L298" s="3">
        <f t="shared" si="18"/>
        <v>4</v>
      </c>
      <c r="M298" s="5">
        <f t="shared" si="17"/>
        <v>0.99114608132746373</v>
      </c>
    </row>
    <row r="299" spans="10:13">
      <c r="J299" s="3">
        <v>14.4</v>
      </c>
      <c r="K299" s="10">
        <f t="shared" si="16"/>
        <v>0.24585550813136586</v>
      </c>
      <c r="L299" s="3">
        <f t="shared" si="18"/>
        <v>2</v>
      </c>
      <c r="M299" s="5">
        <f t="shared" si="17"/>
        <v>0.49171101626273173</v>
      </c>
    </row>
    <row r="300" spans="10:13">
      <c r="J300" s="3">
        <v>14.45</v>
      </c>
      <c r="K300" s="10">
        <f t="shared" si="16"/>
        <v>0.24393263530319928</v>
      </c>
      <c r="L300" s="3">
        <f t="shared" si="18"/>
        <v>4</v>
      </c>
      <c r="M300" s="5">
        <f t="shared" si="17"/>
        <v>0.97573054121279712</v>
      </c>
    </row>
    <row r="301" spans="10:13">
      <c r="J301" s="3">
        <v>14.5</v>
      </c>
      <c r="K301" s="10">
        <f t="shared" si="16"/>
        <v>0.242017921853248</v>
      </c>
      <c r="L301" s="3">
        <f t="shared" si="18"/>
        <v>2</v>
      </c>
      <c r="M301" s="5">
        <f t="shared" si="17"/>
        <v>0.48403584370649599</v>
      </c>
    </row>
    <row r="302" spans="10:13">
      <c r="J302" s="3">
        <v>14.55</v>
      </c>
      <c r="K302" s="10">
        <f t="shared" si="16"/>
        <v>0.24011138743661614</v>
      </c>
      <c r="L302" s="3">
        <f t="shared" si="18"/>
        <v>4</v>
      </c>
      <c r="M302" s="5">
        <f t="shared" si="17"/>
        <v>0.96044554974646457</v>
      </c>
    </row>
    <row r="303" spans="10:13">
      <c r="J303" s="3">
        <v>14.6</v>
      </c>
      <c r="K303" s="10">
        <f t="shared" si="16"/>
        <v>0.23821305135564116</v>
      </c>
      <c r="L303" s="3">
        <f t="shared" si="18"/>
        <v>2</v>
      </c>
      <c r="M303" s="5">
        <f t="shared" si="17"/>
        <v>0.47642610271128233</v>
      </c>
    </row>
    <row r="304" spans="10:13">
      <c r="J304" s="3">
        <v>14.65</v>
      </c>
      <c r="K304" s="10">
        <f t="shared" si="16"/>
        <v>0.23632293255793121</v>
      </c>
      <c r="L304" s="3">
        <f t="shared" si="18"/>
        <v>4</v>
      </c>
      <c r="M304" s="5">
        <f t="shared" si="17"/>
        <v>0.94529173023172486</v>
      </c>
    </row>
    <row r="305" spans="10:13">
      <c r="J305" s="3">
        <v>14.7</v>
      </c>
      <c r="K305" s="10">
        <f t="shared" si="16"/>
        <v>0.23444104963443063</v>
      </c>
      <c r="L305" s="3">
        <f t="shared" si="18"/>
        <v>2</v>
      </c>
      <c r="M305" s="5">
        <f t="shared" si="17"/>
        <v>0.46888209926886126</v>
      </c>
    </row>
    <row r="306" spans="10:13">
      <c r="J306" s="3">
        <v>14.75</v>
      </c>
      <c r="K306" s="10">
        <f t="shared" si="16"/>
        <v>0.23256742081751205</v>
      </c>
      <c r="L306" s="3">
        <f t="shared" si="18"/>
        <v>4</v>
      </c>
      <c r="M306" s="5">
        <f t="shared" si="17"/>
        <v>0.93026968327004822</v>
      </c>
    </row>
    <row r="307" spans="10:13">
      <c r="J307" s="3">
        <v>14.8</v>
      </c>
      <c r="K307" s="10">
        <f t="shared" si="16"/>
        <v>0.23070206397909848</v>
      </c>
      <c r="L307" s="3">
        <f t="shared" si="18"/>
        <v>2</v>
      </c>
      <c r="M307" s="5">
        <f t="shared" si="17"/>
        <v>0.46140412795819696</v>
      </c>
    </row>
    <row r="308" spans="10:13">
      <c r="J308" s="3">
        <v>14.85</v>
      </c>
      <c r="K308" s="10">
        <f t="shared" si="16"/>
        <v>0.2288449966288123</v>
      </c>
      <c r="L308" s="3">
        <f t="shared" si="18"/>
        <v>4</v>
      </c>
      <c r="M308" s="5">
        <f t="shared" si="17"/>
        <v>0.91537998651524921</v>
      </c>
    </row>
    <row r="309" spans="10:13">
      <c r="J309" s="3">
        <v>14.9</v>
      </c>
      <c r="K309" s="10">
        <f t="shared" si="16"/>
        <v>0.22699623591215448</v>
      </c>
      <c r="L309" s="3">
        <f t="shared" si="18"/>
        <v>2</v>
      </c>
      <c r="M309" s="5">
        <f t="shared" si="17"/>
        <v>0.45399247182430896</v>
      </c>
    </row>
    <row r="310" spans="10:13">
      <c r="J310" s="3">
        <v>14.95</v>
      </c>
      <c r="K310" s="10">
        <f t="shared" si="16"/>
        <v>0.2251557986087129</v>
      </c>
      <c r="L310" s="3">
        <f t="shared" si="18"/>
        <v>4</v>
      </c>
      <c r="M310" s="5">
        <f t="shared" si="17"/>
        <v>0.90062319443485161</v>
      </c>
    </row>
    <row r="311" spans="10:13">
      <c r="J311" s="3">
        <v>15</v>
      </c>
      <c r="K311" s="10">
        <f t="shared" si="16"/>
        <v>0.22332370113040032</v>
      </c>
      <c r="L311" s="3">
        <f t="shared" si="18"/>
        <v>2</v>
      </c>
      <c r="M311" s="5">
        <f t="shared" si="17"/>
        <v>0.44664740226080063</v>
      </c>
    </row>
    <row r="312" spans="10:13">
      <c r="J312" s="3">
        <v>15.05</v>
      </c>
      <c r="K312" s="10">
        <f t="shared" si="16"/>
        <v>0.22149995951972348</v>
      </c>
      <c r="L312" s="3">
        <f t="shared" si="18"/>
        <v>4</v>
      </c>
      <c r="M312" s="5">
        <f t="shared" si="17"/>
        <v>0.88599983807889393</v>
      </c>
    </row>
    <row r="313" spans="10:13">
      <c r="J313" s="3">
        <v>15.1</v>
      </c>
      <c r="K313" s="10">
        <f t="shared" si="16"/>
        <v>0.21968458944808114</v>
      </c>
      <c r="L313" s="3">
        <f t="shared" si="18"/>
        <v>2</v>
      </c>
      <c r="M313" s="5">
        <f t="shared" si="17"/>
        <v>0.43936917889616228</v>
      </c>
    </row>
    <row r="314" spans="10:13">
      <c r="J314" s="3">
        <v>15.15</v>
      </c>
      <c r="K314" s="10">
        <f t="shared" si="16"/>
        <v>0.21787760621409488</v>
      </c>
      <c r="L314" s="3">
        <f t="shared" si="18"/>
        <v>4</v>
      </c>
      <c r="M314" s="5">
        <f t="shared" si="17"/>
        <v>0.87151042485637953</v>
      </c>
    </row>
    <row r="315" spans="10:13">
      <c r="J315" s="3">
        <v>15.2</v>
      </c>
      <c r="K315" s="10">
        <f t="shared" si="16"/>
        <v>0.21607902474197116</v>
      </c>
      <c r="L315" s="3">
        <f t="shared" si="18"/>
        <v>2</v>
      </c>
      <c r="M315" s="5">
        <f t="shared" si="17"/>
        <v>0.43215804948394232</v>
      </c>
    </row>
    <row r="316" spans="10:13">
      <c r="J316" s="3">
        <v>15.25</v>
      </c>
      <c r="K316" s="10">
        <f t="shared" si="16"/>
        <v>0.21428885957989344</v>
      </c>
      <c r="L316" s="3">
        <f t="shared" si="18"/>
        <v>4</v>
      </c>
      <c r="M316" s="5">
        <f t="shared" si="17"/>
        <v>0.85715543831957375</v>
      </c>
    </row>
    <row r="317" spans="10:13">
      <c r="J317" s="3">
        <v>15.3</v>
      </c>
      <c r="K317" s="10">
        <f t="shared" si="16"/>
        <v>0.21250712489844931</v>
      </c>
      <c r="L317" s="3">
        <f t="shared" si="18"/>
        <v>2</v>
      </c>
      <c r="M317" s="5">
        <f t="shared" si="17"/>
        <v>0.42501424979689861</v>
      </c>
    </row>
    <row r="318" spans="10:13">
      <c r="J318" s="3">
        <v>15.35</v>
      </c>
      <c r="K318" s="10">
        <f t="shared" si="16"/>
        <v>0.21073383448908814</v>
      </c>
      <c r="L318" s="3">
        <f t="shared" si="18"/>
        <v>4</v>
      </c>
      <c r="M318" s="5">
        <f t="shared" si="17"/>
        <v>0.84293533795635256</v>
      </c>
    </row>
    <row r="319" spans="10:13">
      <c r="J319" s="3">
        <v>15.4</v>
      </c>
      <c r="K319" s="10">
        <f t="shared" si="16"/>
        <v>0.20896900176261182</v>
      </c>
      <c r="L319" s="3">
        <f t="shared" si="18"/>
        <v>2</v>
      </c>
      <c r="M319" s="5">
        <f t="shared" si="17"/>
        <v>0.41793800352522364</v>
      </c>
    </row>
    <row r="320" spans="10:13">
      <c r="J320" s="3">
        <v>15.45</v>
      </c>
      <c r="K320" s="10">
        <f t="shared" si="16"/>
        <v>0.20721263974770046</v>
      </c>
      <c r="L320" s="3">
        <f t="shared" si="18"/>
        <v>4</v>
      </c>
      <c r="M320" s="5">
        <f t="shared" si="17"/>
        <v>0.82885055899080184</v>
      </c>
    </row>
    <row r="321" spans="10:13">
      <c r="J321" s="3">
        <v>15.5</v>
      </c>
      <c r="K321" s="10">
        <f t="shared" si="16"/>
        <v>0.20546476108946998</v>
      </c>
      <c r="L321" s="3">
        <f t="shared" si="18"/>
        <v>2</v>
      </c>
      <c r="M321" s="5">
        <f t="shared" si="17"/>
        <v>0.41092952217893997</v>
      </c>
    </row>
    <row r="322" spans="10:13">
      <c r="J322" s="3">
        <v>15.55</v>
      </c>
      <c r="K322" s="10">
        <f t="shared" si="16"/>
        <v>0.20372537804806498</v>
      </c>
      <c r="L322" s="3">
        <f t="shared" si="18"/>
        <v>4</v>
      </c>
      <c r="M322" s="5">
        <f t="shared" si="17"/>
        <v>0.81490151219225992</v>
      </c>
    </row>
    <row r="323" spans="10:13">
      <c r="J323" s="3">
        <v>15.6</v>
      </c>
      <c r="K323" s="10">
        <f t="shared" si="16"/>
        <v>0.20199450249728609</v>
      </c>
      <c r="L323" s="3">
        <f t="shared" si="18"/>
        <v>2</v>
      </c>
      <c r="M323" s="5">
        <f t="shared" si="17"/>
        <v>0.40398900499457219</v>
      </c>
    </row>
    <row r="324" spans="10:13">
      <c r="J324" s="3">
        <v>15.65</v>
      </c>
      <c r="K324" s="10">
        <f t="shared" si="16"/>
        <v>0.20027214592325077</v>
      </c>
      <c r="L324" s="3">
        <f t="shared" si="18"/>
        <v>4</v>
      </c>
      <c r="M324" s="5">
        <f t="shared" si="17"/>
        <v>0.80108858369300306</v>
      </c>
    </row>
    <row r="325" spans="10:13">
      <c r="J325" s="3">
        <v>15.7</v>
      </c>
      <c r="K325" s="10">
        <f t="shared" si="16"/>
        <v>0.19855831942309182</v>
      </c>
      <c r="L325" s="3">
        <f t="shared" si="18"/>
        <v>2</v>
      </c>
      <c r="M325" s="5">
        <f t="shared" si="17"/>
        <v>0.39711663884618364</v>
      </c>
    </row>
    <row r="326" spans="10:13">
      <c r="J326" s="3">
        <v>15.75</v>
      </c>
      <c r="K326" s="10">
        <f t="shared" si="16"/>
        <v>0.19685303370368876</v>
      </c>
      <c r="L326" s="3">
        <f t="shared" si="18"/>
        <v>4</v>
      </c>
      <c r="M326" s="5">
        <f t="shared" si="17"/>
        <v>0.78741213481475503</v>
      </c>
    </row>
    <row r="327" spans="10:13">
      <c r="J327" s="3">
        <v>15.8</v>
      </c>
      <c r="K327" s="10">
        <f t="shared" si="16"/>
        <v>0.19515629908043744</v>
      </c>
      <c r="L327" s="3">
        <f t="shared" si="18"/>
        <v>2</v>
      </c>
      <c r="M327" s="5">
        <f t="shared" si="17"/>
        <v>0.39031259816087488</v>
      </c>
    </row>
    <row r="328" spans="10:13">
      <c r="J328" s="3">
        <v>15.85</v>
      </c>
      <c r="K328" s="10">
        <f t="shared" si="16"/>
        <v>0.19346812547605471</v>
      </c>
      <c r="L328" s="3">
        <f t="shared" si="18"/>
        <v>4</v>
      </c>
      <c r="M328" s="5">
        <f t="shared" si="17"/>
        <v>0.77387250190421886</v>
      </c>
    </row>
    <row r="329" spans="10:13">
      <c r="J329" s="3">
        <v>15.9</v>
      </c>
      <c r="K329" s="10">
        <f t="shared" si="16"/>
        <v>0.19178852241941968</v>
      </c>
      <c r="L329" s="3">
        <f t="shared" si="18"/>
        <v>2</v>
      </c>
      <c r="M329" s="5">
        <f t="shared" si="17"/>
        <v>0.38357704483883936</v>
      </c>
    </row>
    <row r="330" spans="10:13">
      <c r="J330" s="3">
        <v>15.95</v>
      </c>
      <c r="K330" s="10">
        <f t="shared" si="16"/>
        <v>0.19011749904445249</v>
      </c>
      <c r="L330" s="3">
        <f t="shared" si="18"/>
        <v>4</v>
      </c>
      <c r="M330" s="5">
        <f t="shared" si="17"/>
        <v>0.76046999617780997</v>
      </c>
    </row>
    <row r="331" spans="10:13">
      <c r="J331" s="3">
        <v>16</v>
      </c>
      <c r="K331" s="10">
        <f t="shared" ref="K331:K394" si="19">(B$6^J331)*(B$7^((B$5^70)*((B$5^J331)-1)))</f>
        <v>0.18845506408903007</v>
      </c>
      <c r="L331" s="3">
        <f t="shared" si="18"/>
        <v>2</v>
      </c>
      <c r="M331" s="5">
        <f t="shared" si="17"/>
        <v>0.37691012817806013</v>
      </c>
    </row>
    <row r="332" spans="10:13">
      <c r="J332" s="3">
        <v>16.05</v>
      </c>
      <c r="K332" s="10">
        <f t="shared" si="19"/>
        <v>0.18680122589394055</v>
      </c>
      <c r="L332" s="3">
        <f t="shared" si="18"/>
        <v>4</v>
      </c>
      <c r="M332" s="5">
        <f t="shared" ref="M332:M395" si="20">K332*L332</f>
        <v>0.74720490357576219</v>
      </c>
    </row>
    <row r="333" spans="10:13">
      <c r="J333" s="3">
        <v>16.100000000000001</v>
      </c>
      <c r="K333" s="10">
        <f t="shared" si="19"/>
        <v>0.18515599240187336</v>
      </c>
      <c r="L333" s="3">
        <f t="shared" si="18"/>
        <v>2</v>
      </c>
      <c r="M333" s="5">
        <f t="shared" si="20"/>
        <v>0.37031198480374672</v>
      </c>
    </row>
    <row r="334" spans="10:13">
      <c r="J334" s="3">
        <v>16.149999999999999</v>
      </c>
      <c r="K334" s="10">
        <f t="shared" si="19"/>
        <v>0.18351937115645056</v>
      </c>
      <c r="L334" s="3">
        <f t="shared" ref="L334:L397" si="21">IF(L333=4,2,4)</f>
        <v>4</v>
      </c>
      <c r="M334" s="5">
        <f t="shared" si="20"/>
        <v>0.73407748462580225</v>
      </c>
    </row>
    <row r="335" spans="10:13">
      <c r="J335" s="3">
        <v>16.2</v>
      </c>
      <c r="K335" s="10">
        <f t="shared" si="19"/>
        <v>0.1818913693012941</v>
      </c>
      <c r="L335" s="3">
        <f t="shared" si="21"/>
        <v>2</v>
      </c>
      <c r="M335" s="5">
        <f t="shared" si="20"/>
        <v>0.3637827386025882</v>
      </c>
    </row>
    <row r="336" spans="10:13">
      <c r="J336" s="3">
        <v>16.25</v>
      </c>
      <c r="K336" s="10">
        <f t="shared" si="19"/>
        <v>0.18027199357913465</v>
      </c>
      <c r="L336" s="3">
        <f t="shared" si="21"/>
        <v>4</v>
      </c>
      <c r="M336" s="5">
        <f t="shared" si="20"/>
        <v>0.72108797431653859</v>
      </c>
    </row>
    <row r="337" spans="10:13">
      <c r="J337" s="3">
        <v>16.3</v>
      </c>
      <c r="K337" s="10">
        <f t="shared" si="19"/>
        <v>0.17866125033095759</v>
      </c>
      <c r="L337" s="3">
        <f t="shared" si="21"/>
        <v>2</v>
      </c>
      <c r="M337" s="5">
        <f t="shared" si="20"/>
        <v>0.35732250066191518</v>
      </c>
    </row>
    <row r="338" spans="10:13">
      <c r="J338" s="3">
        <v>16.350000000000001</v>
      </c>
      <c r="K338" s="10">
        <f t="shared" si="19"/>
        <v>0.17705914549518967</v>
      </c>
      <c r="L338" s="3">
        <f t="shared" si="21"/>
        <v>4</v>
      </c>
      <c r="M338" s="5">
        <f t="shared" si="20"/>
        <v>0.70823658198075867</v>
      </c>
    </row>
    <row r="339" spans="10:13">
      <c r="J339" s="3">
        <v>16.399999999999999</v>
      </c>
      <c r="K339" s="10">
        <f t="shared" si="19"/>
        <v>0.1754656846069256</v>
      </c>
      <c r="L339" s="3">
        <f t="shared" si="21"/>
        <v>2</v>
      </c>
      <c r="M339" s="5">
        <f t="shared" si="20"/>
        <v>0.35093136921385121</v>
      </c>
    </row>
    <row r="340" spans="10:13">
      <c r="J340" s="3">
        <v>16.45</v>
      </c>
      <c r="K340" s="10">
        <f t="shared" si="19"/>
        <v>0.17388087279719402</v>
      </c>
      <c r="L340" s="3">
        <f t="shared" si="21"/>
        <v>4</v>
      </c>
      <c r="M340" s="5">
        <f t="shared" si="20"/>
        <v>0.6955234911887761</v>
      </c>
    </row>
    <row r="341" spans="10:13">
      <c r="J341" s="3">
        <v>16.5</v>
      </c>
      <c r="K341" s="10">
        <f t="shared" si="19"/>
        <v>0.17230471479226517</v>
      </c>
      <c r="L341" s="3">
        <f t="shared" si="21"/>
        <v>2</v>
      </c>
      <c r="M341" s="5">
        <f t="shared" si="20"/>
        <v>0.34460942958453034</v>
      </c>
    </row>
    <row r="342" spans="10:13">
      <c r="J342" s="3">
        <v>16.55</v>
      </c>
      <c r="K342" s="10">
        <f t="shared" si="19"/>
        <v>0.17073721491299865</v>
      </c>
      <c r="L342" s="3">
        <f t="shared" si="21"/>
        <v>4</v>
      </c>
      <c r="M342" s="5">
        <f t="shared" si="20"/>
        <v>0.68294885965199459</v>
      </c>
    </row>
    <row r="343" spans="10:13">
      <c r="J343" s="3">
        <v>16.600000000000001</v>
      </c>
      <c r="K343" s="10">
        <f t="shared" si="19"/>
        <v>0.16917837707423206</v>
      </c>
      <c r="L343" s="3">
        <f t="shared" si="21"/>
        <v>2</v>
      </c>
      <c r="M343" s="5">
        <f t="shared" si="20"/>
        <v>0.33835675414846411</v>
      </c>
    </row>
    <row r="344" spans="10:13">
      <c r="J344" s="3">
        <v>16.649999999999999</v>
      </c>
      <c r="K344" s="10">
        <f t="shared" si="19"/>
        <v>0.16762820478421178</v>
      </c>
      <c r="L344" s="3">
        <f t="shared" si="21"/>
        <v>4</v>
      </c>
      <c r="M344" s="5">
        <f t="shared" si="20"/>
        <v>0.67051281913684713</v>
      </c>
    </row>
    <row r="345" spans="10:13">
      <c r="J345" s="3">
        <v>16.7</v>
      </c>
      <c r="K345" s="10">
        <f t="shared" si="19"/>
        <v>0.16608670114406404</v>
      </c>
      <c r="L345" s="3">
        <f t="shared" si="21"/>
        <v>2</v>
      </c>
      <c r="M345" s="5">
        <f t="shared" si="20"/>
        <v>0.33217340228812808</v>
      </c>
    </row>
    <row r="346" spans="10:13">
      <c r="J346" s="3">
        <v>16.75</v>
      </c>
      <c r="K346" s="10">
        <f t="shared" si="19"/>
        <v>0.16455386884730999</v>
      </c>
      <c r="L346" s="3">
        <f t="shared" si="21"/>
        <v>4</v>
      </c>
      <c r="M346" s="5">
        <f t="shared" si="20"/>
        <v>0.65821547538923997</v>
      </c>
    </row>
    <row r="347" spans="10:13">
      <c r="J347" s="3">
        <v>16.8</v>
      </c>
      <c r="K347" s="10">
        <f t="shared" si="19"/>
        <v>0.16302971017942083</v>
      </c>
      <c r="L347" s="3">
        <f t="shared" si="21"/>
        <v>2</v>
      </c>
      <c r="M347" s="5">
        <f t="shared" si="20"/>
        <v>0.32605942035884167</v>
      </c>
    </row>
    <row r="348" spans="10:13">
      <c r="J348" s="3">
        <v>16.850000000000001</v>
      </c>
      <c r="K348" s="10">
        <f t="shared" si="19"/>
        <v>0.16151422701741663</v>
      </c>
      <c r="L348" s="3">
        <f t="shared" si="21"/>
        <v>4</v>
      </c>
      <c r="M348" s="5">
        <f t="shared" si="20"/>
        <v>0.64605690806966654</v>
      </c>
    </row>
    <row r="349" spans="10:13">
      <c r="J349" s="3">
        <v>16.899999999999999</v>
      </c>
      <c r="K349" s="10">
        <f t="shared" si="19"/>
        <v>0.16000742082950736</v>
      </c>
      <c r="L349" s="3">
        <f t="shared" si="21"/>
        <v>2</v>
      </c>
      <c r="M349" s="5">
        <f t="shared" si="20"/>
        <v>0.32001484165901473</v>
      </c>
    </row>
    <row r="350" spans="10:13">
      <c r="J350" s="3">
        <v>16.95</v>
      </c>
      <c r="K350" s="10">
        <f t="shared" si="19"/>
        <v>0.1585092926747767</v>
      </c>
      <c r="L350" s="3">
        <f t="shared" si="21"/>
        <v>4</v>
      </c>
      <c r="M350" s="5">
        <f t="shared" si="20"/>
        <v>0.63403717069910681</v>
      </c>
    </row>
    <row r="351" spans="10:13">
      <c r="J351" s="3">
        <v>17</v>
      </c>
      <c r="K351" s="10">
        <f t="shared" si="19"/>
        <v>0.15701984320290974</v>
      </c>
      <c r="L351" s="3">
        <f t="shared" si="21"/>
        <v>2</v>
      </c>
      <c r="M351" s="5">
        <f t="shared" si="20"/>
        <v>0.31403968640581947</v>
      </c>
    </row>
    <row r="352" spans="10:13">
      <c r="J352" s="3">
        <v>17.05</v>
      </c>
      <c r="K352" s="10">
        <f t="shared" si="19"/>
        <v>0.15553907265396355</v>
      </c>
      <c r="L352" s="3">
        <f t="shared" si="21"/>
        <v>4</v>
      </c>
      <c r="M352" s="5">
        <f t="shared" si="20"/>
        <v>0.6221562906158542</v>
      </c>
    </row>
    <row r="353" spans="10:13">
      <c r="J353" s="3">
        <v>17.100000000000001</v>
      </c>
      <c r="K353" s="10">
        <f t="shared" si="19"/>
        <v>0.15406698085818082</v>
      </c>
      <c r="L353" s="3">
        <f t="shared" si="21"/>
        <v>2</v>
      </c>
      <c r="M353" s="5">
        <f t="shared" si="20"/>
        <v>0.30813396171636165</v>
      </c>
    </row>
    <row r="354" spans="10:13">
      <c r="J354" s="3">
        <v>17.149999999999999</v>
      </c>
      <c r="K354" s="10">
        <f t="shared" si="19"/>
        <v>0.15260356723584831</v>
      </c>
      <c r="L354" s="3">
        <f t="shared" si="21"/>
        <v>4</v>
      </c>
      <c r="M354" s="5">
        <f t="shared" si="20"/>
        <v>0.61041426894339323</v>
      </c>
    </row>
    <row r="355" spans="10:13">
      <c r="J355" s="3">
        <v>17.2</v>
      </c>
      <c r="K355" s="10">
        <f t="shared" si="19"/>
        <v>0.15114883079719912</v>
      </c>
      <c r="L355" s="3">
        <f t="shared" si="21"/>
        <v>2</v>
      </c>
      <c r="M355" s="5">
        <f t="shared" si="20"/>
        <v>0.30229766159439825</v>
      </c>
    </row>
    <row r="356" spans="10:13">
      <c r="J356" s="3">
        <v>17.25</v>
      </c>
      <c r="K356" s="10">
        <f t="shared" si="19"/>
        <v>0.1497027701423588</v>
      </c>
      <c r="L356" s="3">
        <f t="shared" si="21"/>
        <v>4</v>
      </c>
      <c r="M356" s="5">
        <f t="shared" si="20"/>
        <v>0.59881108056943522</v>
      </c>
    </row>
    <row r="357" spans="10:13">
      <c r="J357" s="3">
        <v>17.3</v>
      </c>
      <c r="K357" s="10">
        <f t="shared" si="19"/>
        <v>0.1482653834613365</v>
      </c>
      <c r="L357" s="3">
        <f t="shared" si="21"/>
        <v>2</v>
      </c>
      <c r="M357" s="5">
        <f t="shared" si="20"/>
        <v>0.29653076692267299</v>
      </c>
    </row>
    <row r="358" spans="10:13">
      <c r="J358" s="3">
        <v>17.350000000000001</v>
      </c>
      <c r="K358" s="10">
        <f t="shared" si="19"/>
        <v>0.1468366685340603</v>
      </c>
      <c r="L358" s="3">
        <f t="shared" si="21"/>
        <v>4</v>
      </c>
      <c r="M358" s="5">
        <f t="shared" si="20"/>
        <v>0.5873466741362412</v>
      </c>
    </row>
    <row r="359" spans="10:13">
      <c r="J359" s="3">
        <v>17.399999999999999</v>
      </c>
      <c r="K359" s="10">
        <f t="shared" si="19"/>
        <v>0.14541662273045733</v>
      </c>
      <c r="L359" s="3">
        <f t="shared" si="21"/>
        <v>2</v>
      </c>
      <c r="M359" s="5">
        <f t="shared" si="20"/>
        <v>0.29083324546091466</v>
      </c>
    </row>
    <row r="360" spans="10:13">
      <c r="J360" s="3">
        <v>17.45</v>
      </c>
      <c r="K360" s="10">
        <f t="shared" si="19"/>
        <v>0.14400524301057924</v>
      </c>
      <c r="L360" s="3">
        <f t="shared" si="21"/>
        <v>4</v>
      </c>
      <c r="M360" s="5">
        <f t="shared" si="20"/>
        <v>0.57602097204231695</v>
      </c>
    </row>
    <row r="361" spans="10:13">
      <c r="J361" s="3">
        <v>17.5</v>
      </c>
      <c r="K361" s="10">
        <f t="shared" si="19"/>
        <v>0.14260252592477324</v>
      </c>
      <c r="L361" s="3">
        <f t="shared" si="21"/>
        <v>2</v>
      </c>
      <c r="M361" s="5">
        <f t="shared" si="20"/>
        <v>0.28520505184954648</v>
      </c>
    </row>
    <row r="362" spans="10:13">
      <c r="J362" s="3">
        <v>17.55</v>
      </c>
      <c r="K362" s="10">
        <f t="shared" si="19"/>
        <v>0.14120846761389758</v>
      </c>
      <c r="L362" s="3">
        <f t="shared" si="21"/>
        <v>4</v>
      </c>
      <c r="M362" s="5">
        <f t="shared" si="20"/>
        <v>0.5648338704555903</v>
      </c>
    </row>
    <row r="363" spans="10:13">
      <c r="J363" s="3">
        <v>17.600000000000001</v>
      </c>
      <c r="K363" s="10">
        <f t="shared" si="19"/>
        <v>0.13982306380958259</v>
      </c>
      <c r="L363" s="3">
        <f t="shared" si="21"/>
        <v>2</v>
      </c>
      <c r="M363" s="5">
        <f t="shared" si="20"/>
        <v>0.27964612761916519</v>
      </c>
    </row>
    <row r="364" spans="10:13">
      <c r="J364" s="3">
        <v>17.649999999999999</v>
      </c>
      <c r="K364" s="10">
        <f t="shared" si="19"/>
        <v>0.13844630983453887</v>
      </c>
      <c r="L364" s="3">
        <f t="shared" si="21"/>
        <v>4</v>
      </c>
      <c r="M364" s="5">
        <f t="shared" si="20"/>
        <v>0.55378523933815549</v>
      </c>
    </row>
    <row r="365" spans="10:13">
      <c r="J365" s="3">
        <v>17.7</v>
      </c>
      <c r="K365" s="10">
        <f t="shared" si="19"/>
        <v>0.1370782006029089</v>
      </c>
      <c r="L365" s="3">
        <f t="shared" si="21"/>
        <v>2</v>
      </c>
      <c r="M365" s="5">
        <f t="shared" si="20"/>
        <v>0.2741564012058178</v>
      </c>
    </row>
    <row r="366" spans="10:13">
      <c r="J366" s="3">
        <v>17.75</v>
      </c>
      <c r="K366" s="10">
        <f t="shared" si="19"/>
        <v>0.13571873062066686</v>
      </c>
      <c r="L366" s="3">
        <f t="shared" si="21"/>
        <v>4</v>
      </c>
      <c r="M366" s="5">
        <f t="shared" si="20"/>
        <v>0.54287492248266744</v>
      </c>
    </row>
    <row r="367" spans="10:13">
      <c r="J367" s="3">
        <v>17.8</v>
      </c>
      <c r="K367" s="10">
        <f t="shared" si="19"/>
        <v>0.13436789398606336</v>
      </c>
      <c r="L367" s="3">
        <f t="shared" si="21"/>
        <v>2</v>
      </c>
      <c r="M367" s="5">
        <f t="shared" si="20"/>
        <v>0.26873578797212672</v>
      </c>
    </row>
    <row r="368" spans="10:13">
      <c r="J368" s="3">
        <v>17.850000000000001</v>
      </c>
      <c r="K368" s="10">
        <f t="shared" si="19"/>
        <v>0.13302568439011578</v>
      </c>
      <c r="L368" s="3">
        <f t="shared" si="21"/>
        <v>4</v>
      </c>
      <c r="M368" s="5">
        <f t="shared" si="20"/>
        <v>0.53210273756046311</v>
      </c>
    </row>
    <row r="369" spans="10:13">
      <c r="J369" s="3">
        <v>17.899999999999999</v>
      </c>
      <c r="K369" s="10">
        <f t="shared" si="19"/>
        <v>0.13169209511714686</v>
      </c>
      <c r="L369" s="3">
        <f t="shared" si="21"/>
        <v>2</v>
      </c>
      <c r="M369" s="5">
        <f t="shared" si="20"/>
        <v>0.26338419023429371</v>
      </c>
    </row>
    <row r="370" spans="10:13">
      <c r="J370" s="3">
        <v>17.95</v>
      </c>
      <c r="K370" s="10">
        <f t="shared" si="19"/>
        <v>0.13036711904536749</v>
      </c>
      <c r="L370" s="3">
        <f t="shared" si="21"/>
        <v>4</v>
      </c>
      <c r="M370" s="5">
        <f t="shared" si="20"/>
        <v>0.52146847618146996</v>
      </c>
    </row>
    <row r="371" spans="10:13">
      <c r="J371" s="3">
        <v>18</v>
      </c>
      <c r="K371" s="10">
        <f t="shared" si="19"/>
        <v>0.12905074864750743</v>
      </c>
      <c r="L371" s="3">
        <f t="shared" si="21"/>
        <v>2</v>
      </c>
      <c r="M371" s="5">
        <f t="shared" si="20"/>
        <v>0.25810149729501486</v>
      </c>
    </row>
    <row r="372" spans="10:13">
      <c r="J372" s="3">
        <v>18.05</v>
      </c>
      <c r="K372" s="10">
        <f t="shared" si="19"/>
        <v>0.12774297599149259</v>
      </c>
      <c r="L372" s="3">
        <f t="shared" si="21"/>
        <v>4</v>
      </c>
      <c r="M372" s="5">
        <f t="shared" si="20"/>
        <v>0.51097190396597036</v>
      </c>
    </row>
    <row r="373" spans="10:13">
      <c r="J373" s="3">
        <v>18.100000000000001</v>
      </c>
      <c r="K373" s="10">
        <f t="shared" si="19"/>
        <v>0.12644379274116743</v>
      </c>
      <c r="L373" s="3">
        <f t="shared" si="21"/>
        <v>2</v>
      </c>
      <c r="M373" s="5">
        <f t="shared" si="20"/>
        <v>0.25288758548233486</v>
      </c>
    </row>
    <row r="374" spans="10:13">
      <c r="J374" s="3">
        <v>18.149999999999999</v>
      </c>
      <c r="K374" s="10">
        <f t="shared" si="19"/>
        <v>0.12515319015706652</v>
      </c>
      <c r="L374" s="3">
        <f t="shared" si="21"/>
        <v>4</v>
      </c>
      <c r="M374" s="5">
        <f t="shared" si="20"/>
        <v>0.5006127606282661</v>
      </c>
    </row>
    <row r="375" spans="10:13">
      <c r="J375" s="3">
        <v>18.2</v>
      </c>
      <c r="K375" s="10">
        <f t="shared" si="19"/>
        <v>0.12387115909723069</v>
      </c>
      <c r="L375" s="3">
        <f t="shared" si="21"/>
        <v>2</v>
      </c>
      <c r="M375" s="5">
        <f t="shared" si="20"/>
        <v>0.24774231819446138</v>
      </c>
    </row>
    <row r="376" spans="10:13">
      <c r="J376" s="3">
        <v>18.25</v>
      </c>
      <c r="K376" s="10">
        <f t="shared" si="19"/>
        <v>0.12259769001807164</v>
      </c>
      <c r="L376" s="3">
        <f t="shared" si="21"/>
        <v>4</v>
      </c>
      <c r="M376" s="5">
        <f t="shared" si="20"/>
        <v>0.49039076007228655</v>
      </c>
    </row>
    <row r="377" spans="10:13">
      <c r="J377" s="3">
        <v>18.3</v>
      </c>
      <c r="K377" s="10">
        <f t="shared" si="19"/>
        <v>0.12133277297528196</v>
      </c>
      <c r="L377" s="3">
        <f t="shared" si="21"/>
        <v>2</v>
      </c>
      <c r="M377" s="5">
        <f t="shared" si="20"/>
        <v>0.24266554595056392</v>
      </c>
    </row>
    <row r="378" spans="10:13">
      <c r="J378" s="3">
        <v>18.350000000000001</v>
      </c>
      <c r="K378" s="10">
        <f t="shared" si="19"/>
        <v>0.12007639762479366</v>
      </c>
      <c r="L378" s="3">
        <f t="shared" si="21"/>
        <v>4</v>
      </c>
      <c r="M378" s="5">
        <f t="shared" si="20"/>
        <v>0.48030559049917465</v>
      </c>
    </row>
    <row r="379" spans="10:13">
      <c r="J379" s="3">
        <v>18.399999999999999</v>
      </c>
      <c r="K379" s="10">
        <f t="shared" si="19"/>
        <v>0.11882855322378247</v>
      </c>
      <c r="L379" s="3">
        <f t="shared" si="21"/>
        <v>2</v>
      </c>
      <c r="M379" s="5">
        <f t="shared" si="20"/>
        <v>0.23765710644756494</v>
      </c>
    </row>
    <row r="380" spans="10:13">
      <c r="J380" s="3">
        <v>18.45</v>
      </c>
      <c r="K380" s="10">
        <f t="shared" si="19"/>
        <v>0.11758922863171938</v>
      </c>
      <c r="L380" s="3">
        <f t="shared" si="21"/>
        <v>4</v>
      </c>
      <c r="M380" s="5">
        <f t="shared" si="20"/>
        <v>0.4703569145268775</v>
      </c>
    </row>
    <row r="381" spans="10:13">
      <c r="J381" s="3">
        <v>18.5</v>
      </c>
      <c r="K381" s="10">
        <f t="shared" si="19"/>
        <v>0.11635841231146975</v>
      </c>
      <c r="L381" s="3">
        <f t="shared" si="21"/>
        <v>2</v>
      </c>
      <c r="M381" s="5">
        <f t="shared" si="20"/>
        <v>0.23271682462293949</v>
      </c>
    </row>
    <row r="382" spans="10:13">
      <c r="J382" s="3">
        <v>18.55</v>
      </c>
      <c r="K382" s="10">
        <f t="shared" si="19"/>
        <v>0.11513609233043846</v>
      </c>
      <c r="L382" s="3">
        <f t="shared" si="21"/>
        <v>4</v>
      </c>
      <c r="M382" s="5">
        <f t="shared" si="20"/>
        <v>0.46054436932175385</v>
      </c>
    </row>
    <row r="383" spans="10:13">
      <c r="J383" s="3">
        <v>18.600000000000001</v>
      </c>
      <c r="K383" s="10">
        <f t="shared" si="19"/>
        <v>0.11392225636176292</v>
      </c>
      <c r="L383" s="3">
        <f t="shared" si="21"/>
        <v>2</v>
      </c>
      <c r="M383" s="5">
        <f t="shared" si="20"/>
        <v>0.22784451272352585</v>
      </c>
    </row>
    <row r="384" spans="10:13">
      <c r="J384" s="3">
        <v>18.649999999999999</v>
      </c>
      <c r="K384" s="10">
        <f t="shared" si="19"/>
        <v>0.11271689168555259</v>
      </c>
      <c r="L384" s="3">
        <f t="shared" si="21"/>
        <v>4</v>
      </c>
      <c r="M384" s="5">
        <f t="shared" si="20"/>
        <v>0.45086756674221035</v>
      </c>
    </row>
    <row r="385" spans="10:13">
      <c r="J385" s="3">
        <v>18.7</v>
      </c>
      <c r="K385" s="10">
        <f t="shared" si="19"/>
        <v>0.11151998519017518</v>
      </c>
      <c r="L385" s="3">
        <f t="shared" si="21"/>
        <v>2</v>
      </c>
      <c r="M385" s="5">
        <f t="shared" si="20"/>
        <v>0.22303997038035037</v>
      </c>
    </row>
    <row r="386" spans="10:13">
      <c r="J386" s="3">
        <v>18.75</v>
      </c>
      <c r="K386" s="10">
        <f t="shared" si="19"/>
        <v>0.11033152337359044</v>
      </c>
      <c r="L386" s="3">
        <f t="shared" si="21"/>
        <v>4</v>
      </c>
      <c r="M386" s="5">
        <f t="shared" si="20"/>
        <v>0.44132609349436175</v>
      </c>
    </row>
    <row r="387" spans="10:13">
      <c r="J387" s="3">
        <v>18.8</v>
      </c>
      <c r="K387" s="10">
        <f t="shared" si="19"/>
        <v>0.10915149234473032</v>
      </c>
      <c r="L387" s="3">
        <f t="shared" si="21"/>
        <v>2</v>
      </c>
      <c r="M387" s="5">
        <f t="shared" si="20"/>
        <v>0.21830298468946063</v>
      </c>
    </row>
    <row r="388" spans="10:13">
      <c r="J388" s="3">
        <v>18.850000000000001</v>
      </c>
      <c r="K388" s="10">
        <f t="shared" si="19"/>
        <v>0.10797987782492606</v>
      </c>
      <c r="L388" s="3">
        <f t="shared" si="21"/>
        <v>4</v>
      </c>
      <c r="M388" s="5">
        <f t="shared" si="20"/>
        <v>0.43191951129970424</v>
      </c>
    </row>
    <row r="389" spans="10:13">
      <c r="J389" s="3">
        <v>18.899999999999999</v>
      </c>
      <c r="K389" s="10">
        <f t="shared" si="19"/>
        <v>0.10681666514938198</v>
      </c>
      <c r="L389" s="3">
        <f t="shared" si="21"/>
        <v>2</v>
      </c>
      <c r="M389" s="5">
        <f t="shared" si="20"/>
        <v>0.21363333029876397</v>
      </c>
    </row>
    <row r="390" spans="10:13">
      <c r="J390" s="3">
        <v>18.95</v>
      </c>
      <c r="K390" s="10">
        <f t="shared" si="19"/>
        <v>0.10566183926869598</v>
      </c>
      <c r="L390" s="3">
        <f t="shared" si="21"/>
        <v>4</v>
      </c>
      <c r="M390" s="5">
        <f t="shared" si="20"/>
        <v>0.4226473570747839</v>
      </c>
    </row>
    <row r="391" spans="10:13">
      <c r="J391" s="3">
        <v>19</v>
      </c>
      <c r="K391" s="10">
        <f t="shared" si="19"/>
        <v>0.10451538475042613</v>
      </c>
      <c r="L391" s="3">
        <f t="shared" si="21"/>
        <v>2</v>
      </c>
      <c r="M391" s="5">
        <f t="shared" si="20"/>
        <v>0.20903076950085225</v>
      </c>
    </row>
    <row r="392" spans="10:13">
      <c r="J392" s="3">
        <v>19.05</v>
      </c>
      <c r="K392" s="10">
        <f t="shared" si="19"/>
        <v>0.10337728578070556</v>
      </c>
      <c r="L392" s="3">
        <f t="shared" si="21"/>
        <v>4</v>
      </c>
      <c r="M392" s="5">
        <f t="shared" si="20"/>
        <v>0.41350914312282222</v>
      </c>
    </row>
    <row r="393" spans="10:13">
      <c r="J393" s="3">
        <v>19.100000000000001</v>
      </c>
      <c r="K393" s="10">
        <f t="shared" si="19"/>
        <v>0.10224752616590055</v>
      </c>
      <c r="L393" s="3">
        <f t="shared" si="21"/>
        <v>2</v>
      </c>
      <c r="M393" s="5">
        <f t="shared" si="20"/>
        <v>0.2044950523318011</v>
      </c>
    </row>
    <row r="394" spans="10:13">
      <c r="J394" s="3">
        <v>19.149999999999999</v>
      </c>
      <c r="K394" s="10">
        <f t="shared" si="19"/>
        <v>0.10112608933431833</v>
      </c>
      <c r="L394" s="3">
        <f t="shared" si="21"/>
        <v>4</v>
      </c>
      <c r="M394" s="5">
        <f t="shared" si="20"/>
        <v>0.4045043573372733</v>
      </c>
    </row>
    <row r="395" spans="10:13">
      <c r="J395" s="3">
        <v>19.2</v>
      </c>
      <c r="K395" s="10">
        <f t="shared" ref="K395:K458" si="22">(B$6^J395)*(B$7^((B$5^70)*((B$5^J395)-1)))</f>
        <v>0.10001295833795842</v>
      </c>
      <c r="L395" s="3">
        <f t="shared" si="21"/>
        <v>2</v>
      </c>
      <c r="M395" s="5">
        <f t="shared" si="20"/>
        <v>0.20002591667591685</v>
      </c>
    </row>
    <row r="396" spans="10:13">
      <c r="J396" s="3">
        <v>19.25</v>
      </c>
      <c r="K396" s="10">
        <f t="shared" si="22"/>
        <v>9.8908115854311515E-2</v>
      </c>
      <c r="L396" s="3">
        <f t="shared" si="21"/>
        <v>4</v>
      </c>
      <c r="M396" s="5">
        <f t="shared" ref="M396:M459" si="23">K396*L396</f>
        <v>0.39563246341724606</v>
      </c>
    </row>
    <row r="397" spans="10:13">
      <c r="J397" s="3">
        <v>19.3</v>
      </c>
      <c r="K397" s="10">
        <f t="shared" si="22"/>
        <v>9.781154418820362E-2</v>
      </c>
      <c r="L397" s="3">
        <f t="shared" si="21"/>
        <v>2</v>
      </c>
      <c r="M397" s="5">
        <f t="shared" si="23"/>
        <v>0.19562308837640724</v>
      </c>
    </row>
    <row r="398" spans="10:13">
      <c r="J398" s="3">
        <v>19.350000000000001</v>
      </c>
      <c r="K398" s="10">
        <f t="shared" si="22"/>
        <v>9.6723225273686153E-2</v>
      </c>
      <c r="L398" s="3">
        <f t="shared" ref="L398:L461" si="24">IF(L397=4,2,4)</f>
        <v>4</v>
      </c>
      <c r="M398" s="5">
        <f t="shared" si="23"/>
        <v>0.38689290109474461</v>
      </c>
    </row>
    <row r="399" spans="10:13">
      <c r="J399" s="3">
        <v>19.399999999999999</v>
      </c>
      <c r="K399" s="10">
        <f t="shared" si="22"/>
        <v>9.564314067597135E-2</v>
      </c>
      <c r="L399" s="3">
        <f t="shared" si="24"/>
        <v>2</v>
      </c>
      <c r="M399" s="5">
        <f t="shared" si="23"/>
        <v>0.1912862813519427</v>
      </c>
    </row>
    <row r="400" spans="10:13">
      <c r="J400" s="3">
        <v>19.45</v>
      </c>
      <c r="K400" s="10">
        <f t="shared" si="22"/>
        <v>9.4571271593413386E-2</v>
      </c>
      <c r="L400" s="3">
        <f t="shared" si="24"/>
        <v>4</v>
      </c>
      <c r="M400" s="5">
        <f t="shared" si="23"/>
        <v>0.37828508637365355</v>
      </c>
    </row>
    <row r="401" spans="10:13">
      <c r="J401" s="3">
        <v>19.5</v>
      </c>
      <c r="K401" s="10">
        <f t="shared" si="22"/>
        <v>9.3507598859534469E-2</v>
      </c>
      <c r="L401" s="3">
        <f t="shared" si="24"/>
        <v>2</v>
      </c>
      <c r="M401" s="5">
        <f t="shared" si="23"/>
        <v>0.18701519771906894</v>
      </c>
    </row>
    <row r="402" spans="10:13">
      <c r="J402" s="3">
        <v>19.55</v>
      </c>
      <c r="K402" s="10">
        <f t="shared" si="22"/>
        <v>9.2452102945096343E-2</v>
      </c>
      <c r="L402" s="3">
        <f t="shared" si="24"/>
        <v>4</v>
      </c>
      <c r="M402" s="5">
        <f t="shared" si="23"/>
        <v>0.36980841178038537</v>
      </c>
    </row>
    <row r="403" spans="10:13">
      <c r="J403" s="3">
        <v>19.600000000000001</v>
      </c>
      <c r="K403" s="10">
        <f t="shared" si="22"/>
        <v>9.1404763960216073E-2</v>
      </c>
      <c r="L403" s="3">
        <f t="shared" si="24"/>
        <v>2</v>
      </c>
      <c r="M403" s="5">
        <f t="shared" si="23"/>
        <v>0.18280952792043215</v>
      </c>
    </row>
    <row r="404" spans="10:13">
      <c r="J404" s="3">
        <v>19.649999999999999</v>
      </c>
      <c r="K404" s="10">
        <f t="shared" si="22"/>
        <v>9.0365561656526913E-2</v>
      </c>
      <c r="L404" s="3">
        <f t="shared" si="24"/>
        <v>4</v>
      </c>
      <c r="M404" s="5">
        <f t="shared" si="23"/>
        <v>0.36146224662610765</v>
      </c>
    </row>
    <row r="405" spans="10:13">
      <c r="J405" s="3">
        <v>19.7</v>
      </c>
      <c r="K405" s="10">
        <f t="shared" si="22"/>
        <v>8.9334475429383456E-2</v>
      </c>
      <c r="L405" s="3">
        <f t="shared" si="24"/>
        <v>2</v>
      </c>
      <c r="M405" s="5">
        <f t="shared" si="23"/>
        <v>0.17866895085876691</v>
      </c>
    </row>
    <row r="406" spans="10:13">
      <c r="J406" s="3">
        <v>19.75</v>
      </c>
      <c r="K406" s="10">
        <f t="shared" si="22"/>
        <v>8.8311484320110642E-2</v>
      </c>
      <c r="L406" s="3">
        <f t="shared" si="24"/>
        <v>4</v>
      </c>
      <c r="M406" s="5">
        <f t="shared" si="23"/>
        <v>0.35324593728044257</v>
      </c>
    </row>
    <row r="407" spans="10:13">
      <c r="J407" s="3">
        <v>19.8</v>
      </c>
      <c r="K407" s="10">
        <f t="shared" si="22"/>
        <v>8.7296567018297536E-2</v>
      </c>
      <c r="L407" s="3">
        <f t="shared" si="24"/>
        <v>2</v>
      </c>
      <c r="M407" s="5">
        <f t="shared" si="23"/>
        <v>0.17459313403659507</v>
      </c>
    </row>
    <row r="408" spans="10:13">
      <c r="J408" s="3">
        <v>19.850000000000001</v>
      </c>
      <c r="K408" s="10">
        <f t="shared" si="22"/>
        <v>8.6289701864133747E-2</v>
      </c>
      <c r="L408" s="3">
        <f t="shared" si="24"/>
        <v>4</v>
      </c>
      <c r="M408" s="5">
        <f t="shared" si="23"/>
        <v>0.34515880745653499</v>
      </c>
    </row>
    <row r="409" spans="10:13">
      <c r="J409" s="3">
        <v>19.899999999999999</v>
      </c>
      <c r="K409" s="10">
        <f t="shared" si="22"/>
        <v>8.5290866850790306E-2</v>
      </c>
      <c r="L409" s="3">
        <f t="shared" si="24"/>
        <v>2</v>
      </c>
      <c r="M409" s="5">
        <f t="shared" si="23"/>
        <v>0.17058173370158061</v>
      </c>
    </row>
    <row r="410" spans="10:13">
      <c r="J410" s="3">
        <v>19.95</v>
      </c>
      <c r="K410" s="10">
        <f t="shared" si="22"/>
        <v>8.4300039626842155E-2</v>
      </c>
      <c r="L410" s="3">
        <f t="shared" si="24"/>
        <v>4</v>
      </c>
      <c r="M410" s="5">
        <f t="shared" si="23"/>
        <v>0.33720015850736862</v>
      </c>
    </row>
    <row r="411" spans="10:13">
      <c r="J411" s="3">
        <v>20</v>
      </c>
      <c r="K411" s="10">
        <f t="shared" si="22"/>
        <v>8.3317197498735854E-2</v>
      </c>
      <c r="L411" s="3">
        <f t="shared" si="24"/>
        <v>2</v>
      </c>
      <c r="M411" s="5">
        <f t="shared" si="23"/>
        <v>0.16663439499747171</v>
      </c>
    </row>
    <row r="412" spans="10:13">
      <c r="J412" s="3">
        <v>20.05</v>
      </c>
      <c r="K412" s="10">
        <f t="shared" si="22"/>
        <v>8.2342317433298076E-2</v>
      </c>
      <c r="L412" s="3">
        <f t="shared" si="24"/>
        <v>4</v>
      </c>
      <c r="M412" s="5">
        <f t="shared" si="23"/>
        <v>0.3293692697331923</v>
      </c>
    </row>
    <row r="413" spans="10:13">
      <c r="J413" s="3">
        <v>20.100000000000001</v>
      </c>
      <c r="K413" s="10">
        <f t="shared" si="22"/>
        <v>8.1375376060286317E-2</v>
      </c>
      <c r="L413" s="3">
        <f t="shared" si="24"/>
        <v>2</v>
      </c>
      <c r="M413" s="5">
        <f t="shared" si="23"/>
        <v>0.16275075212057263</v>
      </c>
    </row>
    <row r="414" spans="10:13">
      <c r="J414" s="3">
        <v>20.149999999999999</v>
      </c>
      <c r="K414" s="10">
        <f t="shared" si="22"/>
        <v>8.0416349674982998E-2</v>
      </c>
      <c r="L414" s="3">
        <f t="shared" si="24"/>
        <v>4</v>
      </c>
      <c r="M414" s="5">
        <f t="shared" si="23"/>
        <v>0.32166539869993199</v>
      </c>
    </row>
    <row r="415" spans="10:13">
      <c r="J415" s="3">
        <v>20.2</v>
      </c>
      <c r="K415" s="10">
        <f t="shared" si="22"/>
        <v>7.946521424082989E-2</v>
      </c>
      <c r="L415" s="3">
        <f t="shared" si="24"/>
        <v>2</v>
      </c>
      <c r="M415" s="5">
        <f t="shared" si="23"/>
        <v>0.15893042848165978</v>
      </c>
    </row>
    <row r="416" spans="10:13">
      <c r="J416" s="3">
        <v>20.25</v>
      </c>
      <c r="K416" s="10">
        <f t="shared" si="22"/>
        <v>7.852194539210465E-2</v>
      </c>
      <c r="L416" s="3">
        <f t="shared" si="24"/>
        <v>4</v>
      </c>
      <c r="M416" s="5">
        <f t="shared" si="23"/>
        <v>0.3140877815684186</v>
      </c>
    </row>
    <row r="417" spans="10:13">
      <c r="J417" s="3">
        <v>20.3</v>
      </c>
      <c r="K417" s="10">
        <f t="shared" si="22"/>
        <v>7.758651843663808E-2</v>
      </c>
      <c r="L417" s="3">
        <f t="shared" si="24"/>
        <v>2</v>
      </c>
      <c r="M417" s="5">
        <f t="shared" si="23"/>
        <v>0.15517303687327616</v>
      </c>
    </row>
    <row r="418" spans="10:13">
      <c r="J418" s="3">
        <v>20.350000000000001</v>
      </c>
      <c r="K418" s="10">
        <f t="shared" si="22"/>
        <v>7.6658908358571878E-2</v>
      </c>
      <c r="L418" s="3">
        <f t="shared" si="24"/>
        <v>4</v>
      </c>
      <c r="M418" s="5">
        <f t="shared" si="23"/>
        <v>0.30663563343428751</v>
      </c>
    </row>
    <row r="419" spans="10:13">
      <c r="J419" s="3">
        <v>20.399999999999999</v>
      </c>
      <c r="K419" s="10">
        <f t="shared" si="22"/>
        <v>7.5739089821157179E-2</v>
      </c>
      <c r="L419" s="3">
        <f t="shared" si="24"/>
        <v>2</v>
      </c>
      <c r="M419" s="5">
        <f t="shared" si="23"/>
        <v>0.15147817964231436</v>
      </c>
    </row>
    <row r="420" spans="10:13">
      <c r="J420" s="3">
        <v>20.45</v>
      </c>
      <c r="K420" s="10">
        <f t="shared" si="22"/>
        <v>7.4827037169592103E-2</v>
      </c>
      <c r="L420" s="3">
        <f t="shared" si="24"/>
        <v>4</v>
      </c>
      <c r="M420" s="5">
        <f t="shared" si="23"/>
        <v>0.29930814867836841</v>
      </c>
    </row>
    <row r="421" spans="10:13">
      <c r="J421" s="3">
        <v>20.5</v>
      </c>
      <c r="K421" s="10">
        <f t="shared" si="22"/>
        <v>7.3922724433900341E-2</v>
      </c>
      <c r="L421" s="3">
        <f t="shared" si="24"/>
        <v>2</v>
      </c>
      <c r="M421" s="5">
        <f t="shared" si="23"/>
        <v>0.14784544886780068</v>
      </c>
    </row>
    <row r="422" spans="10:13">
      <c r="J422" s="3">
        <v>20.55</v>
      </c>
      <c r="K422" s="10">
        <f t="shared" si="22"/>
        <v>7.3026125331847103E-2</v>
      </c>
      <c r="L422" s="3">
        <f t="shared" si="24"/>
        <v>4</v>
      </c>
      <c r="M422" s="5">
        <f t="shared" si="23"/>
        <v>0.29210450132738841</v>
      </c>
    </row>
    <row r="423" spans="10:13">
      <c r="J423" s="3">
        <v>20.6</v>
      </c>
      <c r="K423" s="10">
        <f t="shared" si="22"/>
        <v>7.2137213271895387E-2</v>
      </c>
      <c r="L423" s="3">
        <f t="shared" si="24"/>
        <v>2</v>
      </c>
      <c r="M423" s="5">
        <f t="shared" si="23"/>
        <v>0.14427442654379077</v>
      </c>
    </row>
    <row r="424" spans="10:13">
      <c r="J424" s="3">
        <v>20.65</v>
      </c>
      <c r="K424" s="10">
        <f t="shared" si="22"/>
        <v>7.1255961356199604E-2</v>
      </c>
      <c r="L424" s="3">
        <f t="shared" si="24"/>
        <v>4</v>
      </c>
      <c r="M424" s="5">
        <f t="shared" si="23"/>
        <v>0.28502384542479842</v>
      </c>
    </row>
    <row r="425" spans="10:13">
      <c r="J425" s="3">
        <v>20.7</v>
      </c>
      <c r="K425" s="10">
        <f t="shared" si="22"/>
        <v>7.0382342383637247E-2</v>
      </c>
      <c r="L425" s="3">
        <f t="shared" si="24"/>
        <v>2</v>
      </c>
      <c r="M425" s="5">
        <f t="shared" si="23"/>
        <v>0.14076468476727449</v>
      </c>
    </row>
    <row r="426" spans="10:13">
      <c r="J426" s="3">
        <v>20.75</v>
      </c>
      <c r="K426" s="10">
        <f t="shared" si="22"/>
        <v>6.9516328852878992E-2</v>
      </c>
      <c r="L426" s="3">
        <f t="shared" si="24"/>
        <v>4</v>
      </c>
      <c r="M426" s="5">
        <f t="shared" si="23"/>
        <v>0.27806531541151597</v>
      </c>
    </row>
    <row r="427" spans="10:13">
      <c r="J427" s="3">
        <v>20.8</v>
      </c>
      <c r="K427" s="10">
        <f t="shared" si="22"/>
        <v>6.8657892965494613E-2</v>
      </c>
      <c r="L427" s="3">
        <f t="shared" si="24"/>
        <v>2</v>
      </c>
      <c r="M427" s="5">
        <f t="shared" si="23"/>
        <v>0.13731578593098923</v>
      </c>
    </row>
    <row r="428" spans="10:13">
      <c r="J428" s="3">
        <v>20.85</v>
      </c>
      <c r="K428" s="10">
        <f t="shared" si="22"/>
        <v>6.7807006629096236E-2</v>
      </c>
      <c r="L428" s="3">
        <f t="shared" si="24"/>
        <v>4</v>
      </c>
      <c r="M428" s="5">
        <f t="shared" si="23"/>
        <v>0.27122802651638495</v>
      </c>
    </row>
    <row r="429" spans="10:13">
      <c r="J429" s="3">
        <v>20.9</v>
      </c>
      <c r="K429" s="10">
        <f t="shared" si="22"/>
        <v>6.6963641460517476E-2</v>
      </c>
      <c r="L429" s="3">
        <f t="shared" si="24"/>
        <v>2</v>
      </c>
      <c r="M429" s="5">
        <f t="shared" si="23"/>
        <v>0.13392728292103495</v>
      </c>
    </row>
    <row r="430" spans="10:13">
      <c r="J430" s="3">
        <v>20.95</v>
      </c>
      <c r="K430" s="10">
        <f t="shared" si="22"/>
        <v>6.6127768789028721E-2</v>
      </c>
      <c r="L430" s="3">
        <f t="shared" si="24"/>
        <v>4</v>
      </c>
      <c r="M430" s="5">
        <f t="shared" si="23"/>
        <v>0.26451107515611488</v>
      </c>
    </row>
    <row r="431" spans="10:13">
      <c r="J431" s="3">
        <v>21</v>
      </c>
      <c r="K431" s="10">
        <f t="shared" si="22"/>
        <v>6.5299359659586928E-2</v>
      </c>
      <c r="L431" s="3">
        <f t="shared" si="24"/>
        <v>2</v>
      </c>
      <c r="M431" s="5">
        <f t="shared" si="23"/>
        <v>0.13059871931917386</v>
      </c>
    </row>
    <row r="432" spans="10:13">
      <c r="J432" s="3">
        <v>21.05</v>
      </c>
      <c r="K432" s="10">
        <f t="shared" si="22"/>
        <v>6.4478384836121255E-2</v>
      </c>
      <c r="L432" s="3">
        <f t="shared" si="24"/>
        <v>4</v>
      </c>
      <c r="M432" s="5">
        <f t="shared" si="23"/>
        <v>0.25791353934448502</v>
      </c>
    </row>
    <row r="433" spans="10:13">
      <c r="J433" s="3">
        <v>21.1</v>
      </c>
      <c r="K433" s="10">
        <f t="shared" si="22"/>
        <v>6.3664814804851394E-2</v>
      </c>
      <c r="L433" s="3">
        <f t="shared" si="24"/>
        <v>2</v>
      </c>
      <c r="M433" s="5">
        <f t="shared" si="23"/>
        <v>0.12732962960970279</v>
      </c>
    </row>
    <row r="434" spans="10:13">
      <c r="J434" s="3">
        <v>21.15</v>
      </c>
      <c r="K434" s="10">
        <f t="shared" si="22"/>
        <v>6.2858619777641234E-2</v>
      </c>
      <c r="L434" s="3">
        <f t="shared" si="24"/>
        <v>4</v>
      </c>
      <c r="M434" s="5">
        <f t="shared" si="23"/>
        <v>0.25143447911056493</v>
      </c>
    </row>
    <row r="435" spans="10:13">
      <c r="J435" s="3">
        <v>21.2</v>
      </c>
      <c r="K435" s="10">
        <f t="shared" si="22"/>
        <v>6.2059769695384653E-2</v>
      </c>
      <c r="L435" s="3">
        <f t="shared" si="24"/>
        <v>2</v>
      </c>
      <c r="M435" s="5">
        <f t="shared" si="23"/>
        <v>0.12411953939076931</v>
      </c>
    </row>
    <row r="436" spans="10:13">
      <c r="J436" s="3">
        <v>21.25</v>
      </c>
      <c r="K436" s="10">
        <f t="shared" si="22"/>
        <v>6.126823423142494E-2</v>
      </c>
      <c r="L436" s="3">
        <f t="shared" si="24"/>
        <v>4</v>
      </c>
      <c r="M436" s="5">
        <f t="shared" si="23"/>
        <v>0.24507293692569976</v>
      </c>
    </row>
    <row r="437" spans="10:13">
      <c r="J437" s="3">
        <v>21.3</v>
      </c>
      <c r="K437" s="10">
        <f t="shared" si="22"/>
        <v>6.0483982795005421E-2</v>
      </c>
      <c r="L437" s="3">
        <f t="shared" si="24"/>
        <v>2</v>
      </c>
      <c r="M437" s="5">
        <f t="shared" si="23"/>
        <v>0.12096796559001084</v>
      </c>
    </row>
    <row r="438" spans="10:13">
      <c r="J438" s="3">
        <v>21.35</v>
      </c>
      <c r="K438" s="10">
        <f t="shared" si="22"/>
        <v>5.9706984534752816E-2</v>
      </c>
      <c r="L438" s="3">
        <f t="shared" si="24"/>
        <v>4</v>
      </c>
      <c r="M438" s="5">
        <f t="shared" si="23"/>
        <v>0.23882793813901126</v>
      </c>
    </row>
    <row r="439" spans="10:13">
      <c r="J439" s="3">
        <v>21.4</v>
      </c>
      <c r="K439" s="10">
        <f t="shared" si="22"/>
        <v>5.8937208342190552E-2</v>
      </c>
      <c r="L439" s="3">
        <f t="shared" si="24"/>
        <v>2</v>
      </c>
      <c r="M439" s="5">
        <f t="shared" si="23"/>
        <v>0.1178744166843811</v>
      </c>
    </row>
    <row r="440" spans="10:13">
      <c r="J440" s="3">
        <v>21.45</v>
      </c>
      <c r="K440" s="10">
        <f t="shared" si="22"/>
        <v>5.8174622855283728E-2</v>
      </c>
      <c r="L440" s="3">
        <f t="shared" si="24"/>
        <v>4</v>
      </c>
      <c r="M440" s="5">
        <f t="shared" si="23"/>
        <v>0.23269849142113491</v>
      </c>
    </row>
    <row r="441" spans="10:13">
      <c r="J441" s="3">
        <v>21.5</v>
      </c>
      <c r="K441" s="10">
        <f t="shared" si="22"/>
        <v>5.7419196462013489E-2</v>
      </c>
      <c r="L441" s="3">
        <f t="shared" si="24"/>
        <v>2</v>
      </c>
      <c r="M441" s="5">
        <f t="shared" si="23"/>
        <v>0.11483839292402698</v>
      </c>
    </row>
    <row r="442" spans="10:13">
      <c r="J442" s="3">
        <v>21.55</v>
      </c>
      <c r="K442" s="10">
        <f t="shared" si="22"/>
        <v>5.6670897303980942E-2</v>
      </c>
      <c r="L442" s="3">
        <f t="shared" si="24"/>
        <v>4</v>
      </c>
      <c r="M442" s="5">
        <f t="shared" si="23"/>
        <v>0.22668358921592377</v>
      </c>
    </row>
    <row r="443" spans="10:13">
      <c r="J443" s="3">
        <v>21.6</v>
      </c>
      <c r="K443" s="10">
        <f t="shared" si="22"/>
        <v>5.5929693280039765E-2</v>
      </c>
      <c r="L443" s="3">
        <f t="shared" si="24"/>
        <v>2</v>
      </c>
      <c r="M443" s="5">
        <f t="shared" si="23"/>
        <v>0.11185938656007953</v>
      </c>
    </row>
    <row r="444" spans="10:13">
      <c r="J444" s="3">
        <v>21.65</v>
      </c>
      <c r="K444" s="10">
        <f t="shared" si="22"/>
        <v>5.5195552049957734E-2</v>
      </c>
      <c r="L444" s="3">
        <f t="shared" si="24"/>
        <v>4</v>
      </c>
      <c r="M444" s="5">
        <f t="shared" si="23"/>
        <v>0.22078220819983094</v>
      </c>
    </row>
    <row r="445" spans="10:13">
      <c r="J445" s="3">
        <v>21.7</v>
      </c>
      <c r="K445" s="10">
        <f t="shared" si="22"/>
        <v>5.446844103810463E-2</v>
      </c>
      <c r="L445" s="3">
        <f t="shared" si="24"/>
        <v>2</v>
      </c>
      <c r="M445" s="5">
        <f t="shared" si="23"/>
        <v>0.10893688207620926</v>
      </c>
    </row>
    <row r="446" spans="10:13">
      <c r="J446" s="3">
        <v>21.75</v>
      </c>
      <c r="K446" s="10">
        <f t="shared" si="22"/>
        <v>5.3748327437168911E-2</v>
      </c>
      <c r="L446" s="3">
        <f t="shared" si="24"/>
        <v>4</v>
      </c>
      <c r="M446" s="5">
        <f t="shared" si="23"/>
        <v>0.21499330974867564</v>
      </c>
    </row>
    <row r="447" spans="10:13">
      <c r="J447" s="3">
        <v>21.8</v>
      </c>
      <c r="K447" s="10">
        <f t="shared" si="22"/>
        <v>5.3035178211899375E-2</v>
      </c>
      <c r="L447" s="3">
        <f t="shared" si="24"/>
        <v>2</v>
      </c>
      <c r="M447" s="5">
        <f t="shared" si="23"/>
        <v>0.10607035642379875</v>
      </c>
    </row>
    <row r="448" spans="10:13">
      <c r="J448" s="3">
        <v>21.85</v>
      </c>
      <c r="K448" s="10">
        <f t="shared" si="22"/>
        <v>5.2328960102873308E-2</v>
      </c>
      <c r="L448" s="3">
        <f t="shared" si="24"/>
        <v>4</v>
      </c>
      <c r="M448" s="5">
        <f t="shared" si="23"/>
        <v>0.20931584041149323</v>
      </c>
    </row>
    <row r="449" spans="10:13">
      <c r="J449" s="3">
        <v>21.9</v>
      </c>
      <c r="K449" s="10">
        <f t="shared" si="22"/>
        <v>5.1629639630289936E-2</v>
      </c>
      <c r="L449" s="3">
        <f t="shared" si="24"/>
        <v>2</v>
      </c>
      <c r="M449" s="5">
        <f t="shared" si="23"/>
        <v>0.10325927926057987</v>
      </c>
    </row>
    <row r="450" spans="10:13">
      <c r="J450" s="3">
        <v>21.95</v>
      </c>
      <c r="K450" s="10">
        <f t="shared" si="22"/>
        <v>5.0937183097788087E-2</v>
      </c>
      <c r="L450" s="3">
        <f t="shared" si="24"/>
        <v>4</v>
      </c>
      <c r="M450" s="5">
        <f t="shared" si="23"/>
        <v>0.20374873239115235</v>
      </c>
    </row>
    <row r="451" spans="10:13">
      <c r="J451" s="3">
        <v>22</v>
      </c>
      <c r="K451" s="10">
        <f t="shared" si="22"/>
        <v>5.0251556596288098E-2</v>
      </c>
      <c r="L451" s="3">
        <f t="shared" si="24"/>
        <v>2</v>
      </c>
      <c r="M451" s="5">
        <f t="shared" si="23"/>
        <v>0.1005031131925762</v>
      </c>
    </row>
    <row r="452" spans="10:13">
      <c r="J452" s="3">
        <v>22.05</v>
      </c>
      <c r="K452" s="10">
        <f t="shared" si="22"/>
        <v>4.9572726007857094E-2</v>
      </c>
      <c r="L452" s="3">
        <f t="shared" si="24"/>
        <v>4</v>
      </c>
      <c r="M452" s="5">
        <f t="shared" si="23"/>
        <v>0.19829090403142838</v>
      </c>
    </row>
    <row r="453" spans="10:13">
      <c r="J453" s="3">
        <v>22.1</v>
      </c>
      <c r="K453" s="10">
        <f t="shared" si="22"/>
        <v>4.8900657009596081E-2</v>
      </c>
      <c r="L453" s="3">
        <f t="shared" si="24"/>
        <v>2</v>
      </c>
      <c r="M453" s="5">
        <f t="shared" si="23"/>
        <v>9.7801314019192162E-2</v>
      </c>
    </row>
    <row r="454" spans="10:13">
      <c r="J454" s="3">
        <v>22.15</v>
      </c>
      <c r="K454" s="10">
        <f t="shared" si="22"/>
        <v>4.823531507755028E-2</v>
      </c>
      <c r="L454" s="3">
        <f t="shared" si="24"/>
        <v>4</v>
      </c>
      <c r="M454" s="5">
        <f t="shared" si="23"/>
        <v>0.19294126031020112</v>
      </c>
    </row>
    <row r="455" spans="10:13">
      <c r="J455" s="3">
        <v>22.2</v>
      </c>
      <c r="K455" s="10">
        <f t="shared" si="22"/>
        <v>4.7576665490639769E-2</v>
      </c>
      <c r="L455" s="3">
        <f t="shared" si="24"/>
        <v>2</v>
      </c>
      <c r="M455" s="5">
        <f t="shared" si="23"/>
        <v>9.5153330981279538E-2</v>
      </c>
    </row>
    <row r="456" spans="10:13">
      <c r="J456" s="3">
        <v>22.25</v>
      </c>
      <c r="K456" s="10">
        <f t="shared" si="22"/>
        <v>4.6924673334611332E-2</v>
      </c>
      <c r="L456" s="3">
        <f t="shared" si="24"/>
        <v>4</v>
      </c>
      <c r="M456" s="5">
        <f t="shared" si="23"/>
        <v>0.18769869333844533</v>
      </c>
    </row>
    <row r="457" spans="10:13">
      <c r="J457" s="3">
        <v>22.3</v>
      </c>
      <c r="K457" s="10">
        <f t="shared" si="22"/>
        <v>4.6279303506009666E-2</v>
      </c>
      <c r="L457" s="3">
        <f t="shared" si="24"/>
        <v>2</v>
      </c>
      <c r="M457" s="5">
        <f t="shared" si="23"/>
        <v>9.2558607012019331E-2</v>
      </c>
    </row>
    <row r="458" spans="10:13">
      <c r="J458" s="3">
        <v>22.35</v>
      </c>
      <c r="K458" s="10">
        <f t="shared" si="22"/>
        <v>4.5640520716168545E-2</v>
      </c>
      <c r="L458" s="3">
        <f t="shared" si="24"/>
        <v>4</v>
      </c>
      <c r="M458" s="5">
        <f t="shared" si="23"/>
        <v>0.18256208286467418</v>
      </c>
    </row>
    <row r="459" spans="10:13">
      <c r="J459" s="3">
        <v>22.4</v>
      </c>
      <c r="K459" s="10">
        <f t="shared" ref="K459:K522" si="25">(B$6^J459)*(B$7^((B$5^70)*((B$5^J459)-1)))</f>
        <v>4.5008289495220115E-2</v>
      </c>
      <c r="L459" s="3">
        <f t="shared" si="24"/>
        <v>2</v>
      </c>
      <c r="M459" s="5">
        <f t="shared" si="23"/>
        <v>9.001657899044023E-2</v>
      </c>
    </row>
    <row r="460" spans="10:13">
      <c r="J460" s="3">
        <v>22.45</v>
      </c>
      <c r="K460" s="10">
        <f t="shared" si="25"/>
        <v>4.4382574196121898E-2</v>
      </c>
      <c r="L460" s="3">
        <f t="shared" si="24"/>
        <v>4</v>
      </c>
      <c r="M460" s="5">
        <f t="shared" ref="M460:M523" si="26">K460*L460</f>
        <v>0.17753029678448759</v>
      </c>
    </row>
    <row r="461" spans="10:13">
      <c r="J461" s="3">
        <v>22.5</v>
      </c>
      <c r="K461" s="10">
        <f t="shared" si="25"/>
        <v>4.376333899870162E-2</v>
      </c>
      <c r="L461" s="3">
        <f t="shared" si="24"/>
        <v>2</v>
      </c>
      <c r="M461" s="5">
        <f t="shared" si="26"/>
        <v>8.7526677997403241E-2</v>
      </c>
    </row>
    <row r="462" spans="10:13">
      <c r="J462" s="3">
        <v>22.55</v>
      </c>
      <c r="K462" s="10">
        <f t="shared" si="25"/>
        <v>4.3150547913717613E-2</v>
      </c>
      <c r="L462" s="3">
        <f t="shared" ref="L462:L525" si="27">IF(L461=4,2,4)</f>
        <v>4</v>
      </c>
      <c r="M462" s="5">
        <f t="shared" si="26"/>
        <v>0.17260219165487045</v>
      </c>
    </row>
    <row r="463" spans="10:13">
      <c r="J463" s="3">
        <v>22.6</v>
      </c>
      <c r="K463" s="10">
        <f t="shared" si="25"/>
        <v>4.2544164786935908E-2</v>
      </c>
      <c r="L463" s="3">
        <f t="shared" si="27"/>
        <v>2</v>
      </c>
      <c r="M463" s="5">
        <f t="shared" si="26"/>
        <v>8.5088329573871815E-2</v>
      </c>
    </row>
    <row r="464" spans="10:13">
      <c r="J464" s="3">
        <v>22.65</v>
      </c>
      <c r="K464" s="10">
        <f t="shared" si="25"/>
        <v>4.1944153303221286E-2</v>
      </c>
      <c r="L464" s="3">
        <f t="shared" si="27"/>
        <v>4</v>
      </c>
      <c r="M464" s="5">
        <f t="shared" si="26"/>
        <v>0.16777661321288515</v>
      </c>
    </row>
    <row r="465" spans="10:13">
      <c r="J465" s="3">
        <v>22.7</v>
      </c>
      <c r="K465" s="10">
        <f t="shared" si="25"/>
        <v>4.135047699064355E-2</v>
      </c>
      <c r="L465" s="3">
        <f t="shared" si="27"/>
        <v>2</v>
      </c>
      <c r="M465" s="5">
        <f t="shared" si="26"/>
        <v>8.2700953981287101E-2</v>
      </c>
    </row>
    <row r="466" spans="10:13">
      <c r="J466" s="3">
        <v>22.75</v>
      </c>
      <c r="K466" s="10">
        <f t="shared" si="25"/>
        <v>4.0763099224596706E-2</v>
      </c>
      <c r="L466" s="3">
        <f t="shared" si="27"/>
        <v>4</v>
      </c>
      <c r="M466" s="5">
        <f t="shared" si="26"/>
        <v>0.16305239689838683</v>
      </c>
    </row>
    <row r="467" spans="10:13">
      <c r="J467" s="3">
        <v>22.8</v>
      </c>
      <c r="K467" s="10">
        <f t="shared" si="25"/>
        <v>4.0181983231931423E-2</v>
      </c>
      <c r="L467" s="3">
        <f t="shared" si="27"/>
        <v>2</v>
      </c>
      <c r="M467" s="5">
        <f t="shared" si="26"/>
        <v>8.0363966463862846E-2</v>
      </c>
    </row>
    <row r="468" spans="10:13">
      <c r="J468" s="3">
        <v>22.85</v>
      </c>
      <c r="K468" s="10">
        <f t="shared" si="25"/>
        <v>3.9607092095099189E-2</v>
      </c>
      <c r="L468" s="3">
        <f t="shared" si="27"/>
        <v>4</v>
      </c>
      <c r="M468" s="5">
        <f t="shared" si="26"/>
        <v>0.15842836838039676</v>
      </c>
    </row>
    <row r="469" spans="10:13">
      <c r="J469" s="3">
        <v>22.9</v>
      </c>
      <c r="K469" s="10">
        <f t="shared" si="25"/>
        <v>3.9038388756308016E-2</v>
      </c>
      <c r="L469" s="3">
        <f t="shared" si="27"/>
        <v>2</v>
      </c>
      <c r="M469" s="5">
        <f t="shared" si="26"/>
        <v>7.8076777512616033E-2</v>
      </c>
    </row>
    <row r="470" spans="10:13">
      <c r="J470" s="3">
        <v>22.95</v>
      </c>
      <c r="K470" s="10">
        <f t="shared" si="25"/>
        <v>3.8475836021688491E-2</v>
      </c>
      <c r="L470" s="3">
        <f t="shared" si="27"/>
        <v>4</v>
      </c>
      <c r="M470" s="5">
        <f t="shared" si="26"/>
        <v>0.15390334408675396</v>
      </c>
    </row>
    <row r="471" spans="10:13">
      <c r="J471" s="3">
        <v>23</v>
      </c>
      <c r="K471" s="10">
        <f t="shared" si="25"/>
        <v>3.7919396565469991E-2</v>
      </c>
      <c r="L471" s="3">
        <f t="shared" si="27"/>
        <v>2</v>
      </c>
      <c r="M471" s="5">
        <f t="shared" si="26"/>
        <v>7.5838793130939983E-2</v>
      </c>
    </row>
    <row r="472" spans="10:13">
      <c r="J472" s="3">
        <v>23.05</v>
      </c>
      <c r="K472" s="10">
        <f t="shared" si="25"/>
        <v>3.7369032934165984E-2</v>
      </c>
      <c r="L472" s="3">
        <f t="shared" si="27"/>
        <v>4</v>
      </c>
      <c r="M472" s="5">
        <f t="shared" si="26"/>
        <v>0.14947613173666394</v>
      </c>
    </row>
    <row r="473" spans="10:13">
      <c r="J473" s="3">
        <v>23.1</v>
      </c>
      <c r="K473" s="10">
        <f t="shared" si="25"/>
        <v>3.6824707550766736E-2</v>
      </c>
      <c r="L473" s="3">
        <f t="shared" si="27"/>
        <v>2</v>
      </c>
      <c r="M473" s="5">
        <f t="shared" si="26"/>
        <v>7.3649415101533472E-2</v>
      </c>
    </row>
    <row r="474" spans="10:13">
      <c r="J474" s="3">
        <v>23.15</v>
      </c>
      <c r="K474" s="10">
        <f t="shared" si="25"/>
        <v>3.6286382718940996E-2</v>
      </c>
      <c r="L474" s="3">
        <f t="shared" si="27"/>
        <v>4</v>
      </c>
      <c r="M474" s="5">
        <f t="shared" si="26"/>
        <v>0.14514553087576398</v>
      </c>
    </row>
    <row r="475" spans="10:13">
      <c r="J475" s="3">
        <v>23.2</v>
      </c>
      <c r="K475" s="10">
        <f t="shared" si="25"/>
        <v>3.5754020627243401E-2</v>
      </c>
      <c r="L475" s="3">
        <f t="shared" si="27"/>
        <v>2</v>
      </c>
      <c r="M475" s="5">
        <f t="shared" si="26"/>
        <v>7.1508041254486801E-2</v>
      </c>
    </row>
    <row r="476" spans="10:13">
      <c r="J476" s="3">
        <v>23.25</v>
      </c>
      <c r="K476" s="10">
        <f t="shared" si="25"/>
        <v>3.522758335332804E-2</v>
      </c>
      <c r="L476" s="3">
        <f t="shared" si="27"/>
        <v>4</v>
      </c>
      <c r="M476" s="5">
        <f t="shared" si="26"/>
        <v>0.14091033341331216</v>
      </c>
    </row>
    <row r="477" spans="10:13">
      <c r="J477" s="3">
        <v>23.3</v>
      </c>
      <c r="K477" s="10">
        <f t="shared" si="25"/>
        <v>3.4707032868167689E-2</v>
      </c>
      <c r="L477" s="3">
        <f t="shared" si="27"/>
        <v>2</v>
      </c>
      <c r="M477" s="5">
        <f t="shared" si="26"/>
        <v>6.9414065736335379E-2</v>
      </c>
    </row>
    <row r="478" spans="10:13">
      <c r="J478" s="3">
        <v>23.35</v>
      </c>
      <c r="K478" s="10">
        <f t="shared" si="25"/>
        <v>3.4192331040277045E-2</v>
      </c>
      <c r="L478" s="3">
        <f t="shared" si="27"/>
        <v>4</v>
      </c>
      <c r="M478" s="5">
        <f t="shared" si="26"/>
        <v>0.13676932416110818</v>
      </c>
    </row>
    <row r="479" spans="10:13">
      <c r="J479" s="3">
        <v>23.4</v>
      </c>
      <c r="K479" s="10">
        <f t="shared" si="25"/>
        <v>3.3683439639939916E-2</v>
      </c>
      <c r="L479" s="3">
        <f t="shared" si="27"/>
        <v>2</v>
      </c>
      <c r="M479" s="5">
        <f t="shared" si="26"/>
        <v>6.7366879279879832E-2</v>
      </c>
    </row>
    <row r="480" spans="10:13">
      <c r="J480" s="3">
        <v>23.45</v>
      </c>
      <c r="K480" s="10">
        <f t="shared" si="25"/>
        <v>3.3180320343438804E-2</v>
      </c>
      <c r="L480" s="3">
        <f t="shared" si="27"/>
        <v>4</v>
      </c>
      <c r="M480" s="5">
        <f t="shared" si="26"/>
        <v>0.13272128137375522</v>
      </c>
    </row>
    <row r="481" spans="10:13">
      <c r="J481" s="3">
        <v>23.5</v>
      </c>
      <c r="K481" s="10">
        <f t="shared" si="25"/>
        <v>3.2682934737287568E-2</v>
      </c>
      <c r="L481" s="3">
        <f t="shared" si="27"/>
        <v>2</v>
      </c>
      <c r="M481" s="5">
        <f t="shared" si="26"/>
        <v>6.5365869474575136E-2</v>
      </c>
    </row>
    <row r="482" spans="10:13">
      <c r="J482" s="3">
        <v>23.55</v>
      </c>
      <c r="K482" s="10">
        <f t="shared" si="25"/>
        <v>3.2191244322464313E-2</v>
      </c>
      <c r="L482" s="3">
        <f t="shared" si="27"/>
        <v>4</v>
      </c>
      <c r="M482" s="5">
        <f t="shared" si="26"/>
        <v>0.12876497728985725</v>
      </c>
    </row>
    <row r="483" spans="10:13">
      <c r="J483" s="3">
        <v>23.6</v>
      </c>
      <c r="K483" s="10">
        <f t="shared" si="25"/>
        <v>3.170521051864568E-2</v>
      </c>
      <c r="L483" s="3">
        <f t="shared" si="27"/>
        <v>2</v>
      </c>
      <c r="M483" s="5">
        <f t="shared" si="26"/>
        <v>6.3410421037291359E-2</v>
      </c>
    </row>
    <row r="484" spans="10:13">
      <c r="J484" s="3">
        <v>23.65</v>
      </c>
      <c r="K484" s="10">
        <f t="shared" si="25"/>
        <v>3.122479466844023E-2</v>
      </c>
      <c r="L484" s="3">
        <f t="shared" si="27"/>
        <v>4</v>
      </c>
      <c r="M484" s="5">
        <f t="shared" si="26"/>
        <v>0.12489917867376092</v>
      </c>
    </row>
    <row r="485" spans="10:13">
      <c r="J485" s="3">
        <v>23.7</v>
      </c>
      <c r="K485" s="10">
        <f t="shared" si="25"/>
        <v>3.0749958041621232E-2</v>
      </c>
      <c r="L485" s="3">
        <f t="shared" si="27"/>
        <v>2</v>
      </c>
      <c r="M485" s="5">
        <f t="shared" si="26"/>
        <v>6.1499916083242463E-2</v>
      </c>
    </row>
    <row r="486" spans="10:13">
      <c r="J486" s="3">
        <v>23.75</v>
      </c>
      <c r="K486" s="10">
        <f t="shared" si="25"/>
        <v>3.0280661839357556E-2</v>
      </c>
      <c r="L486" s="3">
        <f t="shared" si="27"/>
        <v>4</v>
      </c>
      <c r="M486" s="5">
        <f t="shared" si="26"/>
        <v>0.12112264735743022</v>
      </c>
    </row>
    <row r="487" spans="10:13">
      <c r="J487" s="3">
        <v>23.8</v>
      </c>
      <c r="K487" s="10">
        <f t="shared" si="25"/>
        <v>2.9816867198441871E-2</v>
      </c>
      <c r="L487" s="3">
        <f t="shared" si="27"/>
        <v>2</v>
      </c>
      <c r="M487" s="5">
        <f t="shared" si="26"/>
        <v>5.9633734396883742E-2</v>
      </c>
    </row>
    <row r="488" spans="10:13">
      <c r="J488" s="3">
        <v>23.85</v>
      </c>
      <c r="K488" s="10">
        <f t="shared" si="25"/>
        <v>2.9358535195515349E-2</v>
      </c>
      <c r="L488" s="3">
        <f t="shared" si="27"/>
        <v>4</v>
      </c>
      <c r="M488" s="5">
        <f t="shared" si="26"/>
        <v>0.11743414078206139</v>
      </c>
    </row>
    <row r="489" spans="10:13">
      <c r="J489" s="3">
        <v>23.9</v>
      </c>
      <c r="K489" s="10">
        <f t="shared" si="25"/>
        <v>2.8905626851288412E-2</v>
      </c>
      <c r="L489" s="3">
        <f t="shared" si="27"/>
        <v>2</v>
      </c>
      <c r="M489" s="5">
        <f t="shared" si="26"/>
        <v>5.7811253702576823E-2</v>
      </c>
    </row>
    <row r="490" spans="10:13">
      <c r="J490" s="3">
        <v>23.95</v>
      </c>
      <c r="K490" s="10">
        <f t="shared" si="25"/>
        <v>2.8458103134756146E-2</v>
      </c>
      <c r="L490" s="3">
        <f t="shared" si="27"/>
        <v>4</v>
      </c>
      <c r="M490" s="5">
        <f t="shared" si="26"/>
        <v>0.11383241253902458</v>
      </c>
    </row>
    <row r="491" spans="10:13">
      <c r="J491" s="3">
        <v>24</v>
      </c>
      <c r="K491" s="10">
        <f t="shared" si="25"/>
        <v>2.801592496740845E-2</v>
      </c>
      <c r="L491" s="3">
        <f t="shared" si="27"/>
        <v>2</v>
      </c>
      <c r="M491" s="5">
        <f t="shared" si="26"/>
        <v>5.6031849934816899E-2</v>
      </c>
    </row>
    <row r="492" spans="10:13">
      <c r="J492" s="3">
        <v>24.05</v>
      </c>
      <c r="K492" s="10">
        <f t="shared" si="25"/>
        <v>2.7579053227433314E-2</v>
      </c>
      <c r="L492" s="3">
        <f t="shared" si="27"/>
        <v>4</v>
      </c>
      <c r="M492" s="5">
        <f t="shared" si="26"/>
        <v>0.11031621290973326</v>
      </c>
    </row>
    <row r="493" spans="10:13">
      <c r="J493" s="3">
        <v>24.1</v>
      </c>
      <c r="K493" s="10">
        <f t="shared" si="25"/>
        <v>2.7147448753912402E-2</v>
      </c>
      <c r="L493" s="3">
        <f t="shared" si="27"/>
        <v>2</v>
      </c>
      <c r="M493" s="5">
        <f t="shared" si="26"/>
        <v>5.4294897507824805E-2</v>
      </c>
    </row>
    <row r="494" spans="10:13">
      <c r="J494" s="3">
        <v>24.15</v>
      </c>
      <c r="K494" s="10">
        <f t="shared" si="25"/>
        <v>2.6721072351009349E-2</v>
      </c>
      <c r="L494" s="3">
        <f t="shared" si="27"/>
        <v>4</v>
      </c>
      <c r="M494" s="5">
        <f t="shared" si="26"/>
        <v>0.10688428940403739</v>
      </c>
    </row>
    <row r="495" spans="10:13">
      <c r="J495" s="3">
        <v>24.2</v>
      </c>
      <c r="K495" s="10">
        <f t="shared" si="25"/>
        <v>2.6299884792148211E-2</v>
      </c>
      <c r="L495" s="3">
        <f t="shared" si="27"/>
        <v>2</v>
      </c>
      <c r="M495" s="5">
        <f t="shared" si="26"/>
        <v>5.2599769584296421E-2</v>
      </c>
    </row>
    <row r="496" spans="10:13">
      <c r="J496" s="3">
        <v>24.25</v>
      </c>
      <c r="K496" s="10">
        <f t="shared" si="25"/>
        <v>2.5883846824183047E-2</v>
      </c>
      <c r="L496" s="3">
        <f t="shared" si="27"/>
        <v>4</v>
      </c>
      <c r="M496" s="5">
        <f t="shared" si="26"/>
        <v>0.10353538729673219</v>
      </c>
    </row>
    <row r="497" spans="10:13">
      <c r="J497" s="3">
        <v>24.3</v>
      </c>
      <c r="K497" s="10">
        <f t="shared" si="25"/>
        <v>2.5472919171556328E-2</v>
      </c>
      <c r="L497" s="3">
        <f t="shared" si="27"/>
        <v>2</v>
      </c>
      <c r="M497" s="5">
        <f t="shared" si="26"/>
        <v>5.0945838343112657E-2</v>
      </c>
    </row>
    <row r="498" spans="10:13">
      <c r="J498" s="3">
        <v>24.35</v>
      </c>
      <c r="K498" s="10">
        <f t="shared" si="25"/>
        <v>2.5067062540446463E-2</v>
      </c>
      <c r="L498" s="3">
        <f t="shared" si="27"/>
        <v>4</v>
      </c>
      <c r="M498" s="5">
        <f t="shared" si="26"/>
        <v>0.10026825016178585</v>
      </c>
    </row>
    <row r="499" spans="10:13">
      <c r="J499" s="3">
        <v>24.4</v>
      </c>
      <c r="K499" s="10">
        <f t="shared" si="25"/>
        <v>2.4666237622903157E-2</v>
      </c>
      <c r="L499" s="3">
        <f t="shared" si="27"/>
        <v>2</v>
      </c>
      <c r="M499" s="5">
        <f t="shared" si="26"/>
        <v>4.9332475245806313E-2</v>
      </c>
    </row>
    <row r="500" spans="10:13">
      <c r="J500" s="3">
        <v>24.45</v>
      </c>
      <c r="K500" s="10">
        <f t="shared" si="25"/>
        <v>2.4270405100969852E-2</v>
      </c>
      <c r="L500" s="3">
        <f t="shared" si="27"/>
        <v>4</v>
      </c>
      <c r="M500" s="5">
        <f t="shared" si="26"/>
        <v>9.7081620403879409E-2</v>
      </c>
    </row>
    <row r="501" spans="10:13">
      <c r="J501" s="3">
        <v>24.5</v>
      </c>
      <c r="K501" s="10">
        <f t="shared" si="25"/>
        <v>2.3879525650792814E-2</v>
      </c>
      <c r="L501" s="3">
        <f t="shared" si="27"/>
        <v>2</v>
      </c>
      <c r="M501" s="5">
        <f t="shared" si="26"/>
        <v>4.7759051301585628E-2</v>
      </c>
    </row>
    <row r="502" spans="10:13">
      <c r="J502" s="3">
        <v>24.55</v>
      </c>
      <c r="K502" s="10">
        <f t="shared" si="25"/>
        <v>2.3493559946715627E-2</v>
      </c>
      <c r="L502" s="3">
        <f t="shared" si="27"/>
        <v>4</v>
      </c>
      <c r="M502" s="5">
        <f t="shared" si="26"/>
        <v>9.3974239786862507E-2</v>
      </c>
    </row>
    <row r="503" spans="10:13">
      <c r="J503" s="3">
        <v>24.6</v>
      </c>
      <c r="K503" s="10">
        <f t="shared" si="25"/>
        <v>2.3112468665358595E-2</v>
      </c>
      <c r="L503" s="3">
        <f t="shared" si="27"/>
        <v>2</v>
      </c>
      <c r="M503" s="5">
        <f t="shared" si="26"/>
        <v>4.622493733071719E-2</v>
      </c>
    </row>
    <row r="504" spans="10:13">
      <c r="J504" s="3">
        <v>24.65</v>
      </c>
      <c r="K504" s="10">
        <f t="shared" si="25"/>
        <v>2.2736212489682359E-2</v>
      </c>
      <c r="L504" s="3">
        <f t="shared" si="27"/>
        <v>4</v>
      </c>
      <c r="M504" s="5">
        <f t="shared" si="26"/>
        <v>9.0944849958729437E-2</v>
      </c>
    </row>
    <row r="505" spans="10:13">
      <c r="J505" s="3">
        <v>24.7</v>
      </c>
      <c r="K505" s="10">
        <f t="shared" si="25"/>
        <v>2.2364752113034451E-2</v>
      </c>
      <c r="L505" s="3">
        <f t="shared" si="27"/>
        <v>2</v>
      </c>
      <c r="M505" s="5">
        <f t="shared" si="26"/>
        <v>4.4729504226068903E-2</v>
      </c>
    </row>
    <row r="506" spans="10:13">
      <c r="J506" s="3">
        <v>24.75</v>
      </c>
      <c r="K506" s="10">
        <f t="shared" si="25"/>
        <v>2.1998048243179181E-2</v>
      </c>
      <c r="L506" s="3">
        <f t="shared" si="27"/>
        <v>4</v>
      </c>
      <c r="M506" s="5">
        <f t="shared" si="26"/>
        <v>8.7992192972716723E-2</v>
      </c>
    </row>
    <row r="507" spans="10:13">
      <c r="J507" s="3">
        <v>24.8</v>
      </c>
      <c r="K507" s="10">
        <f t="shared" si="25"/>
        <v>2.1636061606308585E-2</v>
      </c>
      <c r="L507" s="3">
        <f t="shared" si="27"/>
        <v>2</v>
      </c>
      <c r="M507" s="5">
        <f t="shared" si="26"/>
        <v>4.327212321261717E-2</v>
      </c>
    </row>
    <row r="508" spans="10:13">
      <c r="J508" s="3">
        <v>24.85</v>
      </c>
      <c r="K508" s="10">
        <f t="shared" si="25"/>
        <v>2.1278752951034822E-2</v>
      </c>
      <c r="L508" s="3">
        <f t="shared" si="27"/>
        <v>4</v>
      </c>
      <c r="M508" s="5">
        <f t="shared" si="26"/>
        <v>8.5115011804139287E-2</v>
      </c>
    </row>
    <row r="509" spans="10:13">
      <c r="J509" s="3">
        <v>24.9</v>
      </c>
      <c r="K509" s="10">
        <f t="shared" si="25"/>
        <v>2.0926083052362848E-2</v>
      </c>
      <c r="L509" s="3">
        <f t="shared" si="27"/>
        <v>2</v>
      </c>
      <c r="M509" s="5">
        <f t="shared" si="26"/>
        <v>4.1852166104725697E-2</v>
      </c>
    </row>
    <row r="510" spans="10:13">
      <c r="J510" s="3">
        <v>24.95</v>
      </c>
      <c r="K510" s="10">
        <f t="shared" si="25"/>
        <v>2.0578012715642656E-2</v>
      </c>
      <c r="L510" s="3">
        <f t="shared" si="27"/>
        <v>4</v>
      </c>
      <c r="M510" s="5">
        <f t="shared" si="26"/>
        <v>8.2312050862570624E-2</v>
      </c>
    </row>
    <row r="511" spans="10:13">
      <c r="J511" s="3">
        <v>25</v>
      </c>
      <c r="K511" s="10">
        <f t="shared" si="25"/>
        <v>2.0234502780500426E-2</v>
      </c>
      <c r="L511" s="3">
        <f t="shared" si="27"/>
        <v>2</v>
      </c>
      <c r="M511" s="5">
        <f t="shared" si="26"/>
        <v>4.0469005561000852E-2</v>
      </c>
    </row>
    <row r="512" spans="10:13">
      <c r="J512" s="3">
        <v>25.05</v>
      </c>
      <c r="K512" s="10">
        <f t="shared" si="25"/>
        <v>1.9895514124747913E-2</v>
      </c>
      <c r="L512" s="3">
        <f t="shared" si="27"/>
        <v>4</v>
      </c>
      <c r="M512" s="5">
        <f t="shared" si="26"/>
        <v>7.9582056498991652E-2</v>
      </c>
    </row>
    <row r="513" spans="10:13">
      <c r="J513" s="3">
        <v>25.1</v>
      </c>
      <c r="K513" s="10">
        <f t="shared" si="25"/>
        <v>1.9561007668268682E-2</v>
      </c>
      <c r="L513" s="3">
        <f t="shared" si="27"/>
        <v>2</v>
      </c>
      <c r="M513" s="5">
        <f t="shared" si="26"/>
        <v>3.9122015336537364E-2</v>
      </c>
    </row>
    <row r="514" spans="10:13">
      <c r="J514" s="3">
        <v>25.15</v>
      </c>
      <c r="K514" s="10">
        <f t="shared" si="25"/>
        <v>1.923094437688188E-2</v>
      </c>
      <c r="L514" s="3">
        <f t="shared" si="27"/>
        <v>4</v>
      </c>
      <c r="M514" s="5">
        <f t="shared" si="26"/>
        <v>7.6923777507527519E-2</v>
      </c>
    </row>
    <row r="515" spans="10:13">
      <c r="J515" s="3">
        <v>25.2</v>
      </c>
      <c r="K515" s="10">
        <f t="shared" si="25"/>
        <v>1.8905285266181321E-2</v>
      </c>
      <c r="L515" s="3">
        <f t="shared" si="27"/>
        <v>2</v>
      </c>
      <c r="M515" s="5">
        <f t="shared" si="26"/>
        <v>3.7810570532362642E-2</v>
      </c>
    </row>
    <row r="516" spans="10:13">
      <c r="J516" s="3">
        <v>25.25</v>
      </c>
      <c r="K516" s="10">
        <f t="shared" si="25"/>
        <v>1.8583991405350195E-2</v>
      </c>
      <c r="L516" s="3">
        <f t="shared" si="27"/>
        <v>4</v>
      </c>
      <c r="M516" s="5">
        <f t="shared" si="26"/>
        <v>7.4335965621400782E-2</v>
      </c>
    </row>
    <row r="517" spans="10:13">
      <c r="J517" s="3">
        <v>25.3</v>
      </c>
      <c r="K517" s="10">
        <f t="shared" si="25"/>
        <v>1.8267023920950171E-2</v>
      </c>
      <c r="L517" s="3">
        <f t="shared" si="27"/>
        <v>2</v>
      </c>
      <c r="M517" s="5">
        <f t="shared" si="26"/>
        <v>3.6534047841900341E-2</v>
      </c>
    </row>
    <row r="518" spans="10:13">
      <c r="J518" s="3">
        <v>25.35</v>
      </c>
      <c r="K518" s="10">
        <f t="shared" si="25"/>
        <v>1.7954344000684436E-2</v>
      </c>
      <c r="L518" s="3">
        <f t="shared" si="27"/>
        <v>4</v>
      </c>
      <c r="M518" s="5">
        <f t="shared" si="26"/>
        <v>7.1817376002737743E-2</v>
      </c>
    </row>
    <row r="519" spans="10:13">
      <c r="J519" s="3">
        <v>25.4</v>
      </c>
      <c r="K519" s="10">
        <f t="shared" si="25"/>
        <v>1.7645912897133898E-2</v>
      </c>
      <c r="L519" s="3">
        <f t="shared" si="27"/>
        <v>2</v>
      </c>
      <c r="M519" s="5">
        <f t="shared" si="26"/>
        <v>3.5291825794267796E-2</v>
      </c>
    </row>
    <row r="520" spans="10:13">
      <c r="J520" s="3">
        <v>25.45</v>
      </c>
      <c r="K520" s="10">
        <f t="shared" si="25"/>
        <v>1.7341691931465932E-2</v>
      </c>
      <c r="L520" s="3">
        <f t="shared" si="27"/>
        <v>4</v>
      </c>
      <c r="M520" s="5">
        <f t="shared" si="26"/>
        <v>6.9366767725863726E-2</v>
      </c>
    </row>
    <row r="521" spans="10:13">
      <c r="J521" s="3">
        <v>25.5</v>
      </c>
      <c r="K521" s="10">
        <f t="shared" si="25"/>
        <v>1.7041642497115095E-2</v>
      </c>
      <c r="L521" s="3">
        <f t="shared" si="27"/>
        <v>2</v>
      </c>
      <c r="M521" s="5">
        <f t="shared" si="26"/>
        <v>3.408328499423019E-2</v>
      </c>
    </row>
    <row r="522" spans="10:13">
      <c r="J522" s="3">
        <v>25.55</v>
      </c>
      <c r="K522" s="10">
        <f t="shared" si="25"/>
        <v>1.6745726063434711E-2</v>
      </c>
      <c r="L522" s="3">
        <f t="shared" si="27"/>
        <v>4</v>
      </c>
      <c r="M522" s="5">
        <f t="shared" si="26"/>
        <v>6.6982904253738845E-2</v>
      </c>
    </row>
    <row r="523" spans="10:13">
      <c r="J523" s="3">
        <v>25.6</v>
      </c>
      <c r="K523" s="10">
        <f t="shared" ref="K523:K586" si="28">(B$6^J523)*(B$7^((B$5^70)*((B$5^J523)-1)))</f>
        <v>1.6453904179319266E-2</v>
      </c>
      <c r="L523" s="3">
        <f t="shared" si="27"/>
        <v>2</v>
      </c>
      <c r="M523" s="5">
        <f t="shared" si="26"/>
        <v>3.2907808358638532E-2</v>
      </c>
    </row>
    <row r="524" spans="10:13">
      <c r="J524" s="3">
        <v>25.65</v>
      </c>
      <c r="K524" s="10">
        <f t="shared" si="28"/>
        <v>1.6166138476796581E-2</v>
      </c>
      <c r="L524" s="3">
        <f t="shared" si="27"/>
        <v>4</v>
      </c>
      <c r="M524" s="5">
        <f t="shared" ref="M524:M587" si="29">K524*L524</f>
        <v>6.4664553907186326E-2</v>
      </c>
    </row>
    <row r="525" spans="10:13">
      <c r="J525" s="3">
        <v>25.7</v>
      </c>
      <c r="K525" s="10">
        <f t="shared" si="28"/>
        <v>1.5882390674589093E-2</v>
      </c>
      <c r="L525" s="3">
        <f t="shared" si="27"/>
        <v>2</v>
      </c>
      <c r="M525" s="5">
        <f t="shared" si="29"/>
        <v>3.1764781349178185E-2</v>
      </c>
    </row>
    <row r="526" spans="10:13">
      <c r="J526" s="3">
        <v>25.75</v>
      </c>
      <c r="K526" s="10">
        <f t="shared" si="28"/>
        <v>1.560262258164395E-2</v>
      </c>
      <c r="L526" s="3">
        <f t="shared" ref="L526:L589" si="30">IF(L525=4,2,4)</f>
        <v>4</v>
      </c>
      <c r="M526" s="5">
        <f t="shared" si="29"/>
        <v>6.24104903265758E-2</v>
      </c>
    </row>
    <row r="527" spans="10:13">
      <c r="J527" s="3">
        <v>25.8</v>
      </c>
      <c r="K527" s="10">
        <f t="shared" si="28"/>
        <v>1.5326796100630997E-2</v>
      </c>
      <c r="L527" s="3">
        <f t="shared" si="30"/>
        <v>2</v>
      </c>
      <c r="M527" s="5">
        <f t="shared" si="29"/>
        <v>3.0653592201261994E-2</v>
      </c>
    </row>
    <row r="528" spans="10:13">
      <c r="J528" s="3">
        <v>25.85</v>
      </c>
      <c r="K528" s="10">
        <f t="shared" si="28"/>
        <v>1.5054873231408007E-2</v>
      </c>
      <c r="L528" s="3">
        <f t="shared" si="30"/>
        <v>4</v>
      </c>
      <c r="M528" s="5">
        <f t="shared" si="29"/>
        <v>6.0219492925632029E-2</v>
      </c>
    </row>
    <row r="529" spans="10:13">
      <c r="J529" s="3">
        <v>25.9</v>
      </c>
      <c r="K529" s="10">
        <f t="shared" si="28"/>
        <v>1.4786816074452924E-2</v>
      </c>
      <c r="L529" s="3">
        <f t="shared" si="30"/>
        <v>2</v>
      </c>
      <c r="M529" s="5">
        <f t="shared" si="29"/>
        <v>2.9573632148905848E-2</v>
      </c>
    </row>
    <row r="530" spans="10:13">
      <c r="J530" s="3">
        <v>25.95</v>
      </c>
      <c r="K530" s="10">
        <f t="shared" si="28"/>
        <v>1.4522586834261901E-2</v>
      </c>
      <c r="L530" s="3">
        <f t="shared" si="30"/>
        <v>4</v>
      </c>
      <c r="M530" s="5">
        <f t="shared" si="29"/>
        <v>5.8090347337047606E-2</v>
      </c>
    </row>
    <row r="531" spans="10:13">
      <c r="J531" s="3">
        <v>26</v>
      </c>
      <c r="K531" s="10">
        <f t="shared" si="28"/>
        <v>1.42621478227134E-2</v>
      </c>
      <c r="L531" s="3">
        <f t="shared" si="30"/>
        <v>2</v>
      </c>
      <c r="M531" s="5">
        <f t="shared" si="29"/>
        <v>2.85242956454268E-2</v>
      </c>
    </row>
    <row r="532" spans="10:13">
      <c r="J532" s="3">
        <v>26.05</v>
      </c>
      <c r="K532" s="10">
        <f t="shared" si="28"/>
        <v>1.4005461462396864E-2</v>
      </c>
      <c r="L532" s="3">
        <f t="shared" si="30"/>
        <v>4</v>
      </c>
      <c r="M532" s="5">
        <f t="shared" si="29"/>
        <v>5.6021845849587457E-2</v>
      </c>
    </row>
    <row r="533" spans="10:13">
      <c r="J533" s="3">
        <v>26.1</v>
      </c>
      <c r="K533" s="10">
        <f t="shared" si="28"/>
        <v>1.375249028990588E-2</v>
      </c>
      <c r="L533" s="3">
        <f t="shared" si="30"/>
        <v>2</v>
      </c>
      <c r="M533" s="5">
        <f t="shared" si="29"/>
        <v>2.7504980579811759E-2</v>
      </c>
    </row>
    <row r="534" spans="10:13">
      <c r="J534" s="3">
        <v>26.15</v>
      </c>
      <c r="K534" s="10">
        <f t="shared" si="28"/>
        <v>1.3503196959095553E-2</v>
      </c>
      <c r="L534" s="3">
        <f t="shared" si="30"/>
        <v>4</v>
      </c>
      <c r="M534" s="5">
        <f t="shared" si="29"/>
        <v>5.4012787836382213E-2</v>
      </c>
    </row>
    <row r="535" spans="10:13">
      <c r="J535" s="3">
        <v>26.2</v>
      </c>
      <c r="K535" s="10">
        <f t="shared" si="28"/>
        <v>1.3257544244302755E-2</v>
      </c>
      <c r="L535" s="3">
        <f t="shared" si="30"/>
        <v>2</v>
      </c>
      <c r="M535" s="5">
        <f t="shared" si="29"/>
        <v>2.6515088488605509E-2</v>
      </c>
    </row>
    <row r="536" spans="10:13">
      <c r="J536" s="3">
        <v>26.25</v>
      </c>
      <c r="K536" s="10">
        <f t="shared" si="28"/>
        <v>1.3015495043529448E-2</v>
      </c>
      <c r="L536" s="3">
        <f t="shared" si="30"/>
        <v>4</v>
      </c>
      <c r="M536" s="5">
        <f t="shared" si="29"/>
        <v>5.206198017411779E-2</v>
      </c>
    </row>
    <row r="537" spans="10:13">
      <c r="J537" s="3">
        <v>26.3</v>
      </c>
      <c r="K537" s="10">
        <f t="shared" si="28"/>
        <v>1.2777012381588142E-2</v>
      </c>
      <c r="L537" s="3">
        <f t="shared" si="30"/>
        <v>2</v>
      </c>
      <c r="M537" s="5">
        <f t="shared" si="29"/>
        <v>2.5554024763176284E-2</v>
      </c>
    </row>
    <row r="538" spans="10:13">
      <c r="J538" s="3">
        <v>26.35</v>
      </c>
      <c r="K538" s="10">
        <f t="shared" si="28"/>
        <v>1.254205941320923E-2</v>
      </c>
      <c r="L538" s="3">
        <f t="shared" si="30"/>
        <v>4</v>
      </c>
      <c r="M538" s="5">
        <f t="shared" si="29"/>
        <v>5.0168237652836921E-2</v>
      </c>
    </row>
    <row r="539" spans="10:13">
      <c r="J539" s="3">
        <v>26.4</v>
      </c>
      <c r="K539" s="10">
        <f t="shared" si="28"/>
        <v>1.2310599426109341E-2</v>
      </c>
      <c r="L539" s="3">
        <f t="shared" si="30"/>
        <v>2</v>
      </c>
      <c r="M539" s="5">
        <f t="shared" si="29"/>
        <v>2.4621198852218681E-2</v>
      </c>
    </row>
    <row r="540" spans="10:13">
      <c r="J540" s="3">
        <v>26.45</v>
      </c>
      <c r="K540" s="10">
        <f t="shared" si="28"/>
        <v>1.2082595844020631E-2</v>
      </c>
      <c r="L540" s="3">
        <f t="shared" si="30"/>
        <v>4</v>
      </c>
      <c r="M540" s="5">
        <f t="shared" si="29"/>
        <v>4.8330383376082524E-2</v>
      </c>
    </row>
    <row r="541" spans="10:13">
      <c r="J541" s="3">
        <v>26.5</v>
      </c>
      <c r="K541" s="10">
        <f t="shared" si="28"/>
        <v>1.1858012229680307E-2</v>
      </c>
      <c r="L541" s="3">
        <f t="shared" si="30"/>
        <v>2</v>
      </c>
      <c r="M541" s="5">
        <f t="shared" si="29"/>
        <v>2.3716024459360614E-2</v>
      </c>
    </row>
    <row r="542" spans="10:13">
      <c r="J542" s="3">
        <v>26.55</v>
      </c>
      <c r="K542" s="10">
        <f t="shared" si="28"/>
        <v>1.1636812287779788E-2</v>
      </c>
      <c r="L542" s="3">
        <f t="shared" si="30"/>
        <v>4</v>
      </c>
      <c r="M542" s="5">
        <f t="shared" si="29"/>
        <v>4.6547249151119151E-2</v>
      </c>
    </row>
    <row r="543" spans="10:13">
      <c r="J543" s="3">
        <v>26.6</v>
      </c>
      <c r="K543" s="10">
        <f t="shared" si="28"/>
        <v>1.1418959867873424E-2</v>
      </c>
      <c r="L543" s="3">
        <f t="shared" si="30"/>
        <v>2</v>
      </c>
      <c r="M543" s="5">
        <f t="shared" si="29"/>
        <v>2.2837919735746847E-2</v>
      </c>
    </row>
    <row r="544" spans="10:13">
      <c r="J544" s="3">
        <v>26.65</v>
      </c>
      <c r="K544" s="10">
        <f t="shared" si="28"/>
        <v>1.1204418967245942E-2</v>
      </c>
      <c r="L544" s="3">
        <f t="shared" si="30"/>
        <v>4</v>
      </c>
      <c r="M544" s="5">
        <f t="shared" si="29"/>
        <v>4.4817675868983768E-2</v>
      </c>
    </row>
    <row r="545" spans="10:13">
      <c r="J545" s="3">
        <v>26.7</v>
      </c>
      <c r="K545" s="10">
        <f t="shared" si="28"/>
        <v>1.0993153733738357E-2</v>
      </c>
      <c r="L545" s="3">
        <f t="shared" si="30"/>
        <v>2</v>
      </c>
      <c r="M545" s="5">
        <f t="shared" si="29"/>
        <v>2.1986307467476714E-2</v>
      </c>
    </row>
    <row r="546" spans="10:13">
      <c r="J546" s="3">
        <v>26.75</v>
      </c>
      <c r="K546" s="10">
        <f t="shared" si="28"/>
        <v>1.0785128468531874E-2</v>
      </c>
      <c r="L546" s="3">
        <f t="shared" si="30"/>
        <v>4</v>
      </c>
      <c r="M546" s="5">
        <f t="shared" si="29"/>
        <v>4.3140513874127498E-2</v>
      </c>
    </row>
    <row r="547" spans="10:13">
      <c r="J547" s="3">
        <v>26.8</v>
      </c>
      <c r="K547" s="10">
        <f t="shared" si="28"/>
        <v>1.0580307628889568E-2</v>
      </c>
      <c r="L547" s="3">
        <f t="shared" si="30"/>
        <v>2</v>
      </c>
      <c r="M547" s="5">
        <f t="shared" si="29"/>
        <v>2.1160615257779136E-2</v>
      </c>
    </row>
    <row r="548" spans="10:13">
      <c r="J548" s="3">
        <v>26.85</v>
      </c>
      <c r="K548" s="10">
        <f t="shared" si="28"/>
        <v>1.0378655830855024E-2</v>
      </c>
      <c r="L548" s="3">
        <f t="shared" si="30"/>
        <v>4</v>
      </c>
      <c r="M548" s="5">
        <f t="shared" si="29"/>
        <v>4.1514623323420097E-2</v>
      </c>
    </row>
    <row r="549" spans="10:13">
      <c r="J549" s="3">
        <v>26.9</v>
      </c>
      <c r="K549" s="10">
        <f t="shared" si="28"/>
        <v>1.0180137851907953E-2</v>
      </c>
      <c r="L549" s="3">
        <f t="shared" si="30"/>
        <v>2</v>
      </c>
      <c r="M549" s="5">
        <f t="shared" si="29"/>
        <v>2.0360275703815905E-2</v>
      </c>
    </row>
    <row r="550" spans="10:13">
      <c r="J550" s="3">
        <v>26.95</v>
      </c>
      <c r="K550" s="10">
        <f t="shared" si="28"/>
        <v>9.9847186335762107E-3</v>
      </c>
      <c r="L550" s="3">
        <f t="shared" si="30"/>
        <v>4</v>
      </c>
      <c r="M550" s="5">
        <f t="shared" si="29"/>
        <v>3.9938874534304843E-2</v>
      </c>
    </row>
    <row r="551" spans="10:13">
      <c r="J551" s="3">
        <v>27</v>
      </c>
      <c r="K551" s="10">
        <f t="shared" si="28"/>
        <v>9.7923632840038171E-3</v>
      </c>
      <c r="L551" s="3">
        <f t="shared" si="30"/>
        <v>2</v>
      </c>
      <c r="M551" s="5">
        <f t="shared" si="29"/>
        <v>1.9584726568007634E-2</v>
      </c>
    </row>
    <row r="552" spans="10:13">
      <c r="J552" s="3">
        <v>27.05</v>
      </c>
      <c r="K552" s="10">
        <f t="shared" si="28"/>
        <v>9.6030370804749826E-3</v>
      </c>
      <c r="L552" s="3">
        <f t="shared" si="30"/>
        <v>4</v>
      </c>
      <c r="M552" s="5">
        <f t="shared" si="29"/>
        <v>3.841214832189993E-2</v>
      </c>
    </row>
    <row r="553" spans="10:13">
      <c r="J553" s="3">
        <v>27.1</v>
      </c>
      <c r="K553" s="10">
        <f t="shared" si="28"/>
        <v>9.4167054718929839E-3</v>
      </c>
      <c r="L553" s="3">
        <f t="shared" si="30"/>
        <v>2</v>
      </c>
      <c r="M553" s="5">
        <f t="shared" si="29"/>
        <v>1.8833410943785968E-2</v>
      </c>
    </row>
    <row r="554" spans="10:13">
      <c r="J554" s="3">
        <v>27.15</v>
      </c>
      <c r="K554" s="10">
        <f t="shared" si="28"/>
        <v>9.2333340812147512E-3</v>
      </c>
      <c r="L554" s="3">
        <f t="shared" si="30"/>
        <v>4</v>
      </c>
      <c r="M554" s="5">
        <f t="shared" si="29"/>
        <v>3.6933336324859005E-2</v>
      </c>
    </row>
    <row r="555" spans="10:13">
      <c r="J555" s="3">
        <v>27.2</v>
      </c>
      <c r="K555" s="10">
        <f t="shared" si="28"/>
        <v>9.0528887078396812E-3</v>
      </c>
      <c r="L555" s="3">
        <f t="shared" si="30"/>
        <v>2</v>
      </c>
      <c r="M555" s="5">
        <f t="shared" si="29"/>
        <v>1.8105777415679362E-2</v>
      </c>
    </row>
    <row r="556" spans="10:13">
      <c r="J556" s="3">
        <v>27.25</v>
      </c>
      <c r="K556" s="10">
        <f t="shared" si="28"/>
        <v>8.8753353299532121E-3</v>
      </c>
      <c r="L556" s="3">
        <f t="shared" si="30"/>
        <v>4</v>
      </c>
      <c r="M556" s="5">
        <f t="shared" si="29"/>
        <v>3.5501341319812849E-2</v>
      </c>
    </row>
    <row r="557" spans="10:13">
      <c r="J557" s="3">
        <v>27.3</v>
      </c>
      <c r="K557" s="10">
        <f t="shared" si="28"/>
        <v>8.7006401068244338E-3</v>
      </c>
      <c r="L557" s="3">
        <f t="shared" si="30"/>
        <v>2</v>
      </c>
      <c r="M557" s="5">
        <f t="shared" si="29"/>
        <v>1.7401280213648868E-2</v>
      </c>
    </row>
    <row r="558" spans="10:13">
      <c r="J558" s="3">
        <v>27.35</v>
      </c>
      <c r="K558" s="10">
        <f t="shared" si="28"/>
        <v>8.5287693810576284E-3</v>
      </c>
      <c r="L558" s="3">
        <f t="shared" si="30"/>
        <v>4</v>
      </c>
      <c r="M558" s="5">
        <f t="shared" si="29"/>
        <v>3.4115077524230514E-2</v>
      </c>
    </row>
    <row r="559" spans="10:13">
      <c r="J559" s="3">
        <v>27.4</v>
      </c>
      <c r="K559" s="10">
        <f t="shared" si="28"/>
        <v>8.3596896807975104E-3</v>
      </c>
      <c r="L559" s="3">
        <f t="shared" si="30"/>
        <v>2</v>
      </c>
      <c r="M559" s="5">
        <f t="shared" si="29"/>
        <v>1.6719379361595021E-2</v>
      </c>
    </row>
    <row r="560" spans="10:13">
      <c r="J560" s="3">
        <v>27.45</v>
      </c>
      <c r="K560" s="10">
        <f t="shared" si="28"/>
        <v>8.1933677218876191E-3</v>
      </c>
      <c r="L560" s="3">
        <f t="shared" si="30"/>
        <v>4</v>
      </c>
      <c r="M560" s="5">
        <f t="shared" si="29"/>
        <v>3.2773470887550477E-2</v>
      </c>
    </row>
    <row r="561" spans="10:13">
      <c r="J561" s="3">
        <v>27.5</v>
      </c>
      <c r="K561" s="10">
        <f t="shared" si="28"/>
        <v>8.0297704099822533E-3</v>
      </c>
      <c r="L561" s="3">
        <f t="shared" si="30"/>
        <v>2</v>
      </c>
      <c r="M561" s="5">
        <f t="shared" si="29"/>
        <v>1.6059540819964507E-2</v>
      </c>
    </row>
    <row r="562" spans="10:13">
      <c r="J562" s="3">
        <v>27.55</v>
      </c>
      <c r="K562" s="10">
        <f t="shared" si="28"/>
        <v>7.8688648426110033E-3</v>
      </c>
      <c r="L562" s="3">
        <f t="shared" si="30"/>
        <v>4</v>
      </c>
      <c r="M562" s="5">
        <f t="shared" si="29"/>
        <v>3.1475459370444013E-2</v>
      </c>
    </row>
    <row r="563" spans="10:13">
      <c r="J563" s="3">
        <v>27.6</v>
      </c>
      <c r="K563" s="10">
        <f t="shared" si="28"/>
        <v>7.710618311196211E-3</v>
      </c>
      <c r="L563" s="3">
        <f t="shared" si="30"/>
        <v>2</v>
      </c>
      <c r="M563" s="5">
        <f t="shared" si="29"/>
        <v>1.5421236622392422E-2</v>
      </c>
    </row>
    <row r="564" spans="10:13">
      <c r="J564" s="3">
        <v>27.65</v>
      </c>
      <c r="K564" s="10">
        <f t="shared" si="28"/>
        <v>7.5549983030229187E-3</v>
      </c>
      <c r="L564" s="3">
        <f t="shared" si="30"/>
        <v>4</v>
      </c>
      <c r="M564" s="5">
        <f t="shared" si="29"/>
        <v>3.0219993212091675E-2</v>
      </c>
    </row>
    <row r="565" spans="10:13">
      <c r="J565" s="3">
        <v>27.7</v>
      </c>
      <c r="K565" s="10">
        <f t="shared" si="28"/>
        <v>7.401972503161095E-3</v>
      </c>
      <c r="L565" s="3">
        <f t="shared" si="30"/>
        <v>2</v>
      </c>
      <c r="M565" s="5">
        <f t="shared" si="29"/>
        <v>1.480394500632219E-2</v>
      </c>
    </row>
    <row r="566" spans="10:13">
      <c r="J566" s="3">
        <v>27.75</v>
      </c>
      <c r="K566" s="10">
        <f t="shared" si="28"/>
        <v>7.2515087963403351E-3</v>
      </c>
      <c r="L566" s="3">
        <f t="shared" si="30"/>
        <v>4</v>
      </c>
      <c r="M566" s="5">
        <f t="shared" si="29"/>
        <v>2.900603518536134E-2</v>
      </c>
    </row>
    <row r="567" spans="10:13">
      <c r="J567" s="3">
        <v>27.8</v>
      </c>
      <c r="K567" s="10">
        <f t="shared" si="28"/>
        <v>7.1035752687762773E-3</v>
      </c>
      <c r="L567" s="3">
        <f t="shared" si="30"/>
        <v>2</v>
      </c>
      <c r="M567" s="5">
        <f t="shared" si="29"/>
        <v>1.4207150537552555E-2</v>
      </c>
    </row>
    <row r="568" spans="10:13">
      <c r="J568" s="3">
        <v>27.85</v>
      </c>
      <c r="K568" s="10">
        <f t="shared" si="28"/>
        <v>6.9581402099491421E-3</v>
      </c>
      <c r="L568" s="3">
        <f t="shared" si="30"/>
        <v>4</v>
      </c>
      <c r="M568" s="5">
        <f t="shared" si="29"/>
        <v>2.7832560839796568E-2</v>
      </c>
    </row>
    <row r="569" spans="10:13">
      <c r="J569" s="3">
        <v>27.9</v>
      </c>
      <c r="K569" s="10">
        <f t="shared" si="28"/>
        <v>6.8151721143340756E-3</v>
      </c>
      <c r="L569" s="3">
        <f t="shared" si="30"/>
        <v>2</v>
      </c>
      <c r="M569" s="5">
        <f t="shared" si="29"/>
        <v>1.3630344228668151E-2</v>
      </c>
    </row>
    <row r="570" spans="10:13">
      <c r="J570" s="3">
        <v>27.95</v>
      </c>
      <c r="K570" s="10">
        <f t="shared" si="28"/>
        <v>6.6746396830830975E-3</v>
      </c>
      <c r="L570" s="3">
        <f t="shared" si="30"/>
        <v>4</v>
      </c>
      <c r="M570" s="5">
        <f t="shared" si="29"/>
        <v>2.669855873233239E-2</v>
      </c>
    </row>
    <row r="571" spans="10:13">
      <c r="J571" s="3">
        <v>28</v>
      </c>
      <c r="K571" s="10">
        <f t="shared" si="28"/>
        <v>6.5365118256586474E-3</v>
      </c>
      <c r="L571" s="3">
        <f t="shared" si="30"/>
        <v>2</v>
      </c>
      <c r="M571" s="5">
        <f t="shared" si="29"/>
        <v>1.3073023651317295E-2</v>
      </c>
    </row>
    <row r="572" spans="10:13">
      <c r="J572" s="3">
        <v>28.05</v>
      </c>
      <c r="K572" s="10">
        <f t="shared" si="28"/>
        <v>6.4007576614187878E-3</v>
      </c>
      <c r="L572" s="3">
        <f t="shared" si="30"/>
        <v>4</v>
      </c>
      <c r="M572" s="5">
        <f t="shared" si="29"/>
        <v>2.5603030645675151E-2</v>
      </c>
    </row>
    <row r="573" spans="10:13">
      <c r="J573" s="3">
        <v>28.1</v>
      </c>
      <c r="K573" s="10">
        <f t="shared" si="28"/>
        <v>6.2673465211535769E-3</v>
      </c>
      <c r="L573" s="3">
        <f t="shared" si="30"/>
        <v>2</v>
      </c>
      <c r="M573" s="5">
        <f t="shared" si="29"/>
        <v>1.2534693042307154E-2</v>
      </c>
    </row>
    <row r="574" spans="10:13">
      <c r="J574" s="3">
        <v>28.15</v>
      </c>
      <c r="K574" s="10">
        <f t="shared" si="28"/>
        <v>6.1362479485731758E-3</v>
      </c>
      <c r="L574" s="3">
        <f t="shared" si="30"/>
        <v>4</v>
      </c>
      <c r="M574" s="5">
        <f t="shared" si="29"/>
        <v>2.4544991794292703E-2</v>
      </c>
    </row>
    <row r="575" spans="10:13">
      <c r="J575" s="3">
        <v>28.2</v>
      </c>
      <c r="K575" s="10">
        <f t="shared" si="28"/>
        <v>6.0074317017470786E-3</v>
      </c>
      <c r="L575" s="3">
        <f t="shared" si="30"/>
        <v>2</v>
      </c>
      <c r="M575" s="5">
        <f t="shared" si="29"/>
        <v>1.2014863403494157E-2</v>
      </c>
    </row>
    <row r="576" spans="10:13">
      <c r="J576" s="3">
        <v>28.25</v>
      </c>
      <c r="K576" s="10">
        <f t="shared" si="28"/>
        <v>5.8808677544947624E-3</v>
      </c>
      <c r="L576" s="3">
        <f t="shared" si="30"/>
        <v>4</v>
      </c>
      <c r="M576" s="5">
        <f t="shared" si="29"/>
        <v>2.3523471017979049E-2</v>
      </c>
    </row>
    <row r="577" spans="10:13">
      <c r="J577" s="3">
        <v>28.3</v>
      </c>
      <c r="K577" s="10">
        <f t="shared" si="28"/>
        <v>5.7565262977275992E-3</v>
      </c>
      <c r="L577" s="3">
        <f t="shared" si="30"/>
        <v>2</v>
      </c>
      <c r="M577" s="5">
        <f t="shared" si="29"/>
        <v>1.1513052595455198E-2</v>
      </c>
    </row>
    <row r="578" spans="10:13">
      <c r="J578" s="3">
        <v>28.35</v>
      </c>
      <c r="K578" s="10">
        <f t="shared" si="28"/>
        <v>5.6343777407422448E-3</v>
      </c>
      <c r="L578" s="3">
        <f t="shared" si="30"/>
        <v>4</v>
      </c>
      <c r="M578" s="5">
        <f t="shared" si="29"/>
        <v>2.2537510962968979E-2</v>
      </c>
    </row>
    <row r="579" spans="10:13">
      <c r="J579" s="3">
        <v>28.4</v>
      </c>
      <c r="K579" s="10">
        <f t="shared" si="28"/>
        <v>5.5143927124651961E-3</v>
      </c>
      <c r="L579" s="3">
        <f t="shared" si="30"/>
        <v>2</v>
      </c>
      <c r="M579" s="5">
        <f t="shared" si="29"/>
        <v>1.1028785424930392E-2</v>
      </c>
    </row>
    <row r="580" spans="10:13">
      <c r="J580" s="3">
        <v>28.45</v>
      </c>
      <c r="K580" s="10">
        <f t="shared" si="28"/>
        <v>5.3965420626488287E-3</v>
      </c>
      <c r="L580" s="3">
        <f t="shared" si="30"/>
        <v>4</v>
      </c>
      <c r="M580" s="5">
        <f t="shared" si="29"/>
        <v>2.1586168250595315E-2</v>
      </c>
    </row>
    <row r="581" spans="10:13">
      <c r="J581" s="3">
        <v>28.5</v>
      </c>
      <c r="K581" s="10">
        <f t="shared" si="28"/>
        <v>5.2807968630188664E-3</v>
      </c>
      <c r="L581" s="3">
        <f t="shared" si="30"/>
        <v>2</v>
      </c>
      <c r="M581" s="5">
        <f t="shared" si="29"/>
        <v>1.0561593726037733E-2</v>
      </c>
    </row>
    <row r="582" spans="10:13">
      <c r="J582" s="3">
        <v>28.55</v>
      </c>
      <c r="K582" s="10">
        <f t="shared" si="28"/>
        <v>5.1671284083731929E-3</v>
      </c>
      <c r="L582" s="3">
        <f t="shared" si="30"/>
        <v>4</v>
      </c>
      <c r="M582" s="5">
        <f t="shared" si="29"/>
        <v>2.0668513633492772E-2</v>
      </c>
    </row>
    <row r="583" spans="10:13">
      <c r="J583" s="3">
        <v>28.6</v>
      </c>
      <c r="K583" s="10">
        <f t="shared" si="28"/>
        <v>5.0555082176324566E-3</v>
      </c>
      <c r="L583" s="3">
        <f t="shared" si="30"/>
        <v>2</v>
      </c>
      <c r="M583" s="5">
        <f t="shared" si="29"/>
        <v>1.0111016435264913E-2</v>
      </c>
    </row>
    <row r="584" spans="10:13">
      <c r="J584" s="3">
        <v>28.65</v>
      </c>
      <c r="K584" s="10">
        <f t="shared" si="28"/>
        <v>4.9459080348421072E-3</v>
      </c>
      <c r="L584" s="3">
        <f t="shared" si="30"/>
        <v>4</v>
      </c>
      <c r="M584" s="5">
        <f t="shared" si="29"/>
        <v>1.9783632139368429E-2</v>
      </c>
    </row>
    <row r="585" spans="10:13">
      <c r="J585" s="3">
        <v>28.7</v>
      </c>
      <c r="K585" s="10">
        <f t="shared" si="28"/>
        <v>4.8382998301262463E-3</v>
      </c>
      <c r="L585" s="3">
        <f t="shared" si="30"/>
        <v>2</v>
      </c>
      <c r="M585" s="5">
        <f t="shared" si="29"/>
        <v>9.6765996602524926E-3</v>
      </c>
    </row>
    <row r="586" spans="10:13">
      <c r="J586" s="3">
        <v>28.75</v>
      </c>
      <c r="K586" s="10">
        <f t="shared" si="28"/>
        <v>4.7326558005933101E-3</v>
      </c>
      <c r="L586" s="3">
        <f t="shared" si="30"/>
        <v>4</v>
      </c>
      <c r="M586" s="5">
        <f t="shared" si="29"/>
        <v>1.893062320237324E-2</v>
      </c>
    </row>
    <row r="587" spans="10:13">
      <c r="J587" s="3">
        <v>28.8</v>
      </c>
      <c r="K587" s="10">
        <f t="shared" ref="K587:K650" si="31">(B$6^J587)*(B$7^((B$5^70)*((B$5^J587)-1)))</f>
        <v>4.6289483711937892E-3</v>
      </c>
      <c r="L587" s="3">
        <f t="shared" si="30"/>
        <v>2</v>
      </c>
      <c r="M587" s="5">
        <f t="shared" si="29"/>
        <v>9.2578967423875783E-3</v>
      </c>
    </row>
    <row r="588" spans="10:13">
      <c r="J588" s="3">
        <v>28.85</v>
      </c>
      <c r="K588" s="10">
        <f t="shared" si="31"/>
        <v>4.5271501955300034E-3</v>
      </c>
      <c r="L588" s="3">
        <f t="shared" si="30"/>
        <v>4</v>
      </c>
      <c r="M588" s="5">
        <f t="shared" ref="M588:M651" si="32">K588*L588</f>
        <v>1.8108600782120014E-2</v>
      </c>
    </row>
    <row r="589" spans="10:13">
      <c r="J589" s="3">
        <v>28.9</v>
      </c>
      <c r="K589" s="10">
        <f t="shared" si="31"/>
        <v>4.4272341566181841E-3</v>
      </c>
      <c r="L589" s="3">
        <f t="shared" si="30"/>
        <v>2</v>
      </c>
      <c r="M589" s="5">
        <f t="shared" si="32"/>
        <v>8.8544683132363682E-3</v>
      </c>
    </row>
    <row r="590" spans="10:13">
      <c r="J590" s="3">
        <v>28.95</v>
      </c>
      <c r="K590" s="10">
        <f t="shared" si="31"/>
        <v>4.3291733676029624E-3</v>
      </c>
      <c r="L590" s="3">
        <f t="shared" ref="L590:L653" si="33">IF(L589=4,2,4)</f>
        <v>4</v>
      </c>
      <c r="M590" s="5">
        <f t="shared" si="32"/>
        <v>1.7316693470411849E-2</v>
      </c>
    </row>
    <row r="591" spans="10:13">
      <c r="J591" s="3">
        <v>29</v>
      </c>
      <c r="K591" s="10">
        <f t="shared" si="31"/>
        <v>4.232941172424445E-3</v>
      </c>
      <c r="L591" s="3">
        <f t="shared" si="33"/>
        <v>2</v>
      </c>
      <c r="M591" s="5">
        <f t="shared" si="32"/>
        <v>8.46588234484889E-3</v>
      </c>
    </row>
    <row r="592" spans="10:13">
      <c r="J592" s="3">
        <v>29.05</v>
      </c>
      <c r="K592" s="10">
        <f t="shared" si="31"/>
        <v>4.1385111464383199E-3</v>
      </c>
      <c r="L592" s="3">
        <f t="shared" si="33"/>
        <v>4</v>
      </c>
      <c r="M592" s="5">
        <f t="shared" si="32"/>
        <v>1.655404458575328E-2</v>
      </c>
    </row>
    <row r="593" spans="10:13">
      <c r="J593" s="3">
        <v>29.1</v>
      </c>
      <c r="K593" s="10">
        <f t="shared" si="31"/>
        <v>4.0458570969885473E-3</v>
      </c>
      <c r="L593" s="3">
        <f t="shared" si="33"/>
        <v>2</v>
      </c>
      <c r="M593" s="5">
        <f t="shared" si="32"/>
        <v>8.0917141939770947E-3</v>
      </c>
    </row>
    <row r="594" spans="10:13">
      <c r="J594" s="3">
        <v>29.15</v>
      </c>
      <c r="K594" s="10">
        <f t="shared" si="31"/>
        <v>3.9549530639337357E-3</v>
      </c>
      <c r="L594" s="3">
        <f t="shared" si="33"/>
        <v>4</v>
      </c>
      <c r="M594" s="5">
        <f t="shared" si="32"/>
        <v>1.5819812255734943E-2</v>
      </c>
    </row>
    <row r="595" spans="10:13">
      <c r="J595" s="3">
        <v>29.2</v>
      </c>
      <c r="K595" s="10">
        <f t="shared" si="31"/>
        <v>3.8657733201267462E-3</v>
      </c>
      <c r="L595" s="3">
        <f t="shared" si="33"/>
        <v>2</v>
      </c>
      <c r="M595" s="5">
        <f t="shared" si="32"/>
        <v>7.7315466402534923E-3</v>
      </c>
    </row>
    <row r="596" spans="10:13">
      <c r="J596" s="3">
        <v>29.25</v>
      </c>
      <c r="K596" s="10">
        <f t="shared" si="31"/>
        <v>3.778292371847933E-3</v>
      </c>
      <c r="L596" s="3">
        <f t="shared" si="33"/>
        <v>4</v>
      </c>
      <c r="M596" s="5">
        <f t="shared" si="32"/>
        <v>1.5113169487391732E-2</v>
      </c>
    </row>
    <row r="597" spans="10:13">
      <c r="J597" s="3">
        <v>29.3</v>
      </c>
      <c r="K597" s="10">
        <f t="shared" si="31"/>
        <v>3.6924849591926075E-3</v>
      </c>
      <c r="L597" s="3">
        <f t="shared" si="33"/>
        <v>2</v>
      </c>
      <c r="M597" s="5">
        <f t="shared" si="32"/>
        <v>7.384969918385215E-3</v>
      </c>
    </row>
    <row r="598" spans="10:13">
      <c r="J598" s="3">
        <v>29.35</v>
      </c>
      <c r="K598" s="10">
        <f t="shared" si="31"/>
        <v>3.6083260564124604E-3</v>
      </c>
      <c r="L598" s="3">
        <f t="shared" si="33"/>
        <v>4</v>
      </c>
      <c r="M598" s="5">
        <f t="shared" si="32"/>
        <v>1.4433304225649842E-2</v>
      </c>
    </row>
    <row r="599" spans="10:13">
      <c r="J599" s="3">
        <v>29.4</v>
      </c>
      <c r="K599" s="10">
        <f t="shared" si="31"/>
        <v>3.525790872211661E-3</v>
      </c>
      <c r="L599" s="3">
        <f t="shared" si="33"/>
        <v>2</v>
      </c>
      <c r="M599" s="5">
        <f t="shared" si="32"/>
        <v>7.0515817444233219E-3</v>
      </c>
    </row>
    <row r="600" spans="10:13">
      <c r="J600" s="3">
        <v>29.45</v>
      </c>
      <c r="K600" s="10">
        <f t="shared" si="31"/>
        <v>3.4448548499976506E-3</v>
      </c>
      <c r="L600" s="3">
        <f t="shared" si="33"/>
        <v>4</v>
      </c>
      <c r="M600" s="5">
        <f t="shared" si="32"/>
        <v>1.3779419399990602E-2</v>
      </c>
    </row>
    <row r="601" spans="10:13">
      <c r="J601" s="3">
        <v>29.5</v>
      </c>
      <c r="K601" s="10">
        <f t="shared" si="31"/>
        <v>3.3654936680871618E-3</v>
      </c>
      <c r="L601" s="3">
        <f t="shared" si="33"/>
        <v>2</v>
      </c>
      <c r="M601" s="5">
        <f t="shared" si="32"/>
        <v>6.7309873361743235E-3</v>
      </c>
    </row>
    <row r="602" spans="10:13">
      <c r="J602" s="3">
        <v>29.55</v>
      </c>
      <c r="K602" s="10">
        <f t="shared" si="31"/>
        <v>3.2876832398675299E-3</v>
      </c>
      <c r="L602" s="3">
        <f t="shared" si="33"/>
        <v>4</v>
      </c>
      <c r="M602" s="5">
        <f t="shared" si="32"/>
        <v>1.315073295947012E-2</v>
      </c>
    </row>
    <row r="603" spans="10:13">
      <c r="J603" s="3">
        <v>29.6</v>
      </c>
      <c r="K603" s="10">
        <f t="shared" si="31"/>
        <v>3.2113997139138067E-3</v>
      </c>
      <c r="L603" s="3">
        <f t="shared" si="33"/>
        <v>2</v>
      </c>
      <c r="M603" s="5">
        <f t="shared" si="32"/>
        <v>6.4227994278276135E-3</v>
      </c>
    </row>
    <row r="604" spans="10:13">
      <c r="J604" s="3">
        <v>29.65</v>
      </c>
      <c r="K604" s="10">
        <f t="shared" si="31"/>
        <v>3.1366194740619878E-3</v>
      </c>
      <c r="L604" s="3">
        <f t="shared" si="33"/>
        <v>4</v>
      </c>
      <c r="M604" s="5">
        <f t="shared" si="32"/>
        <v>1.2546477896247951E-2</v>
      </c>
    </row>
    <row r="605" spans="10:13">
      <c r="J605" s="3">
        <v>29.7</v>
      </c>
      <c r="K605" s="10">
        <f t="shared" si="31"/>
        <v>3.0633191394385828E-3</v>
      </c>
      <c r="L605" s="3">
        <f t="shared" si="33"/>
        <v>2</v>
      </c>
      <c r="M605" s="5">
        <f t="shared" si="32"/>
        <v>6.1266382788771655E-3</v>
      </c>
    </row>
    <row r="606" spans="10:13">
      <c r="J606" s="3">
        <v>29.75</v>
      </c>
      <c r="K606" s="10">
        <f t="shared" si="31"/>
        <v>2.9914755644470776E-3</v>
      </c>
      <c r="L606" s="3">
        <f t="shared" si="33"/>
        <v>4</v>
      </c>
      <c r="M606" s="5">
        <f t="shared" si="32"/>
        <v>1.196590225778831E-2</v>
      </c>
    </row>
    <row r="607" spans="10:13">
      <c r="J607" s="3">
        <v>29.8</v>
      </c>
      <c r="K607" s="10">
        <f t="shared" si="31"/>
        <v>2.9210658387114805E-3</v>
      </c>
      <c r="L607" s="3">
        <f t="shared" si="33"/>
        <v>2</v>
      </c>
      <c r="M607" s="5">
        <f t="shared" si="32"/>
        <v>5.842131677422961E-3</v>
      </c>
    </row>
    <row r="608" spans="10:13">
      <c r="J608" s="3">
        <v>29.85</v>
      </c>
      <c r="K608" s="10">
        <f t="shared" si="31"/>
        <v>2.852067286977465E-3</v>
      </c>
      <c r="L608" s="3">
        <f t="shared" si="33"/>
        <v>4</v>
      </c>
      <c r="M608" s="5">
        <f t="shared" si="32"/>
        <v>1.140826914790986E-2</v>
      </c>
    </row>
    <row r="609" spans="10:13">
      <c r="J609" s="3">
        <v>29.9</v>
      </c>
      <c r="K609" s="10">
        <f t="shared" si="31"/>
        <v>2.7844574689713953E-3</v>
      </c>
      <c r="L609" s="3">
        <f t="shared" si="33"/>
        <v>2</v>
      </c>
      <c r="M609" s="5">
        <f t="shared" si="32"/>
        <v>5.5689149379427906E-3</v>
      </c>
    </row>
    <row r="610" spans="10:13">
      <c r="J610" s="3">
        <v>29.95</v>
      </c>
      <c r="K610" s="10">
        <f t="shared" si="31"/>
        <v>2.7182141792177331E-3</v>
      </c>
      <c r="L610" s="3">
        <f t="shared" si="33"/>
        <v>4</v>
      </c>
      <c r="M610" s="5">
        <f t="shared" si="32"/>
        <v>1.0872856716870933E-2</v>
      </c>
    </row>
    <row r="611" spans="10:13">
      <c r="J611" s="3">
        <v>30</v>
      </c>
      <c r="K611" s="10">
        <f t="shared" si="31"/>
        <v>2.6533154468151633E-3</v>
      </c>
      <c r="L611" s="3">
        <f t="shared" si="33"/>
        <v>2</v>
      </c>
      <c r="M611" s="5">
        <f t="shared" si="32"/>
        <v>5.3066308936303265E-3</v>
      </c>
    </row>
    <row r="612" spans="10:13">
      <c r="J612" s="3">
        <v>30.05</v>
      </c>
      <c r="K612" s="10">
        <f t="shared" si="31"/>
        <v>2.5897395351719651E-3</v>
      </c>
      <c r="L612" s="3">
        <f t="shared" si="33"/>
        <v>4</v>
      </c>
      <c r="M612" s="5">
        <f t="shared" si="32"/>
        <v>1.035895814068786E-2</v>
      </c>
    </row>
    <row r="613" spans="10:13">
      <c r="J613" s="3">
        <v>30.1</v>
      </c>
      <c r="K613" s="10">
        <f t="shared" si="31"/>
        <v>2.5274649417008055E-3</v>
      </c>
      <c r="L613" s="3">
        <f t="shared" si="33"/>
        <v>2</v>
      </c>
      <c r="M613" s="5">
        <f t="shared" si="32"/>
        <v>5.0549298834016111E-3</v>
      </c>
    </row>
    <row r="614" spans="10:13">
      <c r="J614" s="3">
        <v>30.15</v>
      </c>
      <c r="K614" s="10">
        <f t="shared" si="31"/>
        <v>2.4664703974738088E-3</v>
      </c>
      <c r="L614" s="3">
        <f t="shared" si="33"/>
        <v>4</v>
      </c>
      <c r="M614" s="5">
        <f t="shared" si="32"/>
        <v>9.865881589895235E-3</v>
      </c>
    </row>
    <row r="615" spans="10:13">
      <c r="J615" s="3">
        <v>30.2</v>
      </c>
      <c r="K615" s="10">
        <f t="shared" si="31"/>
        <v>2.4067348668379272E-3</v>
      </c>
      <c r="L615" s="3">
        <f t="shared" si="33"/>
        <v>2</v>
      </c>
      <c r="M615" s="5">
        <f t="shared" si="32"/>
        <v>4.8134697336758544E-3</v>
      </c>
    </row>
    <row r="616" spans="10:13">
      <c r="J616" s="3">
        <v>30.25</v>
      </c>
      <c r="K616" s="10">
        <f t="shared" si="31"/>
        <v>2.3482375469913866E-3</v>
      </c>
      <c r="L616" s="3">
        <f t="shared" si="33"/>
        <v>4</v>
      </c>
      <c r="M616" s="5">
        <f t="shared" si="32"/>
        <v>9.3929501879655465E-3</v>
      </c>
    </row>
    <row r="617" spans="10:13">
      <c r="J617" s="3">
        <v>30.3</v>
      </c>
      <c r="K617" s="10">
        <f t="shared" si="31"/>
        <v>2.2909578675214884E-3</v>
      </c>
      <c r="L617" s="3">
        <f t="shared" si="33"/>
        <v>2</v>
      </c>
      <c r="M617" s="5">
        <f t="shared" si="32"/>
        <v>4.5819157350429768E-3</v>
      </c>
    </row>
    <row r="618" spans="10:13">
      <c r="J618" s="3">
        <v>30.35</v>
      </c>
      <c r="K618" s="10">
        <f t="shared" si="31"/>
        <v>2.2348754899043236E-3</v>
      </c>
      <c r="L618" s="3">
        <f t="shared" si="33"/>
        <v>4</v>
      </c>
      <c r="M618" s="5">
        <f t="shared" si="32"/>
        <v>8.9395019596172944E-3</v>
      </c>
    </row>
    <row r="619" spans="10:13">
      <c r="J619" s="3">
        <v>30.4</v>
      </c>
      <c r="K619" s="10">
        <f t="shared" si="31"/>
        <v>2.1799703069668806E-3</v>
      </c>
      <c r="L619" s="3">
        <f t="shared" si="33"/>
        <v>2</v>
      </c>
      <c r="M619" s="5">
        <f t="shared" si="32"/>
        <v>4.3599406139337611E-3</v>
      </c>
    </row>
    <row r="620" spans="10:13">
      <c r="J620" s="3">
        <v>30.45</v>
      </c>
      <c r="K620" s="10">
        <f t="shared" si="31"/>
        <v>2.1262224423119823E-3</v>
      </c>
      <c r="L620" s="3">
        <f t="shared" si="33"/>
        <v>4</v>
      </c>
      <c r="M620" s="5">
        <f t="shared" si="32"/>
        <v>8.5048897692479291E-3</v>
      </c>
    </row>
    <row r="621" spans="10:13">
      <c r="J621" s="3">
        <v>30.5</v>
      </c>
      <c r="K621" s="10">
        <f t="shared" si="31"/>
        <v>2.0736122497066866E-3</v>
      </c>
      <c r="L621" s="3">
        <f t="shared" si="33"/>
        <v>2</v>
      </c>
      <c r="M621" s="5">
        <f t="shared" si="32"/>
        <v>4.1472244994133732E-3</v>
      </c>
    </row>
    <row r="622" spans="10:13">
      <c r="J622" s="3">
        <v>30.55</v>
      </c>
      <c r="K622" s="10">
        <f t="shared" si="31"/>
        <v>2.0221203124344816E-3</v>
      </c>
      <c r="L622" s="3">
        <f t="shared" si="33"/>
        <v>4</v>
      </c>
      <c r="M622" s="5">
        <f t="shared" si="32"/>
        <v>8.0884812497379263E-3</v>
      </c>
    </row>
    <row r="623" spans="10:13">
      <c r="J623" s="3">
        <v>30.6</v>
      </c>
      <c r="K623" s="10">
        <f t="shared" si="31"/>
        <v>1.9717274426119271E-3</v>
      </c>
      <c r="L623" s="3">
        <f t="shared" si="33"/>
        <v>2</v>
      </c>
      <c r="M623" s="5">
        <f t="shared" si="32"/>
        <v>3.9434548852238542E-3</v>
      </c>
    </row>
    <row r="624" spans="10:13">
      <c r="J624" s="3">
        <v>30.65</v>
      </c>
      <c r="K624" s="10">
        <f t="shared" si="31"/>
        <v>1.9224146804701968E-3</v>
      </c>
      <c r="L624" s="3">
        <f t="shared" si="33"/>
        <v>4</v>
      </c>
      <c r="M624" s="5">
        <f t="shared" si="32"/>
        <v>7.6896587218807872E-3</v>
      </c>
    </row>
    <row r="625" spans="10:13">
      <c r="J625" s="3">
        <v>30.7</v>
      </c>
      <c r="K625" s="10">
        <f t="shared" si="31"/>
        <v>1.8741632936020848E-3</v>
      </c>
      <c r="L625" s="3">
        <f t="shared" si="33"/>
        <v>2</v>
      </c>
      <c r="M625" s="5">
        <f t="shared" si="32"/>
        <v>3.7483265872041696E-3</v>
      </c>
    </row>
    <row r="626" spans="10:13">
      <c r="J626" s="3">
        <v>30.75</v>
      </c>
      <c r="K626" s="10">
        <f t="shared" si="31"/>
        <v>1.8269547761750175E-3</v>
      </c>
      <c r="L626" s="3">
        <f t="shared" si="33"/>
        <v>4</v>
      </c>
      <c r="M626" s="5">
        <f t="shared" si="32"/>
        <v>7.3078191047000699E-3</v>
      </c>
    </row>
    <row r="627" spans="10:13">
      <c r="J627" s="3">
        <v>30.8</v>
      </c>
      <c r="K627" s="10">
        <f t="shared" si="31"/>
        <v>1.7807708481105582E-3</v>
      </c>
      <c r="L627" s="3">
        <f t="shared" si="33"/>
        <v>2</v>
      </c>
      <c r="M627" s="5">
        <f t="shared" si="32"/>
        <v>3.5615416962211164E-3</v>
      </c>
    </row>
    <row r="628" spans="10:13">
      <c r="J628" s="3">
        <v>30.85</v>
      </c>
      <c r="K628" s="10">
        <f t="shared" si="31"/>
        <v>1.7355934542310368E-3</v>
      </c>
      <c r="L628" s="3">
        <f t="shared" si="33"/>
        <v>4</v>
      </c>
      <c r="M628" s="5">
        <f t="shared" si="32"/>
        <v>6.9423738169241472E-3</v>
      </c>
    </row>
    <row r="629" spans="10:13">
      <c r="J629" s="3">
        <v>30.9</v>
      </c>
      <c r="K629" s="10">
        <f t="shared" si="31"/>
        <v>1.6914047633737807E-3</v>
      </c>
      <c r="L629" s="3">
        <f t="shared" si="33"/>
        <v>2</v>
      </c>
      <c r="M629" s="5">
        <f t="shared" si="32"/>
        <v>3.3828095267475614E-3</v>
      </c>
    </row>
    <row r="630" spans="10:13">
      <c r="J630" s="3">
        <v>30.95</v>
      </c>
      <c r="K630" s="10">
        <f t="shared" si="31"/>
        <v>1.6481871674735547E-3</v>
      </c>
      <c r="L630" s="3">
        <f t="shared" si="33"/>
        <v>4</v>
      </c>
      <c r="M630" s="5">
        <f t="shared" si="32"/>
        <v>6.5927486698942189E-3</v>
      </c>
    </row>
    <row r="631" spans="10:13">
      <c r="J631" s="3">
        <v>31</v>
      </c>
      <c r="K631" s="10">
        <f t="shared" si="31"/>
        <v>1.6059232806137863E-3</v>
      </c>
      <c r="L631" s="3">
        <f t="shared" si="33"/>
        <v>2</v>
      </c>
      <c r="M631" s="5">
        <f t="shared" si="32"/>
        <v>3.2118465612275726E-3</v>
      </c>
    </row>
    <row r="632" spans="10:13">
      <c r="J632" s="3">
        <v>31.05</v>
      </c>
      <c r="K632" s="10">
        <f t="shared" si="31"/>
        <v>1.5645959380471367E-3</v>
      </c>
      <c r="L632" s="3">
        <f t="shared" si="33"/>
        <v>4</v>
      </c>
      <c r="M632" s="5">
        <f t="shared" si="32"/>
        <v>6.2583837521885469E-3</v>
      </c>
    </row>
    <row r="633" spans="10:13">
      <c r="J633" s="3">
        <v>31.1</v>
      </c>
      <c r="K633" s="10">
        <f t="shared" si="31"/>
        <v>1.5241881951858775E-3</v>
      </c>
      <c r="L633" s="3">
        <f t="shared" si="33"/>
        <v>2</v>
      </c>
      <c r="M633" s="5">
        <f t="shared" si="32"/>
        <v>3.0483763903717551E-3</v>
      </c>
    </row>
    <row r="634" spans="10:13">
      <c r="J634" s="3">
        <v>31.15</v>
      </c>
      <c r="K634" s="10">
        <f t="shared" si="31"/>
        <v>1.4846833265629432E-3</v>
      </c>
      <c r="L634" s="3">
        <f t="shared" si="33"/>
        <v>4</v>
      </c>
      <c r="M634" s="5">
        <f t="shared" si="32"/>
        <v>5.9387333062517729E-3</v>
      </c>
    </row>
    <row r="635" spans="10:13">
      <c r="J635" s="3">
        <v>31.2</v>
      </c>
      <c r="K635" s="10">
        <f t="shared" si="31"/>
        <v>1.4460648247638947E-3</v>
      </c>
      <c r="L635" s="3">
        <f t="shared" si="33"/>
        <v>2</v>
      </c>
      <c r="M635" s="5">
        <f t="shared" si="32"/>
        <v>2.8921296495277894E-3</v>
      </c>
    </row>
    <row r="636" spans="10:13">
      <c r="J636" s="3">
        <v>31.25</v>
      </c>
      <c r="K636" s="10">
        <f t="shared" si="31"/>
        <v>1.4083163993306794E-3</v>
      </c>
      <c r="L636" s="3">
        <f t="shared" si="33"/>
        <v>4</v>
      </c>
      <c r="M636" s="5">
        <f t="shared" si="32"/>
        <v>5.6332655973227175E-3</v>
      </c>
    </row>
    <row r="637" spans="10:13">
      <c r="J637" s="3">
        <v>31.3</v>
      </c>
      <c r="K637" s="10">
        <f t="shared" si="31"/>
        <v>1.3714219756375593E-3</v>
      </c>
      <c r="L637" s="3">
        <f t="shared" si="33"/>
        <v>2</v>
      </c>
      <c r="M637" s="5">
        <f t="shared" si="32"/>
        <v>2.7428439512751186E-3</v>
      </c>
    </row>
    <row r="638" spans="10:13">
      <c r="J638" s="3">
        <v>31.35</v>
      </c>
      <c r="K638" s="10">
        <f t="shared" si="31"/>
        <v>1.335365693739972E-3</v>
      </c>
      <c r="L638" s="3">
        <f t="shared" si="33"/>
        <v>4</v>
      </c>
      <c r="M638" s="5">
        <f t="shared" si="32"/>
        <v>5.3414627749598879E-3</v>
      </c>
    </row>
    <row r="639" spans="10:13">
      <c r="J639" s="3">
        <v>31.4</v>
      </c>
      <c r="K639" s="10">
        <f t="shared" si="31"/>
        <v>1.3001319071968217E-3</v>
      </c>
      <c r="L639" s="3">
        <f t="shared" si="33"/>
        <v>2</v>
      </c>
      <c r="M639" s="5">
        <f t="shared" si="32"/>
        <v>2.6002638143936435E-3</v>
      </c>
    </row>
    <row r="640" spans="10:13">
      <c r="J640" s="3">
        <v>31.45</v>
      </c>
      <c r="K640" s="10">
        <f t="shared" si="31"/>
        <v>1.2657051818668241E-3</v>
      </c>
      <c r="L640" s="3">
        <f t="shared" si="33"/>
        <v>4</v>
      </c>
      <c r="M640" s="5">
        <f t="shared" si="32"/>
        <v>5.0628207274672965E-3</v>
      </c>
    </row>
    <row r="641" spans="10:13">
      <c r="J641" s="3">
        <v>31.5</v>
      </c>
      <c r="K641" s="10">
        <f t="shared" si="31"/>
        <v>1.2320702946795705E-3</v>
      </c>
      <c r="L641" s="3">
        <f t="shared" si="33"/>
        <v>2</v>
      </c>
      <c r="M641" s="5">
        <f t="shared" si="32"/>
        <v>2.464140589359141E-3</v>
      </c>
    </row>
    <row r="642" spans="10:13">
      <c r="J642" s="3">
        <v>31.55</v>
      </c>
      <c r="K642" s="10">
        <f t="shared" si="31"/>
        <v>1.1992122323818419E-3</v>
      </c>
      <c r="L642" s="3">
        <f t="shared" si="33"/>
        <v>4</v>
      </c>
      <c r="M642" s="5">
        <f t="shared" si="32"/>
        <v>4.7968489295273677E-3</v>
      </c>
    </row>
    <row r="643" spans="10:13">
      <c r="J643" s="3">
        <v>31.6</v>
      </c>
      <c r="K643" s="10">
        <f t="shared" si="31"/>
        <v>1.1671161902598224E-3</v>
      </c>
      <c r="L643" s="3">
        <f t="shared" si="33"/>
        <v>2</v>
      </c>
      <c r="M643" s="5">
        <f t="shared" si="32"/>
        <v>2.3342323805196448E-3</v>
      </c>
    </row>
    <row r="644" spans="10:13">
      <c r="J644" s="3">
        <v>31.65</v>
      </c>
      <c r="K644" s="10">
        <f t="shared" si="31"/>
        <v>1.1357675708378314E-3</v>
      </c>
      <c r="L644" s="3">
        <f t="shared" si="33"/>
        <v>4</v>
      </c>
      <c r="M644" s="5">
        <f t="shared" si="32"/>
        <v>4.5430702833513257E-3</v>
      </c>
    </row>
    <row r="645" spans="10:13">
      <c r="J645" s="3">
        <v>31.7</v>
      </c>
      <c r="K645" s="10">
        <f t="shared" si="31"/>
        <v>1.1051519825541704E-3</v>
      </c>
      <c r="L645" s="3">
        <f t="shared" si="33"/>
        <v>2</v>
      </c>
      <c r="M645" s="5">
        <f t="shared" si="32"/>
        <v>2.2103039651083407E-3</v>
      </c>
    </row>
    <row r="646" spans="10:13">
      <c r="J646" s="3">
        <v>31.75</v>
      </c>
      <c r="K646" s="10">
        <f t="shared" si="31"/>
        <v>1.0752552384147352E-3</v>
      </c>
      <c r="L646" s="3">
        <f t="shared" si="33"/>
        <v>4</v>
      </c>
      <c r="M646" s="5">
        <f t="shared" si="32"/>
        <v>4.3010209536589409E-3</v>
      </c>
    </row>
    <row r="647" spans="10:13">
      <c r="J647" s="3">
        <v>31.8</v>
      </c>
      <c r="K647" s="10">
        <f t="shared" si="31"/>
        <v>1.0460633546249647E-3</v>
      </c>
      <c r="L647" s="3">
        <f t="shared" si="33"/>
        <v>2</v>
      </c>
      <c r="M647" s="5">
        <f t="shared" si="32"/>
        <v>2.0921267092499293E-3</v>
      </c>
    </row>
    <row r="648" spans="10:13">
      <c r="J648" s="3">
        <v>31.85</v>
      </c>
      <c r="K648" s="10">
        <f t="shared" si="31"/>
        <v>1.0175625492007904E-3</v>
      </c>
      <c r="L648" s="3">
        <f t="shared" si="33"/>
        <v>4</v>
      </c>
      <c r="M648" s="5">
        <f t="shared" si="32"/>
        <v>4.0702501968031615E-3</v>
      </c>
    </row>
    <row r="649" spans="10:13">
      <c r="J649" s="3">
        <v>31.9</v>
      </c>
      <c r="K649" s="10">
        <f t="shared" si="31"/>
        <v>9.8973924055917447E-4</v>
      </c>
      <c r="L649" s="3">
        <f t="shared" si="33"/>
        <v>2</v>
      </c>
      <c r="M649" s="5">
        <f t="shared" si="32"/>
        <v>1.9794784811183489E-3</v>
      </c>
    </row>
    <row r="650" spans="10:13">
      <c r="J650" s="3">
        <v>31.95</v>
      </c>
      <c r="K650" s="10">
        <f t="shared" si="31"/>
        <v>9.6258004608887619E-4</v>
      </c>
      <c r="L650" s="3">
        <f t="shared" si="33"/>
        <v>4</v>
      </c>
      <c r="M650" s="5">
        <f t="shared" si="32"/>
        <v>3.8503201843555048E-3</v>
      </c>
    </row>
    <row r="651" spans="10:13">
      <c r="J651" s="3">
        <v>32</v>
      </c>
      <c r="K651" s="10">
        <f t="shared" ref="K651:K714" si="34">(B$6^J651)*(B$7^((B$5^70)*((B$5^J651)-1)))</f>
        <v>9.3607178070207906E-4</v>
      </c>
      <c r="L651" s="3">
        <f t="shared" si="33"/>
        <v>2</v>
      </c>
      <c r="M651" s="5">
        <f t="shared" si="32"/>
        <v>1.8721435614041581E-3</v>
      </c>
    </row>
    <row r="652" spans="10:13">
      <c r="J652" s="3">
        <v>32.049999999999997</v>
      </c>
      <c r="K652" s="10">
        <f t="shared" si="34"/>
        <v>9.1020145536747986E-4</v>
      </c>
      <c r="L652" s="3">
        <f t="shared" si="33"/>
        <v>4</v>
      </c>
      <c r="M652" s="5">
        <f t="shared" ref="M652:M715" si="35">K652*L652</f>
        <v>3.6408058214699194E-3</v>
      </c>
    </row>
    <row r="653" spans="10:13">
      <c r="J653" s="3">
        <v>32.1</v>
      </c>
      <c r="K653" s="10">
        <f t="shared" si="34"/>
        <v>8.8495627562540217E-4</v>
      </c>
      <c r="L653" s="3">
        <f t="shared" si="33"/>
        <v>2</v>
      </c>
      <c r="M653" s="5">
        <f t="shared" si="35"/>
        <v>1.7699125512508043E-3</v>
      </c>
    </row>
    <row r="654" spans="10:13">
      <c r="J654" s="3">
        <v>32.15</v>
      </c>
      <c r="K654" s="10">
        <f t="shared" si="34"/>
        <v>8.6032364008576713E-4</v>
      </c>
      <c r="L654" s="3">
        <f t="shared" ref="L654:L717" si="36">IF(L653=4,2,4)</f>
        <v>4</v>
      </c>
      <c r="M654" s="5">
        <f t="shared" si="35"/>
        <v>3.4412945603430685E-3</v>
      </c>
    </row>
    <row r="655" spans="10:13">
      <c r="J655" s="3">
        <v>32.200000000000003</v>
      </c>
      <c r="K655" s="10">
        <f t="shared" si="34"/>
        <v>8.3629113890921396E-4</v>
      </c>
      <c r="L655" s="3">
        <f t="shared" si="36"/>
        <v>2</v>
      </c>
      <c r="M655" s="5">
        <f t="shared" si="35"/>
        <v>1.6725822778184279E-3</v>
      </c>
    </row>
    <row r="656" spans="10:13">
      <c r="J656" s="3">
        <v>32.25</v>
      </c>
      <c r="K656" s="10">
        <f t="shared" si="34"/>
        <v>8.1284655227232563E-4</v>
      </c>
      <c r="L656" s="3">
        <f t="shared" si="36"/>
        <v>4</v>
      </c>
      <c r="M656" s="5">
        <f t="shared" si="35"/>
        <v>3.2513862090893025E-3</v>
      </c>
    </row>
    <row r="657" spans="10:13">
      <c r="J657" s="3">
        <v>32.299999999999997</v>
      </c>
      <c r="K657" s="10">
        <f t="shared" si="34"/>
        <v>7.8997784881730179E-4</v>
      </c>
      <c r="L657" s="3">
        <f t="shared" si="36"/>
        <v>2</v>
      </c>
      <c r="M657" s="5">
        <f t="shared" si="35"/>
        <v>1.5799556976346036E-3</v>
      </c>
    </row>
    <row r="658" spans="10:13">
      <c r="J658" s="3">
        <v>32.35</v>
      </c>
      <c r="K658" s="10">
        <f t="shared" si="34"/>
        <v>7.6767318408688839E-4</v>
      </c>
      <c r="L658" s="3">
        <f t="shared" si="36"/>
        <v>4</v>
      </c>
      <c r="M658" s="5">
        <f t="shared" si="35"/>
        <v>3.0706927363475535E-3</v>
      </c>
    </row>
    <row r="659" spans="10:13">
      <c r="J659" s="3">
        <v>32.4</v>
      </c>
      <c r="K659" s="10">
        <f t="shared" si="34"/>
        <v>7.4592089894509692E-4</v>
      </c>
      <c r="L659" s="3">
        <f t="shared" si="36"/>
        <v>2</v>
      </c>
      <c r="M659" s="5">
        <f t="shared" si="35"/>
        <v>1.4918417978901938E-3</v>
      </c>
    </row>
    <row r="660" spans="10:13">
      <c r="J660" s="3">
        <v>32.450000000000003</v>
      </c>
      <c r="K660" s="10">
        <f t="shared" si="34"/>
        <v>7.2470951798428028E-4</v>
      </c>
      <c r="L660" s="3">
        <f t="shared" si="36"/>
        <v>4</v>
      </c>
      <c r="M660" s="5">
        <f t="shared" si="35"/>
        <v>2.8988380719371211E-3</v>
      </c>
    </row>
    <row r="661" spans="10:13">
      <c r="J661" s="3">
        <v>32.5</v>
      </c>
      <c r="K661" s="10">
        <f t="shared" si="34"/>
        <v>7.0402774791931369E-4</v>
      </c>
      <c r="L661" s="3">
        <f t="shared" si="36"/>
        <v>2</v>
      </c>
      <c r="M661" s="5">
        <f t="shared" si="35"/>
        <v>1.4080554958386274E-3</v>
      </c>
    </row>
    <row r="662" spans="10:13">
      <c r="J662" s="3">
        <v>32.549999999999997</v>
      </c>
      <c r="K662" s="10">
        <f t="shared" si="34"/>
        <v>6.8386447596932554E-4</v>
      </c>
      <c r="L662" s="3">
        <f t="shared" si="36"/>
        <v>4</v>
      </c>
      <c r="M662" s="5">
        <f t="shared" si="35"/>
        <v>2.7354579038773022E-3</v>
      </c>
    </row>
    <row r="663" spans="10:13">
      <c r="J663" s="3">
        <v>32.6</v>
      </c>
      <c r="K663" s="10">
        <f t="shared" si="34"/>
        <v>6.6420876822771257E-4</v>
      </c>
      <c r="L663" s="3">
        <f t="shared" si="36"/>
        <v>2</v>
      </c>
      <c r="M663" s="5">
        <f t="shared" si="35"/>
        <v>1.3284175364554251E-3</v>
      </c>
    </row>
    <row r="664" spans="10:13">
      <c r="J664" s="3">
        <v>32.65</v>
      </c>
      <c r="K664" s="10">
        <f t="shared" si="34"/>
        <v>6.4504986802099771E-4</v>
      </c>
      <c r="L664" s="3">
        <f t="shared" si="36"/>
        <v>4</v>
      </c>
      <c r="M664" s="5">
        <f t="shared" si="35"/>
        <v>2.5801994720839909E-3</v>
      </c>
    </row>
    <row r="665" spans="10:13">
      <c r="J665" s="3">
        <v>32.700000000000003</v>
      </c>
      <c r="K665" s="10">
        <f t="shared" si="34"/>
        <v>6.2637719425706877E-4</v>
      </c>
      <c r="L665" s="3">
        <f t="shared" si="36"/>
        <v>2</v>
      </c>
      <c r="M665" s="5">
        <f t="shared" si="35"/>
        <v>1.2527543885141375E-3</v>
      </c>
    </row>
    <row r="666" spans="10:13">
      <c r="J666" s="3">
        <v>32.75</v>
      </c>
      <c r="K666" s="10">
        <f t="shared" si="34"/>
        <v>6.0818033976354124E-4</v>
      </c>
      <c r="L666" s="3">
        <f t="shared" si="36"/>
        <v>4</v>
      </c>
      <c r="M666" s="5">
        <f t="shared" si="35"/>
        <v>2.432721359054165E-3</v>
      </c>
    </row>
    <row r="667" spans="10:13">
      <c r="J667" s="3">
        <v>32.799999999999997</v>
      </c>
      <c r="K667" s="10">
        <f t="shared" si="34"/>
        <v>5.9044906961665223E-4</v>
      </c>
      <c r="L667" s="3">
        <f t="shared" si="36"/>
        <v>2</v>
      </c>
      <c r="M667" s="5">
        <f t="shared" si="35"/>
        <v>1.1808981392333045E-3</v>
      </c>
    </row>
    <row r="668" spans="10:13">
      <c r="J668" s="3">
        <v>32.85</v>
      </c>
      <c r="K668" s="10">
        <f t="shared" si="34"/>
        <v>5.7317331946144044E-4</v>
      </c>
      <c r="L668" s="3">
        <f t="shared" si="36"/>
        <v>4</v>
      </c>
      <c r="M668" s="5">
        <f t="shared" si="35"/>
        <v>2.2926932778457618E-3</v>
      </c>
    </row>
    <row r="669" spans="10:13">
      <c r="J669" s="3">
        <v>32.9</v>
      </c>
      <c r="K669" s="10">
        <f t="shared" si="34"/>
        <v>5.563431938237183E-4</v>
      </c>
      <c r="L669" s="3">
        <f t="shared" si="36"/>
        <v>2</v>
      </c>
      <c r="M669" s="5">
        <f t="shared" si="35"/>
        <v>1.1126863876474366E-3</v>
      </c>
    </row>
    <row r="670" spans="10:13">
      <c r="J670" s="3">
        <v>32.950000000000003</v>
      </c>
      <c r="K670" s="10">
        <f t="shared" si="34"/>
        <v>5.3994896441437903E-4</v>
      </c>
      <c r="L670" s="3">
        <f t="shared" si="36"/>
        <v>4</v>
      </c>
      <c r="M670" s="5">
        <f t="shared" si="35"/>
        <v>2.1597958576575161E-3</v>
      </c>
    </row>
    <row r="671" spans="10:13">
      <c r="J671" s="3">
        <v>33</v>
      </c>
      <c r="K671" s="10">
        <f t="shared" si="34"/>
        <v>5.2398106842673235E-4</v>
      </c>
      <c r="L671" s="3">
        <f t="shared" si="36"/>
        <v>2</v>
      </c>
      <c r="M671" s="5">
        <f t="shared" si="35"/>
        <v>1.0479621368534647E-3</v>
      </c>
    </row>
    <row r="672" spans="10:13">
      <c r="J672" s="3">
        <v>33.049999999999997</v>
      </c>
      <c r="K672" s="10">
        <f t="shared" si="34"/>
        <v>5.0843010682732404E-4</v>
      </c>
      <c r="L672" s="3">
        <f t="shared" si="36"/>
        <v>4</v>
      </c>
      <c r="M672" s="5">
        <f t="shared" si="35"/>
        <v>2.0337204273092962E-3</v>
      </c>
    </row>
    <row r="673" spans="10:13">
      <c r="J673" s="3">
        <v>33.1</v>
      </c>
      <c r="K673" s="10">
        <f t="shared" si="34"/>
        <v>4.9328684264085293E-4</v>
      </c>
      <c r="L673" s="3">
        <f t="shared" si="36"/>
        <v>2</v>
      </c>
      <c r="M673" s="5">
        <f t="shared" si="35"/>
        <v>9.8657368528170587E-4</v>
      </c>
    </row>
    <row r="674" spans="10:13">
      <c r="J674" s="3">
        <v>33.15</v>
      </c>
      <c r="K674" s="10">
        <f t="shared" si="34"/>
        <v>4.7854219922980598E-4</v>
      </c>
      <c r="L674" s="3">
        <f t="shared" si="36"/>
        <v>4</v>
      </c>
      <c r="M674" s="5">
        <f t="shared" si="35"/>
        <v>1.9141687969192239E-3</v>
      </c>
    </row>
    <row r="675" spans="10:13">
      <c r="J675" s="3">
        <v>33.200000000000003</v>
      </c>
      <c r="K675" s="10">
        <f t="shared" si="34"/>
        <v>4.641872585692305E-4</v>
      </c>
      <c r="L675" s="3">
        <f t="shared" si="36"/>
        <v>2</v>
      </c>
      <c r="M675" s="5">
        <f t="shared" si="35"/>
        <v>9.28374517138461E-4</v>
      </c>
    </row>
    <row r="676" spans="10:13">
      <c r="J676" s="3">
        <v>33.25</v>
      </c>
      <c r="K676" s="10">
        <f t="shared" si="34"/>
        <v>4.5021325951735285E-4</v>
      </c>
      <c r="L676" s="3">
        <f t="shared" si="36"/>
        <v>4</v>
      </c>
      <c r="M676" s="5">
        <f t="shared" si="35"/>
        <v>1.8008530380694114E-3</v>
      </c>
    </row>
    <row r="677" spans="10:13">
      <c r="J677" s="3">
        <v>33.299999999999997</v>
      </c>
      <c r="K677" s="10">
        <f t="shared" si="34"/>
        <v>4.3661159608245808E-4</v>
      </c>
      <c r="L677" s="3">
        <f t="shared" si="36"/>
        <v>2</v>
      </c>
      <c r="M677" s="5">
        <f t="shared" si="35"/>
        <v>8.7322319216491615E-4</v>
      </c>
    </row>
    <row r="678" spans="10:13">
      <c r="J678" s="3">
        <v>33.35</v>
      </c>
      <c r="K678" s="10">
        <f t="shared" si="34"/>
        <v>4.2337381568666036E-4</v>
      </c>
      <c r="L678" s="3">
        <f t="shared" si="36"/>
        <v>4</v>
      </c>
      <c r="M678" s="5">
        <f t="shared" si="35"/>
        <v>1.6934952627466414E-3</v>
      </c>
    </row>
    <row r="679" spans="10:13">
      <c r="J679" s="3">
        <v>33.4</v>
      </c>
      <c r="K679" s="10">
        <f t="shared" si="34"/>
        <v>4.1049161742706751E-4</v>
      </c>
      <c r="L679" s="3">
        <f t="shared" si="36"/>
        <v>2</v>
      </c>
      <c r="M679" s="5">
        <f t="shared" si="35"/>
        <v>8.2098323485413501E-4</v>
      </c>
    </row>
    <row r="680" spans="10:13">
      <c r="J680" s="3">
        <v>33.450000000000003</v>
      </c>
      <c r="K680" s="10">
        <f t="shared" si="34"/>
        <v>3.979568503348424E-4</v>
      </c>
      <c r="L680" s="3">
        <f t="shared" si="36"/>
        <v>4</v>
      </c>
      <c r="M680" s="5">
        <f t="shared" si="35"/>
        <v>1.5918274013393696E-3</v>
      </c>
    </row>
    <row r="681" spans="10:13">
      <c r="J681" s="3">
        <v>33.5</v>
      </c>
      <c r="K681" s="10">
        <f t="shared" si="34"/>
        <v>3.8576151163273833E-4</v>
      </c>
      <c r="L681" s="3">
        <f t="shared" si="36"/>
        <v>2</v>
      </c>
      <c r="M681" s="5">
        <f t="shared" si="35"/>
        <v>7.7152302326547666E-4</v>
      </c>
    </row>
    <row r="682" spans="10:13">
      <c r="J682" s="3">
        <v>33.549999999999997</v>
      </c>
      <c r="K682" s="10">
        <f t="shared" si="34"/>
        <v>3.7389774499157997E-4</v>
      </c>
      <c r="L682" s="3">
        <f t="shared" si="36"/>
        <v>4</v>
      </c>
      <c r="M682" s="5">
        <f t="shared" si="35"/>
        <v>1.4955909799663199E-3</v>
      </c>
    </row>
    <row r="683" spans="10:13">
      <c r="J683" s="3">
        <v>33.6</v>
      </c>
      <c r="K683" s="10">
        <f t="shared" si="34"/>
        <v>3.6235783878621627E-4</v>
      </c>
      <c r="L683" s="3">
        <f t="shared" si="36"/>
        <v>2</v>
      </c>
      <c r="M683" s="5">
        <f t="shared" si="35"/>
        <v>7.2471567757243253E-4</v>
      </c>
    </row>
    <row r="684" spans="10:13">
      <c r="J684" s="3">
        <v>33.65</v>
      </c>
      <c r="K684" s="10">
        <f t="shared" si="34"/>
        <v>3.5113422435146516E-4</v>
      </c>
      <c r="L684" s="3">
        <f t="shared" si="36"/>
        <v>4</v>
      </c>
      <c r="M684" s="5">
        <f t="shared" si="35"/>
        <v>1.4045368974058606E-3</v>
      </c>
    </row>
    <row r="685" spans="10:13">
      <c r="J685" s="3">
        <v>33.700000000000003</v>
      </c>
      <c r="K685" s="10">
        <f t="shared" si="34"/>
        <v>3.4021947423849928E-4</v>
      </c>
      <c r="L685" s="3">
        <f t="shared" si="36"/>
        <v>2</v>
      </c>
      <c r="M685" s="5">
        <f t="shared" si="35"/>
        <v>6.8043894847699855E-4</v>
      </c>
    </row>
    <row r="686" spans="10:13">
      <c r="J686" s="3">
        <v>33.75</v>
      </c>
      <c r="K686" s="10">
        <f t="shared" si="34"/>
        <v>3.2960630047222672E-4</v>
      </c>
      <c r="L686" s="3">
        <f t="shared" si="36"/>
        <v>4</v>
      </c>
      <c r="M686" s="5">
        <f t="shared" si="35"/>
        <v>1.3184252018889069E-3</v>
      </c>
    </row>
    <row r="687" spans="10:13">
      <c r="J687" s="3">
        <v>33.799999999999997</v>
      </c>
      <c r="K687" s="10">
        <f t="shared" si="34"/>
        <v>3.1928755281009313E-4</v>
      </c>
      <c r="L687" s="3">
        <f t="shared" si="36"/>
        <v>2</v>
      </c>
      <c r="M687" s="5">
        <f t="shared" si="35"/>
        <v>6.3857510562018627E-4</v>
      </c>
    </row>
    <row r="688" spans="10:13">
      <c r="J688" s="3">
        <v>33.85</v>
      </c>
      <c r="K688" s="10">
        <f t="shared" si="34"/>
        <v>3.0925621700280548E-4</v>
      </c>
      <c r="L688" s="3">
        <f t="shared" si="36"/>
        <v>4</v>
      </c>
      <c r="M688" s="5">
        <f t="shared" si="35"/>
        <v>1.2370248680112219E-3</v>
      </c>
    </row>
    <row r="689" spans="10:13">
      <c r="J689" s="3">
        <v>33.9</v>
      </c>
      <c r="K689" s="10">
        <f t="shared" si="34"/>
        <v>2.995054130574617E-4</v>
      </c>
      <c r="L689" s="3">
        <f t="shared" si="36"/>
        <v>2</v>
      </c>
      <c r="M689" s="5">
        <f t="shared" si="35"/>
        <v>5.990108261149234E-4</v>
      </c>
    </row>
    <row r="690" spans="10:13">
      <c r="J690" s="3">
        <v>33.950000000000003</v>
      </c>
      <c r="K690" s="10">
        <f t="shared" si="34"/>
        <v>2.9002839350349748E-4</v>
      </c>
      <c r="L690" s="3">
        <f t="shared" si="36"/>
        <v>4</v>
      </c>
      <c r="M690" s="5">
        <f t="shared" si="35"/>
        <v>1.1601135740139899E-3</v>
      </c>
    </row>
    <row r="691" spans="10:13">
      <c r="J691" s="3">
        <v>34</v>
      </c>
      <c r="K691" s="10">
        <f t="shared" si="34"/>
        <v>2.8081854166196149E-4</v>
      </c>
      <c r="L691" s="3">
        <f t="shared" si="36"/>
        <v>2</v>
      </c>
      <c r="M691" s="5">
        <f t="shared" si="35"/>
        <v>5.6163708332392299E-4</v>
      </c>
    </row>
    <row r="692" spans="10:13">
      <c r="J692" s="3">
        <v>34.049999999999997</v>
      </c>
      <c r="K692" s="10">
        <f t="shared" si="34"/>
        <v>2.7186936991853119E-4</v>
      </c>
      <c r="L692" s="3">
        <f t="shared" si="36"/>
        <v>4</v>
      </c>
      <c r="M692" s="5">
        <f t="shared" si="35"/>
        <v>1.0874774796741247E-3</v>
      </c>
    </row>
    <row r="693" spans="10:13">
      <c r="J693" s="3">
        <v>34.1</v>
      </c>
      <c r="K693" s="10">
        <f t="shared" si="34"/>
        <v>2.6317451800069038E-4</v>
      </c>
      <c r="L693" s="3">
        <f t="shared" si="36"/>
        <v>2</v>
      </c>
      <c r="M693" s="5">
        <f t="shared" si="35"/>
        <v>5.2634903600138076E-4</v>
      </c>
    </row>
    <row r="694" spans="10:13">
      <c r="J694" s="3">
        <v>34.15</v>
      </c>
      <c r="K694" s="10">
        <f t="shared" si="34"/>
        <v>2.5472775125956259E-4</v>
      </c>
      <c r="L694" s="3">
        <f t="shared" si="36"/>
        <v>4</v>
      </c>
      <c r="M694" s="5">
        <f t="shared" si="35"/>
        <v>1.0189110050382504E-3</v>
      </c>
    </row>
    <row r="695" spans="10:13">
      <c r="J695" s="3">
        <v>34.200000000000003</v>
      </c>
      <c r="K695" s="10">
        <f t="shared" si="34"/>
        <v>2.4652295895674024E-4</v>
      </c>
      <c r="L695" s="3">
        <f t="shared" si="36"/>
        <v>2</v>
      </c>
      <c r="M695" s="5">
        <f t="shared" si="35"/>
        <v>4.9304591791348047E-4</v>
      </c>
    </row>
    <row r="696" spans="10:13">
      <c r="J696" s="3">
        <v>34.25</v>
      </c>
      <c r="K696" s="10">
        <f t="shared" si="34"/>
        <v>2.3855415255658993E-4</v>
      </c>
      <c r="L696" s="3">
        <f t="shared" si="36"/>
        <v>4</v>
      </c>
      <c r="M696" s="5">
        <f t="shared" si="35"/>
        <v>9.542166102263597E-4</v>
      </c>
    </row>
    <row r="697" spans="10:13">
      <c r="J697" s="3">
        <v>34.299999999999997</v>
      </c>
      <c r="K697" s="10">
        <f t="shared" si="34"/>
        <v>2.3081546402440068E-4</v>
      </c>
      <c r="L697" s="3">
        <f t="shared" si="36"/>
        <v>2</v>
      </c>
      <c r="M697" s="5">
        <f t="shared" si="35"/>
        <v>4.6163092804880136E-4</v>
      </c>
    </row>
    <row r="698" spans="10:13">
      <c r="J698" s="3">
        <v>34.35</v>
      </c>
      <c r="K698" s="10">
        <f t="shared" si="34"/>
        <v>2.2330114413079055E-4</v>
      </c>
      <c r="L698" s="3">
        <f t="shared" si="36"/>
        <v>4</v>
      </c>
      <c r="M698" s="5">
        <f t="shared" si="35"/>
        <v>8.932045765231622E-4</v>
      </c>
    </row>
    <row r="699" spans="10:13">
      <c r="J699" s="3">
        <v>34.4</v>
      </c>
      <c r="K699" s="10">
        <f t="shared" si="34"/>
        <v>2.1600556076275973E-4</v>
      </c>
      <c r="L699" s="3">
        <f t="shared" si="36"/>
        <v>2</v>
      </c>
      <c r="M699" s="5">
        <f t="shared" si="35"/>
        <v>4.3201112152551946E-4</v>
      </c>
    </row>
    <row r="700" spans="10:13">
      <c r="J700" s="3">
        <v>34.450000000000003</v>
      </c>
      <c r="K700" s="10">
        <f t="shared" si="34"/>
        <v>2.0892319724175311E-4</v>
      </c>
      <c r="L700" s="3">
        <f t="shared" si="36"/>
        <v>4</v>
      </c>
      <c r="M700" s="5">
        <f t="shared" si="35"/>
        <v>8.3569278896701246E-4</v>
      </c>
    </row>
    <row r="701" spans="10:13">
      <c r="J701" s="3">
        <v>34.5</v>
      </c>
      <c r="K701" s="10">
        <f t="shared" si="34"/>
        <v>2.0204865064913784E-4</v>
      </c>
      <c r="L701" s="3">
        <f t="shared" si="36"/>
        <v>2</v>
      </c>
      <c r="M701" s="5">
        <f t="shared" si="35"/>
        <v>4.0409730129827568E-4</v>
      </c>
    </row>
    <row r="702" spans="10:13">
      <c r="J702" s="3">
        <v>34.549999999999997</v>
      </c>
      <c r="K702" s="10">
        <f t="shared" si="34"/>
        <v>1.9537663015942617E-4</v>
      </c>
      <c r="L702" s="3">
        <f t="shared" si="36"/>
        <v>4</v>
      </c>
      <c r="M702" s="5">
        <f t="shared" si="35"/>
        <v>7.8150652063770467E-4</v>
      </c>
    </row>
    <row r="703" spans="10:13">
      <c r="J703" s="3">
        <v>34.6</v>
      </c>
      <c r="K703" s="10">
        <f t="shared" si="34"/>
        <v>1.8890195538162085E-4</v>
      </c>
      <c r="L703" s="3">
        <f t="shared" si="36"/>
        <v>2</v>
      </c>
      <c r="M703" s="5">
        <f t="shared" si="35"/>
        <v>3.7780391076324169E-4</v>
      </c>
    </row>
    <row r="704" spans="10:13">
      <c r="J704" s="3">
        <v>34.65</v>
      </c>
      <c r="K704" s="10">
        <f t="shared" si="34"/>
        <v>1.826195547090277E-4</v>
      </c>
      <c r="L704" s="3">
        <f t="shared" si="36"/>
        <v>4</v>
      </c>
      <c r="M704" s="5">
        <f t="shared" si="35"/>
        <v>7.3047821883611081E-4</v>
      </c>
    </row>
    <row r="705" spans="10:13">
      <c r="J705" s="3">
        <v>34.700000000000003</v>
      </c>
      <c r="K705" s="10">
        <f t="shared" si="34"/>
        <v>1.7652446367785485E-4</v>
      </c>
      <c r="L705" s="3">
        <f t="shared" si="36"/>
        <v>2</v>
      </c>
      <c r="M705" s="5">
        <f t="shared" si="35"/>
        <v>3.530489273557097E-4</v>
      </c>
    </row>
    <row r="706" spans="10:13">
      <c r="J706" s="3">
        <v>34.75</v>
      </c>
      <c r="K706" s="10">
        <f t="shared" si="34"/>
        <v>1.7061182333496001E-4</v>
      </c>
      <c r="L706" s="3">
        <f t="shared" si="36"/>
        <v>4</v>
      </c>
      <c r="M706" s="5">
        <f t="shared" si="35"/>
        <v>6.8244729333984003E-4</v>
      </c>
    </row>
    <row r="707" spans="10:13">
      <c r="J707" s="3">
        <v>34.799999999999997</v>
      </c>
      <c r="K707" s="10">
        <f t="shared" si="34"/>
        <v>1.6487687861504175E-4</v>
      </c>
      <c r="L707" s="3">
        <f t="shared" si="36"/>
        <v>2</v>
      </c>
      <c r="M707" s="5">
        <f t="shared" si="35"/>
        <v>3.297537572300835E-4</v>
      </c>
    </row>
    <row r="708" spans="10:13">
      <c r="J708" s="3">
        <v>34.85</v>
      </c>
      <c r="K708" s="10">
        <f t="shared" si="34"/>
        <v>1.5931497672759193E-4</v>
      </c>
      <c r="L708" s="3">
        <f t="shared" si="36"/>
        <v>4</v>
      </c>
      <c r="M708" s="5">
        <f t="shared" si="35"/>
        <v>6.372599069103677E-4</v>
      </c>
    </row>
    <row r="709" spans="10:13">
      <c r="J709" s="3">
        <v>34.9</v>
      </c>
      <c r="K709" s="10">
        <f t="shared" si="34"/>
        <v>1.5392156555392553E-4</v>
      </c>
      <c r="L709" s="3">
        <f t="shared" si="36"/>
        <v>2</v>
      </c>
      <c r="M709" s="5">
        <f t="shared" si="35"/>
        <v>3.0784313110785106E-4</v>
      </c>
    </row>
    <row r="710" spans="10:13">
      <c r="J710" s="3">
        <v>34.950000000000003</v>
      </c>
      <c r="K710" s="10">
        <f t="shared" si="34"/>
        <v>1.4869219205456755E-4</v>
      </c>
      <c r="L710" s="3">
        <f t="shared" si="36"/>
        <v>4</v>
      </c>
      <c r="M710" s="5">
        <f t="shared" si="35"/>
        <v>5.9476876821827022E-4</v>
      </c>
    </row>
    <row r="711" spans="10:13">
      <c r="J711" s="3">
        <v>35</v>
      </c>
      <c r="K711" s="10">
        <f t="shared" si="34"/>
        <v>1.4362250068728982E-4</v>
      </c>
      <c r="L711" s="3">
        <f t="shared" si="36"/>
        <v>2</v>
      </c>
      <c r="M711" s="5">
        <f t="shared" si="35"/>
        <v>2.8724500137457964E-4</v>
      </c>
    </row>
    <row r="712" spans="10:13">
      <c r="J712" s="3">
        <v>35.049999999999997</v>
      </c>
      <c r="K712" s="10">
        <f t="shared" si="34"/>
        <v>1.3870823183607944E-4</v>
      </c>
      <c r="L712" s="3">
        <f t="shared" si="36"/>
        <v>4</v>
      </c>
      <c r="M712" s="5">
        <f t="shared" si="35"/>
        <v>5.5483292734431777E-4</v>
      </c>
    </row>
    <row r="713" spans="10:13">
      <c r="J713" s="3">
        <v>35.1</v>
      </c>
      <c r="K713" s="10">
        <f t="shared" si="34"/>
        <v>1.3394522025129299E-4</v>
      </c>
      <c r="L713" s="3">
        <f t="shared" si="36"/>
        <v>2</v>
      </c>
      <c r="M713" s="5">
        <f t="shared" si="35"/>
        <v>2.6789044050258597E-4</v>
      </c>
    </row>
    <row r="714" spans="10:13">
      <c r="J714" s="3">
        <v>35.15</v>
      </c>
      <c r="K714" s="10">
        <f t="shared" si="34"/>
        <v>1.2932939350128033E-4</v>
      </c>
      <c r="L714" s="3">
        <f t="shared" si="36"/>
        <v>4</v>
      </c>
      <c r="M714" s="5">
        <f t="shared" si="35"/>
        <v>5.1731757400512131E-4</v>
      </c>
    </row>
    <row r="715" spans="10:13">
      <c r="J715" s="3">
        <v>35.200000000000003</v>
      </c>
      <c r="K715" s="10">
        <f t="shared" ref="K715:K778" si="37">(B$6^J715)*(B$7^((B$5^70)*((B$5^J715)-1)))</f>
        <v>1.248567704357038E-4</v>
      </c>
      <c r="L715" s="3">
        <f t="shared" si="36"/>
        <v>2</v>
      </c>
      <c r="M715" s="5">
        <f t="shared" si="35"/>
        <v>2.497135408714076E-4</v>
      </c>
    </row>
    <row r="716" spans="10:13">
      <c r="J716" s="3">
        <v>35.25</v>
      </c>
      <c r="K716" s="10">
        <f t="shared" si="37"/>
        <v>1.2052345966081218E-4</v>
      </c>
      <c r="L716" s="3">
        <f t="shared" si="36"/>
        <v>4</v>
      </c>
      <c r="M716" s="5">
        <f t="shared" ref="M716:M779" si="38">K716*L716</f>
        <v>4.8209383864324871E-4</v>
      </c>
    </row>
    <row r="717" spans="10:13">
      <c r="J717" s="3">
        <v>35.299999999999997</v>
      </c>
      <c r="K717" s="10">
        <f t="shared" si="37"/>
        <v>1.1632565802689623E-4</v>
      </c>
      <c r="L717" s="3">
        <f t="shared" si="36"/>
        <v>2</v>
      </c>
      <c r="M717" s="5">
        <f t="shared" si="38"/>
        <v>2.3265131605379246E-4</v>
      </c>
    </row>
    <row r="718" spans="10:13">
      <c r="J718" s="3">
        <v>35.35</v>
      </c>
      <c r="K718" s="10">
        <f t="shared" si="37"/>
        <v>1.1225964912815072E-4</v>
      </c>
      <c r="L718" s="3">
        <f t="shared" ref="L718:L781" si="39">IF(L717=4,2,4)</f>
        <v>4</v>
      </c>
      <c r="M718" s="5">
        <f t="shared" si="38"/>
        <v>4.490385965126029E-4</v>
      </c>
    </row>
    <row r="719" spans="10:13">
      <c r="J719" s="3">
        <v>35.4</v>
      </c>
      <c r="K719" s="10">
        <f t="shared" si="37"/>
        <v>1.0832180181516675E-4</v>
      </c>
      <c r="L719" s="3">
        <f t="shared" si="39"/>
        <v>2</v>
      </c>
      <c r="M719" s="5">
        <f t="shared" si="38"/>
        <v>2.1664360363033349E-4</v>
      </c>
    </row>
    <row r="720" spans="10:13">
      <c r="J720" s="3">
        <v>35.450000000000003</v>
      </c>
      <c r="K720" s="10">
        <f t="shared" si="37"/>
        <v>1.0450856872024975E-4</v>
      </c>
      <c r="L720" s="3">
        <f t="shared" si="39"/>
        <v>4</v>
      </c>
      <c r="M720" s="5">
        <f t="shared" si="38"/>
        <v>4.18034274880999E-4</v>
      </c>
    </row>
    <row r="721" spans="10:13">
      <c r="J721" s="3">
        <v>35.5</v>
      </c>
      <c r="K721" s="10">
        <f t="shared" si="37"/>
        <v>1.0081648479577232E-4</v>
      </c>
      <c r="L721" s="3">
        <f t="shared" si="39"/>
        <v>2</v>
      </c>
      <c r="M721" s="5">
        <f t="shared" si="38"/>
        <v>2.0163296959154465E-4</v>
      </c>
    </row>
    <row r="722" spans="10:13">
      <c r="J722" s="3">
        <v>35.549999999999997</v>
      </c>
      <c r="K722" s="10">
        <f t="shared" si="37"/>
        <v>9.7242165865748885E-5</v>
      </c>
      <c r="L722" s="3">
        <f t="shared" si="39"/>
        <v>4</v>
      </c>
      <c r="M722" s="5">
        <f t="shared" si="38"/>
        <v>3.8896866346299554E-4</v>
      </c>
    </row>
    <row r="723" spans="10:13">
      <c r="J723" s="3">
        <v>35.6</v>
      </c>
      <c r="K723" s="10">
        <f t="shared" si="37"/>
        <v>9.3782307190812438E-5</v>
      </c>
      <c r="L723" s="3">
        <f t="shared" si="39"/>
        <v>2</v>
      </c>
      <c r="M723" s="5">
        <f t="shared" si="38"/>
        <v>1.8756461438162488E-4</v>
      </c>
    </row>
    <row r="724" spans="10:13">
      <c r="J724" s="3">
        <v>35.65</v>
      </c>
      <c r="K724" s="10">
        <f t="shared" si="37"/>
        <v>9.043368204677269E-5</v>
      </c>
      <c r="L724" s="3">
        <f t="shared" si="39"/>
        <v>4</v>
      </c>
      <c r="M724" s="5">
        <f t="shared" si="38"/>
        <v>3.6173472818709076E-4</v>
      </c>
    </row>
    <row r="725" spans="10:13">
      <c r="J725" s="3">
        <v>35.700000000000003</v>
      </c>
      <c r="K725" s="10">
        <f t="shared" si="37"/>
        <v>8.7193140316914043E-5</v>
      </c>
      <c r="L725" s="3">
        <f t="shared" si="39"/>
        <v>2</v>
      </c>
      <c r="M725" s="5">
        <f t="shared" si="38"/>
        <v>1.7438628063382809E-4</v>
      </c>
    </row>
    <row r="726" spans="10:13">
      <c r="J726" s="3">
        <v>35.75</v>
      </c>
      <c r="K726" s="10">
        <f t="shared" si="37"/>
        <v>8.405760709819249E-5</v>
      </c>
      <c r="L726" s="3">
        <f t="shared" si="39"/>
        <v>4</v>
      </c>
      <c r="M726" s="5">
        <f t="shared" si="38"/>
        <v>3.3623042839276996E-4</v>
      </c>
    </row>
    <row r="727" spans="10:13">
      <c r="J727" s="3">
        <v>35.799999999999997</v>
      </c>
      <c r="K727" s="10">
        <f t="shared" si="37"/>
        <v>8.1024081321484515E-5</v>
      </c>
      <c r="L727" s="3">
        <f t="shared" si="39"/>
        <v>2</v>
      </c>
      <c r="M727" s="5">
        <f t="shared" si="38"/>
        <v>1.6204816264296903E-4</v>
      </c>
    </row>
    <row r="728" spans="10:13">
      <c r="J728" s="3">
        <v>35.85</v>
      </c>
      <c r="K728" s="10">
        <f t="shared" si="37"/>
        <v>7.8089634386018926E-5</v>
      </c>
      <c r="L728" s="3">
        <f t="shared" si="39"/>
        <v>4</v>
      </c>
      <c r="M728" s="5">
        <f t="shared" si="38"/>
        <v>3.1235853754407571E-4</v>
      </c>
    </row>
    <row r="729" spans="10:13">
      <c r="J729" s="3">
        <v>35.9</v>
      </c>
      <c r="K729" s="10">
        <f t="shared" si="37"/>
        <v>7.5251408808134563E-5</v>
      </c>
      <c r="L729" s="3">
        <f t="shared" si="39"/>
        <v>2</v>
      </c>
      <c r="M729" s="5">
        <f t="shared" si="38"/>
        <v>1.5050281761626913E-4</v>
      </c>
    </row>
    <row r="730" spans="10:13">
      <c r="J730" s="3">
        <v>35.950000000000003</v>
      </c>
      <c r="K730" s="10">
        <f t="shared" si="37"/>
        <v>7.250661688447849E-5</v>
      </c>
      <c r="L730" s="3">
        <f t="shared" si="39"/>
        <v>4</v>
      </c>
      <c r="M730" s="5">
        <f t="shared" si="38"/>
        <v>2.9002646753791396E-4</v>
      </c>
    </row>
    <row r="731" spans="10:13">
      <c r="J731" s="3">
        <v>36</v>
      </c>
      <c r="K731" s="10">
        <f t="shared" si="37"/>
        <v>6.9852539369765371E-5</v>
      </c>
      <c r="L731" s="3">
        <f t="shared" si="39"/>
        <v>2</v>
      </c>
      <c r="M731" s="5">
        <f t="shared" si="38"/>
        <v>1.3970507873953074E-4</v>
      </c>
    </row>
    <row r="732" spans="10:13">
      <c r="J732" s="3">
        <v>36.049999999999997</v>
      </c>
      <c r="K732" s="10">
        <f t="shared" si="37"/>
        <v>6.7286524169207461E-5</v>
      </c>
      <c r="L732" s="3">
        <f t="shared" si="39"/>
        <v>4</v>
      </c>
      <c r="M732" s="5">
        <f t="shared" si="38"/>
        <v>2.6914609667682985E-4</v>
      </c>
    </row>
    <row r="733" spans="10:13">
      <c r="J733" s="3">
        <v>36.1</v>
      </c>
      <c r="K733" s="10">
        <f t="shared" si="37"/>
        <v>6.4805985045706462E-5</v>
      </c>
      <c r="L733" s="3">
        <f t="shared" si="39"/>
        <v>2</v>
      </c>
      <c r="M733" s="5">
        <f t="shared" si="38"/>
        <v>1.2961197009141292E-4</v>
      </c>
    </row>
    <row r="734" spans="10:13">
      <c r="J734" s="3">
        <v>36.15</v>
      </c>
      <c r="K734" s="10">
        <f t="shared" si="37"/>
        <v>6.2408400341915532E-5</v>
      </c>
      <c r="L734" s="3">
        <f t="shared" si="39"/>
        <v>4</v>
      </c>
      <c r="M734" s="5">
        <f t="shared" si="38"/>
        <v>2.4963360136766213E-4</v>
      </c>
    </row>
    <row r="735" spans="10:13">
      <c r="J735" s="3">
        <v>36.200000000000003</v>
      </c>
      <c r="K735" s="10">
        <f t="shared" si="37"/>
        <v>6.0091311717238526E-5</v>
      </c>
      <c r="L735" s="3">
        <f t="shared" si="39"/>
        <v>2</v>
      </c>
      <c r="M735" s="5">
        <f t="shared" si="38"/>
        <v>1.2018262343447705E-4</v>
      </c>
    </row>
    <row r="736" spans="10:13">
      <c r="J736" s="3">
        <v>36.25</v>
      </c>
      <c r="K736" s="10">
        <f t="shared" si="37"/>
        <v>5.7852322899855584E-5</v>
      </c>
      <c r="L736" s="3">
        <f t="shared" si="39"/>
        <v>4</v>
      </c>
      <c r="M736" s="5">
        <f t="shared" si="38"/>
        <v>2.3140929159942234E-4</v>
      </c>
    </row>
    <row r="737" spans="10:13">
      <c r="J737" s="3">
        <v>36.299999999999997</v>
      </c>
      <c r="K737" s="10">
        <f t="shared" si="37"/>
        <v>5.5689098453838339E-5</v>
      </c>
      <c r="L737" s="3">
        <f t="shared" si="39"/>
        <v>2</v>
      </c>
      <c r="M737" s="5">
        <f t="shared" si="38"/>
        <v>1.1137819690767668E-4</v>
      </c>
    </row>
    <row r="738" spans="10:13">
      <c r="J738" s="3">
        <v>36.35</v>
      </c>
      <c r="K738" s="10">
        <f t="shared" si="37"/>
        <v>5.3599362561421532E-5</v>
      </c>
      <c r="L738" s="3">
        <f t="shared" si="39"/>
        <v>4</v>
      </c>
      <c r="M738" s="5">
        <f t="shared" si="38"/>
        <v>2.1439745024568613E-4</v>
      </c>
    </row>
    <row r="739" spans="10:13">
      <c r="J739" s="3">
        <v>36.4</v>
      </c>
      <c r="K739" s="10">
        <f t="shared" si="37"/>
        <v>5.1580897820481118E-5</v>
      </c>
      <c r="L739" s="3">
        <f t="shared" si="39"/>
        <v>2</v>
      </c>
      <c r="M739" s="5">
        <f t="shared" si="38"/>
        <v>1.0316179564096224E-4</v>
      </c>
    </row>
    <row r="740" spans="10:13">
      <c r="J740" s="3">
        <v>36.450000000000003</v>
      </c>
      <c r="K740" s="10">
        <f t="shared" si="37"/>
        <v>4.9631544057269328E-5</v>
      </c>
      <c r="L740" s="3">
        <f t="shared" si="39"/>
        <v>4</v>
      </c>
      <c r="M740" s="5">
        <f t="shared" si="38"/>
        <v>1.9852617622907731E-4</v>
      </c>
    </row>
    <row r="741" spans="10:13">
      <c r="J741" s="3">
        <v>36.5</v>
      </c>
      <c r="K741" s="10">
        <f t="shared" si="37"/>
        <v>4.7749197154446509E-5</v>
      </c>
      <c r="L741" s="3">
        <f t="shared" si="39"/>
        <v>2</v>
      </c>
      <c r="M741" s="5">
        <f t="shared" si="38"/>
        <v>9.5498394308893018E-5</v>
      </c>
    </row>
    <row r="742" spans="10:13">
      <c r="J742" s="3">
        <v>36.549999999999997</v>
      </c>
      <c r="K742" s="10">
        <f t="shared" si="37"/>
        <v>4.5931807894442715E-5</v>
      </c>
      <c r="L742" s="3">
        <f t="shared" si="39"/>
        <v>4</v>
      </c>
      <c r="M742" s="5">
        <f t="shared" si="38"/>
        <v>1.8372723157777086E-4</v>
      </c>
    </row>
    <row r="743" spans="10:13">
      <c r="J743" s="3">
        <v>36.6</v>
      </c>
      <c r="K743" s="10">
        <f t="shared" si="37"/>
        <v>4.4177380818176683E-5</v>
      </c>
      <c r="L743" s="3">
        <f t="shared" si="39"/>
        <v>2</v>
      </c>
      <c r="M743" s="5">
        <f t="shared" si="38"/>
        <v>8.8354761636353366E-5</v>
      </c>
    </row>
    <row r="744" spans="10:13">
      <c r="J744" s="3">
        <v>36.65</v>
      </c>
      <c r="K744" s="10">
        <f t="shared" si="37"/>
        <v>4.2483973099150758E-5</v>
      </c>
      <c r="L744" s="3">
        <f t="shared" si="39"/>
        <v>4</v>
      </c>
      <c r="M744" s="5">
        <f t="shared" si="38"/>
        <v>1.6993589239660303E-4</v>
      </c>
    </row>
    <row r="745" spans="10:13">
      <c r="J745" s="3">
        <v>36.700000000000003</v>
      </c>
      <c r="K745" s="10">
        <f t="shared" si="37"/>
        <v>4.0849693432935077E-5</v>
      </c>
      <c r="L745" s="3">
        <f t="shared" si="39"/>
        <v>2</v>
      </c>
      <c r="M745" s="5">
        <f t="shared" si="38"/>
        <v>8.1699386865870154E-5</v>
      </c>
    </row>
    <row r="746" spans="10:13">
      <c r="J746" s="3">
        <v>36.75</v>
      </c>
      <c r="K746" s="10">
        <f t="shared" si="37"/>
        <v>3.9272700942048774E-5</v>
      </c>
      <c r="L746" s="3">
        <f t="shared" si="39"/>
        <v>4</v>
      </c>
      <c r="M746" s="5">
        <f t="shared" si="38"/>
        <v>1.570908037681951E-4</v>
      </c>
    </row>
    <row r="747" spans="10:13">
      <c r="J747" s="3">
        <v>36.799999999999997</v>
      </c>
      <c r="K747" s="10">
        <f t="shared" si="37"/>
        <v>3.7751204096236139E-5</v>
      </c>
      <c r="L747" s="3">
        <f t="shared" si="39"/>
        <v>2</v>
      </c>
      <c r="M747" s="5">
        <f t="shared" si="38"/>
        <v>7.5502408192472278E-5</v>
      </c>
    </row>
    <row r="748" spans="10:13">
      <c r="J748" s="3">
        <v>36.85</v>
      </c>
      <c r="K748" s="10">
        <f t="shared" si="37"/>
        <v>3.6283459648135036E-5</v>
      </c>
      <c r="L748" s="3">
        <f t="shared" si="39"/>
        <v>4</v>
      </c>
      <c r="M748" s="5">
        <f t="shared" si="38"/>
        <v>1.4513383859254014E-4</v>
      </c>
    </row>
    <row r="749" spans="10:13">
      <c r="J749" s="3">
        <v>36.9</v>
      </c>
      <c r="K749" s="10">
        <f t="shared" si="37"/>
        <v>3.4867771584320887E-5</v>
      </c>
      <c r="L749" s="3">
        <f t="shared" si="39"/>
        <v>2</v>
      </c>
      <c r="M749" s="5">
        <f t="shared" si="38"/>
        <v>6.9735543168641774E-5</v>
      </c>
    </row>
    <row r="750" spans="10:13">
      <c r="J750" s="3">
        <v>36.950000000000003</v>
      </c>
      <c r="K750" s="10">
        <f t="shared" si="37"/>
        <v>3.3502490091711333E-5</v>
      </c>
      <c r="L750" s="3">
        <f t="shared" si="39"/>
        <v>4</v>
      </c>
      <c r="M750" s="5">
        <f t="shared" si="38"/>
        <v>1.3400996036684533E-4</v>
      </c>
    </row>
    <row r="751" spans="10:13">
      <c r="J751" s="3">
        <v>37</v>
      </c>
      <c r="K751" s="10">
        <f t="shared" si="37"/>
        <v>3.2186010539305444E-5</v>
      </c>
      <c r="L751" s="3">
        <f t="shared" si="39"/>
        <v>2</v>
      </c>
      <c r="M751" s="5">
        <f t="shared" si="38"/>
        <v>6.4372021078610889E-5</v>
      </c>
    </row>
    <row r="752" spans="10:13">
      <c r="J752" s="3">
        <v>37.049999999999997</v>
      </c>
      <c r="K752" s="10">
        <f t="shared" si="37"/>
        <v>3.0916772475228897E-5</v>
      </c>
      <c r="L752" s="3">
        <f t="shared" si="39"/>
        <v>4</v>
      </c>
      <c r="M752" s="5">
        <f t="shared" si="38"/>
        <v>1.2366708990091559E-4</v>
      </c>
    </row>
    <row r="753" spans="10:13">
      <c r="J753" s="3">
        <v>37.1</v>
      </c>
      <c r="K753" s="10">
        <f t="shared" si="37"/>
        <v>2.9693258639044885E-5</v>
      </c>
      <c r="L753" s="3">
        <f t="shared" si="39"/>
        <v>2</v>
      </c>
      <c r="M753" s="5">
        <f t="shared" si="38"/>
        <v>5.9386517278089771E-5</v>
      </c>
    </row>
    <row r="754" spans="10:13">
      <c r="J754" s="3">
        <v>37.15</v>
      </c>
      <c r="K754" s="10">
        <f t="shared" si="37"/>
        <v>2.851399398929792E-5</v>
      </c>
      <c r="L754" s="3">
        <f t="shared" si="39"/>
        <v>4</v>
      </c>
      <c r="M754" s="5">
        <f t="shared" si="38"/>
        <v>1.1405597595719168E-4</v>
      </c>
    </row>
    <row r="755" spans="10:13">
      <c r="J755" s="3">
        <v>37.200000000000003</v>
      </c>
      <c r="K755" s="10">
        <f t="shared" si="37"/>
        <v>2.7377544746233628E-5</v>
      </c>
      <c r="L755" s="3">
        <f t="shared" si="39"/>
        <v>2</v>
      </c>
      <c r="M755" s="5">
        <f t="shared" si="38"/>
        <v>5.4755089492467256E-5</v>
      </c>
    </row>
    <row r="756" spans="10:13">
      <c r="J756" s="3">
        <v>37.25</v>
      </c>
      <c r="K756" s="10">
        <f t="shared" si="37"/>
        <v>2.6282517449650331E-5</v>
      </c>
      <c r="L756" s="3">
        <f t="shared" si="39"/>
        <v>4</v>
      </c>
      <c r="M756" s="5">
        <f t="shared" si="38"/>
        <v>1.0513006979860132E-4</v>
      </c>
    </row>
    <row r="757" spans="10:13">
      <c r="J757" s="3">
        <v>37.299999999999997</v>
      </c>
      <c r="K757" s="10">
        <f t="shared" si="37"/>
        <v>2.5227558031819874E-5</v>
      </c>
      <c r="L757" s="3">
        <f t="shared" si="39"/>
        <v>2</v>
      </c>
      <c r="M757" s="5">
        <f t="shared" si="38"/>
        <v>5.0455116063639748E-5</v>
      </c>
    </row>
    <row r="758" spans="10:13">
      <c r="J758" s="3">
        <v>37.35</v>
      </c>
      <c r="K758" s="10">
        <f t="shared" si="37"/>
        <v>2.4211350905419921E-5</v>
      </c>
      <c r="L758" s="3">
        <f t="shared" si="39"/>
        <v>4</v>
      </c>
      <c r="M758" s="5">
        <f t="shared" si="38"/>
        <v>9.6845403621679684E-5</v>
      </c>
    </row>
    <row r="759" spans="10:13">
      <c r="J759" s="3">
        <v>37.4</v>
      </c>
      <c r="K759" s="10">
        <f t="shared" si="37"/>
        <v>2.3232618066406391E-5</v>
      </c>
      <c r="L759" s="3">
        <f t="shared" si="39"/>
        <v>2</v>
      </c>
      <c r="M759" s="5">
        <f t="shared" si="38"/>
        <v>4.6465236132812783E-5</v>
      </c>
    </row>
    <row r="760" spans="10:13">
      <c r="J760" s="3">
        <v>37.450000000000003</v>
      </c>
      <c r="K760" s="10">
        <f t="shared" si="37"/>
        <v>2.2290118211756076E-5</v>
      </c>
      <c r="L760" s="3">
        <f t="shared" si="39"/>
        <v>4</v>
      </c>
      <c r="M760" s="5">
        <f t="shared" si="38"/>
        <v>8.9160472847024305E-5</v>
      </c>
    </row>
    <row r="761" spans="10:13">
      <c r="J761" s="3">
        <v>37.5</v>
      </c>
      <c r="K761" s="10">
        <f t="shared" si="37"/>
        <v>2.138264587200475E-5</v>
      </c>
      <c r="L761" s="3">
        <f t="shared" si="39"/>
        <v>2</v>
      </c>
      <c r="M761" s="5">
        <f t="shared" si="38"/>
        <v>4.2765291744009499E-5</v>
      </c>
    </row>
    <row r="762" spans="10:13">
      <c r="J762" s="3">
        <v>37.549999999999997</v>
      </c>
      <c r="K762" s="10">
        <f t="shared" si="37"/>
        <v>2.0509030558494225E-5</v>
      </c>
      <c r="L762" s="3">
        <f t="shared" si="39"/>
        <v>4</v>
      </c>
      <c r="M762" s="5">
        <f t="shared" si="38"/>
        <v>8.2036122233976899E-5</v>
      </c>
    </row>
    <row r="763" spans="10:13">
      <c r="J763" s="3">
        <v>37.6</v>
      </c>
      <c r="K763" s="10">
        <f t="shared" si="37"/>
        <v>1.9668135925249502E-5</v>
      </c>
      <c r="L763" s="3">
        <f t="shared" si="39"/>
        <v>2</v>
      </c>
      <c r="M763" s="5">
        <f t="shared" si="38"/>
        <v>3.9336271850499005E-5</v>
      </c>
    </row>
    <row r="764" spans="10:13">
      <c r="J764" s="3">
        <v>37.65</v>
      </c>
      <c r="K764" s="10">
        <f t="shared" si="37"/>
        <v>1.8858858945391648E-5</v>
      </c>
      <c r="L764" s="3">
        <f t="shared" si="39"/>
        <v>4</v>
      </c>
      <c r="M764" s="5">
        <f t="shared" si="38"/>
        <v>7.5435435781566593E-5</v>
      </c>
    </row>
    <row r="765" spans="10:13">
      <c r="J765" s="3">
        <v>37.700000000000003</v>
      </c>
      <c r="K765" s="10">
        <f t="shared" si="37"/>
        <v>1.8080129101994377E-5</v>
      </c>
      <c r="L765" s="3">
        <f t="shared" si="39"/>
        <v>2</v>
      </c>
      <c r="M765" s="5">
        <f t="shared" si="38"/>
        <v>3.6160258203988754E-5</v>
      </c>
    </row>
    <row r="766" spans="10:13">
      <c r="J766" s="3">
        <v>37.75</v>
      </c>
      <c r="K766" s="10">
        <f t="shared" si="37"/>
        <v>1.7330907593287419E-5</v>
      </c>
      <c r="L766" s="3">
        <f t="shared" si="39"/>
        <v>4</v>
      </c>
      <c r="M766" s="5">
        <f t="shared" si="38"/>
        <v>6.9323630373149676E-5</v>
      </c>
    </row>
    <row r="767" spans="10:13">
      <c r="J767" s="3">
        <v>37.799999999999997</v>
      </c>
      <c r="K767" s="10">
        <f t="shared" si="37"/>
        <v>1.6610186552102747E-5</v>
      </c>
      <c r="L767" s="3">
        <f t="shared" si="39"/>
        <v>2</v>
      </c>
      <c r="M767" s="5">
        <f t="shared" si="38"/>
        <v>3.3220373104205494E-5</v>
      </c>
    </row>
    <row r="768" spans="10:13">
      <c r="J768" s="3">
        <v>37.85</v>
      </c>
      <c r="K768" s="10">
        <f t="shared" si="37"/>
        <v>1.5916988279461862E-5</v>
      </c>
      <c r="L768" s="3">
        <f t="shared" si="39"/>
        <v>4</v>
      </c>
      <c r="M768" s="5">
        <f t="shared" si="38"/>
        <v>6.3667953117847449E-5</v>
      </c>
    </row>
    <row r="769" spans="10:13">
      <c r="J769" s="3">
        <v>37.9</v>
      </c>
      <c r="K769" s="10">
        <f t="shared" si="37"/>
        <v>1.5250364492192426E-5</v>
      </c>
      <c r="L769" s="3">
        <f t="shared" si="39"/>
        <v>2</v>
      </c>
      <c r="M769" s="5">
        <f t="shared" si="38"/>
        <v>3.0500728984384853E-5</v>
      </c>
    </row>
    <row r="770" spans="10:13">
      <c r="J770" s="3">
        <v>37.950000000000003</v>
      </c>
      <c r="K770" s="10">
        <f t="shared" si="37"/>
        <v>1.4609395584463209E-5</v>
      </c>
      <c r="L770" s="3">
        <f t="shared" si="39"/>
        <v>4</v>
      </c>
      <c r="M770" s="5">
        <f t="shared" si="38"/>
        <v>5.8437582337852835E-5</v>
      </c>
    </row>
    <row r="771" spans="10:13">
      <c r="J771" s="3">
        <v>38</v>
      </c>
      <c r="K771" s="10">
        <f t="shared" si="37"/>
        <v>1.3993189903123171E-5</v>
      </c>
      <c r="L771" s="3">
        <f t="shared" si="39"/>
        <v>2</v>
      </c>
      <c r="M771" s="5">
        <f t="shared" si="38"/>
        <v>2.7986379806246342E-5</v>
      </c>
    </row>
    <row r="772" spans="10:13">
      <c r="J772" s="3">
        <v>38.049999999999997</v>
      </c>
      <c r="K772" s="10">
        <f t="shared" si="37"/>
        <v>1.3400883036723812E-5</v>
      </c>
      <c r="L772" s="3">
        <f t="shared" si="39"/>
        <v>4</v>
      </c>
      <c r="M772" s="5">
        <f t="shared" si="38"/>
        <v>5.3603532146895249E-5</v>
      </c>
    </row>
    <row r="773" spans="10:13">
      <c r="J773" s="3">
        <v>38.1</v>
      </c>
      <c r="K773" s="10">
        <f t="shared" si="37"/>
        <v>1.2831637118104284E-5</v>
      </c>
      <c r="L773" s="3">
        <f t="shared" si="39"/>
        <v>2</v>
      </c>
      <c r="M773" s="5">
        <f t="shared" si="38"/>
        <v>2.5663274236208569E-5</v>
      </c>
    </row>
    <row r="774" spans="10:13">
      <c r="J774" s="3">
        <v>38.15</v>
      </c>
      <c r="K774" s="10">
        <f t="shared" si="37"/>
        <v>1.2284640140416359E-5</v>
      </c>
      <c r="L774" s="3">
        <f t="shared" si="39"/>
        <v>4</v>
      </c>
      <c r="M774" s="5">
        <f t="shared" si="38"/>
        <v>4.9138560561665435E-5</v>
      </c>
    </row>
    <row r="775" spans="10:13">
      <c r="J775" s="3">
        <v>38.200000000000003</v>
      </c>
      <c r="K775" s="10">
        <f t="shared" si="37"/>
        <v>1.175910528645867E-5</v>
      </c>
      <c r="L775" s="3">
        <f t="shared" si="39"/>
        <v>2</v>
      </c>
      <c r="M775" s="5">
        <f t="shared" si="38"/>
        <v>2.3518210572917339E-5</v>
      </c>
    </row>
    <row r="776" spans="10:13">
      <c r="J776" s="3">
        <v>38.25</v>
      </c>
      <c r="K776" s="10">
        <f t="shared" si="37"/>
        <v>1.1254270271194111E-5</v>
      </c>
      <c r="L776" s="3">
        <f t="shared" si="39"/>
        <v>4</v>
      </c>
      <c r="M776" s="5">
        <f t="shared" si="38"/>
        <v>4.5017081084776446E-5</v>
      </c>
    </row>
    <row r="777" spans="10:13">
      <c r="J777" s="3">
        <v>38.299999999999997</v>
      </c>
      <c r="K777" s="10">
        <f t="shared" si="37"/>
        <v>1.0769396697314485E-5</v>
      </c>
      <c r="L777" s="3">
        <f t="shared" si="39"/>
        <v>2</v>
      </c>
      <c r="M777" s="5">
        <f t="shared" si="38"/>
        <v>2.1538793394628969E-5</v>
      </c>
    </row>
    <row r="778" spans="10:13">
      <c r="J778" s="3">
        <v>38.35</v>
      </c>
      <c r="K778" s="10">
        <f t="shared" si="37"/>
        <v>1.0303769423721003E-5</v>
      </c>
      <c r="L778" s="3">
        <f t="shared" si="39"/>
        <v>4</v>
      </c>
      <c r="M778" s="5">
        <f t="shared" si="38"/>
        <v>4.1215077694884012E-5</v>
      </c>
    </row>
    <row r="779" spans="10:13">
      <c r="J779" s="3">
        <v>38.4</v>
      </c>
      <c r="K779" s="10">
        <f t="shared" ref="K779:K842" si="40">(B$6^J779)*(B$7^((B$5^70)*((B$5^J779)-1)))</f>
        <v>9.8566959467813357E-6</v>
      </c>
      <c r="L779" s="3">
        <f t="shared" si="39"/>
        <v>2</v>
      </c>
      <c r="M779" s="5">
        <f t="shared" si="38"/>
        <v>1.9713391893562671E-5</v>
      </c>
    </row>
    <row r="780" spans="10:13">
      <c r="J780" s="3">
        <v>38.450000000000003</v>
      </c>
      <c r="K780" s="10">
        <f t="shared" si="40"/>
        <v>9.4275057942250096E-6</v>
      </c>
      <c r="L780" s="3">
        <f t="shared" si="39"/>
        <v>4</v>
      </c>
      <c r="M780" s="5">
        <f t="shared" ref="M780:M843" si="41">K780*L780</f>
        <v>3.7710023176900039E-5</v>
      </c>
    </row>
    <row r="781" spans="10:13">
      <c r="J781" s="3">
        <v>38.5</v>
      </c>
      <c r="K781" s="10">
        <f t="shared" si="40"/>
        <v>9.0155499315368311E-6</v>
      </c>
      <c r="L781" s="3">
        <f t="shared" si="39"/>
        <v>2</v>
      </c>
      <c r="M781" s="5">
        <f t="shared" si="41"/>
        <v>1.8031099863073662E-5</v>
      </c>
    </row>
    <row r="782" spans="10:13">
      <c r="J782" s="3">
        <v>38.549999999999997</v>
      </c>
      <c r="K782" s="10">
        <f t="shared" si="40"/>
        <v>8.6202001807036653E-6</v>
      </c>
      <c r="L782" s="3">
        <f t="shared" ref="L782:L845" si="42">IF(L781=4,2,4)</f>
        <v>4</v>
      </c>
      <c r="M782" s="5">
        <f t="shared" si="41"/>
        <v>3.4480800722814661E-5</v>
      </c>
    </row>
    <row r="783" spans="10:13">
      <c r="J783" s="3">
        <v>38.6</v>
      </c>
      <c r="K783" s="10">
        <f t="shared" si="40"/>
        <v>8.2408486511716778E-6</v>
      </c>
      <c r="L783" s="3">
        <f t="shared" si="42"/>
        <v>2</v>
      </c>
      <c r="M783" s="5">
        <f t="shared" si="41"/>
        <v>1.6481697302343356E-5</v>
      </c>
    </row>
    <row r="784" spans="10:13">
      <c r="J784" s="3">
        <v>38.65</v>
      </c>
      <c r="K784" s="10">
        <f t="shared" si="40"/>
        <v>7.8769071828668814E-6</v>
      </c>
      <c r="L784" s="3">
        <f t="shared" si="42"/>
        <v>4</v>
      </c>
      <c r="M784" s="5">
        <f t="shared" si="41"/>
        <v>3.1507628731467526E-5</v>
      </c>
    </row>
    <row r="785" spans="10:13">
      <c r="J785" s="3">
        <v>38.700000000000003</v>
      </c>
      <c r="K785" s="10">
        <f t="shared" si="40"/>
        <v>7.5278068011310179E-6</v>
      </c>
      <c r="L785" s="3">
        <f t="shared" si="42"/>
        <v>2</v>
      </c>
      <c r="M785" s="5">
        <f t="shared" si="41"/>
        <v>1.5055613602262036E-5</v>
      </c>
    </row>
    <row r="786" spans="10:13">
      <c r="J786" s="3">
        <v>38.75</v>
      </c>
      <c r="K786" s="10">
        <f t="shared" si="40"/>
        <v>7.1929971834244974E-6</v>
      </c>
      <c r="L786" s="3">
        <f t="shared" si="42"/>
        <v>4</v>
      </c>
      <c r="M786" s="5">
        <f t="shared" si="41"/>
        <v>2.877198873369799E-5</v>
      </c>
    </row>
    <row r="787" spans="10:13">
      <c r="J787" s="3">
        <v>38.799999999999997</v>
      </c>
      <c r="K787" s="10">
        <f t="shared" si="40"/>
        <v>6.8719461376443991E-6</v>
      </c>
      <c r="L787" s="3">
        <f t="shared" si="42"/>
        <v>2</v>
      </c>
      <c r="M787" s="5">
        <f t="shared" si="41"/>
        <v>1.3743892275288798E-5</v>
      </c>
    </row>
    <row r="788" spans="10:13">
      <c r="J788" s="3">
        <v>38.85</v>
      </c>
      <c r="K788" s="10">
        <f t="shared" si="40"/>
        <v>6.5641390919077008E-6</v>
      </c>
      <c r="L788" s="3">
        <f t="shared" si="42"/>
        <v>4</v>
      </c>
      <c r="M788" s="5">
        <f t="shared" si="41"/>
        <v>2.6256556367630803E-5</v>
      </c>
    </row>
    <row r="789" spans="10:13">
      <c r="J789" s="3">
        <v>38.9</v>
      </c>
      <c r="K789" s="10">
        <f t="shared" si="40"/>
        <v>6.2690785956458815E-6</v>
      </c>
      <c r="L789" s="3">
        <f t="shared" si="42"/>
        <v>2</v>
      </c>
      <c r="M789" s="5">
        <f t="shared" si="41"/>
        <v>1.2538157191291763E-5</v>
      </c>
    </row>
    <row r="790" spans="10:13">
      <c r="J790" s="3">
        <v>38.950000000000003</v>
      </c>
      <c r="K790" s="10">
        <f t="shared" si="40"/>
        <v>5.9862838318568391E-6</v>
      </c>
      <c r="L790" s="3">
        <f t="shared" si="42"/>
        <v>4</v>
      </c>
      <c r="M790" s="5">
        <f t="shared" si="41"/>
        <v>2.3945135327427357E-5</v>
      </c>
    </row>
    <row r="791" spans="10:13">
      <c r="J791" s="3">
        <v>39</v>
      </c>
      <c r="K791" s="10">
        <f t="shared" si="40"/>
        <v>5.7152901403615064E-6</v>
      </c>
      <c r="L791" s="3">
        <f t="shared" si="42"/>
        <v>2</v>
      </c>
      <c r="M791" s="5">
        <f t="shared" si="41"/>
        <v>1.1430580280723013E-5</v>
      </c>
    </row>
    <row r="792" spans="10:13">
      <c r="J792" s="3">
        <v>39.049999999999997</v>
      </c>
      <c r="K792" s="10">
        <f t="shared" si="40"/>
        <v>5.4556485519077969E-6</v>
      </c>
      <c r="L792" s="3">
        <f t="shared" si="42"/>
        <v>4</v>
      </c>
      <c r="M792" s="5">
        <f t="shared" si="41"/>
        <v>2.1822594207631188E-5</v>
      </c>
    </row>
    <row r="793" spans="10:13">
      <c r="J793" s="3">
        <v>39.1</v>
      </c>
      <c r="K793" s="10">
        <f t="shared" si="40"/>
        <v>5.2069253329670059E-6</v>
      </c>
      <c r="L793" s="3">
        <f t="shared" si="42"/>
        <v>2</v>
      </c>
      <c r="M793" s="5">
        <f t="shared" si="41"/>
        <v>1.0413850665934012E-5</v>
      </c>
    </row>
    <row r="794" spans="10:13">
      <c r="J794" s="3">
        <v>39.15</v>
      </c>
      <c r="K794" s="10">
        <f t="shared" si="40"/>
        <v>4.9687015410673196E-6</v>
      </c>
      <c r="L794" s="3">
        <f t="shared" si="42"/>
        <v>4</v>
      </c>
      <c r="M794" s="5">
        <f t="shared" si="41"/>
        <v>1.9874806164269278E-5</v>
      </c>
    </row>
    <row r="795" spans="10:13">
      <c r="J795" s="3">
        <v>39.200000000000003</v>
      </c>
      <c r="K795" s="10">
        <f t="shared" si="40"/>
        <v>4.7405725905050348E-6</v>
      </c>
      <c r="L795" s="3">
        <f t="shared" si="42"/>
        <v>2</v>
      </c>
      <c r="M795" s="5">
        <f t="shared" si="41"/>
        <v>9.4811451810100696E-6</v>
      </c>
    </row>
    <row r="796" spans="10:13">
      <c r="J796" s="3">
        <v>39.25</v>
      </c>
      <c r="K796" s="10">
        <f t="shared" si="40"/>
        <v>4.5221478282792919E-6</v>
      </c>
      <c r="L796" s="3">
        <f t="shared" si="42"/>
        <v>4</v>
      </c>
      <c r="M796" s="5">
        <f t="shared" si="41"/>
        <v>1.8088591313117168E-5</v>
      </c>
    </row>
    <row r="797" spans="10:13">
      <c r="J797" s="3">
        <v>39.299999999999997</v>
      </c>
      <c r="K797" s="10">
        <f t="shared" si="40"/>
        <v>4.3130501200905289E-6</v>
      </c>
      <c r="L797" s="3">
        <f t="shared" si="42"/>
        <v>2</v>
      </c>
      <c r="M797" s="5">
        <f t="shared" si="41"/>
        <v>8.6261002401810579E-6</v>
      </c>
    </row>
    <row r="798" spans="10:13">
      <c r="J798" s="3">
        <v>39.35</v>
      </c>
      <c r="K798" s="10">
        <f t="shared" si="40"/>
        <v>4.1129154462467335E-6</v>
      </c>
      <c r="L798" s="3">
        <f t="shared" si="42"/>
        <v>4</v>
      </c>
      <c r="M798" s="5">
        <f t="shared" si="41"/>
        <v>1.6451661784986934E-5</v>
      </c>
    </row>
    <row r="799" spans="10:13">
      <c r="J799" s="3">
        <v>39.4</v>
      </c>
      <c r="K799" s="10">
        <f t="shared" si="40"/>
        <v>3.9213925073193817E-6</v>
      </c>
      <c r="L799" s="3">
        <f t="shared" si="42"/>
        <v>2</v>
      </c>
      <c r="M799" s="5">
        <f t="shared" si="41"/>
        <v>7.8427850146387634E-6</v>
      </c>
    </row>
    <row r="800" spans="10:13">
      <c r="J800" s="3">
        <v>39.450000000000003</v>
      </c>
      <c r="K800" s="10">
        <f t="shared" si="40"/>
        <v>3.7381423393909923E-6</v>
      </c>
      <c r="L800" s="3">
        <f t="shared" si="42"/>
        <v>4</v>
      </c>
      <c r="M800" s="5">
        <f t="shared" si="41"/>
        <v>1.4952569357563969E-5</v>
      </c>
    </row>
    <row r="801" spans="10:13">
      <c r="J801" s="3">
        <v>39.5</v>
      </c>
      <c r="K801" s="10">
        <f t="shared" si="40"/>
        <v>3.56283793873815E-6</v>
      </c>
      <c r="L801" s="3">
        <f t="shared" si="42"/>
        <v>2</v>
      </c>
      <c r="M801" s="5">
        <f t="shared" si="41"/>
        <v>7.1256758774763E-6</v>
      </c>
    </row>
    <row r="802" spans="10:13">
      <c r="J802" s="3">
        <v>39.549999999999997</v>
      </c>
      <c r="K802" s="10">
        <f t="shared" si="40"/>
        <v>3.3951638957913783E-6</v>
      </c>
      <c r="L802" s="3">
        <f t="shared" si="42"/>
        <v>4</v>
      </c>
      <c r="M802" s="5">
        <f t="shared" si="41"/>
        <v>1.3580655583165513E-5</v>
      </c>
    </row>
    <row r="803" spans="10:13">
      <c r="J803" s="3">
        <v>39.6</v>
      </c>
      <c r="K803" s="10">
        <f t="shared" si="40"/>
        <v>3.2348160382160992E-6</v>
      </c>
      <c r="L803" s="3">
        <f t="shared" si="42"/>
        <v>2</v>
      </c>
      <c r="M803" s="5">
        <f t="shared" si="41"/>
        <v>6.4696320764321983E-6</v>
      </c>
    </row>
    <row r="804" spans="10:13">
      <c r="J804" s="3">
        <v>39.65</v>
      </c>
      <c r="K804" s="10">
        <f t="shared" si="40"/>
        <v>3.0815010829576855E-6</v>
      </c>
      <c r="L804" s="3">
        <f t="shared" si="42"/>
        <v>4</v>
      </c>
      <c r="M804" s="5">
        <f t="shared" si="41"/>
        <v>1.2326004331830742E-5</v>
      </c>
    </row>
    <row r="805" spans="10:13">
      <c r="J805" s="3">
        <v>39.700000000000003</v>
      </c>
      <c r="K805" s="10">
        <f t="shared" si="40"/>
        <v>2.9349362970942056E-6</v>
      </c>
      <c r="L805" s="3">
        <f t="shared" si="42"/>
        <v>2</v>
      </c>
      <c r="M805" s="5">
        <f t="shared" si="41"/>
        <v>5.8698725941884113E-6</v>
      </c>
    </row>
    <row r="806" spans="10:13">
      <c r="J806" s="3">
        <v>39.75</v>
      </c>
      <c r="K806" s="10">
        <f t="shared" si="40"/>
        <v>2.7948491673421281E-6</v>
      </c>
      <c r="L806" s="3">
        <f t="shared" si="42"/>
        <v>4</v>
      </c>
      <c r="M806" s="5">
        <f t="shared" si="41"/>
        <v>1.1179396669368512E-5</v>
      </c>
    </row>
    <row r="807" spans="10:13">
      <c r="J807" s="3">
        <v>39.799999999999997</v>
      </c>
      <c r="K807" s="10">
        <f t="shared" si="40"/>
        <v>2.6609770780591285E-6</v>
      </c>
      <c r="L807" s="3">
        <f t="shared" si="42"/>
        <v>2</v>
      </c>
      <c r="M807" s="5">
        <f t="shared" si="41"/>
        <v>5.321954156118257E-6</v>
      </c>
    </row>
    <row r="808" spans="10:13">
      <c r="J808" s="3">
        <v>39.85</v>
      </c>
      <c r="K808" s="10">
        <f t="shared" si="40"/>
        <v>2.5330669975904103E-6</v>
      </c>
      <c r="L808" s="3">
        <f t="shared" si="42"/>
        <v>4</v>
      </c>
      <c r="M808" s="5">
        <f t="shared" si="41"/>
        <v>1.0132267990361641E-5</v>
      </c>
    </row>
    <row r="809" spans="10:13">
      <c r="J809" s="3">
        <v>39.9</v>
      </c>
      <c r="K809" s="10">
        <f t="shared" si="40"/>
        <v>2.4108751728047357E-6</v>
      </c>
      <c r="L809" s="3">
        <f t="shared" si="42"/>
        <v>2</v>
      </c>
      <c r="M809" s="5">
        <f t="shared" si="41"/>
        <v>4.8217503456094715E-6</v>
      </c>
    </row>
    <row r="810" spans="10:13">
      <c r="J810" s="3">
        <v>39.950000000000003</v>
      </c>
      <c r="K810" s="10">
        <f t="shared" si="40"/>
        <v>2.2941668316672117E-6</v>
      </c>
      <c r="L810" s="3">
        <f t="shared" si="42"/>
        <v>4</v>
      </c>
      <c r="M810" s="5">
        <f t="shared" si="41"/>
        <v>9.1766673266688469E-6</v>
      </c>
    </row>
    <row r="811" spans="10:13">
      <c r="J811" s="3">
        <v>40</v>
      </c>
      <c r="K811" s="10">
        <f t="shared" si="40"/>
        <v>2.182715893697473E-6</v>
      </c>
      <c r="L811" s="3">
        <f t="shared" si="42"/>
        <v>2</v>
      </c>
      <c r="M811" s="5">
        <f t="shared" si="41"/>
        <v>4.365431787394946E-6</v>
      </c>
    </row>
    <row r="812" spans="10:13">
      <c r="J812" s="3">
        <v>40.049999999999997</v>
      </c>
      <c r="K812" s="10">
        <f t="shared" si="40"/>
        <v>2.0763046881618782E-6</v>
      </c>
      <c r="L812" s="3">
        <f t="shared" si="42"/>
        <v>4</v>
      </c>
      <c r="M812" s="5">
        <f t="shared" si="41"/>
        <v>8.3052187526475126E-6</v>
      </c>
    </row>
    <row r="813" spans="10:13">
      <c r="J813" s="3">
        <v>40.1</v>
      </c>
      <c r="K813" s="10">
        <f t="shared" si="40"/>
        <v>1.9747236798497997E-6</v>
      </c>
      <c r="L813" s="3">
        <f t="shared" si="42"/>
        <v>2</v>
      </c>
      <c r="M813" s="5">
        <f t="shared" si="41"/>
        <v>3.9494473596995994E-6</v>
      </c>
    </row>
    <row r="814" spans="10:13">
      <c r="J814" s="3">
        <v>40.15</v>
      </c>
      <c r="K814" s="10">
        <f t="shared" si="40"/>
        <v>1.8777712022857891E-6</v>
      </c>
      <c r="L814" s="3">
        <f t="shared" si="42"/>
        <v>4</v>
      </c>
      <c r="M814" s="5">
        <f t="shared" si="41"/>
        <v>7.5110848091431564E-6</v>
      </c>
    </row>
    <row r="815" spans="10:13">
      <c r="J815" s="3">
        <v>40.200000000000003</v>
      </c>
      <c r="K815" s="10">
        <f t="shared" si="40"/>
        <v>1.7852531982286565E-6</v>
      </c>
      <c r="L815" s="3">
        <f t="shared" si="42"/>
        <v>2</v>
      </c>
      <c r="M815" s="5">
        <f t="shared" si="41"/>
        <v>3.5705063964573129E-6</v>
      </c>
    </row>
    <row r="816" spans="10:13">
      <c r="J816" s="3">
        <v>40.25</v>
      </c>
      <c r="K816" s="10">
        <f t="shared" si="40"/>
        <v>1.696982967312081E-6</v>
      </c>
      <c r="L816" s="3">
        <f t="shared" si="42"/>
        <v>4</v>
      </c>
      <c r="M816" s="5">
        <f t="shared" si="41"/>
        <v>6.7879318692483239E-6</v>
      </c>
    </row>
    <row r="817" spans="10:13">
      <c r="J817" s="3">
        <v>40.299999999999997</v>
      </c>
      <c r="K817" s="10">
        <f t="shared" si="40"/>
        <v>1.612780920680316E-6</v>
      </c>
      <c r="L817" s="3">
        <f t="shared" si="42"/>
        <v>2</v>
      </c>
      <c r="M817" s="5">
        <f t="shared" si="41"/>
        <v>3.2255618413606319E-6</v>
      </c>
    </row>
    <row r="818" spans="10:13">
      <c r="J818" s="3">
        <v>40.35</v>
      </c>
      <c r="K818" s="10">
        <f t="shared" si="40"/>
        <v>1.5324743424756065E-6</v>
      </c>
      <c r="L818" s="3">
        <f t="shared" si="42"/>
        <v>4</v>
      </c>
      <c r="M818" s="5">
        <f t="shared" si="41"/>
        <v>6.129897369902426E-6</v>
      </c>
    </row>
    <row r="819" spans="10:13">
      <c r="J819" s="3">
        <v>40.4</v>
      </c>
      <c r="K819" s="10">
        <f t="shared" si="40"/>
        <v>1.4558971580340532E-6</v>
      </c>
      <c r="L819" s="3">
        <f t="shared" si="42"/>
        <v>2</v>
      </c>
      <c r="M819" s="5">
        <f t="shared" si="41"/>
        <v>2.9117943160681065E-6</v>
      </c>
    </row>
    <row r="820" spans="10:13">
      <c r="J820" s="3">
        <v>40.450000000000003</v>
      </c>
      <c r="K820" s="10">
        <f t="shared" si="40"/>
        <v>1.3828897086484046E-6</v>
      </c>
      <c r="L820" s="3">
        <f t="shared" si="42"/>
        <v>4</v>
      </c>
      <c r="M820" s="5">
        <f t="shared" si="41"/>
        <v>5.5315588345936186E-6</v>
      </c>
    </row>
    <row r="821" spans="10:13">
      <c r="J821" s="3">
        <v>40.5</v>
      </c>
      <c r="K821" s="10">
        <f t="shared" si="40"/>
        <v>1.3132985327580263E-6</v>
      </c>
      <c r="L821" s="3">
        <f t="shared" si="42"/>
        <v>2</v>
      </c>
      <c r="M821" s="5">
        <f t="shared" si="41"/>
        <v>2.6265970655160525E-6</v>
      </c>
    </row>
    <row r="822" spans="10:13">
      <c r="J822" s="3">
        <v>40.549999999999997</v>
      </c>
      <c r="K822" s="10">
        <f t="shared" si="40"/>
        <v>1.2469761534269263E-6</v>
      </c>
      <c r="L822" s="3">
        <f t="shared" si="42"/>
        <v>4</v>
      </c>
      <c r="M822" s="5">
        <f t="shared" si="41"/>
        <v>4.9879046137077052E-6</v>
      </c>
    </row>
    <row r="823" spans="10:13">
      <c r="J823" s="3">
        <v>40.6</v>
      </c>
      <c r="K823" s="10">
        <f t="shared" si="40"/>
        <v>1.1837808719730117E-6</v>
      </c>
      <c r="L823" s="3">
        <f t="shared" si="42"/>
        <v>2</v>
      </c>
      <c r="M823" s="5">
        <f t="shared" si="41"/>
        <v>2.3675617439460234E-6</v>
      </c>
    </row>
    <row r="824" spans="10:13">
      <c r="J824" s="3">
        <v>40.65</v>
      </c>
      <c r="K824" s="10">
        <f t="shared" si="40"/>
        <v>1.1235765676126839E-6</v>
      </c>
      <c r="L824" s="3">
        <f t="shared" si="42"/>
        <v>4</v>
      </c>
      <c r="M824" s="5">
        <f t="shared" si="41"/>
        <v>4.4943062704507354E-6</v>
      </c>
    </row>
    <row r="825" spans="10:13">
      <c r="J825" s="3">
        <v>40.700000000000003</v>
      </c>
      <c r="K825" s="10">
        <f t="shared" si="40"/>
        <v>1.0662325029865965E-6</v>
      </c>
      <c r="L825" s="3">
        <f t="shared" si="42"/>
        <v>2</v>
      </c>
      <c r="M825" s="5">
        <f t="shared" si="41"/>
        <v>2.1324650059731929E-6</v>
      </c>
    </row>
    <row r="826" spans="10:13">
      <c r="J826" s="3">
        <v>40.75</v>
      </c>
      <c r="K826" s="10">
        <f t="shared" si="40"/>
        <v>1.0116231354341842E-6</v>
      </c>
      <c r="L826" s="3">
        <f t="shared" si="42"/>
        <v>4</v>
      </c>
      <c r="M826" s="5">
        <f t="shared" si="41"/>
        <v>4.0464925417367366E-6</v>
      </c>
    </row>
    <row r="827" spans="10:13">
      <c r="J827" s="3">
        <v>40.799999999999997</v>
      </c>
      <c r="K827" s="10">
        <f t="shared" si="40"/>
        <v>9.5962793388570582E-7</v>
      </c>
      <c r="L827" s="3">
        <f t="shared" si="42"/>
        <v>2</v>
      </c>
      <c r="M827" s="5">
        <f t="shared" si="41"/>
        <v>1.9192558677714116E-6</v>
      </c>
    </row>
    <row r="828" spans="10:13">
      <c r="J828" s="3">
        <v>40.85</v>
      </c>
      <c r="K828" s="10">
        <f t="shared" si="40"/>
        <v>9.101312012427179E-7</v>
      </c>
      <c r="L828" s="3">
        <f t="shared" si="42"/>
        <v>4</v>
      </c>
      <c r="M828" s="5">
        <f t="shared" si="41"/>
        <v>3.6405248049708716E-6</v>
      </c>
    </row>
    <row r="829" spans="10:13">
      <c r="J829" s="3">
        <v>40.9</v>
      </c>
      <c r="K829" s="10">
        <f t="shared" si="40"/>
        <v>8.6302190211916057E-7</v>
      </c>
      <c r="L829" s="3">
        <f t="shared" si="42"/>
        <v>2</v>
      </c>
      <c r="M829" s="5">
        <f t="shared" si="41"/>
        <v>1.7260438042383211E-6</v>
      </c>
    </row>
    <row r="830" spans="10:13">
      <c r="J830" s="3">
        <v>40.950000000000003</v>
      </c>
      <c r="K830" s="10">
        <f t="shared" si="40"/>
        <v>8.1819349581693117E-7</v>
      </c>
      <c r="L830" s="3">
        <f t="shared" si="42"/>
        <v>4</v>
      </c>
      <c r="M830" s="5">
        <f t="shared" si="41"/>
        <v>3.2727739832677247E-6</v>
      </c>
    </row>
    <row r="831" spans="10:13">
      <c r="J831" s="3">
        <v>41</v>
      </c>
      <c r="K831" s="10">
        <f t="shared" si="40"/>
        <v>7.7554377441188724E-7</v>
      </c>
      <c r="L831" s="3">
        <f t="shared" si="42"/>
        <v>2</v>
      </c>
      <c r="M831" s="5">
        <f t="shared" si="41"/>
        <v>1.5510875488237745E-6</v>
      </c>
    </row>
    <row r="832" spans="10:13">
      <c r="J832" s="3">
        <v>41.05</v>
      </c>
      <c r="K832" s="10">
        <f t="shared" si="40"/>
        <v>7.3497470582746849E-7</v>
      </c>
      <c r="L832" s="3">
        <f t="shared" si="42"/>
        <v>4</v>
      </c>
      <c r="M832" s="5">
        <f t="shared" si="41"/>
        <v>2.939898823309874E-6</v>
      </c>
    </row>
    <row r="833" spans="10:13">
      <c r="J833" s="3">
        <v>41.1</v>
      </c>
      <c r="K833" s="10">
        <f t="shared" si="40"/>
        <v>6.9639228177509229E-7</v>
      </c>
      <c r="L833" s="3">
        <f t="shared" si="42"/>
        <v>2</v>
      </c>
      <c r="M833" s="5">
        <f t="shared" si="41"/>
        <v>1.3927845635501846E-6</v>
      </c>
    </row>
    <row r="834" spans="10:13">
      <c r="J834" s="3">
        <v>41.15</v>
      </c>
      <c r="K834" s="10">
        <f t="shared" si="40"/>
        <v>6.5970637044248878E-7</v>
      </c>
      <c r="L834" s="3">
        <f t="shared" si="42"/>
        <v>4</v>
      </c>
      <c r="M834" s="5">
        <f t="shared" si="41"/>
        <v>2.6388254817699551E-6</v>
      </c>
    </row>
    <row r="835" spans="10:13">
      <c r="J835" s="3">
        <v>41.2</v>
      </c>
      <c r="K835" s="10">
        <f t="shared" si="40"/>
        <v>6.2483057381221955E-7</v>
      </c>
      <c r="L835" s="3">
        <f t="shared" si="42"/>
        <v>2</v>
      </c>
      <c r="M835" s="5">
        <f t="shared" si="41"/>
        <v>1.2496611476244391E-6</v>
      </c>
    </row>
    <row r="836" spans="10:13">
      <c r="J836" s="3">
        <v>41.25</v>
      </c>
      <c r="K836" s="10">
        <f t="shared" si="40"/>
        <v>5.9168208949526463E-7</v>
      </c>
      <c r="L836" s="3">
        <f t="shared" si="42"/>
        <v>4</v>
      </c>
      <c r="M836" s="5">
        <f t="shared" si="41"/>
        <v>2.3667283579810585E-6</v>
      </c>
    </row>
    <row r="837" spans="10:13">
      <c r="J837" s="3">
        <v>41.3</v>
      </c>
      <c r="K837" s="10">
        <f t="shared" si="40"/>
        <v>5.6018157696559112E-7</v>
      </c>
      <c r="L837" s="3">
        <f t="shared" si="42"/>
        <v>2</v>
      </c>
      <c r="M837" s="5">
        <f t="shared" si="41"/>
        <v>1.1203631539311822E-6</v>
      </c>
    </row>
    <row r="838" spans="10:13">
      <c r="J838" s="3">
        <v>41.35</v>
      </c>
      <c r="K838" s="10">
        <f t="shared" si="40"/>
        <v>5.302530280840281E-7</v>
      </c>
      <c r="L838" s="3">
        <f t="shared" si="42"/>
        <v>4</v>
      </c>
      <c r="M838" s="5">
        <f t="shared" si="41"/>
        <v>2.1210121123361124E-6</v>
      </c>
    </row>
    <row r="839" spans="10:13">
      <c r="J839" s="3">
        <v>41.4</v>
      </c>
      <c r="K839" s="10">
        <f t="shared" si="40"/>
        <v>5.018236418011658E-7</v>
      </c>
      <c r="L839" s="3">
        <f t="shared" si="42"/>
        <v>2</v>
      </c>
      <c r="M839" s="5">
        <f t="shared" si="41"/>
        <v>1.0036472836023316E-6</v>
      </c>
    </row>
    <row r="840" spans="10:13">
      <c r="J840" s="3">
        <v>41.45</v>
      </c>
      <c r="K840" s="10">
        <f t="shared" si="40"/>
        <v>4.7482370293099106E-7</v>
      </c>
      <c r="L840" s="3">
        <f t="shared" si="42"/>
        <v>4</v>
      </c>
      <c r="M840" s="5">
        <f t="shared" si="41"/>
        <v>1.8992948117239642E-6</v>
      </c>
    </row>
    <row r="841" spans="10:13">
      <c r="J841" s="3">
        <v>41.5</v>
      </c>
      <c r="K841" s="10">
        <f t="shared" si="40"/>
        <v>4.491864648888796E-7</v>
      </c>
      <c r="L841" s="3">
        <f t="shared" si="42"/>
        <v>2</v>
      </c>
      <c r="M841" s="5">
        <f t="shared" si="41"/>
        <v>8.9837292977775921E-7</v>
      </c>
    </row>
    <row r="842" spans="10:13">
      <c r="J842" s="3">
        <v>41.55</v>
      </c>
      <c r="K842" s="10">
        <f t="shared" si="40"/>
        <v>4.2484803628916966E-7</v>
      </c>
      <c r="L842" s="3">
        <f t="shared" si="42"/>
        <v>4</v>
      </c>
      <c r="M842" s="5">
        <f t="shared" si="41"/>
        <v>1.6993921451566786E-6</v>
      </c>
    </row>
    <row r="843" spans="10:13">
      <c r="J843" s="3">
        <v>41.6</v>
      </c>
      <c r="K843" s="10">
        <f t="shared" ref="K843:K906" si="43">(B$6^J843)*(B$7^((B$5^70)*((B$5^J843)-1)))</f>
        <v>4.017472712995765E-7</v>
      </c>
      <c r="L843" s="3">
        <f t="shared" si="42"/>
        <v>2</v>
      </c>
      <c r="M843" s="5">
        <f t="shared" si="41"/>
        <v>8.0349454259915301E-7</v>
      </c>
    </row>
    <row r="844" spans="10:13">
      <c r="J844" s="3">
        <v>41.65</v>
      </c>
      <c r="K844" s="10">
        <f t="shared" si="43"/>
        <v>3.7982566365148732E-7</v>
      </c>
      <c r="L844" s="3">
        <f t="shared" si="42"/>
        <v>4</v>
      </c>
      <c r="M844" s="5">
        <f t="shared" ref="M844:M907" si="44">K844*L844</f>
        <v>1.5193026546059493E-6</v>
      </c>
    </row>
    <row r="845" spans="10:13">
      <c r="J845" s="3">
        <v>41.7</v>
      </c>
      <c r="K845" s="10">
        <f t="shared" si="43"/>
        <v>3.5902724420687262E-7</v>
      </c>
      <c r="L845" s="3">
        <f t="shared" si="42"/>
        <v>2</v>
      </c>
      <c r="M845" s="5">
        <f t="shared" si="44"/>
        <v>7.1805448841374524E-7</v>
      </c>
    </row>
    <row r="846" spans="10:13">
      <c r="J846" s="3">
        <v>41.75</v>
      </c>
      <c r="K846" s="10">
        <f t="shared" si="43"/>
        <v>3.3929848198463903E-7</v>
      </c>
      <c r="L846" s="3">
        <f t="shared" ref="L846:L909" si="45">IF(L845=4,2,4)</f>
        <v>4</v>
      </c>
      <c r="M846" s="5">
        <f t="shared" si="44"/>
        <v>1.3571939279385561E-6</v>
      </c>
    </row>
    <row r="847" spans="10:13">
      <c r="J847" s="3">
        <v>41.8</v>
      </c>
      <c r="K847" s="10">
        <f t="shared" si="43"/>
        <v>3.2058818855082678E-7</v>
      </c>
      <c r="L847" s="3">
        <f t="shared" si="45"/>
        <v>2</v>
      </c>
      <c r="M847" s="5">
        <f t="shared" si="44"/>
        <v>6.4117637710165355E-7</v>
      </c>
    </row>
    <row r="848" spans="10:13">
      <c r="J848" s="3">
        <v>41.85</v>
      </c>
      <c r="K848" s="10">
        <f t="shared" si="43"/>
        <v>3.0284742567899857E-7</v>
      </c>
      <c r="L848" s="3">
        <f t="shared" si="45"/>
        <v>4</v>
      </c>
      <c r="M848" s="5">
        <f t="shared" si="44"/>
        <v>1.2113897027159943E-6</v>
      </c>
    </row>
    <row r="849" spans="10:13">
      <c r="J849" s="3">
        <v>41.9</v>
      </c>
      <c r="K849" s="10">
        <f t="shared" si="43"/>
        <v>2.8602941618903221E-7</v>
      </c>
      <c r="L849" s="3">
        <f t="shared" si="45"/>
        <v>2</v>
      </c>
      <c r="M849" s="5">
        <f t="shared" si="44"/>
        <v>5.7205883237806442E-7</v>
      </c>
    </row>
    <row r="850" spans="10:13">
      <c r="J850" s="3">
        <v>41.95</v>
      </c>
      <c r="K850" s="10">
        <f t="shared" si="43"/>
        <v>2.7008945787416383E-7</v>
      </c>
      <c r="L850" s="3">
        <f t="shared" si="45"/>
        <v>4</v>
      </c>
      <c r="M850" s="5">
        <f t="shared" si="44"/>
        <v>1.0803578314966553E-6</v>
      </c>
    </row>
    <row r="851" spans="10:13">
      <c r="J851" s="3">
        <v>42</v>
      </c>
      <c r="K851" s="10">
        <f t="shared" si="43"/>
        <v>2.5498484042815001E-7</v>
      </c>
      <c r="L851" s="3">
        <f t="shared" si="45"/>
        <v>2</v>
      </c>
      <c r="M851" s="5">
        <f t="shared" si="44"/>
        <v>5.0996968085630003E-7</v>
      </c>
    </row>
    <row r="852" spans="10:13">
      <c r="J852" s="3">
        <v>42.05</v>
      </c>
      <c r="K852" s="10">
        <f t="shared" si="43"/>
        <v>2.4067476528604554E-7</v>
      </c>
      <c r="L852" s="3">
        <f t="shared" si="45"/>
        <v>4</v>
      </c>
      <c r="M852" s="5">
        <f t="shared" si="44"/>
        <v>9.6269906114418215E-7</v>
      </c>
    </row>
    <row r="853" spans="10:13">
      <c r="J853" s="3">
        <v>42.1</v>
      </c>
      <c r="K853" s="10">
        <f t="shared" si="43"/>
        <v>2.2712026829390543E-7</v>
      </c>
      <c r="L853" s="3">
        <f t="shared" si="45"/>
        <v>2</v>
      </c>
      <c r="M853" s="5">
        <f t="shared" si="44"/>
        <v>4.5424053658781086E-7</v>
      </c>
    </row>
    <row r="854" spans="10:13">
      <c r="J854" s="3">
        <v>42.15</v>
      </c>
      <c r="K854" s="10">
        <f t="shared" si="43"/>
        <v>2.142841451246376E-7</v>
      </c>
      <c r="L854" s="3">
        <f t="shared" si="45"/>
        <v>4</v>
      </c>
      <c r="M854" s="5">
        <f t="shared" si="44"/>
        <v>8.571365804985504E-7</v>
      </c>
    </row>
    <row r="855" spans="10:13">
      <c r="J855" s="3">
        <v>42.2</v>
      </c>
      <c r="K855" s="10">
        <f t="shared" si="43"/>
        <v>2.0213087935872921E-7</v>
      </c>
      <c r="L855" s="3">
        <f t="shared" si="45"/>
        <v>2</v>
      </c>
      <c r="M855" s="5">
        <f t="shared" si="44"/>
        <v>4.0426175871745842E-7</v>
      </c>
    </row>
    <row r="856" spans="10:13">
      <c r="J856" s="3">
        <v>42.25</v>
      </c>
      <c r="K856" s="10">
        <f t="shared" si="43"/>
        <v>1.9062657315058625E-7</v>
      </c>
      <c r="L856" s="3">
        <f t="shared" si="45"/>
        <v>4</v>
      </c>
      <c r="M856" s="5">
        <f t="shared" si="44"/>
        <v>7.6250629260234499E-7</v>
      </c>
    </row>
    <row r="857" spans="10:13">
      <c r="J857" s="3">
        <v>42.3</v>
      </c>
      <c r="K857" s="10">
        <f t="shared" si="43"/>
        <v>1.7973888040278098E-7</v>
      </c>
      <c r="L857" s="3">
        <f t="shared" si="45"/>
        <v>2</v>
      </c>
      <c r="M857" s="5">
        <f t="shared" si="44"/>
        <v>3.5947776080556196E-7</v>
      </c>
    </row>
    <row r="858" spans="10:13">
      <c r="J858" s="3">
        <v>42.35</v>
      </c>
      <c r="K858" s="10">
        <f t="shared" si="43"/>
        <v>1.6943694237229481E-7</v>
      </c>
      <c r="L858" s="3">
        <f t="shared" si="45"/>
        <v>4</v>
      </c>
      <c r="M858" s="5">
        <f t="shared" si="44"/>
        <v>6.7774776948917926E-7</v>
      </c>
    </row>
    <row r="859" spans="10:13">
      <c r="J859" s="3">
        <v>42.4</v>
      </c>
      <c r="K859" s="10">
        <f t="shared" si="43"/>
        <v>1.5969132563456078E-7</v>
      </c>
      <c r="L859" s="3">
        <f t="shared" si="45"/>
        <v>2</v>
      </c>
      <c r="M859" s="5">
        <f t="shared" si="44"/>
        <v>3.1938265126912156E-7</v>
      </c>
    </row>
    <row r="860" spans="10:13">
      <c r="J860" s="3">
        <v>42.45</v>
      </c>
      <c r="K860" s="10">
        <f t="shared" si="43"/>
        <v>1.5047396233272232E-7</v>
      </c>
      <c r="L860" s="3">
        <f t="shared" si="45"/>
        <v>4</v>
      </c>
      <c r="M860" s="5">
        <f t="shared" si="44"/>
        <v>6.0189584933088928E-7</v>
      </c>
    </row>
    <row r="861" spans="10:13">
      <c r="J861" s="3">
        <v>42.5</v>
      </c>
      <c r="K861" s="10">
        <f t="shared" si="43"/>
        <v>1.4175809264131697E-7</v>
      </c>
      <c r="L861" s="3">
        <f t="shared" si="45"/>
        <v>2</v>
      </c>
      <c r="M861" s="5">
        <f t="shared" si="44"/>
        <v>2.8351618528263395E-7</v>
      </c>
    </row>
    <row r="862" spans="10:13">
      <c r="J862" s="3">
        <v>42.55</v>
      </c>
      <c r="K862" s="10">
        <f t="shared" si="43"/>
        <v>1.3351820937512642E-7</v>
      </c>
      <c r="L862" s="3">
        <f t="shared" si="45"/>
        <v>4</v>
      </c>
      <c r="M862" s="5">
        <f t="shared" si="44"/>
        <v>5.3407283750050567E-7</v>
      </c>
    </row>
    <row r="863" spans="10:13">
      <c r="J863" s="3">
        <v>42.6</v>
      </c>
      <c r="K863" s="10">
        <f t="shared" si="43"/>
        <v>1.2573000467565019E-7</v>
      </c>
      <c r="L863" s="3">
        <f t="shared" si="45"/>
        <v>2</v>
      </c>
      <c r="M863" s="5">
        <f t="shared" si="44"/>
        <v>2.5146000935130039E-7</v>
      </c>
    </row>
    <row r="864" spans="10:13">
      <c r="J864" s="3">
        <v>42.65</v>
      </c>
      <c r="K864" s="10">
        <f t="shared" si="43"/>
        <v>1.1837031870926511E-7</v>
      </c>
      <c r="L864" s="3">
        <f t="shared" si="45"/>
        <v>4</v>
      </c>
      <c r="M864" s="5">
        <f t="shared" si="44"/>
        <v>4.7348127483706045E-7</v>
      </c>
    </row>
    <row r="865" spans="10:13">
      <c r="J865" s="3">
        <v>42.7</v>
      </c>
      <c r="K865" s="10">
        <f t="shared" si="43"/>
        <v>1.1141709031268235E-7</v>
      </c>
      <c r="L865" s="3">
        <f t="shared" si="45"/>
        <v>2</v>
      </c>
      <c r="M865" s="5">
        <f t="shared" si="44"/>
        <v>2.228341806253647E-7</v>
      </c>
    </row>
    <row r="866" spans="10:13">
      <c r="J866" s="3">
        <v>42.75</v>
      </c>
      <c r="K866" s="10">
        <f t="shared" si="43"/>
        <v>1.0484930952297877E-7</v>
      </c>
      <c r="L866" s="3">
        <f t="shared" si="45"/>
        <v>4</v>
      </c>
      <c r="M866" s="5">
        <f t="shared" si="44"/>
        <v>4.1939723809191509E-7</v>
      </c>
    </row>
    <row r="867" spans="10:13">
      <c r="J867" s="3">
        <v>42.8</v>
      </c>
      <c r="K867" s="10">
        <f t="shared" si="43"/>
        <v>9.8646971930956426E-8</v>
      </c>
      <c r="L867" s="3">
        <f t="shared" si="45"/>
        <v>2</v>
      </c>
      <c r="M867" s="5">
        <f t="shared" si="44"/>
        <v>1.9729394386191285E-7</v>
      </c>
    </row>
    <row r="868" spans="10:13">
      <c r="J868" s="3">
        <v>42.85</v>
      </c>
      <c r="K868" s="10">
        <f t="shared" si="43"/>
        <v>9.2791034798165834E-8</v>
      </c>
      <c r="L868" s="3">
        <f t="shared" si="45"/>
        <v>4</v>
      </c>
      <c r="M868" s="5">
        <f t="shared" si="44"/>
        <v>3.7116413919266334E-7</v>
      </c>
    </row>
    <row r="869" spans="10:13">
      <c r="J869" s="3">
        <v>42.9</v>
      </c>
      <c r="K869" s="10">
        <f t="shared" si="43"/>
        <v>8.7263374879449347E-8</v>
      </c>
      <c r="L869" s="3">
        <f t="shared" si="45"/>
        <v>2</v>
      </c>
      <c r="M869" s="5">
        <f t="shared" si="44"/>
        <v>1.7452674975889869E-7</v>
      </c>
    </row>
    <row r="870" spans="10:13">
      <c r="J870" s="3">
        <v>42.95</v>
      </c>
      <c r="K870" s="10">
        <f t="shared" si="43"/>
        <v>8.2046747894319106E-8</v>
      </c>
      <c r="L870" s="3">
        <f t="shared" si="45"/>
        <v>4</v>
      </c>
      <c r="M870" s="5">
        <f t="shared" si="44"/>
        <v>3.2818699157727643E-7</v>
      </c>
    </row>
    <row r="871" spans="10:13">
      <c r="J871" s="3">
        <v>43</v>
      </c>
      <c r="K871" s="10">
        <f t="shared" si="43"/>
        <v>7.7124749592006746E-8</v>
      </c>
      <c r="L871" s="3">
        <f t="shared" si="45"/>
        <v>2</v>
      </c>
      <c r="M871" s="5">
        <f t="shared" si="44"/>
        <v>1.5424949918401349E-7</v>
      </c>
    </row>
    <row r="872" spans="10:13">
      <c r="J872" s="3">
        <v>43.05</v>
      </c>
      <c r="K872" s="10">
        <f t="shared" si="43"/>
        <v>7.2481778356435291E-8</v>
      </c>
      <c r="L872" s="3">
        <f t="shared" si="45"/>
        <v>4</v>
      </c>
      <c r="M872" s="5">
        <f t="shared" si="44"/>
        <v>2.8992711342574116E-7</v>
      </c>
    </row>
    <row r="873" spans="10:13">
      <c r="J873" s="3">
        <v>43.1</v>
      </c>
      <c r="K873" s="10">
        <f t="shared" si="43"/>
        <v>6.8102999298798953E-8</v>
      </c>
      <c r="L873" s="3">
        <f t="shared" si="45"/>
        <v>2</v>
      </c>
      <c r="M873" s="5">
        <f t="shared" si="44"/>
        <v>1.3620599859759791E-7</v>
      </c>
    </row>
    <row r="874" spans="10:13">
      <c r="J874" s="3">
        <v>43.15</v>
      </c>
      <c r="K874" s="10">
        <f t="shared" si="43"/>
        <v>6.3974309786880105E-8</v>
      </c>
      <c r="L874" s="3">
        <f t="shared" si="45"/>
        <v>4</v>
      </c>
      <c r="M874" s="5">
        <f t="shared" si="44"/>
        <v>2.5589723914752042E-7</v>
      </c>
    </row>
    <row r="875" spans="10:13">
      <c r="J875" s="3">
        <v>43.2</v>
      </c>
      <c r="K875" s="10">
        <f t="shared" si="43"/>
        <v>6.0082306361551864E-8</v>
      </c>
      <c r="L875" s="3">
        <f t="shared" si="45"/>
        <v>2</v>
      </c>
      <c r="M875" s="5">
        <f t="shared" si="44"/>
        <v>1.2016461272310373E-7</v>
      </c>
    </row>
    <row r="876" spans="10:13">
      <c r="J876" s="3">
        <v>43.25</v>
      </c>
      <c r="K876" s="10">
        <f t="shared" si="43"/>
        <v>5.6414252992328022E-8</v>
      </c>
      <c r="L876" s="3">
        <f t="shared" si="45"/>
        <v>4</v>
      </c>
      <c r="M876" s="5">
        <f t="shared" si="44"/>
        <v>2.2565701196931209E-7</v>
      </c>
    </row>
    <row r="877" spans="10:13">
      <c r="J877" s="3">
        <v>43.3</v>
      </c>
      <c r="K877" s="10">
        <f t="shared" si="43"/>
        <v>5.2958050625138148E-8</v>
      </c>
      <c r="L877" s="3">
        <f t="shared" si="45"/>
        <v>2</v>
      </c>
      <c r="M877" s="5">
        <f t="shared" si="44"/>
        <v>1.059161012502763E-7</v>
      </c>
    </row>
    <row r="878" spans="10:13">
      <c r="J878" s="3">
        <v>43.35</v>
      </c>
      <c r="K878" s="10">
        <f t="shared" si="43"/>
        <v>4.9702207976814893E-8</v>
      </c>
      <c r="L878" s="3">
        <f t="shared" si="45"/>
        <v>4</v>
      </c>
      <c r="M878" s="5">
        <f t="shared" si="44"/>
        <v>1.9880883190725957E-7</v>
      </c>
    </row>
    <row r="879" spans="10:13">
      <c r="J879" s="3">
        <v>43.4</v>
      </c>
      <c r="K879" s="10">
        <f t="shared" si="43"/>
        <v>4.6635813532084695E-8</v>
      </c>
      <c r="L879" s="3">
        <f t="shared" si="45"/>
        <v>2</v>
      </c>
      <c r="M879" s="5">
        <f t="shared" si="44"/>
        <v>9.327162706416939E-8</v>
      </c>
    </row>
    <row r="880" spans="10:13">
      <c r="J880" s="3">
        <v>43.45</v>
      </c>
      <c r="K880" s="10">
        <f t="shared" si="43"/>
        <v>4.3748508700101403E-8</v>
      </c>
      <c r="L880" s="3">
        <f t="shared" si="45"/>
        <v>4</v>
      </c>
      <c r="M880" s="5">
        <f t="shared" si="44"/>
        <v>1.7499403480040561E-7</v>
      </c>
    </row>
    <row r="881" spans="10:13">
      <c r="J881" s="3">
        <v>43.5</v>
      </c>
      <c r="K881" s="10">
        <f t="shared" si="43"/>
        <v>4.1030462088817809E-8</v>
      </c>
      <c r="L881" s="3">
        <f t="shared" si="45"/>
        <v>2</v>
      </c>
      <c r="M881" s="5">
        <f t="shared" si="44"/>
        <v>8.2060924177635619E-8</v>
      </c>
    </row>
    <row r="882" spans="10:13">
      <c r="J882" s="3">
        <v>43.55</v>
      </c>
      <c r="K882" s="10">
        <f t="shared" si="43"/>
        <v>3.8472344856705295E-8</v>
      </c>
      <c r="L882" s="3">
        <f t="shared" si="45"/>
        <v>4</v>
      </c>
      <c r="M882" s="5">
        <f t="shared" si="44"/>
        <v>1.5388937942682118E-7</v>
      </c>
    </row>
    <row r="883" spans="10:13">
      <c r="J883" s="3">
        <v>43.6</v>
      </c>
      <c r="K883" s="10">
        <f t="shared" si="43"/>
        <v>3.6065307102519436E-8</v>
      </c>
      <c r="L883" s="3">
        <f t="shared" si="45"/>
        <v>2</v>
      </c>
      <c r="M883" s="5">
        <f t="shared" si="44"/>
        <v>7.2130614205038872E-8</v>
      </c>
    </row>
    <row r="884" spans="10:13">
      <c r="J884" s="3">
        <v>43.65</v>
      </c>
      <c r="K884" s="10">
        <f t="shared" si="43"/>
        <v>3.380095525499129E-8</v>
      </c>
      <c r="L884" s="3">
        <f t="shared" si="45"/>
        <v>4</v>
      </c>
      <c r="M884" s="5">
        <f t="shared" si="44"/>
        <v>1.3520382101996516E-7</v>
      </c>
    </row>
    <row r="885" spans="10:13">
      <c r="J885" s="3">
        <v>43.7</v>
      </c>
      <c r="K885" s="10">
        <f t="shared" si="43"/>
        <v>3.1671330425459493E-8</v>
      </c>
      <c r="L885" s="3">
        <f t="shared" si="45"/>
        <v>2</v>
      </c>
      <c r="M885" s="5">
        <f t="shared" si="44"/>
        <v>6.3342660850918986E-8</v>
      </c>
    </row>
    <row r="886" spans="10:13">
      <c r="J886" s="3">
        <v>43.75</v>
      </c>
      <c r="K886" s="10">
        <f t="shared" si="43"/>
        <v>2.9668887687588974E-8</v>
      </c>
      <c r="L886" s="3">
        <f t="shared" si="45"/>
        <v>4</v>
      </c>
      <c r="M886" s="5">
        <f t="shared" si="44"/>
        <v>1.1867555075035589E-7</v>
      </c>
    </row>
    <row r="887" spans="10:13">
      <c r="J887" s="3">
        <v>43.8</v>
      </c>
      <c r="K887" s="10">
        <f t="shared" si="43"/>
        <v>2.7786476249417859E-8</v>
      </c>
      <c r="L887" s="3">
        <f t="shared" si="45"/>
        <v>2</v>
      </c>
      <c r="M887" s="5">
        <f t="shared" si="44"/>
        <v>5.5572952498835717E-8</v>
      </c>
    </row>
    <row r="888" spans="10:13">
      <c r="J888" s="3">
        <v>43.85</v>
      </c>
      <c r="K888" s="10">
        <f t="shared" si="43"/>
        <v>2.6017320484048879E-8</v>
      </c>
      <c r="L888" s="3">
        <f t="shared" si="45"/>
        <v>4</v>
      </c>
      <c r="M888" s="5">
        <f t="shared" si="44"/>
        <v>1.0406928193619552E-7</v>
      </c>
    </row>
    <row r="889" spans="10:13">
      <c r="J889" s="3">
        <v>43.9</v>
      </c>
      <c r="K889" s="10">
        <f t="shared" si="43"/>
        <v>2.4355001786358593E-8</v>
      </c>
      <c r="L889" s="3">
        <f t="shared" si="45"/>
        <v>2</v>
      </c>
      <c r="M889" s="5">
        <f t="shared" si="44"/>
        <v>4.8710003572717186E-8</v>
      </c>
    </row>
    <row r="890" spans="10:13">
      <c r="J890" s="3">
        <v>43.95</v>
      </c>
      <c r="K890" s="10">
        <f t="shared" si="43"/>
        <v>2.2793441224118095E-8</v>
      </c>
      <c r="L890" s="3">
        <f t="shared" si="45"/>
        <v>4</v>
      </c>
      <c r="M890" s="5">
        <f t="shared" si="44"/>
        <v>9.1173764896472378E-8</v>
      </c>
    </row>
    <row r="891" spans="10:13">
      <c r="J891" s="3">
        <v>44</v>
      </c>
      <c r="K891" s="10">
        <f t="shared" si="43"/>
        <v>2.1326882952929882E-8</v>
      </c>
      <c r="L891" s="3">
        <f t="shared" si="45"/>
        <v>2</v>
      </c>
      <c r="M891" s="5">
        <f t="shared" si="44"/>
        <v>4.2653765905859763E-8</v>
      </c>
    </row>
    <row r="892" spans="10:13">
      <c r="J892" s="3">
        <v>44.05</v>
      </c>
      <c r="K892" s="10">
        <f t="shared" si="43"/>
        <v>1.9949878365369168E-8</v>
      </c>
      <c r="L892" s="3">
        <f t="shared" si="45"/>
        <v>4</v>
      </c>
      <c r="M892" s="5">
        <f t="shared" si="44"/>
        <v>7.9799513461476672E-8</v>
      </c>
    </row>
    <row r="893" spans="10:13">
      <c r="J893" s="3">
        <v>44.1</v>
      </c>
      <c r="K893" s="10">
        <f t="shared" si="43"/>
        <v>1.8657270945666741E-8</v>
      </c>
      <c r="L893" s="3">
        <f t="shared" si="45"/>
        <v>2</v>
      </c>
      <c r="M893" s="5">
        <f t="shared" si="44"/>
        <v>3.7314541891333481E-8</v>
      </c>
    </row>
    <row r="894" spans="10:13">
      <c r="J894" s="3">
        <v>44.15</v>
      </c>
      <c r="K894" s="10">
        <f t="shared" si="43"/>
        <v>1.7444181802224949E-8</v>
      </c>
      <c r="L894" s="3">
        <f t="shared" si="45"/>
        <v>4</v>
      </c>
      <c r="M894" s="5">
        <f t="shared" si="44"/>
        <v>6.9776727208899797E-8</v>
      </c>
    </row>
    <row r="895" spans="10:13">
      <c r="J895" s="3">
        <v>44.2</v>
      </c>
      <c r="K895" s="10">
        <f t="shared" si="43"/>
        <v>1.6305995851149698E-8</v>
      </c>
      <c r="L895" s="3">
        <f t="shared" si="45"/>
        <v>2</v>
      </c>
      <c r="M895" s="5">
        <f t="shared" si="44"/>
        <v>3.2611991702299397E-8</v>
      </c>
    </row>
    <row r="896" spans="10:13">
      <c r="J896" s="3">
        <v>44.25</v>
      </c>
      <c r="K896" s="10">
        <f t="shared" si="43"/>
        <v>1.523834862489172E-8</v>
      </c>
      <c r="L896" s="3">
        <f t="shared" si="45"/>
        <v>4</v>
      </c>
      <c r="M896" s="5">
        <f t="shared" si="44"/>
        <v>6.095339449956688E-8</v>
      </c>
    </row>
    <row r="897" spans="10:13">
      <c r="J897" s="3">
        <v>44.3</v>
      </c>
      <c r="K897" s="10">
        <f t="shared" si="43"/>
        <v>1.4237113680949119E-8</v>
      </c>
      <c r="L897" s="3">
        <f t="shared" si="45"/>
        <v>2</v>
      </c>
      <c r="M897" s="5">
        <f t="shared" si="44"/>
        <v>2.8474227361898238E-8</v>
      </c>
    </row>
    <row r="898" spans="10:13">
      <c r="J898" s="3">
        <v>44.35</v>
      </c>
      <c r="K898" s="10">
        <f t="shared" si="43"/>
        <v>1.3298390586434636E-8</v>
      </c>
      <c r="L898" s="3">
        <f t="shared" si="45"/>
        <v>4</v>
      </c>
      <c r="M898" s="5">
        <f t="shared" si="44"/>
        <v>5.3193562345738546E-8</v>
      </c>
    </row>
    <row r="899" spans="10:13">
      <c r="J899" s="3">
        <v>44.4</v>
      </c>
      <c r="K899" s="10">
        <f t="shared" si="43"/>
        <v>1.2418493455133382E-8</v>
      </c>
      <c r="L899" s="3">
        <f t="shared" si="45"/>
        <v>2</v>
      </c>
      <c r="M899" s="5">
        <f t="shared" si="44"/>
        <v>2.4836986910266764E-8</v>
      </c>
    </row>
    <row r="900" spans="10:13">
      <c r="J900" s="3">
        <v>44.45</v>
      </c>
      <c r="K900" s="10">
        <f t="shared" si="43"/>
        <v>1.1593940014485317E-8</v>
      </c>
      <c r="L900" s="3">
        <f t="shared" si="45"/>
        <v>4</v>
      </c>
      <c r="M900" s="5">
        <f t="shared" si="44"/>
        <v>4.637576005794127E-8</v>
      </c>
    </row>
    <row r="901" spans="10:13">
      <c r="J901" s="3">
        <v>44.5</v>
      </c>
      <c r="K901" s="10">
        <f t="shared" si="43"/>
        <v>1.0821441180706025E-8</v>
      </c>
      <c r="L901" s="3">
        <f t="shared" si="45"/>
        <v>2</v>
      </c>
      <c r="M901" s="5">
        <f t="shared" si="44"/>
        <v>2.164288236141205E-8</v>
      </c>
    </row>
    <row r="902" spans="10:13">
      <c r="J902" s="3">
        <v>44.55</v>
      </c>
      <c r="K902" s="10">
        <f t="shared" si="43"/>
        <v>1.0097891121023094E-8</v>
      </c>
      <c r="L902" s="3">
        <f t="shared" si="45"/>
        <v>4</v>
      </c>
      <c r="M902" s="5">
        <f t="shared" si="44"/>
        <v>4.0391564484092374E-8</v>
      </c>
    </row>
    <row r="903" spans="10:13">
      <c r="J903" s="3">
        <v>44.6</v>
      </c>
      <c r="K903" s="10">
        <f t="shared" si="43"/>
        <v>9.4203577827483766E-9</v>
      </c>
      <c r="L903" s="3">
        <f t="shared" si="45"/>
        <v>2</v>
      </c>
      <c r="M903" s="5">
        <f t="shared" si="44"/>
        <v>1.8840715565496753E-8</v>
      </c>
    </row>
    <row r="904" spans="10:13">
      <c r="J904" s="3">
        <v>44.65</v>
      </c>
      <c r="K904" s="10">
        <f t="shared" si="43"/>
        <v>8.7860738696242227E-9</v>
      </c>
      <c r="L904" s="3">
        <f t="shared" si="45"/>
        <v>4</v>
      </c>
      <c r="M904" s="5">
        <f t="shared" si="44"/>
        <v>3.5144295478496891E-8</v>
      </c>
    </row>
    <row r="905" spans="10:13">
      <c r="J905" s="3">
        <v>44.7</v>
      </c>
      <c r="K905" s="10">
        <f t="shared" si="43"/>
        <v>8.1924282465865696E-9</v>
      </c>
      <c r="L905" s="3">
        <f t="shared" si="45"/>
        <v>2</v>
      </c>
      <c r="M905" s="5">
        <f t="shared" si="44"/>
        <v>1.6384856493173139E-8</v>
      </c>
    </row>
    <row r="906" spans="10:13">
      <c r="J906" s="3">
        <v>44.75</v>
      </c>
      <c r="K906" s="10">
        <f t="shared" si="43"/>
        <v>7.6369577547682741E-9</v>
      </c>
      <c r="L906" s="3">
        <f t="shared" si="45"/>
        <v>4</v>
      </c>
      <c r="M906" s="5">
        <f t="shared" si="44"/>
        <v>3.0547831019073097E-8</v>
      </c>
    </row>
    <row r="907" spans="10:13">
      <c r="J907" s="3">
        <v>44.8</v>
      </c>
      <c r="K907" s="10">
        <f t="shared" ref="K907:K970" si="46">(B$6^J907)*(B$7^((B$5^70)*((B$5^J907)-1)))</f>
        <v>7.1173394192272012E-9</v>
      </c>
      <c r="L907" s="3">
        <f t="shared" si="45"/>
        <v>2</v>
      </c>
      <c r="M907" s="5">
        <f t="shared" si="44"/>
        <v>1.4234678838454402E-8</v>
      </c>
    </row>
    <row r="908" spans="10:13">
      <c r="J908" s="3">
        <v>44.85</v>
      </c>
      <c r="K908" s="10">
        <f t="shared" si="46"/>
        <v>6.631383032529706E-9</v>
      </c>
      <c r="L908" s="3">
        <f t="shared" si="45"/>
        <v>4</v>
      </c>
      <c r="M908" s="5">
        <f t="shared" ref="M908:M971" si="47">K908*L908</f>
        <v>2.6525532130118824E-8</v>
      </c>
    </row>
    <row r="909" spans="10:13">
      <c r="J909" s="3">
        <v>44.9</v>
      </c>
      <c r="K909" s="10">
        <f t="shared" si="46"/>
        <v>6.177024097940881E-9</v>
      </c>
      <c r="L909" s="3">
        <f t="shared" si="45"/>
        <v>2</v>
      </c>
      <c r="M909" s="5">
        <f t="shared" si="47"/>
        <v>1.2354048195881762E-8</v>
      </c>
    </row>
    <row r="910" spans="10:13">
      <c r="J910" s="3">
        <v>44.95</v>
      </c>
      <c r="K910" s="10">
        <f t="shared" si="46"/>
        <v>5.752317116583241E-9</v>
      </c>
      <c r="L910" s="3">
        <f t="shared" ref="L910:L973" si="48">IF(L909=4,2,4)</f>
        <v>4</v>
      </c>
      <c r="M910" s="5">
        <f t="shared" si="47"/>
        <v>2.3009268466332964E-8</v>
      </c>
    </row>
    <row r="911" spans="10:13">
      <c r="J911" s="3">
        <v>45</v>
      </c>
      <c r="K911" s="10">
        <f t="shared" si="46"/>
        <v>5.3554292035101692E-9</v>
      </c>
      <c r="L911" s="3">
        <f t="shared" si="48"/>
        <v>2</v>
      </c>
      <c r="M911" s="5">
        <f t="shared" si="47"/>
        <v>1.0710858407020338E-8</v>
      </c>
    </row>
    <row r="912" spans="10:13">
      <c r="J912" s="3">
        <v>45.05</v>
      </c>
      <c r="K912" s="10">
        <f t="shared" si="46"/>
        <v>4.9846340182138467E-9</v>
      </c>
      <c r="L912" s="3">
        <f t="shared" si="48"/>
        <v>4</v>
      </c>
      <c r="M912" s="5">
        <f t="shared" si="47"/>
        <v>1.9938536072855387E-8</v>
      </c>
    </row>
    <row r="913" spans="10:13">
      <c r="J913" s="3">
        <v>45.1</v>
      </c>
      <c r="K913" s="10">
        <f t="shared" si="46"/>
        <v>4.6383059956365229E-9</v>
      </c>
      <c r="L913" s="3">
        <f t="shared" si="48"/>
        <v>2</v>
      </c>
      <c r="M913" s="5">
        <f t="shared" si="47"/>
        <v>9.2766119912730457E-9</v>
      </c>
    </row>
    <row r="914" spans="10:13">
      <c r="J914" s="3">
        <v>45.15</v>
      </c>
      <c r="K914" s="10">
        <f t="shared" si="46"/>
        <v>4.3149148642961702E-9</v>
      </c>
      <c r="L914" s="3">
        <f t="shared" si="48"/>
        <v>4</v>
      </c>
      <c r="M914" s="5">
        <f t="shared" si="47"/>
        <v>1.7259659457184681E-8</v>
      </c>
    </row>
    <row r="915" spans="10:13">
      <c r="J915" s="3">
        <v>45.2</v>
      </c>
      <c r="K915" s="10">
        <f t="shared" si="46"/>
        <v>4.0130204386491125E-9</v>
      </c>
      <c r="L915" s="3">
        <f t="shared" si="48"/>
        <v>2</v>
      </c>
      <c r="M915" s="5">
        <f t="shared" si="47"/>
        <v>8.026040877298225E-9</v>
      </c>
    </row>
    <row r="916" spans="10:13">
      <c r="J916" s="3">
        <v>45.25</v>
      </c>
      <c r="K916" s="10">
        <f t="shared" si="46"/>
        <v>3.7312676733218128E-9</v>
      </c>
      <c r="L916" s="3">
        <f t="shared" si="48"/>
        <v>4</v>
      </c>
      <c r="M916" s="5">
        <f t="shared" si="47"/>
        <v>1.4925070693287251E-8</v>
      </c>
    </row>
    <row r="917" spans="10:13">
      <c r="J917" s="3">
        <v>45.3</v>
      </c>
      <c r="K917" s="10">
        <f t="shared" si="46"/>
        <v>3.4683819673269934E-9</v>
      </c>
      <c r="L917" s="3">
        <f t="shared" si="48"/>
        <v>2</v>
      </c>
      <c r="M917" s="5">
        <f t="shared" si="47"/>
        <v>6.9367639346539868E-9</v>
      </c>
    </row>
    <row r="918" spans="10:13">
      <c r="J918" s="3">
        <v>45.35</v>
      </c>
      <c r="K918" s="10">
        <f t="shared" si="46"/>
        <v>3.2231647068523515E-9</v>
      </c>
      <c r="L918" s="3">
        <f t="shared" si="48"/>
        <v>4</v>
      </c>
      <c r="M918" s="5">
        <f t="shared" si="47"/>
        <v>1.2892658827409406E-8</v>
      </c>
    </row>
    <row r="919" spans="10:13">
      <c r="J919" s="3">
        <v>45.4</v>
      </c>
      <c r="K919" s="10">
        <f t="shared" si="46"/>
        <v>2.994489035665167E-9</v>
      </c>
      <c r="L919" s="3">
        <f t="shared" si="48"/>
        <v>2</v>
      </c>
      <c r="M919" s="5">
        <f t="shared" si="47"/>
        <v>5.9889780713303339E-9</v>
      </c>
    </row>
    <row r="920" spans="10:13">
      <c r="J920" s="3">
        <v>45.45</v>
      </c>
      <c r="K920" s="10">
        <f t="shared" si="46"/>
        <v>2.7812958426169562E-9</v>
      </c>
      <c r="L920" s="3">
        <f t="shared" si="48"/>
        <v>4</v>
      </c>
      <c r="M920" s="5">
        <f t="shared" si="47"/>
        <v>1.1125183370467825E-8</v>
      </c>
    </row>
    <row r="921" spans="10:13">
      <c r="J921" s="3">
        <v>45.5</v>
      </c>
      <c r="K921" s="10">
        <f t="shared" si="46"/>
        <v>2.5825899561601152E-9</v>
      </c>
      <c r="L921" s="3">
        <f t="shared" si="48"/>
        <v>2</v>
      </c>
      <c r="M921" s="5">
        <f t="shared" si="47"/>
        <v>5.1651799123202304E-9</v>
      </c>
    </row>
    <row r="922" spans="10:13">
      <c r="J922" s="3">
        <v>45.55</v>
      </c>
      <c r="K922" s="10">
        <f t="shared" si="46"/>
        <v>2.3974365361976528E-9</v>
      </c>
      <c r="L922" s="3">
        <f t="shared" si="48"/>
        <v>4</v>
      </c>
      <c r="M922" s="5">
        <f t="shared" si="47"/>
        <v>9.5897461447906112E-9</v>
      </c>
    </row>
    <row r="923" spans="10:13">
      <c r="J923" s="3">
        <v>45.6</v>
      </c>
      <c r="K923" s="10">
        <f t="shared" si="46"/>
        <v>2.2249576539885382E-9</v>
      </c>
      <c r="L923" s="3">
        <f t="shared" si="48"/>
        <v>2</v>
      </c>
      <c r="M923" s="5">
        <f t="shared" si="47"/>
        <v>4.4499153079770763E-9</v>
      </c>
    </row>
    <row r="924" spans="10:13">
      <c r="J924" s="3">
        <v>45.65</v>
      </c>
      <c r="K924" s="10">
        <f t="shared" si="46"/>
        <v>2.0643290512126974E-9</v>
      </c>
      <c r="L924" s="3">
        <f t="shared" si="48"/>
        <v>4</v>
      </c>
      <c r="M924" s="5">
        <f t="shared" si="47"/>
        <v>8.2573162048507896E-9</v>
      </c>
    </row>
    <row r="925" spans="10:13">
      <c r="J925" s="3">
        <v>45.7</v>
      </c>
      <c r="K925" s="10">
        <f t="shared" si="46"/>
        <v>1.9147770696723983E-9</v>
      </c>
      <c r="L925" s="3">
        <f t="shared" si="48"/>
        <v>2</v>
      </c>
      <c r="M925" s="5">
        <f t="shared" si="47"/>
        <v>3.8295541393447966E-9</v>
      </c>
    </row>
    <row r="926" spans="10:13">
      <c r="J926" s="3">
        <v>45.75</v>
      </c>
      <c r="K926" s="10">
        <f t="shared" si="46"/>
        <v>1.7755757434649037E-9</v>
      </c>
      <c r="L926" s="3">
        <f t="shared" si="48"/>
        <v>4</v>
      </c>
      <c r="M926" s="5">
        <f t="shared" si="47"/>
        <v>7.1023029738596148E-9</v>
      </c>
    </row>
    <row r="927" spans="10:13">
      <c r="J927" s="3">
        <v>45.8</v>
      </c>
      <c r="K927" s="10">
        <f t="shared" si="46"/>
        <v>1.6460440458055976E-9</v>
      </c>
      <c r="L927" s="3">
        <f t="shared" si="48"/>
        <v>2</v>
      </c>
      <c r="M927" s="5">
        <f t="shared" si="47"/>
        <v>3.2920880916111951E-9</v>
      </c>
    </row>
    <row r="928" spans="10:13">
      <c r="J928" s="3">
        <v>45.85</v>
      </c>
      <c r="K928" s="10">
        <f t="shared" si="46"/>
        <v>1.525543283016018E-9</v>
      </c>
      <c r="L928" s="3">
        <f t="shared" si="48"/>
        <v>4</v>
      </c>
      <c r="M928" s="5">
        <f t="shared" si="47"/>
        <v>6.102173132064072E-9</v>
      </c>
    </row>
    <row r="929" spans="10:13">
      <c r="J929" s="3">
        <v>45.9</v>
      </c>
      <c r="K929" s="10">
        <f t="shared" si="46"/>
        <v>1.4134746285104233E-9</v>
      </c>
      <c r="L929" s="3">
        <f t="shared" si="48"/>
        <v>2</v>
      </c>
      <c r="M929" s="5">
        <f t="shared" si="47"/>
        <v>2.8269492570208466E-9</v>
      </c>
    </row>
    <row r="930" spans="10:13">
      <c r="J930" s="3">
        <v>45.95</v>
      </c>
      <c r="K930" s="10">
        <f t="shared" si="46"/>
        <v>1.3092767899257653E-9</v>
      </c>
      <c r="L930" s="3">
        <f t="shared" si="48"/>
        <v>4</v>
      </c>
      <c r="M930" s="5">
        <f t="shared" si="47"/>
        <v>5.2371071597030613E-9</v>
      </c>
    </row>
    <row r="931" spans="10:13">
      <c r="J931" s="3">
        <v>46</v>
      </c>
      <c r="K931" s="10">
        <f t="shared" si="46"/>
        <v>1.2124238028375879E-9</v>
      </c>
      <c r="L931" s="3">
        <f t="shared" si="48"/>
        <v>2</v>
      </c>
      <c r="M931" s="5">
        <f t="shared" si="47"/>
        <v>2.4248476056751758E-9</v>
      </c>
    </row>
    <row r="932" spans="10:13">
      <c r="J932" s="3">
        <v>46.05</v>
      </c>
      <c r="K932" s="10">
        <f t="shared" si="46"/>
        <v>1.1224229447915035E-9</v>
      </c>
      <c r="L932" s="3">
        <f t="shared" si="48"/>
        <v>4</v>
      </c>
      <c r="M932" s="5">
        <f t="shared" si="47"/>
        <v>4.4896917791660139E-9</v>
      </c>
    </row>
    <row r="933" spans="10:13">
      <c r="J933" s="3">
        <v>46.1</v>
      </c>
      <c r="K933" s="10">
        <f t="shared" si="46"/>
        <v>1.0388127636568418E-9</v>
      </c>
      <c r="L933" s="3">
        <f t="shared" si="48"/>
        <v>2</v>
      </c>
      <c r="M933" s="5">
        <f t="shared" si="47"/>
        <v>2.0776255273136835E-9</v>
      </c>
    </row>
    <row r="934" spans="10:13">
      <c r="J934" s="3">
        <v>46.15</v>
      </c>
      <c r="K934" s="10">
        <f t="shared" si="46"/>
        <v>9.6116121457556407E-10</v>
      </c>
      <c r="L934" s="3">
        <f t="shared" si="48"/>
        <v>4</v>
      </c>
      <c r="M934" s="5">
        <f t="shared" si="47"/>
        <v>3.8446448583022563E-9</v>
      </c>
    </row>
    <row r="935" spans="10:13">
      <c r="J935" s="3">
        <v>46.2</v>
      </c>
      <c r="K935" s="10">
        <f t="shared" si="46"/>
        <v>8.89063900034525E-10</v>
      </c>
      <c r="L935" s="3">
        <f t="shared" si="48"/>
        <v>2</v>
      </c>
      <c r="M935" s="5">
        <f t="shared" si="47"/>
        <v>1.77812780006905E-9</v>
      </c>
    </row>
    <row r="936" spans="10:13">
      <c r="J936" s="3">
        <v>46.25</v>
      </c>
      <c r="K936" s="10">
        <f t="shared" si="46"/>
        <v>8.2214240783694389E-10</v>
      </c>
      <c r="L936" s="3">
        <f t="shared" si="48"/>
        <v>4</v>
      </c>
      <c r="M936" s="5">
        <f t="shared" si="47"/>
        <v>3.2885696313477756E-9</v>
      </c>
    </row>
    <row r="937" spans="10:13">
      <c r="J937" s="3">
        <v>46.3</v>
      </c>
      <c r="K937" s="10">
        <f t="shared" si="46"/>
        <v>7.6004274198434983E-10</v>
      </c>
      <c r="L937" s="3">
        <f t="shared" si="48"/>
        <v>2</v>
      </c>
      <c r="M937" s="5">
        <f t="shared" si="47"/>
        <v>1.5200854839686997E-9</v>
      </c>
    </row>
    <row r="938" spans="10:13">
      <c r="J938" s="3">
        <v>46.35</v>
      </c>
      <c r="K938" s="10">
        <f t="shared" si="46"/>
        <v>7.0243384170906109E-10</v>
      </c>
      <c r="L938" s="3">
        <f t="shared" si="48"/>
        <v>4</v>
      </c>
      <c r="M938" s="5">
        <f t="shared" si="47"/>
        <v>2.8097353668362444E-9</v>
      </c>
    </row>
    <row r="939" spans="10:13">
      <c r="J939" s="3">
        <v>46.4</v>
      </c>
      <c r="K939" s="10">
        <f t="shared" si="46"/>
        <v>6.4900618411495322E-10</v>
      </c>
      <c r="L939" s="3">
        <f t="shared" si="48"/>
        <v>2</v>
      </c>
      <c r="M939" s="5">
        <f t="shared" si="47"/>
        <v>1.2980123682299064E-9</v>
      </c>
    </row>
    <row r="940" spans="10:13">
      <c r="J940" s="3">
        <v>46.45</v>
      </c>
      <c r="K940" s="10">
        <f t="shared" si="46"/>
        <v>5.994704660947448E-10</v>
      </c>
      <c r="L940" s="3">
        <f t="shared" si="48"/>
        <v>4</v>
      </c>
      <c r="M940" s="5">
        <f t="shared" si="47"/>
        <v>2.3978818643789792E-9</v>
      </c>
    </row>
    <row r="941" spans="10:13">
      <c r="J941" s="3">
        <v>46.5</v>
      </c>
      <c r="K941" s="10">
        <f t="shared" si="46"/>
        <v>5.5355636139364518E-10</v>
      </c>
      <c r="L941" s="3">
        <f t="shared" si="48"/>
        <v>2</v>
      </c>
      <c r="M941" s="5">
        <f t="shared" si="47"/>
        <v>1.1071127227872904E-9</v>
      </c>
    </row>
    <row r="942" spans="10:13">
      <c r="J942" s="3">
        <v>46.55</v>
      </c>
      <c r="K942" s="10">
        <f t="shared" si="46"/>
        <v>5.1101134888228077E-10</v>
      </c>
      <c r="L942" s="3">
        <f t="shared" si="48"/>
        <v>4</v>
      </c>
      <c r="M942" s="5">
        <f t="shared" si="47"/>
        <v>2.0440453955291231E-9</v>
      </c>
    </row>
    <row r="943" spans="10:13">
      <c r="J943" s="3">
        <v>46.6</v>
      </c>
      <c r="K943" s="10">
        <f t="shared" si="46"/>
        <v>4.7159960828799982E-10</v>
      </c>
      <c r="L943" s="3">
        <f t="shared" si="48"/>
        <v>2</v>
      </c>
      <c r="M943" s="5">
        <f t="shared" si="47"/>
        <v>9.4319921657599964E-10</v>
      </c>
    </row>
    <row r="944" spans="10:13">
      <c r="J944" s="3">
        <v>46.65</v>
      </c>
      <c r="K944" s="10">
        <f t="shared" si="46"/>
        <v>4.351009798111087E-10</v>
      </c>
      <c r="L944" s="3">
        <f t="shared" si="48"/>
        <v>4</v>
      </c>
      <c r="M944" s="5">
        <f t="shared" si="47"/>
        <v>1.7404039192444348E-9</v>
      </c>
    </row>
    <row r="945" spans="10:13">
      <c r="J945" s="3">
        <v>46.7</v>
      </c>
      <c r="K945" s="10">
        <f t="shared" si="46"/>
        <v>4.0130998422367643E-10</v>
      </c>
      <c r="L945" s="3">
        <f t="shared" si="48"/>
        <v>2</v>
      </c>
      <c r="M945" s="5">
        <f t="shared" si="47"/>
        <v>8.0261996844735287E-10</v>
      </c>
    </row>
    <row r="946" spans="10:13">
      <c r="J946" s="3">
        <v>46.75</v>
      </c>
      <c r="K946" s="10">
        <f t="shared" si="46"/>
        <v>3.7003490021191124E-10</v>
      </c>
      <c r="L946" s="3">
        <f t="shared" si="48"/>
        <v>4</v>
      </c>
      <c r="M946" s="5">
        <f t="shared" si="47"/>
        <v>1.480139600847645E-9</v>
      </c>
    </row>
    <row r="947" spans="10:13">
      <c r="J947" s="3">
        <v>46.8</v>
      </c>
      <c r="K947" s="10">
        <f t="shared" si="46"/>
        <v>3.4109689587972148E-10</v>
      </c>
      <c r="L947" s="3">
        <f t="shared" si="48"/>
        <v>2</v>
      </c>
      <c r="M947" s="5">
        <f t="shared" si="47"/>
        <v>6.8219379175944297E-10</v>
      </c>
    </row>
    <row r="948" spans="10:13">
      <c r="J948" s="3">
        <v>46.85</v>
      </c>
      <c r="K948" s="10">
        <f t="shared" si="46"/>
        <v>3.1432921148143161E-10</v>
      </c>
      <c r="L948" s="3">
        <f t="shared" si="48"/>
        <v>4</v>
      </c>
      <c r="M948" s="5">
        <f t="shared" si="47"/>
        <v>1.2573168459257264E-9</v>
      </c>
    </row>
    <row r="949" spans="10:13">
      <c r="J949" s="3">
        <v>46.9</v>
      </c>
      <c r="K949" s="10">
        <f t="shared" si="46"/>
        <v>2.8957639059500135E-10</v>
      </c>
      <c r="L949" s="3">
        <f t="shared" si="48"/>
        <v>2</v>
      </c>
      <c r="M949" s="5">
        <f t="shared" si="47"/>
        <v>5.791527811900027E-10</v>
      </c>
    </row>
    <row r="950" spans="10:13">
      <c r="J950" s="3">
        <v>46.95</v>
      </c>
      <c r="K950" s="10">
        <f t="shared" si="46"/>
        <v>2.6669355708464957E-10</v>
      </c>
      <c r="L950" s="3">
        <f t="shared" si="48"/>
        <v>4</v>
      </c>
      <c r="M950" s="5">
        <f t="shared" si="47"/>
        <v>1.0667742283385983E-9</v>
      </c>
    </row>
    <row r="951" spans="10:13">
      <c r="J951" s="3">
        <v>47</v>
      </c>
      <c r="K951" s="10">
        <f t="shared" si="46"/>
        <v>2.4554573533353817E-10</v>
      </c>
      <c r="L951" s="3">
        <f t="shared" si="48"/>
        <v>2</v>
      </c>
      <c r="M951" s="5">
        <f t="shared" si="47"/>
        <v>4.9109147066707633E-10</v>
      </c>
    </row>
    <row r="952" spans="10:13">
      <c r="J952" s="3">
        <v>47.05</v>
      </c>
      <c r="K952" s="10">
        <f t="shared" si="46"/>
        <v>2.2600721135263581E-10</v>
      </c>
      <c r="L952" s="3">
        <f t="shared" si="48"/>
        <v>4</v>
      </c>
      <c r="M952" s="5">
        <f t="shared" si="47"/>
        <v>9.0402884541054324E-10</v>
      </c>
    </row>
    <row r="953" spans="10:13">
      <c r="J953" s="3">
        <v>47.1</v>
      </c>
      <c r="K953" s="10">
        <f t="shared" si="46"/>
        <v>2.0796093249233404E-10</v>
      </c>
      <c r="L953" s="3">
        <f t="shared" si="48"/>
        <v>2</v>
      </c>
      <c r="M953" s="5">
        <f t="shared" si="47"/>
        <v>4.1592186498466809E-10</v>
      </c>
    </row>
    <row r="954" spans="10:13">
      <c r="J954" s="3">
        <v>47.15</v>
      </c>
      <c r="K954" s="10">
        <f t="shared" si="46"/>
        <v>1.9129794359844329E-10</v>
      </c>
      <c r="L954" s="3">
        <f t="shared" si="48"/>
        <v>4</v>
      </c>
      <c r="M954" s="5">
        <f t="shared" si="47"/>
        <v>7.6519177439377315E-10</v>
      </c>
    </row>
    <row r="955" spans="10:13">
      <c r="J955" s="3">
        <v>47.2</v>
      </c>
      <c r="K955" s="10">
        <f t="shared" si="46"/>
        <v>1.759168575635729E-10</v>
      </c>
      <c r="L955" s="3">
        <f t="shared" si="48"/>
        <v>2</v>
      </c>
      <c r="M955" s="5">
        <f t="shared" si="47"/>
        <v>3.518337151271458E-10</v>
      </c>
    </row>
    <row r="956" spans="10:13">
      <c r="J956" s="3">
        <v>47.25</v>
      </c>
      <c r="K956" s="10">
        <f t="shared" si="46"/>
        <v>1.6172335833026889E-10</v>
      </c>
      <c r="L956" s="3">
        <f t="shared" si="48"/>
        <v>4</v>
      </c>
      <c r="M956" s="5">
        <f t="shared" si="47"/>
        <v>6.4689343332107557E-10</v>
      </c>
    </row>
    <row r="957" spans="10:13">
      <c r="J957" s="3">
        <v>47.3</v>
      </c>
      <c r="K957" s="10">
        <f t="shared" si="46"/>
        <v>1.4862973450196326E-10</v>
      </c>
      <c r="L957" s="3">
        <f t="shared" si="48"/>
        <v>2</v>
      </c>
      <c r="M957" s="5">
        <f t="shared" si="47"/>
        <v>2.9725946900392651E-10</v>
      </c>
    </row>
    <row r="958" spans="10:13">
      <c r="J958" s="3">
        <v>47.35</v>
      </c>
      <c r="K958" s="10">
        <f t="shared" si="46"/>
        <v>1.3655444181357771E-10</v>
      </c>
      <c r="L958" s="3">
        <f t="shared" si="48"/>
        <v>4</v>
      </c>
      <c r="M958" s="5">
        <f t="shared" si="47"/>
        <v>5.4621776725431085E-10</v>
      </c>
    </row>
    <row r="959" spans="10:13">
      <c r="J959" s="3">
        <v>47.4</v>
      </c>
      <c r="K959" s="10">
        <f t="shared" si="46"/>
        <v>1.2542169280464044E-10</v>
      </c>
      <c r="L959" s="3">
        <f t="shared" si="48"/>
        <v>2</v>
      </c>
      <c r="M959" s="5">
        <f t="shared" si="47"/>
        <v>2.5084338560928089E-10</v>
      </c>
    </row>
    <row r="960" spans="10:13">
      <c r="J960" s="3">
        <v>47.45</v>
      </c>
      <c r="K960" s="10">
        <f t="shared" si="46"/>
        <v>1.1516107212465709E-10</v>
      </c>
      <c r="L960" s="3">
        <f t="shared" si="48"/>
        <v>4</v>
      </c>
      <c r="M960" s="5">
        <f t="shared" si="47"/>
        <v>4.6064428849862837E-10</v>
      </c>
    </row>
    <row r="961" spans="10:13">
      <c r="J961" s="3">
        <v>47.5</v>
      </c>
      <c r="K961" s="10">
        <f t="shared" si="46"/>
        <v>1.0570717598344332E-10</v>
      </c>
      <c r="L961" s="3">
        <f t="shared" si="48"/>
        <v>2</v>
      </c>
      <c r="M961" s="5">
        <f t="shared" si="47"/>
        <v>2.1141435196688664E-10</v>
      </c>
    </row>
    <row r="962" spans="10:13">
      <c r="J962" s="3">
        <v>47.55</v>
      </c>
      <c r="K962" s="10">
        <f t="shared" si="46"/>
        <v>9.6999274337915037E-11</v>
      </c>
      <c r="L962" s="3">
        <f t="shared" si="48"/>
        <v>4</v>
      </c>
      <c r="M962" s="5">
        <f t="shared" si="47"/>
        <v>3.8799709735166015E-10</v>
      </c>
    </row>
    <row r="963" spans="10:13">
      <c r="J963" s="3">
        <v>47.6</v>
      </c>
      <c r="K963" s="10">
        <f t="shared" si="46"/>
        <v>8.898099448218288E-11</v>
      </c>
      <c r="L963" s="3">
        <f t="shared" si="48"/>
        <v>2</v>
      </c>
      <c r="M963" s="5">
        <f t="shared" si="47"/>
        <v>1.7796198896436576E-10</v>
      </c>
    </row>
    <row r="964" spans="10:13">
      <c r="J964" s="3">
        <v>47.65</v>
      </c>
      <c r="K964" s="10">
        <f t="shared" si="46"/>
        <v>8.1600024779313902E-11</v>
      </c>
      <c r="L964" s="3">
        <f t="shared" si="48"/>
        <v>4</v>
      </c>
      <c r="M964" s="5">
        <f t="shared" si="47"/>
        <v>3.2640009911725561E-10</v>
      </c>
    </row>
    <row r="965" spans="10:13">
      <c r="J965" s="3">
        <v>47.7</v>
      </c>
      <c r="K965" s="10">
        <f t="shared" si="46"/>
        <v>7.4807837341332031E-11</v>
      </c>
      <c r="L965" s="3">
        <f t="shared" si="48"/>
        <v>2</v>
      </c>
      <c r="M965" s="5">
        <f t="shared" si="47"/>
        <v>1.4961567468266406E-10</v>
      </c>
    </row>
    <row r="966" spans="10:13">
      <c r="J966" s="3">
        <v>47.75</v>
      </c>
      <c r="K966" s="10">
        <f t="shared" si="46"/>
        <v>6.8559428528928894E-11</v>
      </c>
      <c r="L966" s="3">
        <f t="shared" si="48"/>
        <v>4</v>
      </c>
      <c r="M966" s="5">
        <f t="shared" si="47"/>
        <v>2.7423771411571558E-10</v>
      </c>
    </row>
    <row r="967" spans="10:13">
      <c r="J967" s="3">
        <v>47.8</v>
      </c>
      <c r="K967" s="10">
        <f t="shared" si="46"/>
        <v>6.2813076203996432E-11</v>
      </c>
      <c r="L967" s="3">
        <f t="shared" si="48"/>
        <v>2</v>
      </c>
      <c r="M967" s="5">
        <f t="shared" si="47"/>
        <v>1.2562615240799286E-10</v>
      </c>
    </row>
    <row r="968" spans="10:13">
      <c r="J968" s="3">
        <v>47.85</v>
      </c>
      <c r="K968" s="10">
        <f t="shared" si="46"/>
        <v>5.7530112726853712E-11</v>
      </c>
      <c r="L968" s="3">
        <f t="shared" si="48"/>
        <v>4</v>
      </c>
      <c r="M968" s="5">
        <f t="shared" si="47"/>
        <v>2.3012045090741485E-10</v>
      </c>
    </row>
    <row r="969" spans="10:13">
      <c r="J969" s="3">
        <v>47.9</v>
      </c>
      <c r="K969" s="10">
        <f t="shared" si="46"/>
        <v>5.2674712745749977E-11</v>
      </c>
      <c r="L969" s="3">
        <f t="shared" si="48"/>
        <v>2</v>
      </c>
      <c r="M969" s="5">
        <f t="shared" si="47"/>
        <v>1.0534942549149995E-10</v>
      </c>
    </row>
    <row r="970" spans="10:13">
      <c r="J970" s="3">
        <v>47.95</v>
      </c>
      <c r="K970" s="10">
        <f t="shared" si="46"/>
        <v>4.8213694879254612E-11</v>
      </c>
      <c r="L970" s="3">
        <f t="shared" si="48"/>
        <v>4</v>
      </c>
      <c r="M970" s="5">
        <f t="shared" si="47"/>
        <v>1.9285477951701845E-10</v>
      </c>
    </row>
    <row r="971" spans="10:13">
      <c r="J971" s="3">
        <v>48</v>
      </c>
      <c r="K971" s="10">
        <f t="shared" ref="K971:K1034" si="49">(B$6^J971)*(B$7^((B$5^70)*((B$5^J971)-1)))</f>
        <v>4.411633644249969E-11</v>
      </c>
      <c r="L971" s="3">
        <f t="shared" si="48"/>
        <v>2</v>
      </c>
      <c r="M971" s="5">
        <f t="shared" si="47"/>
        <v>8.823267288499938E-11</v>
      </c>
    </row>
    <row r="972" spans="10:13">
      <c r="J972" s="3">
        <v>48.05</v>
      </c>
      <c r="K972" s="10">
        <f t="shared" si="49"/>
        <v>4.0354200416009515E-11</v>
      </c>
      <c r="L972" s="3">
        <f t="shared" si="48"/>
        <v>4</v>
      </c>
      <c r="M972" s="5">
        <f t="shared" ref="M972:M1035" si="50">K972*L972</f>
        <v>1.6141680166403806E-10</v>
      </c>
    </row>
    <row r="973" spans="10:13">
      <c r="J973" s="3">
        <v>48.1</v>
      </c>
      <c r="K973" s="10">
        <f t="shared" si="49"/>
        <v>3.6900973901238535E-11</v>
      </c>
      <c r="L973" s="3">
        <f t="shared" si="48"/>
        <v>2</v>
      </c>
      <c r="M973" s="5">
        <f t="shared" si="50"/>
        <v>7.380194780247707E-11</v>
      </c>
    </row>
    <row r="974" spans="10:13">
      <c r="J974" s="3">
        <v>48.15</v>
      </c>
      <c r="K974" s="10">
        <f t="shared" si="49"/>
        <v>3.3732317350016044E-11</v>
      </c>
      <c r="L974" s="3">
        <f t="shared" ref="L974:L1037" si="51">IF(L973=4,2,4)</f>
        <v>4</v>
      </c>
      <c r="M974" s="5">
        <f t="shared" si="50"/>
        <v>1.3492926940006418E-10</v>
      </c>
    </row>
    <row r="975" spans="10:13">
      <c r="J975" s="3">
        <v>48.2</v>
      </c>
      <c r="K975" s="10">
        <f t="shared" si="49"/>
        <v>3.0825723895854037E-11</v>
      </c>
      <c r="L975" s="3">
        <f t="shared" si="51"/>
        <v>2</v>
      </c>
      <c r="M975" s="5">
        <f t="shared" si="50"/>
        <v>6.1651447791708074E-11</v>
      </c>
    </row>
    <row r="976" spans="10:13">
      <c r="J976" s="3">
        <v>48.25</v>
      </c>
      <c r="K976" s="10">
        <f t="shared" si="49"/>
        <v>2.8160388153875586E-11</v>
      </c>
      <c r="L976" s="3">
        <f t="shared" si="51"/>
        <v>4</v>
      </c>
      <c r="M976" s="5">
        <f t="shared" si="50"/>
        <v>1.1264155261550234E-10</v>
      </c>
    </row>
    <row r="977" spans="10:13">
      <c r="J977" s="3">
        <v>48.3</v>
      </c>
      <c r="K977" s="10">
        <f t="shared" si="49"/>
        <v>2.5717083892739121E-11</v>
      </c>
      <c r="L977" s="3">
        <f t="shared" si="51"/>
        <v>2</v>
      </c>
      <c r="M977" s="5">
        <f t="shared" si="50"/>
        <v>5.1434167785478242E-11</v>
      </c>
    </row>
    <row r="978" spans="10:13">
      <c r="J978" s="3">
        <v>48.35</v>
      </c>
      <c r="K978" s="10">
        <f t="shared" si="49"/>
        <v>2.3478050016745704E-11</v>
      </c>
      <c r="L978" s="3">
        <f t="shared" si="51"/>
        <v>4</v>
      </c>
      <c r="M978" s="5">
        <f t="shared" si="50"/>
        <v>9.3912200066982817E-11</v>
      </c>
    </row>
    <row r="979" spans="10:13">
      <c r="J979" s="3">
        <v>48.4</v>
      </c>
      <c r="K979" s="10">
        <f t="shared" si="49"/>
        <v>2.1426884329209223E-11</v>
      </c>
      <c r="L979" s="3">
        <f t="shared" si="51"/>
        <v>2</v>
      </c>
      <c r="M979" s="5">
        <f t="shared" si="50"/>
        <v>4.2853768658418445E-11</v>
      </c>
    </row>
    <row r="980" spans="10:13">
      <c r="J980" s="3">
        <v>48.45</v>
      </c>
      <c r="K980" s="10">
        <f t="shared" si="49"/>
        <v>1.9548444579348922E-11</v>
      </c>
      <c r="L980" s="3">
        <f t="shared" si="51"/>
        <v>4</v>
      </c>
      <c r="M980" s="5">
        <f t="shared" si="50"/>
        <v>7.8193778317395689E-11</v>
      </c>
    </row>
    <row r="981" spans="10:13">
      <c r="J981" s="3">
        <v>48.5</v>
      </c>
      <c r="K981" s="10">
        <f t="shared" si="49"/>
        <v>1.7828756324469545E-11</v>
      </c>
      <c r="L981" s="3">
        <f t="shared" si="51"/>
        <v>2</v>
      </c>
      <c r="M981" s="5">
        <f t="shared" si="50"/>
        <v>3.5657512648939089E-11</v>
      </c>
    </row>
    <row r="982" spans="10:13">
      <c r="J982" s="3">
        <v>48.55</v>
      </c>
      <c r="K982" s="10">
        <f t="shared" si="49"/>
        <v>1.6254927167079265E-11</v>
      </c>
      <c r="L982" s="3">
        <f t="shared" si="51"/>
        <v>4</v>
      </c>
      <c r="M982" s="5">
        <f t="shared" si="50"/>
        <v>6.5019708668317059E-11</v>
      </c>
    </row>
    <row r="983" spans="10:13">
      <c r="J983" s="3">
        <v>48.6</v>
      </c>
      <c r="K983" s="10">
        <f t="shared" si="49"/>
        <v>1.4815066953007352E-11</v>
      </c>
      <c r="L983" s="3">
        <f t="shared" si="51"/>
        <v>2</v>
      </c>
      <c r="M983" s="5">
        <f t="shared" si="50"/>
        <v>2.9630133906014703E-11</v>
      </c>
    </row>
    <row r="984" spans="10:13">
      <c r="J984" s="3">
        <v>48.65</v>
      </c>
      <c r="K984" s="10">
        <f t="shared" si="49"/>
        <v>1.3498213541515201E-11</v>
      </c>
      <c r="L984" s="3">
        <f t="shared" si="51"/>
        <v>4</v>
      </c>
      <c r="M984" s="5">
        <f t="shared" si="50"/>
        <v>5.3992854166060804E-11</v>
      </c>
    </row>
    <row r="985" spans="10:13">
      <c r="J985" s="3">
        <v>48.7</v>
      </c>
      <c r="K985" s="10">
        <f t="shared" si="49"/>
        <v>1.2294263781971246E-11</v>
      </c>
      <c r="L985" s="3">
        <f t="shared" si="51"/>
        <v>2</v>
      </c>
      <c r="M985" s="5">
        <f t="shared" si="50"/>
        <v>2.4588527563942492E-11</v>
      </c>
    </row>
    <row r="986" spans="10:13">
      <c r="J986" s="3">
        <v>48.75</v>
      </c>
      <c r="K986" s="10">
        <f t="shared" si="49"/>
        <v>1.1193909353936367E-11</v>
      </c>
      <c r="L986" s="3">
        <f t="shared" si="51"/>
        <v>4</v>
      </c>
      <c r="M986" s="5">
        <f t="shared" si="50"/>
        <v>4.4775637415745468E-11</v>
      </c>
    </row>
    <row r="987" spans="10:13">
      <c r="J987" s="3">
        <v>48.8</v>
      </c>
      <c r="K987" s="10">
        <f t="shared" si="49"/>
        <v>1.01885771485203E-11</v>
      </c>
      <c r="L987" s="3">
        <f t="shared" si="51"/>
        <v>2</v>
      </c>
      <c r="M987" s="5">
        <f t="shared" si="50"/>
        <v>2.03771542970406E-11</v>
      </c>
    </row>
    <row r="988" spans="10:13">
      <c r="J988" s="3">
        <v>48.85</v>
      </c>
      <c r="K988" s="10">
        <f t="shared" si="49"/>
        <v>9.2703738887299469E-12</v>
      </c>
      <c r="L988" s="3">
        <f t="shared" si="51"/>
        <v>4</v>
      </c>
      <c r="M988" s="5">
        <f t="shared" si="50"/>
        <v>3.7081495554919788E-11</v>
      </c>
    </row>
    <row r="989" spans="10:13">
      <c r="J989" s="3">
        <v>48.9</v>
      </c>
      <c r="K989" s="10">
        <f t="shared" si="49"/>
        <v>8.4320347052499379E-12</v>
      </c>
      <c r="L989" s="3">
        <f t="shared" si="51"/>
        <v>2</v>
      </c>
      <c r="M989" s="5">
        <f t="shared" si="50"/>
        <v>1.6864069410499876E-11</v>
      </c>
    </row>
    <row r="990" spans="10:13">
      <c r="J990" s="3">
        <v>48.95</v>
      </c>
      <c r="K990" s="10">
        <f t="shared" si="49"/>
        <v>7.666875401759218E-12</v>
      </c>
      <c r="L990" s="3">
        <f t="shared" si="51"/>
        <v>4</v>
      </c>
      <c r="M990" s="5">
        <f t="shared" si="50"/>
        <v>3.0667501607036872E-11</v>
      </c>
    </row>
    <row r="991" spans="10:13">
      <c r="J991" s="3">
        <v>49</v>
      </c>
      <c r="K991" s="10">
        <f t="shared" si="49"/>
        <v>6.968748160548199E-12</v>
      </c>
      <c r="L991" s="3">
        <f t="shared" si="51"/>
        <v>2</v>
      </c>
      <c r="M991" s="5">
        <f t="shared" si="50"/>
        <v>1.3937496321096398E-11</v>
      </c>
    </row>
    <row r="992" spans="10:13">
      <c r="J992" s="3">
        <v>49.05</v>
      </c>
      <c r="K992" s="10">
        <f t="shared" si="49"/>
        <v>6.3320004548878437E-12</v>
      </c>
      <c r="L992" s="3">
        <f t="shared" si="51"/>
        <v>4</v>
      </c>
      <c r="M992" s="5">
        <f t="shared" si="50"/>
        <v>2.5328001819551375E-11</v>
      </c>
    </row>
    <row r="993" spans="10:13">
      <c r="J993" s="3">
        <v>49.1</v>
      </c>
      <c r="K993" s="10">
        <f t="shared" si="49"/>
        <v>5.7514369493950953E-12</v>
      </c>
      <c r="L993" s="3">
        <f t="shared" si="51"/>
        <v>2</v>
      </c>
      <c r="M993" s="5">
        <f t="shared" si="50"/>
        <v>1.1502873898790191E-11</v>
      </c>
    </row>
    <row r="994" spans="10:13">
      <c r="J994" s="3">
        <v>49.15</v>
      </c>
      <c r="K994" s="10">
        <f t="shared" si="49"/>
        <v>5.2222841835667084E-12</v>
      </c>
      <c r="L994" s="3">
        <f t="shared" si="51"/>
        <v>4</v>
      </c>
      <c r="M994" s="5">
        <f t="shared" si="50"/>
        <v>2.0889136734266833E-11</v>
      </c>
    </row>
    <row r="995" spans="10:13">
      <c r="J995" s="3">
        <v>49.2</v>
      </c>
      <c r="K995" s="10">
        <f t="shared" si="49"/>
        <v>4.7401578467558165E-12</v>
      </c>
      <c r="L995" s="3">
        <f t="shared" si="51"/>
        <v>2</v>
      </c>
      <c r="M995" s="5">
        <f t="shared" si="50"/>
        <v>9.4803156935116329E-12</v>
      </c>
    </row>
    <row r="996" spans="10:13">
      <c r="J996" s="3">
        <v>49.25</v>
      </c>
      <c r="K996" s="10">
        <f t="shared" si="49"/>
        <v>4.3010324652132196E-12</v>
      </c>
      <c r="L996" s="3">
        <f t="shared" si="51"/>
        <v>4</v>
      </c>
      <c r="M996" s="5">
        <f t="shared" si="50"/>
        <v>1.7204129860852878E-11</v>
      </c>
    </row>
    <row r="997" spans="10:13">
      <c r="J997" s="3">
        <v>49.3</v>
      </c>
      <c r="K997" s="10">
        <f t="shared" si="49"/>
        <v>3.9012133334123267E-12</v>
      </c>
      <c r="L997" s="3">
        <f t="shared" si="51"/>
        <v>2</v>
      </c>
      <c r="M997" s="5">
        <f t="shared" si="50"/>
        <v>7.8024266668246533E-12</v>
      </c>
    </row>
    <row r="998" spans="10:13">
      <c r="J998" s="3">
        <v>49.35</v>
      </c>
      <c r="K998" s="10">
        <f t="shared" si="49"/>
        <v>3.5373105327949312E-12</v>
      </c>
      <c r="L998" s="3">
        <f t="shared" si="51"/>
        <v>4</v>
      </c>
      <c r="M998" s="5">
        <f t="shared" si="50"/>
        <v>1.4149242131179725E-11</v>
      </c>
    </row>
    <row r="999" spans="10:13">
      <c r="J999" s="3">
        <v>49.4</v>
      </c>
      <c r="K999" s="10">
        <f t="shared" si="49"/>
        <v>3.2062148913305332E-12</v>
      </c>
      <c r="L999" s="3">
        <f t="shared" si="51"/>
        <v>2</v>
      </c>
      <c r="M999" s="5">
        <f t="shared" si="50"/>
        <v>6.4124297826610664E-12</v>
      </c>
    </row>
    <row r="1000" spans="10:13">
      <c r="J1000" s="3">
        <v>49.45</v>
      </c>
      <c r="K1000" s="10">
        <f t="shared" si="49"/>
        <v>2.9050757469181891E-12</v>
      </c>
      <c r="L1000" s="3">
        <f t="shared" si="51"/>
        <v>4</v>
      </c>
      <c r="M1000" s="5">
        <f t="shared" si="50"/>
        <v>1.1620302987672757E-11</v>
      </c>
    </row>
    <row r="1001" spans="10:13">
      <c r="J1001" s="3">
        <v>49.5</v>
      </c>
      <c r="K1001" s="10">
        <f t="shared" si="49"/>
        <v>2.6312803867170007E-12</v>
      </c>
      <c r="L1001" s="3">
        <f t="shared" si="51"/>
        <v>2</v>
      </c>
      <c r="M1001" s="5">
        <f t="shared" si="50"/>
        <v>5.2625607734340015E-12</v>
      </c>
    </row>
    <row r="1002" spans="10:13">
      <c r="J1002" s="3">
        <v>49.55</v>
      </c>
      <c r="K1002" s="10">
        <f t="shared" si="49"/>
        <v>2.3824350429847774E-12</v>
      </c>
      <c r="L1002" s="3">
        <f t="shared" si="51"/>
        <v>4</v>
      </c>
      <c r="M1002" s="5">
        <f t="shared" si="50"/>
        <v>9.5297401719391097E-12</v>
      </c>
    </row>
    <row r="1003" spans="10:13">
      <c r="J1003" s="3">
        <v>49.6</v>
      </c>
      <c r="K1003" s="10">
        <f t="shared" si="49"/>
        <v>2.1563473339842541E-12</v>
      </c>
      <c r="L1003" s="3">
        <f t="shared" si="51"/>
        <v>2</v>
      </c>
      <c r="M1003" s="5">
        <f t="shared" si="50"/>
        <v>4.3126946679685081E-12</v>
      </c>
    </row>
    <row r="1004" spans="10:13">
      <c r="J1004" s="3">
        <v>49.65</v>
      </c>
      <c r="K1004" s="10">
        <f t="shared" si="49"/>
        <v>1.9510100459979918E-12</v>
      </c>
      <c r="L1004" s="3">
        <f t="shared" si="51"/>
        <v>4</v>
      </c>
      <c r="M1004" s="5">
        <f t="shared" si="50"/>
        <v>7.8040401839919671E-12</v>
      </c>
    </row>
    <row r="1005" spans="10:13">
      <c r="J1005" s="3">
        <v>49.7</v>
      </c>
      <c r="K1005" s="10">
        <f t="shared" si="49"/>
        <v>1.7645861595086722E-12</v>
      </c>
      <c r="L1005" s="3">
        <f t="shared" si="51"/>
        <v>2</v>
      </c>
      <c r="M1005" s="5">
        <f t="shared" si="50"/>
        <v>3.5291723190173445E-12</v>
      </c>
    </row>
    <row r="1006" spans="10:13">
      <c r="J1006" s="3">
        <v>49.75</v>
      </c>
      <c r="K1006" s="10">
        <f t="shared" si="49"/>
        <v>1.5953950291820895E-12</v>
      </c>
      <c r="L1006" s="3">
        <f t="shared" si="51"/>
        <v>4</v>
      </c>
      <c r="M1006" s="5">
        <f t="shared" si="50"/>
        <v>6.3815801167283579E-12</v>
      </c>
    </row>
    <row r="1007" spans="10:13">
      <c r="J1007" s="3">
        <v>49.8</v>
      </c>
      <c r="K1007" s="10">
        <f t="shared" si="49"/>
        <v>1.4418996334507762E-12</v>
      </c>
      <c r="L1007" s="3">
        <f t="shared" si="51"/>
        <v>2</v>
      </c>
      <c r="M1007" s="5">
        <f t="shared" si="50"/>
        <v>2.8837992669015523E-12</v>
      </c>
    </row>
    <row r="1008" spans="10:13">
      <c r="J1008" s="3">
        <v>49.85</v>
      </c>
      <c r="K1008" s="10">
        <f t="shared" si="49"/>
        <v>1.3026948152712216E-12</v>
      </c>
      <c r="L1008" s="3">
        <f t="shared" si="51"/>
        <v>4</v>
      </c>
      <c r="M1008" s="5">
        <f t="shared" si="50"/>
        <v>5.2107792610848863E-12</v>
      </c>
    </row>
    <row r="1009" spans="10:13">
      <c r="J1009" s="3">
        <v>49.9</v>
      </c>
      <c r="K1009" s="10">
        <f t="shared" si="49"/>
        <v>1.1764964410323406E-12</v>
      </c>
      <c r="L1009" s="3">
        <f t="shared" si="51"/>
        <v>2</v>
      </c>
      <c r="M1009" s="5">
        <f t="shared" si="50"/>
        <v>2.3529928820646811E-12</v>
      </c>
    </row>
    <row r="1010" spans="10:13">
      <c r="J1010" s="3">
        <v>49.95</v>
      </c>
      <c r="K1010" s="10">
        <f t="shared" si="49"/>
        <v>1.0621314096512995E-12</v>
      </c>
      <c r="L1010" s="3">
        <f t="shared" si="51"/>
        <v>4</v>
      </c>
      <c r="M1010" s="5">
        <f t="shared" si="50"/>
        <v>4.2485256386051979E-12</v>
      </c>
    </row>
    <row r="1011" spans="10:13">
      <c r="J1011" s="3">
        <v>50</v>
      </c>
      <c r="K1011" s="10">
        <f t="shared" si="49"/>
        <v>9.5852844862667083E-13</v>
      </c>
      <c r="L1011" s="3">
        <f t="shared" si="51"/>
        <v>2</v>
      </c>
      <c r="M1011" s="5">
        <f t="shared" si="50"/>
        <v>1.9170568972533417E-12</v>
      </c>
    </row>
    <row r="1012" spans="10:13">
      <c r="J1012" s="3">
        <v>50.05</v>
      </c>
      <c r="K1012" s="10">
        <f t="shared" si="49"/>
        <v>8.6470963824402559E-13</v>
      </c>
      <c r="L1012" s="3">
        <f t="shared" si="51"/>
        <v>4</v>
      </c>
      <c r="M1012" s="5">
        <f t="shared" si="50"/>
        <v>3.4588385529761023E-12</v>
      </c>
    </row>
    <row r="1013" spans="10:13">
      <c r="J1013" s="3">
        <v>50.1</v>
      </c>
      <c r="K1013" s="10">
        <f t="shared" si="49"/>
        <v>7.7978260926656404E-13</v>
      </c>
      <c r="L1013" s="3">
        <f t="shared" si="51"/>
        <v>2</v>
      </c>
      <c r="M1013" s="5">
        <f t="shared" si="50"/>
        <v>1.5595652185331281E-12</v>
      </c>
    </row>
    <row r="1014" spans="10:13">
      <c r="J1014" s="3">
        <v>50.15</v>
      </c>
      <c r="K1014" s="10">
        <f t="shared" si="49"/>
        <v>7.0293336331052273E-13</v>
      </c>
      <c r="L1014" s="3">
        <f t="shared" si="51"/>
        <v>4</v>
      </c>
      <c r="M1014" s="5">
        <f t="shared" si="50"/>
        <v>2.8117334532420909E-12</v>
      </c>
    </row>
    <row r="1015" spans="10:13">
      <c r="J1015" s="3">
        <v>50.2</v>
      </c>
      <c r="K1015" s="10">
        <f t="shared" si="49"/>
        <v>6.3341966871441826E-13</v>
      </c>
      <c r="L1015" s="3">
        <f t="shared" si="51"/>
        <v>2</v>
      </c>
      <c r="M1015" s="5">
        <f t="shared" si="50"/>
        <v>1.2668393374288365E-12</v>
      </c>
    </row>
    <row r="1016" spans="10:13">
      <c r="J1016" s="3">
        <v>50.25</v>
      </c>
      <c r="K1016" s="10">
        <f t="shared" si="49"/>
        <v>5.7056498808474328E-13</v>
      </c>
      <c r="L1016" s="3">
        <f t="shared" si="51"/>
        <v>4</v>
      </c>
      <c r="M1016" s="5">
        <f t="shared" si="50"/>
        <v>2.2822599523389731E-12</v>
      </c>
    </row>
    <row r="1017" spans="10:13">
      <c r="J1017" s="3">
        <v>50.3</v>
      </c>
      <c r="K1017" s="10">
        <f t="shared" si="49"/>
        <v>5.1375289684593858E-13</v>
      </c>
      <c r="L1017" s="3">
        <f t="shared" si="51"/>
        <v>2</v>
      </c>
      <c r="M1017" s="5">
        <f t="shared" si="50"/>
        <v>1.0275057936918772E-12</v>
      </c>
    </row>
    <row r="1018" spans="10:13">
      <c r="J1018" s="3">
        <v>50.35</v>
      </c>
      <c r="K1018" s="10">
        <f t="shared" si="49"/>
        <v>4.6242195505887969E-13</v>
      </c>
      <c r="L1018" s="3">
        <f t="shared" si="51"/>
        <v>4</v>
      </c>
      <c r="M1018" s="5">
        <f t="shared" si="50"/>
        <v>1.8496878202355188E-12</v>
      </c>
    </row>
    <row r="1019" spans="10:13">
      <c r="J1019" s="3">
        <v>50.4</v>
      </c>
      <c r="K1019" s="10">
        <f t="shared" si="49"/>
        <v>4.1606099750953706E-13</v>
      </c>
      <c r="L1019" s="3">
        <f t="shared" si="51"/>
        <v>2</v>
      </c>
      <c r="M1019" s="5">
        <f t="shared" si="50"/>
        <v>8.3212199501907412E-13</v>
      </c>
    </row>
    <row r="1020" spans="10:13">
      <c r="J1020" s="3">
        <v>50.45</v>
      </c>
      <c r="K1020" s="10">
        <f t="shared" si="49"/>
        <v>3.7420480962096906E-13</v>
      </c>
      <c r="L1020" s="3">
        <f t="shared" si="51"/>
        <v>4</v>
      </c>
      <c r="M1020" s="5">
        <f t="shared" si="50"/>
        <v>1.4968192384838762E-12</v>
      </c>
    </row>
    <row r="1021" spans="10:13">
      <c r="J1021" s="3">
        <v>50.5</v>
      </c>
      <c r="K1021" s="10">
        <f t="shared" si="49"/>
        <v>3.3643015912018112E-13</v>
      </c>
      <c r="L1021" s="3">
        <f t="shared" si="51"/>
        <v>2</v>
      </c>
      <c r="M1021" s="5">
        <f t="shared" si="50"/>
        <v>6.7286031824036224E-13</v>
      </c>
    </row>
    <row r="1022" spans="10:13">
      <c r="J1022" s="3">
        <v>50.55</v>
      </c>
      <c r="K1022" s="10">
        <f t="shared" si="49"/>
        <v>3.0235215560534292E-13</v>
      </c>
      <c r="L1022" s="3">
        <f t="shared" si="51"/>
        <v>4</v>
      </c>
      <c r="M1022" s="5">
        <f t="shared" si="50"/>
        <v>1.2094086224213717E-12</v>
      </c>
    </row>
    <row r="1023" spans="10:13">
      <c r="J1023" s="3">
        <v>50.6</v>
      </c>
      <c r="K1023" s="10">
        <f t="shared" si="49"/>
        <v>2.7162091222117811E-13</v>
      </c>
      <c r="L1023" s="3">
        <f t="shared" si="51"/>
        <v>2</v>
      </c>
      <c r="M1023" s="5">
        <f t="shared" si="50"/>
        <v>5.4324182444235623E-13</v>
      </c>
    </row>
    <row r="1024" spans="10:13">
      <c r="J1024" s="3">
        <v>50.65</v>
      </c>
      <c r="K1024" s="10">
        <f t="shared" si="49"/>
        <v>2.4391848556898237E-13</v>
      </c>
      <c r="L1024" s="3">
        <f t="shared" si="51"/>
        <v>4</v>
      </c>
      <c r="M1024" s="5">
        <f t="shared" si="50"/>
        <v>9.7567394227592949E-13</v>
      </c>
    </row>
    <row r="1025" spans="10:13">
      <c r="J1025" s="3">
        <v>50.7</v>
      </c>
      <c r="K1025" s="10">
        <f t="shared" si="49"/>
        <v>2.1895607176255351E-13</v>
      </c>
      <c r="L1025" s="3">
        <f t="shared" si="51"/>
        <v>2</v>
      </c>
      <c r="M1025" s="5">
        <f t="shared" si="50"/>
        <v>4.3791214352510701E-13</v>
      </c>
    </row>
    <row r="1026" spans="10:13">
      <c r="J1026" s="3">
        <v>50.75</v>
      </c>
      <c r="K1026" s="10">
        <f t="shared" si="49"/>
        <v>1.964714382014124E-13</v>
      </c>
      <c r="L1026" s="3">
        <f t="shared" si="51"/>
        <v>4</v>
      </c>
      <c r="M1026" s="5">
        <f t="shared" si="50"/>
        <v>7.8588575280564959E-13</v>
      </c>
    </row>
    <row r="1027" spans="10:13">
      <c r="J1027" s="3">
        <v>50.8</v>
      </c>
      <c r="K1027" s="10">
        <f t="shared" si="49"/>
        <v>1.7622657217503769E-13</v>
      </c>
      <c r="L1027" s="3">
        <f t="shared" si="51"/>
        <v>2</v>
      </c>
      <c r="M1027" s="5">
        <f t="shared" si="50"/>
        <v>3.5245314435007538E-13</v>
      </c>
    </row>
    <row r="1028" spans="10:13">
      <c r="J1028" s="3">
        <v>50.85</v>
      </c>
      <c r="K1028" s="10">
        <f t="shared" si="49"/>
        <v>1.5800552884541463E-13</v>
      </c>
      <c r="L1028" s="3">
        <f t="shared" si="51"/>
        <v>4</v>
      </c>
      <c r="M1028" s="5">
        <f t="shared" si="50"/>
        <v>6.3202211538165853E-13</v>
      </c>
    </row>
    <row r="1029" spans="10:13">
      <c r="J1029" s="3">
        <v>50.9</v>
      </c>
      <c r="K1029" s="10">
        <f t="shared" si="49"/>
        <v>1.4161246248618743E-13</v>
      </c>
      <c r="L1029" s="3">
        <f t="shared" si="51"/>
        <v>2</v>
      </c>
      <c r="M1029" s="5">
        <f t="shared" si="50"/>
        <v>2.8322492497237487E-13</v>
      </c>
    </row>
    <row r="1030" spans="10:13">
      <c r="J1030" s="3">
        <v>50.95</v>
      </c>
      <c r="K1030" s="10">
        <f t="shared" si="49"/>
        <v>1.268698260924013E-13</v>
      </c>
      <c r="L1030" s="3">
        <f t="shared" si="51"/>
        <v>4</v>
      </c>
      <c r="M1030" s="5">
        <f t="shared" si="50"/>
        <v>5.0747930436960519E-13</v>
      </c>
    </row>
    <row r="1031" spans="10:13">
      <c r="J1031" s="3">
        <v>51</v>
      </c>
      <c r="K1031" s="10">
        <f t="shared" si="49"/>
        <v>1.1361672562146055E-13</v>
      </c>
      <c r="L1031" s="3">
        <f t="shared" si="51"/>
        <v>2</v>
      </c>
      <c r="M1031" s="5">
        <f t="shared" si="50"/>
        <v>2.2723345124292109E-13</v>
      </c>
    </row>
    <row r="1032" spans="10:13">
      <c r="J1032" s="3">
        <v>51.05</v>
      </c>
      <c r="K1032" s="10">
        <f t="shared" si="49"/>
        <v>1.0170741618944482E-13</v>
      </c>
      <c r="L1032" s="3">
        <f t="shared" si="51"/>
        <v>4</v>
      </c>
      <c r="M1032" s="5">
        <f t="shared" si="50"/>
        <v>4.0682966475777928E-13</v>
      </c>
    </row>
    <row r="1033" spans="10:13">
      <c r="J1033" s="3">
        <v>51.1</v>
      </c>
      <c r="K1033" s="10">
        <f t="shared" si="49"/>
        <v>9.100992853288489E-14</v>
      </c>
      <c r="L1033" s="3">
        <f t="shared" si="51"/>
        <v>2</v>
      </c>
      <c r="M1033" s="5">
        <f t="shared" si="50"/>
        <v>1.8201985706576978E-13</v>
      </c>
    </row>
    <row r="1034" spans="10:13">
      <c r="J1034" s="3">
        <v>51.15</v>
      </c>
      <c r="K1034" s="10">
        <f t="shared" si="49"/>
        <v>8.1404814960062216E-14</v>
      </c>
      <c r="L1034" s="3">
        <f t="shared" si="51"/>
        <v>4</v>
      </c>
      <c r="M1034" s="5">
        <f t="shared" si="50"/>
        <v>3.2561925984024886E-13</v>
      </c>
    </row>
    <row r="1035" spans="10:13">
      <c r="J1035" s="3">
        <v>51.2</v>
      </c>
      <c r="K1035" s="10">
        <f t="shared" ref="K1035:K1098" si="52">(B$6^J1035)*(B$7^((B$5^70)*((B$5^J1035)-1)))</f>
        <v>7.2784004862159038E-14</v>
      </c>
      <c r="L1035" s="3">
        <f t="shared" si="51"/>
        <v>2</v>
      </c>
      <c r="M1035" s="5">
        <f t="shared" si="50"/>
        <v>1.4556800972431808E-13</v>
      </c>
    </row>
    <row r="1036" spans="10:13">
      <c r="J1036" s="3">
        <v>51.25</v>
      </c>
      <c r="K1036" s="10">
        <f t="shared" si="52"/>
        <v>6.5049760638595591E-14</v>
      </c>
      <c r="L1036" s="3">
        <f t="shared" si="51"/>
        <v>4</v>
      </c>
      <c r="M1036" s="5">
        <f t="shared" ref="M1036:M1099" si="53">K1036*L1036</f>
        <v>2.6019904255438236E-13</v>
      </c>
    </row>
    <row r="1037" spans="10:13">
      <c r="J1037" s="3">
        <v>51.3</v>
      </c>
      <c r="K1037" s="10">
        <f t="shared" si="52"/>
        <v>5.811372561626822E-14</v>
      </c>
      <c r="L1037" s="3">
        <f t="shared" si="51"/>
        <v>2</v>
      </c>
      <c r="M1037" s="5">
        <f t="shared" si="53"/>
        <v>1.1622745123253644E-13</v>
      </c>
    </row>
    <row r="1038" spans="10:13">
      <c r="J1038" s="3">
        <v>51.35</v>
      </c>
      <c r="K1038" s="10">
        <f t="shared" si="52"/>
        <v>5.1896056213583802E-14</v>
      </c>
      <c r="L1038" s="3">
        <f t="shared" ref="L1038:L1101" si="54">IF(L1037=4,2,4)</f>
        <v>4</v>
      </c>
      <c r="M1038" s="5">
        <f t="shared" si="53"/>
        <v>2.0758422485433521E-13</v>
      </c>
    </row>
    <row r="1039" spans="10:13">
      <c r="J1039" s="3">
        <v>51.4</v>
      </c>
      <c r="K1039" s="10">
        <f t="shared" si="52"/>
        <v>4.6324631220901732E-14</v>
      </c>
      <c r="L1039" s="3">
        <f t="shared" si="54"/>
        <v>2</v>
      </c>
      <c r="M1039" s="5">
        <f t="shared" si="53"/>
        <v>9.2649262441803464E-14</v>
      </c>
    </row>
    <row r="1040" spans="10:13">
      <c r="J1040" s="3">
        <v>51.45</v>
      </c>
      <c r="K1040" s="10">
        <f t="shared" si="52"/>
        <v>4.1334331642687973E-14</v>
      </c>
      <c r="L1040" s="3">
        <f t="shared" si="54"/>
        <v>4</v>
      </c>
      <c r="M1040" s="5">
        <f t="shared" si="53"/>
        <v>1.6533732657075189E-13</v>
      </c>
    </row>
    <row r="1041" spans="10:13">
      <c r="J1041" s="3">
        <v>51.5</v>
      </c>
      <c r="K1041" s="10">
        <f t="shared" si="52"/>
        <v>3.6866385076830489E-14</v>
      </c>
      <c r="L1041" s="3">
        <f t="shared" si="54"/>
        <v>2</v>
      </c>
      <c r="M1041" s="5">
        <f t="shared" si="53"/>
        <v>7.3732770153660977E-14</v>
      </c>
    </row>
    <row r="1042" spans="10:13">
      <c r="J1042" s="3">
        <v>51.55</v>
      </c>
      <c r="K1042" s="10">
        <f t="shared" si="52"/>
        <v>3.2867769096151568E-14</v>
      </c>
      <c r="L1042" s="3">
        <f t="shared" si="54"/>
        <v>4</v>
      </c>
      <c r="M1042" s="5">
        <f t="shared" si="53"/>
        <v>1.3147107638460627E-13</v>
      </c>
    </row>
    <row r="1043" spans="10:13">
      <c r="J1043" s="3">
        <v>51.6</v>
      </c>
      <c r="K1043" s="10">
        <f t="shared" si="52"/>
        <v>2.9290668549123887E-14</v>
      </c>
      <c r="L1043" s="3">
        <f t="shared" si="54"/>
        <v>2</v>
      </c>
      <c r="M1043" s="5">
        <f t="shared" si="53"/>
        <v>5.8581337098247773E-14</v>
      </c>
    </row>
    <row r="1044" spans="10:13">
      <c r="J1044" s="3">
        <v>51.65</v>
      </c>
      <c r="K1044" s="10">
        <f t="shared" si="52"/>
        <v>2.6091982113875153E-14</v>
      </c>
      <c r="L1044" s="3">
        <f t="shared" si="54"/>
        <v>4</v>
      </c>
      <c r="M1044" s="5">
        <f t="shared" si="53"/>
        <v>1.0436792845550061E-13</v>
      </c>
    </row>
    <row r="1045" spans="10:13">
      <c r="J1045" s="3">
        <v>51.7</v>
      </c>
      <c r="K1045" s="10">
        <f t="shared" si="52"/>
        <v>2.3232873824238356E-14</v>
      </c>
      <c r="L1045" s="3">
        <f t="shared" si="54"/>
        <v>2</v>
      </c>
      <c r="M1045" s="5">
        <f t="shared" si="53"/>
        <v>4.6465747648476713E-14</v>
      </c>
    </row>
    <row r="1046" spans="10:13">
      <c r="J1046" s="3">
        <v>51.75</v>
      </c>
      <c r="K1046" s="10">
        <f t="shared" si="52"/>
        <v>2.0678365641280461E-14</v>
      </c>
      <c r="L1046" s="3">
        <f t="shared" si="54"/>
        <v>4</v>
      </c>
      <c r="M1046" s="5">
        <f t="shared" si="53"/>
        <v>8.2713462565121843E-14</v>
      </c>
    </row>
    <row r="1047" spans="10:13">
      <c r="J1047" s="3">
        <v>51.8</v>
      </c>
      <c r="K1047" s="10">
        <f t="shared" si="52"/>
        <v>1.8396967470569606E-14</v>
      </c>
      <c r="L1047" s="3">
        <f t="shared" si="54"/>
        <v>2</v>
      </c>
      <c r="M1047" s="5">
        <f t="shared" si="53"/>
        <v>3.6793934941139212E-14</v>
      </c>
    </row>
    <row r="1048" spans="10:13">
      <c r="J1048" s="3">
        <v>51.85</v>
      </c>
      <c r="K1048" s="10">
        <f t="shared" si="52"/>
        <v>1.6360341326509104E-14</v>
      </c>
      <c r="L1048" s="3">
        <f t="shared" si="54"/>
        <v>4</v>
      </c>
      <c r="M1048" s="5">
        <f t="shared" si="53"/>
        <v>6.5441365306036414E-14</v>
      </c>
    </row>
    <row r="1049" spans="10:13">
      <c r="J1049" s="3">
        <v>51.9</v>
      </c>
      <c r="K1049" s="10">
        <f t="shared" si="52"/>
        <v>1.4542996622267688E-14</v>
      </c>
      <c r="L1049" s="3">
        <f t="shared" si="54"/>
        <v>2</v>
      </c>
      <c r="M1049" s="5">
        <f t="shared" si="53"/>
        <v>2.9085993244535377E-14</v>
      </c>
    </row>
    <row r="1050" spans="10:13">
      <c r="J1050" s="3">
        <v>51.95</v>
      </c>
      <c r="K1050" s="10">
        <f t="shared" si="52"/>
        <v>1.2922013818940505E-14</v>
      </c>
      <c r="L1050" s="3">
        <f t="shared" si="54"/>
        <v>4</v>
      </c>
      <c r="M1050" s="5">
        <f t="shared" si="53"/>
        <v>5.168805527576202E-14</v>
      </c>
    </row>
    <row r="1051" spans="10:13">
      <c r="J1051" s="3">
        <v>52</v>
      </c>
      <c r="K1051" s="10">
        <f t="shared" si="52"/>
        <v>1.1476793902266817E-14</v>
      </c>
      <c r="L1051" s="3">
        <f t="shared" si="54"/>
        <v>2</v>
      </c>
      <c r="M1051" s="5">
        <f t="shared" si="53"/>
        <v>2.2953587804533634E-14</v>
      </c>
    </row>
    <row r="1052" spans="10:13">
      <c r="J1052" s="3">
        <v>52.05</v>
      </c>
      <c r="K1052" s="10">
        <f t="shared" si="52"/>
        <v>1.0188831371016503E-14</v>
      </c>
      <c r="L1052" s="3">
        <f t="shared" si="54"/>
        <v>4</v>
      </c>
      <c r="M1052" s="5">
        <f t="shared" si="53"/>
        <v>4.0755325484066014E-14</v>
      </c>
    </row>
    <row r="1053" spans="10:13">
      <c r="J1053" s="3">
        <v>52.1</v>
      </c>
      <c r="K1053" s="10">
        <f t="shared" si="52"/>
        <v>9.0415086194817546E-15</v>
      </c>
      <c r="L1053" s="3">
        <f t="shared" si="54"/>
        <v>2</v>
      </c>
      <c r="M1053" s="5">
        <f t="shared" si="53"/>
        <v>1.8083017238963509E-14</v>
      </c>
    </row>
    <row r="1054" spans="10:13">
      <c r="J1054" s="3">
        <v>52.15</v>
      </c>
      <c r="K1054" s="10">
        <f t="shared" si="52"/>
        <v>8.0199097787324936E-15</v>
      </c>
      <c r="L1054" s="3">
        <f t="shared" si="54"/>
        <v>4</v>
      </c>
      <c r="M1054" s="5">
        <f t="shared" si="53"/>
        <v>3.2079639114929975E-14</v>
      </c>
    </row>
    <row r="1055" spans="10:13">
      <c r="J1055" s="3">
        <v>52.2</v>
      </c>
      <c r="K1055" s="10">
        <f t="shared" si="52"/>
        <v>7.1106522485779268E-15</v>
      </c>
      <c r="L1055" s="3">
        <f t="shared" si="54"/>
        <v>2</v>
      </c>
      <c r="M1055" s="5">
        <f t="shared" si="53"/>
        <v>1.4221304497155854E-14</v>
      </c>
    </row>
    <row r="1056" spans="10:13">
      <c r="J1056" s="3">
        <v>52.25</v>
      </c>
      <c r="K1056" s="10">
        <f t="shared" si="52"/>
        <v>6.301734305760917E-15</v>
      </c>
      <c r="L1056" s="3">
        <f t="shared" si="54"/>
        <v>4</v>
      </c>
      <c r="M1056" s="5">
        <f t="shared" si="53"/>
        <v>2.5206937223043668E-14</v>
      </c>
    </row>
    <row r="1057" spans="10:13">
      <c r="J1057" s="3">
        <v>52.3</v>
      </c>
      <c r="K1057" s="10">
        <f t="shared" si="52"/>
        <v>5.5823973147886869E-15</v>
      </c>
      <c r="L1057" s="3">
        <f t="shared" si="54"/>
        <v>2</v>
      </c>
      <c r="M1057" s="5">
        <f t="shared" si="53"/>
        <v>1.1164794629577374E-14</v>
      </c>
    </row>
    <row r="1058" spans="10:13">
      <c r="J1058" s="3">
        <v>52.35</v>
      </c>
      <c r="K1058" s="10">
        <f t="shared" si="52"/>
        <v>4.9430011969992739E-15</v>
      </c>
      <c r="L1058" s="3">
        <f t="shared" si="54"/>
        <v>4</v>
      </c>
      <c r="M1058" s="5">
        <f t="shared" si="53"/>
        <v>1.9772004787997096E-14</v>
      </c>
    </row>
    <row r="1059" spans="10:13">
      <c r="J1059" s="3">
        <v>52.4</v>
      </c>
      <c r="K1059" s="10">
        <f t="shared" si="52"/>
        <v>4.3749119318783555E-15</v>
      </c>
      <c r="L1059" s="3">
        <f t="shared" si="54"/>
        <v>2</v>
      </c>
      <c r="M1059" s="5">
        <f t="shared" si="53"/>
        <v>8.749823863756711E-15</v>
      </c>
    </row>
    <row r="1060" spans="10:13">
      <c r="J1060" s="3">
        <v>52.45</v>
      </c>
      <c r="K1060" s="10">
        <f t="shared" si="52"/>
        <v>3.8703999731369795E-15</v>
      </c>
      <c r="L1060" s="3">
        <f t="shared" si="54"/>
        <v>4</v>
      </c>
      <c r="M1060" s="5">
        <f t="shared" si="53"/>
        <v>1.5481599892547918E-14</v>
      </c>
    </row>
    <row r="1061" spans="10:13">
      <c r="J1061" s="3">
        <v>52.5</v>
      </c>
      <c r="K1061" s="10">
        <f t="shared" si="52"/>
        <v>3.4225485614093156E-15</v>
      </c>
      <c r="L1061" s="3">
        <f t="shared" si="54"/>
        <v>2</v>
      </c>
      <c r="M1061" s="5">
        <f t="shared" si="53"/>
        <v>6.8450971228186312E-15</v>
      </c>
    </row>
    <row r="1062" spans="10:13">
      <c r="J1062" s="3">
        <v>52.55</v>
      </c>
      <c r="K1062" s="10">
        <f t="shared" si="52"/>
        <v>3.0251710063710352E-15</v>
      </c>
      <c r="L1062" s="3">
        <f t="shared" si="54"/>
        <v>4</v>
      </c>
      <c r="M1062" s="5">
        <f t="shared" si="53"/>
        <v>1.2100684025484141E-14</v>
      </c>
    </row>
    <row r="1063" spans="10:13">
      <c r="J1063" s="3">
        <v>52.6</v>
      </c>
      <c r="K1063" s="10">
        <f t="shared" si="52"/>
        <v>2.6727360942798465E-15</v>
      </c>
      <c r="L1063" s="3">
        <f t="shared" si="54"/>
        <v>2</v>
      </c>
      <c r="M1063" s="5">
        <f t="shared" si="53"/>
        <v>5.3454721885596931E-15</v>
      </c>
    </row>
    <row r="1064" spans="10:13">
      <c r="J1064" s="3">
        <v>52.65</v>
      </c>
      <c r="K1064" s="10">
        <f t="shared" si="52"/>
        <v>2.360300853027344E-15</v>
      </c>
      <c r="L1064" s="3">
        <f t="shared" si="54"/>
        <v>4</v>
      </c>
      <c r="M1064" s="5">
        <f t="shared" si="53"/>
        <v>9.441203412109376E-15</v>
      </c>
    </row>
    <row r="1065" spans="10:13">
      <c r="J1065" s="3">
        <v>52.7</v>
      </c>
      <c r="K1065" s="10">
        <f t="shared" si="52"/>
        <v>2.0834499763380674E-15</v>
      </c>
      <c r="L1065" s="3">
        <f t="shared" si="54"/>
        <v>2</v>
      </c>
      <c r="M1065" s="5">
        <f t="shared" si="53"/>
        <v>4.1668999526761348E-15</v>
      </c>
    </row>
    <row r="1066" spans="10:13">
      <c r="J1066" s="3">
        <v>52.75</v>
      </c>
      <c r="K1066" s="10">
        <f t="shared" si="52"/>
        <v>1.8382412722940365E-15</v>
      </c>
      <c r="L1066" s="3">
        <f t="shared" si="54"/>
        <v>4</v>
      </c>
      <c r="M1066" s="5">
        <f t="shared" si="53"/>
        <v>7.3529650891761462E-15</v>
      </c>
    </row>
    <row r="1067" spans="10:13">
      <c r="J1067" s="3">
        <v>52.8</v>
      </c>
      <c r="K1067" s="10">
        <f t="shared" si="52"/>
        <v>1.6211565593882012E-15</v>
      </c>
      <c r="L1067" s="3">
        <f t="shared" si="54"/>
        <v>2</v>
      </c>
      <c r="M1067" s="5">
        <f t="shared" si="53"/>
        <v>3.2423131187764024E-15</v>
      </c>
    </row>
    <row r="1068" spans="10:13">
      <c r="J1068" s="3">
        <v>52.85</v>
      </c>
      <c r="K1068" s="10">
        <f t="shared" si="52"/>
        <v>1.429057486276165E-15</v>
      </c>
      <c r="L1068" s="3">
        <f t="shared" si="54"/>
        <v>4</v>
      </c>
      <c r="M1068" s="5">
        <f t="shared" si="53"/>
        <v>5.71622994510466E-15</v>
      </c>
    </row>
    <row r="1069" spans="10:13">
      <c r="J1069" s="3">
        <v>52.9</v>
      </c>
      <c r="K1069" s="10">
        <f t="shared" si="52"/>
        <v>1.2591457997169547E-15</v>
      </c>
      <c r="L1069" s="3">
        <f t="shared" si="54"/>
        <v>2</v>
      </c>
      <c r="M1069" s="5">
        <f t="shared" si="53"/>
        <v>2.5182915994339093E-15</v>
      </c>
    </row>
    <row r="1070" spans="10:13">
      <c r="J1070" s="3">
        <v>52.95</v>
      </c>
      <c r="K1070" s="10">
        <f t="shared" si="52"/>
        <v>1.1089276292602974E-15</v>
      </c>
      <c r="L1070" s="3">
        <f t="shared" si="54"/>
        <v>4</v>
      </c>
      <c r="M1070" s="5">
        <f t="shared" si="53"/>
        <v>4.4357105170411898E-15</v>
      </c>
    </row>
    <row r="1071" spans="10:13">
      <c r="J1071" s="3">
        <v>53</v>
      </c>
      <c r="K1071" s="10">
        <f t="shared" si="52"/>
        <v>9.7618139740324736E-16</v>
      </c>
      <c r="L1071" s="3">
        <f t="shared" si="54"/>
        <v>2</v>
      </c>
      <c r="M1071" s="5">
        <f t="shared" si="53"/>
        <v>1.9523627948064947E-15</v>
      </c>
    </row>
    <row r="1072" spans="10:13">
      <c r="J1072" s="3">
        <v>53.05</v>
      </c>
      <c r="K1072" s="10">
        <f t="shared" si="52"/>
        <v>8.5892900053133008E-16</v>
      </c>
      <c r="L1072" s="3">
        <f t="shared" si="54"/>
        <v>4</v>
      </c>
      <c r="M1072" s="5">
        <f t="shared" si="53"/>
        <v>3.4357160021253203E-15</v>
      </c>
    </row>
    <row r="1073" spans="10:13">
      <c r="J1073" s="3">
        <v>53.1</v>
      </c>
      <c r="K1073" s="10">
        <f t="shared" si="52"/>
        <v>7.5540993928113067E-16</v>
      </c>
      <c r="L1073" s="3">
        <f t="shared" si="54"/>
        <v>2</v>
      </c>
      <c r="M1073" s="5">
        <f t="shared" si="53"/>
        <v>1.5108198785622613E-15</v>
      </c>
    </row>
    <row r="1074" spans="10:13">
      <c r="J1074" s="3">
        <v>53.15</v>
      </c>
      <c r="K1074" s="10">
        <f t="shared" si="52"/>
        <v>6.6405810729164007E-16</v>
      </c>
      <c r="L1074" s="3">
        <f t="shared" si="54"/>
        <v>4</v>
      </c>
      <c r="M1074" s="5">
        <f t="shared" si="53"/>
        <v>2.6562324291665603E-15</v>
      </c>
    </row>
    <row r="1075" spans="10:13">
      <c r="J1075" s="3">
        <v>53.2</v>
      </c>
      <c r="K1075" s="10">
        <f t="shared" si="52"/>
        <v>5.8348097490074758E-16</v>
      </c>
      <c r="L1075" s="3">
        <f t="shared" si="54"/>
        <v>2</v>
      </c>
      <c r="M1075" s="5">
        <f t="shared" si="53"/>
        <v>1.1669619498014952E-15</v>
      </c>
    </row>
    <row r="1076" spans="10:13">
      <c r="J1076" s="3">
        <v>53.25</v>
      </c>
      <c r="K1076" s="10">
        <f t="shared" si="52"/>
        <v>5.1244092943457106E-16</v>
      </c>
      <c r="L1076" s="3">
        <f t="shared" si="54"/>
        <v>4</v>
      </c>
      <c r="M1076" s="5">
        <f t="shared" si="53"/>
        <v>2.0497637177382842E-15</v>
      </c>
    </row>
    <row r="1077" spans="10:13">
      <c r="J1077" s="3">
        <v>53.3</v>
      </c>
      <c r="K1077" s="10">
        <f t="shared" si="52"/>
        <v>4.4983855653892247E-16</v>
      </c>
      <c r="L1077" s="3">
        <f t="shared" si="54"/>
        <v>2</v>
      </c>
      <c r="M1077" s="5">
        <f t="shared" si="53"/>
        <v>8.9967711307784494E-16</v>
      </c>
    </row>
    <row r="1078" spans="10:13">
      <c r="J1078" s="3">
        <v>53.35</v>
      </c>
      <c r="K1078" s="10">
        <f t="shared" si="52"/>
        <v>3.9469766771679703E-16</v>
      </c>
      <c r="L1078" s="3">
        <f t="shared" si="54"/>
        <v>4</v>
      </c>
      <c r="M1078" s="5">
        <f t="shared" si="53"/>
        <v>1.5787906708671881E-15</v>
      </c>
    </row>
    <row r="1079" spans="10:13">
      <c r="J1079" s="3">
        <v>53.4</v>
      </c>
      <c r="K1079" s="10">
        <f t="shared" si="52"/>
        <v>3.4615189804439303E-16</v>
      </c>
      <c r="L1079" s="3">
        <f t="shared" si="54"/>
        <v>2</v>
      </c>
      <c r="M1079" s="5">
        <f t="shared" si="53"/>
        <v>6.9230379608878605E-16</v>
      </c>
    </row>
    <row r="1080" spans="10:13">
      <c r="J1080" s="3">
        <v>53.45</v>
      </c>
      <c r="K1080" s="10">
        <f t="shared" si="52"/>
        <v>3.0343271510742258E-16</v>
      </c>
      <c r="L1080" s="3">
        <f t="shared" si="54"/>
        <v>4</v>
      </c>
      <c r="M1080" s="5">
        <f t="shared" si="53"/>
        <v>1.2137308604296903E-15</v>
      </c>
    </row>
    <row r="1081" spans="10:13">
      <c r="J1081" s="3">
        <v>53.5</v>
      </c>
      <c r="K1081" s="10">
        <f t="shared" si="52"/>
        <v>2.658586956832762E-16</v>
      </c>
      <c r="L1081" s="3">
        <f t="shared" si="54"/>
        <v>2</v>
      </c>
      <c r="M1081" s="5">
        <f t="shared" si="53"/>
        <v>5.3171739136655239E-16</v>
      </c>
    </row>
    <row r="1082" spans="10:13">
      <c r="J1082" s="3">
        <v>53.55</v>
      </c>
      <c r="K1082" s="10">
        <f t="shared" si="52"/>
        <v>2.3282594073250835E-16</v>
      </c>
      <c r="L1082" s="3">
        <f t="shared" si="54"/>
        <v>4</v>
      </c>
      <c r="M1082" s="5">
        <f t="shared" si="53"/>
        <v>9.313037629300334E-16</v>
      </c>
    </row>
    <row r="1083" spans="10:13">
      <c r="J1083" s="3">
        <v>53.6</v>
      </c>
      <c r="K1083" s="10">
        <f t="shared" si="52"/>
        <v>2.0379951198509704E-16</v>
      </c>
      <c r="L1083" s="3">
        <f t="shared" si="54"/>
        <v>2</v>
      </c>
      <c r="M1083" s="5">
        <f t="shared" si="53"/>
        <v>4.0759902397019409E-16</v>
      </c>
    </row>
    <row r="1084" spans="10:13">
      <c r="J1084" s="3">
        <v>53.65</v>
      </c>
      <c r="K1084" s="10">
        <f t="shared" si="52"/>
        <v>1.783057849291014E-16</v>
      </c>
      <c r="L1084" s="3">
        <f t="shared" si="54"/>
        <v>4</v>
      </c>
      <c r="M1084" s="5">
        <f t="shared" si="53"/>
        <v>7.132231397164056E-16</v>
      </c>
    </row>
    <row r="1085" spans="10:13">
      <c r="J1085" s="3">
        <v>53.7</v>
      </c>
      <c r="K1085" s="10">
        <f t="shared" si="52"/>
        <v>1.5592562344116216E-16</v>
      </c>
      <c r="L1085" s="3">
        <f t="shared" si="54"/>
        <v>2</v>
      </c>
      <c r="M1085" s="5">
        <f t="shared" si="53"/>
        <v>3.1185124688232433E-16</v>
      </c>
    </row>
    <row r="1086" spans="10:13">
      <c r="J1086" s="3">
        <v>53.75</v>
      </c>
      <c r="K1086" s="10">
        <f t="shared" si="52"/>
        <v>1.3628829073724488E-16</v>
      </c>
      <c r="L1086" s="3">
        <f t="shared" si="54"/>
        <v>4</v>
      </c>
      <c r="M1086" s="5">
        <f t="shared" si="53"/>
        <v>5.4515316294897951E-16</v>
      </c>
    </row>
    <row r="1087" spans="10:13">
      <c r="J1087" s="3">
        <v>53.8</v>
      </c>
      <c r="K1087" s="10">
        <f t="shared" si="52"/>
        <v>1.1906601985867304E-16</v>
      </c>
      <c r="L1087" s="3">
        <f t="shared" si="54"/>
        <v>2</v>
      </c>
      <c r="M1087" s="5">
        <f t="shared" si="53"/>
        <v>2.3813203971734607E-16</v>
      </c>
    </row>
    <row r="1088" spans="10:13">
      <c r="J1088" s="3">
        <v>53.85</v>
      </c>
      <c r="K1088" s="10">
        <f t="shared" si="52"/>
        <v>1.0396917462554439E-16</v>
      </c>
      <c r="L1088" s="3">
        <f t="shared" si="54"/>
        <v>4</v>
      </c>
      <c r="M1088" s="5">
        <f t="shared" si="53"/>
        <v>4.1587669850217754E-16</v>
      </c>
    </row>
    <row r="1089" spans="10:13">
      <c r="J1089" s="3">
        <v>53.9</v>
      </c>
      <c r="K1089" s="10">
        <f t="shared" si="52"/>
        <v>9.0741938961560494E-17</v>
      </c>
      <c r="L1089" s="3">
        <f t="shared" si="54"/>
        <v>2</v>
      </c>
      <c r="M1089" s="5">
        <f t="shared" si="53"/>
        <v>1.8148387792312099E-16</v>
      </c>
    </row>
    <row r="1090" spans="10:13">
      <c r="J1090" s="3">
        <v>53.95</v>
      </c>
      <c r="K1090" s="10">
        <f t="shared" si="52"/>
        <v>7.9158478790592296E-17</v>
      </c>
      <c r="L1090" s="3">
        <f t="shared" si="54"/>
        <v>4</v>
      </c>
      <c r="M1090" s="5">
        <f t="shared" si="53"/>
        <v>3.1663391516236918E-16</v>
      </c>
    </row>
    <row r="1091" spans="10:13">
      <c r="J1091" s="3">
        <v>54</v>
      </c>
      <c r="K1091" s="10">
        <f t="shared" si="52"/>
        <v>6.9019526388173101E-17</v>
      </c>
      <c r="L1091" s="3">
        <f t="shared" si="54"/>
        <v>2</v>
      </c>
      <c r="M1091" s="5">
        <f t="shared" si="53"/>
        <v>1.380390527763462E-16</v>
      </c>
    </row>
    <row r="1092" spans="10:13">
      <c r="J1092" s="3">
        <v>54.05</v>
      </c>
      <c r="K1092" s="10">
        <f t="shared" si="52"/>
        <v>6.0149342197716694E-17</v>
      </c>
      <c r="L1092" s="3">
        <f t="shared" si="54"/>
        <v>4</v>
      </c>
      <c r="M1092" s="5">
        <f t="shared" si="53"/>
        <v>2.4059736879086678E-16</v>
      </c>
    </row>
    <row r="1093" spans="10:13">
      <c r="J1093" s="3">
        <v>54.1</v>
      </c>
      <c r="K1093" s="10">
        <f t="shared" si="52"/>
        <v>5.2393013743916248E-17</v>
      </c>
      <c r="L1093" s="3">
        <f t="shared" si="54"/>
        <v>2</v>
      </c>
      <c r="M1093" s="5">
        <f t="shared" si="53"/>
        <v>1.047860274878325E-16</v>
      </c>
    </row>
    <row r="1094" spans="10:13">
      <c r="J1094" s="3">
        <v>54.15</v>
      </c>
      <c r="K1094" s="10">
        <f t="shared" si="52"/>
        <v>4.5614055441741948E-17</v>
      </c>
      <c r="L1094" s="3">
        <f t="shared" si="54"/>
        <v>4</v>
      </c>
      <c r="M1094" s="5">
        <f t="shared" si="53"/>
        <v>1.8245622176696779E-16</v>
      </c>
    </row>
    <row r="1095" spans="10:13">
      <c r="J1095" s="3">
        <v>54.2</v>
      </c>
      <c r="K1095" s="10">
        <f t="shared" si="52"/>
        <v>3.9692276851817936E-17</v>
      </c>
      <c r="L1095" s="3">
        <f t="shared" si="54"/>
        <v>2</v>
      </c>
      <c r="M1095" s="5">
        <f t="shared" si="53"/>
        <v>7.9384553703635872E-17</v>
      </c>
    </row>
    <row r="1096" spans="10:13">
      <c r="J1096" s="3">
        <v>54.25</v>
      </c>
      <c r="K1096" s="10">
        <f t="shared" si="52"/>
        <v>3.4521890311408312E-17</v>
      </c>
      <c r="L1096" s="3">
        <f t="shared" si="54"/>
        <v>4</v>
      </c>
      <c r="M1096" s="5">
        <f t="shared" si="53"/>
        <v>1.3808756124563325E-16</v>
      </c>
    </row>
    <row r="1097" spans="10:13">
      <c r="J1097" s="3">
        <v>54.3</v>
      </c>
      <c r="K1097" s="10">
        <f t="shared" si="52"/>
        <v>3.0009831910016142E-17</v>
      </c>
      <c r="L1097" s="3">
        <f t="shared" si="54"/>
        <v>2</v>
      </c>
      <c r="M1097" s="5">
        <f t="shared" si="53"/>
        <v>6.0019663820032284E-17</v>
      </c>
    </row>
    <row r="1098" spans="10:13">
      <c r="J1098" s="3">
        <v>54.35</v>
      </c>
      <c r="K1098" s="10">
        <f t="shared" si="52"/>
        <v>2.6074272512628485E-17</v>
      </c>
      <c r="L1098" s="3">
        <f t="shared" si="54"/>
        <v>4</v>
      </c>
      <c r="M1098" s="5">
        <f t="shared" si="53"/>
        <v>1.0429709005051394E-16</v>
      </c>
    </row>
    <row r="1099" spans="10:13">
      <c r="J1099" s="3">
        <v>54.4</v>
      </c>
      <c r="K1099" s="10">
        <f t="shared" ref="K1099:K1162" si="55">(B$6^J1099)*(B$7^((B$5^70)*((B$5^J1099)-1)))</f>
        <v>2.264329799111312E-17</v>
      </c>
      <c r="L1099" s="3">
        <f t="shared" si="54"/>
        <v>2</v>
      </c>
      <c r="M1099" s="5">
        <f t="shared" si="53"/>
        <v>4.5286595982226239E-17</v>
      </c>
    </row>
    <row r="1100" spans="10:13">
      <c r="J1100" s="3">
        <v>54.45</v>
      </c>
      <c r="K1100" s="10">
        <f t="shared" si="55"/>
        <v>1.9653740032209608E-17</v>
      </c>
      <c r="L1100" s="3">
        <f t="shared" si="54"/>
        <v>4</v>
      </c>
      <c r="M1100" s="5">
        <f t="shared" ref="M1100:M1163" si="56">K1100*L1100</f>
        <v>7.8614960128838431E-17</v>
      </c>
    </row>
    <row r="1101" spans="10:13">
      <c r="J1101" s="3">
        <v>54.5</v>
      </c>
      <c r="K1101" s="10">
        <f t="shared" si="55"/>
        <v>1.7050140873154034E-17</v>
      </c>
      <c r="L1101" s="3">
        <f t="shared" si="54"/>
        <v>2</v>
      </c>
      <c r="M1101" s="5">
        <f t="shared" si="56"/>
        <v>3.4100281746308067E-17</v>
      </c>
    </row>
    <row r="1102" spans="10:13">
      <c r="J1102" s="3">
        <v>54.55</v>
      </c>
      <c r="K1102" s="10">
        <f t="shared" si="55"/>
        <v>1.4783837095315141E-17</v>
      </c>
      <c r="L1102" s="3">
        <f t="shared" ref="L1102:L1165" si="57">IF(L1101=4,2,4)</f>
        <v>4</v>
      </c>
      <c r="M1102" s="5">
        <f t="shared" si="56"/>
        <v>5.9135348381260563E-17</v>
      </c>
    </row>
    <row r="1103" spans="10:13">
      <c r="J1103" s="3">
        <v>54.6</v>
      </c>
      <c r="K1103" s="10">
        <f t="shared" si="55"/>
        <v>1.2812149202354944E-17</v>
      </c>
      <c r="L1103" s="3">
        <f t="shared" si="57"/>
        <v>2</v>
      </c>
      <c r="M1103" s="5">
        <f t="shared" si="56"/>
        <v>2.5624298404709887E-17</v>
      </c>
    </row>
    <row r="1104" spans="10:13">
      <c r="J1104" s="3">
        <v>54.65</v>
      </c>
      <c r="K1104" s="10">
        <f t="shared" si="55"/>
        <v>1.1097665140376147E-17</v>
      </c>
      <c r="L1104" s="3">
        <f t="shared" si="57"/>
        <v>4</v>
      </c>
      <c r="M1104" s="5">
        <f t="shared" si="56"/>
        <v>4.4390660561504589E-17</v>
      </c>
    </row>
    <row r="1105" spans="10:13">
      <c r="J1105" s="3">
        <v>54.7</v>
      </c>
      <c r="K1105" s="10">
        <f t="shared" si="55"/>
        <v>9.6076071997832621E-18</v>
      </c>
      <c r="L1105" s="3">
        <f t="shared" si="57"/>
        <v>2</v>
      </c>
      <c r="M1105" s="5">
        <f t="shared" si="56"/>
        <v>1.9215214399566524E-17</v>
      </c>
    </row>
    <row r="1106" spans="10:13">
      <c r="J1106" s="3">
        <v>54.75</v>
      </c>
      <c r="K1106" s="10">
        <f t="shared" si="55"/>
        <v>8.3132728869516405E-18</v>
      </c>
      <c r="L1106" s="3">
        <f t="shared" si="57"/>
        <v>4</v>
      </c>
      <c r="M1106" s="5">
        <f t="shared" si="56"/>
        <v>3.3253091547806562E-17</v>
      </c>
    </row>
    <row r="1107" spans="10:13">
      <c r="J1107" s="3">
        <v>54.8</v>
      </c>
      <c r="K1107" s="10">
        <f t="shared" si="55"/>
        <v>7.1895413817131475E-18</v>
      </c>
      <c r="L1107" s="3">
        <f t="shared" si="57"/>
        <v>2</v>
      </c>
      <c r="M1107" s="5">
        <f t="shared" si="56"/>
        <v>1.4379082763426295E-17</v>
      </c>
    </row>
    <row r="1108" spans="10:13">
      <c r="J1108" s="3">
        <v>54.85</v>
      </c>
      <c r="K1108" s="10">
        <f t="shared" si="55"/>
        <v>6.2144381162976207E-18</v>
      </c>
      <c r="L1108" s="3">
        <f t="shared" si="57"/>
        <v>4</v>
      </c>
      <c r="M1108" s="5">
        <f t="shared" si="56"/>
        <v>2.4857752465190483E-17</v>
      </c>
    </row>
    <row r="1109" spans="10:13">
      <c r="J1109" s="3">
        <v>54.9</v>
      </c>
      <c r="K1109" s="10">
        <f t="shared" si="55"/>
        <v>5.3687508336361649E-18</v>
      </c>
      <c r="L1109" s="3">
        <f t="shared" si="57"/>
        <v>2</v>
      </c>
      <c r="M1109" s="5">
        <f t="shared" si="56"/>
        <v>1.073750166727233E-17</v>
      </c>
    </row>
    <row r="1110" spans="10:13">
      <c r="J1110" s="3">
        <v>54.95</v>
      </c>
      <c r="K1110" s="10">
        <f t="shared" si="55"/>
        <v>4.6356912177881029E-18</v>
      </c>
      <c r="L1110" s="3">
        <f t="shared" si="57"/>
        <v>4</v>
      </c>
      <c r="M1110" s="5">
        <f t="shared" si="56"/>
        <v>1.8542764871152411E-17</v>
      </c>
    </row>
    <row r="1111" spans="10:13">
      <c r="J1111" s="3">
        <v>55</v>
      </c>
      <c r="K1111" s="10">
        <f t="shared" si="55"/>
        <v>4.0005968456222081E-18</v>
      </c>
      <c r="L1111" s="3">
        <f t="shared" si="57"/>
        <v>2</v>
      </c>
      <c r="M1111" s="5">
        <f t="shared" si="56"/>
        <v>8.0011936912444162E-18</v>
      </c>
    </row>
    <row r="1112" spans="10:13">
      <c r="J1112" s="3">
        <v>55.05</v>
      </c>
      <c r="K1112" s="10">
        <f t="shared" si="55"/>
        <v>3.4506687948157946E-18</v>
      </c>
      <c r="L1112" s="3">
        <f t="shared" si="57"/>
        <v>4</v>
      </c>
      <c r="M1112" s="5">
        <f t="shared" si="56"/>
        <v>1.3802675179263178E-17</v>
      </c>
    </row>
    <row r="1113" spans="10:13">
      <c r="J1113" s="3">
        <v>55.1</v>
      </c>
      <c r="K1113" s="10">
        <f t="shared" si="55"/>
        <v>2.9747407660320943E-18</v>
      </c>
      <c r="L1113" s="3">
        <f t="shared" si="57"/>
        <v>2</v>
      </c>
      <c r="M1113" s="5">
        <f t="shared" si="56"/>
        <v>5.9494815320641886E-18</v>
      </c>
    </row>
    <row r="1114" spans="10:13">
      <c r="J1114" s="3">
        <v>55.15</v>
      </c>
      <c r="K1114" s="10">
        <f t="shared" si="55"/>
        <v>2.5630760433317644E-18</v>
      </c>
      <c r="L1114" s="3">
        <f t="shared" si="57"/>
        <v>4</v>
      </c>
      <c r="M1114" s="5">
        <f t="shared" si="56"/>
        <v>1.0252304173327058E-17</v>
      </c>
    </row>
    <row r="1115" spans="10:13">
      <c r="J1115" s="3">
        <v>55.2</v>
      </c>
      <c r="K1115" s="10">
        <f t="shared" si="55"/>
        <v>2.2071890323590043E-18</v>
      </c>
      <c r="L1115" s="3">
        <f t="shared" si="57"/>
        <v>2</v>
      </c>
      <c r="M1115" s="5">
        <f t="shared" si="56"/>
        <v>4.4143780647180086E-18</v>
      </c>
    </row>
    <row r="1116" spans="10:13">
      <c r="J1116" s="3">
        <v>55.25</v>
      </c>
      <c r="K1116" s="10">
        <f t="shared" si="55"/>
        <v>1.8996884859613364E-18</v>
      </c>
      <c r="L1116" s="3">
        <f t="shared" si="57"/>
        <v>4</v>
      </c>
      <c r="M1116" s="5">
        <f t="shared" si="56"/>
        <v>7.5987539438453456E-18</v>
      </c>
    </row>
    <row r="1117" spans="10:13">
      <c r="J1117" s="3">
        <v>55.3</v>
      </c>
      <c r="K1117" s="10">
        <f t="shared" si="55"/>
        <v>1.6341398563860096E-18</v>
      </c>
      <c r="L1117" s="3">
        <f t="shared" si="57"/>
        <v>2</v>
      </c>
      <c r="M1117" s="5">
        <f t="shared" si="56"/>
        <v>3.2682797127720192E-18</v>
      </c>
    </row>
    <row r="1118" spans="10:13">
      <c r="J1118" s="3">
        <v>55.35</v>
      </c>
      <c r="K1118" s="10">
        <f t="shared" si="55"/>
        <v>1.4049445063810097E-18</v>
      </c>
      <c r="L1118" s="3">
        <f t="shared" si="57"/>
        <v>4</v>
      </c>
      <c r="M1118" s="5">
        <f t="shared" si="56"/>
        <v>5.619778025524039E-18</v>
      </c>
    </row>
    <row r="1119" spans="10:13">
      <c r="J1119" s="3">
        <v>55.4</v>
      </c>
      <c r="K1119" s="10">
        <f t="shared" si="55"/>
        <v>1.207233772242463E-18</v>
      </c>
      <c r="L1119" s="3">
        <f t="shared" si="57"/>
        <v>2</v>
      </c>
      <c r="M1119" s="5">
        <f t="shared" si="56"/>
        <v>2.4144675444849259E-18</v>
      </c>
    </row>
    <row r="1120" spans="10:13">
      <c r="J1120" s="3">
        <v>55.45</v>
      </c>
      <c r="K1120" s="10">
        <f t="shared" si="55"/>
        <v>1.0367761035755033E-18</v>
      </c>
      <c r="L1120" s="3">
        <f t="shared" si="57"/>
        <v>4</v>
      </c>
      <c r="M1120" s="5">
        <f t="shared" si="56"/>
        <v>4.1471044143020133E-18</v>
      </c>
    </row>
    <row r="1121" spans="10:13">
      <c r="J1121" s="3">
        <v>55.5</v>
      </c>
      <c r="K1121" s="10">
        <f t="shared" si="55"/>
        <v>8.8989571037654511E-19</v>
      </c>
      <c r="L1121" s="3">
        <f t="shared" si="57"/>
        <v>2</v>
      </c>
      <c r="M1121" s="5">
        <f t="shared" si="56"/>
        <v>1.7797914207530902E-18</v>
      </c>
    </row>
    <row r="1122" spans="10:13">
      <c r="J1122" s="3">
        <v>55.55</v>
      </c>
      <c r="K1122" s="10">
        <f t="shared" si="55"/>
        <v>7.634013307863583E-19</v>
      </c>
      <c r="L1122" s="3">
        <f t="shared" si="57"/>
        <v>4</v>
      </c>
      <c r="M1122" s="5">
        <f t="shared" si="56"/>
        <v>3.0536053231454332E-18</v>
      </c>
    </row>
    <row r="1123" spans="10:13">
      <c r="J1123" s="3">
        <v>55.6</v>
      </c>
      <c r="K1123" s="10">
        <f t="shared" si="55"/>
        <v>6.5452389501305119E-19</v>
      </c>
      <c r="L1123" s="3">
        <f t="shared" si="57"/>
        <v>2</v>
      </c>
      <c r="M1123" s="5">
        <f t="shared" si="56"/>
        <v>1.3090477900261024E-18</v>
      </c>
    </row>
    <row r="1124" spans="10:13">
      <c r="J1124" s="3">
        <v>55.65</v>
      </c>
      <c r="K1124" s="10">
        <f t="shared" si="55"/>
        <v>5.6086200471700312E-19</v>
      </c>
      <c r="L1124" s="3">
        <f t="shared" si="57"/>
        <v>4</v>
      </c>
      <c r="M1124" s="5">
        <f t="shared" si="56"/>
        <v>2.2434480188680125E-18</v>
      </c>
    </row>
    <row r="1125" spans="10:13">
      <c r="J1125" s="3">
        <v>55.7</v>
      </c>
      <c r="K1125" s="10">
        <f t="shared" si="55"/>
        <v>4.8033427459209777E-19</v>
      </c>
      <c r="L1125" s="3">
        <f t="shared" si="57"/>
        <v>2</v>
      </c>
      <c r="M1125" s="5">
        <f t="shared" si="56"/>
        <v>9.6066854918419553E-19</v>
      </c>
    </row>
    <row r="1126" spans="10:13">
      <c r="J1126" s="3">
        <v>55.75</v>
      </c>
      <c r="K1126" s="10">
        <f t="shared" si="55"/>
        <v>4.1113769576734131E-19</v>
      </c>
      <c r="L1126" s="3">
        <f t="shared" si="57"/>
        <v>4</v>
      </c>
      <c r="M1126" s="5">
        <f t="shared" si="56"/>
        <v>1.6445507830693653E-18</v>
      </c>
    </row>
    <row r="1127" spans="10:13">
      <c r="J1127" s="3">
        <v>55.8</v>
      </c>
      <c r="K1127" s="10">
        <f t="shared" si="55"/>
        <v>3.5171128059130563E-19</v>
      </c>
      <c r="L1127" s="3">
        <f t="shared" si="57"/>
        <v>2</v>
      </c>
      <c r="M1127" s="5">
        <f t="shared" si="56"/>
        <v>7.0342256118261125E-19</v>
      </c>
    </row>
    <row r="1128" spans="10:13">
      <c r="J1128" s="3">
        <v>55.85</v>
      </c>
      <c r="K1128" s="10">
        <f t="shared" si="55"/>
        <v>3.0070433678667805E-19</v>
      </c>
      <c r="L1128" s="3">
        <f t="shared" si="57"/>
        <v>4</v>
      </c>
      <c r="M1128" s="5">
        <f t="shared" si="56"/>
        <v>1.2028173471467122E-18</v>
      </c>
    </row>
    <row r="1129" spans="10:13">
      <c r="J1129" s="3">
        <v>55.9</v>
      </c>
      <c r="K1129" s="10">
        <f t="shared" si="55"/>
        <v>2.5694879715395438E-19</v>
      </c>
      <c r="L1129" s="3">
        <f t="shared" si="57"/>
        <v>2</v>
      </c>
      <c r="M1129" s="5">
        <f t="shared" si="56"/>
        <v>5.1389759430790877E-19</v>
      </c>
    </row>
    <row r="1130" spans="10:13">
      <c r="J1130" s="3">
        <v>55.95</v>
      </c>
      <c r="K1130" s="10">
        <f t="shared" si="55"/>
        <v>2.1943510010676311E-19</v>
      </c>
      <c r="L1130" s="3">
        <f t="shared" si="57"/>
        <v>4</v>
      </c>
      <c r="M1130" s="5">
        <f t="shared" si="56"/>
        <v>8.7774040042705243E-19</v>
      </c>
    </row>
    <row r="1131" spans="10:13">
      <c r="J1131" s="3">
        <v>56</v>
      </c>
      <c r="K1131" s="10">
        <f t="shared" si="55"/>
        <v>1.8729117735753715E-19</v>
      </c>
      <c r="L1131" s="3">
        <f t="shared" si="57"/>
        <v>2</v>
      </c>
      <c r="M1131" s="5">
        <f t="shared" si="56"/>
        <v>3.745823547150743E-19</v>
      </c>
    </row>
    <row r="1132" spans="10:13">
      <c r="J1132" s="3">
        <v>56.05</v>
      </c>
      <c r="K1132" s="10">
        <f t="shared" si="55"/>
        <v>1.5976415895185212E-19</v>
      </c>
      <c r="L1132" s="3">
        <f t="shared" si="57"/>
        <v>4</v>
      </c>
      <c r="M1132" s="5">
        <f t="shared" si="56"/>
        <v>6.3905663580740848E-19</v>
      </c>
    </row>
    <row r="1133" spans="10:13">
      <c r="J1133" s="3">
        <v>56.1</v>
      </c>
      <c r="K1133" s="10">
        <f t="shared" si="55"/>
        <v>1.3620445338390862E-19</v>
      </c>
      <c r="L1133" s="3">
        <f t="shared" si="57"/>
        <v>2</v>
      </c>
      <c r="M1133" s="5">
        <f t="shared" si="56"/>
        <v>2.7240890676781725E-19</v>
      </c>
    </row>
    <row r="1134" spans="10:13">
      <c r="J1134" s="3">
        <v>56.15</v>
      </c>
      <c r="K1134" s="10">
        <f t="shared" si="55"/>
        <v>1.1605190243802199E-19</v>
      </c>
      <c r="L1134" s="3">
        <f t="shared" si="57"/>
        <v>4</v>
      </c>
      <c r="M1134" s="5">
        <f t="shared" si="56"/>
        <v>4.6420760975208795E-19</v>
      </c>
    </row>
    <row r="1135" spans="10:13">
      <c r="J1135" s="3">
        <v>56.2</v>
      </c>
      <c r="K1135" s="10">
        <f t="shared" si="55"/>
        <v>9.882374733351404E-20</v>
      </c>
      <c r="L1135" s="3">
        <f t="shared" si="57"/>
        <v>2</v>
      </c>
      <c r="M1135" s="5">
        <f t="shared" si="56"/>
        <v>1.9764749466702808E-19</v>
      </c>
    </row>
    <row r="1136" spans="10:13">
      <c r="J1136" s="3">
        <v>56.25</v>
      </c>
      <c r="K1136" s="10">
        <f t="shared" si="55"/>
        <v>8.4104175277234761E-20</v>
      </c>
      <c r="L1136" s="3">
        <f t="shared" si="57"/>
        <v>4</v>
      </c>
      <c r="M1136" s="5">
        <f t="shared" si="56"/>
        <v>3.3641670110893904E-19</v>
      </c>
    </row>
    <row r="1137" spans="10:13">
      <c r="J1137" s="3">
        <v>56.3</v>
      </c>
      <c r="K1137" s="10">
        <f t="shared" si="55"/>
        <v>7.1535244156443963E-20</v>
      </c>
      <c r="L1137" s="3">
        <f t="shared" si="57"/>
        <v>2</v>
      </c>
      <c r="M1137" s="5">
        <f t="shared" si="56"/>
        <v>1.4307048831288793E-19</v>
      </c>
    </row>
    <row r="1138" spans="10:13">
      <c r="J1138" s="3">
        <v>56.35</v>
      </c>
      <c r="K1138" s="10">
        <f t="shared" si="55"/>
        <v>6.0809008288035014E-20</v>
      </c>
      <c r="L1138" s="3">
        <f t="shared" si="57"/>
        <v>4</v>
      </c>
      <c r="M1138" s="5">
        <f t="shared" si="56"/>
        <v>2.4323603315214006E-19</v>
      </c>
    </row>
    <row r="1139" spans="10:13">
      <c r="J1139" s="3">
        <v>56.4</v>
      </c>
      <c r="K1139" s="10">
        <f t="shared" si="55"/>
        <v>5.1660690279312668E-20</v>
      </c>
      <c r="L1139" s="3">
        <f t="shared" si="57"/>
        <v>2</v>
      </c>
      <c r="M1139" s="5">
        <f t="shared" si="56"/>
        <v>1.0332138055862534E-19</v>
      </c>
    </row>
    <row r="1140" spans="10:13">
      <c r="J1140" s="3">
        <v>56.45</v>
      </c>
      <c r="K1140" s="10">
        <f t="shared" si="55"/>
        <v>4.3862763507098128E-20</v>
      </c>
      <c r="L1140" s="3">
        <f t="shared" si="57"/>
        <v>4</v>
      </c>
      <c r="M1140" s="5">
        <f t="shared" si="56"/>
        <v>1.7545105402839251E-19</v>
      </c>
    </row>
    <row r="1141" spans="10:13">
      <c r="J1141" s="3">
        <v>56.5</v>
      </c>
      <c r="K1141" s="10">
        <f t="shared" si="55"/>
        <v>3.7219826801967883E-20</v>
      </c>
      <c r="L1141" s="3">
        <f t="shared" si="57"/>
        <v>2</v>
      </c>
      <c r="M1141" s="5">
        <f t="shared" si="56"/>
        <v>7.4439653603935766E-20</v>
      </c>
    </row>
    <row r="1142" spans="10:13">
      <c r="J1142" s="3">
        <v>56.55</v>
      </c>
      <c r="K1142" s="10">
        <f t="shared" si="55"/>
        <v>3.156416791305633E-20</v>
      </c>
      <c r="L1142" s="3">
        <f t="shared" si="57"/>
        <v>4</v>
      </c>
      <c r="M1142" s="5">
        <f t="shared" si="56"/>
        <v>1.2625667165222532E-19</v>
      </c>
    </row>
    <row r="1143" spans="10:13">
      <c r="J1143" s="3">
        <v>56.6</v>
      </c>
      <c r="K1143" s="10">
        <f t="shared" si="55"/>
        <v>2.6751925474277563E-20</v>
      </c>
      <c r="L1143" s="3">
        <f t="shared" si="57"/>
        <v>2</v>
      </c>
      <c r="M1143" s="5">
        <f t="shared" si="56"/>
        <v>5.3503850948555126E-20</v>
      </c>
    </row>
    <row r="1144" spans="10:13">
      <c r="J1144" s="3">
        <v>56.65</v>
      </c>
      <c r="K1144" s="10">
        <f t="shared" si="55"/>
        <v>2.2659770714669185E-20</v>
      </c>
      <c r="L1144" s="3">
        <f t="shared" si="57"/>
        <v>4</v>
      </c>
      <c r="M1144" s="5">
        <f t="shared" si="56"/>
        <v>9.0639082858676741E-20</v>
      </c>
    </row>
    <row r="1145" spans="10:13">
      <c r="J1145" s="3">
        <v>56.7</v>
      </c>
      <c r="K1145" s="10">
        <f t="shared" si="55"/>
        <v>1.9182040248403619E-20</v>
      </c>
      <c r="L1145" s="3">
        <f t="shared" si="57"/>
        <v>2</v>
      </c>
      <c r="M1145" s="5">
        <f t="shared" si="56"/>
        <v>3.8364080496807238E-20</v>
      </c>
    </row>
    <row r="1146" spans="10:13">
      <c r="J1146" s="3">
        <v>56.75</v>
      </c>
      <c r="K1146" s="10">
        <f t="shared" si="55"/>
        <v>1.6228260115552704E-20</v>
      </c>
      <c r="L1146" s="3">
        <f t="shared" si="57"/>
        <v>4</v>
      </c>
      <c r="M1146" s="5">
        <f t="shared" si="56"/>
        <v>6.4913040462210816E-20</v>
      </c>
    </row>
    <row r="1147" spans="10:13">
      <c r="J1147" s="3">
        <v>56.8</v>
      </c>
      <c r="K1147" s="10">
        <f t="shared" si="55"/>
        <v>1.3721008974946498E-20</v>
      </c>
      <c r="L1147" s="3">
        <f t="shared" si="57"/>
        <v>2</v>
      </c>
      <c r="M1147" s="5">
        <f t="shared" si="56"/>
        <v>2.7442017949892995E-20</v>
      </c>
    </row>
    <row r="1148" spans="10:13">
      <c r="J1148" s="3">
        <v>56.85</v>
      </c>
      <c r="K1148" s="10">
        <f t="shared" si="55"/>
        <v>1.1594075109525446E-20</v>
      </c>
      <c r="L1148" s="3">
        <f t="shared" si="57"/>
        <v>4</v>
      </c>
      <c r="M1148" s="5">
        <f t="shared" si="56"/>
        <v>4.6376300438101785E-20</v>
      </c>
    </row>
    <row r="1149" spans="10:13">
      <c r="J1149" s="3">
        <v>56.9</v>
      </c>
      <c r="K1149" s="10">
        <f t="shared" si="55"/>
        <v>9.790867810852028E-21</v>
      </c>
      <c r="L1149" s="3">
        <f t="shared" si="57"/>
        <v>2</v>
      </c>
      <c r="M1149" s="5">
        <f t="shared" si="56"/>
        <v>1.9581735621704056E-20</v>
      </c>
    </row>
    <row r="1150" spans="10:13">
      <c r="J1150" s="3">
        <v>56.95</v>
      </c>
      <c r="K1150" s="10">
        <f t="shared" si="55"/>
        <v>8.2630488673348275E-21</v>
      </c>
      <c r="L1150" s="3">
        <f t="shared" si="57"/>
        <v>4</v>
      </c>
      <c r="M1150" s="5">
        <f t="shared" si="56"/>
        <v>3.305219546933931E-20</v>
      </c>
    </row>
    <row r="1151" spans="10:13">
      <c r="J1151" s="3">
        <v>57</v>
      </c>
      <c r="K1151" s="10">
        <f t="shared" si="55"/>
        <v>6.9693543822738725E-21</v>
      </c>
      <c r="L1151" s="3">
        <f t="shared" si="57"/>
        <v>2</v>
      </c>
      <c r="M1151" s="5">
        <f t="shared" si="56"/>
        <v>1.3938708764547745E-20</v>
      </c>
    </row>
    <row r="1152" spans="10:13">
      <c r="J1152" s="3">
        <v>57.05</v>
      </c>
      <c r="K1152" s="10">
        <f t="shared" si="55"/>
        <v>5.8745810741460528E-21</v>
      </c>
      <c r="L1152" s="3">
        <f t="shared" si="57"/>
        <v>4</v>
      </c>
      <c r="M1152" s="5">
        <f t="shared" si="56"/>
        <v>2.3498324296584211E-20</v>
      </c>
    </row>
    <row r="1153" spans="10:13">
      <c r="J1153" s="3">
        <v>57.1</v>
      </c>
      <c r="K1153" s="10">
        <f t="shared" si="55"/>
        <v>4.9487146339764642E-21</v>
      </c>
      <c r="L1153" s="3">
        <f t="shared" si="57"/>
        <v>2</v>
      </c>
      <c r="M1153" s="5">
        <f t="shared" si="56"/>
        <v>9.8974292679529283E-21</v>
      </c>
    </row>
    <row r="1154" spans="10:13">
      <c r="J1154" s="3">
        <v>57.15</v>
      </c>
      <c r="K1154" s="10">
        <f t="shared" si="55"/>
        <v>4.1661806960262304E-21</v>
      </c>
      <c r="L1154" s="3">
        <f t="shared" si="57"/>
        <v>4</v>
      </c>
      <c r="M1154" s="5">
        <f t="shared" si="56"/>
        <v>1.6664722784104921E-20</v>
      </c>
    </row>
    <row r="1155" spans="10:13">
      <c r="J1155" s="3">
        <v>57.2</v>
      </c>
      <c r="K1155" s="10">
        <f t="shared" si="55"/>
        <v>3.5052015735197141E-21</v>
      </c>
      <c r="L1155" s="3">
        <f t="shared" si="57"/>
        <v>2</v>
      </c>
      <c r="M1155" s="5">
        <f t="shared" si="56"/>
        <v>7.0104031470394282E-21</v>
      </c>
    </row>
    <row r="1156" spans="10:13">
      <c r="J1156" s="3">
        <v>57.25</v>
      </c>
      <c r="K1156" s="10">
        <f t="shared" si="55"/>
        <v>2.9472441693344623E-21</v>
      </c>
      <c r="L1156" s="3">
        <f t="shared" si="57"/>
        <v>4</v>
      </c>
      <c r="M1156" s="5">
        <f t="shared" si="56"/>
        <v>1.1788976677337849E-20</v>
      </c>
    </row>
    <row r="1157" spans="10:13">
      <c r="J1157" s="3">
        <v>57.3</v>
      </c>
      <c r="K1157" s="10">
        <f t="shared" si="55"/>
        <v>2.4765464350151649E-21</v>
      </c>
      <c r="L1157" s="3">
        <f t="shared" si="57"/>
        <v>2</v>
      </c>
      <c r="M1157" s="5">
        <f t="shared" si="56"/>
        <v>4.9530928700303297E-21</v>
      </c>
    </row>
    <row r="1158" spans="10:13">
      <c r="J1158" s="3">
        <v>57.35</v>
      </c>
      <c r="K1158" s="10">
        <f t="shared" si="55"/>
        <v>2.0797114575827162E-21</v>
      </c>
      <c r="L1158" s="3">
        <f t="shared" si="57"/>
        <v>4</v>
      </c>
      <c r="M1158" s="5">
        <f t="shared" si="56"/>
        <v>8.318845830330865E-21</v>
      </c>
    </row>
    <row r="1159" spans="10:13">
      <c r="J1159" s="3">
        <v>57.4</v>
      </c>
      <c r="K1159" s="10">
        <f t="shared" si="55"/>
        <v>1.7453597351585605E-21</v>
      </c>
      <c r="L1159" s="3">
        <f t="shared" si="57"/>
        <v>2</v>
      </c>
      <c r="M1159" s="5">
        <f t="shared" si="56"/>
        <v>3.4907194703171211E-21</v>
      </c>
    </row>
    <row r="1160" spans="10:13">
      <c r="J1160" s="3">
        <v>57.45</v>
      </c>
      <c r="K1160" s="10">
        <f t="shared" si="55"/>
        <v>1.463831488155496E-21</v>
      </c>
      <c r="L1160" s="3">
        <f t="shared" si="57"/>
        <v>4</v>
      </c>
      <c r="M1160" s="5">
        <f t="shared" si="56"/>
        <v>5.8553259526219839E-21</v>
      </c>
    </row>
    <row r="1161" spans="10:13">
      <c r="J1161" s="3">
        <v>57.5</v>
      </c>
      <c r="K1161" s="10">
        <f t="shared" si="55"/>
        <v>1.2269319678667518E-21</v>
      </c>
      <c r="L1161" s="3">
        <f t="shared" si="57"/>
        <v>2</v>
      </c>
      <c r="M1161" s="5">
        <f t="shared" si="56"/>
        <v>2.4538639357335035E-21</v>
      </c>
    </row>
    <row r="1162" spans="10:13">
      <c r="J1162" s="3">
        <v>57.55</v>
      </c>
      <c r="K1162" s="10">
        <f t="shared" si="55"/>
        <v>1.0277136907397728E-21</v>
      </c>
      <c r="L1162" s="3">
        <f t="shared" si="57"/>
        <v>4</v>
      </c>
      <c r="M1162" s="5">
        <f t="shared" si="56"/>
        <v>4.110854762959091E-21</v>
      </c>
    </row>
    <row r="1163" spans="10:13">
      <c r="J1163" s="3">
        <v>57.6</v>
      </c>
      <c r="K1163" s="10">
        <f t="shared" ref="K1163:K1211" si="58">(B$6^J1163)*(B$7^((B$5^70)*((B$5^J1163)-1)))</f>
        <v>8.6029036373344284E-22</v>
      </c>
      <c r="L1163" s="3">
        <f t="shared" si="57"/>
        <v>2</v>
      </c>
      <c r="M1163" s="5">
        <f t="shared" si="56"/>
        <v>1.7205807274668857E-21</v>
      </c>
    </row>
    <row r="1164" spans="10:13">
      <c r="J1164" s="3">
        <v>57.65</v>
      </c>
      <c r="K1164" s="10">
        <f t="shared" si="58"/>
        <v>7.1967799075029671E-22</v>
      </c>
      <c r="L1164" s="3">
        <f t="shared" si="57"/>
        <v>4</v>
      </c>
      <c r="M1164" s="5">
        <f t="shared" ref="M1164:M1211" si="59">K1164*L1164</f>
        <v>2.8787119630011869E-21</v>
      </c>
    </row>
    <row r="1165" spans="10:13">
      <c r="J1165" s="3">
        <v>57.7</v>
      </c>
      <c r="K1165" s="10">
        <f t="shared" si="58"/>
        <v>6.0165927694487108E-22</v>
      </c>
      <c r="L1165" s="3">
        <f t="shared" si="57"/>
        <v>2</v>
      </c>
      <c r="M1165" s="5">
        <f t="shared" si="59"/>
        <v>1.2033185538897422E-21</v>
      </c>
    </row>
    <row r="1166" spans="10:13">
      <c r="J1166" s="3">
        <v>57.75</v>
      </c>
      <c r="K1166" s="10">
        <f t="shared" si="58"/>
        <v>5.0266798956619753E-22</v>
      </c>
      <c r="L1166" s="3">
        <f t="shared" ref="L1166:L1210" si="60">IF(L1165=4,2,4)</f>
        <v>4</v>
      </c>
      <c r="M1166" s="5">
        <f t="shared" si="59"/>
        <v>2.0106719582647901E-21</v>
      </c>
    </row>
    <row r="1167" spans="10:13">
      <c r="J1167" s="3">
        <v>57.8</v>
      </c>
      <c r="K1167" s="10">
        <f t="shared" si="58"/>
        <v>4.196904021102337E-22</v>
      </c>
      <c r="L1167" s="3">
        <f t="shared" si="60"/>
        <v>2</v>
      </c>
      <c r="M1167" s="5">
        <f t="shared" si="59"/>
        <v>8.3938080422046741E-22</v>
      </c>
    </row>
    <row r="1168" spans="10:13">
      <c r="J1168" s="3">
        <v>57.85</v>
      </c>
      <c r="K1168" s="10">
        <f t="shared" si="58"/>
        <v>3.5018135270553405E-22</v>
      </c>
      <c r="L1168" s="3">
        <f t="shared" si="60"/>
        <v>4</v>
      </c>
      <c r="M1168" s="5">
        <f t="shared" si="59"/>
        <v>1.4007254108221362E-21</v>
      </c>
    </row>
    <row r="1169" spans="10:13">
      <c r="J1169" s="3">
        <v>57.9</v>
      </c>
      <c r="K1169" s="10">
        <f t="shared" si="58"/>
        <v>2.9199279634507879E-22</v>
      </c>
      <c r="L1169" s="3">
        <f t="shared" si="60"/>
        <v>2</v>
      </c>
      <c r="M1169" s="5">
        <f t="shared" si="59"/>
        <v>5.8398559269015758E-22</v>
      </c>
    </row>
    <row r="1170" spans="10:13">
      <c r="J1170" s="3">
        <v>57.95</v>
      </c>
      <c r="K1170" s="10">
        <f t="shared" si="58"/>
        <v>2.4331303122048194E-22</v>
      </c>
      <c r="L1170" s="3">
        <f t="shared" si="60"/>
        <v>4</v>
      </c>
      <c r="M1170" s="5">
        <f t="shared" si="59"/>
        <v>9.7325212488192777E-22</v>
      </c>
    </row>
    <row r="1171" spans="10:13">
      <c r="J1171" s="3">
        <v>58</v>
      </c>
      <c r="K1171" s="10">
        <f t="shared" si="58"/>
        <v>2.0261503846136011E-22</v>
      </c>
      <c r="L1171" s="3">
        <f t="shared" si="60"/>
        <v>2</v>
      </c>
      <c r="M1171" s="5">
        <f t="shared" si="59"/>
        <v>4.0523007692272022E-22</v>
      </c>
    </row>
    <row r="1172" spans="10:13">
      <c r="J1172" s="3">
        <v>58.05</v>
      </c>
      <c r="K1172" s="10">
        <f t="shared" si="58"/>
        <v>1.6861259763773874E-22</v>
      </c>
      <c r="L1172" s="3">
        <f t="shared" si="60"/>
        <v>4</v>
      </c>
      <c r="M1172" s="5">
        <f t="shared" si="59"/>
        <v>6.7445039055095496E-22</v>
      </c>
    </row>
    <row r="1173" spans="10:13">
      <c r="J1173" s="3">
        <v>58.1</v>
      </c>
      <c r="K1173" s="10">
        <f t="shared" si="58"/>
        <v>1.4022303232250609E-22</v>
      </c>
      <c r="L1173" s="3">
        <f t="shared" si="60"/>
        <v>2</v>
      </c>
      <c r="M1173" s="5">
        <f t="shared" si="59"/>
        <v>2.8044606464501218E-22</v>
      </c>
    </row>
    <row r="1174" spans="10:13">
      <c r="J1174" s="3">
        <v>58.15</v>
      </c>
      <c r="K1174" s="10">
        <f t="shared" si="58"/>
        <v>1.1653560506121639E-22</v>
      </c>
      <c r="L1174" s="3">
        <f t="shared" si="60"/>
        <v>4</v>
      </c>
      <c r="M1174" s="5">
        <f t="shared" si="59"/>
        <v>4.6614242024486555E-22</v>
      </c>
    </row>
    <row r="1175" spans="10:13">
      <c r="J1175" s="3">
        <v>58.2</v>
      </c>
      <c r="K1175" s="10">
        <f t="shared" si="58"/>
        <v>9.6784722931590472E-23</v>
      </c>
      <c r="L1175" s="3">
        <f t="shared" si="60"/>
        <v>2</v>
      </c>
      <c r="M1175" s="5">
        <f t="shared" si="59"/>
        <v>1.9356944586318094E-22</v>
      </c>
    </row>
    <row r="1176" spans="10:13">
      <c r="J1176" s="3">
        <v>58.25</v>
      </c>
      <c r="K1176" s="10">
        <f t="shared" si="58"/>
        <v>8.0327236677857418E-23</v>
      </c>
      <c r="L1176" s="3">
        <f t="shared" si="60"/>
        <v>4</v>
      </c>
      <c r="M1176" s="5">
        <f t="shared" si="59"/>
        <v>3.2130894671142967E-22</v>
      </c>
    </row>
    <row r="1177" spans="10:13">
      <c r="J1177" s="3">
        <v>58.3</v>
      </c>
      <c r="K1177" s="10">
        <f t="shared" si="58"/>
        <v>6.6623220933552405E-23</v>
      </c>
      <c r="L1177" s="3">
        <f t="shared" si="60"/>
        <v>2</v>
      </c>
      <c r="M1177" s="5">
        <f t="shared" si="59"/>
        <v>1.3324644186710481E-22</v>
      </c>
    </row>
    <row r="1178" spans="10:13">
      <c r="J1178" s="3">
        <v>58.35</v>
      </c>
      <c r="K1178" s="10">
        <f t="shared" si="58"/>
        <v>5.5219712690287697E-23</v>
      </c>
      <c r="L1178" s="3">
        <f t="shared" si="60"/>
        <v>4</v>
      </c>
      <c r="M1178" s="5">
        <f t="shared" si="59"/>
        <v>2.2087885076115079E-22</v>
      </c>
    </row>
    <row r="1179" spans="10:13">
      <c r="J1179" s="3">
        <v>58.4</v>
      </c>
      <c r="K1179" s="10">
        <f t="shared" si="58"/>
        <v>4.5736961996297088E-23</v>
      </c>
      <c r="L1179" s="3">
        <f t="shared" si="60"/>
        <v>2</v>
      </c>
      <c r="M1179" s="5">
        <f t="shared" si="59"/>
        <v>9.1473923992594177E-23</v>
      </c>
    </row>
    <row r="1180" spans="10:13">
      <c r="J1180" s="3">
        <v>58.45</v>
      </c>
      <c r="K1180" s="10">
        <f t="shared" si="58"/>
        <v>3.7856814664925785E-23</v>
      </c>
      <c r="L1180" s="3">
        <f t="shared" si="60"/>
        <v>4</v>
      </c>
      <c r="M1180" s="5">
        <f t="shared" si="59"/>
        <v>1.5142725865970314E-22</v>
      </c>
    </row>
    <row r="1181" spans="10:13">
      <c r="J1181" s="3">
        <v>58.5</v>
      </c>
      <c r="K1181" s="10">
        <f t="shared" si="58"/>
        <v>3.1312903084843941E-23</v>
      </c>
      <c r="L1181" s="3">
        <f t="shared" si="60"/>
        <v>2</v>
      </c>
      <c r="M1181" s="5">
        <f t="shared" si="59"/>
        <v>6.2625806169687883E-23</v>
      </c>
    </row>
    <row r="1182" spans="10:13">
      <c r="J1182" s="3">
        <v>58.55</v>
      </c>
      <c r="K1182" s="10">
        <f t="shared" si="58"/>
        <v>2.5882369384464056E-23</v>
      </c>
      <c r="L1182" s="3">
        <f t="shared" si="60"/>
        <v>4</v>
      </c>
      <c r="M1182" s="5">
        <f t="shared" si="59"/>
        <v>1.0352947753785622E-22</v>
      </c>
    </row>
    <row r="1183" spans="10:13">
      <c r="J1183" s="3">
        <v>58.6</v>
      </c>
      <c r="K1183" s="10">
        <f t="shared" si="58"/>
        <v>2.1378886364612503E-23</v>
      </c>
      <c r="L1183" s="3">
        <f t="shared" si="60"/>
        <v>2</v>
      </c>
      <c r="M1183" s="5">
        <f t="shared" si="59"/>
        <v>4.2757772729225006E-23</v>
      </c>
    </row>
    <row r="1184" spans="10:13">
      <c r="J1184" s="3">
        <v>58.65</v>
      </c>
      <c r="K1184" s="10">
        <f t="shared" si="58"/>
        <v>1.7646776768316527E-23</v>
      </c>
      <c r="L1184" s="3">
        <f t="shared" si="60"/>
        <v>4</v>
      </c>
      <c r="M1184" s="5">
        <f t="shared" si="59"/>
        <v>7.0587107073266107E-23</v>
      </c>
    </row>
    <row r="1185" spans="10:13">
      <c r="J1185" s="3">
        <v>58.7</v>
      </c>
      <c r="K1185" s="10">
        <f t="shared" si="58"/>
        <v>1.4556061460758322E-23</v>
      </c>
      <c r="L1185" s="3">
        <f t="shared" si="60"/>
        <v>2</v>
      </c>
      <c r="M1185" s="5">
        <f t="shared" si="59"/>
        <v>2.9112122921516645E-23</v>
      </c>
    </row>
    <row r="1186" spans="10:13">
      <c r="J1186" s="3">
        <v>58.75</v>
      </c>
      <c r="K1186" s="10">
        <f t="shared" si="58"/>
        <v>1.1998292682507385E-23</v>
      </c>
      <c r="L1186" s="3">
        <f t="shared" si="60"/>
        <v>4</v>
      </c>
      <c r="M1186" s="5">
        <f t="shared" si="59"/>
        <v>4.799317073002954E-23</v>
      </c>
    </row>
    <row r="1187" spans="10:13">
      <c r="J1187" s="3">
        <v>58.8</v>
      </c>
      <c r="K1187" s="10">
        <f t="shared" si="58"/>
        <v>9.8830503493395873E-24</v>
      </c>
      <c r="L1187" s="3">
        <f t="shared" si="60"/>
        <v>2</v>
      </c>
      <c r="M1187" s="5">
        <f t="shared" si="59"/>
        <v>1.9766100698679175E-23</v>
      </c>
    </row>
    <row r="1188" spans="10:13">
      <c r="J1188" s="3">
        <v>58.85</v>
      </c>
      <c r="K1188" s="10">
        <f t="shared" si="58"/>
        <v>8.1349979475078735E-24</v>
      </c>
      <c r="L1188" s="3">
        <f t="shared" si="60"/>
        <v>4</v>
      </c>
      <c r="M1188" s="5">
        <f t="shared" si="59"/>
        <v>3.2539991790031494E-23</v>
      </c>
    </row>
    <row r="1189" spans="10:13">
      <c r="J1189" s="3">
        <v>58.9</v>
      </c>
      <c r="K1189" s="10">
        <f t="shared" si="58"/>
        <v>6.691410382854868E-24</v>
      </c>
      <c r="L1189" s="3">
        <f t="shared" si="60"/>
        <v>2</v>
      </c>
      <c r="M1189" s="5">
        <f t="shared" si="59"/>
        <v>1.3382820765709736E-23</v>
      </c>
    </row>
    <row r="1190" spans="10:13">
      <c r="J1190" s="3">
        <v>58.95</v>
      </c>
      <c r="K1190" s="10">
        <f t="shared" si="58"/>
        <v>5.5000995879601031E-24</v>
      </c>
      <c r="L1190" s="3">
        <f t="shared" si="60"/>
        <v>4</v>
      </c>
      <c r="M1190" s="5">
        <f t="shared" si="59"/>
        <v>2.2000398351840412E-23</v>
      </c>
    </row>
    <row r="1191" spans="10:13">
      <c r="J1191" s="3">
        <v>59</v>
      </c>
      <c r="K1191" s="10">
        <f t="shared" si="58"/>
        <v>4.5176751190049515E-24</v>
      </c>
      <c r="L1191" s="3">
        <f t="shared" si="60"/>
        <v>2</v>
      </c>
      <c r="M1191" s="5">
        <f t="shared" si="59"/>
        <v>9.035350238009903E-24</v>
      </c>
    </row>
    <row r="1192" spans="10:13">
      <c r="J1192" s="3">
        <v>59.05</v>
      </c>
      <c r="K1192" s="10">
        <f t="shared" si="58"/>
        <v>3.7080866791162574E-24</v>
      </c>
      <c r="L1192" s="3">
        <f t="shared" si="60"/>
        <v>4</v>
      </c>
      <c r="M1192" s="5">
        <f t="shared" si="59"/>
        <v>1.483234671646503E-23</v>
      </c>
    </row>
    <row r="1193" spans="10:13">
      <c r="J1193" s="3">
        <v>59.1</v>
      </c>
      <c r="K1193" s="10">
        <f t="shared" si="58"/>
        <v>3.0414037414847569E-24</v>
      </c>
      <c r="L1193" s="3">
        <f t="shared" si="60"/>
        <v>2</v>
      </c>
      <c r="M1193" s="5">
        <f t="shared" si="59"/>
        <v>6.0828074829695138E-24</v>
      </c>
    </row>
    <row r="1194" spans="10:13">
      <c r="J1194" s="3">
        <v>59.15</v>
      </c>
      <c r="K1194" s="10">
        <f t="shared" si="58"/>
        <v>2.4927944306480613E-24</v>
      </c>
      <c r="L1194" s="3">
        <f t="shared" si="60"/>
        <v>4</v>
      </c>
      <c r="M1194" s="5">
        <f t="shared" si="59"/>
        <v>9.9711777225922454E-24</v>
      </c>
    </row>
    <row r="1195" spans="10:13">
      <c r="J1195" s="3">
        <v>59.2</v>
      </c>
      <c r="K1195" s="10">
        <f t="shared" si="58"/>
        <v>2.0416717399081377E-24</v>
      </c>
      <c r="L1195" s="3">
        <f t="shared" si="60"/>
        <v>2</v>
      </c>
      <c r="M1195" s="5">
        <f t="shared" si="59"/>
        <v>4.0833434798162754E-24</v>
      </c>
    </row>
    <row r="1196" spans="10:13">
      <c r="J1196" s="3">
        <v>59.25</v>
      </c>
      <c r="K1196" s="10">
        <f t="shared" si="58"/>
        <v>1.6709801758317061E-24</v>
      </c>
      <c r="L1196" s="3">
        <f t="shared" si="60"/>
        <v>4</v>
      </c>
      <c r="M1196" s="5">
        <f t="shared" si="59"/>
        <v>6.6839207033268243E-24</v>
      </c>
    </row>
    <row r="1197" spans="10:13">
      <c r="J1197" s="3">
        <v>59.3</v>
      </c>
      <c r="K1197" s="10">
        <f t="shared" si="58"/>
        <v>1.3666001629146273E-24</v>
      </c>
      <c r="L1197" s="3">
        <f t="shared" si="60"/>
        <v>2</v>
      </c>
      <c r="M1197" s="5">
        <f t="shared" si="59"/>
        <v>2.7332003258292547E-24</v>
      </c>
    </row>
    <row r="1198" spans="10:13">
      <c r="J1198" s="3">
        <v>59.35</v>
      </c>
      <c r="K1198" s="10">
        <f t="shared" si="58"/>
        <v>1.1168511287181308E-24</v>
      </c>
      <c r="L1198" s="3">
        <f t="shared" si="60"/>
        <v>4</v>
      </c>
      <c r="M1198" s="5">
        <f t="shared" si="59"/>
        <v>4.4674045148725231E-24</v>
      </c>
    </row>
    <row r="1199" spans="10:13">
      <c r="J1199" s="3">
        <v>59.4</v>
      </c>
      <c r="K1199" s="10">
        <f t="shared" si="58"/>
        <v>9.1207722099295987E-25</v>
      </c>
      <c r="L1199" s="3">
        <f t="shared" si="60"/>
        <v>2</v>
      </c>
      <c r="M1199" s="5">
        <f t="shared" si="59"/>
        <v>1.8241544419859197E-24</v>
      </c>
    </row>
    <row r="1200" spans="10:13">
      <c r="J1200" s="3">
        <v>59.45</v>
      </c>
      <c r="K1200" s="10">
        <f t="shared" si="58"/>
        <v>7.443021677995059E-25</v>
      </c>
      <c r="L1200" s="3">
        <f t="shared" si="60"/>
        <v>4</v>
      </c>
      <c r="M1200" s="5">
        <f t="shared" si="59"/>
        <v>2.9772086711980236E-24</v>
      </c>
    </row>
    <row r="1201" spans="10:13">
      <c r="J1201" s="3">
        <v>59.5</v>
      </c>
      <c r="K1201" s="10">
        <f t="shared" si="58"/>
        <v>6.069419512431296E-25</v>
      </c>
      <c r="L1201" s="3">
        <f t="shared" si="60"/>
        <v>2</v>
      </c>
      <c r="M1201" s="5">
        <f t="shared" si="59"/>
        <v>1.2138839024862592E-24</v>
      </c>
    </row>
    <row r="1202" spans="10:13">
      <c r="J1202" s="3">
        <v>59.55</v>
      </c>
      <c r="K1202" s="10">
        <f t="shared" si="58"/>
        <v>4.9456578628677465E-25</v>
      </c>
      <c r="L1202" s="3">
        <f t="shared" si="60"/>
        <v>4</v>
      </c>
      <c r="M1202" s="5">
        <f t="shared" si="59"/>
        <v>1.9782631451470986E-24</v>
      </c>
    </row>
    <row r="1203" spans="10:13">
      <c r="J1203" s="3">
        <v>59.6</v>
      </c>
      <c r="K1203" s="10">
        <f t="shared" si="58"/>
        <v>4.0269743020296418E-25</v>
      </c>
      <c r="L1203" s="3">
        <f t="shared" si="60"/>
        <v>2</v>
      </c>
      <c r="M1203" s="5">
        <f t="shared" si="59"/>
        <v>8.0539486040592835E-25</v>
      </c>
    </row>
    <row r="1204" spans="10:13">
      <c r="J1204" s="3">
        <v>59.65</v>
      </c>
      <c r="K1204" s="10">
        <f t="shared" si="58"/>
        <v>3.2765013976411181E-25</v>
      </c>
      <c r="L1204" s="3">
        <f t="shared" si="60"/>
        <v>4</v>
      </c>
      <c r="M1204" s="5">
        <f t="shared" si="59"/>
        <v>1.3106005590564472E-24</v>
      </c>
    </row>
    <row r="1205" spans="10:13">
      <c r="J1205" s="3">
        <v>59.7</v>
      </c>
      <c r="K1205" s="10">
        <f t="shared" si="58"/>
        <v>2.6638967979865993E-25</v>
      </c>
      <c r="L1205" s="3">
        <f t="shared" si="60"/>
        <v>2</v>
      </c>
      <c r="M1205" s="5">
        <f t="shared" si="59"/>
        <v>5.3277935959731986E-25</v>
      </c>
    </row>
    <row r="1206" spans="10:13">
      <c r="J1206" s="3">
        <v>59.75</v>
      </c>
      <c r="K1206" s="10">
        <f t="shared" si="58"/>
        <v>2.1642070011150633E-25</v>
      </c>
      <c r="L1206" s="3">
        <f t="shared" si="60"/>
        <v>4</v>
      </c>
      <c r="M1206" s="5">
        <f t="shared" si="59"/>
        <v>8.6568280044602531E-25</v>
      </c>
    </row>
    <row r="1207" spans="10:13">
      <c r="J1207" s="3">
        <v>59.8</v>
      </c>
      <c r="K1207" s="10">
        <f t="shared" si="58"/>
        <v>1.7569256500393882E-25</v>
      </c>
      <c r="L1207" s="3">
        <f t="shared" si="60"/>
        <v>2</v>
      </c>
      <c r="M1207" s="5">
        <f t="shared" si="59"/>
        <v>3.5138513000787763E-25</v>
      </c>
    </row>
    <row r="1208" spans="10:13">
      <c r="J1208" s="3">
        <v>59.85</v>
      </c>
      <c r="K1208" s="10">
        <f t="shared" si="58"/>
        <v>1.4252136362553634E-25</v>
      </c>
      <c r="L1208" s="3">
        <f t="shared" si="60"/>
        <v>4</v>
      </c>
      <c r="M1208" s="5">
        <f t="shared" si="59"/>
        <v>5.7008545450214537E-25</v>
      </c>
    </row>
    <row r="1209" spans="10:13">
      <c r="J1209" s="3">
        <v>59.9</v>
      </c>
      <c r="K1209" s="10">
        <f t="shared" si="58"/>
        <v>1.1552536953522665E-25</v>
      </c>
      <c r="L1209" s="3">
        <f t="shared" si="60"/>
        <v>2</v>
      </c>
      <c r="M1209" s="5">
        <f t="shared" si="59"/>
        <v>2.3105073907045329E-25</v>
      </c>
    </row>
    <row r="1210" spans="10:13">
      <c r="J1210" s="3">
        <v>59.95</v>
      </c>
      <c r="K1210" s="10">
        <f t="shared" si="58"/>
        <v>9.3571670545212494E-26</v>
      </c>
      <c r="L1210" s="3">
        <f t="shared" si="60"/>
        <v>4</v>
      </c>
      <c r="M1210" s="5">
        <f t="shared" si="59"/>
        <v>3.7428668218084998E-25</v>
      </c>
    </row>
    <row r="1211" spans="10:13">
      <c r="J1211" s="3">
        <v>60</v>
      </c>
      <c r="K1211" s="10">
        <f t="shared" si="58"/>
        <v>7.5732069039685891E-26</v>
      </c>
      <c r="L1211" s="3">
        <v>1</v>
      </c>
      <c r="M1211" s="5">
        <f t="shared" si="59"/>
        <v>7.5732069039685891E-26</v>
      </c>
    </row>
  </sheetData>
  <phoneticPr fontId="4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25" zoomScaleNormal="125" zoomScalePageLayoutView="125" workbookViewId="0"/>
  </sheetViews>
  <sheetFormatPr baseColWidth="10" defaultRowHeight="12" x14ac:dyDescent="0"/>
  <sheetData>
    <row r="1" spans="1:17" ht="15">
      <c r="A1" s="70" t="s">
        <v>379</v>
      </c>
    </row>
    <row r="3" spans="1:17">
      <c r="A3" s="52" t="s">
        <v>9</v>
      </c>
      <c r="B3" s="51">
        <v>2.2000000000000001E-4</v>
      </c>
    </row>
    <row r="4" spans="1:17">
      <c r="A4" s="52" t="s">
        <v>10</v>
      </c>
      <c r="B4" s="51">
        <v>2.7E-6</v>
      </c>
    </row>
    <row r="5" spans="1:17">
      <c r="A5" s="52" t="s">
        <v>24</v>
      </c>
      <c r="B5" s="51">
        <v>1.1240000000000001</v>
      </c>
    </row>
    <row r="6" spans="1:17">
      <c r="A6" s="52" t="s">
        <v>82</v>
      </c>
      <c r="B6" s="51">
        <v>45</v>
      </c>
    </row>
    <row r="7" spans="1:17">
      <c r="A7" s="9" t="s">
        <v>27</v>
      </c>
      <c r="B7" s="18">
        <f>EXP(-B3)</f>
        <v>0.99978002419822543</v>
      </c>
    </row>
    <row r="8" spans="1:17">
      <c r="A8" s="9" t="s">
        <v>25</v>
      </c>
      <c r="B8" s="18">
        <f>EXP(-B4/LN(B5))</f>
        <v>0.99997690236831238</v>
      </c>
    </row>
    <row r="10" spans="1:17">
      <c r="A10" s="1" t="s">
        <v>1</v>
      </c>
      <c r="H10" s="1" t="s">
        <v>2</v>
      </c>
      <c r="M10" s="1" t="s">
        <v>3</v>
      </c>
    </row>
    <row r="11" spans="1:17">
      <c r="E11" s="66" t="s">
        <v>75</v>
      </c>
      <c r="F11" s="66" t="s">
        <v>83</v>
      </c>
      <c r="K11" s="66" t="s">
        <v>75</v>
      </c>
      <c r="P11" s="66" t="s">
        <v>75</v>
      </c>
      <c r="Q11" s="66" t="s">
        <v>83</v>
      </c>
    </row>
    <row r="12" spans="1:17">
      <c r="A12" s="66" t="s">
        <v>0</v>
      </c>
      <c r="B12" s="66" t="s">
        <v>337</v>
      </c>
      <c r="C12" s="66" t="s">
        <v>338</v>
      </c>
      <c r="D12" s="7" t="s">
        <v>84</v>
      </c>
      <c r="E12" s="66" t="s">
        <v>86</v>
      </c>
      <c r="F12" s="66" t="s">
        <v>86</v>
      </c>
      <c r="H12" s="66" t="s">
        <v>0</v>
      </c>
      <c r="I12" s="66" t="s">
        <v>85</v>
      </c>
      <c r="J12" s="7" t="s">
        <v>339</v>
      </c>
      <c r="K12" s="66" t="s">
        <v>86</v>
      </c>
      <c r="M12" s="66" t="s">
        <v>0</v>
      </c>
      <c r="N12" s="66" t="s">
        <v>338</v>
      </c>
      <c r="O12" s="7" t="s">
        <v>340</v>
      </c>
      <c r="P12" s="66" t="s">
        <v>86</v>
      </c>
      <c r="Q12" s="66" t="s">
        <v>86</v>
      </c>
    </row>
    <row r="13" spans="1:17">
      <c r="A13" s="66">
        <v>1</v>
      </c>
      <c r="B13" s="10">
        <f>0.035+SQRT(A13)/200</f>
        <v>0.04</v>
      </c>
      <c r="C13" s="10">
        <f>(1+B13)^-A13</f>
        <v>0.96153846153846145</v>
      </c>
      <c r="D13" s="10">
        <f>(B$7^A13)*B$8^((B$5^B$6)*((B$5^A13)-1))</f>
        <v>0.99922888299411317</v>
      </c>
      <c r="E13" s="10">
        <v>1</v>
      </c>
      <c r="F13" s="10">
        <f>(1-D13)*C13</f>
        <v>7.4145865950657149E-4</v>
      </c>
      <c r="H13" s="66">
        <v>0</v>
      </c>
      <c r="I13" s="10">
        <f>(1+B$27)^-H13</f>
        <v>1</v>
      </c>
      <c r="J13" s="10">
        <f t="shared" ref="J13:J27" si="0">(B$7^H13)*B$8^((B$5^45)*((B$5^H13)-1))</f>
        <v>1</v>
      </c>
      <c r="K13" s="10">
        <v>1</v>
      </c>
      <c r="M13" s="66">
        <v>0</v>
      </c>
      <c r="N13" s="10">
        <f>C15/C$15</f>
        <v>1</v>
      </c>
      <c r="O13" s="10">
        <f>D15/D$15</f>
        <v>1</v>
      </c>
      <c r="P13" s="66">
        <f>N13*O13</f>
        <v>1</v>
      </c>
      <c r="Q13" s="10">
        <f>(O13-O14)*N14</f>
        <v>9.5566875101315446E-4</v>
      </c>
    </row>
    <row r="14" spans="1:17">
      <c r="A14" s="66">
        <v>2</v>
      </c>
      <c r="B14" s="10">
        <f t="shared" ref="B14:B27" si="1">0.035+SQRT(A14)/200</f>
        <v>4.2071067811865481E-2</v>
      </c>
      <c r="C14" s="10">
        <f t="shared" ref="C14:C27" si="2">(1+B14)^-A14</f>
        <v>0.92088483998834458</v>
      </c>
      <c r="D14" s="10">
        <f t="shared" ref="D14:D27" si="3">(B$7^A14)*B$8^((B$5^B$6)*((B$5^A14)-1))</f>
        <v>0.99839009295958236</v>
      </c>
      <c r="E14" s="10">
        <f>C13*D13</f>
        <v>0.96079700287895486</v>
      </c>
      <c r="F14" s="10">
        <f>(D13-D14)*C14</f>
        <v>7.724290267327145E-4</v>
      </c>
      <c r="H14" s="66">
        <v>1</v>
      </c>
      <c r="I14" s="10">
        <f t="shared" ref="I14:I26" si="4">(1+B$27)^-H14</f>
        <v>0.94843823436425534</v>
      </c>
      <c r="J14" s="10">
        <f t="shared" si="0"/>
        <v>0.99922888299411317</v>
      </c>
      <c r="K14" s="10">
        <f>I14*J14</f>
        <v>0.94770687751270377</v>
      </c>
      <c r="M14" s="66">
        <v>1</v>
      </c>
      <c r="N14" s="10">
        <f t="shared" ref="N14:O25" si="5">C16/C$15</f>
        <v>0.9532619791576703</v>
      </c>
      <c r="O14" s="10">
        <f t="shared" si="5"/>
        <v>0.99899747522516569</v>
      </c>
      <c r="P14" s="10">
        <f t="shared" ref="P14:P24" si="6">N14*O14</f>
        <v>0.95230631040665714</v>
      </c>
      <c r="Q14" s="10">
        <f t="shared" ref="Q14:Q23" si="7">(O14-O15)*N15</f>
        <v>9.9634892328992019E-4</v>
      </c>
    </row>
    <row r="15" spans="1:17">
      <c r="A15" s="66">
        <v>3</v>
      </c>
      <c r="B15" s="10">
        <f t="shared" si="1"/>
        <v>4.366025403784439E-2</v>
      </c>
      <c r="C15" s="10">
        <f t="shared" si="2"/>
        <v>0.87967564208759463</v>
      </c>
      <c r="D15" s="10">
        <f t="shared" si="3"/>
        <v>0.99747534417749117</v>
      </c>
      <c r="E15" s="10">
        <f t="shared" ref="E15:E27" si="8">C14*D14</f>
        <v>0.91940230100103348</v>
      </c>
      <c r="F15" s="10">
        <f t="shared" ref="F15:F26" si="9">(D14-D15)*C15</f>
        <v>8.0468222223491312E-4</v>
      </c>
      <c r="H15" s="66">
        <v>2</v>
      </c>
      <c r="I15" s="10">
        <f t="shared" si="4"/>
        <v>0.89953508440398611</v>
      </c>
      <c r="J15" s="10">
        <f t="shared" si="0"/>
        <v>0.99839009295958236</v>
      </c>
      <c r="K15" s="10">
        <f t="shared" ref="K15:K27" si="10">I15*J15</f>
        <v>0.89808691653850148</v>
      </c>
      <c r="M15" s="66">
        <v>2</v>
      </c>
      <c r="N15" s="10">
        <f>C17/C$15</f>
        <v>0.90707805759992688</v>
      </c>
      <c r="O15" s="10">
        <f t="shared" si="5"/>
        <v>0.99789905936674861</v>
      </c>
      <c r="P15" s="10">
        <f t="shared" si="6"/>
        <v>0.90517234045118444</v>
      </c>
      <c r="Q15" s="10">
        <f t="shared" si="7"/>
        <v>1.03926118254485E-3</v>
      </c>
    </row>
    <row r="16" spans="1:17">
      <c r="A16" s="66">
        <v>4</v>
      </c>
      <c r="B16" s="10">
        <f t="shared" si="1"/>
        <v>4.5000000000000005E-2</v>
      </c>
      <c r="C16" s="10">
        <f t="shared" si="2"/>
        <v>0.83856134359321488</v>
      </c>
      <c r="D16" s="10">
        <f t="shared" si="3"/>
        <v>0.99647535043266688</v>
      </c>
      <c r="E16" s="10">
        <f t="shared" si="8"/>
        <v>0.87745476385587895</v>
      </c>
      <c r="F16" s="10">
        <f t="shared" si="9"/>
        <v>8.3855609824466724E-4</v>
      </c>
      <c r="H16" s="66">
        <v>3</v>
      </c>
      <c r="I16" s="10">
        <f t="shared" si="4"/>
        <v>0.85315346720081797</v>
      </c>
      <c r="J16" s="10">
        <f t="shared" si="0"/>
        <v>0.99747534417749117</v>
      </c>
      <c r="K16" s="10">
        <f t="shared" si="10"/>
        <v>0.8509995483323558</v>
      </c>
      <c r="M16" s="66">
        <v>3</v>
      </c>
      <c r="N16" s="10">
        <f t="shared" si="5"/>
        <v>0.8617505459924647</v>
      </c>
      <c r="O16" s="10">
        <f t="shared" si="5"/>
        <v>0.99669307094309412</v>
      </c>
      <c r="P16" s="10">
        <f t="shared" si="6"/>
        <v>0.85890079807211772</v>
      </c>
      <c r="Q16" s="10">
        <f t="shared" si="7"/>
        <v>1.0845196016209407E-3</v>
      </c>
    </row>
    <row r="17" spans="1:17">
      <c r="A17" s="66">
        <v>5</v>
      </c>
      <c r="B17" s="10">
        <f t="shared" si="1"/>
        <v>4.618033988749895E-2</v>
      </c>
      <c r="C17" s="10">
        <f t="shared" si="2"/>
        <v>0.79793447274278384</v>
      </c>
      <c r="D17" s="10">
        <f t="shared" si="3"/>
        <v>0.99537970769624229</v>
      </c>
      <c r="E17" s="10">
        <f t="shared" si="8"/>
        <v>0.83560570871633677</v>
      </c>
      <c r="F17" s="10">
        <f t="shared" si="9"/>
        <v>8.7425110920342065E-4</v>
      </c>
      <c r="H17" s="66">
        <v>4</v>
      </c>
      <c r="I17" s="10">
        <f t="shared" si="4"/>
        <v>0.8091633680736865</v>
      </c>
      <c r="J17" s="10">
        <f t="shared" si="0"/>
        <v>0.99647535043266688</v>
      </c>
      <c r="K17" s="10">
        <f t="shared" si="10"/>
        <v>0.8063113507585038</v>
      </c>
      <c r="M17" s="66">
        <v>4</v>
      </c>
      <c r="N17" s="10">
        <f t="shared" si="5"/>
        <v>0.81749469898424953</v>
      </c>
      <c r="O17" s="10">
        <f t="shared" si="5"/>
        <v>0.99536643285850657</v>
      </c>
      <c r="P17" s="10">
        <f t="shared" si="6"/>
        <v>0.8137067824086911</v>
      </c>
      <c r="Q17" s="10">
        <f t="shared" si="7"/>
        <v>1.1322086032081367E-3</v>
      </c>
    </row>
    <row r="18" spans="1:17">
      <c r="A18" s="66">
        <v>6</v>
      </c>
      <c r="B18" s="10">
        <f t="shared" si="1"/>
        <v>4.7247448713915896E-2</v>
      </c>
      <c r="C18" s="10">
        <f t="shared" si="2"/>
        <v>0.75806096486525665</v>
      </c>
      <c r="D18" s="10">
        <f t="shared" si="3"/>
        <v>0.99417676397828347</v>
      </c>
      <c r="E18" s="10">
        <f t="shared" si="8"/>
        <v>0.79424778223946735</v>
      </c>
      <c r="F18" s="10">
        <f t="shared" si="9"/>
        <v>9.1190467551445877E-4</v>
      </c>
      <c r="H18" s="66">
        <v>5</v>
      </c>
      <c r="I18" s="10">
        <f t="shared" si="4"/>
        <v>0.76744147612804126</v>
      </c>
      <c r="J18" s="10">
        <f t="shared" si="0"/>
        <v>0.99537970769624229</v>
      </c>
      <c r="K18" s="10">
        <f t="shared" si="10"/>
        <v>0.76389567218230237</v>
      </c>
      <c r="M18" s="66">
        <v>5</v>
      </c>
      <c r="N18" s="10">
        <f t="shared" si="5"/>
        <v>0.77446678612176656</v>
      </c>
      <c r="O18" s="10">
        <f t="shared" si="5"/>
        <v>0.99390451270454128</v>
      </c>
      <c r="P18" s="10">
        <f t="shared" si="6"/>
        <v>0.76974603366620653</v>
      </c>
      <c r="Q18" s="10">
        <f t="shared" si="7"/>
        <v>1.1823892898963763E-3</v>
      </c>
    </row>
    <row r="19" spans="1:17">
      <c r="A19" s="66">
        <v>7</v>
      </c>
      <c r="B19" s="10">
        <f t="shared" si="1"/>
        <v>4.8228756555322959E-2</v>
      </c>
      <c r="C19" s="10">
        <f t="shared" si="2"/>
        <v>0.71913017423217462</v>
      </c>
      <c r="D19" s="10">
        <f t="shared" si="3"/>
        <v>0.9928534751982605</v>
      </c>
      <c r="E19" s="10">
        <f t="shared" si="8"/>
        <v>0.75364659694799607</v>
      </c>
      <c r="F19" s="10">
        <f t="shared" si="9"/>
        <v>9.5161689093739923E-4</v>
      </c>
      <c r="H19" s="66">
        <v>6</v>
      </c>
      <c r="I19" s="10">
        <f t="shared" si="4"/>
        <v>0.72787083859677726</v>
      </c>
      <c r="J19" s="10">
        <f t="shared" si="0"/>
        <v>0.99417676397828347</v>
      </c>
      <c r="K19" s="10">
        <f t="shared" si="10"/>
        <v>0.72363227491030346</v>
      </c>
      <c r="M19" s="66">
        <v>6</v>
      </c>
      <c r="N19" s="10">
        <f t="shared" si="5"/>
        <v>0.73278022645716234</v>
      </c>
      <c r="O19" s="10">
        <f t="shared" si="5"/>
        <v>0.99229094666221918</v>
      </c>
      <c r="P19" s="10">
        <f t="shared" si="6"/>
        <v>0.72713118460653292</v>
      </c>
      <c r="Q19" s="10">
        <f t="shared" si="7"/>
        <v>1.2351026102821842E-3</v>
      </c>
    </row>
    <row r="20" spans="1:17">
      <c r="A20" s="66">
        <v>8</v>
      </c>
      <c r="B20" s="10">
        <f t="shared" si="1"/>
        <v>4.9142135623730952E-2</v>
      </c>
      <c r="C20" s="10">
        <f t="shared" si="2"/>
        <v>0.68127956735718087</v>
      </c>
      <c r="D20" s="10">
        <f t="shared" si="3"/>
        <v>0.99139524588952399</v>
      </c>
      <c r="E20" s="10">
        <f t="shared" si="8"/>
        <v>0.71399089260634518</v>
      </c>
      <c r="F20" s="10">
        <f t="shared" si="9"/>
        <v>9.9346183256357316E-4</v>
      </c>
      <c r="H20" s="66">
        <v>7</v>
      </c>
      <c r="I20" s="10">
        <f t="shared" si="4"/>
        <v>0.69034053300395726</v>
      </c>
      <c r="J20" s="10">
        <f t="shared" si="0"/>
        <v>0.9928534751982605</v>
      </c>
      <c r="K20" s="10">
        <f t="shared" si="10"/>
        <v>0.68540699726319843</v>
      </c>
      <c r="M20" s="66">
        <v>7</v>
      </c>
      <c r="N20" s="10">
        <f t="shared" si="5"/>
        <v>0.6925158610443517</v>
      </c>
      <c r="O20" s="10">
        <f t="shared" si="5"/>
        <v>0.99050744583608707</v>
      </c>
      <c r="P20" s="10">
        <f t="shared" si="6"/>
        <v>0.68594211672401939</v>
      </c>
      <c r="Q20" s="10">
        <f t="shared" si="7"/>
        <v>1.2903707632860399E-3</v>
      </c>
    </row>
    <row r="21" spans="1:17">
      <c r="A21" s="66">
        <v>9</v>
      </c>
      <c r="B21" s="10">
        <f t="shared" si="1"/>
        <v>0.05</v>
      </c>
      <c r="C21" s="10">
        <f t="shared" si="2"/>
        <v>0.64460891621779726</v>
      </c>
      <c r="D21" s="10">
        <f t="shared" si="3"/>
        <v>0.98978575354610565</v>
      </c>
      <c r="E21" s="10">
        <f t="shared" si="8"/>
        <v>0.67541732419958089</v>
      </c>
      <c r="F21" s="10">
        <f t="shared" si="9"/>
        <v>1.0374931151517386E-3</v>
      </c>
      <c r="H21" s="66">
        <v>8</v>
      </c>
      <c r="I21" s="10">
        <f t="shared" si="4"/>
        <v>0.65474535623235219</v>
      </c>
      <c r="J21" s="10">
        <f t="shared" si="0"/>
        <v>0.99139524588952399</v>
      </c>
      <c r="K21" s="10">
        <f t="shared" si="10"/>
        <v>0.64911143343699673</v>
      </c>
      <c r="M21" s="66">
        <v>8</v>
      </c>
      <c r="N21" s="10">
        <f t="shared" si="5"/>
        <v>0.6537289941099701</v>
      </c>
      <c r="O21" s="10">
        <f t="shared" si="5"/>
        <v>0.98853358392249269</v>
      </c>
      <c r="P21" s="10">
        <f t="shared" si="6"/>
        <v>0.64623306546157488</v>
      </c>
      <c r="Q21" s="10">
        <f t="shared" si="7"/>
        <v>1.3481974906569248E-3</v>
      </c>
    </row>
    <row r="22" spans="1:17">
      <c r="A22" s="66">
        <v>10</v>
      </c>
      <c r="B22" s="10">
        <f t="shared" si="1"/>
        <v>5.0811388300841906E-2</v>
      </c>
      <c r="C22" s="10">
        <f t="shared" si="2"/>
        <v>0.60918933472003356</v>
      </c>
      <c r="D22" s="10">
        <f t="shared" si="3"/>
        <v>0.9880067554457187</v>
      </c>
      <c r="E22" s="10">
        <f t="shared" si="8"/>
        <v>0.63802472188117099</v>
      </c>
      <c r="F22" s="10">
        <f t="shared" si="9"/>
        <v>1.0837466692429311E-3</v>
      </c>
      <c r="H22" s="66">
        <v>9</v>
      </c>
      <c r="I22" s="10">
        <f t="shared" si="4"/>
        <v>0.62098552962320752</v>
      </c>
      <c r="J22" s="10">
        <f t="shared" si="0"/>
        <v>0.98978575354610565</v>
      </c>
      <c r="K22" s="10">
        <f t="shared" si="10"/>
        <v>0.61464263037933398</v>
      </c>
      <c r="M22" s="66">
        <v>9</v>
      </c>
      <c r="N22" s="10">
        <f t="shared" si="5"/>
        <v>0.61645449395690133</v>
      </c>
      <c r="O22" s="10">
        <f t="shared" si="5"/>
        <v>0.98634656524735398</v>
      </c>
      <c r="P22" s="10">
        <f t="shared" si="6"/>
        <v>0.60803777274568538</v>
      </c>
      <c r="Q22" s="10">
        <f t="shared" si="7"/>
        <v>1.4085675815968177E-3</v>
      </c>
    </row>
    <row r="23" spans="1:17">
      <c r="A23" s="66">
        <v>11</v>
      </c>
      <c r="B23" s="10">
        <f t="shared" si="1"/>
        <v>5.1583123951776999E-2</v>
      </c>
      <c r="C23" s="10">
        <f t="shared" si="2"/>
        <v>0.57506947264496533</v>
      </c>
      <c r="D23" s="10">
        <f t="shared" si="3"/>
        <v>0.98603787685409727</v>
      </c>
      <c r="E23" s="10">
        <f t="shared" si="8"/>
        <v>0.60188317804887626</v>
      </c>
      <c r="F23" s="10">
        <f t="shared" si="9"/>
        <v>1.1322419733856954E-3</v>
      </c>
      <c r="H23" s="66">
        <v>10</v>
      </c>
      <c r="I23" s="10">
        <f t="shared" si="4"/>
        <v>0.58896641928158688</v>
      </c>
      <c r="J23" s="10">
        <f t="shared" si="0"/>
        <v>0.9880067554457187</v>
      </c>
      <c r="K23" s="10">
        <f t="shared" si="10"/>
        <v>0.58190280098088343</v>
      </c>
      <c r="M23" s="66">
        <v>10</v>
      </c>
      <c r="N23" s="10">
        <f t="shared" si="5"/>
        <v>0.58071064828532504</v>
      </c>
      <c r="O23" s="10">
        <f t="shared" si="5"/>
        <v>0.98392097242284504</v>
      </c>
      <c r="P23" s="10">
        <f t="shared" si="6"/>
        <v>0.57137338575719776</v>
      </c>
      <c r="Q23" s="10">
        <f t="shared" si="7"/>
        <v>1.4714457566452331E-3</v>
      </c>
    </row>
    <row r="24" spans="1:17">
      <c r="A24" s="66">
        <v>12</v>
      </c>
      <c r="B24" s="10">
        <f t="shared" si="1"/>
        <v>5.2320508075688776E-2</v>
      </c>
      <c r="C24" s="10">
        <f t="shared" si="2"/>
        <v>0.54228000278932043</v>
      </c>
      <c r="D24" s="10">
        <f t="shared" si="3"/>
        <v>0.98385637964839068</v>
      </c>
      <c r="E24" s="10">
        <f t="shared" si="8"/>
        <v>0.56704028185044697</v>
      </c>
      <c r="F24" s="10">
        <f t="shared" si="9"/>
        <v>1.182982310795467E-3</v>
      </c>
      <c r="H24" s="66">
        <v>11</v>
      </c>
      <c r="I24" s="10">
        <f t="shared" si="4"/>
        <v>0.55859827080326596</v>
      </c>
      <c r="J24" s="10">
        <f t="shared" si="0"/>
        <v>0.98603787685409727</v>
      </c>
      <c r="K24" s="10">
        <f t="shared" si="10"/>
        <v>0.55079905295722242</v>
      </c>
      <c r="M24" s="66">
        <v>11</v>
      </c>
      <c r="N24" s="10">
        <f t="shared" si="5"/>
        <v>0.54650217540190316</v>
      </c>
      <c r="O24" s="10">
        <f t="shared" si="5"/>
        <v>0.98122849319243188</v>
      </c>
      <c r="P24" s="10">
        <f t="shared" si="6"/>
        <v>0.53624350609599558</v>
      </c>
      <c r="Q24" s="10">
        <f>(O24-O25)*N25</f>
        <v>1.5367750161338317E-3</v>
      </c>
    </row>
    <row r="25" spans="1:17">
      <c r="A25" s="66">
        <v>13</v>
      </c>
      <c r="B25" s="10">
        <f t="shared" si="1"/>
        <v>5.3027756377319948E-2</v>
      </c>
      <c r="C25" s="10">
        <f t="shared" si="2"/>
        <v>0.51083701239749668</v>
      </c>
      <c r="D25" s="10">
        <f t="shared" si="3"/>
        <v>0.98143691061092919</v>
      </c>
      <c r="E25" s="10">
        <f t="shared" si="8"/>
        <v>0.53352564030002003</v>
      </c>
      <c r="F25" s="10">
        <f t="shared" si="9"/>
        <v>1.2359543346850725E-3</v>
      </c>
      <c r="H25" s="66">
        <v>12</v>
      </c>
      <c r="I25" s="10">
        <f t="shared" si="4"/>
        <v>0.52979595767957577</v>
      </c>
      <c r="J25" s="10">
        <f t="shared" si="0"/>
        <v>0.98385637964839068</v>
      </c>
      <c r="K25" s="10">
        <f t="shared" si="10"/>
        <v>0.52124313287497936</v>
      </c>
      <c r="M25" s="66">
        <v>12</v>
      </c>
      <c r="N25" s="10">
        <f t="shared" si="5"/>
        <v>0.51382263709229747</v>
      </c>
      <c r="O25" s="10">
        <f t="shared" si="5"/>
        <v>0.97823762649019708</v>
      </c>
      <c r="P25" s="10"/>
      <c r="Q25" s="10">
        <f>N25*O25</f>
        <v>0.50264063694610295</v>
      </c>
    </row>
    <row r="26" spans="1:17">
      <c r="A26" s="66">
        <v>14</v>
      </c>
      <c r="B26" s="10">
        <f t="shared" si="1"/>
        <v>5.3708286933869712E-2</v>
      </c>
      <c r="C26" s="10">
        <f t="shared" si="2"/>
        <v>0.48074465204893646</v>
      </c>
      <c r="D26" s="10">
        <f t="shared" si="3"/>
        <v>0.978751228963882</v>
      </c>
      <c r="E26" s="10">
        <f t="shared" si="8"/>
        <v>0.50135429927311603</v>
      </c>
      <c r="F26" s="10">
        <f t="shared" si="9"/>
        <v>1.2911270889239155E-3</v>
      </c>
      <c r="H26" s="66">
        <v>13</v>
      </c>
      <c r="I26" s="10">
        <f t="shared" si="4"/>
        <v>0.50247874267493664</v>
      </c>
      <c r="J26" s="10">
        <f t="shared" si="0"/>
        <v>0.98143691061092919</v>
      </c>
      <c r="K26" s="10">
        <f t="shared" si="10"/>
        <v>0.49315118485855386</v>
      </c>
      <c r="P26" s="10">
        <f>SUM(P13:P24)</f>
        <v>9.074793296395864</v>
      </c>
      <c r="Q26" s="10">
        <f>SUM(Q13:Q25)</f>
        <v>0.51732149251627735</v>
      </c>
    </row>
    <row r="27" spans="1:17">
      <c r="A27" s="66">
        <v>15</v>
      </c>
      <c r="B27" s="10">
        <f t="shared" si="1"/>
        <v>5.4364916731037091E-2</v>
      </c>
      <c r="C27" s="10">
        <f t="shared" si="2"/>
        <v>0.45199725820330788</v>
      </c>
      <c r="D27" s="10">
        <f t="shared" si="3"/>
        <v>0.97576791317068134</v>
      </c>
      <c r="E27" s="10">
        <f t="shared" si="8"/>
        <v>0.47052941901071038</v>
      </c>
      <c r="F27" s="10">
        <f>D26*C27</f>
        <v>0.44239287195479271</v>
      </c>
      <c r="H27" s="66">
        <v>14</v>
      </c>
      <c r="I27" s="10">
        <f>(1+B$27)^-H27</f>
        <v>0.47657005150818776</v>
      </c>
      <c r="J27" s="10">
        <f t="shared" si="0"/>
        <v>0.978751228963882</v>
      </c>
      <c r="K27" s="10">
        <f t="shared" si="10"/>
        <v>0.46644352360101932</v>
      </c>
    </row>
    <row r="28" spans="1:17">
      <c r="E28" s="10">
        <f>SUM(E13:E27)</f>
        <v>10.842919912809933</v>
      </c>
      <c r="F28" s="10">
        <f>SUM(F13:F27)</f>
        <v>0.45624477796191526</v>
      </c>
      <c r="K28" s="10">
        <f>SUM(K13:K27)</f>
        <v>10.553333396586858</v>
      </c>
      <c r="O28" s="60" t="s">
        <v>166</v>
      </c>
      <c r="P28" s="60"/>
      <c r="Q28" s="74">
        <f>100000*Q26-F29*P26</f>
        <v>13547.535827775137</v>
      </c>
    </row>
    <row r="29" spans="1:17">
      <c r="E29" s="56" t="s">
        <v>87</v>
      </c>
      <c r="F29" s="57">
        <f>100000*F28/E28</f>
        <v>4207.7667420830358</v>
      </c>
    </row>
    <row r="30" spans="1:17">
      <c r="I30" s="143"/>
      <c r="J30" s="144" t="s">
        <v>194</v>
      </c>
      <c r="K30" s="10">
        <f>1-B27*K28/(1+B27)</f>
        <v>0.45585149672931202</v>
      </c>
    </row>
    <row r="31" spans="1:17">
      <c r="J31" s="56" t="s">
        <v>87</v>
      </c>
      <c r="K31" s="57">
        <f>100000*K30/K28</f>
        <v>4319.5024699659616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3"/>
  <sheetViews>
    <sheetView zoomScale="125" zoomScaleNormal="125" zoomScalePageLayoutView="125" workbookViewId="0"/>
  </sheetViews>
  <sheetFormatPr baseColWidth="10" defaultRowHeight="12" x14ac:dyDescent="0"/>
  <sheetData>
    <row r="1" spans="1:32" ht="15">
      <c r="A1" s="70" t="s">
        <v>441</v>
      </c>
      <c r="B1" s="66"/>
      <c r="C1" s="4"/>
      <c r="D1" s="66"/>
      <c r="K1" s="8"/>
      <c r="L1" s="4"/>
      <c r="R1" s="8"/>
      <c r="S1" s="4"/>
      <c r="Y1" s="66"/>
      <c r="Z1" s="66"/>
      <c r="AA1" s="66"/>
    </row>
    <row r="2" spans="1:32">
      <c r="B2" s="66"/>
      <c r="C2" s="4"/>
      <c r="D2" s="66"/>
      <c r="K2" s="8"/>
      <c r="L2" s="4"/>
      <c r="R2" s="8"/>
      <c r="S2" s="4"/>
      <c r="Y2" s="66"/>
      <c r="Z2" s="66"/>
      <c r="AA2" s="66"/>
    </row>
    <row r="3" spans="1:32">
      <c r="A3" s="52" t="s">
        <v>9</v>
      </c>
      <c r="B3" s="51">
        <v>2.2000000000000001E-4</v>
      </c>
      <c r="C3" s="4"/>
      <c r="D3" s="66"/>
      <c r="K3" s="8"/>
      <c r="L3" s="4"/>
      <c r="R3" s="8"/>
      <c r="S3" s="4"/>
      <c r="Y3" s="66"/>
      <c r="Z3" s="66"/>
      <c r="AA3" s="66"/>
    </row>
    <row r="4" spans="1:32">
      <c r="A4" s="52" t="s">
        <v>10</v>
      </c>
      <c r="B4" s="147">
        <v>2.7E-6</v>
      </c>
      <c r="C4" s="4"/>
      <c r="D4" s="66"/>
      <c r="K4" s="8"/>
      <c r="L4" s="4"/>
      <c r="R4" s="8"/>
      <c r="S4" s="4"/>
      <c r="Y4" s="66"/>
      <c r="Z4" s="66"/>
      <c r="AA4" s="66"/>
    </row>
    <row r="5" spans="1:32">
      <c r="A5" s="52" t="s">
        <v>24</v>
      </c>
      <c r="B5" s="146">
        <v>1.1240000000000001</v>
      </c>
      <c r="C5" s="4"/>
      <c r="D5" s="66"/>
      <c r="K5" s="8"/>
      <c r="L5" s="4"/>
      <c r="R5" s="8"/>
      <c r="S5" s="4"/>
      <c r="Y5" s="66"/>
      <c r="Z5" s="66"/>
      <c r="AA5" s="66"/>
    </row>
    <row r="6" spans="1:32">
      <c r="A6" s="72" t="s">
        <v>74</v>
      </c>
      <c r="B6" s="73">
        <v>7.0000000000000007E-2</v>
      </c>
      <c r="C6" s="4"/>
      <c r="D6" s="66"/>
      <c r="K6" s="8"/>
      <c r="L6" s="4"/>
      <c r="R6" s="8"/>
      <c r="S6" s="4"/>
      <c r="Y6" s="66"/>
      <c r="Z6" s="66"/>
      <c r="AA6" s="66"/>
    </row>
    <row r="7" spans="1:32">
      <c r="A7" s="52" t="s">
        <v>82</v>
      </c>
      <c r="B7" s="146">
        <v>40</v>
      </c>
      <c r="C7" s="4"/>
      <c r="D7" s="66"/>
      <c r="K7" s="8"/>
      <c r="L7" s="4"/>
      <c r="R7" s="8"/>
      <c r="S7" s="4"/>
      <c r="Y7" s="66"/>
      <c r="Z7" s="66"/>
      <c r="AA7" s="66"/>
    </row>
    <row r="8" spans="1:32">
      <c r="A8" s="9" t="s">
        <v>27</v>
      </c>
      <c r="B8" s="18">
        <f>EXP(-B3)</f>
        <v>0.99978002419822543</v>
      </c>
      <c r="C8" s="4"/>
      <c r="D8" s="66"/>
      <c r="K8" s="8"/>
      <c r="L8" s="4"/>
      <c r="R8" s="8"/>
      <c r="S8" s="4"/>
      <c r="Y8" s="6" t="s">
        <v>363</v>
      </c>
      <c r="Z8" s="66"/>
      <c r="AA8" s="66"/>
    </row>
    <row r="9" spans="1:32">
      <c r="A9" s="9" t="s">
        <v>25</v>
      </c>
      <c r="B9" s="18">
        <f>EXP(-B4/LN(B5))</f>
        <v>0.99997690236831238</v>
      </c>
      <c r="C9" s="4"/>
      <c r="D9" s="66" t="s">
        <v>120</v>
      </c>
      <c r="G9" s="1" t="s">
        <v>1</v>
      </c>
      <c r="K9" s="28" t="s">
        <v>3</v>
      </c>
      <c r="L9" s="4"/>
      <c r="R9" s="28" t="s">
        <v>4</v>
      </c>
      <c r="S9" s="4"/>
      <c r="Y9" s="66"/>
      <c r="Z9" s="66"/>
      <c r="AA9" s="66"/>
    </row>
    <row r="10" spans="1:32">
      <c r="B10" s="66"/>
      <c r="C10" s="4"/>
      <c r="D10" s="66" t="s">
        <v>121</v>
      </c>
      <c r="E10" s="66" t="s">
        <v>75</v>
      </c>
      <c r="K10" s="8"/>
      <c r="L10" s="4" t="s">
        <v>75</v>
      </c>
      <c r="O10" s="9"/>
      <c r="R10" s="8"/>
      <c r="S10" s="4" t="s">
        <v>75</v>
      </c>
      <c r="Y10" s="66"/>
      <c r="Z10" s="66"/>
      <c r="AA10" s="66"/>
    </row>
    <row r="11" spans="1:32">
      <c r="A11" s="66" t="s">
        <v>0</v>
      </c>
      <c r="B11" s="7" t="s">
        <v>84</v>
      </c>
      <c r="C11" s="4" t="s">
        <v>85</v>
      </c>
      <c r="D11" s="66" t="s">
        <v>22</v>
      </c>
      <c r="E11" s="66" t="s">
        <v>86</v>
      </c>
      <c r="K11" s="10" t="s">
        <v>206</v>
      </c>
      <c r="L11" s="4" t="s">
        <v>86</v>
      </c>
      <c r="N11" t="s">
        <v>342</v>
      </c>
      <c r="R11" s="10" t="s">
        <v>343</v>
      </c>
      <c r="S11" s="4" t="s">
        <v>86</v>
      </c>
      <c r="U11" t="s">
        <v>344</v>
      </c>
      <c r="Y11" s="66" t="s">
        <v>345</v>
      </c>
      <c r="Z11" s="66" t="s">
        <v>346</v>
      </c>
      <c r="AA11" s="66" t="s">
        <v>347</v>
      </c>
      <c r="AD11" s="62" t="s">
        <v>356</v>
      </c>
      <c r="AE11" s="66" t="s">
        <v>357</v>
      </c>
      <c r="AF11" s="66" t="s">
        <v>358</v>
      </c>
    </row>
    <row r="12" spans="1:32">
      <c r="A12" s="66">
        <v>0</v>
      </c>
      <c r="B12" s="10">
        <f>(B$8^A12)*B$9^((B$5^B$7)*((B$5^A12)-1))</f>
        <v>1</v>
      </c>
      <c r="C12" s="10">
        <f>(1+B$6)^-A12</f>
        <v>1</v>
      </c>
      <c r="D12" s="66">
        <v>1</v>
      </c>
      <c r="E12" s="10">
        <f>B12*C12*D12*0.05/3</f>
        <v>1.6666666666666666E-2</v>
      </c>
      <c r="G12" s="9" t="s">
        <v>348</v>
      </c>
      <c r="H12" s="10">
        <f>SUM(E12:E512)</f>
        <v>11.941732523755018</v>
      </c>
      <c r="K12" s="10">
        <f>1.05^-A12</f>
        <v>1</v>
      </c>
      <c r="L12" s="10">
        <f>E12*K12/C12</f>
        <v>1.6666666666666666E-2</v>
      </c>
      <c r="N12" t="s">
        <v>180</v>
      </c>
      <c r="P12" s="10">
        <f>SUM(L12:L512)</f>
        <v>14.285881480505193</v>
      </c>
      <c r="R12" s="10">
        <f>1.11^-A12</f>
        <v>1</v>
      </c>
      <c r="S12" s="10">
        <f>L12*R12/K12</f>
        <v>1.6666666666666666E-2</v>
      </c>
      <c r="U12" t="s">
        <v>180</v>
      </c>
      <c r="W12" s="10">
        <f>SUM(S12:S512)</f>
        <v>8.8118950556924052</v>
      </c>
      <c r="Y12" s="10">
        <f>L12*K12</f>
        <v>1.6666666666666666E-2</v>
      </c>
      <c r="Z12" s="10">
        <f>C12*E12</f>
        <v>1.6666666666666666E-2</v>
      </c>
      <c r="AA12" s="10">
        <f>R12*S12</f>
        <v>1.6666666666666666E-2</v>
      </c>
      <c r="AC12" s="66" t="s">
        <v>345</v>
      </c>
      <c r="AD12" s="66">
        <f>1-2*LN(1.05)*SUM(Y12:Y512)</f>
        <v>9.4224031854736379E-2</v>
      </c>
      <c r="AE12" s="66">
        <f>P13^2</f>
        <v>9.1802635450535755E-2</v>
      </c>
      <c r="AF12" s="145">
        <f>(AD12-AE12)*(10^5 +H$14/LN(1.05))^2</f>
        <v>42806395.569062121</v>
      </c>
    </row>
    <row r="13" spans="1:32">
      <c r="A13" s="66">
        <v>0.05</v>
      </c>
      <c r="B13" s="10">
        <f t="shared" ref="B13:B76" si="0">(B$8^A13)*B$9^((B$5^B$7)*((B$5^A13)-1))</f>
        <v>0.99997447064774625</v>
      </c>
      <c r="C13" s="10">
        <f t="shared" ref="C13:C76" si="1">(1+B$6)^-A13</f>
        <v>0.99662278324514397</v>
      </c>
      <c r="D13" s="66">
        <v>4</v>
      </c>
      <c r="E13" s="10">
        <f t="shared" ref="E13:E76" si="2">B13*C13*D13*0.05/3</f>
        <v>6.6439822674069768E-2</v>
      </c>
      <c r="G13" s="9" t="s">
        <v>349</v>
      </c>
      <c r="H13" s="10">
        <f>1-LN(1.07)*H12</f>
        <v>0.19203851700693719</v>
      </c>
      <c r="K13" s="10">
        <f t="shared" ref="K13:K76" si="3">1.05^-A13</f>
        <v>0.99756346497348591</v>
      </c>
      <c r="L13" s="10">
        <f t="shared" ref="L13:L76" si="4">E13*K13/C13</f>
        <v>6.6502533188292884E-2</v>
      </c>
      <c r="N13" t="s">
        <v>350</v>
      </c>
      <c r="P13" s="10">
        <f>1-LN(1.05)*P12</f>
        <v>0.30298949726110269</v>
      </c>
      <c r="R13" s="10">
        <f t="shared" ref="R13:R76" si="5">1.11^-A13</f>
        <v>0.99479558935176238</v>
      </c>
      <c r="S13" s="10">
        <f t="shared" ref="S13:S76" si="6">L13*R13/K13</f>
        <v>6.6318012857649433E-2</v>
      </c>
      <c r="U13" t="s">
        <v>350</v>
      </c>
      <c r="W13" s="66">
        <f>1-LN(1.11)*W12</f>
        <v>8.03904969523207E-2</v>
      </c>
      <c r="Y13" s="10">
        <f t="shared" ref="Y13:Y76" si="7">L13*K13</f>
        <v>6.6340497436827697E-2</v>
      </c>
      <c r="Z13" s="10">
        <f t="shared" ref="Z13:Z76" si="8">C13*E13</f>
        <v>6.6215440991745242E-2</v>
      </c>
      <c r="AA13" s="10">
        <f t="shared" ref="AA13:AA76" si="9">R13*S13</f>
        <v>6.5972866685363118E-2</v>
      </c>
      <c r="AC13" s="66" t="s">
        <v>346</v>
      </c>
      <c r="AD13" s="4">
        <f>1-2*LN(1.07)*SUM(Z12:Z512)</f>
        <v>3.9610018167880012E-2</v>
      </c>
      <c r="AE13" s="66">
        <f>H13^2</f>
        <v>3.6878792014223706E-2</v>
      </c>
      <c r="AF13" s="145">
        <f>(AD13-AE13)*(10^5 +H$14/LN(1.07))^2</f>
        <v>41838523.260454282</v>
      </c>
    </row>
    <row r="14" spans="1:32">
      <c r="A14" s="66">
        <v>0.1</v>
      </c>
      <c r="B14" s="10">
        <f t="shared" si="0"/>
        <v>0.9999488567815098</v>
      </c>
      <c r="C14" s="10">
        <f t="shared" si="1"/>
        <v>0.99325697208329689</v>
      </c>
      <c r="D14" s="66">
        <f>IF(D13=4,2,4)</f>
        <v>2</v>
      </c>
      <c r="E14" s="10">
        <f t="shared" si="2"/>
        <v>3.3106872457498555E-2</v>
      </c>
      <c r="G14" s="48" t="s">
        <v>87</v>
      </c>
      <c r="H14" s="57">
        <f>(10^5)*H13/H12</f>
        <v>1608.1294454127635</v>
      </c>
      <c r="K14" s="10">
        <f t="shared" si="3"/>
        <v>0.99513286664990741</v>
      </c>
      <c r="L14" s="10">
        <f t="shared" si="4"/>
        <v>3.3169399078409385E-2</v>
      </c>
      <c r="N14" t="s">
        <v>351</v>
      </c>
      <c r="P14" s="57">
        <f>(10^5)*P13-H14*P12</f>
        <v>7325.4030636329844</v>
      </c>
      <c r="R14" s="10">
        <f t="shared" si="5"/>
        <v>0.98961826459372026</v>
      </c>
      <c r="S14" s="10">
        <f t="shared" si="6"/>
        <v>3.2985588411019742E-2</v>
      </c>
      <c r="U14" t="s">
        <v>351</v>
      </c>
      <c r="W14" s="136">
        <f>(10^5)*W13-H14*W12</f>
        <v>-6131.6182137140313</v>
      </c>
      <c r="Y14" s="10">
        <f t="shared" si="7"/>
        <v>3.3007959189952328E-2</v>
      </c>
      <c r="Z14" s="10">
        <f t="shared" si="8"/>
        <v>3.2883631892282911E-2</v>
      </c>
      <c r="AA14" s="10">
        <f t="shared" si="9"/>
        <v>3.2643140759916089E-2</v>
      </c>
      <c r="AC14" s="66" t="s">
        <v>347</v>
      </c>
      <c r="AD14" s="66">
        <f>1-2*LN(1.11)*SUM(AA12:AA512)</f>
        <v>9.0180232685879158E-3</v>
      </c>
      <c r="AE14" s="66">
        <f>W13^2</f>
        <v>6.4626320002410835E-3</v>
      </c>
      <c r="AF14" s="145">
        <f>(AD14-AE14)*(10^5 +H$14/LN(1.11))^2</f>
        <v>34036122.462273665</v>
      </c>
    </row>
    <row r="15" spans="1:32">
      <c r="A15" s="66">
        <v>0.15</v>
      </c>
      <c r="B15" s="10">
        <f t="shared" si="0"/>
        <v>0.99992315790860642</v>
      </c>
      <c r="C15" s="10">
        <f t="shared" si="1"/>
        <v>0.98990252799529943</v>
      </c>
      <c r="D15" s="66">
        <f t="shared" ref="D15:D78" si="10">IF(D14=4,2,4)</f>
        <v>4</v>
      </c>
      <c r="E15" s="10">
        <f t="shared" si="2"/>
        <v>6.59884307876515E-2</v>
      </c>
      <c r="K15" s="10">
        <f t="shared" si="3"/>
        <v>0.99270819056427972</v>
      </c>
      <c r="L15" s="10">
        <f t="shared" si="4"/>
        <v>6.6175460586051546E-2</v>
      </c>
      <c r="R15" s="10">
        <f t="shared" si="5"/>
        <v>0.98446788475977831</v>
      </c>
      <c r="S15" s="10">
        <f t="shared" si="6"/>
        <v>6.5626149079240234E-2</v>
      </c>
      <c r="Y15" s="10">
        <f t="shared" si="7"/>
        <v>6.5692921738137039E-2</v>
      </c>
      <c r="Z15" s="10">
        <f t="shared" si="8"/>
        <v>6.5322114455139066E-2</v>
      </c>
      <c r="AA15" s="10">
        <f t="shared" si="9"/>
        <v>6.4606836168969506E-2</v>
      </c>
      <c r="AD15" s="66"/>
      <c r="AE15" s="66"/>
      <c r="AF15" s="145"/>
    </row>
    <row r="16" spans="1:32">
      <c r="A16" s="66">
        <v>0.2</v>
      </c>
      <c r="B16" s="10">
        <f t="shared" si="0"/>
        <v>0.99989737353349861</v>
      </c>
      <c r="C16" s="10">
        <f t="shared" si="1"/>
        <v>0.98655941259207924</v>
      </c>
      <c r="D16" s="66">
        <f t="shared" si="10"/>
        <v>2</v>
      </c>
      <c r="E16" s="10">
        <f t="shared" si="2"/>
        <v>3.2881938849519045E-2</v>
      </c>
      <c r="K16" s="10">
        <f t="shared" si="3"/>
        <v>0.99028942228686234</v>
      </c>
      <c r="L16" s="10">
        <f t="shared" si="4"/>
        <v>3.3006259746087979E-2</v>
      </c>
      <c r="R16" s="10">
        <f t="shared" si="5"/>
        <v>0.97934430961748653</v>
      </c>
      <c r="S16" s="10">
        <f t="shared" si="6"/>
        <v>3.2641460099050078E-2</v>
      </c>
      <c r="U16" s="60" t="s">
        <v>352</v>
      </c>
      <c r="V16" s="60"/>
      <c r="W16" s="57">
        <f>0.5*P14+0.25*W14</f>
        <v>2129.7969783879844</v>
      </c>
      <c r="Y16" s="10">
        <f t="shared" si="7"/>
        <v>3.2685749895803584E-2</v>
      </c>
      <c r="Z16" s="10">
        <f t="shared" si="8"/>
        <v>3.2439986276270177E-2</v>
      </c>
      <c r="AA16" s="10">
        <f t="shared" si="9"/>
        <v>3.1967228205610931E-2</v>
      </c>
      <c r="AD16" s="66"/>
      <c r="AE16" s="9" t="s">
        <v>359</v>
      </c>
      <c r="AF16" s="145">
        <f>0.5*AF12+0.25*AF13+0.25*AF14</f>
        <v>40371859.215213045</v>
      </c>
    </row>
    <row r="17" spans="1:32">
      <c r="A17" s="66">
        <v>0.25</v>
      </c>
      <c r="B17" s="10">
        <f t="shared" si="0"/>
        <v>0.99987150315778006</v>
      </c>
      <c r="C17" s="10">
        <f t="shared" si="1"/>
        <v>0.98322758761421225</v>
      </c>
      <c r="D17" s="66">
        <f t="shared" si="10"/>
        <v>4</v>
      </c>
      <c r="E17" s="10">
        <f t="shared" si="2"/>
        <v>6.5540083064934682E-2</v>
      </c>
      <c r="G17" s="1" t="s">
        <v>2</v>
      </c>
      <c r="K17" s="10">
        <f t="shared" si="3"/>
        <v>0.98787654742307407</v>
      </c>
      <c r="L17" s="10">
        <f t="shared" si="4"/>
        <v>6.5849973893748456E-2</v>
      </c>
      <c r="R17" s="10">
        <f t="shared" si="5"/>
        <v>0.97424739966422236</v>
      </c>
      <c r="S17" s="10">
        <f t="shared" si="6"/>
        <v>6.4941480796654946E-2</v>
      </c>
      <c r="Y17" s="10">
        <f t="shared" si="7"/>
        <v>6.5051644858055785E-2</v>
      </c>
      <c r="Z17" s="10">
        <f t="shared" si="8"/>
        <v>6.4440817763970815E-2</v>
      </c>
      <c r="AA17" s="10">
        <f t="shared" si="9"/>
        <v>6.3269068796485112E-2</v>
      </c>
      <c r="AD17" s="66"/>
      <c r="AE17" s="9" t="s">
        <v>360</v>
      </c>
      <c r="AF17" s="145">
        <f>0.5*P14^2+0.25*W14^2 - W16^2</f>
        <v>31693915.332878578</v>
      </c>
    </row>
    <row r="18" spans="1:32">
      <c r="A18" s="66">
        <v>0.3</v>
      </c>
      <c r="B18" s="10">
        <f t="shared" si="0"/>
        <v>0.99984554628015776</v>
      </c>
      <c r="C18" s="10">
        <f t="shared" si="1"/>
        <v>0.97990701493148469</v>
      </c>
      <c r="D18" s="66">
        <f t="shared" si="10"/>
        <v>2</v>
      </c>
      <c r="E18" s="10">
        <f t="shared" si="2"/>
        <v>3.2658522154930973E-2</v>
      </c>
      <c r="G18" t="s">
        <v>353</v>
      </c>
      <c r="I18" s="66">
        <f>0.05*0.5+0.07*0.25+0.11*0.25</f>
        <v>7.0000000000000007E-2</v>
      </c>
      <c r="K18" s="10">
        <f t="shared" si="3"/>
        <v>0.98546955161340599</v>
      </c>
      <c r="L18" s="10">
        <f t="shared" si="4"/>
        <v>3.2843911405845611E-2</v>
      </c>
      <c r="R18" s="10">
        <f t="shared" si="5"/>
        <v>0.96917701612339202</v>
      </c>
      <c r="S18" s="10">
        <f t="shared" si="6"/>
        <v>3.2300910770935547E-2</v>
      </c>
      <c r="Y18" s="10">
        <f t="shared" si="7"/>
        <v>3.2366674646349104E-2</v>
      </c>
      <c r="Z18" s="10">
        <f t="shared" si="8"/>
        <v>3.2002314956912171E-2</v>
      </c>
      <c r="AA18" s="10">
        <f t="shared" si="9"/>
        <v>3.1305300319043244E-2</v>
      </c>
      <c r="AD18" s="66"/>
      <c r="AE18" s="9" t="s">
        <v>361</v>
      </c>
      <c r="AF18" s="145">
        <f>AF16+AF17</f>
        <v>72065774.54809162</v>
      </c>
    </row>
    <row r="19" spans="1:32">
      <c r="A19" s="66">
        <v>0.35</v>
      </c>
      <c r="B19" s="10">
        <f t="shared" si="0"/>
        <v>0.9998195023964358</v>
      </c>
      <c r="C19" s="10">
        <f t="shared" si="1"/>
        <v>0.97659765654245712</v>
      </c>
      <c r="D19" s="66">
        <f t="shared" si="10"/>
        <v>4</v>
      </c>
      <c r="E19" s="10">
        <f t="shared" si="2"/>
        <v>6.5094758867053668E-2</v>
      </c>
      <c r="G19" t="s">
        <v>354</v>
      </c>
      <c r="K19" s="10">
        <f t="shared" si="3"/>
        <v>0.98306842053333698</v>
      </c>
      <c r="L19" s="10">
        <f t="shared" si="4"/>
        <v>6.5526065269286088E-2</v>
      </c>
      <c r="R19" s="10">
        <f t="shared" si="5"/>
        <v>0.96413302094065223</v>
      </c>
      <c r="S19" s="10">
        <f t="shared" si="6"/>
        <v>6.426393314939037E-2</v>
      </c>
      <c r="Y19" s="10">
        <f t="shared" si="7"/>
        <v>6.4416605488041428E-2</v>
      </c>
      <c r="Z19" s="10">
        <f t="shared" si="8"/>
        <v>6.3571388962760947E-2</v>
      </c>
      <c r="AA19" s="10">
        <f t="shared" si="9"/>
        <v>6.195898000484986E-2</v>
      </c>
      <c r="AE19" s="48" t="s">
        <v>362</v>
      </c>
      <c r="AF19" s="57">
        <f>SQRT(AF18)</f>
        <v>8489.1562918874115</v>
      </c>
    </row>
    <row r="20" spans="1:32">
      <c r="A20" s="66">
        <v>0.4</v>
      </c>
      <c r="B20" s="10">
        <f t="shared" si="0"/>
        <v>0.99979337099949961</v>
      </c>
      <c r="C20" s="10">
        <f t="shared" si="1"/>
        <v>0.97329947457402854</v>
      </c>
      <c r="D20" s="66">
        <f t="shared" si="10"/>
        <v>2</v>
      </c>
      <c r="E20" s="10">
        <f t="shared" si="2"/>
        <v>3.2436612089213661E-2</v>
      </c>
      <c r="K20" s="10">
        <f t="shared" si="3"/>
        <v>0.98067313989324767</v>
      </c>
      <c r="L20" s="10">
        <f t="shared" si="4"/>
        <v>3.268235014608447E-2</v>
      </c>
      <c r="R20" s="10">
        <f t="shared" si="5"/>
        <v>0.95911527678015129</v>
      </c>
      <c r="S20" s="10">
        <f t="shared" si="6"/>
        <v>3.1963903191638193E-2</v>
      </c>
      <c r="Y20" s="10">
        <f t="shared" si="7"/>
        <v>3.2050702936851201E-2</v>
      </c>
      <c r="Z20" s="10">
        <f t="shared" si="8"/>
        <v>3.1570537503393239E-2</v>
      </c>
      <c r="AA20" s="10">
        <f t="shared" si="9"/>
        <v>3.0657067856622026E-2</v>
      </c>
    </row>
    <row r="21" spans="1:32">
      <c r="A21" s="66">
        <v>0.45</v>
      </c>
      <c r="B21" s="10">
        <f t="shared" si="0"/>
        <v>0.99976715157929852</v>
      </c>
      <c r="C21" s="10">
        <f t="shared" si="1"/>
        <v>0.97001243128100456</v>
      </c>
      <c r="D21" s="66">
        <f t="shared" si="10"/>
        <v>4</v>
      </c>
      <c r="E21" s="10">
        <f t="shared" si="2"/>
        <v>6.4652437694554671E-2</v>
      </c>
      <c r="K21" s="10">
        <f t="shared" si="3"/>
        <v>0.97828369543833626</v>
      </c>
      <c r="L21" s="10">
        <f t="shared" si="4"/>
        <v>6.5203726908323698E-2</v>
      </c>
      <c r="R21" s="10">
        <f t="shared" si="5"/>
        <v>0.95412364702078922</v>
      </c>
      <c r="S21" s="10">
        <f t="shared" si="6"/>
        <v>6.3593432055761775E-2</v>
      </c>
      <c r="Y21" s="10">
        <f t="shared" si="7"/>
        <v>6.3787742916226992E-2</v>
      </c>
      <c r="Z21" s="10">
        <f t="shared" si="8"/>
        <v>6.2713668276338647E-2</v>
      </c>
      <c r="AA21" s="10">
        <f t="shared" si="9"/>
        <v>6.0675997319612193E-2</v>
      </c>
    </row>
    <row r="22" spans="1:32">
      <c r="A22" s="66">
        <v>0.5</v>
      </c>
      <c r="B22" s="10">
        <f t="shared" si="0"/>
        <v>0.99974084362282878</v>
      </c>
      <c r="C22" s="10">
        <f t="shared" si="1"/>
        <v>0.96673648904566356</v>
      </c>
      <c r="D22" s="66">
        <f t="shared" si="10"/>
        <v>2</v>
      </c>
      <c r="E22" s="10">
        <f t="shared" si="2"/>
        <v>3.2216198437316108E-2</v>
      </c>
      <c r="K22" s="10">
        <f t="shared" si="3"/>
        <v>0.97590007294853309</v>
      </c>
      <c r="L22" s="10">
        <f t="shared" si="4"/>
        <v>3.2521572074038219E-2</v>
      </c>
      <c r="R22" s="10">
        <f t="shared" si="5"/>
        <v>0.94915799575249904</v>
      </c>
      <c r="S22" s="10">
        <f t="shared" si="6"/>
        <v>3.1630400513498552E-2</v>
      </c>
      <c r="Y22" s="10">
        <f t="shared" si="7"/>
        <v>3.1737804559454873E-2</v>
      </c>
      <c r="Z22" s="10">
        <f t="shared" si="8"/>
        <v>3.1144574567689369E-2</v>
      </c>
      <c r="AA22" s="10">
        <f t="shared" si="9"/>
        <v>3.0022247556241104E-2</v>
      </c>
    </row>
    <row r="23" spans="1:32">
      <c r="A23" s="66">
        <v>0.55000000000000004</v>
      </c>
      <c r="B23" s="10">
        <f t="shared" si="0"/>
        <v>0.99971444661411724</v>
      </c>
      <c r="C23" s="10">
        <f t="shared" si="1"/>
        <v>0.96347161037732765</v>
      </c>
      <c r="D23" s="66">
        <f t="shared" si="10"/>
        <v>4</v>
      </c>
      <c r="E23" s="10">
        <f t="shared" si="2"/>
        <v>6.4213099186452169E-2</v>
      </c>
      <c r="K23" s="10">
        <f t="shared" si="3"/>
        <v>0.97352225823841654</v>
      </c>
      <c r="L23" s="10">
        <f t="shared" si="4"/>
        <v>6.4882951044089629E-2</v>
      </c>
      <c r="R23" s="10">
        <f t="shared" si="5"/>
        <v>0.94421818777254485</v>
      </c>
      <c r="S23" s="10">
        <f t="shared" si="6"/>
        <v>6.2929904204800963E-2</v>
      </c>
      <c r="Y23" s="10">
        <f t="shared" si="7"/>
        <v>6.3164997021614766E-2</v>
      </c>
      <c r="Z23" s="10">
        <f t="shared" si="8"/>
        <v>6.1867498080490142E-2</v>
      </c>
      <c r="AA23" s="10">
        <f t="shared" si="9"/>
        <v>5.9419560104957012E-2</v>
      </c>
    </row>
    <row r="24" spans="1:32">
      <c r="A24" s="66">
        <v>0.6</v>
      </c>
      <c r="B24" s="10">
        <f t="shared" si="0"/>
        <v>0.9996879600342039</v>
      </c>
      <c r="C24" s="10">
        <f t="shared" si="1"/>
        <v>0.9602177579119332</v>
      </c>
      <c r="D24" s="66">
        <f t="shared" si="10"/>
        <v>2</v>
      </c>
      <c r="E24" s="10">
        <f t="shared" si="2"/>
        <v>3.1997271053186588E-2</v>
      </c>
      <c r="K24" s="10">
        <f t="shared" si="3"/>
        <v>0.97115023715712745</v>
      </c>
      <c r="L24" s="10">
        <f t="shared" si="4"/>
        <v>3.2361573315678072E-2</v>
      </c>
      <c r="R24" s="10">
        <f t="shared" si="5"/>
        <v>0.93930408858184167</v>
      </c>
      <c r="S24" s="10">
        <f t="shared" si="6"/>
        <v>3.1300366272205615E-2</v>
      </c>
      <c r="Y24" s="10">
        <f t="shared" si="7"/>
        <v>3.142794960029853E-2</v>
      </c>
      <c r="Z24" s="10">
        <f t="shared" si="8"/>
        <v>3.0724347869991227E-2</v>
      </c>
      <c r="AA24" s="10">
        <f t="shared" si="9"/>
        <v>2.9400562013591914E-2</v>
      </c>
    </row>
    <row r="25" spans="1:32">
      <c r="A25" s="66">
        <v>0.65</v>
      </c>
      <c r="B25" s="10">
        <f t="shared" si="0"/>
        <v>0.99966138336112531</v>
      </c>
      <c r="C25" s="10">
        <f t="shared" si="1"/>
        <v>0.95697489441160266</v>
      </c>
      <c r="D25" s="66">
        <f t="shared" si="10"/>
        <v>4</v>
      </c>
      <c r="E25" s="10">
        <f t="shared" si="2"/>
        <v>6.3776723119291306E-2</v>
      </c>
      <c r="K25" s="10">
        <f t="shared" si="3"/>
        <v>0.96878399558828687</v>
      </c>
      <c r="L25" s="10">
        <f t="shared" si="4"/>
        <v>6.4563729947193685E-2</v>
      </c>
      <c r="R25" s="10">
        <f t="shared" si="5"/>
        <v>0.93441556438129325</v>
      </c>
      <c r="S25" s="10">
        <f t="shared" si="6"/>
        <v>6.227327704823802E-2</v>
      </c>
      <c r="Y25" s="10">
        <f t="shared" si="7"/>
        <v>6.2548308268325428E-2</v>
      </c>
      <c r="Z25" s="10">
        <f t="shared" si="8"/>
        <v>6.1032722873001814E-2</v>
      </c>
      <c r="AA25" s="10">
        <f t="shared" si="9"/>
        <v>5.8189119318901965E-2</v>
      </c>
    </row>
    <row r="26" spans="1:32">
      <c r="A26" s="66">
        <v>0.7</v>
      </c>
      <c r="B26" s="10">
        <f t="shared" si="0"/>
        <v>0.9996347160698964</v>
      </c>
      <c r="C26" s="10">
        <f t="shared" si="1"/>
        <v>0.95374298276421898</v>
      </c>
      <c r="D26" s="66">
        <f t="shared" si="10"/>
        <v>2</v>
      </c>
      <c r="E26" s="10">
        <f t="shared" si="2"/>
        <v>3.1779819859305537E-2</v>
      </c>
      <c r="K26" s="10">
        <f t="shared" si="3"/>
        <v>0.96642351944990967</v>
      </c>
      <c r="L26" s="10">
        <f t="shared" si="4"/>
        <v>3.2202350015619351E-2</v>
      </c>
      <c r="R26" s="10">
        <f t="shared" si="5"/>
        <v>0.92955248206814833</v>
      </c>
      <c r="S26" s="10">
        <f t="shared" si="6"/>
        <v>3.0973764382808702E-2</v>
      </c>
      <c r="Y26" s="10">
        <f t="shared" si="7"/>
        <v>3.1121108436652705E-2</v>
      </c>
      <c r="Z26" s="10">
        <f t="shared" si="8"/>
        <v>3.0309780184323624E-2</v>
      </c>
      <c r="AA26" s="10">
        <f t="shared" si="9"/>
        <v>2.8791739561033838E-2</v>
      </c>
    </row>
    <row r="27" spans="1:32">
      <c r="A27" s="66">
        <v>0.75</v>
      </c>
      <c r="B27" s="10">
        <f t="shared" si="0"/>
        <v>0.99960795763249444</v>
      </c>
      <c r="C27" s="10">
        <f t="shared" si="1"/>
        <v>0.95052198598300108</v>
      </c>
      <c r="D27" s="66">
        <f t="shared" si="10"/>
        <v>4</v>
      </c>
      <c r="E27" s="10">
        <f t="shared" si="2"/>
        <v>6.3343289406216682E-2</v>
      </c>
      <c r="K27" s="10">
        <f t="shared" si="3"/>
        <v>0.96406879469432316</v>
      </c>
      <c r="L27" s="10">
        <f t="shared" si="4"/>
        <v>6.4246055925440859E-2</v>
      </c>
      <c r="R27" s="10">
        <f t="shared" si="5"/>
        <v>0.92471470923237709</v>
      </c>
      <c r="S27" s="10">
        <f t="shared" si="6"/>
        <v>6.162347879256682E-2</v>
      </c>
      <c r="Y27" s="10">
        <f t="shared" si="7"/>
        <v>6.1937617699903851E-2</v>
      </c>
      <c r="Z27" s="10">
        <f t="shared" si="8"/>
        <v>6.0209189245093074E-2</v>
      </c>
      <c r="AA27" s="10">
        <f t="shared" si="9"/>
        <v>5.6984137273555981E-2</v>
      </c>
    </row>
    <row r="28" spans="1:32">
      <c r="A28" s="66">
        <v>0.8</v>
      </c>
      <c r="B28" s="10">
        <f t="shared" si="0"/>
        <v>0.99958110751784079</v>
      </c>
      <c r="C28" s="10">
        <f t="shared" si="1"/>
        <v>0.94731186720608029</v>
      </c>
      <c r="D28" s="66">
        <f t="shared" si="10"/>
        <v>2</v>
      </c>
      <c r="E28" s="10">
        <f t="shared" si="2"/>
        <v>3.1563834846221585E-2</v>
      </c>
      <c r="K28" s="10">
        <f t="shared" si="3"/>
        <v>0.96171980730808126</v>
      </c>
      <c r="L28" s="10">
        <f t="shared" si="4"/>
        <v>3.2043898337028545E-2</v>
      </c>
      <c r="R28" s="10">
        <f t="shared" si="5"/>
        <v>0.91990211415306622</v>
      </c>
      <c r="S28" s="10">
        <f t="shared" si="6"/>
        <v>3.065055913577084E-2</v>
      </c>
      <c r="Y28" s="10">
        <f t="shared" si="7"/>
        <v>3.0817251734086837E-2</v>
      </c>
      <c r="Z28" s="10">
        <f t="shared" si="8"/>
        <v>2.9900795324358513E-2</v>
      </c>
      <c r="AA28" s="10">
        <f t="shared" si="9"/>
        <v>2.8195514148969175E-2</v>
      </c>
    </row>
    <row r="29" spans="1:32">
      <c r="A29" s="66">
        <v>0.85</v>
      </c>
      <c r="B29" s="10">
        <f t="shared" si="0"/>
        <v>0.99955416519178353</v>
      </c>
      <c r="C29" s="10">
        <f t="shared" si="1"/>
        <v>0.94411258969607781</v>
      </c>
      <c r="D29" s="66">
        <f t="shared" si="10"/>
        <v>4</v>
      </c>
      <c r="E29" s="10">
        <f t="shared" si="2"/>
        <v>6.2912778096047728E-2</v>
      </c>
      <c r="K29" s="10">
        <f t="shared" si="3"/>
        <v>0.95937654331188271</v>
      </c>
      <c r="L29" s="10">
        <f t="shared" si="4"/>
        <v>6.3929921323645861E-2</v>
      </c>
      <c r="R29" s="10">
        <f t="shared" si="5"/>
        <v>0.91511456579483175</v>
      </c>
      <c r="S29" s="10">
        <f t="shared" si="6"/>
        <v>6.0980438391192972E-2</v>
      </c>
      <c r="Y29" s="10">
        <f t="shared" si="7"/>
        <v>6.1332866933679987E-2</v>
      </c>
      <c r="Z29" s="10">
        <f t="shared" si="8"/>
        <v>5.9396745853234297E-2</v>
      </c>
      <c r="AA29" s="10">
        <f t="shared" si="9"/>
        <v>5.5804087400335045E-2</v>
      </c>
    </row>
    <row r="30" spans="1:32">
      <c r="A30" s="66">
        <v>0.9</v>
      </c>
      <c r="B30" s="10">
        <f t="shared" si="0"/>
        <v>0.99952713011708016</v>
      </c>
      <c r="C30" s="10">
        <f t="shared" si="1"/>
        <v>0.94092411683968569</v>
      </c>
      <c r="D30" s="66">
        <f t="shared" si="10"/>
        <v>2</v>
      </c>
      <c r="E30" s="10">
        <f t="shared" si="2"/>
        <v>3.1349306072090646E-2</v>
      </c>
      <c r="K30" s="10">
        <f t="shared" si="3"/>
        <v>0.95703898876048754</v>
      </c>
      <c r="L30" s="10">
        <f t="shared" si="4"/>
        <v>3.1886214461530761E-2</v>
      </c>
      <c r="R30" s="10">
        <f t="shared" si="5"/>
        <v>0.91035193380425161</v>
      </c>
      <c r="S30" s="10">
        <f t="shared" si="6"/>
        <v>3.0330715193063264E-2</v>
      </c>
      <c r="Y30" s="10">
        <f t="shared" si="7"/>
        <v>3.0516350443663433E-2</v>
      </c>
      <c r="Z30" s="10">
        <f t="shared" si="8"/>
        <v>2.9497318129418887E-2</v>
      </c>
      <c r="AA30" s="10">
        <f t="shared" si="9"/>
        <v>2.7611625229671137E-2</v>
      </c>
    </row>
    <row r="31" spans="1:32">
      <c r="A31" s="66">
        <v>0.95</v>
      </c>
      <c r="B31" s="10">
        <f t="shared" si="0"/>
        <v>0.99950000175337983</v>
      </c>
      <c r="C31" s="10">
        <f t="shared" si="1"/>
        <v>0.9377464121472463</v>
      </c>
      <c r="D31" s="66">
        <f t="shared" si="10"/>
        <v>4</v>
      </c>
      <c r="E31" s="10">
        <f t="shared" si="2"/>
        <v>6.2485169372359893E-2</v>
      </c>
      <c r="K31" s="10">
        <f t="shared" si="3"/>
        <v>0.95470712974263294</v>
      </c>
      <c r="L31" s="10">
        <f t="shared" si="4"/>
        <v>6.36153185234484E-2</v>
      </c>
      <c r="R31" s="10">
        <f t="shared" si="5"/>
        <v>0.90561408850631697</v>
      </c>
      <c r="S31" s="10">
        <f t="shared" si="6"/>
        <v>6.0344085536663296E-2</v>
      </c>
      <c r="Y31" s="10">
        <f t="shared" si="7"/>
        <v>6.0733998155184772E-2</v>
      </c>
      <c r="Z31" s="10">
        <f t="shared" si="8"/>
        <v>5.8595243391343491E-2</v>
      </c>
      <c r="AA31" s="10">
        <f t="shared" si="9"/>
        <v>5.4648454020032558E-2</v>
      </c>
    </row>
    <row r="32" spans="1:32">
      <c r="A32" s="66">
        <v>1</v>
      </c>
      <c r="B32" s="10">
        <f t="shared" si="0"/>
        <v>0.99947277955720559</v>
      </c>
      <c r="C32" s="10">
        <f t="shared" si="1"/>
        <v>0.93457943925233644</v>
      </c>
      <c r="D32" s="66">
        <f t="shared" si="10"/>
        <v>2</v>
      </c>
      <c r="E32" s="10">
        <f t="shared" si="2"/>
        <v>3.1136223662218243E-2</v>
      </c>
      <c r="K32" s="10">
        <f t="shared" si="3"/>
        <v>0.95238095238095233</v>
      </c>
      <c r="L32" s="10">
        <f t="shared" si="4"/>
        <v>3.1729294589117635E-2</v>
      </c>
      <c r="R32" s="10">
        <f t="shared" si="5"/>
        <v>0.9009009009009008</v>
      </c>
      <c r="S32" s="10">
        <f t="shared" si="6"/>
        <v>3.0014197584300465E-2</v>
      </c>
      <c r="Y32" s="10">
        <f t="shared" si="7"/>
        <v>3.021837579915965E-2</v>
      </c>
      <c r="Z32" s="10">
        <f t="shared" si="8"/>
        <v>2.9099274450671255E-2</v>
      </c>
      <c r="AA32" s="10">
        <f t="shared" si="9"/>
        <v>2.703981764351393E-2</v>
      </c>
    </row>
    <row r="33" spans="1:27">
      <c r="A33" s="66">
        <v>1.05</v>
      </c>
      <c r="B33" s="10">
        <f t="shared" si="0"/>
        <v>0.99944546298193593</v>
      </c>
      <c r="C33" s="10">
        <f t="shared" si="1"/>
        <v>0.93142316191134933</v>
      </c>
      <c r="D33" s="66">
        <f t="shared" si="10"/>
        <v>4</v>
      </c>
      <c r="E33" s="10">
        <f t="shared" si="2"/>
        <v>6.2060443552572488E-2</v>
      </c>
      <c r="K33" s="10">
        <f t="shared" si="3"/>
        <v>0.95006044283189128</v>
      </c>
      <c r="L33" s="10">
        <f t="shared" si="4"/>
        <v>6.3302239943129515E-2</v>
      </c>
      <c r="R33" s="10">
        <f t="shared" si="5"/>
        <v>0.89621224265924526</v>
      </c>
      <c r="S33" s="10">
        <f t="shared" si="6"/>
        <v>5.9714350652976568E-2</v>
      </c>
      <c r="Y33" s="10">
        <f t="shared" si="7"/>
        <v>6.0140954112620264E-2</v>
      </c>
      <c r="Z33" s="10">
        <f t="shared" si="8"/>
        <v>5.7804534563357879E-2</v>
      </c>
      <c r="AA33" s="10">
        <f t="shared" si="9"/>
        <v>5.3516732117644697E-2</v>
      </c>
    </row>
    <row r="34" spans="1:27">
      <c r="A34" s="66">
        <v>1.1000000000000001</v>
      </c>
      <c r="B34" s="10">
        <f t="shared" si="0"/>
        <v>0.99941805147778806</v>
      </c>
      <c r="C34" s="10">
        <f t="shared" si="1"/>
        <v>0.92827754400308116</v>
      </c>
      <c r="D34" s="66">
        <f t="shared" si="10"/>
        <v>2</v>
      </c>
      <c r="E34" s="10">
        <f t="shared" si="2"/>
        <v>3.0924577808604872E-2</v>
      </c>
      <c r="K34" s="10">
        <f t="shared" si="3"/>
        <v>0.94774558728562597</v>
      </c>
      <c r="L34" s="10">
        <f t="shared" si="4"/>
        <v>3.1573134938055747E-2</v>
      </c>
      <c r="R34" s="10">
        <f t="shared" si="5"/>
        <v>0.89154798612046871</v>
      </c>
      <c r="S34" s="10">
        <f t="shared" si="6"/>
        <v>2.97009717029155E-2</v>
      </c>
      <c r="Y34" s="10">
        <f t="shared" si="7"/>
        <v>2.9923299314315959E-2</v>
      </c>
      <c r="Z34" s="10">
        <f t="shared" si="8"/>
        <v>2.8706591137503918E-2</v>
      </c>
      <c r="AA34" s="10">
        <f t="shared" si="9"/>
        <v>2.6479841507555342E-2</v>
      </c>
    </row>
    <row r="35" spans="1:27">
      <c r="A35" s="66">
        <v>1.1499999999999999</v>
      </c>
      <c r="B35" s="10">
        <f t="shared" si="0"/>
        <v>0.99939054449179832</v>
      </c>
      <c r="C35" s="10">
        <f t="shared" si="1"/>
        <v>0.9251425495283172</v>
      </c>
      <c r="D35" s="66">
        <f t="shared" si="10"/>
        <v>4</v>
      </c>
      <c r="E35" s="10">
        <f t="shared" si="2"/>
        <v>6.1638581087042364E-2</v>
      </c>
      <c r="K35" s="10">
        <f t="shared" si="3"/>
        <v>0.9454363719659804</v>
      </c>
      <c r="L35" s="10">
        <f t="shared" si="4"/>
        <v>6.2990678037428777E-2</v>
      </c>
      <c r="R35" s="10">
        <f t="shared" si="5"/>
        <v>0.88690800428808847</v>
      </c>
      <c r="S35" s="10">
        <f t="shared" si="6"/>
        <v>5.90911648879738E-2</v>
      </c>
      <c r="Y35" s="10">
        <f t="shared" si="7"/>
        <v>5.9553678111383825E-2</v>
      </c>
      <c r="Z35" s="10">
        <f t="shared" si="8"/>
        <v>5.7024474056174286E-2</v>
      </c>
      <c r="AA35" s="10">
        <f t="shared" si="9"/>
        <v>5.240842712185121E-2</v>
      </c>
    </row>
    <row r="36" spans="1:27">
      <c r="A36" s="66">
        <v>1.2</v>
      </c>
      <c r="B36" s="10">
        <f t="shared" si="0"/>
        <v>0.99936294146780535</v>
      </c>
      <c r="C36" s="10">
        <f t="shared" si="1"/>
        <v>0.92201814260941994</v>
      </c>
      <c r="D36" s="66">
        <f t="shared" si="10"/>
        <v>2</v>
      </c>
      <c r="E36" s="10">
        <f t="shared" si="2"/>
        <v>3.0714358769494413E-2</v>
      </c>
      <c r="K36" s="10">
        <f t="shared" si="3"/>
        <v>0.9431327831303451</v>
      </c>
      <c r="L36" s="10">
        <f t="shared" si="4"/>
        <v>3.1417731744795313E-2</v>
      </c>
      <c r="R36" s="10">
        <f t="shared" si="5"/>
        <v>0.88229217082656441</v>
      </c>
      <c r="S36" s="10">
        <f t="shared" si="6"/>
        <v>2.9391003302375027E-2</v>
      </c>
      <c r="Y36" s="10">
        <f t="shared" si="7"/>
        <v>2.9631092780111397E-2</v>
      </c>
      <c r="Z36" s="10">
        <f t="shared" si="8"/>
        <v>2.8319196024088587E-2</v>
      </c>
      <c r="AA36" s="10">
        <f t="shared" si="9"/>
        <v>2.5931452106423187E-2</v>
      </c>
    </row>
    <row r="37" spans="1:27">
      <c r="A37" s="66">
        <v>1.25</v>
      </c>
      <c r="B37" s="10">
        <f t="shared" si="0"/>
        <v>0.99933524184643086</v>
      </c>
      <c r="C37" s="10">
        <f t="shared" si="1"/>
        <v>0.91890428748991804</v>
      </c>
      <c r="D37" s="66">
        <f t="shared" si="10"/>
        <v>4</v>
      </c>
      <c r="E37" s="10">
        <f t="shared" si="2"/>
        <v>6.1219562558163965E-2</v>
      </c>
      <c r="K37" s="10">
        <f t="shared" si="3"/>
        <v>0.94083480706959433</v>
      </c>
      <c r="L37" s="10">
        <f t="shared" si="4"/>
        <v>6.2680625297362208E-2</v>
      </c>
      <c r="R37" s="10">
        <f t="shared" si="5"/>
        <v>0.87770036005785779</v>
      </c>
      <c r="S37" s="10">
        <f t="shared" si="6"/>
        <v>5.8474460105807917E-2</v>
      </c>
      <c r="Y37" s="10">
        <f t="shared" si="7"/>
        <v>5.8972114008645306E-2</v>
      </c>
      <c r="Z37" s="10">
        <f t="shared" si="8"/>
        <v>5.6254918512954125E-2</v>
      </c>
      <c r="AA37" s="10">
        <f t="shared" si="9"/>
        <v>5.1323054689056451E-2</v>
      </c>
    </row>
    <row r="38" spans="1:27">
      <c r="A38" s="66">
        <v>1.3</v>
      </c>
      <c r="B38" s="10">
        <f t="shared" si="0"/>
        <v>0.99930744506506175</v>
      </c>
      <c r="C38" s="10">
        <f t="shared" si="1"/>
        <v>0.91580094853409788</v>
      </c>
      <c r="D38" s="66">
        <f t="shared" si="10"/>
        <v>2</v>
      </c>
      <c r="E38" s="10">
        <f t="shared" si="2"/>
        <v>3.0505556868925653E-2</v>
      </c>
      <c r="K38" s="10">
        <f t="shared" si="3"/>
        <v>0.93854243010800564</v>
      </c>
      <c r="L38" s="10">
        <f t="shared" si="4"/>
        <v>3.1263081263879521E-2</v>
      </c>
      <c r="R38" s="10">
        <f t="shared" si="5"/>
        <v>0.87313244695801073</v>
      </c>
      <c r="S38" s="10">
        <f t="shared" si="6"/>
        <v>2.9084258492433849E-2</v>
      </c>
      <c r="Y38" s="10">
        <f t="shared" si="7"/>
        <v>2.9341728262065547E-2</v>
      </c>
      <c r="Z38" s="10">
        <f t="shared" si="8"/>
        <v>2.7937017916122978E-2</v>
      </c>
      <c r="AA38" s="10">
        <f t="shared" si="9"/>
        <v>2.539440978545807E-2</v>
      </c>
    </row>
    <row r="39" spans="1:27">
      <c r="A39" s="66">
        <v>1.35</v>
      </c>
      <c r="B39" s="10">
        <f t="shared" si="0"/>
        <v>0.99927955055783146</v>
      </c>
      <c r="C39" s="10">
        <f t="shared" si="1"/>
        <v>0.91270809022659538</v>
      </c>
      <c r="D39" s="66">
        <f t="shared" si="10"/>
        <v>4</v>
      </c>
      <c r="E39" s="10">
        <f t="shared" si="2"/>
        <v>6.0803368679475257E-2</v>
      </c>
      <c r="K39" s="10">
        <f t="shared" si="3"/>
        <v>0.93625563860317795</v>
      </c>
      <c r="L39" s="10">
        <f t="shared" si="4"/>
        <v>6.2372074250041272E-2</v>
      </c>
      <c r="R39" s="10">
        <f t="shared" si="5"/>
        <v>0.86858830715374058</v>
      </c>
      <c r="S39" s="10">
        <f t="shared" si="6"/>
        <v>5.7864168879491834E-2</v>
      </c>
      <c r="Y39" s="10">
        <f t="shared" si="7"/>
        <v>5.8396206207977225E-2</v>
      </c>
      <c r="Z39" s="10">
        <f t="shared" si="8"/>
        <v>5.5495726506787448E-2</v>
      </c>
      <c r="AA39" s="10">
        <f t="shared" si="9"/>
        <v>5.026014049189597E-2</v>
      </c>
    </row>
    <row r="40" spans="1:27">
      <c r="A40" s="66">
        <v>1.4</v>
      </c>
      <c r="B40" s="10">
        <f t="shared" si="0"/>
        <v>0.99925155775560137</v>
      </c>
      <c r="C40" s="10">
        <f t="shared" si="1"/>
        <v>0.90962567717198939</v>
      </c>
      <c r="D40" s="66">
        <f t="shared" si="10"/>
        <v>2</v>
      </c>
      <c r="E40" s="10">
        <f t="shared" si="2"/>
        <v>3.0298162496286807E-2</v>
      </c>
      <c r="K40" s="10">
        <f t="shared" si="3"/>
        <v>0.93397441894595001</v>
      </c>
      <c r="L40" s="10">
        <f t="shared" si="4"/>
        <v>3.1109179767854111E-2</v>
      </c>
      <c r="R40" s="10">
        <f t="shared" si="5"/>
        <v>0.8640678169190551</v>
      </c>
      <c r="S40" s="10">
        <f t="shared" si="6"/>
        <v>2.8780703735428258E-2</v>
      </c>
      <c r="Y40" s="10">
        <f t="shared" si="7"/>
        <v>2.9055178097566647E-2</v>
      </c>
      <c r="Z40" s="10">
        <f t="shared" si="8"/>
        <v>2.7559986577751858E-2</v>
      </c>
      <c r="AA40" s="10">
        <f t="shared" si="9"/>
        <v>2.4868479846065588E-2</v>
      </c>
    </row>
    <row r="41" spans="1:27">
      <c r="A41" s="66">
        <v>1.45</v>
      </c>
      <c r="B41" s="10">
        <f t="shared" si="0"/>
        <v>0.99922346608594215</v>
      </c>
      <c r="C41" s="10">
        <f t="shared" si="1"/>
        <v>0.90655367409439658</v>
      </c>
      <c r="D41" s="66">
        <f t="shared" si="10"/>
        <v>4</v>
      </c>
      <c r="E41" s="10">
        <f t="shared" si="2"/>
        <v>6.0389980294769906E-2</v>
      </c>
      <c r="K41" s="10">
        <f t="shared" si="3"/>
        <v>0.93169875756032017</v>
      </c>
      <c r="L41" s="10">
        <f t="shared" si="4"/>
        <v>6.2065017458492605E-2</v>
      </c>
      <c r="R41" s="10">
        <f t="shared" si="5"/>
        <v>0.8595708531718822</v>
      </c>
      <c r="S41" s="10">
        <f t="shared" si="6"/>
        <v>5.7260224483523907E-2</v>
      </c>
      <c r="Y41" s="10">
        <f t="shared" si="7"/>
        <v>5.7825899654037137E-2</v>
      </c>
      <c r="Z41" s="10">
        <f t="shared" si="8"/>
        <v>5.474675851471187E-2</v>
      </c>
      <c r="AA41" s="10">
        <f t="shared" si="9"/>
        <v>4.9219220012116142E-2</v>
      </c>
    </row>
    <row r="42" spans="1:27">
      <c r="A42" s="66">
        <v>1.5</v>
      </c>
      <c r="B42" s="10">
        <f t="shared" si="0"/>
        <v>0.99919527497311489</v>
      </c>
      <c r="C42" s="10">
        <f t="shared" si="1"/>
        <v>0.90349204583706866</v>
      </c>
      <c r="D42" s="66">
        <f t="shared" si="10"/>
        <v>2</v>
      </c>
      <c r="E42" s="10">
        <f t="shared" si="2"/>
        <v>3.0092166105873064E-2</v>
      </c>
      <c r="K42" s="10">
        <f t="shared" si="3"/>
        <v>0.92942864090336497</v>
      </c>
      <c r="L42" s="10">
        <f t="shared" si="4"/>
        <v>3.0956023547177539E-2</v>
      </c>
      <c r="R42" s="10">
        <f t="shared" si="5"/>
        <v>0.85509729347071961</v>
      </c>
      <c r="S42" s="10">
        <f t="shared" si="6"/>
        <v>2.8480305842608064E-2</v>
      </c>
      <c r="Y42" s="10">
        <f t="shared" si="7"/>
        <v>2.8771414893225784E-2</v>
      </c>
      <c r="Z42" s="10">
        <f t="shared" si="8"/>
        <v>2.718803271866415E-2</v>
      </c>
      <c r="AA42" s="10">
        <f t="shared" si="9"/>
        <v>2.435343244323248E-2</v>
      </c>
    </row>
    <row r="43" spans="1:27">
      <c r="A43" s="66">
        <v>1.55</v>
      </c>
      <c r="B43" s="10">
        <f t="shared" si="0"/>
        <v>0.99916698383805247</v>
      </c>
      <c r="C43" s="10">
        <f t="shared" si="1"/>
        <v>0.90044075736198848</v>
      </c>
      <c r="D43" s="66">
        <f t="shared" si="10"/>
        <v>4</v>
      </c>
      <c r="E43" s="10">
        <f t="shared" si="2"/>
        <v>5.9979378377215314E-2</v>
      </c>
      <c r="K43" s="10">
        <f t="shared" si="3"/>
        <v>0.92716405546515857</v>
      </c>
      <c r="L43" s="10">
        <f t="shared" si="4"/>
        <v>6.1759447521478626E-2</v>
      </c>
      <c r="R43" s="10">
        <f t="shared" si="5"/>
        <v>0.85064701601130166</v>
      </c>
      <c r="S43" s="10">
        <f t="shared" si="6"/>
        <v>5.6662560886590128E-2</v>
      </c>
      <c r="Y43" s="10">
        <f t="shared" si="7"/>
        <v>5.7261139827301757E-2</v>
      </c>
      <c r="Z43" s="10">
        <f t="shared" si="8"/>
        <v>5.400787689208103E-2</v>
      </c>
      <c r="AA43" s="10">
        <f t="shared" si="9"/>
        <v>4.819983833773659E-2</v>
      </c>
    </row>
    <row r="44" spans="1:27">
      <c r="A44" s="66">
        <v>1.6</v>
      </c>
      <c r="B44" s="10">
        <f t="shared" si="0"/>
        <v>0.99913859209834022</v>
      </c>
      <c r="C44" s="10">
        <f t="shared" si="1"/>
        <v>0.89739977374947022</v>
      </c>
      <c r="D44" s="66">
        <f t="shared" si="10"/>
        <v>2</v>
      </c>
      <c r="E44" s="10">
        <f t="shared" si="2"/>
        <v>2.9887558216447157E-2</v>
      </c>
      <c r="K44" s="10">
        <f t="shared" si="3"/>
        <v>0.92490498776869279</v>
      </c>
      <c r="L44" s="10">
        <f t="shared" si="4"/>
        <v>3.0803608910131473E-2</v>
      </c>
      <c r="R44" s="10">
        <f t="shared" si="5"/>
        <v>0.84621989962328081</v>
      </c>
      <c r="S44" s="10">
        <f t="shared" si="6"/>
        <v>2.8183031970506783E-2</v>
      </c>
      <c r="Y44" s="10">
        <f t="shared" si="7"/>
        <v>2.8490411522256745E-2</v>
      </c>
      <c r="Z44" s="10">
        <f t="shared" si="8"/>
        <v>2.68210879813638E-2</v>
      </c>
      <c r="AA44" s="10">
        <f t="shared" si="9"/>
        <v>2.3849042485161964E-2</v>
      </c>
    </row>
    <row r="45" spans="1:27">
      <c r="A45" s="66">
        <v>1.65</v>
      </c>
      <c r="B45" s="10">
        <f t="shared" si="0"/>
        <v>0.99911009916819693</v>
      </c>
      <c r="C45" s="10">
        <f t="shared" si="1"/>
        <v>0.89436906019775941</v>
      </c>
      <c r="D45" s="66">
        <f t="shared" si="10"/>
        <v>4</v>
      </c>
      <c r="E45" s="10">
        <f t="shared" si="2"/>
        <v>5.9571544028476704E-2</v>
      </c>
      <c r="K45" s="10">
        <f t="shared" si="3"/>
        <v>0.92265142436979697</v>
      </c>
      <c r="L45" s="10">
        <f t="shared" si="4"/>
        <v>6.1455357073319068E-2</v>
      </c>
      <c r="R45" s="10">
        <f t="shared" si="5"/>
        <v>0.84181582376693076</v>
      </c>
      <c r="S45" s="10">
        <f t="shared" si="6"/>
        <v>5.6071112744342372E-2</v>
      </c>
      <c r="Y45" s="10">
        <f t="shared" si="7"/>
        <v>5.6701872738852313E-2</v>
      </c>
      <c r="Z45" s="10">
        <f t="shared" si="8"/>
        <v>5.3278945847278159E-2</v>
      </c>
      <c r="AA45" s="10">
        <f t="shared" si="9"/>
        <v>4.7201549964407022E-2</v>
      </c>
    </row>
    <row r="46" spans="1:27">
      <c r="A46" s="66">
        <v>1.7</v>
      </c>
      <c r="B46" s="10">
        <f t="shared" si="0"/>
        <v>0.99908150445845545</v>
      </c>
      <c r="C46" s="10">
        <f t="shared" si="1"/>
        <v>0.89134858202263456</v>
      </c>
      <c r="D46" s="66">
        <f t="shared" si="10"/>
        <v>2</v>
      </c>
      <c r="E46" s="10">
        <f t="shared" si="2"/>
        <v>2.9684329410802828E-2</v>
      </c>
      <c r="K46" s="10">
        <f t="shared" si="3"/>
        <v>0.9204033518570568</v>
      </c>
      <c r="L46" s="10">
        <f t="shared" si="4"/>
        <v>3.0651932182731788E-2</v>
      </c>
      <c r="R46" s="10">
        <f t="shared" si="5"/>
        <v>0.83743466852986326</v>
      </c>
      <c r="S46" s="10">
        <f t="shared" si="6"/>
        <v>2.7888849617349463E-2</v>
      </c>
      <c r="Y46" s="10">
        <f t="shared" si="7"/>
        <v>2.8212141121881529E-2</v>
      </c>
      <c r="Z46" s="10">
        <f t="shared" si="8"/>
        <v>2.645908492861189E-2</v>
      </c>
      <c r="AA46" s="10">
        <f t="shared" si="9"/>
        <v>2.335508953498425E-2</v>
      </c>
    </row>
    <row r="47" spans="1:27">
      <c r="A47" s="66">
        <v>1.75</v>
      </c>
      <c r="B47" s="10">
        <f t="shared" si="0"/>
        <v>0.99905280737654423</v>
      </c>
      <c r="C47" s="10">
        <f t="shared" si="1"/>
        <v>0.88833830465701036</v>
      </c>
      <c r="D47" s="66">
        <f t="shared" si="10"/>
        <v>4</v>
      </c>
      <c r="E47" s="10">
        <f t="shared" si="2"/>
        <v>5.9166458477847073E-2</v>
      </c>
      <c r="K47" s="10">
        <f t="shared" si="3"/>
        <v>0.91816075685173626</v>
      </c>
      <c r="L47" s="10">
        <f t="shared" si="4"/>
        <v>6.1152738783713322E-2</v>
      </c>
      <c r="R47" s="10">
        <f t="shared" si="5"/>
        <v>0.83307631462376308</v>
      </c>
      <c r="S47" s="10">
        <f t="shared" si="6"/>
        <v>5.5485815392251725E-2</v>
      </c>
      <c r="Y47" s="10">
        <f t="shared" si="7"/>
        <v>5.6148044925210749E-2</v>
      </c>
      <c r="Z47" s="10">
        <f t="shared" si="8"/>
        <v>5.2559831416770064E-2</v>
      </c>
      <c r="AA47" s="10">
        <f t="shared" si="9"/>
        <v>4.6223918600871536E-2</v>
      </c>
    </row>
    <row r="48" spans="1:27">
      <c r="A48" s="66">
        <v>1.8</v>
      </c>
      <c r="B48" s="10">
        <f t="shared" si="0"/>
        <v>0.99902400732646657</v>
      </c>
      <c r="C48" s="10">
        <f t="shared" si="1"/>
        <v>0.88533819365054212</v>
      </c>
      <c r="D48" s="66">
        <f t="shared" si="10"/>
        <v>2</v>
      </c>
      <c r="E48" s="10">
        <f t="shared" si="2"/>
        <v>2.9482470335331329E-2</v>
      </c>
      <c r="K48" s="10">
        <f t="shared" si="3"/>
        <v>0.91592362600769639</v>
      </c>
      <c r="L48" s="10">
        <f t="shared" si="4"/>
        <v>3.0500989708639892E-2</v>
      </c>
      <c r="R48" s="10">
        <f t="shared" si="5"/>
        <v>0.82874064338114051</v>
      </c>
      <c r="S48" s="10">
        <f t="shared" si="6"/>
        <v>2.7597726619498043E-2</v>
      </c>
      <c r="Y48" s="10">
        <f t="shared" si="7"/>
        <v>2.7936577090760882E-2</v>
      </c>
      <c r="Z48" s="10">
        <f t="shared" si="8"/>
        <v>2.6101957031037931E-2</v>
      </c>
      <c r="AA48" s="10">
        <f t="shared" si="9"/>
        <v>2.2871357714499635E-2</v>
      </c>
    </row>
    <row r="49" spans="1:27">
      <c r="A49" s="66">
        <v>1.85</v>
      </c>
      <c r="B49" s="10">
        <f t="shared" si="0"/>
        <v>0.99899510370878164</v>
      </c>
      <c r="C49" s="10">
        <f t="shared" si="1"/>
        <v>0.88234821466923152</v>
      </c>
      <c r="D49" s="66">
        <f t="shared" si="10"/>
        <v>4</v>
      </c>
      <c r="E49" s="10">
        <f t="shared" si="2"/>
        <v>5.8764103081383155E-2</v>
      </c>
      <c r="K49" s="10">
        <f t="shared" si="3"/>
        <v>0.91369194601131676</v>
      </c>
      <c r="L49" s="10">
        <f t="shared" si="4"/>
        <v>6.0851585357563596E-2</v>
      </c>
      <c r="R49" s="10">
        <f t="shared" si="5"/>
        <v>0.82442753675210045</v>
      </c>
      <c r="S49" s="10">
        <f t="shared" si="6"/>
        <v>5.4906604838536002E-2</v>
      </c>
      <c r="Y49" s="10">
        <f t="shared" si="7"/>
        <v>5.559960344322603E-2</v>
      </c>
      <c r="Z49" s="10">
        <f t="shared" si="8"/>
        <v>5.1850401440497115E-2</v>
      </c>
      <c r="AA49" s="10">
        <f t="shared" si="9"/>
        <v>4.5266516978455199E-2</v>
      </c>
    </row>
    <row r="50" spans="1:27">
      <c r="A50" s="66">
        <v>1.9</v>
      </c>
      <c r="B50" s="10">
        <f t="shared" si="0"/>
        <v>0.99896609592058561</v>
      </c>
      <c r="C50" s="10">
        <f t="shared" si="1"/>
        <v>0.87936833349503318</v>
      </c>
      <c r="D50" s="66">
        <f t="shared" si="10"/>
        <v>2</v>
      </c>
      <c r="E50" s="10">
        <f t="shared" si="2"/>
        <v>2.928197169959083E-2</v>
      </c>
      <c r="K50" s="10">
        <f t="shared" si="3"/>
        <v>0.91146570358141654</v>
      </c>
      <c r="L50" s="10">
        <f t="shared" si="4"/>
        <v>3.035077784907458E-2</v>
      </c>
      <c r="R50" s="10">
        <f t="shared" si="5"/>
        <v>0.8201368773011275</v>
      </c>
      <c r="S50" s="10">
        <f t="shared" si="6"/>
        <v>2.730963114793359E-2</v>
      </c>
      <c r="Y50" s="10">
        <f t="shared" si="7"/>
        <v>2.7663693086450034E-2</v>
      </c>
      <c r="Z50" s="10">
        <f t="shared" si="8"/>
        <v>2.5749638654917913E-2</v>
      </c>
      <c r="AA50" s="10">
        <f t="shared" si="9"/>
        <v>2.239763560991186E-2</v>
      </c>
    </row>
    <row r="51" spans="1:27">
      <c r="A51" s="66">
        <v>1.95</v>
      </c>
      <c r="B51" s="10">
        <f t="shared" si="0"/>
        <v>0.99893698335549086</v>
      </c>
      <c r="C51" s="10">
        <f t="shared" si="1"/>
        <v>0.87639851602546393</v>
      </c>
      <c r="D51" s="66">
        <f t="shared" si="10"/>
        <v>4</v>
      </c>
      <c r="E51" s="10">
        <f t="shared" si="2"/>
        <v>5.8364459321047057E-2</v>
      </c>
      <c r="K51" s="10">
        <f t="shared" si="3"/>
        <v>0.90924488546917426</v>
      </c>
      <c r="L51" s="10">
        <f t="shared" si="4"/>
        <v>6.0551889534799057E-2</v>
      </c>
      <c r="R51" s="10">
        <f t="shared" si="5"/>
        <v>0.81586854820388932</v>
      </c>
      <c r="S51" s="10">
        <f t="shared" si="6"/>
        <v>5.4333417757161148E-2</v>
      </c>
      <c r="Y51" s="10">
        <f t="shared" si="7"/>
        <v>5.5056495865010463E-2</v>
      </c>
      <c r="Z51" s="10">
        <f t="shared" si="8"/>
        <v>5.1150525537594194E-2</v>
      </c>
      <c r="AA51" s="10">
        <f t="shared" si="9"/>
        <v>4.4328926664490488E-2</v>
      </c>
    </row>
    <row r="52" spans="1:27">
      <c r="A52" s="66">
        <v>2</v>
      </c>
      <c r="B52" s="10">
        <f t="shared" si="0"/>
        <v>0.99890776540360615</v>
      </c>
      <c r="C52" s="10">
        <f t="shared" si="1"/>
        <v>0.87343872827321156</v>
      </c>
      <c r="D52" s="66">
        <f t="shared" si="10"/>
        <v>2</v>
      </c>
      <c r="E52" s="10">
        <f t="shared" si="2"/>
        <v>2.9082824275878716E-2</v>
      </c>
      <c r="K52" s="10">
        <f t="shared" si="3"/>
        <v>0.90702947845804982</v>
      </c>
      <c r="L52" s="10">
        <f t="shared" si="4"/>
        <v>3.0201292982724302E-2</v>
      </c>
      <c r="R52" s="10">
        <f t="shared" si="5"/>
        <v>0.8116224332440547</v>
      </c>
      <c r="S52" s="10">
        <f t="shared" si="6"/>
        <v>2.7024531704775211E-2</v>
      </c>
      <c r="Y52" s="10">
        <f t="shared" si="7"/>
        <v>2.7393463022879184E-2</v>
      </c>
      <c r="Z52" s="10">
        <f t="shared" si="8"/>
        <v>2.5402065050116791E-2</v>
      </c>
      <c r="AA52" s="10">
        <f t="shared" si="9"/>
        <v>2.1933716179510759E-2</v>
      </c>
    </row>
    <row r="53" spans="1:27">
      <c r="A53" s="66">
        <v>2.0499999999999998</v>
      </c>
      <c r="B53" s="10">
        <f t="shared" si="0"/>
        <v>0.99887844145151727</v>
      </c>
      <c r="C53" s="10">
        <f t="shared" si="1"/>
        <v>0.87048893636574698</v>
      </c>
      <c r="D53" s="66">
        <f t="shared" si="10"/>
        <v>4</v>
      </c>
      <c r="E53" s="10">
        <f t="shared" si="2"/>
        <v>5.7967508803853762E-2</v>
      </c>
      <c r="K53" s="10">
        <f t="shared" si="3"/>
        <v>0.90481946936370605</v>
      </c>
      <c r="L53" s="10">
        <f t="shared" si="4"/>
        <v>6.0253644090200516E-2</v>
      </c>
      <c r="R53" s="10">
        <f t="shared" si="5"/>
        <v>0.8073984168101308</v>
      </c>
      <c r="S53" s="10">
        <f t="shared" si="6"/>
        <v>5.3766191480915076E-2</v>
      </c>
      <c r="Y53" s="10">
        <f t="shared" si="7"/>
        <v>5.4518670272924834E-2</v>
      </c>
      <c r="Z53" s="10">
        <f t="shared" si="8"/>
        <v>5.0460075082438736E-2</v>
      </c>
      <c r="AA53" s="10">
        <f t="shared" si="9"/>
        <v>4.3410737879601174E-2</v>
      </c>
    </row>
    <row r="54" spans="1:27">
      <c r="A54" s="66">
        <v>2.1</v>
      </c>
      <c r="B54" s="10">
        <f t="shared" si="0"/>
        <v>0.99884901088226685</v>
      </c>
      <c r="C54" s="10">
        <f t="shared" si="1"/>
        <v>0.86754910654493567</v>
      </c>
      <c r="D54" s="66">
        <f t="shared" si="10"/>
        <v>2</v>
      </c>
      <c r="E54" s="10">
        <f t="shared" si="2"/>
        <v>2.8885018898806777E-2</v>
      </c>
      <c r="K54" s="10">
        <f t="shared" si="3"/>
        <v>0.90261484503392952</v>
      </c>
      <c r="L54" s="10">
        <f t="shared" si="4"/>
        <v>3.0052531505659702E-2</v>
      </c>
      <c r="R54" s="10">
        <f t="shared" si="5"/>
        <v>0.80319638389231396</v>
      </c>
      <c r="S54" s="10">
        <f t="shared" si="6"/>
        <v>2.6742397119835042E-2</v>
      </c>
      <c r="Y54" s="10">
        <f t="shared" si="7"/>
        <v>2.7125861067858317E-2</v>
      </c>
      <c r="Z54" s="10">
        <f t="shared" si="8"/>
        <v>2.5059172338193401E-2</v>
      </c>
      <c r="AA54" s="10">
        <f t="shared" si="9"/>
        <v>2.1479396663263737E-2</v>
      </c>
    </row>
    <row r="55" spans="1:27">
      <c r="A55" s="66">
        <v>2.15</v>
      </c>
      <c r="B55" s="10">
        <f t="shared" si="0"/>
        <v>0.99881947307533359</v>
      </c>
      <c r="C55" s="10">
        <f t="shared" si="1"/>
        <v>0.86461920516665158</v>
      </c>
      <c r="D55" s="66">
        <f t="shared" si="10"/>
        <v>4</v>
      </c>
      <c r="E55" s="10">
        <f t="shared" si="2"/>
        <v>5.7573233261024585E-2</v>
      </c>
      <c r="K55" s="10">
        <f t="shared" si="3"/>
        <v>0.90041559234855284</v>
      </c>
      <c r="L55" s="10">
        <f t="shared" si="4"/>
        <v>5.9956841833226401E-2</v>
      </c>
      <c r="R55" s="10">
        <f t="shared" si="5"/>
        <v>0.79901622007935891</v>
      </c>
      <c r="S55" s="10">
        <f t="shared" si="6"/>
        <v>5.3204863994554014E-2</v>
      </c>
      <c r="Y55" s="10">
        <f t="shared" si="7"/>
        <v>5.398607525461304E-2</v>
      </c>
      <c r="Z55" s="10">
        <f t="shared" si="8"/>
        <v>4.9778923181021305E-2</v>
      </c>
      <c r="AA55" s="10">
        <f t="shared" si="9"/>
        <v>4.2511549318764927E-2</v>
      </c>
    </row>
    <row r="56" spans="1:27">
      <c r="A56" s="66">
        <v>2.2000000000000002</v>
      </c>
      <c r="B56" s="10">
        <f t="shared" si="0"/>
        <v>0.99878982740661226</v>
      </c>
      <c r="C56" s="10">
        <f t="shared" si="1"/>
        <v>0.86169919870039247</v>
      </c>
      <c r="D56" s="66">
        <f t="shared" si="10"/>
        <v>2</v>
      </c>
      <c r="E56" s="10">
        <f t="shared" si="2"/>
        <v>2.868854646487937E-2</v>
      </c>
      <c r="K56" s="10">
        <f t="shared" si="3"/>
        <v>0.89822169821937625</v>
      </c>
      <c r="L56" s="10">
        <f t="shared" si="4"/>
        <v>2.9904489831246831E-2</v>
      </c>
      <c r="R56" s="10">
        <f t="shared" si="5"/>
        <v>0.7948578115554632</v>
      </c>
      <c r="S56" s="10">
        <f t="shared" si="6"/>
        <v>2.646319654720929E-2</v>
      </c>
      <c r="Y56" s="10">
        <f t="shared" si="7"/>
        <v>2.6860861640606595E-2</v>
      </c>
      <c r="Z56" s="10">
        <f t="shared" si="8"/>
        <v>2.4720897500665528E-2</v>
      </c>
      <c r="AA56" s="10">
        <f t="shared" si="9"/>
        <v>2.1034478494276865E-2</v>
      </c>
    </row>
    <row r="57" spans="1:27">
      <c r="A57" s="66">
        <v>2.25</v>
      </c>
      <c r="B57" s="10">
        <f t="shared" si="0"/>
        <v>0.998760073248394</v>
      </c>
      <c r="C57" s="10">
        <f t="shared" si="1"/>
        <v>0.85878905372889525</v>
      </c>
      <c r="D57" s="66">
        <f t="shared" si="10"/>
        <v>4</v>
      </c>
      <c r="E57" s="10">
        <f t="shared" si="2"/>
        <v>5.7181614547146022E-2</v>
      </c>
      <c r="K57" s="10">
        <f t="shared" si="3"/>
        <v>0.89603314959008973</v>
      </c>
      <c r="L57" s="10">
        <f t="shared" si="4"/>
        <v>5.9661475607839139E-2</v>
      </c>
      <c r="R57" s="10">
        <f t="shared" si="5"/>
        <v>0.79072104509716912</v>
      </c>
      <c r="S57" s="10">
        <f t="shared" si="6"/>
        <v>5.2649373928019681E-2</v>
      </c>
      <c r="Y57" s="10">
        <f t="shared" si="7"/>
        <v>5.3458659898084418E-2</v>
      </c>
      <c r="Z57" s="10">
        <f t="shared" si="8"/>
        <v>4.910694464763396E-2</v>
      </c>
      <c r="AA57" s="10">
        <f t="shared" si="9"/>
        <v>4.1630967976075371E-2</v>
      </c>
    </row>
    <row r="58" spans="1:27">
      <c r="A58" s="66">
        <v>2.2999999999999998</v>
      </c>
      <c r="B58" s="10">
        <f t="shared" si="0"/>
        <v>0.99873020996934403</v>
      </c>
      <c r="C58" s="10">
        <f t="shared" si="1"/>
        <v>0.85588873694775502</v>
      </c>
      <c r="D58" s="66">
        <f t="shared" si="10"/>
        <v>2</v>
      </c>
      <c r="E58" s="10">
        <f t="shared" si="2"/>
        <v>2.8493397932074269E-2</v>
      </c>
      <c r="K58" s="10">
        <f t="shared" si="3"/>
        <v>0.89384993343619579</v>
      </c>
      <c r="L58" s="10">
        <f t="shared" si="4"/>
        <v>2.9757164390060535E-2</v>
      </c>
      <c r="R58" s="10">
        <f t="shared" si="5"/>
        <v>0.78660580807027991</v>
      </c>
      <c r="S58" s="10">
        <f t="shared" si="6"/>
        <v>2.6186899461904539E-2</v>
      </c>
      <c r="Y58" s="10">
        <f t="shared" si="7"/>
        <v>2.6598439409305546E-2</v>
      </c>
      <c r="Z58" s="10">
        <f t="shared" si="8"/>
        <v>2.4387178367432819E-2</v>
      </c>
      <c r="AA58" s="10">
        <f t="shared" si="9"/>
        <v>2.0598767212086599E-2</v>
      </c>
    </row>
    <row r="59" spans="1:27">
      <c r="A59" s="66">
        <v>2.35</v>
      </c>
      <c r="B59" s="10">
        <f t="shared" si="0"/>
        <v>0.99870023693448318</v>
      </c>
      <c r="C59" s="10">
        <f t="shared" si="1"/>
        <v>0.85299821516504226</v>
      </c>
      <c r="D59" s="66">
        <f t="shared" si="10"/>
        <v>4</v>
      </c>
      <c r="E59" s="10">
        <f t="shared" si="2"/>
        <v>5.6792634639334601E-2</v>
      </c>
      <c r="K59" s="10">
        <f t="shared" si="3"/>
        <v>0.89167203676493134</v>
      </c>
      <c r="L59" s="10">
        <f t="shared" si="4"/>
        <v>5.9367538292332683E-2</v>
      </c>
      <c r="R59" s="10">
        <f t="shared" si="5"/>
        <v>0.78251198842679326</v>
      </c>
      <c r="S59" s="10">
        <f t="shared" si="6"/>
        <v>5.2099660549727471E-2</v>
      </c>
      <c r="Y59" s="10">
        <f t="shared" si="7"/>
        <v>5.2936373786844335E-2</v>
      </c>
      <c r="Z59" s="10">
        <f t="shared" si="8"/>
        <v>4.8444015981872771E-2</v>
      </c>
      <c r="AA59" s="10">
        <f t="shared" si="9"/>
        <v>4.0768608973128201E-2</v>
      </c>
    </row>
    <row r="60" spans="1:27">
      <c r="A60" s="66">
        <v>2.4</v>
      </c>
      <c r="B60" s="10">
        <f t="shared" si="0"/>
        <v>0.9986701535051653</v>
      </c>
      <c r="C60" s="10">
        <f t="shared" si="1"/>
        <v>0.85011745530092453</v>
      </c>
      <c r="D60" s="66">
        <f t="shared" si="10"/>
        <v>2</v>
      </c>
      <c r="E60" s="10">
        <f t="shared" si="2"/>
        <v>2.8299564319426495E-2</v>
      </c>
      <c r="K60" s="10">
        <f t="shared" si="3"/>
        <v>0.88949944661519054</v>
      </c>
      <c r="L60" s="10">
        <f t="shared" si="4"/>
        <v>2.96105516297984E-2</v>
      </c>
      <c r="R60" s="10">
        <f t="shared" si="5"/>
        <v>0.77843947470185137</v>
      </c>
      <c r="S60" s="10">
        <f t="shared" si="6"/>
        <v>2.5913475656499273E-2</v>
      </c>
      <c r="Y60" s="10">
        <f t="shared" si="7"/>
        <v>2.6338569288676204E-2</v>
      </c>
      <c r="Z60" s="10">
        <f t="shared" si="8"/>
        <v>2.4057953605355693E-2</v>
      </c>
      <c r="AA60" s="10">
        <f t="shared" si="9"/>
        <v>2.0172072377744509E-2</v>
      </c>
    </row>
    <row r="61" spans="1:27">
      <c r="A61" s="66">
        <v>2.4500000000000002</v>
      </c>
      <c r="B61" s="10">
        <f t="shared" si="0"/>
        <v>0.99863995903905733</v>
      </c>
      <c r="C61" s="10">
        <f t="shared" si="1"/>
        <v>0.84724642438728659</v>
      </c>
      <c r="D61" s="66">
        <f t="shared" si="10"/>
        <v>4</v>
      </c>
      <c r="E61" s="10">
        <f t="shared" si="2"/>
        <v>5.6406275636407183E-2</v>
      </c>
      <c r="K61" s="10">
        <f t="shared" si="3"/>
        <v>0.8873321500574477</v>
      </c>
      <c r="L61" s="10">
        <f t="shared" si="4"/>
        <v>5.9075022799160555E-2</v>
      </c>
      <c r="R61" s="10">
        <f t="shared" si="5"/>
        <v>0.77438815601070454</v>
      </c>
      <c r="S61" s="10">
        <f t="shared" si="6"/>
        <v>5.1555663759924077E-2</v>
      </c>
      <c r="Y61" s="10">
        <f t="shared" si="7"/>
        <v>5.2419166995071875E-2</v>
      </c>
      <c r="Z61" s="10">
        <f t="shared" si="8"/>
        <v>4.7790015345949705E-2</v>
      </c>
      <c r="AA61" s="10">
        <f t="shared" si="9"/>
        <v>3.9924095390955511E-2</v>
      </c>
    </row>
    <row r="62" spans="1:27">
      <c r="A62" s="66">
        <v>2.5</v>
      </c>
      <c r="B62" s="10">
        <f t="shared" si="0"/>
        <v>0.99860965289011849</v>
      </c>
      <c r="C62" s="10">
        <f t="shared" si="1"/>
        <v>0.84438508956735392</v>
      </c>
      <c r="D62" s="66">
        <f t="shared" si="10"/>
        <v>2</v>
      </c>
      <c r="E62" s="10">
        <f t="shared" si="2"/>
        <v>2.8107036706614897E-2</v>
      </c>
      <c r="K62" s="10">
        <f t="shared" si="3"/>
        <v>0.88517013419368074</v>
      </c>
      <c r="L62" s="10">
        <f t="shared" si="4"/>
        <v>2.9464648015195036E-2</v>
      </c>
      <c r="R62" s="10">
        <f t="shared" si="5"/>
        <v>0.77035792204569342</v>
      </c>
      <c r="S62" s="10">
        <f t="shared" si="6"/>
        <v>2.5642895237840094E-2</v>
      </c>
      <c r="Y62" s="10">
        <f t="shared" si="7"/>
        <v>2.608122643757976E-2</v>
      </c>
      <c r="Z62" s="10">
        <f t="shared" si="8"/>
        <v>2.3733162706987925E-2</v>
      </c>
      <c r="AA62" s="10">
        <f t="shared" si="9"/>
        <v>1.9754207490657903E-2</v>
      </c>
    </row>
    <row r="63" spans="1:27">
      <c r="A63" s="66">
        <v>2.5499999999999998</v>
      </c>
      <c r="B63" s="10">
        <f t="shared" si="0"/>
        <v>0.99857923440857788</v>
      </c>
      <c r="C63" s="10">
        <f t="shared" si="1"/>
        <v>0.84153341809531623</v>
      </c>
      <c r="D63" s="66">
        <f t="shared" si="10"/>
        <v>4</v>
      </c>
      <c r="E63" s="10">
        <f t="shared" si="2"/>
        <v>5.6022519758056978E-2</v>
      </c>
      <c r="K63" s="10">
        <f t="shared" si="3"/>
        <v>0.88301338615729386</v>
      </c>
      <c r="L63" s="10">
        <f t="shared" si="4"/>
        <v>5.8783922074765099E-2</v>
      </c>
      <c r="R63" s="10">
        <f t="shared" si="5"/>
        <v>0.76634866307324456</v>
      </c>
      <c r="S63" s="10">
        <f t="shared" si="6"/>
        <v>5.1017324084114517E-2</v>
      </c>
      <c r="Y63" s="10">
        <f t="shared" si="7"/>
        <v>5.1906990082844828E-2</v>
      </c>
      <c r="Z63" s="10">
        <f t="shared" si="8"/>
        <v>4.7144822542310075E-2</v>
      </c>
      <c r="AA63" s="10">
        <f t="shared" si="9"/>
        <v>3.9097058105435602E-2</v>
      </c>
    </row>
    <row r="64" spans="1:27">
      <c r="A64" s="66">
        <v>2.6</v>
      </c>
      <c r="B64" s="10">
        <f t="shared" si="0"/>
        <v>0.9985487029409148</v>
      </c>
      <c r="C64" s="10">
        <f t="shared" si="1"/>
        <v>0.83869137733595334</v>
      </c>
      <c r="D64" s="66">
        <f t="shared" si="10"/>
        <v>2</v>
      </c>
      <c r="E64" s="10">
        <f t="shared" si="2"/>
        <v>2.7915806233551516E-2</v>
      </c>
      <c r="K64" s="10">
        <f t="shared" si="3"/>
        <v>0.88086189311304075</v>
      </c>
      <c r="L64" s="10">
        <f t="shared" si="4"/>
        <v>2.9319450027936851E-2</v>
      </c>
      <c r="R64" s="10">
        <f t="shared" si="5"/>
        <v>0.76236026993088346</v>
      </c>
      <c r="S64" s="10">
        <f t="shared" si="6"/>
        <v>2.5375128623772312E-2</v>
      </c>
      <c r="Y64" s="10">
        <f t="shared" si="7"/>
        <v>2.5826386256641649E-2</v>
      </c>
      <c r="Z64" s="10">
        <f t="shared" si="8"/>
        <v>2.3412745979460914E-2</v>
      </c>
      <c r="AA64" s="10">
        <f t="shared" si="9"/>
        <v>1.9344989907149945E-2</v>
      </c>
    </row>
    <row r="65" spans="1:27">
      <c r="A65" s="66">
        <v>2.65</v>
      </c>
      <c r="B65" s="10">
        <f t="shared" si="0"/>
        <v>0.99851805782983694</v>
      </c>
      <c r="C65" s="10">
        <f t="shared" si="1"/>
        <v>0.8358589347642611</v>
      </c>
      <c r="D65" s="66">
        <f t="shared" si="10"/>
        <v>4</v>
      </c>
      <c r="E65" s="10">
        <f t="shared" si="2"/>
        <v>5.5641349344035092E-2</v>
      </c>
      <c r="K65" s="10">
        <f t="shared" si="3"/>
        <v>0.87871564225694943</v>
      </c>
      <c r="L65" s="10">
        <f t="shared" si="4"/>
        <v>5.849422909940713E-2</v>
      </c>
      <c r="R65" s="10">
        <f t="shared" si="5"/>
        <v>0.75839263402426194</v>
      </c>
      <c r="S65" s="10">
        <f t="shared" si="6"/>
        <v>5.0484582666557358E-2</v>
      </c>
      <c r="Y65" s="10">
        <f t="shared" si="7"/>
        <v>5.1399794091410676E-2</v>
      </c>
      <c r="Z65" s="10">
        <f t="shared" si="8"/>
        <v>4.6508318991551292E-2</v>
      </c>
      <c r="AA65" s="10">
        <f t="shared" si="9"/>
        <v>3.8287135626106035E-2</v>
      </c>
    </row>
    <row r="66" spans="1:27">
      <c r="A66" s="66">
        <v>2.7</v>
      </c>
      <c r="B66" s="10">
        <f t="shared" si="0"/>
        <v>0.99848729841425798</v>
      </c>
      <c r="C66" s="10">
        <f t="shared" si="1"/>
        <v>0.83303605796507896</v>
      </c>
      <c r="D66" s="66">
        <f t="shared" si="10"/>
        <v>2</v>
      </c>
      <c r="E66" s="10">
        <f t="shared" si="2"/>
        <v>2.7725864099973834E-2</v>
      </c>
      <c r="K66" s="10">
        <f t="shared" si="3"/>
        <v>0.8765746208162446</v>
      </c>
      <c r="L66" s="10">
        <f t="shared" si="4"/>
        <v>2.9174954166577161E-2</v>
      </c>
      <c r="R66" s="10">
        <f t="shared" si="5"/>
        <v>0.75444564732420105</v>
      </c>
      <c r="S66" s="10">
        <f t="shared" si="6"/>
        <v>2.5110146539904593E-2</v>
      </c>
      <c r="Y66" s="10">
        <f t="shared" si="7"/>
        <v>2.5574024385898692E-2</v>
      </c>
      <c r="Z66" s="10">
        <f t="shared" si="8"/>
        <v>2.3096644533517705E-2</v>
      </c>
      <c r="AA66" s="10">
        <f t="shared" si="9"/>
        <v>1.8944240760703869E-2</v>
      </c>
    </row>
    <row r="67" spans="1:27">
      <c r="A67" s="66">
        <v>2.75</v>
      </c>
      <c r="B67" s="10">
        <f t="shared" si="0"/>
        <v>0.99845642402927737</v>
      </c>
      <c r="C67" s="10">
        <f t="shared" si="1"/>
        <v>0.83022271463272002</v>
      </c>
      <c r="D67" s="66">
        <f t="shared" si="10"/>
        <v>4</v>
      </c>
      <c r="E67" s="10">
        <f t="shared" si="2"/>
        <v>5.5262746853337652E-2</v>
      </c>
      <c r="K67" s="10">
        <f t="shared" si="3"/>
        <v>0.87443881604927254</v>
      </c>
      <c r="L67" s="10">
        <f t="shared" si="4"/>
        <v>5.8205936886996774E-2</v>
      </c>
      <c r="R67" s="10">
        <f t="shared" si="5"/>
        <v>0.75051920236375036</v>
      </c>
      <c r="S67" s="10">
        <f t="shared" si="6"/>
        <v>4.9957381263827712E-2</v>
      </c>
      <c r="Y67" s="10">
        <f t="shared" si="7"/>
        <v>5.089753053850414E-2</v>
      </c>
      <c r="Z67" s="10">
        <f t="shared" si="8"/>
        <v>4.5880387710638793E-2</v>
      </c>
      <c r="AA67" s="10">
        <f t="shared" si="9"/>
        <v>3.7493973938309742E-2</v>
      </c>
    </row>
    <row r="68" spans="1:27">
      <c r="A68" s="66">
        <v>2.8</v>
      </c>
      <c r="B68" s="10">
        <f t="shared" si="0"/>
        <v>0.9984254340061578</v>
      </c>
      <c r="C68" s="10">
        <f t="shared" si="1"/>
        <v>0.82741887257060021</v>
      </c>
      <c r="D68" s="66">
        <f t="shared" si="10"/>
        <v>2</v>
      </c>
      <c r="E68" s="10">
        <f t="shared" si="2"/>
        <v>2.7537201565039578E-2</v>
      </c>
      <c r="K68" s="10">
        <f t="shared" si="3"/>
        <v>0.87230821524542501</v>
      </c>
      <c r="L68" s="10">
        <f t="shared" si="4"/>
        <v>2.9031156946451683E-2</v>
      </c>
      <c r="R68" s="10">
        <f t="shared" si="5"/>
        <v>0.74661319223526168</v>
      </c>
      <c r="S68" s="10">
        <f t="shared" si="6"/>
        <v>2.4847920016407139E-2</v>
      </c>
      <c r="Y68" s="10">
        <f t="shared" si="7"/>
        <v>2.5324116702469091E-2</v>
      </c>
      <c r="Z68" s="10">
        <f t="shared" si="8"/>
        <v>2.2784800272694417E-2</v>
      </c>
      <c r="AA68" s="10">
        <f t="shared" si="9"/>
        <v>1.8551784883856188E-2</v>
      </c>
    </row>
    <row r="69" spans="1:27">
      <c r="A69" s="66">
        <v>2.85</v>
      </c>
      <c r="B69" s="10">
        <f t="shared" si="0"/>
        <v>0.99839432767230374</v>
      </c>
      <c r="C69" s="10">
        <f t="shared" si="1"/>
        <v>0.82462449969087059</v>
      </c>
      <c r="D69" s="66">
        <f t="shared" si="10"/>
        <v>4</v>
      </c>
      <c r="E69" s="10">
        <f t="shared" si="2"/>
        <v>5.4886694863398443E-2</v>
      </c>
      <c r="K69" s="10">
        <f t="shared" si="3"/>
        <v>0.87018280572506368</v>
      </c>
      <c r="L69" s="10">
        <f t="shared" si="4"/>
        <v>5.7919038484924933E-2</v>
      </c>
      <c r="R69" s="10">
        <f t="shared" si="5"/>
        <v>0.74272751058747788</v>
      </c>
      <c r="S69" s="10">
        <f t="shared" si="6"/>
        <v>4.9435662238447267E-2</v>
      </c>
      <c r="Y69" s="10">
        <f t="shared" si="7"/>
        <v>5.0400151413709918E-2</v>
      </c>
      <c r="Z69" s="10">
        <f t="shared" si="8"/>
        <v>4.5260913291415419E-2</v>
      </c>
      <c r="AA69" s="10">
        <f t="shared" si="9"/>
        <v>3.6717226348605324E-2</v>
      </c>
    </row>
    <row r="70" spans="1:27">
      <c r="A70" s="66">
        <v>2.9</v>
      </c>
      <c r="B70" s="10">
        <f t="shared" si="0"/>
        <v>0.99836310435123887</v>
      </c>
      <c r="C70" s="10">
        <f t="shared" si="1"/>
        <v>0.82183956401404967</v>
      </c>
      <c r="D70" s="66">
        <f t="shared" si="10"/>
        <v>2</v>
      </c>
      <c r="E70" s="10">
        <f t="shared" si="2"/>
        <v>2.7349809946924514E-2</v>
      </c>
      <c r="K70" s="10">
        <f t="shared" si="3"/>
        <v>0.86806257483944427</v>
      </c>
      <c r="L70" s="10">
        <f t="shared" si="4"/>
        <v>2.8888054899594576E-2</v>
      </c>
      <c r="R70" s="10">
        <f t="shared" si="5"/>
        <v>0.73886205162263741</v>
      </c>
      <c r="S70" s="10">
        <f t="shared" si="6"/>
        <v>2.458842038484339E-2</v>
      </c>
      <c r="Y70" s="10">
        <f t="shared" si="7"/>
        <v>2.5076639318245292E-2</v>
      </c>
      <c r="Z70" s="10">
        <f t="shared" si="8"/>
        <v>2.2477155882647561E-2</v>
      </c>
      <c r="AA70" s="10">
        <f t="shared" si="9"/>
        <v>1.8167450731705267E-2</v>
      </c>
    </row>
    <row r="71" spans="1:27">
      <c r="A71" s="66">
        <v>2.95</v>
      </c>
      <c r="B71" s="10">
        <f t="shared" si="0"/>
        <v>0.99833176336258533</v>
      </c>
      <c r="C71" s="10">
        <f t="shared" si="1"/>
        <v>0.81906403366865765</v>
      </c>
      <c r="D71" s="66">
        <f t="shared" si="10"/>
        <v>4</v>
      </c>
      <c r="E71" s="10">
        <f t="shared" si="2"/>
        <v>5.4513176069286871E-2</v>
      </c>
      <c r="K71" s="10">
        <f t="shared" si="3"/>
        <v>0.86594750997064207</v>
      </c>
      <c r="L71" s="10">
        <f t="shared" si="4"/>
        <v>5.7633526973895413E-2</v>
      </c>
      <c r="R71" s="10">
        <f t="shared" si="5"/>
        <v>0.73501671009359382</v>
      </c>
      <c r="S71" s="10">
        <f t="shared" si="6"/>
        <v>4.8919368552580257E-2</v>
      </c>
      <c r="Y71" s="10">
        <f t="shared" si="7"/>
        <v>4.9907609173870569E-2</v>
      </c>
      <c r="Z71" s="10">
        <f t="shared" si="8"/>
        <v>4.4649781879399844E-2</v>
      </c>
      <c r="AA71" s="10">
        <f t="shared" si="9"/>
        <v>3.5956553333373553E-2</v>
      </c>
    </row>
    <row r="72" spans="1:27">
      <c r="A72" s="66">
        <v>3</v>
      </c>
      <c r="B72" s="10">
        <f t="shared" si="0"/>
        <v>0.99830030402203995</v>
      </c>
      <c r="C72" s="10">
        <f t="shared" si="1"/>
        <v>0.81629787689085187</v>
      </c>
      <c r="D72" s="66">
        <f t="shared" si="10"/>
        <v>2</v>
      </c>
      <c r="E72" s="10">
        <f t="shared" si="2"/>
        <v>2.7163680622422776E-2</v>
      </c>
      <c r="K72" s="10">
        <f t="shared" si="3"/>
        <v>0.86383759853147601</v>
      </c>
      <c r="L72" s="10">
        <f t="shared" si="4"/>
        <v>2.8745644574654717E-2</v>
      </c>
      <c r="R72" s="10">
        <f t="shared" si="5"/>
        <v>0.73119138130095018</v>
      </c>
      <c r="S72" s="10">
        <f t="shared" si="6"/>
        <v>2.4331619275034466E-2</v>
      </c>
      <c r="Y72" s="10">
        <f t="shared" si="7"/>
        <v>2.4831568577609084E-2</v>
      </c>
      <c r="Z72" s="10">
        <f t="shared" si="8"/>
        <v>2.2173654820624885E-2</v>
      </c>
      <c r="AA72" s="10">
        <f t="shared" si="9"/>
        <v>1.7791070307001274E-2</v>
      </c>
    </row>
    <row r="73" spans="1:27">
      <c r="A73" s="66">
        <v>3.05</v>
      </c>
      <c r="B73" s="10">
        <f t="shared" si="0"/>
        <v>0.99826872564135305</v>
      </c>
      <c r="C73" s="10">
        <f t="shared" si="1"/>
        <v>0.81354106202406251</v>
      </c>
      <c r="D73" s="66">
        <f t="shared" si="10"/>
        <v>4</v>
      </c>
      <c r="E73" s="10">
        <f t="shared" si="2"/>
        <v>5.4142173282911599E-2</v>
      </c>
      <c r="K73" s="10">
        <f t="shared" si="3"/>
        <v>0.86173282796543438</v>
      </c>
      <c r="L73" s="10">
        <f t="shared" si="4"/>
        <v>5.7349395467758246E-2</v>
      </c>
      <c r="R73" s="10">
        <f t="shared" si="5"/>
        <v>0.72738596109020792</v>
      </c>
      <c r="S73" s="10">
        <f t="shared" si="6"/>
        <v>4.8408443761795518E-2</v>
      </c>
      <c r="Y73" s="10">
        <f t="shared" si="7"/>
        <v>4.9419856738539381E-2</v>
      </c>
      <c r="Z73" s="10">
        <f t="shared" si="8"/>
        <v>4.4046881152870726E-2</v>
      </c>
      <c r="AA73" s="10">
        <f t="shared" si="9"/>
        <v>3.5211622390554913E-2</v>
      </c>
    </row>
    <row r="74" spans="1:27">
      <c r="A74" s="66">
        <v>3.1</v>
      </c>
      <c r="B74" s="10">
        <f t="shared" si="0"/>
        <v>0.9982370275283059</v>
      </c>
      <c r="C74" s="10">
        <f t="shared" si="1"/>
        <v>0.81079355751863147</v>
      </c>
      <c r="D74" s="66">
        <f t="shared" si="10"/>
        <v>2</v>
      </c>
      <c r="E74" s="10">
        <f t="shared" si="2"/>
        <v>2.6978805026549976E-2</v>
      </c>
      <c r="K74" s="10">
        <f t="shared" si="3"/>
        <v>0.85963318574659953</v>
      </c>
      <c r="L74" s="10">
        <f t="shared" si="4"/>
        <v>2.8603922536812456E-2</v>
      </c>
      <c r="R74" s="10">
        <f t="shared" si="5"/>
        <v>0.7236003458489314</v>
      </c>
      <c r="S74" s="10">
        <f t="shared" si="6"/>
        <v>2.4077488611956382E-2</v>
      </c>
      <c r="Y74" s="10">
        <f t="shared" si="7"/>
        <v>2.4588881055169046E-2</v>
      </c>
      <c r="Z74" s="10">
        <f t="shared" si="8"/>
        <v>2.187424130507799E-2</v>
      </c>
      <c r="AA74" s="10">
        <f t="shared" si="9"/>
        <v>1.7422479086785344E-2</v>
      </c>
    </row>
    <row r="75" spans="1:27">
      <c r="A75" s="66">
        <v>3.15</v>
      </c>
      <c r="B75" s="10">
        <f t="shared" si="0"/>
        <v>0.9982052089866873</v>
      </c>
      <c r="C75" s="10">
        <f t="shared" si="1"/>
        <v>0.80805533193145007</v>
      </c>
      <c r="D75" s="66">
        <f t="shared" si="10"/>
        <v>4</v>
      </c>
      <c r="E75" s="10">
        <f t="shared" si="2"/>
        <v>5.3773669432229353E-2</v>
      </c>
      <c r="K75" s="10">
        <f t="shared" si="3"/>
        <v>0.85753865937957408</v>
      </c>
      <c r="L75" s="10">
        <f t="shared" si="4"/>
        <v>5.7066637113343435E-2</v>
      </c>
      <c r="R75" s="10">
        <f t="shared" si="5"/>
        <v>0.71983443250392687</v>
      </c>
      <c r="S75" s="10">
        <f t="shared" si="6"/>
        <v>4.7902832008893059E-2</v>
      </c>
      <c r="Y75" s="10">
        <f t="shared" si="7"/>
        <v>4.8936847485477178E-2</v>
      </c>
      <c r="Z75" s="10">
        <f t="shared" si="8"/>
        <v>4.3452100302232156E-2</v>
      </c>
      <c r="AA75" s="10">
        <f t="shared" si="9"/>
        <v>3.4482107894452475E-2</v>
      </c>
    </row>
    <row r="76" spans="1:27">
      <c r="A76" s="66">
        <v>3.2</v>
      </c>
      <c r="B76" s="10">
        <f t="shared" si="0"/>
        <v>0.99817326931627215</v>
      </c>
      <c r="C76" s="10">
        <f t="shared" si="1"/>
        <v>0.80532635392560026</v>
      </c>
      <c r="D76" s="66">
        <f t="shared" si="10"/>
        <v>2</v>
      </c>
      <c r="E76" s="10">
        <f t="shared" si="2"/>
        <v>2.6795174652148993E-2</v>
      </c>
      <c r="K76" s="10">
        <f t="shared" si="3"/>
        <v>0.85544923639940595</v>
      </c>
      <c r="L76" s="10">
        <f t="shared" si="4"/>
        <v>2.846288536769679E-2</v>
      </c>
      <c r="R76" s="10">
        <f t="shared" si="5"/>
        <v>0.71608811851843535</v>
      </c>
      <c r="S76" s="10">
        <f t="shared" si="6"/>
        <v>2.3826000612669495E-2</v>
      </c>
      <c r="Y76" s="10">
        <f t="shared" si="7"/>
        <v>2.4348553553520044E-2</v>
      </c>
      <c r="Z76" s="10">
        <f t="shared" si="8"/>
        <v>2.1578860305414813E-2</v>
      </c>
      <c r="AA76" s="10">
        <f t="shared" si="9"/>
        <v>1.7061515950545586E-2</v>
      </c>
    </row>
    <row r="77" spans="1:27">
      <c r="A77" s="66">
        <v>3.25</v>
      </c>
      <c r="B77" s="10">
        <f t="shared" ref="B77:B140" si="11">(B$8^A77)*B$9^((B$5^B$7)*((B$5^A77)-1))</f>
        <v>0.99814120781279791</v>
      </c>
      <c r="C77" s="10">
        <f t="shared" ref="C77:C140" si="12">(1+B$6)^-A77</f>
        <v>0.80260659226999553</v>
      </c>
      <c r="D77" s="66">
        <f t="shared" si="10"/>
        <v>4</v>
      </c>
      <c r="E77" s="10">
        <f t="shared" ref="E77:E140" si="13">B77*C77*D77*0.05/3</f>
        <v>5.3407647560459154E-2</v>
      </c>
      <c r="K77" s="10">
        <f t="shared" ref="K77:K140" si="14">1.05^-A77</f>
        <v>0.85336490437151402</v>
      </c>
      <c r="L77" s="10">
        <f t="shared" ref="L77:L140" si="15">E77*K77/C77</f>
        <v>5.6785245090295727E-2</v>
      </c>
      <c r="R77" s="10">
        <f t="shared" ref="R77:R140" si="16">1.11^-A77</f>
        <v>0.71236130188934155</v>
      </c>
      <c r="S77" s="10">
        <f t="shared" ref="S77:S140" si="17">L77*R77/K77</f>
        <v>4.7402478017794972E-2</v>
      </c>
      <c r="Y77" s="10">
        <f t="shared" ref="Y77:Y140" si="18">L77*K77</f>
        <v>4.8458535246193202E-2</v>
      </c>
      <c r="Z77" s="10">
        <f t="shared" ref="Z77:Z140" si="19">C77*E77</f>
        <v>4.286533000965706E-2</v>
      </c>
      <c r="AA77" s="10">
        <f t="shared" ref="AA77:AA140" si="20">R77*S77</f>
        <v>3.3767690953537322E-2</v>
      </c>
    </row>
    <row r="78" spans="1:27">
      <c r="A78" s="66">
        <v>3.3</v>
      </c>
      <c r="B78" s="10">
        <f t="shared" si="11"/>
        <v>0.99810902376794153</v>
      </c>
      <c r="C78" s="10">
        <f t="shared" si="12"/>
        <v>0.79989601583902337</v>
      </c>
      <c r="D78" s="66">
        <f t="shared" si="10"/>
        <v>2</v>
      </c>
      <c r="E78" s="10">
        <f t="shared" si="13"/>
        <v>2.6612781049498452E-2</v>
      </c>
      <c r="K78" s="10">
        <f t="shared" si="14"/>
        <v>0.85128565089161501</v>
      </c>
      <c r="L78" s="10">
        <f t="shared" si="15"/>
        <v>2.8322529665302888E-2</v>
      </c>
      <c r="R78" s="10">
        <f t="shared" si="16"/>
        <v>0.70865388114439631</v>
      </c>
      <c r="S78" s="10">
        <f t="shared" si="17"/>
        <v>2.3577127783279878E-2</v>
      </c>
      <c r="Y78" s="10">
        <f t="shared" si="18"/>
        <v>2.4110563101024444E-2</v>
      </c>
      <c r="Z78" s="10">
        <f t="shared" si="19"/>
        <v>2.1287457531890076E-2</v>
      </c>
      <c r="AA78" s="10">
        <f t="shared" si="20"/>
        <v>1.6708023109858663E-2</v>
      </c>
    </row>
    <row r="79" spans="1:27">
      <c r="A79" s="66">
        <v>3.35</v>
      </c>
      <c r="B79" s="10">
        <f t="shared" si="11"/>
        <v>0.99807671646929708</v>
      </c>
      <c r="C79" s="10">
        <f t="shared" si="12"/>
        <v>0.79719459361218903</v>
      </c>
      <c r="D79" s="66">
        <f t="shared" ref="D79:D142" si="21">IF(D78=4,2,4)</f>
        <v>4</v>
      </c>
      <c r="E79" s="10">
        <f t="shared" si="13"/>
        <v>5.3044090825301961E-2</v>
      </c>
      <c r="K79" s="10">
        <f t="shared" si="14"/>
        <v>0.84921146358564881</v>
      </c>
      <c r="L79" s="10">
        <f t="shared" si="15"/>
        <v>5.650521261091003E-2</v>
      </c>
      <c r="R79" s="10">
        <f t="shared" si="16"/>
        <v>0.70496575533945349</v>
      </c>
      <c r="S79" s="10">
        <f t="shared" si="17"/>
        <v>4.6907327087499978E-2</v>
      </c>
      <c r="Y79" s="10">
        <f t="shared" si="18"/>
        <v>4.7984874301529166E-2</v>
      </c>
      <c r="Z79" s="10">
        <f t="shared" si="19"/>
        <v>4.2286462429004641E-2</v>
      </c>
      <c r="AA79" s="10">
        <f t="shared" si="20"/>
        <v>3.3068059271194231E-2</v>
      </c>
    </row>
    <row r="80" spans="1:27">
      <c r="A80" s="66">
        <v>3.4</v>
      </c>
      <c r="B80" s="10">
        <f t="shared" si="11"/>
        <v>0.99804428520035193</v>
      </c>
      <c r="C80" s="10">
        <f t="shared" si="12"/>
        <v>0.79450229467376132</v>
      </c>
      <c r="D80" s="66">
        <f t="shared" si="21"/>
        <v>2</v>
      </c>
      <c r="E80" s="10">
        <f t="shared" si="13"/>
        <v>2.6431615825923783E-2</v>
      </c>
      <c r="K80" s="10">
        <f t="shared" si="14"/>
        <v>0.84714233010970519</v>
      </c>
      <c r="L80" s="10">
        <f t="shared" si="15"/>
        <v>2.818285204391004E-2</v>
      </c>
      <c r="R80" s="10">
        <f t="shared" si="16"/>
        <v>0.70129682405572191</v>
      </c>
      <c r="S80" s="10">
        <f t="shared" si="17"/>
        <v>2.3330842915932331E-2</v>
      </c>
      <c r="Y80" s="10">
        <f t="shared" si="18"/>
        <v>2.387488694961502E-2</v>
      </c>
      <c r="Z80" s="10">
        <f t="shared" si="19"/>
        <v>2.0999979425631751E-2</v>
      </c>
      <c r="AA80" s="10">
        <f t="shared" si="20"/>
        <v>1.6361846039486282E-2</v>
      </c>
    </row>
    <row r="81" spans="1:27">
      <c r="A81" s="66">
        <v>3.45</v>
      </c>
      <c r="B81" s="10">
        <f t="shared" si="11"/>
        <v>0.99801172924046366</v>
      </c>
      <c r="C81" s="10">
        <f t="shared" si="12"/>
        <v>0.79181908821241742</v>
      </c>
      <c r="D81" s="66">
        <f t="shared" si="21"/>
        <v>4</v>
      </c>
      <c r="E81" s="10">
        <f t="shared" si="13"/>
        <v>5.2682982498165463E-2</v>
      </c>
      <c r="K81" s="10">
        <f t="shared" si="14"/>
        <v>0.8450782381499502</v>
      </c>
      <c r="L81" s="10">
        <f t="shared" si="15"/>
        <v>5.6226532919967744E-2</v>
      </c>
      <c r="R81" s="10">
        <f t="shared" si="16"/>
        <v>0.69764698739703102</v>
      </c>
      <c r="S81" s="10">
        <f t="shared" si="17"/>
        <v>4.6417325086100726E-2</v>
      </c>
      <c r="Y81" s="10">
        <f t="shared" si="18"/>
        <v>4.7515819377286515E-2</v>
      </c>
      <c r="Z81" s="10">
        <f t="shared" si="19"/>
        <v>4.1715391166008121E-2</v>
      </c>
      <c r="AA81" s="10">
        <f t="shared" si="20"/>
        <v>3.2382907009346804E-2</v>
      </c>
    </row>
    <row r="82" spans="1:27">
      <c r="A82" s="66">
        <v>3.5</v>
      </c>
      <c r="B82" s="10">
        <f t="shared" si="11"/>
        <v>0.99797904786483682</v>
      </c>
      <c r="C82" s="10">
        <f t="shared" si="12"/>
        <v>0.78914494352089137</v>
      </c>
      <c r="D82" s="66">
        <f t="shared" si="21"/>
        <v>2</v>
      </c>
      <c r="E82" s="10">
        <f t="shared" si="13"/>
        <v>2.625167064541099E-2</v>
      </c>
      <c r="K82" s="10">
        <f t="shared" si="14"/>
        <v>0.843019175422553</v>
      </c>
      <c r="L82" s="10">
        <f t="shared" si="15"/>
        <v>2.8043849133999977E-2</v>
      </c>
      <c r="R82" s="10">
        <f t="shared" si="16"/>
        <v>0.69401614598711103</v>
      </c>
      <c r="S82" s="10">
        <f t="shared" si="17"/>
        <v>2.308711908583469E-2</v>
      </c>
      <c r="Y82" s="10">
        <f t="shared" si="18"/>
        <v>2.3641502572619138E-2</v>
      </c>
      <c r="Z82" s="10">
        <f t="shared" si="19"/>
        <v>2.0716373148801898E-2</v>
      </c>
      <c r="AA82" s="10">
        <f t="shared" si="20"/>
        <v>1.6022833409896464E-2</v>
      </c>
    </row>
    <row r="83" spans="1:27">
      <c r="A83" s="66">
        <v>3.55</v>
      </c>
      <c r="B83" s="10">
        <f t="shared" si="11"/>
        <v>0.99794624034449919</v>
      </c>
      <c r="C83" s="10">
        <f t="shared" si="12"/>
        <v>0.7864798299956226</v>
      </c>
      <c r="D83" s="66">
        <f t="shared" si="21"/>
        <v>4</v>
      </c>
      <c r="E83" s="10">
        <f t="shared" si="13"/>
        <v>5.2324305963394165E-2</v>
      </c>
      <c r="K83" s="10">
        <f t="shared" si="14"/>
        <v>0.84096512967361303</v>
      </c>
      <c r="L83" s="10">
        <f t="shared" si="15"/>
        <v>5.5949199294573759E-2</v>
      </c>
      <c r="R83" s="10">
        <f t="shared" si="16"/>
        <v>0.69040420096688693</v>
      </c>
      <c r="S83" s="10">
        <f t="shared" si="17"/>
        <v>4.5932418444863524E-2</v>
      </c>
      <c r="Y83" s="10">
        <f t="shared" si="18"/>
        <v>4.7051325639896037E-2</v>
      </c>
      <c r="Z83" s="10">
        <f t="shared" si="19"/>
        <v>4.1152011258729186E-2</v>
      </c>
      <c r="AA83" s="10">
        <f t="shared" si="20"/>
        <v>3.1711934654902699E-2</v>
      </c>
    </row>
    <row r="84" spans="1:27">
      <c r="A84" s="66">
        <v>3.6</v>
      </c>
      <c r="B84" s="10">
        <f t="shared" si="11"/>
        <v>0.99791330594627792</v>
      </c>
      <c r="C84" s="10">
        <f t="shared" si="12"/>
        <v>0.78382371713640508</v>
      </c>
      <c r="D84" s="66">
        <f t="shared" si="21"/>
        <v>2</v>
      </c>
      <c r="E84" s="10">
        <f t="shared" si="13"/>
        <v>2.6072937228223011E-2</v>
      </c>
      <c r="K84" s="10">
        <f t="shared" si="14"/>
        <v>0.83891608867908651</v>
      </c>
      <c r="L84" s="10">
        <f t="shared" si="15"/>
        <v>2.7905517582175608E-2</v>
      </c>
      <c r="R84" s="10">
        <f t="shared" si="16"/>
        <v>0.68681105399178688</v>
      </c>
      <c r="S84" s="10">
        <f t="shared" si="17"/>
        <v>2.284592964831306E-2</v>
      </c>
      <c r="Y84" s="10">
        <f t="shared" si="18"/>
        <v>2.341038766260424E-2</v>
      </c>
      <c r="Z84" s="10">
        <f t="shared" si="19"/>
        <v>2.043658657488992E-2</v>
      </c>
      <c r="AA84" s="10">
        <f t="shared" si="20"/>
        <v>1.5690837021180105E-2</v>
      </c>
    </row>
    <row r="85" spans="1:27">
      <c r="A85" s="66">
        <v>3.65</v>
      </c>
      <c r="B85" s="10">
        <f t="shared" si="11"/>
        <v>0.99788024393277608</v>
      </c>
      <c r="C85" s="10">
        <f t="shared" si="12"/>
        <v>0.78117657454603828</v>
      </c>
      <c r="D85" s="66">
        <f t="shared" si="21"/>
        <v>4</v>
      </c>
      <c r="E85" s="10">
        <f t="shared" si="13"/>
        <v>5.1968044717504748E-2</v>
      </c>
      <c r="K85" s="10">
        <f t="shared" si="14"/>
        <v>0.83687204024471362</v>
      </c>
      <c r="L85" s="10">
        <f t="shared" si="15"/>
        <v>5.5673205043994325E-2</v>
      </c>
      <c r="R85" s="10">
        <f t="shared" si="16"/>
        <v>0.68323660722906465</v>
      </c>
      <c r="S85" s="10">
        <f t="shared" si="17"/>
        <v>4.5452554152369429E-2</v>
      </c>
      <c r="Y85" s="10">
        <f t="shared" si="18"/>
        <v>4.659134869212981E-2</v>
      </c>
      <c r="Z85" s="10">
        <f t="shared" si="19"/>
        <v>4.0596219158275701E-2</v>
      </c>
      <c r="AA85" s="10">
        <f t="shared" si="20"/>
        <v>3.1054848888960224E-2</v>
      </c>
    </row>
    <row r="86" spans="1:27">
      <c r="A86" s="66">
        <v>3.7</v>
      </c>
      <c r="B86" s="10">
        <f t="shared" si="11"/>
        <v>0.9978470535623486</v>
      </c>
      <c r="C86" s="10">
        <f t="shared" si="12"/>
        <v>0.77853837192998032</v>
      </c>
      <c r="D86" s="66">
        <f t="shared" si="21"/>
        <v>2</v>
      </c>
      <c r="E86" s="10">
        <f t="shared" si="13"/>
        <v>2.5895407350518627E-2</v>
      </c>
      <c r="K86" s="10">
        <f t="shared" si="14"/>
        <v>0.83483297220594721</v>
      </c>
      <c r="L86" s="10">
        <f t="shared" si="15"/>
        <v>2.7767854051080086E-2</v>
      </c>
      <c r="R86" s="10">
        <f t="shared" si="16"/>
        <v>0.67968076335513605</v>
      </c>
      <c r="S86" s="10">
        <f t="shared" si="17"/>
        <v>2.2607248235897683E-2</v>
      </c>
      <c r="Y86" s="10">
        <f t="shared" si="18"/>
        <v>2.318152012924414E-2</v>
      </c>
      <c r="Z86" s="10">
        <f t="shared" si="19"/>
        <v>2.0160568279136416E-2</v>
      </c>
      <c r="AA86" s="10">
        <f t="shared" si="20"/>
        <v>1.536571173833399E-2</v>
      </c>
    </row>
    <row r="87" spans="1:27">
      <c r="A87" s="66">
        <v>3.75</v>
      </c>
      <c r="B87" s="10">
        <f t="shared" si="11"/>
        <v>0.99781373408907792</v>
      </c>
      <c r="C87" s="10">
        <f t="shared" si="12"/>
        <v>0.77590907909599982</v>
      </c>
      <c r="D87" s="66">
        <f t="shared" si="21"/>
        <v>4</v>
      </c>
      <c r="E87" s="10">
        <f t="shared" si="13"/>
        <v>5.1614182368426485E-2</v>
      </c>
      <c r="K87" s="10">
        <f t="shared" si="14"/>
        <v>0.83279887242787853</v>
      </c>
      <c r="L87" s="10">
        <f t="shared" si="15"/>
        <v>5.5398543509495676E-2</v>
      </c>
      <c r="R87" s="10">
        <f t="shared" si="16"/>
        <v>0.67614342555292828</v>
      </c>
      <c r="S87" s="10">
        <f t="shared" si="17"/>
        <v>4.4977679748716526E-2</v>
      </c>
      <c r="Y87" s="10">
        <f t="shared" si="18"/>
        <v>4.6135844568854771E-2</v>
      </c>
      <c r="Z87" s="10">
        <f t="shared" si="19"/>
        <v>4.0047912709778782E-2</v>
      </c>
      <c r="AA87" s="10">
        <f t="shared" si="20"/>
        <v>3.0411362458719761E-2</v>
      </c>
    </row>
    <row r="88" spans="1:27">
      <c r="A88" s="66">
        <v>3.8</v>
      </c>
      <c r="B88" s="10">
        <f t="shared" si="11"/>
        <v>0.99778028476274971</v>
      </c>
      <c r="C88" s="10">
        <f t="shared" si="12"/>
        <v>0.77328866595383194</v>
      </c>
      <c r="D88" s="66">
        <f t="shared" si="21"/>
        <v>2</v>
      </c>
      <c r="E88" s="10">
        <f t="shared" si="13"/>
        <v>2.5719072843974043E-2</v>
      </c>
      <c r="K88" s="10">
        <f t="shared" si="14"/>
        <v>0.83076972880516664</v>
      </c>
      <c r="L88" s="10">
        <f t="shared" si="15"/>
        <v>2.763085521931638E-2</v>
      </c>
      <c r="R88" s="10">
        <f t="shared" si="16"/>
        <v>0.6726244975092448</v>
      </c>
      <c r="S88" s="10">
        <f t="shared" si="17"/>
        <v>2.2371048755439188E-2</v>
      </c>
      <c r="Y88" s="10">
        <f t="shared" si="18"/>
        <v>2.2954878097206293E-2</v>
      </c>
      <c r="Z88" s="10">
        <f t="shared" si="19"/>
        <v>1.9888267529086113E-2</v>
      </c>
      <c r="AA88" s="10">
        <f t="shared" si="20"/>
        <v>1.50473154278821E-2</v>
      </c>
    </row>
    <row r="89" spans="1:27">
      <c r="A89" s="66">
        <v>3.85</v>
      </c>
      <c r="B89" s="10">
        <f t="shared" si="11"/>
        <v>0.99774670482882954</v>
      </c>
      <c r="C89" s="10">
        <f t="shared" si="12"/>
        <v>0.77067710251483224</v>
      </c>
      <c r="D89" s="66">
        <f t="shared" si="21"/>
        <v>4</v>
      </c>
      <c r="E89" s="10">
        <f t="shared" si="13"/>
        <v>5.1262702634746936E-2</v>
      </c>
      <c r="K89" s="10">
        <f t="shared" si="14"/>
        <v>0.82874552926196532</v>
      </c>
      <c r="L89" s="10">
        <f t="shared" si="15"/>
        <v>5.5125208064183362E-2</v>
      </c>
      <c r="R89" s="10">
        <f t="shared" si="16"/>
        <v>0.66912388341214213</v>
      </c>
      <c r="S89" s="10">
        <f t="shared" si="17"/>
        <v>4.4507743319782328E-2</v>
      </c>
      <c r="Y89" s="10">
        <f t="shared" si="18"/>
        <v>4.5684769732827597E-2</v>
      </c>
      <c r="Z89" s="10">
        <f t="shared" si="19"/>
        <v>3.9506991133626226E-2</v>
      </c>
      <c r="AA89" s="10">
        <f t="shared" si="20"/>
        <v>2.9781194052043578E-2</v>
      </c>
    </row>
    <row r="90" spans="1:27">
      <c r="A90" s="66">
        <v>3.9</v>
      </c>
      <c r="B90" s="10">
        <f t="shared" si="11"/>
        <v>0.99771299352843723</v>
      </c>
      <c r="C90" s="10">
        <f t="shared" si="12"/>
        <v>0.76807435889163522</v>
      </c>
      <c r="D90" s="66">
        <f t="shared" si="21"/>
        <v>2</v>
      </c>
      <c r="E90" s="10">
        <f t="shared" si="13"/>
        <v>2.5543925595406955E-2</v>
      </c>
      <c r="K90" s="10">
        <f t="shared" si="14"/>
        <v>0.82672626175185171</v>
      </c>
      <c r="L90" s="10">
        <f t="shared" si="15"/>
        <v>2.7494517781367148E-2</v>
      </c>
      <c r="R90" s="10">
        <f t="shared" si="16"/>
        <v>0.6656414879483219</v>
      </c>
      <c r="S90" s="10">
        <f t="shared" si="17"/>
        <v>2.2137305385254786E-2</v>
      </c>
      <c r="Y90" s="10">
        <f t="shared" si="18"/>
        <v>2.2730439904059478E-2</v>
      </c>
      <c r="Z90" s="10">
        <f t="shared" si="19"/>
        <v>1.961963427526783E-2</v>
      </c>
      <c r="AA90" s="10">
        <f t="shared" si="20"/>
        <v>1.4735508895807395E-2</v>
      </c>
    </row>
    <row r="91" spans="1:27">
      <c r="A91" s="66">
        <v>3.95</v>
      </c>
      <c r="B91" s="10">
        <f t="shared" si="11"/>
        <v>0.9976791500983222</v>
      </c>
      <c r="C91" s="10">
        <f t="shared" si="12"/>
        <v>0.76548040529781092</v>
      </c>
      <c r="D91" s="66">
        <f t="shared" si="21"/>
        <v>4</v>
      </c>
      <c r="E91" s="10">
        <f t="shared" si="13"/>
        <v>5.0913589344962623E-2</v>
      </c>
      <c r="K91" s="10">
        <f t="shared" si="14"/>
        <v>0.82471191425775425</v>
      </c>
      <c r="L91" s="10">
        <f t="shared" si="15"/>
        <v>5.4853192112842453E-2</v>
      </c>
      <c r="R91" s="10">
        <f t="shared" si="16"/>
        <v>0.66217721630053494</v>
      </c>
      <c r="S91" s="10">
        <f t="shared" si="17"/>
        <v>4.4042693491546048E-2</v>
      </c>
      <c r="Y91" s="10">
        <f t="shared" si="18"/>
        <v>4.5238081070530643E-2</v>
      </c>
      <c r="Z91" s="10">
        <f t="shared" si="19"/>
        <v>3.8973355006948297E-2</v>
      </c>
      <c r="AA91" s="10">
        <f t="shared" si="20"/>
        <v>2.9164068174609651E-2</v>
      </c>
    </row>
    <row r="92" spans="1:27">
      <c r="A92" s="66">
        <v>4</v>
      </c>
      <c r="B92" s="10">
        <f t="shared" si="11"/>
        <v>0.99764517377084005</v>
      </c>
      <c r="C92" s="10">
        <f t="shared" si="12"/>
        <v>0.7628952120475252</v>
      </c>
      <c r="D92" s="66">
        <f t="shared" si="21"/>
        <v>2</v>
      </c>
      <c r="E92" s="10">
        <f t="shared" si="13"/>
        <v>2.5369957546403175E-2</v>
      </c>
      <c r="K92" s="10">
        <f t="shared" si="14"/>
        <v>0.82270247479188197</v>
      </c>
      <c r="L92" s="10">
        <f t="shared" si="15"/>
        <v>2.7358838447514914E-2</v>
      </c>
      <c r="R92" s="10">
        <f t="shared" si="16"/>
        <v>0.65873097414500015</v>
      </c>
      <c r="S92" s="10">
        <f t="shared" si="17"/>
        <v>2.1905992572304116E-2</v>
      </c>
      <c r="Y92" s="10">
        <f t="shared" si="18"/>
        <v>2.2508184098201808E-2</v>
      </c>
      <c r="Z92" s="10">
        <f t="shared" si="19"/>
        <v>1.935461914199996E-2</v>
      </c>
      <c r="AA92" s="10">
        <f t="shared" si="20"/>
        <v>1.4430155826767028E-2</v>
      </c>
    </row>
    <row r="93" spans="1:27">
      <c r="A93" s="66">
        <v>4.05</v>
      </c>
      <c r="B93" s="10">
        <f t="shared" si="11"/>
        <v>0.99761106377392605</v>
      </c>
      <c r="C93" s="10">
        <f t="shared" si="12"/>
        <v>0.76031874955519851</v>
      </c>
      <c r="D93" s="66">
        <f t="shared" si="21"/>
        <v>4</v>
      </c>
      <c r="E93" s="10">
        <f t="shared" si="13"/>
        <v>5.0566826436734859E-2</v>
      </c>
      <c r="K93" s="10">
        <f t="shared" si="14"/>
        <v>0.82069793139565173</v>
      </c>
      <c r="L93" s="10">
        <f t="shared" si="15"/>
        <v>5.4582489091778451E-2</v>
      </c>
      <c r="R93" s="10">
        <f t="shared" si="16"/>
        <v>0.65530266764883582</v>
      </c>
      <c r="S93" s="10">
        <f t="shared" si="17"/>
        <v>4.3582479424469779E-2</v>
      </c>
      <c r="Y93" s="10">
        <f t="shared" si="18"/>
        <v>4.4795735888048298E-2</v>
      </c>
      <c r="Z93" s="10">
        <f t="shared" si="19"/>
        <v>3.8446906245353005E-2</v>
      </c>
      <c r="AA93" s="10">
        <f t="shared" si="20"/>
        <v>2.8559715029605547E-2</v>
      </c>
    </row>
    <row r="94" spans="1:27">
      <c r="A94" s="66">
        <v>4.0999999999999996</v>
      </c>
      <c r="B94" s="10">
        <f t="shared" si="11"/>
        <v>0.99757681933107134</v>
      </c>
      <c r="C94" s="10">
        <f t="shared" si="12"/>
        <v>0.75775098833516952</v>
      </c>
      <c r="D94" s="66">
        <f t="shared" si="21"/>
        <v>2</v>
      </c>
      <c r="E94" s="10">
        <f t="shared" si="13"/>
        <v>2.5197160692945808E-2</v>
      </c>
      <c r="K94" s="10">
        <f t="shared" si="14"/>
        <v>0.81869827213961854</v>
      </c>
      <c r="L94" s="10">
        <f t="shared" si="15"/>
        <v>2.7223813943762821E-2</v>
      </c>
      <c r="R94" s="10">
        <f t="shared" si="16"/>
        <v>0.65189220346750576</v>
      </c>
      <c r="S94" s="10">
        <f t="shared" si="17"/>
        <v>2.1677085029394604E-2</v>
      </c>
      <c r="Y94" s="10">
        <f t="shared" si="18"/>
        <v>2.2288089436809076E-2</v>
      </c>
      <c r="Z94" s="10">
        <f t="shared" si="19"/>
        <v>1.9093173418319769E-2</v>
      </c>
      <c r="AA94" s="10">
        <f t="shared" si="20"/>
        <v>1.4131122724564529E-2</v>
      </c>
    </row>
    <row r="95" spans="1:27">
      <c r="A95" s="66">
        <v>4.1500000000000004</v>
      </c>
      <c r="B95" s="10">
        <f t="shared" si="11"/>
        <v>0.99754243966129708</v>
      </c>
      <c r="C95" s="10">
        <f t="shared" si="12"/>
        <v>0.75519189900135508</v>
      </c>
      <c r="D95" s="66">
        <f t="shared" si="21"/>
        <v>4</v>
      </c>
      <c r="E95" s="10">
        <f t="shared" si="13"/>
        <v>5.0222397956150654E-2</v>
      </c>
      <c r="K95" s="10">
        <f t="shared" si="14"/>
        <v>0.81670348512340385</v>
      </c>
      <c r="L95" s="10">
        <f t="shared" si="15"/>
        <v>5.4313092468658952E-2</v>
      </c>
      <c r="R95" s="10">
        <f t="shared" si="16"/>
        <v>0.64849948874227636</v>
      </c>
      <c r="S95" s="10">
        <f t="shared" si="17"/>
        <v>4.3127050807938286E-2</v>
      </c>
      <c r="Y95" s="10">
        <f t="shared" si="18"/>
        <v>4.4357691906983465E-2</v>
      </c>
      <c r="Z95" s="10">
        <f t="shared" si="19"/>
        <v>3.7927548084907184E-2</v>
      </c>
      <c r="AA95" s="10">
        <f t="shared" si="20"/>
        <v>2.7967870399910156E-2</v>
      </c>
    </row>
    <row r="96" spans="1:27">
      <c r="A96" s="66">
        <v>4.2</v>
      </c>
      <c r="B96" s="10">
        <f t="shared" si="11"/>
        <v>0.99750792397912946</v>
      </c>
      <c r="C96" s="10">
        <f t="shared" si="12"/>
        <v>0.75264145226691614</v>
      </c>
      <c r="D96" s="66">
        <f t="shared" si="21"/>
        <v>2</v>
      </c>
      <c r="E96" s="10">
        <f t="shared" si="13"/>
        <v>2.5025527085046958E-2</v>
      </c>
      <c r="K96" s="10">
        <f t="shared" si="14"/>
        <v>0.81471355847562454</v>
      </c>
      <c r="L96" s="10">
        <f t="shared" si="15"/>
        <v>2.7089441011755647E-2</v>
      </c>
      <c r="R96" s="10">
        <f t="shared" si="16"/>
        <v>0.64512443109768947</v>
      </c>
      <c r="S96" s="10">
        <f t="shared" si="17"/>
        <v>2.1450557732415776E-2</v>
      </c>
      <c r="Y96" s="10">
        <f t="shared" si="18"/>
        <v>2.2070134883802967E-2</v>
      </c>
      <c r="Z96" s="10">
        <f t="shared" si="19"/>
        <v>1.8835249049034788E-2</v>
      </c>
      <c r="AA96" s="10">
        <f t="shared" si="20"/>
        <v>1.3838278853852871E-2</v>
      </c>
    </row>
    <row r="97" spans="1:27">
      <c r="A97" s="66">
        <v>4.25</v>
      </c>
      <c r="B97" s="10">
        <f t="shared" si="11"/>
        <v>0.9974732714945741</v>
      </c>
      <c r="C97" s="10">
        <f t="shared" si="12"/>
        <v>0.75009961894392096</v>
      </c>
      <c r="D97" s="66">
        <f t="shared" si="21"/>
        <v>4</v>
      </c>
      <c r="E97" s="10">
        <f t="shared" si="13"/>
        <v>4.9880288056988416E-2</v>
      </c>
      <c r="K97" s="10">
        <f t="shared" si="14"/>
        <v>0.81272848035382284</v>
      </c>
      <c r="L97" s="10">
        <f t="shared" si="15"/>
        <v>5.4044995742356085E-2</v>
      </c>
      <c r="R97" s="10">
        <f t="shared" si="16"/>
        <v>0.64176693863904632</v>
      </c>
      <c r="S97" s="10">
        <f t="shared" si="17"/>
        <v>4.2676357854756472E-2</v>
      </c>
      <c r="Y97" s="10">
        <f t="shared" si="18"/>
        <v>4.3923907260413883E-2</v>
      </c>
      <c r="Z97" s="10">
        <f t="shared" si="19"/>
        <v>3.7415185064360021E-2</v>
      </c>
      <c r="AA97" s="10">
        <f t="shared" si="20"/>
        <v>2.7388275532711479E-2</v>
      </c>
    </row>
    <row r="98" spans="1:27">
      <c r="A98" s="66">
        <v>4.3</v>
      </c>
      <c r="B98" s="10">
        <f t="shared" si="11"/>
        <v>0.99743848141309055</v>
      </c>
      <c r="C98" s="10">
        <f t="shared" si="12"/>
        <v>0.7475663699430124</v>
      </c>
      <c r="D98" s="66">
        <f t="shared" si="21"/>
        <v>2</v>
      </c>
      <c r="E98" s="10">
        <f t="shared" si="13"/>
        <v>2.4855048826381832E-2</v>
      </c>
      <c r="K98" s="10">
        <f t="shared" si="14"/>
        <v>0.81074823894439541</v>
      </c>
      <c r="L98" s="10">
        <f t="shared" si="15"/>
        <v>2.6955716408701178E-2</v>
      </c>
      <c r="R98" s="10">
        <f t="shared" si="16"/>
        <v>0.63842691994990652</v>
      </c>
      <c r="S98" s="10">
        <f t="shared" si="17"/>
        <v>2.1226385917602387E-2</v>
      </c>
      <c r="Y98" s="10">
        <f t="shared" si="18"/>
        <v>2.1854299607839023E-2</v>
      </c>
      <c r="Z98" s="10">
        <f t="shared" si="19"/>
        <v>1.8580798625894596E-2</v>
      </c>
      <c r="AA98" s="10">
        <f t="shared" si="20"/>
        <v>1.3551496183042962E-2</v>
      </c>
    </row>
    <row r="99" spans="1:27">
      <c r="A99" s="66">
        <v>4.3499999999999996</v>
      </c>
      <c r="B99" s="10">
        <f t="shared" si="11"/>
        <v>0.99740355293556693</v>
      </c>
      <c r="C99" s="10">
        <f t="shared" si="12"/>
        <v>0.74504167627307394</v>
      </c>
      <c r="D99" s="66">
        <f t="shared" si="21"/>
        <v>4</v>
      </c>
      <c r="E99" s="10">
        <f t="shared" si="13"/>
        <v>4.9540480999988971E-2</v>
      </c>
      <c r="K99" s="10">
        <f t="shared" si="14"/>
        <v>0.80877282246252269</v>
      </c>
      <c r="L99" s="10">
        <f t="shared" si="15"/>
        <v>5.377819244278978E-2</v>
      </c>
      <c r="R99" s="10">
        <f t="shared" si="16"/>
        <v>0.63510428408959774</v>
      </c>
      <c r="S99" s="10">
        <f t="shared" si="17"/>
        <v>4.2230351295704301E-2</v>
      </c>
      <c r="Y99" s="10">
        <f t="shared" si="18"/>
        <v>4.3494340488887798E-2</v>
      </c>
      <c r="Z99" s="10">
        <f t="shared" si="19"/>
        <v>3.690972300760615E-2</v>
      </c>
      <c r="AA99" s="10">
        <f t="shared" si="20"/>
        <v>2.6820677026510496E-2</v>
      </c>
    </row>
    <row r="100" spans="1:27">
      <c r="A100" s="66">
        <v>4.4000000000000004</v>
      </c>
      <c r="B100" s="10">
        <f t="shared" si="11"/>
        <v>0.99736848525829314</v>
      </c>
      <c r="C100" s="10">
        <f t="shared" si="12"/>
        <v>0.7425255090408982</v>
      </c>
      <c r="D100" s="66">
        <f t="shared" si="21"/>
        <v>2</v>
      </c>
      <c r="E100" s="10">
        <f t="shared" si="13"/>
        <v>2.4685718073925458E-2</v>
      </c>
      <c r="K100" s="10">
        <f t="shared" si="14"/>
        <v>0.80680221915210015</v>
      </c>
      <c r="L100" s="10">
        <f t="shared" si="15"/>
        <v>2.6822636907291988E-2</v>
      </c>
      <c r="R100" s="10">
        <f t="shared" si="16"/>
        <v>0.63179894059074038</v>
      </c>
      <c r="S100" s="10">
        <f t="shared" si="17"/>
        <v>2.1004545078826039E-2</v>
      </c>
      <c r="Y100" s="10">
        <f t="shared" si="18"/>
        <v>2.16405629803142E-2</v>
      </c>
      <c r="Z100" s="10">
        <f t="shared" si="19"/>
        <v>1.8329775378881603E-2</v>
      </c>
      <c r="AA100" s="10">
        <f t="shared" si="20"/>
        <v>1.3270649328392741E-2</v>
      </c>
    </row>
    <row r="101" spans="1:27">
      <c r="A101" s="66">
        <v>4.45</v>
      </c>
      <c r="B101" s="10">
        <f t="shared" si="11"/>
        <v>0.99733327757293611</v>
      </c>
      <c r="C101" s="10">
        <f t="shared" si="12"/>
        <v>0.74001783945085731</v>
      </c>
      <c r="D101" s="66">
        <f t="shared" si="21"/>
        <v>4</v>
      </c>
      <c r="E101" s="10">
        <f t="shared" si="13"/>
        <v>4.9202961152131096E-2</v>
      </c>
      <c r="K101" s="10">
        <f t="shared" si="14"/>
        <v>0.80483641728566679</v>
      </c>
      <c r="L101" s="10">
        <f t="shared" si="15"/>
        <v>5.3512676130771569E-2</v>
      </c>
      <c r="R101" s="10">
        <f t="shared" si="16"/>
        <v>0.62851079945678467</v>
      </c>
      <c r="S101" s="10">
        <f t="shared" si="17"/>
        <v>4.1788982374148104E-2</v>
      </c>
      <c r="Y101" s="10">
        <f t="shared" si="18"/>
        <v>4.3068950536458407E-2</v>
      </c>
      <c r="Z101" s="10">
        <f t="shared" si="19"/>
        <v>3.6411069006384515E-2</v>
      </c>
      <c r="AA101" s="10">
        <f t="shared" si="20"/>
        <v>2.6264826720461307E-2</v>
      </c>
    </row>
    <row r="102" spans="1:27">
      <c r="A102" s="66">
        <v>4.5</v>
      </c>
      <c r="B102" s="10">
        <f t="shared" si="11"/>
        <v>0.9972979290665126</v>
      </c>
      <c r="C102" s="10">
        <f t="shared" si="12"/>
        <v>0.73751863880457136</v>
      </c>
      <c r="D102" s="66">
        <f t="shared" si="21"/>
        <v>2</v>
      </c>
      <c r="E102" s="10">
        <f t="shared" si="13"/>
        <v>2.4517527037591743E-2</v>
      </c>
      <c r="K102" s="10">
        <f t="shared" si="14"/>
        <v>0.80287540516433631</v>
      </c>
      <c r="L102" s="10">
        <f t="shared" si="15"/>
        <v>2.6690199295627659E-2</v>
      </c>
      <c r="R102" s="10">
        <f t="shared" si="16"/>
        <v>0.62523977115955953</v>
      </c>
      <c r="S102" s="10">
        <f t="shared" si="17"/>
        <v>2.0785010964914963E-2</v>
      </c>
      <c r="Y102" s="10">
        <f t="shared" si="18"/>
        <v>2.1428904573393939E-2</v>
      </c>
      <c r="Z102" s="10">
        <f t="shared" si="19"/>
        <v>1.8082133167618936E-2</v>
      </c>
      <c r="AA102" s="10">
        <f t="shared" si="20"/>
        <v>1.2995615499252367E-2</v>
      </c>
    </row>
    <row r="103" spans="1:27">
      <c r="A103" s="66">
        <v>4.55</v>
      </c>
      <c r="B103" s="10">
        <f t="shared" si="11"/>
        <v>0.99726243892136368</v>
      </c>
      <c r="C103" s="10">
        <f t="shared" si="12"/>
        <v>0.73502787850058182</v>
      </c>
      <c r="D103" s="66">
        <f t="shared" si="21"/>
        <v>4</v>
      </c>
      <c r="E103" s="10">
        <f t="shared" si="13"/>
        <v>4.8867712985912408E-2</v>
      </c>
      <c r="K103" s="10">
        <f t="shared" si="14"/>
        <v>0.8009191711177267</v>
      </c>
      <c r="L103" s="10">
        <f t="shared" si="15"/>
        <v>5.3248440397849421E-2</v>
      </c>
      <c r="R103" s="10">
        <f t="shared" si="16"/>
        <v>0.62198576663683502</v>
      </c>
      <c r="S103" s="10">
        <f t="shared" si="17"/>
        <v>4.1352202840708292E-2</v>
      </c>
      <c r="Y103" s="10">
        <f t="shared" si="18"/>
        <v>4.2647696746757231E-2</v>
      </c>
      <c r="Z103" s="10">
        <f t="shared" si="19"/>
        <v>3.5919131403210527E-2</v>
      </c>
      <c r="AA103" s="10">
        <f t="shared" si="20"/>
        <v>2.5720481585999853E-2</v>
      </c>
    </row>
    <row r="104" spans="1:27">
      <c r="A104" s="66">
        <v>4.5999999999999996</v>
      </c>
      <c r="B104" s="10">
        <f t="shared" si="11"/>
        <v>0.99722680631512783</v>
      </c>
      <c r="C104" s="10">
        <f t="shared" si="12"/>
        <v>0.73254553003402334</v>
      </c>
      <c r="D104" s="66">
        <f t="shared" si="21"/>
        <v>2</v>
      </c>
      <c r="E104" s="10">
        <f t="shared" si="13"/>
        <v>2.4350467979875057E-2</v>
      </c>
      <c r="K104" s="10">
        <f t="shared" si="14"/>
        <v>0.79896770350389179</v>
      </c>
      <c r="L104" s="10">
        <f t="shared" si="15"/>
        <v>2.6558400377137269E-2</v>
      </c>
      <c r="R104" s="10">
        <f t="shared" si="16"/>
        <v>0.61874869728989812</v>
      </c>
      <c r="S104" s="10">
        <f t="shared" si="17"/>
        <v>2.0567759577001698E-2</v>
      </c>
      <c r="Y104" s="10">
        <f t="shared" si="18"/>
        <v>2.1219304158058259E-2</v>
      </c>
      <c r="Z104" s="10">
        <f t="shared" si="19"/>
        <v>1.7837826472894086E-2</v>
      </c>
      <c r="AA104" s="10">
        <f t="shared" si="20"/>
        <v>1.2726274444441627E-2</v>
      </c>
    </row>
    <row r="105" spans="1:27">
      <c r="A105" s="66">
        <v>4.6500000000000004</v>
      </c>
      <c r="B105" s="10">
        <f t="shared" si="11"/>
        <v>0.99719103042071444</v>
      </c>
      <c r="C105" s="10">
        <f t="shared" si="12"/>
        <v>0.73007156499629744</v>
      </c>
      <c r="D105" s="66">
        <f t="shared" si="21"/>
        <v>4</v>
      </c>
      <c r="E105" s="10">
        <f t="shared" si="13"/>
        <v>4.8534721078634761E-2</v>
      </c>
      <c r="K105" s="10">
        <f t="shared" si="14"/>
        <v>0.79702099070925114</v>
      </c>
      <c r="L105" s="10">
        <f t="shared" si="15"/>
        <v>5.2985478866153117E-2</v>
      </c>
      <c r="R105" s="10">
        <f t="shared" si="16"/>
        <v>0.61552847498113927</v>
      </c>
      <c r="S105" s="10">
        <f t="shared" si="17"/>
        <v>4.0919964947982217E-2</v>
      </c>
      <c r="Y105" s="10">
        <f t="shared" si="18"/>
        <v>4.2230538859105445E-2</v>
      </c>
      <c r="Z105" s="10">
        <f t="shared" si="19"/>
        <v>3.5433819774537668E-2</v>
      </c>
      <c r="AA105" s="10">
        <f t="shared" si="20"/>
        <v>2.5187403620713169E-2</v>
      </c>
    </row>
    <row r="106" spans="1:27">
      <c r="A106" s="66">
        <v>4.7</v>
      </c>
      <c r="B106" s="10">
        <f t="shared" si="11"/>
        <v>0.99715511040627725</v>
      </c>
      <c r="C106" s="10">
        <f t="shared" si="12"/>
        <v>0.7276059550747479</v>
      </c>
      <c r="D106" s="66">
        <f t="shared" si="21"/>
        <v>2</v>
      </c>
      <c r="E106" s="10">
        <f t="shared" si="13"/>
        <v>2.4184533215494169E-2</v>
      </c>
      <c r="K106" s="10">
        <f t="shared" si="14"/>
        <v>0.79507902114852103</v>
      </c>
      <c r="L106" s="10">
        <f t="shared" si="15"/>
        <v>2.6427236970502279E-2</v>
      </c>
      <c r="R106" s="10">
        <f t="shared" si="16"/>
        <v>0.61232501203165401</v>
      </c>
      <c r="S106" s="10">
        <f t="shared" si="17"/>
        <v>2.0352767165898303E-2</v>
      </c>
      <c r="Y106" s="10">
        <f t="shared" si="18"/>
        <v>2.1011741702166957E-2</v>
      </c>
      <c r="Z106" s="10">
        <f t="shared" si="19"/>
        <v>1.7596810388296597E-2</v>
      </c>
      <c r="AA106" s="10">
        <f t="shared" si="20"/>
        <v>1.246250839973613E-2</v>
      </c>
    </row>
    <row r="107" spans="1:27">
      <c r="A107" s="66">
        <v>4.75</v>
      </c>
      <c r="B107" s="10">
        <f t="shared" si="11"/>
        <v>0.99711904543518803</v>
      </c>
      <c r="C107" s="10">
        <f t="shared" si="12"/>
        <v>0.72514867205233635</v>
      </c>
      <c r="D107" s="66">
        <f t="shared" si="21"/>
        <v>4</v>
      </c>
      <c r="E107" s="10">
        <f t="shared" si="13"/>
        <v>4.8203970111694659E-2</v>
      </c>
      <c r="K107" s="10">
        <f t="shared" si="14"/>
        <v>0.79314178326464624</v>
      </c>
      <c r="L107" s="10">
        <f t="shared" si="15"/>
        <v>5.272378518824046E-2</v>
      </c>
      <c r="R107" s="10">
        <f t="shared" si="16"/>
        <v>0.60913822121885419</v>
      </c>
      <c r="S107" s="10">
        <f t="shared" si="17"/>
        <v>4.0492221445322156E-2</v>
      </c>
      <c r="Y107" s="10">
        <f t="shared" si="18"/>
        <v>4.1817437004663179E-2</v>
      </c>
      <c r="Z107" s="10">
        <f t="shared" si="19"/>
        <v>3.4955044914145895E-2</v>
      </c>
      <c r="AA107" s="10">
        <f t="shared" si="20"/>
        <v>2.4665359744403478E-2</v>
      </c>
    </row>
    <row r="108" spans="1:27">
      <c r="A108" s="66">
        <v>4.8</v>
      </c>
      <c r="B108" s="10">
        <f t="shared" si="11"/>
        <v>0.997082834666008</v>
      </c>
      <c r="C108" s="10">
        <f t="shared" si="12"/>
        <v>0.72269968780731952</v>
      </c>
      <c r="D108" s="66">
        <f t="shared" si="21"/>
        <v>2</v>
      </c>
      <c r="E108" s="10">
        <f t="shared" si="13"/>
        <v>2.4019715111038707E-2</v>
      </c>
      <c r="K108" s="10">
        <f t="shared" si="14"/>
        <v>0.79120926552873017</v>
      </c>
      <c r="L108" s="10">
        <f t="shared" si="15"/>
        <v>2.6296705909579884E-2</v>
      </c>
      <c r="R108" s="10">
        <f t="shared" si="16"/>
        <v>0.60596801577409432</v>
      </c>
      <c r="S108" s="10">
        <f t="shared" si="17"/>
        <v>2.0140010229499006E-2</v>
      </c>
      <c r="Y108" s="10">
        <f t="shared" si="18"/>
        <v>2.0806197368543718E-2</v>
      </c>
      <c r="Z108" s="10">
        <f t="shared" si="19"/>
        <v>1.735904061196843E-2</v>
      </c>
      <c r="AA108" s="10">
        <f t="shared" si="20"/>
        <v>1.2204202036439476E-2</v>
      </c>
    </row>
    <row r="109" spans="1:27">
      <c r="A109" s="66">
        <v>4.8499999999999996</v>
      </c>
      <c r="B109" s="10">
        <f t="shared" si="11"/>
        <v>0.99704647725246232</v>
      </c>
      <c r="C109" s="10">
        <f t="shared" si="12"/>
        <v>0.72025897431292729</v>
      </c>
      <c r="D109" s="66">
        <f t="shared" si="21"/>
        <v>4</v>
      </c>
      <c r="E109" s="10">
        <f t="shared" si="13"/>
        <v>4.7875444869878402E-2</v>
      </c>
      <c r="K109" s="10">
        <f t="shared" si="14"/>
        <v>0.78928145643996694</v>
      </c>
      <c r="L109" s="10">
        <f t="shared" si="15"/>
        <v>5.2463353046944126E-2</v>
      </c>
      <c r="R109" s="10">
        <f t="shared" si="16"/>
        <v>0.60281430938030822</v>
      </c>
      <c r="S109" s="10">
        <f t="shared" si="17"/>
        <v>4.0068925573667494E-2</v>
      </c>
      <c r="Y109" s="10">
        <f t="shared" si="18"/>
        <v>4.1408351702616239E-2</v>
      </c>
      <c r="Z109" s="10">
        <f t="shared" si="19"/>
        <v>3.4482718816753716E-2</v>
      </c>
      <c r="AA109" s="10">
        <f t="shared" si="20"/>
        <v>2.4154121697301342E-2</v>
      </c>
    </row>
    <row r="110" spans="1:27">
      <c r="A110" s="66">
        <v>4.9000000000000004</v>
      </c>
      <c r="B110" s="10">
        <f t="shared" si="11"/>
        <v>0.99700997234341227</v>
      </c>
      <c r="C110" s="10">
        <f t="shared" si="12"/>
        <v>0.71782650363704215</v>
      </c>
      <c r="D110" s="66">
        <f t="shared" si="21"/>
        <v>2</v>
      </c>
      <c r="E110" s="10">
        <f t="shared" si="13"/>
        <v>2.3856006084617857E-2</v>
      </c>
      <c r="K110" s="10">
        <f t="shared" si="14"/>
        <v>0.78735834452557296</v>
      </c>
      <c r="L110" s="10">
        <f t="shared" si="15"/>
        <v>2.6166804043326549E-2</v>
      </c>
      <c r="R110" s="10">
        <f t="shared" si="16"/>
        <v>0.59967701616965929</v>
      </c>
      <c r="S110" s="10">
        <f t="shared" si="17"/>
        <v>1.9929465510209736E-2</v>
      </c>
      <c r="Y110" s="10">
        <f t="shared" si="18"/>
        <v>2.0602651513078659E-2</v>
      </c>
      <c r="Z110" s="10">
        <f t="shared" si="19"/>
        <v>1.7124473438465241E-2</v>
      </c>
      <c r="AA110" s="10">
        <f t="shared" si="20"/>
        <v>1.1951242411018711E-2</v>
      </c>
    </row>
    <row r="111" spans="1:27">
      <c r="A111" s="66">
        <v>4.95</v>
      </c>
      <c r="B111" s="10">
        <f t="shared" si="11"/>
        <v>0.99697331908282771</v>
      </c>
      <c r="C111" s="10">
        <f t="shared" si="12"/>
        <v>0.71540224794187923</v>
      </c>
      <c r="D111" s="66">
        <f t="shared" si="21"/>
        <v>4</v>
      </c>
      <c r="E111" s="10">
        <f t="shared" si="13"/>
        <v>4.7549130240662089E-2</v>
      </c>
      <c r="K111" s="10">
        <f t="shared" si="14"/>
        <v>0.78543991834071836</v>
      </c>
      <c r="L111" s="10">
        <f t="shared" si="15"/>
        <v>5.2204176155219405E-2</v>
      </c>
      <c r="R111" s="10">
        <f t="shared" si="16"/>
        <v>0.59655605072120255</v>
      </c>
      <c r="S111" s="10">
        <f t="shared" si="17"/>
        <v>3.9650031060430732E-2</v>
      </c>
      <c r="Y111" s="10">
        <f t="shared" si="18"/>
        <v>4.1003243856400008E-2</v>
      </c>
      <c r="Z111" s="10">
        <f t="shared" si="19"/>
        <v>3.4016754661850848E-2</v>
      </c>
      <c r="AA111" s="10">
        <f t="shared" si="20"/>
        <v>2.3653465940383572E-2</v>
      </c>
    </row>
    <row r="112" spans="1:27">
      <c r="A112" s="66">
        <v>5</v>
      </c>
      <c r="B112" s="10">
        <f t="shared" si="11"/>
        <v>0.99693651660975902</v>
      </c>
      <c r="C112" s="10">
        <f t="shared" si="12"/>
        <v>0.71298617948366838</v>
      </c>
      <c r="D112" s="66">
        <f t="shared" si="21"/>
        <v>2</v>
      </c>
      <c r="E112" s="10">
        <f t="shared" si="13"/>
        <v>2.3693398605511628E-2</v>
      </c>
      <c r="K112" s="10">
        <f t="shared" si="14"/>
        <v>0.78352616646845896</v>
      </c>
      <c r="L112" s="10">
        <f t="shared" si="15"/>
        <v>2.6037528235722123E-2</v>
      </c>
      <c r="R112" s="10">
        <f t="shared" si="16"/>
        <v>0.5934513280585586</v>
      </c>
      <c r="S112" s="10">
        <f t="shared" si="17"/>
        <v>1.9721109992404492E-2</v>
      </c>
      <c r="Y112" s="10">
        <f t="shared" si="18"/>
        <v>2.0401084682849614E-2</v>
      </c>
      <c r="Z112" s="10">
        <f t="shared" si="19"/>
        <v>1.6893065750727413E-2</v>
      </c>
      <c r="AA112" s="10">
        <f t="shared" si="20"/>
        <v>1.1703518915781357E-2</v>
      </c>
    </row>
    <row r="113" spans="1:27">
      <c r="A113" s="66">
        <v>5.05</v>
      </c>
      <c r="B113" s="10">
        <f t="shared" si="11"/>
        <v>0.99689956405831037</v>
      </c>
      <c r="C113" s="10">
        <f t="shared" si="12"/>
        <v>0.71057827061233503</v>
      </c>
      <c r="D113" s="66">
        <f t="shared" si="21"/>
        <v>4</v>
      </c>
      <c r="E113" s="10">
        <f t="shared" si="13"/>
        <v>4.7225011213516327E-2</v>
      </c>
      <c r="K113" s="10">
        <f t="shared" si="14"/>
        <v>0.78161707751966825</v>
      </c>
      <c r="L113" s="10">
        <f t="shared" si="15"/>
        <v>5.1946248255992526E-2</v>
      </c>
      <c r="R113" s="10">
        <f t="shared" si="16"/>
        <v>0.59036276364759976</v>
      </c>
      <c r="S113" s="10">
        <f t="shared" si="17"/>
        <v>3.9235492114436769E-2</v>
      </c>
      <c r="Y113" s="10">
        <f t="shared" si="18"/>
        <v>4.060207474996004E-2</v>
      </c>
      <c r="Z113" s="10">
        <f t="shared" si="19"/>
        <v>3.3557066797748558E-2</v>
      </c>
      <c r="AA113" s="10">
        <f t="shared" si="20"/>
        <v>2.3163173557752499E-2</v>
      </c>
    </row>
    <row r="114" spans="1:27">
      <c r="A114" s="66">
        <v>5.0999999999999996</v>
      </c>
      <c r="B114" s="10">
        <f t="shared" si="11"/>
        <v>0.99686246055761141</v>
      </c>
      <c r="C114" s="10">
        <f t="shared" si="12"/>
        <v>0.70817849377118647</v>
      </c>
      <c r="D114" s="66">
        <f t="shared" si="21"/>
        <v>2</v>
      </c>
      <c r="E114" s="10">
        <f t="shared" si="13"/>
        <v>2.3531885193824268E-2</v>
      </c>
      <c r="K114" s="10">
        <f t="shared" si="14"/>
        <v>0.77971264013296993</v>
      </c>
      <c r="L114" s="10">
        <f t="shared" si="15"/>
        <v>2.5908875365694129E-2</v>
      </c>
      <c r="R114" s="10">
        <f t="shared" si="16"/>
        <v>0.5872902733941493</v>
      </c>
      <c r="S114" s="10">
        <f t="shared" si="17"/>
        <v>1.9514920899908136E-2</v>
      </c>
      <c r="Y114" s="10">
        <f t="shared" si="18"/>
        <v>2.0201477614261436E-2</v>
      </c>
      <c r="Z114" s="10">
        <f t="shared" si="19"/>
        <v>1.6664775012158954E-2</v>
      </c>
      <c r="AA114" s="10">
        <f t="shared" si="20"/>
        <v>1.1460923230572247E-2</v>
      </c>
    </row>
    <row r="115" spans="1:27">
      <c r="A115" s="66">
        <v>5.15</v>
      </c>
      <c r="B115" s="10">
        <f t="shared" si="11"/>
        <v>0.99682520523178852</v>
      </c>
      <c r="C115" s="10">
        <f t="shared" si="12"/>
        <v>0.70578682149659344</v>
      </c>
      <c r="D115" s="66">
        <f t="shared" si="21"/>
        <v>4</v>
      </c>
      <c r="E115" s="10">
        <f t="shared" si="13"/>
        <v>4.6903072879215572E-2</v>
      </c>
      <c r="K115" s="10">
        <f t="shared" si="14"/>
        <v>0.77781284297467035</v>
      </c>
      <c r="L115" s="10">
        <f t="shared" si="15"/>
        <v>5.1689563122009785E-2</v>
      </c>
      <c r="R115" s="10">
        <f t="shared" si="16"/>
        <v>0.58423377364169038</v>
      </c>
      <c r="S115" s="10">
        <f t="shared" si="17"/>
        <v>3.8825263420914691E-2</v>
      </c>
      <c r="Y115" s="10">
        <f t="shared" si="18"/>
        <v>4.0204806044049107E-2</v>
      </c>
      <c r="Z115" s="10">
        <f t="shared" si="19"/>
        <v>3.3103570725844633E-2</v>
      </c>
      <c r="AA115" s="10">
        <f t="shared" si="20"/>
        <v>2.2683030161033676E-2</v>
      </c>
    </row>
    <row r="116" spans="1:27">
      <c r="A116" s="66">
        <v>5.2</v>
      </c>
      <c r="B116" s="10">
        <f t="shared" si="11"/>
        <v>0.99678779719993793</v>
      </c>
      <c r="C116" s="10">
        <f t="shared" si="12"/>
        <v>0.70340322641767861</v>
      </c>
      <c r="D116" s="66">
        <f t="shared" si="21"/>
        <v>2</v>
      </c>
      <c r="E116" s="10">
        <f t="shared" si="13"/>
        <v>2.3371458420140236E-2</v>
      </c>
      <c r="K116" s="10">
        <f t="shared" si="14"/>
        <v>0.77591767473869</v>
      </c>
      <c r="L116" s="10">
        <f t="shared" si="15"/>
        <v>2.5780842327042561E-2</v>
      </c>
      <c r="R116" s="10">
        <f t="shared" si="16"/>
        <v>0.58119318116908947</v>
      </c>
      <c r="S116" s="10">
        <f t="shared" si="17"/>
        <v>1.9310875693505373E-2</v>
      </c>
      <c r="Y116" s="10">
        <f t="shared" si="18"/>
        <v>2.0003811231203664E-2</v>
      </c>
      <c r="Z116" s="10">
        <f t="shared" si="19"/>
        <v>1.6439559258813265E-2</v>
      </c>
      <c r="AA116" s="10">
        <f t="shared" si="20"/>
        <v>1.1223349275469235E-2</v>
      </c>
    </row>
    <row r="117" spans="1:27">
      <c r="A117" s="66">
        <v>5.25</v>
      </c>
      <c r="B117" s="10">
        <f t="shared" si="11"/>
        <v>0.99675023557609632</v>
      </c>
      <c r="C117" s="10">
        <f t="shared" si="12"/>
        <v>0.7010276812560009</v>
      </c>
      <c r="D117" s="66">
        <f t="shared" si="21"/>
        <v>4</v>
      </c>
      <c r="E117" s="10">
        <f t="shared" si="13"/>
        <v>4.6583300429152236E-2</v>
      </c>
      <c r="K117" s="10">
        <f t="shared" si="14"/>
        <v>0.77402712414649788</v>
      </c>
      <c r="L117" s="10">
        <f t="shared" si="15"/>
        <v>5.1434114555687339E-2</v>
      </c>
      <c r="R117" s="10">
        <f t="shared" si="16"/>
        <v>0.57816841318833001</v>
      </c>
      <c r="S117" s="10">
        <f t="shared" si="17"/>
        <v>3.8419300136541719E-2</v>
      </c>
      <c r="Y117" s="10">
        <f t="shared" si="18"/>
        <v>3.9811399772560201E-2</v>
      </c>
      <c r="Z117" s="10">
        <f t="shared" si="19"/>
        <v>3.2656183085100265E-2</v>
      </c>
      <c r="AA117" s="10">
        <f t="shared" si="20"/>
        <v>2.2212825795750516E-2</v>
      </c>
    </row>
    <row r="118" spans="1:27">
      <c r="A118" s="66">
        <v>5.3</v>
      </c>
      <c r="B118" s="10">
        <f t="shared" si="11"/>
        <v>0.99671251946921302</v>
      </c>
      <c r="C118" s="10">
        <f t="shared" si="12"/>
        <v>0.69866015882524513</v>
      </c>
      <c r="D118" s="66">
        <f t="shared" si="21"/>
        <v>2</v>
      </c>
      <c r="E118" s="10">
        <f t="shared" si="13"/>
        <v>2.3212110905182354E-2</v>
      </c>
      <c r="K118" s="10">
        <f t="shared" si="14"/>
        <v>0.77214117994704312</v>
      </c>
      <c r="L118" s="10">
        <f t="shared" si="15"/>
        <v>2.5653426028364946E-2</v>
      </c>
      <c r="R118" s="10">
        <f t="shared" si="16"/>
        <v>0.57515938734225802</v>
      </c>
      <c r="S118" s="10">
        <f t="shared" si="17"/>
        <v>1.9108952068475699E-2</v>
      </c>
      <c r="Y118" s="10">
        <f t="shared" si="18"/>
        <v>1.9808066643225899E-2</v>
      </c>
      <c r="Z118" s="10">
        <f t="shared" si="19"/>
        <v>1.6217377091683909E-2</v>
      </c>
      <c r="AA118" s="10">
        <f t="shared" si="20"/>
        <v>1.0990693164457057E-2</v>
      </c>
    </row>
    <row r="119" spans="1:27">
      <c r="A119" s="66">
        <v>5.35</v>
      </c>
      <c r="B119" s="10">
        <f t="shared" si="11"/>
        <v>0.99667464798312067</v>
      </c>
      <c r="C119" s="10">
        <f t="shared" si="12"/>
        <v>0.69630063203091008</v>
      </c>
      <c r="D119" s="66">
        <f t="shared" si="21"/>
        <v>4</v>
      </c>
      <c r="E119" s="10">
        <f t="shared" si="13"/>
        <v>4.6265679154655452E-2</v>
      </c>
      <c r="K119" s="10">
        <f t="shared" si="14"/>
        <v>0.77025983091668826</v>
      </c>
      <c r="L119" s="10">
        <f t="shared" si="15"/>
        <v>5.1179896388961886E-2</v>
      </c>
      <c r="R119" s="10">
        <f t="shared" si="16"/>
        <v>0.57216602170234021</v>
      </c>
      <c r="S119" s="10">
        <f t="shared" si="17"/>
        <v>3.8017557884538832E-2</v>
      </c>
      <c r="Y119" s="10">
        <f t="shared" si="18"/>
        <v>3.9421818338895409E-2</v>
      </c>
      <c r="Z119" s="10">
        <f t="shared" si="19"/>
        <v>3.2214821636725892E-2</v>
      </c>
      <c r="AA119" s="10">
        <f t="shared" si="20"/>
        <v>2.175235484963502E-2</v>
      </c>
    </row>
    <row r="120" spans="1:27">
      <c r="A120" s="66">
        <v>5.4</v>
      </c>
      <c r="B120" s="10">
        <f t="shared" si="11"/>
        <v>0.99663662021650701</v>
      </c>
      <c r="C120" s="10">
        <f t="shared" si="12"/>
        <v>0.69394907386999827</v>
      </c>
      <c r="D120" s="66">
        <f t="shared" si="21"/>
        <v>2</v>
      </c>
      <c r="E120" s="10">
        <f t="shared" si="13"/>
        <v>2.3053835319472343E-2</v>
      </c>
      <c r="K120" s="10">
        <f t="shared" si="14"/>
        <v>0.76838306585914296</v>
      </c>
      <c r="L120" s="10">
        <f t="shared" si="15"/>
        <v>2.5526623392981798E-2</v>
      </c>
      <c r="R120" s="10">
        <f t="shared" si="16"/>
        <v>0.56918823476643265</v>
      </c>
      <c r="S120" s="10">
        <f t="shared" si="17"/>
        <v>1.8909127952153906E-2</v>
      </c>
      <c r="Y120" s="10">
        <f t="shared" si="18"/>
        <v>1.9614225143731071E-2</v>
      </c>
      <c r="Z120" s="10">
        <f t="shared" si="19"/>
        <v>1.5998187669099287E-2</v>
      </c>
      <c r="AA120" s="10">
        <f t="shared" si="20"/>
        <v>1.0762853160059092E-2</v>
      </c>
    </row>
    <row r="121" spans="1:27">
      <c r="A121" s="66">
        <v>5.45</v>
      </c>
      <c r="B121" s="10">
        <f t="shared" si="11"/>
        <v>0.99659843526288583</v>
      </c>
      <c r="C121" s="10">
        <f t="shared" si="12"/>
        <v>0.69160545743070767</v>
      </c>
      <c r="D121" s="66">
        <f t="shared" si="21"/>
        <v>4</v>
      </c>
      <c r="E121" s="10">
        <f t="shared" si="13"/>
        <v>4.5950194446314381E-2</v>
      </c>
      <c r="K121" s="10">
        <f t="shared" si="14"/>
        <v>0.76651087360539705</v>
      </c>
      <c r="L121" s="10">
        <f t="shared" si="15"/>
        <v>5.0926902483141766E-2</v>
      </c>
      <c r="R121" s="10">
        <f t="shared" si="16"/>
        <v>0.5662259454565628</v>
      </c>
      <c r="S121" s="10">
        <f t="shared" si="17"/>
        <v>3.7619992749817248E-2</v>
      </c>
      <c r="Y121" s="10">
        <f t="shared" si="18"/>
        <v>3.9036024512369857E-2</v>
      </c>
      <c r="Z121" s="10">
        <f t="shared" si="19"/>
        <v>3.1779405249073224E-2</v>
      </c>
      <c r="AA121" s="10">
        <f t="shared" si="20"/>
        <v>2.1301415962834309E-2</v>
      </c>
    </row>
    <row r="122" spans="1:27">
      <c r="A122" s="66">
        <v>5.5</v>
      </c>
      <c r="B122" s="10">
        <f t="shared" si="11"/>
        <v>0.99656009221056741</v>
      </c>
      <c r="C122" s="10">
        <f t="shared" si="12"/>
        <v>0.68926975589212269</v>
      </c>
      <c r="D122" s="66">
        <f t="shared" si="21"/>
        <v>2</v>
      </c>
      <c r="E122" s="10">
        <f t="shared" si="13"/>
        <v>2.2896624382993638E-2</v>
      </c>
      <c r="K122" s="10">
        <f t="shared" si="14"/>
        <v>0.7646432430136535</v>
      </c>
      <c r="L122" s="10">
        <f t="shared" si="15"/>
        <v>2.5400431358862462E-2</v>
      </c>
      <c r="R122" s="10">
        <f t="shared" si="16"/>
        <v>0.56327907311672021</v>
      </c>
      <c r="S122" s="10">
        <f t="shared" si="17"/>
        <v>1.8711381501516054E-2</v>
      </c>
      <c r="Y122" s="10">
        <f t="shared" si="18"/>
        <v>1.9422268208186294E-2</v>
      </c>
      <c r="Z122" s="10">
        <f t="shared" si="19"/>
        <v>1.578195069921965E-2</v>
      </c>
      <c r="AA122" s="10">
        <f t="shared" si="20"/>
        <v>1.0539729628907308E-2</v>
      </c>
    </row>
    <row r="123" spans="1:27">
      <c r="A123" s="66">
        <v>5.55</v>
      </c>
      <c r="B123" s="10">
        <f t="shared" si="11"/>
        <v>0.99652159014262998</v>
      </c>
      <c r="C123" s="10">
        <f t="shared" si="12"/>
        <v>0.68694194252390828</v>
      </c>
      <c r="D123" s="66">
        <f t="shared" si="21"/>
        <v>4</v>
      </c>
      <c r="E123" s="10">
        <f t="shared" si="13"/>
        <v>4.5636831793306153E-2</v>
      </c>
      <c r="K123" s="10">
        <f t="shared" si="14"/>
        <v>0.76278016296926343</v>
      </c>
      <c r="L123" s="10">
        <f t="shared" si="15"/>
        <v>5.0675126728758998E-2</v>
      </c>
      <c r="R123" s="10">
        <f t="shared" si="16"/>
        <v>0.56034753751066213</v>
      </c>
      <c r="S123" s="10">
        <f t="shared" si="17"/>
        <v>3.7226561274175472E-2</v>
      </c>
      <c r="Y123" s="10">
        <f t="shared" si="18"/>
        <v>3.8653981424650867E-2</v>
      </c>
      <c r="Z123" s="10">
        <f t="shared" si="19"/>
        <v>3.1349853882730587E-2</v>
      </c>
      <c r="AA123" s="10">
        <f t="shared" si="20"/>
        <v>2.0859811939974004E-2</v>
      </c>
    </row>
    <row r="124" spans="1:27">
      <c r="A124" s="66">
        <v>5.6</v>
      </c>
      <c r="B124" s="10">
        <f t="shared" si="11"/>
        <v>0.99648292813688966</v>
      </c>
      <c r="C124" s="10">
        <f t="shared" si="12"/>
        <v>0.68462199068600316</v>
      </c>
      <c r="D124" s="66">
        <f t="shared" si="21"/>
        <v>2</v>
      </c>
      <c r="E124" s="10">
        <f t="shared" si="13"/>
        <v>2.2740470864856494E-2</v>
      </c>
      <c r="K124" s="10">
        <f t="shared" si="14"/>
        <v>0.76092162238465888</v>
      </c>
      <c r="L124" s="10">
        <f t="shared" si="15"/>
        <v>2.5274846878551253E-2</v>
      </c>
      <c r="R124" s="10">
        <f t="shared" si="16"/>
        <v>0.55743125881972788</v>
      </c>
      <c r="S124" s="10">
        <f t="shared" si="17"/>
        <v>1.8515691100790495E-2</v>
      </c>
      <c r="Y124" s="10">
        <f t="shared" si="18"/>
        <v>1.9232177492351052E-2</v>
      </c>
      <c r="Z124" s="10">
        <f t="shared" si="19"/>
        <v>1.5568626432635109E-2</v>
      </c>
      <c r="AA124" s="10">
        <f t="shared" si="20"/>
        <v>1.0321224998230879E-2</v>
      </c>
    </row>
    <row r="125" spans="1:27">
      <c r="A125" s="66">
        <v>5.65</v>
      </c>
      <c r="B125" s="10">
        <f t="shared" si="11"/>
        <v>0.99644410526587124</v>
      </c>
      <c r="C125" s="10">
        <f t="shared" si="12"/>
        <v>0.68230987382831532</v>
      </c>
      <c r="D125" s="66">
        <f t="shared" si="21"/>
        <v>4</v>
      </c>
      <c r="E125" s="10">
        <f t="shared" si="13"/>
        <v>4.532557678272834E-2</v>
      </c>
      <c r="K125" s="10">
        <f t="shared" si="14"/>
        <v>0.7590676101992867</v>
      </c>
      <c r="L125" s="10">
        <f t="shared" si="15"/>
        <v>5.0424563045422088E-2</v>
      </c>
      <c r="R125" s="10">
        <f t="shared" si="16"/>
        <v>0.55453015764066593</v>
      </c>
      <c r="S125" s="10">
        <f t="shared" si="17"/>
        <v>3.6837220451546394E-2</v>
      </c>
      <c r="Y125" s="10">
        <f t="shared" si="18"/>
        <v>3.8275652566231812E-2</v>
      </c>
      <c r="Z125" s="10">
        <f t="shared" si="19"/>
        <v>3.0926088575818991E-2</v>
      </c>
      <c r="AA125" s="10">
        <f t="shared" si="20"/>
        <v>2.0427349664039984E-2</v>
      </c>
    </row>
    <row r="126" spans="1:27">
      <c r="A126" s="66">
        <v>5.7</v>
      </c>
      <c r="B126" s="10">
        <f t="shared" si="11"/>
        <v>0.9964051205967781</v>
      </c>
      <c r="C126" s="10">
        <f t="shared" si="12"/>
        <v>0.68000556549041857</v>
      </c>
      <c r="D126" s="66">
        <f t="shared" si="21"/>
        <v>2</v>
      </c>
      <c r="E126" s="10">
        <f t="shared" si="13"/>
        <v>2.2585367582965362E-2</v>
      </c>
      <c r="K126" s="10">
        <f t="shared" si="14"/>
        <v>0.75721811537954387</v>
      </c>
      <c r="L126" s="10">
        <f t="shared" si="15"/>
        <v>2.5149866919093981E-2</v>
      </c>
      <c r="R126" s="10">
        <f t="shared" si="16"/>
        <v>0.55164415498347197</v>
      </c>
      <c r="S126" s="10">
        <f t="shared" si="17"/>
        <v>1.8322035359093804E-2</v>
      </c>
      <c r="Y126" s="10">
        <f t="shared" si="18"/>
        <v>1.904393483052268E-2</v>
      </c>
      <c r="Z126" s="10">
        <f t="shared" si="19"/>
        <v>1.535817565506333E-2</v>
      </c>
      <c r="AA126" s="10">
        <f t="shared" si="20"/>
        <v>1.0107243713244595E-2</v>
      </c>
    </row>
    <row r="127" spans="1:27">
      <c r="A127" s="66">
        <v>5.75</v>
      </c>
      <c r="B127" s="10">
        <f t="shared" si="11"/>
        <v>0.99636597319146292</v>
      </c>
      <c r="C127" s="10">
        <f t="shared" si="12"/>
        <v>0.67770903930124882</v>
      </c>
      <c r="D127" s="66">
        <f t="shared" si="21"/>
        <v>4</v>
      </c>
      <c r="E127" s="10">
        <f t="shared" si="13"/>
        <v>4.5016415098936009E-2</v>
      </c>
      <c r="K127" s="10">
        <f t="shared" si="14"/>
        <v>0.75537312691871061</v>
      </c>
      <c r="L127" s="10">
        <f t="shared" si="15"/>
        <v>5.0175205381669308E-2</v>
      </c>
      <c r="R127" s="10">
        <f t="shared" si="16"/>
        <v>0.54877317226923805</v>
      </c>
      <c r="S127" s="10">
        <f t="shared" si="17"/>
        <v>3.6451927723293719E-2</v>
      </c>
      <c r="Y127" s="10">
        <f t="shared" si="18"/>
        <v>3.7901001782940064E-2</v>
      </c>
      <c r="Z127" s="10">
        <f t="shared" si="19"/>
        <v>3.0508031429486153E-2</v>
      </c>
      <c r="AA127" s="10">
        <f t="shared" si="20"/>
        <v>2.0003840012040877E-2</v>
      </c>
    </row>
    <row r="128" spans="1:27">
      <c r="A128" s="66">
        <v>5.8</v>
      </c>
      <c r="B128" s="10">
        <f t="shared" si="11"/>
        <v>0.99632666210639687</v>
      </c>
      <c r="C128" s="10">
        <f t="shared" si="12"/>
        <v>0.67542026897880325</v>
      </c>
      <c r="D128" s="66">
        <f t="shared" si="21"/>
        <v>2</v>
      </c>
      <c r="E128" s="10">
        <f t="shared" si="13"/>
        <v>2.2431307403688528E-2</v>
      </c>
      <c r="K128" s="10">
        <f t="shared" si="14"/>
        <v>0.75353263383688585</v>
      </c>
      <c r="L128" s="10">
        <f t="shared" si="15"/>
        <v>2.5025488461964878E-2</v>
      </c>
      <c r="R128" s="10">
        <f t="shared" si="16"/>
        <v>0.54591713132801289</v>
      </c>
      <c r="S128" s="10">
        <f t="shared" si="17"/>
        <v>1.8130393108091288E-2</v>
      </c>
      <c r="Y128" s="10">
        <f t="shared" si="18"/>
        <v>1.8857522233798992E-2</v>
      </c>
      <c r="Z128" s="10">
        <f t="shared" si="19"/>
        <v>1.5150559680145526E-2</v>
      </c>
      <c r="AA128" s="10">
        <f t="shared" si="20"/>
        <v>9.8976921954183721E-3</v>
      </c>
    </row>
    <row r="129" spans="1:27">
      <c r="A129" s="66">
        <v>5.85</v>
      </c>
      <c r="B129" s="10">
        <f t="shared" si="11"/>
        <v>0.9962871863926398</v>
      </c>
      <c r="C129" s="10">
        <f t="shared" si="12"/>
        <v>0.67313922832983852</v>
      </c>
      <c r="D129" s="66">
        <f t="shared" si="21"/>
        <v>4</v>
      </c>
      <c r="E129" s="10">
        <f t="shared" si="13"/>
        <v>4.4709332522883172E-2</v>
      </c>
      <c r="K129" s="10">
        <f t="shared" si="14"/>
        <v>0.75169662518092084</v>
      </c>
      <c r="L129" s="10">
        <f t="shared" si="15"/>
        <v>4.9927047714822828E-2</v>
      </c>
      <c r="R129" s="10">
        <f t="shared" si="16"/>
        <v>0.54307595439667411</v>
      </c>
      <c r="S129" s="10">
        <f t="shared" si="17"/>
        <v>3.607064097355734E-2</v>
      </c>
      <c r="Y129" s="10">
        <f t="shared" si="18"/>
        <v>3.7529993272479127E-2</v>
      </c>
      <c r="Z129" s="10">
        <f t="shared" si="19"/>
        <v>3.0095605593595729E-2</v>
      </c>
      <c r="AA129" s="10">
        <f t="shared" si="20"/>
        <v>1.9589097772414431E-2</v>
      </c>
    </row>
    <row r="130" spans="1:27">
      <c r="A130" s="66">
        <v>5.9</v>
      </c>
      <c r="B130" s="10">
        <f t="shared" si="11"/>
        <v>0.99624754509580993</v>
      </c>
      <c r="C130" s="10">
        <f t="shared" si="12"/>
        <v>0.67086589124957208</v>
      </c>
      <c r="D130" s="66">
        <f t="shared" si="21"/>
        <v>2</v>
      </c>
      <c r="E130" s="10">
        <f t="shared" si="13"/>
        <v>2.2278283241529959E-2</v>
      </c>
      <c r="K130" s="10">
        <f t="shared" si="14"/>
        <v>0.7498650900243552</v>
      </c>
      <c r="L130" s="10">
        <f t="shared" si="15"/>
        <v>2.4901708502993742E-2</v>
      </c>
      <c r="R130" s="10">
        <f t="shared" si="16"/>
        <v>0.54024956411681013</v>
      </c>
      <c r="S130" s="10">
        <f t="shared" si="17"/>
        <v>1.7940743399681779E-2</v>
      </c>
      <c r="Y130" s="10">
        <f t="shared" si="18"/>
        <v>1.8672921888357653E-2</v>
      </c>
      <c r="Z130" s="10">
        <f t="shared" si="19"/>
        <v>1.4945740342339401E-2</v>
      </c>
      <c r="AA130" s="10">
        <f t="shared" si="20"/>
        <v>9.6924788016096199E-3</v>
      </c>
    </row>
    <row r="131" spans="1:27">
      <c r="A131" s="66">
        <v>5.95</v>
      </c>
      <c r="B131" s="10">
        <f t="shared" si="11"/>
        <v>0.99620773725605294</v>
      </c>
      <c r="C131" s="10">
        <f t="shared" si="12"/>
        <v>0.6686002317213825</v>
      </c>
      <c r="D131" s="66">
        <f t="shared" si="21"/>
        <v>4</v>
      </c>
      <c r="E131" s="10">
        <f t="shared" si="13"/>
        <v>4.4404314931468743E-2</v>
      </c>
      <c r="K131" s="10">
        <f t="shared" si="14"/>
        <v>0.74803801746735077</v>
      </c>
      <c r="L131" s="10">
        <f t="shared" si="15"/>
        <v>4.9680084050843551E-2</v>
      </c>
      <c r="R131" s="10">
        <f t="shared" si="16"/>
        <v>0.53743788353261479</v>
      </c>
      <c r="S131" s="10">
        <f t="shared" si="17"/>
        <v>3.5693318524647216E-2</v>
      </c>
      <c r="Y131" s="10">
        <f t="shared" si="18"/>
        <v>3.7162591581004364E-2</v>
      </c>
      <c r="Z131" s="10">
        <f t="shared" si="19"/>
        <v>2.9688735252609247E-2</v>
      </c>
      <c r="AA131" s="10">
        <f t="shared" si="20"/>
        <v>1.9182941564141874E-2</v>
      </c>
    </row>
    <row r="132" spans="1:27">
      <c r="A132" s="66">
        <v>6</v>
      </c>
      <c r="B132" s="10">
        <f t="shared" si="11"/>
        <v>0.99616776190801182</v>
      </c>
      <c r="C132" s="10">
        <f t="shared" si="12"/>
        <v>0.66634222381651254</v>
      </c>
      <c r="D132" s="66">
        <f t="shared" si="21"/>
        <v>2</v>
      </c>
      <c r="E132" s="10">
        <f t="shared" si="13"/>
        <v>2.2126288058803428E-2</v>
      </c>
      <c r="K132" s="10">
        <f t="shared" si="14"/>
        <v>0.74621539663662761</v>
      </c>
      <c r="L132" s="10">
        <f t="shared" si="15"/>
        <v>2.4778524052293624E-2</v>
      </c>
      <c r="R132" s="10">
        <f t="shared" si="16"/>
        <v>0.53464083608879154</v>
      </c>
      <c r="S132" s="10">
        <f t="shared" si="17"/>
        <v>1.7753065503706655E-2</v>
      </c>
      <c r="Y132" s="10">
        <f t="shared" si="18"/>
        <v>1.8490116153752505E-2</v>
      </c>
      <c r="Z132" s="10">
        <f t="shared" si="19"/>
        <v>1.4743679989907823E-2</v>
      </c>
      <c r="AA132" s="10">
        <f t="shared" si="20"/>
        <v>9.4915137840408097E-3</v>
      </c>
    </row>
    <row r="133" spans="1:27">
      <c r="A133" s="66">
        <v>6.05</v>
      </c>
      <c r="B133" s="10">
        <f t="shared" si="11"/>
        <v>0.99612761808079475</v>
      </c>
      <c r="C133" s="10">
        <f t="shared" si="12"/>
        <v>0.66409184169377111</v>
      </c>
      <c r="D133" s="66">
        <f t="shared" si="21"/>
        <v>4</v>
      </c>
      <c r="E133" s="10">
        <f t="shared" si="13"/>
        <v>4.4101348296886965E-2</v>
      </c>
      <c r="K133" s="10">
        <f t="shared" si="14"/>
        <v>0.74439721668539827</v>
      </c>
      <c r="L133" s="10">
        <f t="shared" si="15"/>
        <v>4.9434308424186606E-2</v>
      </c>
      <c r="R133" s="10">
        <f t="shared" si="16"/>
        <v>0.53185834562846834</v>
      </c>
      <c r="S133" s="10">
        <f t="shared" si="17"/>
        <v>3.5319919132485215E-2</v>
      </c>
      <c r="Y133" s="10">
        <f t="shared" si="18"/>
        <v>3.6798761599732048E-2</v>
      </c>
      <c r="Z133" s="10">
        <f t="shared" si="19"/>
        <v>2.9287345611658119E-2</v>
      </c>
      <c r="AA133" s="10">
        <f t="shared" si="20"/>
        <v>1.8785193757534874E-2</v>
      </c>
    </row>
    <row r="134" spans="1:27">
      <c r="A134" s="66">
        <v>6.1</v>
      </c>
      <c r="B134" s="10">
        <f t="shared" si="11"/>
        <v>0.99608730479794616</v>
      </c>
      <c r="C134" s="10">
        <f t="shared" si="12"/>
        <v>0.66184905959923968</v>
      </c>
      <c r="D134" s="66">
        <f t="shared" si="21"/>
        <v>2</v>
      </c>
      <c r="E134" s="10">
        <f t="shared" si="13"/>
        <v>2.1975314865308734E-2</v>
      </c>
      <c r="K134" s="10">
        <f t="shared" si="14"/>
        <v>0.74258346679330478</v>
      </c>
      <c r="L134" s="10">
        <f t="shared" si="15"/>
        <v>2.465593213418861E-2</v>
      </c>
      <c r="R134" s="10">
        <f t="shared" si="16"/>
        <v>0.52909033639112546</v>
      </c>
      <c r="S134" s="10">
        <f t="shared" si="17"/>
        <v>1.75673389056825E-2</v>
      </c>
      <c r="Y134" s="10">
        <f t="shared" si="18"/>
        <v>1.8309087561226223E-2</v>
      </c>
      <c r="Z134" s="10">
        <f t="shared" si="19"/>
        <v>1.4544341478001778E-2</v>
      </c>
      <c r="AA134" s="10">
        <f t="shared" si="20"/>
        <v>9.2947092511044601E-3</v>
      </c>
    </row>
    <row r="135" spans="1:27">
      <c r="A135" s="66">
        <v>6.15</v>
      </c>
      <c r="B135" s="10">
        <f t="shared" si="11"/>
        <v>0.99604682107741349</v>
      </c>
      <c r="C135" s="10">
        <f t="shared" si="12"/>
        <v>0.65961385186597521</v>
      </c>
      <c r="D135" s="66">
        <f t="shared" si="21"/>
        <v>4</v>
      </c>
      <c r="E135" s="10">
        <f t="shared" si="13"/>
        <v>4.3800418685982168E-2</v>
      </c>
      <c r="K135" s="10">
        <f t="shared" si="14"/>
        <v>0.74077413616635257</v>
      </c>
      <c r="L135" s="10">
        <f t="shared" si="15"/>
        <v>4.9189714897657492E-2</v>
      </c>
      <c r="R135" s="10">
        <f t="shared" si="16"/>
        <v>0.52633673301053174</v>
      </c>
      <c r="S135" s="10">
        <f t="shared" si="17"/>
        <v>3.4950401982094093E-2</v>
      </c>
      <c r="Y135" s="10">
        <f t="shared" si="18"/>
        <v>3.6438468561581394E-2</v>
      </c>
      <c r="Z135" s="10">
        <f t="shared" si="19"/>
        <v>2.8891362882803133E-2</v>
      </c>
      <c r="AA135" s="10">
        <f t="shared" si="20"/>
        <v>1.8395680396660216E-2</v>
      </c>
    </row>
    <row r="136" spans="1:27">
      <c r="A136" s="66">
        <v>6.2</v>
      </c>
      <c r="B136" s="10">
        <f t="shared" si="11"/>
        <v>0.99600616593151703</v>
      </c>
      <c r="C136" s="10">
        <f t="shared" si="12"/>
        <v>0.65738619291371825</v>
      </c>
      <c r="D136" s="66">
        <f t="shared" si="21"/>
        <v>2</v>
      </c>
      <c r="E136" s="10">
        <f t="shared" si="13"/>
        <v>2.1825356718010305E-2</v>
      </c>
      <c r="K136" s="10">
        <f t="shared" si="14"/>
        <v>0.73896921403684768</v>
      </c>
      <c r="L136" s="10">
        <f t="shared" si="15"/>
        <v>2.453392978714224E-2</v>
      </c>
      <c r="R136" s="10">
        <f t="shared" si="16"/>
        <v>0.52359746051269329</v>
      </c>
      <c r="S136" s="10">
        <f t="shared" si="17"/>
        <v>1.7383543304557551E-2</v>
      </c>
      <c r="Y136" s="10">
        <f t="shared" si="18"/>
        <v>1.8129818812039705E-2</v>
      </c>
      <c r="Z136" s="10">
        <f t="shared" si="19"/>
        <v>1.4347688161836639E-2</v>
      </c>
      <c r="AA136" s="10">
        <f t="shared" si="20"/>
        <v>9.1019791289787665E-3</v>
      </c>
    </row>
    <row r="137" spans="1:27">
      <c r="A137" s="66">
        <v>6.25</v>
      </c>
      <c r="B137" s="10">
        <f t="shared" si="11"/>
        <v>0.9959653383669177</v>
      </c>
      <c r="C137" s="10">
        <f t="shared" si="12"/>
        <v>0.65516605724859889</v>
      </c>
      <c r="D137" s="66">
        <f t="shared" si="21"/>
        <v>4</v>
      </c>
      <c r="E137" s="10">
        <f t="shared" si="13"/>
        <v>4.3501512259608015E-2</v>
      </c>
      <c r="K137" s="10">
        <f t="shared" si="14"/>
        <v>0.73716868966333127</v>
      </c>
      <c r="L137" s="10">
        <f t="shared" si="15"/>
        <v>4.8946297562269148E-2</v>
      </c>
      <c r="R137" s="10">
        <f t="shared" si="16"/>
        <v>0.52087244431381075</v>
      </c>
      <c r="S137" s="10">
        <f t="shared" si="17"/>
        <v>3.4584726683133872E-2</v>
      </c>
      <c r="Y137" s="10">
        <f t="shared" si="18"/>
        <v>3.6081678037849452E-2</v>
      </c>
      <c r="Z137" s="10">
        <f t="shared" si="19"/>
        <v>2.8500714271478971E-2</v>
      </c>
      <c r="AA137" s="10">
        <f t="shared" si="20"/>
        <v>1.8014231123369012E-2</v>
      </c>
    </row>
    <row r="138" spans="1:27">
      <c r="A138" s="66">
        <v>6.3</v>
      </c>
      <c r="B138" s="10">
        <f t="shared" si="11"/>
        <v>0.99592433738458552</v>
      </c>
      <c r="C138" s="10">
        <f t="shared" si="12"/>
        <v>0.65295341946284591</v>
      </c>
      <c r="D138" s="66">
        <f t="shared" si="21"/>
        <v>2</v>
      </c>
      <c r="E138" s="10">
        <f t="shared" si="13"/>
        <v>2.1676406720717804E-2</v>
      </c>
      <c r="K138" s="10">
        <f t="shared" si="14"/>
        <v>0.73537255233051724</v>
      </c>
      <c r="L138" s="10">
        <f t="shared" si="15"/>
        <v>2.441251406368606E-2</v>
      </c>
      <c r="R138" s="10">
        <f t="shared" si="16"/>
        <v>0.51816161021825047</v>
      </c>
      <c r="S138" s="10">
        <f t="shared" si="17"/>
        <v>1.7201658610491364E-2</v>
      </c>
      <c r="Y138" s="10">
        <f t="shared" si="18"/>
        <v>1.7952292775817464E-2</v>
      </c>
      <c r="Z138" s="10">
        <f t="shared" si="19"/>
        <v>1.4153683889960104E-2</v>
      </c>
      <c r="AA138" s="10">
        <f t="shared" si="20"/>
        <v>8.913239124036838E-3</v>
      </c>
    </row>
    <row r="139" spans="1:27">
      <c r="A139" s="66">
        <v>6.35</v>
      </c>
      <c r="B139" s="10">
        <f t="shared" si="11"/>
        <v>0.99588316197976834</v>
      </c>
      <c r="C139" s="10">
        <f t="shared" si="12"/>
        <v>0.65074825423449545</v>
      </c>
      <c r="D139" s="66">
        <f t="shared" si="21"/>
        <v>4</v>
      </c>
      <c r="E139" s="10">
        <f t="shared" si="13"/>
        <v>4.3204615271990904E-2</v>
      </c>
      <c r="K139" s="10">
        <f t="shared" si="14"/>
        <v>0.73358079134922693</v>
      </c>
      <c r="L139" s="10">
        <f t="shared" si="15"/>
        <v>4.8704050537099253E-2</v>
      </c>
      <c r="R139" s="10">
        <f t="shared" si="16"/>
        <v>0.51546488441652261</v>
      </c>
      <c r="S139" s="10">
        <f t="shared" si="17"/>
        <v>3.4222853265484153E-2</v>
      </c>
      <c r="Y139" s="10">
        <f t="shared" si="18"/>
        <v>3.5728355934918014E-2</v>
      </c>
      <c r="Z139" s="10">
        <f t="shared" si="19"/>
        <v>2.8115327963121103E-2</v>
      </c>
      <c r="AA139" s="10">
        <f t="shared" si="20"/>
        <v>1.7640679102896403E-2</v>
      </c>
    </row>
    <row r="140" spans="1:27">
      <c r="A140" s="66">
        <v>6.4</v>
      </c>
      <c r="B140" s="10">
        <f t="shared" si="11"/>
        <v>0.99584181114195847</v>
      </c>
      <c r="C140" s="10">
        <f t="shared" si="12"/>
        <v>0.64855053632710125</v>
      </c>
      <c r="D140" s="66">
        <f t="shared" si="21"/>
        <v>2</v>
      </c>
      <c r="E140" s="10">
        <f t="shared" si="13"/>
        <v>2.152845802376897E-2</v>
      </c>
      <c r="K140" s="10">
        <f t="shared" si="14"/>
        <v>0.73179339605632654</v>
      </c>
      <c r="L140" s="10">
        <f t="shared" si="15"/>
        <v>2.4291682030348559E-2</v>
      </c>
      <c r="R140" s="10">
        <f t="shared" si="16"/>
        <v>0.5127821934832727</v>
      </c>
      <c r="S140" s="10">
        <f t="shared" si="17"/>
        <v>1.7021664942657614E-2</v>
      </c>
      <c r="Y140" s="10">
        <f t="shared" si="18"/>
        <v>1.7776492488909213E-2</v>
      </c>
      <c r="Z140" s="10">
        <f t="shared" si="19"/>
        <v>1.3962292997610851E-2</v>
      </c>
      <c r="AA140" s="10">
        <f t="shared" si="20"/>
        <v>8.7284066860332972E-3</v>
      </c>
    </row>
    <row r="141" spans="1:27">
      <c r="A141" s="66">
        <v>6.45</v>
      </c>
      <c r="B141" s="10">
        <f t="shared" ref="B141:B204" si="22">(B$8^A141)*B$9^((B$5^B$7)*((B$5^A141)-1))</f>
        <v>0.99580028385486219</v>
      </c>
      <c r="C141" s="10">
        <f t="shared" ref="C141:C204" si="23">(1+B$6)^-A141</f>
        <v>0.64636024058944641</v>
      </c>
      <c r="D141" s="66">
        <f t="shared" si="21"/>
        <v>4</v>
      </c>
      <c r="E141" s="10">
        <f t="shared" ref="E141:E204" si="24">B141*C141*D141*0.05/3</f>
        <v>4.2909714070097853E-2</v>
      </c>
      <c r="K141" s="10">
        <f t="shared" ref="K141:K204" si="25">1.05^-A141</f>
        <v>0.73001035581466378</v>
      </c>
      <c r="L141" s="10">
        <f t="shared" ref="L141:L204" si="26">E141*K141/C141</f>
        <v>4.846296796914875E-2</v>
      </c>
      <c r="R141" s="10">
        <f t="shared" ref="R141:R204" si="27">1.11^-A141</f>
        <v>0.51011346437528171</v>
      </c>
      <c r="S141" s="10">
        <f t="shared" ref="S141:S204" si="28">L141*R141/K141</f>
        <v>3.3864742174872849E-2</v>
      </c>
      <c r="Y141" s="10">
        <f t="shared" ref="Y141:Y204" si="29">L141*K141</f>
        <v>3.537846849099293E-2</v>
      </c>
      <c r="Z141" s="10">
        <f t="shared" ref="Z141:Z204" si="30">C141*E141</f>
        <v>2.77351331099728E-2</v>
      </c>
      <c r="AA141" s="10">
        <f t="shared" ref="AA141:AA204" si="31">R141*S141</f>
        <v>1.7274860951000101E-2</v>
      </c>
    </row>
    <row r="142" spans="1:27">
      <c r="A142" s="66">
        <v>6.5</v>
      </c>
      <c r="B142" s="10">
        <f t="shared" si="22"/>
        <v>0.99575857909636556</v>
      </c>
      <c r="C142" s="10">
        <f t="shared" si="23"/>
        <v>0.64417734195525478</v>
      </c>
      <c r="D142" s="66">
        <f t="shared" si="21"/>
        <v>2</v>
      </c>
      <c r="E142" s="10">
        <f t="shared" si="24"/>
        <v>2.1381503823714603E-2</v>
      </c>
      <c r="K142" s="10">
        <f t="shared" si="25"/>
        <v>0.72823166001300332</v>
      </c>
      <c r="L142" s="10">
        <f t="shared" si="26"/>
        <v>2.4171430767584528E-2</v>
      </c>
      <c r="R142" s="10">
        <f t="shared" si="27"/>
        <v>0.50745862442947753</v>
      </c>
      <c r="S142" s="10">
        <f t="shared" si="28"/>
        <v>1.684354262706976E-2</v>
      </c>
      <c r="Y142" s="10">
        <f t="shared" si="29"/>
        <v>1.7602401152767466E-2</v>
      </c>
      <c r="Z142" s="10">
        <f t="shared" si="30"/>
        <v>1.3773480300166589E-2</v>
      </c>
      <c r="AA142" s="10">
        <f t="shared" si="31"/>
        <v>8.5474009720520883E-3</v>
      </c>
    </row>
    <row r="143" spans="1:27">
      <c r="A143" s="66">
        <v>6.55</v>
      </c>
      <c r="B143" s="10">
        <f t="shared" si="22"/>
        <v>0.99571669583850309</v>
      </c>
      <c r="C143" s="10">
        <f t="shared" si="23"/>
        <v>0.64200181544290491</v>
      </c>
      <c r="D143" s="66">
        <f t="shared" ref="D143:D206" si="32">IF(D142=4,2,4)</f>
        <v>4</v>
      </c>
      <c r="E143" s="10">
        <f t="shared" si="24"/>
        <v>4.2616795093008648E-2</v>
      </c>
      <c r="K143" s="10">
        <f t="shared" si="25"/>
        <v>0.72645729806596526</v>
      </c>
      <c r="L143" s="10">
        <f t="shared" si="26"/>
        <v>4.8223044033200629E-2</v>
      </c>
      <c r="R143" s="10">
        <f t="shared" si="27"/>
        <v>0.50481760136095688</v>
      </c>
      <c r="S143" s="10">
        <f t="shared" si="28"/>
        <v>3.3510354268550036E-2</v>
      </c>
      <c r="Y143" s="10">
        <f t="shared" si="29"/>
        <v>3.5031982272874997E-2</v>
      </c>
      <c r="Z143" s="10">
        <f t="shared" si="30"/>
        <v>2.7360059818069833E-2</v>
      </c>
      <c r="AA143" s="10">
        <f t="shared" si="31"/>
        <v>1.6916616662605331E-2</v>
      </c>
    </row>
    <row r="144" spans="1:27">
      <c r="A144" s="66">
        <v>6.6</v>
      </c>
      <c r="B144" s="10">
        <f t="shared" si="22"/>
        <v>0.99567463304742465</v>
      </c>
      <c r="C144" s="10">
        <f t="shared" si="23"/>
        <v>0.63983363615514299</v>
      </c>
      <c r="D144" s="66">
        <f t="shared" si="32"/>
        <v>2</v>
      </c>
      <c r="E144" s="10">
        <f t="shared" si="24"/>
        <v>2.1235537363005718E-2</v>
      </c>
      <c r="K144" s="10">
        <f t="shared" si="25"/>
        <v>0.72468725941396073</v>
      </c>
      <c r="L144" s="10">
        <f t="shared" si="26"/>
        <v>2.4051757369704645E-2</v>
      </c>
      <c r="R144" s="10">
        <f t="shared" si="27"/>
        <v>0.50219032326101609</v>
      </c>
      <c r="S144" s="10">
        <f t="shared" si="28"/>
        <v>1.6667272194429331E-2</v>
      </c>
      <c r="Y144" s="10">
        <f t="shared" si="29"/>
        <v>1.7430002132340791E-2</v>
      </c>
      <c r="Z144" s="10">
        <f t="shared" si="30"/>
        <v>1.3587211086680345E-2</v>
      </c>
      <c r="AA144" s="10">
        <f t="shared" si="31"/>
        <v>8.370142811199811E-3</v>
      </c>
    </row>
    <row r="145" spans="1:27">
      <c r="A145" s="66">
        <v>6.65</v>
      </c>
      <c r="B145" s="10">
        <f t="shared" si="22"/>
        <v>0.99563238968336243</v>
      </c>
      <c r="C145" s="10">
        <f t="shared" si="23"/>
        <v>0.63767277927879928</v>
      </c>
      <c r="D145" s="66">
        <f t="shared" si="32"/>
        <v>4</v>
      </c>
      <c r="E145" s="10">
        <f t="shared" si="24"/>
        <v>4.2325844871292151E-2</v>
      </c>
      <c r="K145" s="10">
        <f t="shared" si="25"/>
        <v>0.72292153352313016</v>
      </c>
      <c r="L145" s="10">
        <f t="shared" si="26"/>
        <v>4.7984272931679672E-2</v>
      </c>
      <c r="R145" s="10">
        <f t="shared" si="27"/>
        <v>0.49957671859519459</v>
      </c>
      <c r="S145" s="10">
        <f t="shared" si="28"/>
        <v>3.3159650811007087E-2</v>
      </c>
      <c r="Y145" s="10">
        <f t="shared" si="29"/>
        <v>3.468886417276229E-2</v>
      </c>
      <c r="Z145" s="10">
        <f t="shared" si="30"/>
        <v>2.6990039134400179E-2</v>
      </c>
      <c r="AA145" s="10">
        <f t="shared" si="31"/>
        <v>1.6565789541925405E-2</v>
      </c>
    </row>
    <row r="146" spans="1:27">
      <c r="A146" s="66">
        <v>6.7</v>
      </c>
      <c r="B146" s="10">
        <f t="shared" si="22"/>
        <v>0.9955899647005978</v>
      </c>
      <c r="C146" s="10">
        <f t="shared" si="23"/>
        <v>0.63551922008450323</v>
      </c>
      <c r="D146" s="66">
        <f t="shared" si="32"/>
        <v>2</v>
      </c>
      <c r="E146" s="10">
        <f t="shared" si="24"/>
        <v>2.1090551929682733E-2</v>
      </c>
      <c r="K146" s="10">
        <f t="shared" si="25"/>
        <v>0.72116010988527979</v>
      </c>
      <c r="L146" s="10">
        <f t="shared" si="26"/>
        <v>2.3932658944805497E-2</v>
      </c>
      <c r="R146" s="10">
        <f t="shared" si="27"/>
        <v>0.49697671620132605</v>
      </c>
      <c r="S146" s="10">
        <f t="shared" si="28"/>
        <v>1.6492834377996573E-2</v>
      </c>
      <c r="Y146" s="10">
        <f t="shared" si="29"/>
        <v>1.7259278954482857E-2</v>
      </c>
      <c r="Z146" s="10">
        <f t="shared" si="30"/>
        <v>1.3403451113503684E-2</v>
      </c>
      <c r="AA146" s="10">
        <f t="shared" si="31"/>
        <v>8.1965546700290774E-3</v>
      </c>
    </row>
    <row r="147" spans="1:27">
      <c r="A147" s="66">
        <v>6.75</v>
      </c>
      <c r="B147" s="10">
        <f t="shared" si="22"/>
        <v>0.99554735704742858</v>
      </c>
      <c r="C147" s="10">
        <f t="shared" si="23"/>
        <v>0.63337293392640082</v>
      </c>
      <c r="D147" s="66">
        <f t="shared" si="32"/>
        <v>4</v>
      </c>
      <c r="E147" s="10">
        <f t="shared" si="24"/>
        <v>4.2036850026386935E-2</v>
      </c>
      <c r="K147" s="10">
        <f t="shared" si="25"/>
        <v>0.71940297801781972</v>
      </c>
      <c r="L147" s="10">
        <f t="shared" si="26"/>
        <v>4.7746648894512661E-2</v>
      </c>
      <c r="R147" s="10">
        <f t="shared" si="27"/>
        <v>0.49439024528760173</v>
      </c>
      <c r="S147" s="10">
        <f t="shared" si="28"/>
        <v>3.281259346974013E-2</v>
      </c>
      <c r="Y147" s="10">
        <f t="shared" si="29"/>
        <v>3.4349081405083651E-2</v>
      </c>
      <c r="Z147" s="10">
        <f t="shared" si="30"/>
        <v>2.6625003034236792E-2</v>
      </c>
      <c r="AA147" s="10">
        <f t="shared" si="31"/>
        <v>1.6222226134027181E-2</v>
      </c>
    </row>
    <row r="148" spans="1:27">
      <c r="A148" s="66">
        <v>6.8</v>
      </c>
      <c r="B148" s="10">
        <f t="shared" si="22"/>
        <v>0.99550456566613466</v>
      </c>
      <c r="C148" s="10">
        <f t="shared" si="23"/>
        <v>0.63123389624187209</v>
      </c>
      <c r="D148" s="66">
        <f t="shared" si="32"/>
        <v>2</v>
      </c>
      <c r="E148" s="10">
        <f t="shared" si="24"/>
        <v>2.0946540857066893E-2</v>
      </c>
      <c r="K148" s="10">
        <f t="shared" si="25"/>
        <v>0.71765012746370072</v>
      </c>
      <c r="L148" s="10">
        <f t="shared" si="26"/>
        <v>2.3814132614699918E-2</v>
      </c>
      <c r="R148" s="10">
        <f t="shared" si="27"/>
        <v>0.49181723543064226</v>
      </c>
      <c r="S148" s="10">
        <f t="shared" si="28"/>
        <v>1.6320210111483352E-2</v>
      </c>
      <c r="Y148" s="10">
        <f t="shared" si="29"/>
        <v>1.7090215306376867E-2</v>
      </c>
      <c r="Z148" s="10">
        <f t="shared" si="30"/>
        <v>1.3222166597995898E-2</v>
      </c>
      <c r="AA148" s="10">
        <f t="shared" si="31"/>
        <v>8.0265606186769554E-3</v>
      </c>
    </row>
    <row r="149" spans="1:27">
      <c r="A149" s="66">
        <v>6.85</v>
      </c>
      <c r="B149" s="10">
        <f t="shared" si="22"/>
        <v>0.99546158949294516</v>
      </c>
      <c r="C149" s="10">
        <f t="shared" si="23"/>
        <v>0.629102082551251</v>
      </c>
      <c r="D149" s="66">
        <f t="shared" si="32"/>
        <v>4</v>
      </c>
      <c r="E149" s="10">
        <f t="shared" si="24"/>
        <v>4.1749797269986018E-2</v>
      </c>
      <c r="K149" s="10">
        <f t="shared" si="25"/>
        <v>0.71590154779135318</v>
      </c>
      <c r="L149" s="10">
        <f t="shared" si="26"/>
        <v>4.7510166178989337E-2</v>
      </c>
      <c r="R149" s="10">
        <f t="shared" si="27"/>
        <v>0.48925761657358019</v>
      </c>
      <c r="S149" s="10">
        <f t="shared" si="28"/>
        <v>3.2469144311057734E-2</v>
      </c>
      <c r="Y149" s="10">
        <f t="shared" si="29"/>
        <v>3.4012601503362869E-2</v>
      </c>
      <c r="Z149" s="10">
        <f t="shared" si="30"/>
        <v>2.6264884408640738E-2</v>
      </c>
      <c r="AA149" s="10">
        <f t="shared" si="31"/>
        <v>1.5885776157811726E-2</v>
      </c>
    </row>
    <row r="150" spans="1:27">
      <c r="A150" s="66">
        <v>6.9</v>
      </c>
      <c r="B150" s="10">
        <f t="shared" si="22"/>
        <v>0.99541842745800468</v>
      </c>
      <c r="C150" s="10">
        <f t="shared" si="23"/>
        <v>0.62697746845754387</v>
      </c>
      <c r="D150" s="66">
        <f t="shared" si="32"/>
        <v>2</v>
      </c>
      <c r="E150" s="10">
        <f t="shared" si="24"/>
        <v>2.0803497523453635E-2</v>
      </c>
      <c r="K150" s="10">
        <f t="shared" si="25"/>
        <v>0.71415722859462394</v>
      </c>
      <c r="L150" s="10">
        <f t="shared" si="26"/>
        <v>2.3696175514847578E-2</v>
      </c>
      <c r="R150" s="10">
        <f t="shared" si="27"/>
        <v>0.48671131902415321</v>
      </c>
      <c r="S150" s="10">
        <f t="shared" si="28"/>
        <v>1.6149380526967794E-2</v>
      </c>
      <c r="Y150" s="10">
        <f t="shared" si="29"/>
        <v>1.692279503397533E-2</v>
      </c>
      <c r="Z150" s="10">
        <f t="shared" si="30"/>
        <v>1.3043324212317743E-2</v>
      </c>
      <c r="AA150" s="10">
        <f t="shared" si="31"/>
        <v>7.86008629770347E-3</v>
      </c>
    </row>
    <row r="151" spans="1:27">
      <c r="A151" s="66">
        <v>6.95</v>
      </c>
      <c r="B151" s="10">
        <f t="shared" si="22"/>
        <v>0.99537507848533857</v>
      </c>
      <c r="C151" s="10">
        <f t="shared" si="23"/>
        <v>0.62486002964615184</v>
      </c>
      <c r="D151" s="66">
        <f t="shared" si="32"/>
        <v>4</v>
      </c>
      <c r="E151" s="10">
        <f t="shared" si="24"/>
        <v>4.146467340342596E-2</v>
      </c>
      <c r="K151" s="10">
        <f t="shared" si="25"/>
        <v>0.712417159492715</v>
      </c>
      <c r="L151" s="10">
        <f t="shared" si="26"/>
        <v>4.7274819069624212E-2</v>
      </c>
      <c r="R151" s="10">
        <f t="shared" si="27"/>
        <v>0.48417827345280612</v>
      </c>
      <c r="S151" s="10">
        <f t="shared" si="28"/>
        <v>3.2129265795932171E-2</v>
      </c>
      <c r="Y151" s="10">
        <f t="shared" si="29"/>
        <v>3.367939231711372E-2</v>
      </c>
      <c r="Z151" s="10">
        <f t="shared" si="30"/>
        <v>2.5909617052132749E-2</v>
      </c>
      <c r="AA151" s="10">
        <f t="shared" si="31"/>
        <v>1.5556292440380738E-2</v>
      </c>
    </row>
    <row r="152" spans="1:27">
      <c r="A152" s="66">
        <v>7</v>
      </c>
      <c r="B152" s="10">
        <f t="shared" si="22"/>
        <v>0.99533154149281944</v>
      </c>
      <c r="C152" s="10">
        <f t="shared" si="23"/>
        <v>0.62274974188459109</v>
      </c>
      <c r="D152" s="66">
        <f t="shared" si="32"/>
        <v>2</v>
      </c>
      <c r="E152" s="10">
        <f t="shared" si="24"/>
        <v>2.0661415351808186E-2</v>
      </c>
      <c r="K152" s="10">
        <f t="shared" si="25"/>
        <v>0.71068133013012147</v>
      </c>
      <c r="L152" s="10">
        <f t="shared" si="26"/>
        <v>2.3578784794286042E-2</v>
      </c>
      <c r="R152" s="10">
        <f t="shared" si="27"/>
        <v>0.48165841089080319</v>
      </c>
      <c r="S152" s="10">
        <f t="shared" si="28"/>
        <v>1.5980326952830835E-2</v>
      </c>
      <c r="Y152" s="10">
        <f t="shared" si="29"/>
        <v>1.6757002140455085E-2</v>
      </c>
      <c r="Z152" s="10">
        <f t="shared" si="30"/>
        <v>1.2866891077308875E-2</v>
      </c>
      <c r="AA152" s="10">
        <f t="shared" si="31"/>
        <v>7.6970588856159709E-3</v>
      </c>
    </row>
    <row r="153" spans="1:27">
      <c r="A153" s="66">
        <v>7.05</v>
      </c>
      <c r="B153" s="10">
        <f t="shared" si="22"/>
        <v>0.9952878153921324</v>
      </c>
      <c r="C153" s="10">
        <f t="shared" si="23"/>
        <v>0.62064658102221593</v>
      </c>
      <c r="D153" s="66">
        <f t="shared" si="32"/>
        <v>4</v>
      </c>
      <c r="E153" s="10">
        <f t="shared" si="24"/>
        <v>4.1181465317079828E-2</v>
      </c>
      <c r="K153" s="10">
        <f t="shared" si="25"/>
        <v>0.7089497301765697</v>
      </c>
      <c r="L153" s="10">
        <f t="shared" si="26"/>
        <v>4.7040601878018652E-2</v>
      </c>
      <c r="R153" s="10">
        <f t="shared" si="27"/>
        <v>0.47915166272834975</v>
      </c>
      <c r="S153" s="10">
        <f t="shared" si="28"/>
        <v>3.1792920775893803E-2</v>
      </c>
      <c r="Y153" s="10">
        <f t="shared" si="29"/>
        <v>3.3349422008764763E-2</v>
      </c>
      <c r="Z153" s="10">
        <f t="shared" si="30"/>
        <v>2.555913565053056E-2</v>
      </c>
      <c r="AA153" s="10">
        <f t="shared" si="31"/>
        <v>1.5233630852760211E-2</v>
      </c>
    </row>
    <row r="154" spans="1:27">
      <c r="A154" s="66">
        <v>7.1</v>
      </c>
      <c r="B154" s="10">
        <f t="shared" si="22"/>
        <v>0.99524389908874122</v>
      </c>
      <c r="C154" s="10">
        <f t="shared" si="23"/>
        <v>0.61855052298994351</v>
      </c>
      <c r="D154" s="66">
        <f t="shared" si="32"/>
        <v>2</v>
      </c>
      <c r="E154" s="10">
        <f t="shared" si="24"/>
        <v>2.052028780946305E-2</v>
      </c>
      <c r="K154" s="10">
        <f t="shared" si="25"/>
        <v>0.70722234932695693</v>
      </c>
      <c r="L154" s="10">
        <f t="shared" si="26"/>
        <v>2.3461957615562017E-2</v>
      </c>
      <c r="R154" s="10">
        <f t="shared" si="27"/>
        <v>0.47665796071272559</v>
      </c>
      <c r="S154" s="10">
        <f t="shared" si="28"/>
        <v>1.5813030911714036E-2</v>
      </c>
      <c r="Y154" s="10">
        <f t="shared" si="29"/>
        <v>1.6592820784687257E-2</v>
      </c>
      <c r="Z154" s="10">
        <f t="shared" si="30"/>
        <v>1.2692834756447531E-2</v>
      </c>
      <c r="AA154" s="10">
        <f t="shared" si="31"/>
        <v>7.5374070670649043E-3</v>
      </c>
    </row>
    <row r="155" spans="1:27">
      <c r="A155" s="66">
        <v>7.15</v>
      </c>
      <c r="B155" s="10">
        <f t="shared" si="22"/>
        <v>0.99519979148185256</v>
      </c>
      <c r="C155" s="10">
        <f t="shared" si="23"/>
        <v>0.61646154379997686</v>
      </c>
      <c r="D155" s="66">
        <f t="shared" si="32"/>
        <v>4</v>
      </c>
      <c r="E155" s="10">
        <f t="shared" si="24"/>
        <v>4.0900159989754527E-2</v>
      </c>
      <c r="K155" s="10">
        <f t="shared" si="25"/>
        <v>0.70549917730128819</v>
      </c>
      <c r="L155" s="10">
        <f t="shared" si="26"/>
        <v>4.6807508942724035E-2</v>
      </c>
      <c r="R155" s="10">
        <f t="shared" si="27"/>
        <v>0.47417723694642511</v>
      </c>
      <c r="S155" s="10">
        <f t="shared" si="28"/>
        <v>3.1460072488968219E-2</v>
      </c>
      <c r="Y155" s="10">
        <f t="shared" si="29"/>
        <v>3.3022659050614495E-2</v>
      </c>
      <c r="Z155" s="10">
        <f t="shared" si="30"/>
        <v>2.5213375768950122E-2</v>
      </c>
      <c r="AA155" s="10">
        <f t="shared" si="31"/>
        <v>1.4917650246953193E-2</v>
      </c>
    </row>
    <row r="156" spans="1:27">
      <c r="A156" s="66">
        <v>7.2</v>
      </c>
      <c r="B156" s="10">
        <f t="shared" si="22"/>
        <v>0.99515549146438242</v>
      </c>
      <c r="C156" s="10">
        <f t="shared" si="23"/>
        <v>0.61437961954553111</v>
      </c>
      <c r="D156" s="66">
        <f t="shared" si="32"/>
        <v>2</v>
      </c>
      <c r="E156" s="10">
        <f t="shared" si="24"/>
        <v>2.0380108407817777E-2</v>
      </c>
      <c r="K156" s="10">
        <f t="shared" si="25"/>
        <v>0.70378020384461681</v>
      </c>
      <c r="L156" s="10">
        <f t="shared" si="26"/>
        <v>2.3345691154663097E-2</v>
      </c>
      <c r="R156" s="10">
        <f t="shared" si="27"/>
        <v>0.47170942388530918</v>
      </c>
      <c r="S156" s="10">
        <f t="shared" si="28"/>
        <v>1.5647474118498851E-2</v>
      </c>
      <c r="Y156" s="10">
        <f t="shared" si="29"/>
        <v>1.6430235279722261E-2</v>
      </c>
      <c r="Z156" s="10">
        <f t="shared" si="30"/>
        <v>1.2521123249891766E-2</v>
      </c>
      <c r="AA156" s="10">
        <f t="shared" si="31"/>
        <v>7.3810610016973787E-3</v>
      </c>
    </row>
    <row r="157" spans="1:27">
      <c r="A157" s="66">
        <v>7.25</v>
      </c>
      <c r="B157" s="10">
        <f t="shared" si="22"/>
        <v>0.99511099792291946</v>
      </c>
      <c r="C157" s="10">
        <f t="shared" si="23"/>
        <v>0.61230472640055966</v>
      </c>
      <c r="D157" s="66">
        <f t="shared" si="32"/>
        <v>4</v>
      </c>
      <c r="E157" s="10">
        <f t="shared" si="24"/>
        <v>4.0620744488092074E-2</v>
      </c>
      <c r="K157" s="10">
        <f t="shared" si="25"/>
        <v>0.70206541872698214</v>
      </c>
      <c r="L157" s="10">
        <f t="shared" si="26"/>
        <v>4.6575534629105297E-2</v>
      </c>
      <c r="R157" s="10">
        <f t="shared" si="27"/>
        <v>0.46925445433676638</v>
      </c>
      <c r="S157" s="10">
        <f t="shared" si="28"/>
        <v>3.1130684555655642E-2</v>
      </c>
      <c r="Y157" s="10">
        <f t="shared" si="29"/>
        <v>3.2699072221815867E-2</v>
      </c>
      <c r="Z157" s="10">
        <f t="shared" si="30"/>
        <v>2.4872273839968258E-2</v>
      </c>
      <c r="AA157" s="10">
        <f t="shared" si="31"/>
        <v>1.4608212394294188E-2</v>
      </c>
    </row>
    <row r="158" spans="1:27">
      <c r="A158" s="66">
        <v>7.3</v>
      </c>
      <c r="B158" s="10">
        <f t="shared" si="22"/>
        <v>0.99506630973769128</v>
      </c>
      <c r="C158" s="10">
        <f t="shared" si="23"/>
        <v>0.61023684061948213</v>
      </c>
      <c r="D158" s="66">
        <f t="shared" si="32"/>
        <v>2</v>
      </c>
      <c r="E158" s="10">
        <f t="shared" si="24"/>
        <v>2.0240870702040527E-2</v>
      </c>
      <c r="K158" s="10">
        <f t="shared" si="25"/>
        <v>0.70035481174334968</v>
      </c>
      <c r="L158" s="10">
        <f t="shared" si="26"/>
        <v>2.3229982600949686E-2</v>
      </c>
      <c r="R158" s="10">
        <f t="shared" si="27"/>
        <v>0.46681226145788324</v>
      </c>
      <c r="S158" s="10">
        <f t="shared" si="28"/>
        <v>1.5483638478306741E-2</v>
      </c>
      <c r="Y158" s="10">
        <f t="shared" si="29"/>
        <v>1.6269230091289406E-2</v>
      </c>
      <c r="Z158" s="10">
        <f t="shared" si="30"/>
        <v>1.2351724988600651E-2</v>
      </c>
      <c r="AA158" s="10">
        <f t="shared" si="31"/>
        <v>7.2279522936546676E-3</v>
      </c>
    </row>
    <row r="159" spans="1:27">
      <c r="A159" s="66">
        <v>7.35</v>
      </c>
      <c r="B159" s="10">
        <f t="shared" si="22"/>
        <v>0.99502142578252806</v>
      </c>
      <c r="C159" s="10">
        <f t="shared" si="23"/>
        <v>0.60817593853691154</v>
      </c>
      <c r="D159" s="66">
        <f t="shared" si="32"/>
        <v>4</v>
      </c>
      <c r="E159" s="10">
        <f t="shared" si="24"/>
        <v>4.0343205965974994E-2</v>
      </c>
      <c r="K159" s="10">
        <f t="shared" si="25"/>
        <v>0.6986483727135494</v>
      </c>
      <c r="L159" s="10">
        <f t="shared" si="26"/>
        <v>4.634467332920527E-2</v>
      </c>
      <c r="R159" s="10">
        <f t="shared" si="27"/>
        <v>0.46438277875362394</v>
      </c>
      <c r="S159" s="10">
        <f t="shared" si="28"/>
        <v>3.0804720974952213E-2</v>
      </c>
      <c r="Y159" s="10">
        <f t="shared" si="29"/>
        <v>3.2378630605390299E-2</v>
      </c>
      <c r="Z159" s="10">
        <f t="shared" si="30"/>
        <v>2.4535767151944773E-2</v>
      </c>
      <c r="AA159" s="10">
        <f t="shared" si="31"/>
        <v>1.4305181925078353E-2</v>
      </c>
    </row>
    <row r="160" spans="1:27">
      <c r="A160" s="66">
        <v>7.4</v>
      </c>
      <c r="B160" s="10">
        <f t="shared" si="22"/>
        <v>0.99497634492482723</v>
      </c>
      <c r="C160" s="10">
        <f t="shared" si="23"/>
        <v>0.6061219965673843</v>
      </c>
      <c r="D160" s="66">
        <f t="shared" si="32"/>
        <v>2</v>
      </c>
      <c r="E160" s="10">
        <f t="shared" si="24"/>
        <v>2.0102568290771824E-2</v>
      </c>
      <c r="K160" s="10">
        <f t="shared" si="25"/>
        <v>0.69694609148221576</v>
      </c>
      <c r="L160" s="10">
        <f t="shared" si="26"/>
        <v>2.3114829157087312E-2</v>
      </c>
      <c r="R160" s="10">
        <f t="shared" si="27"/>
        <v>0.4619659400750204</v>
      </c>
      <c r="S160" s="10">
        <f t="shared" si="28"/>
        <v>1.5321506084520186E-2</v>
      </c>
      <c r="Y160" s="10">
        <f t="shared" si="29"/>
        <v>1.6109789836311162E-2</v>
      </c>
      <c r="Z160" s="10">
        <f t="shared" si="30"/>
        <v>1.2184608828534808E-2</v>
      </c>
      <c r="AA160" s="10">
        <f t="shared" si="31"/>
        <v>7.0780139617005128E-3</v>
      </c>
    </row>
    <row r="161" spans="1:27">
      <c r="A161" s="66">
        <v>7.45</v>
      </c>
      <c r="B161" s="10">
        <f t="shared" si="22"/>
        <v>0.99493106602551762</v>
      </c>
      <c r="C161" s="10">
        <f t="shared" si="23"/>
        <v>0.60407499120509012</v>
      </c>
      <c r="D161" s="66">
        <f t="shared" si="32"/>
        <v>4</v>
      </c>
      <c r="E161" s="10">
        <f t="shared" si="24"/>
        <v>4.0067531663935702E-2</v>
      </c>
      <c r="K161" s="10">
        <f t="shared" si="25"/>
        <v>0.69524795791872729</v>
      </c>
      <c r="L161" s="10">
        <f t="shared" si="26"/>
        <v>4.6114919461609567E-2</v>
      </c>
      <c r="R161" s="10">
        <f t="shared" si="27"/>
        <v>0.45956167961737088</v>
      </c>
      <c r="S161" s="10">
        <f t="shared" si="28"/>
        <v>3.0482146120412543E-2</v>
      </c>
      <c r="Y161" s="10">
        <f t="shared" si="29"/>
        <v>3.206130358527063E-2</v>
      </c>
      <c r="Z161" s="10">
        <f t="shared" si="30"/>
        <v>2.4203793837501628E-2</v>
      </c>
      <c r="AA161" s="10">
        <f t="shared" si="31"/>
        <v>1.4008426269438913E-2</v>
      </c>
    </row>
    <row r="162" spans="1:27">
      <c r="A162" s="66">
        <v>7.5</v>
      </c>
      <c r="B162" s="10">
        <f t="shared" si="22"/>
        <v>0.99488558793902337</v>
      </c>
      <c r="C162" s="10">
        <f t="shared" si="23"/>
        <v>0.60203489902360263</v>
      </c>
      <c r="D162" s="66">
        <f t="shared" si="32"/>
        <v>2</v>
      </c>
      <c r="E162" s="10">
        <f t="shared" si="24"/>
        <v>1.9965194815830249E-2</v>
      </c>
      <c r="K162" s="10">
        <f t="shared" si="25"/>
        <v>0.69355396191714602</v>
      </c>
      <c r="L162" s="10">
        <f t="shared" si="26"/>
        <v>2.3000228038979297E-2</v>
      </c>
      <c r="R162" s="10">
        <f t="shared" si="27"/>
        <v>0.45716993191844818</v>
      </c>
      <c r="S162" s="10">
        <f t="shared" si="28"/>
        <v>1.5161059216824287E-2</v>
      </c>
      <c r="Y162" s="10">
        <f t="shared" si="29"/>
        <v>1.5951899281431921E-2</v>
      </c>
      <c r="Z162" s="10">
        <f t="shared" si="30"/>
        <v>1.2019744044934919E-2</v>
      </c>
      <c r="AA162" s="10">
        <f t="shared" si="31"/>
        <v>6.9311804099671205E-3</v>
      </c>
    </row>
    <row r="163" spans="1:27">
      <c r="A163" s="66">
        <v>7.55</v>
      </c>
      <c r="B163" s="10">
        <f t="shared" si="22"/>
        <v>0.99483990951322787</v>
      </c>
      <c r="C163" s="10">
        <f t="shared" si="23"/>
        <v>0.6000016966756121</v>
      </c>
      <c r="D163" s="66">
        <f t="shared" si="32"/>
        <v>4</v>
      </c>
      <c r="E163" s="10">
        <f t="shared" si="24"/>
        <v>3.9793708908569946E-2</v>
      </c>
      <c r="K163" s="10">
        <f t="shared" si="25"/>
        <v>0.69186409339615729</v>
      </c>
      <c r="L163" s="10">
        <f t="shared" si="26"/>
        <v>4.5886267471312303E-2</v>
      </c>
      <c r="R163" s="10">
        <f t="shared" si="27"/>
        <v>0.45479063185671781</v>
      </c>
      <c r="S163" s="10">
        <f t="shared" si="28"/>
        <v>3.0162924736253392E-2</v>
      </c>
      <c r="Y163" s="10">
        <f t="shared" si="29"/>
        <v>3.1747060843373066E-2</v>
      </c>
      <c r="Z163" s="10">
        <f t="shared" si="30"/>
        <v>2.3876292862157387E-2</v>
      </c>
      <c r="AA163" s="10">
        <f t="shared" si="31"/>
        <v>1.3717815599447304E-2</v>
      </c>
    </row>
    <row r="164" spans="1:27">
      <c r="A164" s="66">
        <v>7.6</v>
      </c>
      <c r="B164" s="10">
        <f t="shared" si="22"/>
        <v>0.99479402958943741</v>
      </c>
      <c r="C164" s="10">
        <f t="shared" si="23"/>
        <v>0.59797536089265702</v>
      </c>
      <c r="D164" s="66">
        <f t="shared" si="32"/>
        <v>2</v>
      </c>
      <c r="E164" s="10">
        <f t="shared" si="24"/>
        <v>1.9828743961920147E-2</v>
      </c>
      <c r="K164" s="10">
        <f t="shared" si="25"/>
        <v>0.69017834229901021</v>
      </c>
      <c r="L164" s="10">
        <f t="shared" si="26"/>
        <v>2.2886176475699682E-2</v>
      </c>
      <c r="R164" s="10">
        <f t="shared" si="27"/>
        <v>0.45242371464956405</v>
      </c>
      <c r="S164" s="10">
        <f t="shared" si="28"/>
        <v>1.5002280339268722E-2</v>
      </c>
      <c r="Y164" s="10">
        <f t="shared" si="29"/>
        <v>1.5795543341561011E-2</v>
      </c>
      <c r="Z164" s="10">
        <f t="shared" si="30"/>
        <v>1.1857100326677293E-2</v>
      </c>
      <c r="AA164" s="10">
        <f t="shared" si="31"/>
        <v>6.7873873993060775E-3</v>
      </c>
    </row>
    <row r="165" spans="1:27">
      <c r="A165" s="66">
        <v>7.65</v>
      </c>
      <c r="B165" s="10">
        <f t="shared" si="22"/>
        <v>0.99474794700234459</v>
      </c>
      <c r="C165" s="10">
        <f t="shared" si="23"/>
        <v>0.59595586848485915</v>
      </c>
      <c r="D165" s="66">
        <f t="shared" si="32"/>
        <v>4</v>
      </c>
      <c r="E165" s="10">
        <f t="shared" si="24"/>
        <v>3.9521725111954197E-2</v>
      </c>
      <c r="K165" s="10">
        <f t="shared" si="25"/>
        <v>0.6884966985934573</v>
      </c>
      <c r="L165" s="10">
        <f t="shared" si="26"/>
        <v>4.5658711829582248E-2</v>
      </c>
      <c r="R165" s="10">
        <f t="shared" si="27"/>
        <v>0.45006911585152659</v>
      </c>
      <c r="S165" s="10">
        <f t="shared" si="28"/>
        <v>2.9847021933497763E-2</v>
      </c>
      <c r="Y165" s="10">
        <f t="shared" si="29"/>
        <v>3.1435872356697411E-2</v>
      </c>
      <c r="Z165" s="10">
        <f t="shared" si="30"/>
        <v>2.3553204013114531E-2</v>
      </c>
      <c r="AA165" s="10">
        <f t="shared" si="31"/>
        <v>1.343322277241046E-2</v>
      </c>
    </row>
    <row r="166" spans="1:27">
      <c r="A166" s="66">
        <v>7.7</v>
      </c>
      <c r="B166" s="10">
        <f t="shared" si="22"/>
        <v>0.9947016605799911</v>
      </c>
      <c r="C166" s="10">
        <f t="shared" si="23"/>
        <v>0.59394319634065718</v>
      </c>
      <c r="D166" s="66">
        <f t="shared" si="32"/>
        <v>2</v>
      </c>
      <c r="E166" s="10">
        <f t="shared" si="24"/>
        <v>1.9693209456341315E-2</v>
      </c>
      <c r="K166" s="10">
        <f t="shared" si="25"/>
        <v>0.6868191522716951</v>
      </c>
      <c r="L166" s="10">
        <f t="shared" si="26"/>
        <v>2.2772671709426567E-2</v>
      </c>
      <c r="R166" s="10">
        <f t="shared" si="27"/>
        <v>0.44772677135254596</v>
      </c>
      <c r="S166" s="10">
        <f t="shared" si="28"/>
        <v>1.4845152098349851E-2</v>
      </c>
      <c r="Y166" s="10">
        <f t="shared" si="29"/>
        <v>1.5640707078429968E-2</v>
      </c>
      <c r="Z166" s="10">
        <f t="shared" si="30"/>
        <v>1.1696647770705417E-2</v>
      </c>
      <c r="AA166" s="10">
        <f t="shared" si="31"/>
        <v>6.6465720192316518E-3</v>
      </c>
    </row>
    <row r="167" spans="1:27">
      <c r="A167" s="66">
        <v>7.75</v>
      </c>
      <c r="B167" s="10">
        <f t="shared" si="22"/>
        <v>0.99465516914373164</v>
      </c>
      <c r="C167" s="10">
        <f t="shared" si="23"/>
        <v>0.59193732142654265</v>
      </c>
      <c r="D167" s="66">
        <f t="shared" si="32"/>
        <v>4</v>
      </c>
      <c r="E167" s="10">
        <f t="shared" si="24"/>
        <v>3.925156777106701E-2</v>
      </c>
      <c r="K167" s="10">
        <f t="shared" si="25"/>
        <v>0.6851456933503044</v>
      </c>
      <c r="L167" s="10">
        <f t="shared" si="26"/>
        <v>4.5432247033829747E-2</v>
      </c>
      <c r="R167" s="10">
        <f t="shared" si="27"/>
        <v>0.44539661737621777</v>
      </c>
      <c r="S167" s="10">
        <f t="shared" si="28"/>
        <v>2.9534403186159183E-2</v>
      </c>
      <c r="Y167" s="10">
        <f t="shared" si="29"/>
        <v>3.1127708394455594E-2</v>
      </c>
      <c r="Z167" s="10">
        <f t="shared" si="30"/>
        <v>2.3234467888197816E-2</v>
      </c>
      <c r="AA167" s="10">
        <f t="shared" si="31"/>
        <v>1.3154523275340689E-2</v>
      </c>
    </row>
    <row r="168" spans="1:27">
      <c r="A168" s="66">
        <v>7.8</v>
      </c>
      <c r="B168" s="10">
        <f t="shared" si="22"/>
        <v>0.99460847150819587</v>
      </c>
      <c r="C168" s="10">
        <f t="shared" si="23"/>
        <v>0.58993822078679636</v>
      </c>
      <c r="D168" s="66">
        <f t="shared" si="32"/>
        <v>2</v>
      </c>
      <c r="E168" s="10">
        <f t="shared" si="24"/>
        <v>1.955858506870067E-2</v>
      </c>
      <c r="K168" s="10">
        <f t="shared" si="25"/>
        <v>0.6834763118701912</v>
      </c>
      <c r="L168" s="10">
        <f t="shared" si="26"/>
        <v>2.265971099537566E-2</v>
      </c>
      <c r="R168" s="10">
        <f t="shared" si="27"/>
        <v>0.44307859047805598</v>
      </c>
      <c r="S168" s="10">
        <f t="shared" si="28"/>
        <v>1.4689657321112836E-2</v>
      </c>
      <c r="Y168" s="10">
        <f t="shared" si="29"/>
        <v>1.5487375699163775E-2</v>
      </c>
      <c r="Z168" s="10">
        <f t="shared" si="30"/>
        <v>1.1538356876536475E-2</v>
      </c>
      <c r="AA168" s="10">
        <f t="shared" si="31"/>
        <v>6.5086726604443312E-3</v>
      </c>
    </row>
    <row r="169" spans="1:27">
      <c r="A169" s="66">
        <v>7.85</v>
      </c>
      <c r="B169" s="10">
        <f t="shared" si="22"/>
        <v>0.99456156648125182</v>
      </c>
      <c r="C169" s="10">
        <f t="shared" si="23"/>
        <v>0.58794587154322508</v>
      </c>
      <c r="D169" s="66">
        <f t="shared" si="32"/>
        <v>4</v>
      </c>
      <c r="E169" s="10">
        <f t="shared" si="24"/>
        <v>3.898322446721432E-2</v>
      </c>
      <c r="K169" s="10">
        <f t="shared" si="25"/>
        <v>0.68181099789652677</v>
      </c>
      <c r="L169" s="10">
        <f t="shared" si="26"/>
        <v>4.5206867607474346E-2</v>
      </c>
      <c r="R169" s="10">
        <f t="shared" si="27"/>
        <v>0.44077262754376584</v>
      </c>
      <c r="S169" s="10">
        <f t="shared" si="28"/>
        <v>2.9225034327465677E-2</v>
      </c>
      <c r="Y169" s="10">
        <f t="shared" si="29"/>
        <v>3.0822539515228255E-2</v>
      </c>
      <c r="Z169" s="10">
        <f t="shared" si="30"/>
        <v>2.2920025884941499E-2</v>
      </c>
      <c r="AA169" s="10">
        <f t="shared" si="31"/>
        <v>1.2881595170573799E-2</v>
      </c>
    </row>
    <row r="170" spans="1:27">
      <c r="A170" s="66">
        <v>7.9</v>
      </c>
      <c r="B170" s="10">
        <f t="shared" si="22"/>
        <v>0.99451445286396767</v>
      </c>
      <c r="C170" s="10">
        <f t="shared" si="23"/>
        <v>0.58596025089490089</v>
      </c>
      <c r="D170" s="66">
        <f t="shared" si="32"/>
        <v>2</v>
      </c>
      <c r="E170" s="10">
        <f t="shared" si="24"/>
        <v>1.9424864610625855E-2</v>
      </c>
      <c r="K170" s="10">
        <f t="shared" si="25"/>
        <v>0.68014974151868945</v>
      </c>
      <c r="L170" s="10">
        <f t="shared" si="26"/>
        <v>2.2547291601734284E-2</v>
      </c>
      <c r="R170" s="10">
        <f t="shared" si="27"/>
        <v>0.43847866578752542</v>
      </c>
      <c r="S170" s="10">
        <f t="shared" si="28"/>
        <v>1.4535779013273447E-2</v>
      </c>
      <c r="Y170" s="10">
        <f t="shared" si="29"/>
        <v>1.5335534554866092E-2</v>
      </c>
      <c r="Z170" s="10">
        <f t="shared" si="30"/>
        <v>1.1382198540841807E-2</v>
      </c>
      <c r="AA170" s="10">
        <f t="shared" si="31"/>
        <v>6.373628987922454E-3</v>
      </c>
    </row>
    <row r="171" spans="1:27">
      <c r="A171" s="66">
        <v>7.95</v>
      </c>
      <c r="B171" s="10">
        <f t="shared" si="22"/>
        <v>0.99446712945057458</v>
      </c>
      <c r="C171" s="10">
        <f t="shared" si="23"/>
        <v>0.58398133611789882</v>
      </c>
      <c r="D171" s="66">
        <f t="shared" si="32"/>
        <v>4</v>
      </c>
      <c r="E171" s="10">
        <f t="shared" si="24"/>
        <v>3.8716682865458533E-2</v>
      </c>
      <c r="K171" s="10">
        <f t="shared" si="25"/>
        <v>0.67849253285020472</v>
      </c>
      <c r="L171" s="10">
        <f t="shared" si="26"/>
        <v>4.4982568099812846E-2</v>
      </c>
      <c r="R171" s="10">
        <f t="shared" si="27"/>
        <v>0.43619664275027575</v>
      </c>
      <c r="S171" s="10">
        <f t="shared" si="28"/>
        <v>2.8918881546122963E-2</v>
      </c>
      <c r="Y171" s="10">
        <f t="shared" si="29"/>
        <v>3.0520336564148837E-2</v>
      </c>
      <c r="Z171" s="10">
        <f t="shared" si="30"/>
        <v>2.2609820189823434E-2</v>
      </c>
      <c r="AA171" s="10">
        <f t="shared" si="31"/>
        <v>1.2614319042511739E-2</v>
      </c>
    </row>
    <row r="172" spans="1:27">
      <c r="A172" s="66">
        <v>8</v>
      </c>
      <c r="B172" s="10">
        <f t="shared" si="22"/>
        <v>0.99441959502842858</v>
      </c>
      <c r="C172" s="10">
        <f t="shared" si="23"/>
        <v>0.5820091045650384</v>
      </c>
      <c r="D172" s="66">
        <f t="shared" si="32"/>
        <v>2</v>
      </c>
      <c r="E172" s="10">
        <f t="shared" si="24"/>
        <v>1.9292041935480796E-2</v>
      </c>
      <c r="K172" s="10">
        <f t="shared" si="25"/>
        <v>0.67683936202868722</v>
      </c>
      <c r="L172" s="10">
        <f t="shared" si="26"/>
        <v>2.2435410809595574E-2</v>
      </c>
      <c r="R172" s="10">
        <f t="shared" si="27"/>
        <v>0.43392649629802077</v>
      </c>
      <c r="S172" s="10">
        <f t="shared" si="28"/>
        <v>1.4383500357359427E-2</v>
      </c>
      <c r="Y172" s="10">
        <f t="shared" si="29"/>
        <v>1.518516913921818E-2</v>
      </c>
      <c r="Z172" s="10">
        <f t="shared" si="30"/>
        <v>1.1228144052100349E-2</v>
      </c>
      <c r="AA172" s="10">
        <f t="shared" si="31"/>
        <v>6.2413819145703056E-3</v>
      </c>
    </row>
    <row r="173" spans="1:27">
      <c r="A173" s="66">
        <v>8.0500000000000007</v>
      </c>
      <c r="B173" s="10">
        <f t="shared" si="22"/>
        <v>0.99437184837797177</v>
      </c>
      <c r="C173" s="10">
        <f t="shared" si="23"/>
        <v>0.58004353366562234</v>
      </c>
      <c r="D173" s="66">
        <f t="shared" si="32"/>
        <v>4</v>
      </c>
      <c r="E173" s="10">
        <f t="shared" si="24"/>
        <v>3.8451930714051681E-2</v>
      </c>
      <c r="K173" s="10">
        <f t="shared" si="25"/>
        <v>0.6751902192157806</v>
      </c>
      <c r="L173" s="10">
        <f t="shared" si="26"/>
        <v>4.4759343085888248E-2</v>
      </c>
      <c r="R173" s="10">
        <f t="shared" si="27"/>
        <v>0.43166816462013485</v>
      </c>
      <c r="S173" s="10">
        <f t="shared" si="28"/>
        <v>2.8615911382616672E-2</v>
      </c>
      <c r="Y173" s="10">
        <f t="shared" si="29"/>
        <v>3.0221070670115219E-2</v>
      </c>
      <c r="Z173" s="10">
        <f t="shared" si="30"/>
        <v>2.2303793767644214E-2</v>
      </c>
      <c r="AA173" s="10">
        <f t="shared" si="31"/>
        <v>1.2352577945466564E-2</v>
      </c>
    </row>
    <row r="174" spans="1:27">
      <c r="A174" s="66">
        <v>8.1</v>
      </c>
      <c r="B174" s="10">
        <f t="shared" si="22"/>
        <v>0.99432388827269569</v>
      </c>
      <c r="C174" s="10">
        <f t="shared" si="23"/>
        <v>0.57808460092518077</v>
      </c>
      <c r="D174" s="66">
        <f t="shared" si="32"/>
        <v>2</v>
      </c>
      <c r="E174" s="10">
        <f t="shared" si="24"/>
        <v>1.9160110938083178E-2</v>
      </c>
      <c r="K174" s="10">
        <f t="shared" si="25"/>
        <v>0.67354509459710177</v>
      </c>
      <c r="L174" s="10">
        <f t="shared" si="26"/>
        <v>2.2324065912893029E-2</v>
      </c>
      <c r="R174" s="10">
        <f t="shared" si="27"/>
        <v>0.42942158622768067</v>
      </c>
      <c r="S174" s="10">
        <f t="shared" si="28"/>
        <v>1.4232804710871204E-2</v>
      </c>
      <c r="Y174" s="10">
        <f t="shared" si="29"/>
        <v>1.503626508709147E-2</v>
      </c>
      <c r="Z174" s="10">
        <f t="shared" si="30"/>
        <v>1.1076165085324005E-2</v>
      </c>
      <c r="AA174" s="10">
        <f t="shared" si="31"/>
        <v>6.1118735754111184E-3</v>
      </c>
    </row>
    <row r="175" spans="1:27">
      <c r="A175" s="66">
        <v>8.15</v>
      </c>
      <c r="B175" s="10">
        <f t="shared" si="22"/>
        <v>0.99427571347910082</v>
      </c>
      <c r="C175" s="10">
        <f t="shared" si="23"/>
        <v>0.57613228392521199</v>
      </c>
      <c r="D175" s="66">
        <f t="shared" si="32"/>
        <v>4</v>
      </c>
      <c r="E175" s="10">
        <f t="shared" si="24"/>
        <v>3.8188955843872267E-2</v>
      </c>
      <c r="K175" s="10">
        <f t="shared" si="25"/>
        <v>0.67190397838217919</v>
      </c>
      <c r="L175" s="10">
        <f t="shared" si="26"/>
        <v>4.4537187166359168E-2</v>
      </c>
      <c r="R175" s="10">
        <f t="shared" si="27"/>
        <v>0.42718669995173419</v>
      </c>
      <c r="S175" s="10">
        <f t="shared" si="28"/>
        <v>2.831609072555287E-2</v>
      </c>
      <c r="Y175" s="10">
        <f t="shared" si="29"/>
        <v>2.9924713243028461E-2</v>
      </c>
      <c r="Z175" s="10">
        <f t="shared" si="30"/>
        <v>2.20018903510492E-2</v>
      </c>
      <c r="AA175" s="10">
        <f t="shared" si="31"/>
        <v>1.2096257352582837E-2</v>
      </c>
    </row>
    <row r="176" spans="1:27">
      <c r="A176" s="66">
        <v>8.1999999999999993</v>
      </c>
      <c r="B176" s="10">
        <f t="shared" si="22"/>
        <v>0.99422732275665893</v>
      </c>
      <c r="C176" s="10">
        <f t="shared" si="23"/>
        <v>0.57418656032292625</v>
      </c>
      <c r="D176" s="66">
        <f t="shared" si="32"/>
        <v>2</v>
      </c>
      <c r="E176" s="10">
        <f t="shared" si="24"/>
        <v>1.9029065554423925E-2</v>
      </c>
      <c r="K176" s="10">
        <f t="shared" si="25"/>
        <v>0.6702668608043969</v>
      </c>
      <c r="L176" s="10">
        <f t="shared" si="26"/>
        <v>2.2213254218335522E-2</v>
      </c>
      <c r="R176" s="10">
        <f t="shared" si="27"/>
        <v>0.42496344494171995</v>
      </c>
      <c r="S176" s="10">
        <f t="shared" si="28"/>
        <v>1.4083675604461767E-2</v>
      </c>
      <c r="Y176" s="10">
        <f t="shared" si="29"/>
        <v>1.4888808173173777E-2</v>
      </c>
      <c r="Z176" s="10">
        <f t="shared" si="30"/>
        <v>1.0926233696854151E-2</v>
      </c>
      <c r="AA176" s="10">
        <f t="shared" si="31"/>
        <v>5.9850473023137325E-3</v>
      </c>
    </row>
    <row r="177" spans="1:27">
      <c r="A177" s="66">
        <v>8.25</v>
      </c>
      <c r="B177" s="10">
        <f t="shared" si="22"/>
        <v>0.9941787148577742</v>
      </c>
      <c r="C177" s="10">
        <f t="shared" si="23"/>
        <v>0.57224740785099037</v>
      </c>
      <c r="D177" s="66">
        <f t="shared" si="32"/>
        <v>4</v>
      </c>
      <c r="E177" s="10">
        <f t="shared" si="24"/>
        <v>3.7927746167866018E-2</v>
      </c>
      <c r="K177" s="10">
        <f t="shared" si="25"/>
        <v>0.66863373212093535</v>
      </c>
      <c r="L177" s="10">
        <f t="shared" si="26"/>
        <v>4.4316094967369928E-2</v>
      </c>
      <c r="R177" s="10">
        <f t="shared" si="27"/>
        <v>0.42275176066375353</v>
      </c>
      <c r="S177" s="10">
        <f t="shared" si="28"/>
        <v>2.8019386808036794E-2</v>
      </c>
      <c r="Y177" s="10">
        <f t="shared" si="29"/>
        <v>2.9631235971058354E-2</v>
      </c>
      <c r="Z177" s="10">
        <f t="shared" si="30"/>
        <v>2.1704054430191664E-2</v>
      </c>
      <c r="AA177" s="10">
        <f t="shared" si="31"/>
        <v>1.1845245105816304E-2</v>
      </c>
    </row>
    <row r="178" spans="1:27">
      <c r="A178" s="66">
        <v>8.3000000000000007</v>
      </c>
      <c r="B178" s="10">
        <f t="shared" si="22"/>
        <v>0.99412988852774342</v>
      </c>
      <c r="C178" s="10">
        <f t="shared" si="23"/>
        <v>0.57031480431727299</v>
      </c>
      <c r="D178" s="66">
        <f t="shared" si="32"/>
        <v>2</v>
      </c>
      <c r="E178" s="10">
        <f t="shared" si="24"/>
        <v>1.8898899761388414E-2</v>
      </c>
      <c r="K178" s="10">
        <f t="shared" si="25"/>
        <v>0.66700458261271389</v>
      </c>
      <c r="L178" s="10">
        <f t="shared" si="26"/>
        <v>2.2102973045342377E-2</v>
      </c>
      <c r="R178" s="10">
        <f t="shared" si="27"/>
        <v>0.4205515868989938</v>
      </c>
      <c r="S178" s="10">
        <f t="shared" si="28"/>
        <v>1.393609674013541E-2</v>
      </c>
      <c r="Y178" s="10">
        <f t="shared" si="29"/>
        <v>1.4742784310608659E-2</v>
      </c>
      <c r="Z178" s="10">
        <f t="shared" si="30"/>
        <v>1.0778322319227991E-2</v>
      </c>
      <c r="AA178" s="10">
        <f t="shared" si="31"/>
        <v>5.8608475992418408E-3</v>
      </c>
    </row>
    <row r="179" spans="1:27">
      <c r="A179" s="66">
        <v>8.35</v>
      </c>
      <c r="B179" s="10">
        <f t="shared" si="22"/>
        <v>0.9940808425047174</v>
      </c>
      <c r="C179" s="10">
        <f t="shared" si="23"/>
        <v>0.56838872760459014</v>
      </c>
      <c r="D179" s="66">
        <f t="shared" si="32"/>
        <v>4</v>
      </c>
      <c r="E179" s="10">
        <f t="shared" si="24"/>
        <v>3.7668289680490359E-2</v>
      </c>
      <c r="K179" s="10">
        <f t="shared" si="25"/>
        <v>0.6653794025843327</v>
      </c>
      <c r="L179" s="10">
        <f t="shared" si="26"/>
        <v>4.4096061140421278E-2</v>
      </c>
      <c r="R179" s="10">
        <f t="shared" si="27"/>
        <v>0.4183628637420036</v>
      </c>
      <c r="S179" s="10">
        <f t="shared" si="28"/>
        <v>2.7725767204089157E-2</v>
      </c>
      <c r="Y179" s="10">
        <f t="shared" si="29"/>
        <v>2.9340610817935719E-2</v>
      </c>
      <c r="Z179" s="10">
        <f t="shared" si="30"/>
        <v>2.1410231242535029E-2</v>
      </c>
      <c r="AA179" s="10">
        <f t="shared" si="31"/>
        <v>1.1599431366946864E-2</v>
      </c>
    </row>
    <row r="180" spans="1:27">
      <c r="A180" s="66">
        <v>8.4</v>
      </c>
      <c r="B180" s="10">
        <f t="shared" si="22"/>
        <v>0.99403157551966093</v>
      </c>
      <c r="C180" s="10">
        <f t="shared" si="23"/>
        <v>0.56646915567045264</v>
      </c>
      <c r="D180" s="66">
        <f t="shared" si="32"/>
        <v>2</v>
      </c>
      <c r="E180" s="10">
        <f t="shared" si="24"/>
        <v>1.8769607576479736E-2</v>
      </c>
      <c r="K180" s="10">
        <f t="shared" si="25"/>
        <v>0.66375818236401507</v>
      </c>
      <c r="L180" s="10">
        <f t="shared" si="26"/>
        <v>2.1993219725978945E-2</v>
      </c>
      <c r="R180" s="10">
        <f t="shared" si="27"/>
        <v>0.41618553159911742</v>
      </c>
      <c r="S180" s="10">
        <f t="shared" si="28"/>
        <v>1.3790051989465278E-2</v>
      </c>
      <c r="Y180" s="10">
        <f t="shared" si="29"/>
        <v>1.4598179549648186E-2</v>
      </c>
      <c r="Z180" s="10">
        <f t="shared" si="30"/>
        <v>1.0632403756114206E-2</v>
      </c>
      <c r="AA180" s="10">
        <f t="shared" si="31"/>
        <v>5.7392201180150731E-3</v>
      </c>
    </row>
    <row r="181" spans="1:27">
      <c r="A181" s="66">
        <v>8.4499999999999993</v>
      </c>
      <c r="B181" s="10">
        <f t="shared" si="22"/>
        <v>0.99398208629631324</v>
      </c>
      <c r="C181" s="10">
        <f t="shared" si="23"/>
        <v>0.56455606654681312</v>
      </c>
      <c r="D181" s="66">
        <f t="shared" si="32"/>
        <v>4</v>
      </c>
      <c r="E181" s="10">
        <f t="shared" si="24"/>
        <v>3.7410574457162768E-2</v>
      </c>
      <c r="K181" s="10">
        <f t="shared" si="25"/>
        <v>0.66214091230354988</v>
      </c>
      <c r="L181" s="10">
        <f t="shared" si="26"/>
        <v>4.3877080362241777E-2</v>
      </c>
      <c r="R181" s="10">
        <f t="shared" si="27"/>
        <v>0.41401953118682056</v>
      </c>
      <c r="S181" s="10">
        <f t="shared" si="28"/>
        <v>2.7435199825099826E-2</v>
      </c>
      <c r="Y181" s="10">
        <f t="shared" si="29"/>
        <v>2.9052810020270943E-2</v>
      </c>
      <c r="Z181" s="10">
        <f t="shared" si="30"/>
        <v>2.112036676279249E-2</v>
      </c>
      <c r="AA181" s="10">
        <f t="shared" si="31"/>
        <v>1.135870856960457E-2</v>
      </c>
    </row>
    <row r="182" spans="1:27">
      <c r="A182" s="66">
        <v>8.5</v>
      </c>
      <c r="B182" s="10">
        <f t="shared" si="22"/>
        <v>0.99393237355114794</v>
      </c>
      <c r="C182" s="10">
        <f t="shared" si="23"/>
        <v>0.56264943833981551</v>
      </c>
      <c r="D182" s="66">
        <f t="shared" si="32"/>
        <v>2</v>
      </c>
      <c r="E182" s="10">
        <f t="shared" si="24"/>
        <v>1.8641183057543771E-2</v>
      </c>
      <c r="K182" s="10">
        <f t="shared" si="25"/>
        <v>0.66052758277823431</v>
      </c>
      <c r="L182" s="10">
        <f t="shared" si="26"/>
        <v>2.1883991604892426E-2</v>
      </c>
      <c r="R182" s="10">
        <f t="shared" si="27"/>
        <v>0.41186480353013355</v>
      </c>
      <c r="S182" s="10">
        <f t="shared" si="28"/>
        <v>1.3645525391829429E-2</v>
      </c>
      <c r="Y182" s="10">
        <f t="shared" si="29"/>
        <v>1.4454980076318766E-2</v>
      </c>
      <c r="Z182" s="10">
        <f t="shared" si="30"/>
        <v>1.0488451177316687E-2</v>
      </c>
      <c r="AA182" s="10">
        <f t="shared" si="31"/>
        <v>5.6201116345712763E-3</v>
      </c>
    </row>
    <row r="183" spans="1:27">
      <c r="A183" s="66">
        <v>8.5500000000000007</v>
      </c>
      <c r="B183" s="10">
        <f t="shared" si="22"/>
        <v>0.99388243599333304</v>
      </c>
      <c r="C183" s="10">
        <f t="shared" si="23"/>
        <v>0.56074924922954383</v>
      </c>
      <c r="D183" s="66">
        <f t="shared" si="32"/>
        <v>4</v>
      </c>
      <c r="E183" s="10">
        <f t="shared" si="24"/>
        <v>3.7154588653712781E-2</v>
      </c>
      <c r="K183" s="10">
        <f t="shared" si="25"/>
        <v>0.65891818418681636</v>
      </c>
      <c r="L183" s="10">
        <f t="shared" si="26"/>
        <v>4.3659147334659788E-2</v>
      </c>
      <c r="R183" s="10">
        <f t="shared" si="27"/>
        <v>0.40972128996100693</v>
      </c>
      <c r="S183" s="10">
        <f t="shared" si="28"/>
        <v>2.7147652916318425E-2</v>
      </c>
      <c r="Y183" s="10">
        <f t="shared" si="29"/>
        <v>2.876780608489871E-2</v>
      </c>
      <c r="Z183" s="10">
        <f t="shared" si="30"/>
        <v>2.0834407693001971E-2</v>
      </c>
      <c r="AA183" s="10">
        <f t="shared" si="31"/>
        <v>1.1122971372287677E-2</v>
      </c>
    </row>
    <row r="184" spans="1:27">
      <c r="A184" s="66">
        <v>8.6</v>
      </c>
      <c r="B184" s="10">
        <f t="shared" si="22"/>
        <v>0.9938322723246904</v>
      </c>
      <c r="C184" s="10">
        <f t="shared" si="23"/>
        <v>0.55885547746977282</v>
      </c>
      <c r="D184" s="66">
        <f t="shared" si="32"/>
        <v>2</v>
      </c>
      <c r="E184" s="10">
        <f t="shared" si="24"/>
        <v>1.8513620302496137E-2</v>
      </c>
      <c r="K184" s="10">
        <f t="shared" si="25"/>
        <v>0.65731270695143829</v>
      </c>
      <c r="L184" s="10">
        <f t="shared" si="26"/>
        <v>2.177528603924804E-2</v>
      </c>
      <c r="R184" s="10">
        <f t="shared" si="27"/>
        <v>0.40758893211672431</v>
      </c>
      <c r="S184" s="10">
        <f t="shared" si="28"/>
        <v>1.3502501152665269E-2</v>
      </c>
      <c r="Y184" s="10">
        <f t="shared" si="29"/>
        <v>1.4313172211099992E-2</v>
      </c>
      <c r="Z184" s="10">
        <f t="shared" si="30"/>
        <v>1.0346438113845559E-2</v>
      </c>
      <c r="AA184" s="10">
        <f t="shared" si="31"/>
        <v>5.5034700257196763E-3</v>
      </c>
    </row>
    <row r="185" spans="1:27">
      <c r="A185" s="66">
        <v>8.65</v>
      </c>
      <c r="B185" s="10">
        <f t="shared" si="22"/>
        <v>0.99378188123965505</v>
      </c>
      <c r="C185" s="10">
        <f t="shared" si="23"/>
        <v>0.55696810138771879</v>
      </c>
      <c r="D185" s="66">
        <f t="shared" si="32"/>
        <v>4</v>
      </c>
      <c r="E185" s="10">
        <f t="shared" si="24"/>
        <v>3.6900320505837747E-2</v>
      </c>
      <c r="K185" s="10">
        <f t="shared" si="25"/>
        <v>0.65571114151757826</v>
      </c>
      <c r="L185" s="10">
        <f t="shared" si="26"/>
        <v>4.3442256784476045E-2</v>
      </c>
      <c r="R185" s="10">
        <f t="shared" si="27"/>
        <v>0.40546767193831212</v>
      </c>
      <c r="S185" s="10">
        <f t="shared" si="28"/>
        <v>2.6863095053381279E-2</v>
      </c>
      <c r="Y185" s="10">
        <f t="shared" si="29"/>
        <v>2.8485571786248547E-2</v>
      </c>
      <c r="Z185" s="10">
        <f t="shared" si="30"/>
        <v>2.0552301452734758E-2</v>
      </c>
      <c r="AA185" s="10">
        <f t="shared" si="31"/>
        <v>1.0892116612352095E-2</v>
      </c>
    </row>
    <row r="186" spans="1:27">
      <c r="A186" s="66">
        <v>8.6999999999999993</v>
      </c>
      <c r="B186" s="10">
        <f t="shared" si="22"/>
        <v>0.99373126142523505</v>
      </c>
      <c r="C186" s="10">
        <f t="shared" si="23"/>
        <v>0.55508709938379175</v>
      </c>
      <c r="D186" s="66">
        <f t="shared" si="32"/>
        <v>2</v>
      </c>
      <c r="E186" s="10">
        <f t="shared" si="24"/>
        <v>1.8386913449051006E-2</v>
      </c>
      <c r="K186" s="10">
        <f t="shared" si="25"/>
        <v>0.65411347835399525</v>
      </c>
      <c r="L186" s="10">
        <f t="shared" si="26"/>
        <v>2.166710039866546E-2</v>
      </c>
      <c r="R186" s="10">
        <f t="shared" si="27"/>
        <v>0.40335745166896037</v>
      </c>
      <c r="S186" s="10">
        <f t="shared" si="28"/>
        <v>1.336096364174214E-2</v>
      </c>
      <c r="Y186" s="10">
        <f t="shared" si="29"/>
        <v>1.41727424076163E-2</v>
      </c>
      <c r="Z186" s="10">
        <f t="shared" si="30"/>
        <v>1.0206338453054553E-2</v>
      </c>
      <c r="AA186" s="10">
        <f t="shared" si="31"/>
        <v>5.3892442463747423E-3</v>
      </c>
    </row>
    <row r="187" spans="1:27">
      <c r="A187" s="66">
        <v>8.75</v>
      </c>
      <c r="B187" s="10">
        <f t="shared" si="22"/>
        <v>0.99368041156096942</v>
      </c>
      <c r="C187" s="10">
        <f t="shared" si="23"/>
        <v>0.55321244993134833</v>
      </c>
      <c r="D187" s="66">
        <f t="shared" si="32"/>
        <v>4</v>
      </c>
      <c r="E187" s="10">
        <f t="shared" si="24"/>
        <v>3.6647758328562298E-2</v>
      </c>
      <c r="K187" s="10">
        <f t="shared" si="25"/>
        <v>0.65251970795267089</v>
      </c>
      <c r="L187" s="10">
        <f t="shared" si="26"/>
        <v>4.3226403463336914E-2</v>
      </c>
      <c r="R187" s="10">
        <f t="shared" si="27"/>
        <v>0.40125821385244842</v>
      </c>
      <c r="S187" s="10">
        <f t="shared" si="28"/>
        <v>2.65814951388747E-2</v>
      </c>
      <c r="Y187" s="10">
        <f t="shared" si="29"/>
        <v>2.8206080163740925E-2</v>
      </c>
      <c r="Z187" s="10">
        <f t="shared" si="30"/>
        <v>2.0273996169435923E-2</v>
      </c>
      <c r="AA187" s="10">
        <f t="shared" si="31"/>
        <v>1.0666043260952402E-2</v>
      </c>
    </row>
    <row r="188" spans="1:27">
      <c r="A188" s="66">
        <v>8.8000000000000007</v>
      </c>
      <c r="B188" s="10">
        <f t="shared" si="22"/>
        <v>0.99362933031888778</v>
      </c>
      <c r="C188" s="10">
        <f t="shared" si="23"/>
        <v>0.55134413157644513</v>
      </c>
      <c r="D188" s="66">
        <f t="shared" si="32"/>
        <v>2</v>
      </c>
      <c r="E188" s="10">
        <f t="shared" si="24"/>
        <v>1.8261056674451732E-2</v>
      </c>
      <c r="K188" s="10">
        <f t="shared" si="25"/>
        <v>0.65092982082875339</v>
      </c>
      <c r="L188" s="10">
        <f t="shared" si="26"/>
        <v>2.1559432065155596E-2</v>
      </c>
      <c r="R188" s="10">
        <f t="shared" si="27"/>
        <v>0.39916990133158187</v>
      </c>
      <c r="S188" s="10">
        <f t="shared" si="28"/>
        <v>1.3220897391451875E-2</v>
      </c>
      <c r="Y188" s="10">
        <f t="shared" si="29"/>
        <v>1.4033677251341413E-2</v>
      </c>
      <c r="Z188" s="10">
        <f t="shared" si="30"/>
        <v>1.0068126433843838E-2</v>
      </c>
      <c r="AA188" s="10">
        <f t="shared" si="31"/>
        <v>5.2773843072608127E-3</v>
      </c>
    </row>
    <row r="189" spans="1:27">
      <c r="A189" s="66">
        <v>8.85</v>
      </c>
      <c r="B189" s="10">
        <f t="shared" si="22"/>
        <v>0.99357801636346887</v>
      </c>
      <c r="C189" s="10">
        <f t="shared" si="23"/>
        <v>0.54948212293759358</v>
      </c>
      <c r="D189" s="66">
        <f t="shared" si="32"/>
        <v>4</v>
      </c>
      <c r="E189" s="10">
        <f t="shared" si="24"/>
        <v>3.6396890515701469E-2</v>
      </c>
      <c r="K189" s="10">
        <f t="shared" si="25"/>
        <v>0.64934380752050169</v>
      </c>
      <c r="L189" s="10">
        <f t="shared" si="26"/>
        <v>4.3011582147608154E-2</v>
      </c>
      <c r="R189" s="10">
        <f t="shared" si="27"/>
        <v>0.39709245724663589</v>
      </c>
      <c r="S189" s="10">
        <f t="shared" si="28"/>
        <v>2.6302822398933876E-2</v>
      </c>
      <c r="Y189" s="10">
        <f t="shared" si="29"/>
        <v>2.7929304519208716E-2</v>
      </c>
      <c r="Z189" s="10">
        <f t="shared" si="30"/>
        <v>1.9999440668894808E-2</v>
      </c>
      <c r="AA189" s="10">
        <f t="shared" si="31"/>
        <v>1.0444652378914506E-2</v>
      </c>
    </row>
    <row r="190" spans="1:27">
      <c r="A190" s="66">
        <v>8.9</v>
      </c>
      <c r="B190" s="10">
        <f t="shared" si="22"/>
        <v>0.99352646835159841</v>
      </c>
      <c r="C190" s="10">
        <f t="shared" si="23"/>
        <v>0.54762640270551477</v>
      </c>
      <c r="D190" s="66">
        <f t="shared" si="32"/>
        <v>2</v>
      </c>
      <c r="E190" s="10">
        <f t="shared" si="24"/>
        <v>1.8136044195203347E-2</v>
      </c>
      <c r="K190" s="10">
        <f t="shared" si="25"/>
        <v>0.64776165858922807</v>
      </c>
      <c r="L190" s="10">
        <f t="shared" si="26"/>
        <v>2.1452278433057657E-2</v>
      </c>
      <c r="R190" s="10">
        <f t="shared" si="27"/>
        <v>0.39502582503380662</v>
      </c>
      <c r="S190" s="10">
        <f t="shared" si="28"/>
        <v>1.3082287095117147E-2</v>
      </c>
      <c r="Y190" s="10">
        <f t="shared" si="29"/>
        <v>1.3895963458315355E-2</v>
      </c>
      <c r="Z190" s="10">
        <f t="shared" si="30"/>
        <v>9.9317766419274416E-3</v>
      </c>
      <c r="AA190" s="10">
        <f t="shared" si="31"/>
        <v>5.1678412530777726E-3</v>
      </c>
    </row>
    <row r="191" spans="1:27">
      <c r="A191" s="66">
        <v>8.9499999999999993</v>
      </c>
      <c r="B191" s="10">
        <f t="shared" si="22"/>
        <v>0.99347468493252777</v>
      </c>
      <c r="C191" s="10">
        <f t="shared" si="23"/>
        <v>0.54577694964289614</v>
      </c>
      <c r="D191" s="66">
        <f t="shared" si="32"/>
        <v>4</v>
      </c>
      <c r="E191" s="10">
        <f t="shared" si="24"/>
        <v>3.6147705539327495E-2</v>
      </c>
      <c r="K191" s="10">
        <f t="shared" si="25"/>
        <v>0.64618336461924253</v>
      </c>
      <c r="L191" s="10">
        <f t="shared" si="26"/>
        <v>4.279778763824952E-2</v>
      </c>
      <c r="R191" s="10">
        <f t="shared" si="27"/>
        <v>0.39296994842367189</v>
      </c>
      <c r="S191" s="10">
        <f t="shared" si="28"/>
        <v>2.6027046379877277E-2</v>
      </c>
      <c r="Y191" s="10">
        <f t="shared" si="29"/>
        <v>2.7655218414343898E-2</v>
      </c>
      <c r="Z191" s="10">
        <f t="shared" si="30"/>
        <v>1.9728584465843781E-2</v>
      </c>
      <c r="AA191" s="10">
        <f t="shared" si="31"/>
        <v>1.0227847073520889E-2</v>
      </c>
    </row>
    <row r="192" spans="1:27">
      <c r="A192" s="66">
        <v>9</v>
      </c>
      <c r="B192" s="10">
        <f t="shared" si="22"/>
        <v>0.99342266474783181</v>
      </c>
      <c r="C192" s="10">
        <f t="shared" si="23"/>
        <v>0.54393374258414806</v>
      </c>
      <c r="D192" s="66">
        <f t="shared" si="32"/>
        <v>2</v>
      </c>
      <c r="E192" s="10">
        <f t="shared" si="24"/>
        <v>1.801187026680685E-2</v>
      </c>
      <c r="K192" s="10">
        <f t="shared" si="25"/>
        <v>0.64460891621779726</v>
      </c>
      <c r="L192" s="10">
        <f t="shared" si="26"/>
        <v>2.1345636908976531E-2</v>
      </c>
      <c r="R192" s="10">
        <f t="shared" si="27"/>
        <v>0.39092477143965831</v>
      </c>
      <c r="S192" s="10">
        <f t="shared" si="28"/>
        <v>1.2945117605317412E-2</v>
      </c>
      <c r="Y192" s="10">
        <f t="shared" si="29"/>
        <v>1.3759587873873973E-2</v>
      </c>
      <c r="Z192" s="10">
        <f t="shared" si="30"/>
        <v>9.797264005164388E-3</v>
      </c>
      <c r="AA192" s="10">
        <f t="shared" si="31"/>
        <v>5.0605671411182059E-3</v>
      </c>
    </row>
    <row r="193" spans="1:27">
      <c r="A193" s="66">
        <v>9.0500000000000007</v>
      </c>
      <c r="B193" s="10">
        <f t="shared" si="22"/>
        <v>0.99337040643136598</v>
      </c>
      <c r="C193" s="10">
        <f t="shared" si="23"/>
        <v>0.54209676043516097</v>
      </c>
      <c r="D193" s="66">
        <f t="shared" si="32"/>
        <v>4</v>
      </c>
      <c r="E193" s="10">
        <f t="shared" si="24"/>
        <v>3.5900191949240184E-2</v>
      </c>
      <c r="K193" s="10">
        <f t="shared" si="25"/>
        <v>0.64303830401502915</v>
      </c>
      <c r="L193" s="10">
        <f t="shared" si="26"/>
        <v>4.2585014760689724E-2</v>
      </c>
      <c r="R193" s="10">
        <f t="shared" si="27"/>
        <v>0.38889023839651787</v>
      </c>
      <c r="S193" s="10">
        <f t="shared" si="28"/>
        <v>2.5754136944875987E-2</v>
      </c>
      <c r="Y193" s="10">
        <f t="shared" si="29"/>
        <v>2.7383795668168901E-2</v>
      </c>
      <c r="Z193" s="10">
        <f t="shared" si="30"/>
        <v>1.946137775468355E-2</v>
      </c>
      <c r="AA193" s="10">
        <f t="shared" si="31"/>
        <v>1.0015532456189391E-2</v>
      </c>
    </row>
    <row r="194" spans="1:27">
      <c r="A194" s="66">
        <v>9.1</v>
      </c>
      <c r="B194" s="10">
        <f t="shared" si="22"/>
        <v>0.99331790860922486</v>
      </c>
      <c r="C194" s="10">
        <f t="shared" si="23"/>
        <v>0.54026598217306609</v>
      </c>
      <c r="D194" s="66">
        <f t="shared" si="32"/>
        <v>2</v>
      </c>
      <c r="E194" s="10">
        <f t="shared" si="24"/>
        <v>1.7888529183495296E-2</v>
      </c>
      <c r="K194" s="10">
        <f t="shared" si="25"/>
        <v>0.64147151866390639</v>
      </c>
      <c r="L194" s="10">
        <f t="shared" si="26"/>
        <v>2.1239504911720501E-2</v>
      </c>
      <c r="R194" s="10">
        <f t="shared" si="27"/>
        <v>0.38686629389881144</v>
      </c>
      <c r="S194" s="10">
        <f t="shared" si="28"/>
        <v>1.2809373932232306E-2</v>
      </c>
      <c r="Y194" s="10">
        <f t="shared" si="29"/>
        <v>1.3624537471390849E-2</v>
      </c>
      <c r="Z194" s="10">
        <f t="shared" si="30"/>
        <v>9.6645637889526421E-3</v>
      </c>
      <c r="AA194" s="10">
        <f t="shared" si="31"/>
        <v>4.9555150203267574E-3</v>
      </c>
    </row>
    <row r="195" spans="1:27">
      <c r="A195" s="66">
        <v>9.15</v>
      </c>
      <c r="B195" s="10">
        <f t="shared" si="22"/>
        <v>0.99326516989969882</v>
      </c>
      <c r="C195" s="10">
        <f t="shared" si="23"/>
        <v>0.53844138684599252</v>
      </c>
      <c r="D195" s="66">
        <f t="shared" si="32"/>
        <v>4</v>
      </c>
      <c r="E195" s="10">
        <f t="shared" si="24"/>
        <v>3.5654338372440954E-2</v>
      </c>
      <c r="K195" s="10">
        <f t="shared" si="25"/>
        <v>0.63990855084017062</v>
      </c>
      <c r="L195" s="10">
        <f t="shared" si="26"/>
        <v>4.2373258364702147E-2</v>
      </c>
      <c r="R195" s="10">
        <f t="shared" si="27"/>
        <v>0.38485288283940017</v>
      </c>
      <c r="S195" s="10">
        <f t="shared" si="28"/>
        <v>2.5484064270657716E-2</v>
      </c>
      <c r="Y195" s="10">
        <f t="shared" si="29"/>
        <v>2.711501035453269E-2</v>
      </c>
      <c r="Z195" s="10">
        <f t="shared" si="30"/>
        <v>1.9197771400333394E-2</v>
      </c>
      <c r="AA195" s="10">
        <f t="shared" si="31"/>
        <v>9.8076156010271781E-3</v>
      </c>
    </row>
    <row r="196" spans="1:27">
      <c r="A196" s="66">
        <v>9.1999999999999993</v>
      </c>
      <c r="B196" s="10">
        <f t="shared" si="22"/>
        <v>0.99321218891323115</v>
      </c>
      <c r="C196" s="10">
        <f t="shared" si="23"/>
        <v>0.53662295357282819</v>
      </c>
      <c r="D196" s="66">
        <f t="shared" si="32"/>
        <v>2</v>
      </c>
      <c r="E196" s="10">
        <f t="shared" si="24"/>
        <v>1.7766015277971729E-2</v>
      </c>
      <c r="K196" s="10">
        <f t="shared" si="25"/>
        <v>0.63834939124228274</v>
      </c>
      <c r="L196" s="10">
        <f t="shared" si="26"/>
        <v>2.1133879872239206E-2</v>
      </c>
      <c r="R196" s="10">
        <f t="shared" si="27"/>
        <v>0.38284995039794584</v>
      </c>
      <c r="S196" s="10">
        <f t="shared" si="28"/>
        <v>1.2675041242002191E-2</v>
      </c>
      <c r="Y196" s="10">
        <f t="shared" si="29"/>
        <v>1.3490799351031429E-2</v>
      </c>
      <c r="Z196" s="10">
        <f t="shared" si="30"/>
        <v>9.5336515916851789E-3</v>
      </c>
      <c r="AA196" s="10">
        <f t="shared" si="31"/>
        <v>4.8526389107924565E-3</v>
      </c>
    </row>
    <row r="197" spans="1:27">
      <c r="A197" s="66">
        <v>9.25</v>
      </c>
      <c r="B197" s="10">
        <f t="shared" si="22"/>
        <v>0.99315896425237504</v>
      </c>
      <c r="C197" s="10">
        <f t="shared" si="23"/>
        <v>0.53481066154298162</v>
      </c>
      <c r="D197" s="66">
        <f t="shared" si="32"/>
        <v>4</v>
      </c>
      <c r="E197" s="10">
        <f t="shared" si="24"/>
        <v>3.5410133512610346E-2</v>
      </c>
      <c r="K197" s="10">
        <f t="shared" si="25"/>
        <v>0.63679403059136708</v>
      </c>
      <c r="L197" s="10">
        <f t="shared" si="26"/>
        <v>4.2162513324281163E-2</v>
      </c>
      <c r="R197" s="10">
        <f t="shared" si="27"/>
        <v>0.38085744203941757</v>
      </c>
      <c r="S197" s="10">
        <f t="shared" si="28"/>
        <v>2.5216798844245134E-2</v>
      </c>
      <c r="Y197" s="10">
        <f t="shared" si="29"/>
        <v>2.684883679963122E-2</v>
      </c>
      <c r="Z197" s="10">
        <f t="shared" si="30"/>
        <v>1.8937716929204443E-2</v>
      </c>
      <c r="AA197" s="10">
        <f t="shared" si="31"/>
        <v>9.6040055042417426E-3</v>
      </c>
    </row>
    <row r="198" spans="1:27">
      <c r="A198" s="66">
        <v>9.3000000000000007</v>
      </c>
      <c r="B198" s="10">
        <f t="shared" si="22"/>
        <v>0.9931054945117499</v>
      </c>
      <c r="C198" s="10">
        <f t="shared" si="23"/>
        <v>0.53300449001614292</v>
      </c>
      <c r="D198" s="66">
        <f t="shared" si="32"/>
        <v>2</v>
      </c>
      <c r="E198" s="10">
        <f t="shared" si="24"/>
        <v>1.7644322921148824E-2</v>
      </c>
      <c r="K198" s="10">
        <f t="shared" si="25"/>
        <v>0.63524245963115611</v>
      </c>
      <c r="L198" s="10">
        <f t="shared" si="26"/>
        <v>2.102875923356199E-2</v>
      </c>
      <c r="R198" s="10">
        <f t="shared" si="27"/>
        <v>0.37887530351260701</v>
      </c>
      <c r="S198" s="10">
        <f t="shared" si="28"/>
        <v>1.2542104855105899E-2</v>
      </c>
      <c r="Y198" s="10">
        <f t="shared" si="29"/>
        <v>1.3358360738519304E-2</v>
      </c>
      <c r="Z198" s="10">
        <f t="shared" si="30"/>
        <v>9.4045033402670695E-3</v>
      </c>
      <c r="AA198" s="10">
        <f t="shared" si="31"/>
        <v>4.7518937836651893E-3</v>
      </c>
    </row>
    <row r="199" spans="1:27">
      <c r="A199" s="66">
        <v>9.35</v>
      </c>
      <c r="B199" s="10">
        <f t="shared" si="22"/>
        <v>0.99305177827799829</v>
      </c>
      <c r="C199" s="10">
        <f t="shared" si="23"/>
        <v>0.53120441832204679</v>
      </c>
      <c r="D199" s="66">
        <f t="shared" si="32"/>
        <v>4</v>
      </c>
      <c r="E199" s="10">
        <f t="shared" si="24"/>
        <v>3.516756614958922E-2</v>
      </c>
      <c r="K199" s="10">
        <f t="shared" si="25"/>
        <v>0.63369466912793582</v>
      </c>
      <c r="L199" s="10">
        <f t="shared" si="26"/>
        <v>4.1952774537518965E-2</v>
      </c>
      <c r="R199" s="10">
        <f t="shared" si="27"/>
        <v>0.37690348084865183</v>
      </c>
      <c r="S199" s="10">
        <f t="shared" si="28"/>
        <v>2.4952311459728083E-2</v>
      </c>
      <c r="Y199" s="10">
        <f t="shared" si="29"/>
        <v>2.6585249579551971E-2</v>
      </c>
      <c r="Z199" s="10">
        <f t="shared" si="30"/>
        <v>1.8681166520294643E-2</v>
      </c>
      <c r="AA199" s="10">
        <f t="shared" si="31"/>
        <v>9.404613044391219E-3</v>
      </c>
    </row>
    <row r="200" spans="1:27">
      <c r="A200" s="66">
        <v>9.4</v>
      </c>
      <c r="B200" s="10">
        <f t="shared" si="22"/>
        <v>0.99299781412974175</v>
      </c>
      <c r="C200" s="10">
        <f t="shared" si="23"/>
        <v>0.52941042586023601</v>
      </c>
      <c r="D200" s="66">
        <f t="shared" si="32"/>
        <v>2</v>
      </c>
      <c r="E200" s="10">
        <f t="shared" si="24"/>
        <v>1.7523446521890338E-2</v>
      </c>
      <c r="K200" s="10">
        <f t="shared" si="25"/>
        <v>0.63215064987049041</v>
      </c>
      <c r="L200" s="10">
        <f t="shared" si="26"/>
        <v>2.0924140450736428E-2</v>
      </c>
      <c r="R200" s="10">
        <f t="shared" si="27"/>
        <v>0.37494192035956525</v>
      </c>
      <c r="S200" s="10">
        <f t="shared" si="28"/>
        <v>1.2410550244755203E-2</v>
      </c>
      <c r="Y200" s="10">
        <f t="shared" si="29"/>
        <v>1.3227208983914449E-2</v>
      </c>
      <c r="Z200" s="10">
        <f t="shared" si="30"/>
        <v>9.277095285693036E-3</v>
      </c>
      <c r="AA200" s="10">
        <f t="shared" si="31"/>
        <v>4.6532355414873883E-3</v>
      </c>
    </row>
    <row r="201" spans="1:27">
      <c r="A201" s="66">
        <v>9.4499999999999993</v>
      </c>
      <c r="B201" s="10">
        <f t="shared" si="22"/>
        <v>0.99294360063753651</v>
      </c>
      <c r="C201" s="10">
        <f t="shared" si="23"/>
        <v>0.52762249209982537</v>
      </c>
      <c r="D201" s="66">
        <f t="shared" si="32"/>
        <v>4</v>
      </c>
      <c r="E201" s="10">
        <f t="shared" si="24"/>
        <v>3.4926625138863389E-2</v>
      </c>
      <c r="K201" s="10">
        <f t="shared" si="25"/>
        <v>0.63061039267004748</v>
      </c>
      <c r="L201" s="10">
        <f t="shared" si="26"/>
        <v>4.1744036926483187E-2</v>
      </c>
      <c r="R201" s="10">
        <f t="shared" si="27"/>
        <v>0.37299056863677527</v>
      </c>
      <c r="S201" s="10">
        <f t="shared" si="28"/>
        <v>2.4690573215069459E-2</v>
      </c>
      <c r="Y201" s="10">
        <f t="shared" si="29"/>
        <v>2.6324223517842523E-2</v>
      </c>
      <c r="Z201" s="10">
        <f t="shared" si="30"/>
        <v>1.8428072996403512E-2</v>
      </c>
      <c r="AA201" s="10">
        <f t="shared" si="31"/>
        <v>9.2093509434566893E-3</v>
      </c>
    </row>
    <row r="202" spans="1:27">
      <c r="A202" s="66">
        <v>9.5</v>
      </c>
      <c r="B202" s="10">
        <f t="shared" si="22"/>
        <v>0.99288913636383003</v>
      </c>
      <c r="C202" s="10">
        <f t="shared" si="23"/>
        <v>0.52584059657926685</v>
      </c>
      <c r="D202" s="66">
        <f t="shared" si="32"/>
        <v>2</v>
      </c>
      <c r="E202" s="10">
        <f t="shared" si="24"/>
        <v>1.7403380526754313E-2</v>
      </c>
      <c r="K202" s="10">
        <f t="shared" si="25"/>
        <v>0.62907388836022304</v>
      </c>
      <c r="L202" s="10">
        <f t="shared" si="26"/>
        <v>2.0820020990767275E-2</v>
      </c>
      <c r="R202" s="10">
        <f t="shared" si="27"/>
        <v>0.37104937254966985</v>
      </c>
      <c r="S202" s="10">
        <f t="shared" si="28"/>
        <v>1.228036303530609E-2</v>
      </c>
      <c r="Y202" s="10">
        <f t="shared" si="29"/>
        <v>1.3097331560403434E-2</v>
      </c>
      <c r="Z202" s="10">
        <f t="shared" si="30"/>
        <v>9.151403998684483E-3</v>
      </c>
      <c r="AA202" s="10">
        <f t="shared" si="31"/>
        <v>4.5566209989324844E-3</v>
      </c>
    </row>
    <row r="203" spans="1:27">
      <c r="A203" s="66">
        <v>9.5500000000000007</v>
      </c>
      <c r="B203" s="10">
        <f t="shared" si="22"/>
        <v>0.99283441986291587</v>
      </c>
      <c r="C203" s="10">
        <f t="shared" si="23"/>
        <v>0.52406471890611572</v>
      </c>
      <c r="D203" s="66">
        <f t="shared" si="32"/>
        <v>4</v>
      </c>
      <c r="E203" s="10">
        <f t="shared" si="24"/>
        <v>3.4687299411051704E-2</v>
      </c>
      <c r="K203" s="10">
        <f t="shared" si="25"/>
        <v>0.62754112779696791</v>
      </c>
      <c r="L203" s="10">
        <f t="shared" si="26"/>
        <v>4.1536295437094847E-2</v>
      </c>
      <c r="R203" s="10">
        <f t="shared" si="27"/>
        <v>0.36911827924415036</v>
      </c>
      <c r="S203" s="10">
        <f t="shared" si="28"/>
        <v>2.4431555508944259E-2</v>
      </c>
      <c r="Y203" s="10">
        <f t="shared" si="29"/>
        <v>2.6065733683102554E-2</v>
      </c>
      <c r="Z203" s="10">
        <f t="shared" si="30"/>
        <v>1.8178389815465084E-2</v>
      </c>
      <c r="AA203" s="10">
        <f t="shared" si="31"/>
        <v>9.018133728719447E-3</v>
      </c>
    </row>
    <row r="204" spans="1:27">
      <c r="A204" s="66">
        <v>9.6</v>
      </c>
      <c r="B204" s="10">
        <f t="shared" si="22"/>
        <v>0.99277944968088894</v>
      </c>
      <c r="C204" s="10">
        <f t="shared" si="23"/>
        <v>0.52229483875679705</v>
      </c>
      <c r="D204" s="66">
        <f t="shared" si="32"/>
        <v>2</v>
      </c>
      <c r="E204" s="10">
        <f t="shared" si="24"/>
        <v>1.7284119419738054E-2</v>
      </c>
      <c r="K204" s="10">
        <f t="shared" si="25"/>
        <v>0.62601210185851264</v>
      </c>
      <c r="L204" s="10">
        <f t="shared" si="26"/>
        <v>2.0716398332555692E-2</v>
      </c>
      <c r="R204" s="10">
        <f t="shared" si="27"/>
        <v>0.36719723614119304</v>
      </c>
      <c r="S204" s="10">
        <f t="shared" si="28"/>
        <v>1.2151529000686568E-2</v>
      </c>
      <c r="Y204" s="10">
        <f t="shared" si="29"/>
        <v>1.2968716063101375E-2</v>
      </c>
      <c r="Z204" s="10">
        <f t="shared" si="30"/>
        <v>9.0274063653853123E-3</v>
      </c>
      <c r="AA204" s="10">
        <f t="shared" si="31"/>
        <v>4.4620078639416609E-3</v>
      </c>
    </row>
    <row r="205" spans="1:27">
      <c r="A205" s="66">
        <v>9.65</v>
      </c>
      <c r="B205" s="10">
        <f t="shared" ref="B205:B268" si="33">(B$8^A205)*B$9^((B$5^B$7)*((B$5^A205)-1))</f>
        <v>0.99272422435560104</v>
      </c>
      <c r="C205" s="10">
        <f t="shared" ref="C205:C268" si="34">(1+B$6)^-A205</f>
        <v>0.52053093587637267</v>
      </c>
      <c r="D205" s="66">
        <f t="shared" si="32"/>
        <v>4</v>
      </c>
      <c r="E205" s="10">
        <f t="shared" ref="E205:E268" si="35">B205*C205*D205*0.05/3</f>
        <v>3.4449577971397811E-2</v>
      </c>
      <c r="K205" s="10">
        <f t="shared" ref="K205:K268" si="36">1.05^-A205</f>
        <v>0.62448680144531266</v>
      </c>
      <c r="L205" s="10">
        <f t="shared" ref="L205:L268" si="37">E205*K205/C205</f>
        <v>4.1329545039007216E-2</v>
      </c>
      <c r="R205" s="10">
        <f t="shared" ref="R205:R268" si="38">1.11^-A205</f>
        <v>0.36528619093541637</v>
      </c>
      <c r="S205" s="10">
        <f t="shared" ref="S205:S268" si="39">L205*R205/K205</f>
        <v>2.4175230037611545E-2</v>
      </c>
      <c r="Y205" s="10">
        <f t="shared" ref="Y205:Y268" si="40">L205*K205</f>
        <v>2.5809755386599607E-2</v>
      </c>
      <c r="Z205" s="10">
        <f t="shared" ref="Z205:Z268" si="41">C205*E205</f>
        <v>1.7932071061997776E-2</v>
      </c>
      <c r="AA205" s="10">
        <f t="shared" ref="AA205:AA268" si="42">R205*S205</f>
        <v>8.8308776954265835E-3</v>
      </c>
    </row>
    <row r="206" spans="1:27">
      <c r="A206" s="66">
        <v>9.6999999999999993</v>
      </c>
      <c r="B206" s="10">
        <f t="shared" si="33"/>
        <v>0.99266874241661507</v>
      </c>
      <c r="C206" s="10">
        <f t="shared" si="34"/>
        <v>0.51877299007831001</v>
      </c>
      <c r="D206" s="66">
        <f t="shared" si="32"/>
        <v>2</v>
      </c>
      <c r="E206" s="10">
        <f t="shared" si="35"/>
        <v>1.7165657722024771E-2</v>
      </c>
      <c r="K206" s="10">
        <f t="shared" si="36"/>
        <v>0.62296521747999545</v>
      </c>
      <c r="L206" s="10">
        <f t="shared" si="37"/>
        <v>2.0613269966838675E-2</v>
      </c>
      <c r="R206" s="10">
        <f t="shared" si="38"/>
        <v>0.36338509159365795</v>
      </c>
      <c r="S206" s="10">
        <f t="shared" si="39"/>
        <v>1.2024034062840765E-2</v>
      </c>
      <c r="Y206" s="10">
        <f t="shared" si="40"/>
        <v>1.2841350207865514E-2</v>
      </c>
      <c r="Z206" s="10">
        <f t="shared" si="41"/>
        <v>8.9050795831156215E-3</v>
      </c>
      <c r="AA206" s="10">
        <f t="shared" si="42"/>
        <v>4.3693547192506545E-3</v>
      </c>
    </row>
    <row r="207" spans="1:27">
      <c r="A207" s="66">
        <v>9.75</v>
      </c>
      <c r="B207" s="10">
        <f t="shared" si="33"/>
        <v>0.99261300238516037</v>
      </c>
      <c r="C207" s="10">
        <f t="shared" si="34"/>
        <v>0.51702098124425078</v>
      </c>
      <c r="D207" s="66">
        <f t="shared" ref="D207:D270" si="43">IF(D206=4,2,4)</f>
        <v>4</v>
      </c>
      <c r="E207" s="10">
        <f t="shared" si="35"/>
        <v>3.4213449899265169E-2</v>
      </c>
      <c r="K207" s="10">
        <f t="shared" si="36"/>
        <v>0.62144734090730558</v>
      </c>
      <c r="L207" s="10">
        <f t="shared" si="37"/>
        <v>4.1123780725485004E-2</v>
      </c>
      <c r="R207" s="10">
        <f t="shared" si="38"/>
        <v>0.36149388635355711</v>
      </c>
      <c r="S207" s="10">
        <f t="shared" si="39"/>
        <v>2.3921568791818958E-2</v>
      </c>
      <c r="Y207" s="10">
        <f t="shared" si="40"/>
        <v>2.5556264179907761E-2</v>
      </c>
      <c r="Z207" s="10">
        <f t="shared" si="41"/>
        <v>1.7689071438669091E-2</v>
      </c>
      <c r="AA207" s="10">
        <f t="shared" si="42"/>
        <v>8.6475008702286017E-3</v>
      </c>
    </row>
    <row r="208" spans="1:27">
      <c r="A208" s="66">
        <v>9.8000000000000007</v>
      </c>
      <c r="B208" s="10">
        <f t="shared" si="33"/>
        <v>0.99255700277408654</v>
      </c>
      <c r="C208" s="10">
        <f t="shared" si="34"/>
        <v>0.51527488932378041</v>
      </c>
      <c r="D208" s="66">
        <f t="shared" si="43"/>
        <v>2</v>
      </c>
      <c r="E208" s="10">
        <f t="shared" si="35"/>
        <v>1.7047989991732026E-2</v>
      </c>
      <c r="K208" s="10">
        <f t="shared" si="36"/>
        <v>0.61993316269405085</v>
      </c>
      <c r="L208" s="10">
        <f t="shared" si="37"/>
        <v>2.0510633396128915E-2</v>
      </c>
      <c r="R208" s="10">
        <f t="shared" si="38"/>
        <v>0.35961252372214586</v>
      </c>
      <c r="S208" s="10">
        <f t="shared" si="39"/>
        <v>1.1897864290189276E-2</v>
      </c>
      <c r="Y208" s="10">
        <f t="shared" si="40"/>
        <v>1.2715221830120419E-2</v>
      </c>
      <c r="Z208" s="10">
        <f t="shared" si="41"/>
        <v>8.7844011561826352E-3</v>
      </c>
      <c r="AA208" s="10">
        <f t="shared" si="42"/>
        <v>4.2786210042985631E-3</v>
      </c>
    </row>
    <row r="209" spans="1:27">
      <c r="A209" s="66">
        <v>9.85</v>
      </c>
      <c r="B209" s="10">
        <f t="shared" si="33"/>
        <v>0.99250074208781791</v>
      </c>
      <c r="C209" s="10">
        <f t="shared" si="34"/>
        <v>0.51353469433419952</v>
      </c>
      <c r="D209" s="66">
        <f t="shared" si="43"/>
        <v>4</v>
      </c>
      <c r="E209" s="10">
        <f t="shared" si="35"/>
        <v>3.3978904347635584E-2</v>
      </c>
      <c r="K209" s="10">
        <f t="shared" si="36"/>
        <v>0.61842267382904925</v>
      </c>
      <c r="L209" s="10">
        <f t="shared" si="37"/>
        <v>4.0918997513284268E-2</v>
      </c>
      <c r="R209" s="10">
        <f t="shared" si="38"/>
        <v>0.35774095247444671</v>
      </c>
      <c r="S209" s="10">
        <f t="shared" si="39"/>
        <v>2.3670544053739414E-2</v>
      </c>
      <c r="Y209" s="10">
        <f t="shared" si="40"/>
        <v>2.5305235852569476E-2</v>
      </c>
      <c r="Z209" s="10">
        <f t="shared" si="41"/>
        <v>1.7449346257974042E-2</v>
      </c>
      <c r="AA209" s="10">
        <f t="shared" si="42"/>
        <v>8.4679229753730888E-3</v>
      </c>
    </row>
    <row r="210" spans="1:27">
      <c r="A210" s="66">
        <v>9.9</v>
      </c>
      <c r="B210" s="10">
        <f t="shared" si="33"/>
        <v>0.99244421882230649</v>
      </c>
      <c r="C210" s="10">
        <f t="shared" si="34"/>
        <v>0.51180037636029418</v>
      </c>
      <c r="D210" s="66">
        <f t="shared" si="43"/>
        <v>2</v>
      </c>
      <c r="E210" s="10">
        <f t="shared" si="35"/>
        <v>1.6931110823661822E-2</v>
      </c>
      <c r="K210" s="10">
        <f t="shared" si="36"/>
        <v>0.61691586532307419</v>
      </c>
      <c r="L210" s="10">
        <f t="shared" si="37"/>
        <v>2.0408486134654853E-2</v>
      </c>
      <c r="R210" s="10">
        <f t="shared" si="38"/>
        <v>0.35587912165207802</v>
      </c>
      <c r="S210" s="10">
        <f t="shared" si="39"/>
        <v>1.1773005896105505E-2</v>
      </c>
      <c r="Y210" s="10">
        <f t="shared" si="40"/>
        <v>1.259031888369456E-2</v>
      </c>
      <c r="Z210" s="10">
        <f t="shared" si="41"/>
        <v>8.6653488917479704E-3</v>
      </c>
      <c r="AA210" s="10">
        <f t="shared" si="42"/>
        <v>4.1897669975107634E-3</v>
      </c>
    </row>
    <row r="211" spans="1:27">
      <c r="A211" s="66">
        <v>9.9499999999999993</v>
      </c>
      <c r="B211" s="10">
        <f t="shared" si="33"/>
        <v>0.99238743146498776</v>
      </c>
      <c r="C211" s="10">
        <f t="shared" si="34"/>
        <v>0.51007191555410847</v>
      </c>
      <c r="D211" s="66">
        <f t="shared" si="43"/>
        <v>4</v>
      </c>
      <c r="E211" s="10">
        <f t="shared" si="35"/>
        <v>3.3745930542611192E-2</v>
      </c>
      <c r="K211" s="10">
        <f t="shared" si="36"/>
        <v>0.61541272820880244</v>
      </c>
      <c r="L211" s="10">
        <f t="shared" si="37"/>
        <v>4.0715190442532939E-2</v>
      </c>
      <c r="R211" s="10">
        <f t="shared" si="38"/>
        <v>0.35402698056186654</v>
      </c>
      <c r="S211" s="10">
        <f t="shared" si="39"/>
        <v>2.3422128393939728E-2</v>
      </c>
      <c r="Y211" s="10">
        <f t="shared" si="40"/>
        <v>2.5056646429780154E-2</v>
      </c>
      <c r="Z211" s="10">
        <f t="shared" si="41"/>
        <v>1.7212851434025588E-2</v>
      </c>
      <c r="AA211" s="10">
        <f t="shared" si="42"/>
        <v>8.2920653936388432E-3</v>
      </c>
    </row>
    <row r="212" spans="1:27">
      <c r="A212" s="66">
        <v>10</v>
      </c>
      <c r="B212" s="10">
        <f t="shared" si="33"/>
        <v>0.99233037849473205</v>
      </c>
      <c r="C212" s="10">
        <f t="shared" si="34"/>
        <v>0.5083492921347178</v>
      </c>
      <c r="D212" s="66">
        <f t="shared" si="43"/>
        <v>2</v>
      </c>
      <c r="E212" s="10">
        <f t="shared" si="35"/>
        <v>1.6815014849052453E-2</v>
      </c>
      <c r="K212" s="10">
        <f t="shared" si="36"/>
        <v>0.61391325354075932</v>
      </c>
      <c r="L212" s="10">
        <f t="shared" si="37"/>
        <v>2.0306825708301134E-2</v>
      </c>
      <c r="R212" s="10">
        <f t="shared" si="38"/>
        <v>0.3521844787744669</v>
      </c>
      <c r="S212" s="10">
        <f t="shared" si="39"/>
        <v>1.1649445237407888E-2</v>
      </c>
      <c r="Y212" s="10">
        <f t="shared" si="40"/>
        <v>1.2466629439668283E-2</v>
      </c>
      <c r="Z212" s="10">
        <f t="shared" si="41"/>
        <v>8.5479008957505837E-3</v>
      </c>
      <c r="AA212" s="10">
        <f t="shared" si="42"/>
        <v>4.102753798948193E-3</v>
      </c>
    </row>
    <row r="213" spans="1:27">
      <c r="A213" s="66">
        <v>10.050000000000001</v>
      </c>
      <c r="B213" s="10">
        <f t="shared" si="33"/>
        <v>0.99227305838179791</v>
      </c>
      <c r="C213" s="10">
        <f t="shared" si="34"/>
        <v>0.50663248638800085</v>
      </c>
      <c r="D213" s="66">
        <f t="shared" si="43"/>
        <v>4</v>
      </c>
      <c r="E213" s="10">
        <f t="shared" si="35"/>
        <v>3.351451778291975E-2</v>
      </c>
      <c r="K213" s="10">
        <f t="shared" si="36"/>
        <v>0.6124174323952658</v>
      </c>
      <c r="L213" s="10">
        <f t="shared" si="37"/>
        <v>4.0512354576611898E-2</v>
      </c>
      <c r="R213" s="10">
        <f t="shared" si="38"/>
        <v>0.35035156612298901</v>
      </c>
      <c r="S213" s="10">
        <f t="shared" si="39"/>
        <v>2.3176294668380736E-2</v>
      </c>
      <c r="Y213" s="10">
        <f t="shared" si="40"/>
        <v>2.4810472170095254E-2</v>
      </c>
      <c r="Z213" s="10">
        <f t="shared" si="41"/>
        <v>1.6979543474455502E-2</v>
      </c>
      <c r="AA213" s="10">
        <f t="shared" si="42"/>
        <v>8.1198511339950711E-3</v>
      </c>
    </row>
    <row r="214" spans="1:27">
      <c r="A214" s="66">
        <v>10.1</v>
      </c>
      <c r="B214" s="10">
        <f t="shared" si="33"/>
        <v>0.99221546958778695</v>
      </c>
      <c r="C214" s="10">
        <f t="shared" si="34"/>
        <v>0.5049214786664169</v>
      </c>
      <c r="D214" s="66">
        <f t="shared" si="43"/>
        <v>2</v>
      </c>
      <c r="E214" s="10">
        <f t="shared" si="35"/>
        <v>1.6699696735331952E-2</v>
      </c>
      <c r="K214" s="10">
        <f t="shared" si="36"/>
        <v>0.61092525587038704</v>
      </c>
      <c r="L214" s="10">
        <f t="shared" si="37"/>
        <v>2.0205649654549164E-2</v>
      </c>
      <c r="R214" s="10">
        <f t="shared" si="38"/>
        <v>0.34852819270163182</v>
      </c>
      <c r="S214" s="10">
        <f t="shared" si="39"/>
        <v>1.1527168812867743E-2</v>
      </c>
      <c r="Y214" s="10">
        <f t="shared" si="40"/>
        <v>1.2344141685232846E-2</v>
      </c>
      <c r="Z214" s="10">
        <f t="shared" si="41"/>
        <v>8.4320355688845446E-3</v>
      </c>
      <c r="AA214" s="10">
        <f t="shared" si="42"/>
        <v>4.0175433133154094E-3</v>
      </c>
    </row>
    <row r="215" spans="1:27">
      <c r="A215" s="66">
        <v>10.15</v>
      </c>
      <c r="B215" s="10">
        <f t="shared" si="33"/>
        <v>0.99215761056559482</v>
      </c>
      <c r="C215" s="10">
        <f t="shared" si="34"/>
        <v>0.50321624938877796</v>
      </c>
      <c r="D215" s="66">
        <f t="shared" si="43"/>
        <v>4</v>
      </c>
      <c r="E215" s="10">
        <f t="shared" si="35"/>
        <v>3.3284655439423362E-2</v>
      </c>
      <c r="K215" s="10">
        <f t="shared" si="36"/>
        <v>0.60943671508587671</v>
      </c>
      <c r="L215" s="10">
        <f t="shared" si="37"/>
        <v>4.0310485002036579E-2</v>
      </c>
      <c r="R215" s="10">
        <f t="shared" si="38"/>
        <v>0.34671430886432442</v>
      </c>
      <c r="S215" s="10">
        <f t="shared" si="39"/>
        <v>2.2933016015448653E-2</v>
      </c>
      <c r="Y215" s="10">
        <f t="shared" si="40"/>
        <v>2.4566689563159674E-2</v>
      </c>
      <c r="Z215" s="10">
        <f t="shared" si="41"/>
        <v>1.674937947242441E-2</v>
      </c>
      <c r="AA215" s="10">
        <f t="shared" si="42"/>
        <v>7.9512047979707623E-3</v>
      </c>
    </row>
    <row r="216" spans="1:27">
      <c r="A216" s="66">
        <v>10.199999999999999</v>
      </c>
      <c r="B216" s="10">
        <f t="shared" si="33"/>
        <v>0.99209947975936386</v>
      </c>
      <c r="C216" s="10">
        <f t="shared" si="34"/>
        <v>0.50151677904002634</v>
      </c>
      <c r="D216" s="66">
        <f t="shared" si="43"/>
        <v>2</v>
      </c>
      <c r="E216" s="10">
        <f t="shared" si="35"/>
        <v>1.6585151185873399E-2</v>
      </c>
      <c r="K216" s="10">
        <f t="shared" si="36"/>
        <v>0.60795180118312642</v>
      </c>
      <c r="L216" s="10">
        <f t="shared" si="37"/>
        <v>2.0104955522418262E-2</v>
      </c>
      <c r="R216" s="10">
        <f t="shared" si="38"/>
        <v>0.34490986522337463</v>
      </c>
      <c r="S216" s="10">
        <f t="shared" si="39"/>
        <v>1.140616326173274E-2</v>
      </c>
      <c r="Y216" s="10">
        <f t="shared" si="40"/>
        <v>1.2222843922560827E-2</v>
      </c>
      <c r="Z216" s="10">
        <f t="shared" si="41"/>
        <v>8.3177316026310996E-3</v>
      </c>
      <c r="AA216" s="10">
        <f t="shared" si="42"/>
        <v>3.9340982333200469E-3</v>
      </c>
    </row>
    <row r="217" spans="1:27">
      <c r="A217" s="66">
        <v>10.25</v>
      </c>
      <c r="B217" s="10">
        <f t="shared" si="33"/>
        <v>0.992041075604436</v>
      </c>
      <c r="C217" s="10">
        <f t="shared" si="34"/>
        <v>0.49982304817101086</v>
      </c>
      <c r="D217" s="66">
        <f t="shared" si="43"/>
        <v>4</v>
      </c>
      <c r="E217" s="10">
        <f t="shared" si="35"/>
        <v>3.30563329546305E-2</v>
      </c>
      <c r="K217" s="10">
        <f t="shared" si="36"/>
        <v>0.60647050532511138</v>
      </c>
      <c r="L217" s="10">
        <f t="shared" si="37"/>
        <v>4.0109576828339294E-2</v>
      </c>
      <c r="R217" s="10">
        <f t="shared" si="38"/>
        <v>0.34311481264812382</v>
      </c>
      <c r="S217" s="10">
        <f t="shared" si="39"/>
        <v>2.2692265853017292E-2</v>
      </c>
      <c r="Y217" s="10">
        <f t="shared" si="40"/>
        <v>2.432527532745931E-2</v>
      </c>
      <c r="Z217" s="10">
        <f t="shared" si="41"/>
        <v>1.6522317098739255E-2</v>
      </c>
      <c r="AA217" s="10">
        <f t="shared" si="42"/>
        <v>7.7860525467194457E-3</v>
      </c>
    </row>
    <row r="218" spans="1:27">
      <c r="A218" s="66">
        <v>10.3</v>
      </c>
      <c r="B218" s="10">
        <f t="shared" si="33"/>
        <v>0.99198239652730447</v>
      </c>
      <c r="C218" s="10">
        <f t="shared" si="34"/>
        <v>0.49813503739826437</v>
      </c>
      <c r="D218" s="66">
        <f t="shared" si="43"/>
        <v>2</v>
      </c>
      <c r="E218" s="10">
        <f t="shared" si="35"/>
        <v>1.6471372939751625E-2</v>
      </c>
      <c r="K218" s="10">
        <f t="shared" si="36"/>
        <v>0.60499281869633914</v>
      </c>
      <c r="L218" s="10">
        <f t="shared" si="37"/>
        <v>2.0004740872406786E-2</v>
      </c>
      <c r="R218" s="10">
        <f t="shared" si="38"/>
        <v>0.34132910226360991</v>
      </c>
      <c r="S218" s="10">
        <f t="shared" si="39"/>
        <v>1.1286415362265639E-2</v>
      </c>
      <c r="Y218" s="10">
        <f t="shared" si="40"/>
        <v>1.2102724567687243E-2</v>
      </c>
      <c r="Z218" s="10">
        <f t="shared" si="41"/>
        <v>8.2049679753439363E-3</v>
      </c>
      <c r="AA218" s="10">
        <f t="shared" si="42"/>
        <v>3.8523820233763461E-3</v>
      </c>
    </row>
    <row r="219" spans="1:27">
      <c r="A219" s="66">
        <v>10.35</v>
      </c>
      <c r="B219" s="10">
        <f t="shared" si="33"/>
        <v>0.9919234409455655</v>
      </c>
      <c r="C219" s="10">
        <f t="shared" si="34"/>
        <v>0.49645272740378205</v>
      </c>
      <c r="D219" s="66">
        <f t="shared" si="43"/>
        <v>4</v>
      </c>
      <c r="E219" s="10">
        <f t="shared" si="35"/>
        <v>3.2829539842211354E-2</v>
      </c>
      <c r="K219" s="10">
        <f t="shared" si="36"/>
        <v>0.60351873250279608</v>
      </c>
      <c r="L219" s="10">
        <f t="shared" si="37"/>
        <v>3.9909625187951984E-2</v>
      </c>
      <c r="R219" s="10">
        <f t="shared" si="38"/>
        <v>0.33955268544923584</v>
      </c>
      <c r="S219" s="10">
        <f t="shared" si="39"/>
        <v>2.2454017875540886E-2</v>
      </c>
      <c r="Y219" s="10">
        <f t="shared" si="40"/>
        <v>2.4086206408094446E-2</v>
      </c>
      <c r="Z219" s="10">
        <f t="shared" si="41"/>
        <v>1.6298314594076956E-2</v>
      </c>
      <c r="AA219" s="10">
        <f t="shared" si="42"/>
        <v>7.6243220687650529E-3</v>
      </c>
    </row>
    <row r="220" spans="1:27">
      <c r="A220" s="66">
        <v>10.4</v>
      </c>
      <c r="B220" s="10">
        <f t="shared" si="33"/>
        <v>0.99186420726787061</v>
      </c>
      <c r="C220" s="10">
        <f t="shared" si="34"/>
        <v>0.49477609893480007</v>
      </c>
      <c r="D220" s="66">
        <f t="shared" si="43"/>
        <v>2</v>
      </c>
      <c r="E220" s="10">
        <f t="shared" si="35"/>
        <v>1.6358356771501836E-2</v>
      </c>
      <c r="K220" s="10">
        <f t="shared" si="36"/>
        <v>0.60204823797189555</v>
      </c>
      <c r="L220" s="10">
        <f t="shared" si="37"/>
        <v>1.9905003276433752E-2</v>
      </c>
      <c r="R220" s="10">
        <f t="shared" si="38"/>
        <v>0.33778551383744609</v>
      </c>
      <c r="S220" s="10">
        <f t="shared" si="39"/>
        <v>1.1167912030298295E-2</v>
      </c>
      <c r="Y220" s="10">
        <f t="shared" si="40"/>
        <v>1.1983772149401748E-2</v>
      </c>
      <c r="Z220" s="10">
        <f t="shared" si="41"/>
        <v>8.0937239483873484E-3</v>
      </c>
      <c r="AA220" s="10">
        <f t="shared" si="42"/>
        <v>3.7723589036457055E-3</v>
      </c>
    </row>
    <row r="221" spans="1:27">
      <c r="A221" s="66">
        <v>10.45</v>
      </c>
      <c r="B221" s="10">
        <f t="shared" si="33"/>
        <v>0.99180469389387615</v>
      </c>
      <c r="C221" s="10">
        <f t="shared" si="34"/>
        <v>0.49310513280357504</v>
      </c>
      <c r="D221" s="66">
        <f t="shared" si="43"/>
        <v>4</v>
      </c>
      <c r="E221" s="10">
        <f t="shared" si="35"/>
        <v>3.2604265686516594E-2</v>
      </c>
      <c r="K221" s="10">
        <f t="shared" si="36"/>
        <v>0.60058132635242611</v>
      </c>
      <c r="L221" s="10">
        <f t="shared" si="37"/>
        <v>3.9710625236089737E-2</v>
      </c>
      <c r="R221" s="10">
        <f t="shared" si="38"/>
        <v>0.33602753931241014</v>
      </c>
      <c r="S221" s="10">
        <f t="shared" si="39"/>
        <v>2.2218246051177157E-2</v>
      </c>
      <c r="Y221" s="10">
        <f t="shared" si="40"/>
        <v>2.38494599745749E-2</v>
      </c>
      <c r="Z221" s="10">
        <f t="shared" si="41"/>
        <v>1.6077330761312809E-2</v>
      </c>
      <c r="AA221" s="10">
        <f t="shared" si="42"/>
        <v>7.4659425484147335E-3</v>
      </c>
    </row>
    <row r="222" spans="1:27">
      <c r="A222" s="66">
        <v>10.5</v>
      </c>
      <c r="B222" s="10">
        <f t="shared" si="33"/>
        <v>0.99174489921419662</v>
      </c>
      <c r="C222" s="10">
        <f t="shared" si="34"/>
        <v>0.49143980988716524</v>
      </c>
      <c r="D222" s="66">
        <f t="shared" si="43"/>
        <v>2</v>
      </c>
      <c r="E222" s="10">
        <f t="shared" si="35"/>
        <v>1.6246097490879689E-2</v>
      </c>
      <c r="K222" s="10">
        <f t="shared" si="36"/>
        <v>0.59911798891449808</v>
      </c>
      <c r="L222" s="10">
        <f t="shared" si="37"/>
        <v>1.9805740317780703E-2</v>
      </c>
      <c r="R222" s="10">
        <f t="shared" si="38"/>
        <v>0.33427871400871156</v>
      </c>
      <c r="S222" s="10">
        <f t="shared" si="39"/>
        <v>1.1050640317800698E-2</v>
      </c>
      <c r="Y222" s="10">
        <f t="shared" si="40"/>
        <v>1.1865975308151568E-2</v>
      </c>
      <c r="Z222" s="10">
        <f t="shared" si="41"/>
        <v>7.9839790623262661E-3</v>
      </c>
      <c r="AA222" s="10">
        <f t="shared" si="42"/>
        <v>3.6939938344072369E-3</v>
      </c>
    </row>
    <row r="223" spans="1:27">
      <c r="A223" s="66">
        <v>10.55</v>
      </c>
      <c r="B223" s="10">
        <f t="shared" si="33"/>
        <v>0.99168482161035365</v>
      </c>
      <c r="C223" s="10">
        <f t="shared" si="34"/>
        <v>0.48978011112721093</v>
      </c>
      <c r="D223" s="66">
        <f t="shared" si="43"/>
        <v>4</v>
      </c>
      <c r="E223" s="10">
        <f t="shared" si="35"/>
        <v>3.2380500142099158E-2</v>
      </c>
      <c r="K223" s="10">
        <f t="shared" si="36"/>
        <v>0.59765821694949328</v>
      </c>
      <c r="L223" s="10">
        <f t="shared" si="37"/>
        <v>3.9512572150634688E-2</v>
      </c>
      <c r="R223" s="10">
        <f t="shared" si="38"/>
        <v>0.33253899031004536</v>
      </c>
      <c r="S223" s="10">
        <f t="shared" si="39"/>
        <v>2.1984924618940298E-2</v>
      </c>
      <c r="Y223" s="10">
        <f t="shared" si="40"/>
        <v>2.3615013418636532E-2</v>
      </c>
      <c r="Z223" s="10">
        <f t="shared" si="41"/>
        <v>1.5859324957951997E-2</v>
      </c>
      <c r="AA223" s="10">
        <f t="shared" si="42"/>
        <v>7.3108446348248649E-3</v>
      </c>
    </row>
    <row r="224" spans="1:27">
      <c r="A224" s="66">
        <v>10.6</v>
      </c>
      <c r="B224" s="10">
        <f t="shared" si="33"/>
        <v>0.99162445945472755</v>
      </c>
      <c r="C224" s="10">
        <f t="shared" si="34"/>
        <v>0.48812601752971679</v>
      </c>
      <c r="D224" s="66">
        <f t="shared" si="43"/>
        <v>2</v>
      </c>
      <c r="E224" s="10">
        <f t="shared" si="35"/>
        <v>1.6134589942623144E-2</v>
      </c>
      <c r="K224" s="10">
        <f t="shared" si="36"/>
        <v>0.59620200177001204</v>
      </c>
      <c r="L224" s="10">
        <f t="shared" si="37"/>
        <v>1.9706949591033824E-2</v>
      </c>
      <c r="R224" s="10">
        <f t="shared" si="38"/>
        <v>0.33080832084792167</v>
      </c>
      <c r="S224" s="10">
        <f t="shared" si="39"/>
        <v>1.093458741146488E-2</v>
      </c>
      <c r="Y224" s="10">
        <f t="shared" si="40"/>
        <v>1.1749322794955086E-2</v>
      </c>
      <c r="Z224" s="10">
        <f t="shared" si="41"/>
        <v>7.8757131331676569E-3</v>
      </c>
      <c r="AA224" s="10">
        <f t="shared" si="42"/>
        <v>3.6172525007515193E-3</v>
      </c>
    </row>
    <row r="225" spans="1:27">
      <c r="A225" s="66">
        <v>10.65</v>
      </c>
      <c r="B225" s="10">
        <f t="shared" si="33"/>
        <v>0.99156381111050751</v>
      </c>
      <c r="C225" s="10">
        <f t="shared" si="34"/>
        <v>0.48647751016483426</v>
      </c>
      <c r="D225" s="66">
        <f t="shared" si="43"/>
        <v>4</v>
      </c>
      <c r="E225" s="10">
        <f t="shared" si="35"/>
        <v>3.2158232933239585E-2</v>
      </c>
      <c r="K225" s="10">
        <f t="shared" si="36"/>
        <v>0.5947493347098215</v>
      </c>
      <c r="L225" s="10">
        <f t="shared" si="37"/>
        <v>3.931546113202064E-2</v>
      </c>
      <c r="R225" s="10">
        <f t="shared" si="38"/>
        <v>0.32908665850037505</v>
      </c>
      <c r="S225" s="10">
        <f t="shared" si="39"/>
        <v>2.1754028085883604E-2</v>
      </c>
      <c r="Y225" s="10">
        <f t="shared" si="40"/>
        <v>2.3382844352079123E-2</v>
      </c>
      <c r="Z225" s="10">
        <f t="shared" si="41"/>
        <v>1.5644257088663169E-2</v>
      </c>
      <c r="AA225" s="10">
        <f t="shared" si="42"/>
        <v>7.1589604117067449E-3</v>
      </c>
    </row>
    <row r="226" spans="1:27">
      <c r="A226" s="66">
        <v>10.7</v>
      </c>
      <c r="B226" s="10">
        <f t="shared" si="33"/>
        <v>0.99150287493164124</v>
      </c>
      <c r="C226" s="10">
        <f t="shared" si="34"/>
        <v>0.48483457016664488</v>
      </c>
      <c r="D226" s="66">
        <f t="shared" si="43"/>
        <v>2</v>
      </c>
      <c r="E226" s="10">
        <f t="shared" si="35"/>
        <v>1.6023829006215833E-2</v>
      </c>
      <c r="K226" s="10">
        <f t="shared" si="36"/>
        <v>0.59330020712380516</v>
      </c>
      <c r="L226" s="10">
        <f t="shared" si="37"/>
        <v>1.9608628702026371E-2</v>
      </c>
      <c r="R226" s="10">
        <f t="shared" si="38"/>
        <v>0.32737395639068279</v>
      </c>
      <c r="S226" s="10">
        <f t="shared" si="39"/>
        <v>1.0819740631303592E-2</v>
      </c>
      <c r="Y226" s="10">
        <f t="shared" si="40"/>
        <v>1.1633803470326037E-2</v>
      </c>
      <c r="Z226" s="10">
        <f t="shared" si="41"/>
        <v>7.76890624865247E-3</v>
      </c>
      <c r="AA226" s="10">
        <f t="shared" si="42"/>
        <v>3.5421012975908809E-3</v>
      </c>
    </row>
    <row r="227" spans="1:27">
      <c r="A227" s="66">
        <v>10.75</v>
      </c>
      <c r="B227" s="10">
        <f t="shared" si="33"/>
        <v>0.99144164926278544</v>
      </c>
      <c r="C227" s="10">
        <f t="shared" si="34"/>
        <v>0.4831971787329446</v>
      </c>
      <c r="D227" s="66">
        <f t="shared" si="43"/>
        <v>4</v>
      </c>
      <c r="E227" s="10">
        <f t="shared" si="35"/>
        <v>3.1937453853474372E-2</v>
      </c>
      <c r="K227" s="10">
        <f t="shared" si="36"/>
        <v>0.59185461038790999</v>
      </c>
      <c r="L227" s="10">
        <f t="shared" si="37"/>
        <v>3.9119287403118187E-2</v>
      </c>
      <c r="R227" s="10">
        <f t="shared" si="38"/>
        <v>0.32567016788608744</v>
      </c>
      <c r="S227" s="10">
        <f t="shared" si="39"/>
        <v>2.1525531224311386E-2</v>
      </c>
      <c r="Y227" s="10">
        <f t="shared" si="40"/>
        <v>2.3152930604625189E-2</v>
      </c>
      <c r="Z227" s="10">
        <f t="shared" si="41"/>
        <v>1.5432087597912427E-2</v>
      </c>
      <c r="AA227" s="10">
        <f t="shared" si="42"/>
        <v>7.0102233676587059E-3</v>
      </c>
    </row>
    <row r="228" spans="1:27">
      <c r="A228" s="66">
        <v>10.8</v>
      </c>
      <c r="B228" s="10">
        <f t="shared" si="33"/>
        <v>0.99138013243925449</v>
      </c>
      <c r="C228" s="10">
        <f t="shared" si="34"/>
        <v>0.48156531712502842</v>
      </c>
      <c r="D228" s="66">
        <f t="shared" si="43"/>
        <v>2</v>
      </c>
      <c r="E228" s="10">
        <f t="shared" si="35"/>
        <v>1.5913809595652074E-2</v>
      </c>
      <c r="K228" s="10">
        <f t="shared" si="36"/>
        <v>0.59041253589909592</v>
      </c>
      <c r="L228" s="10">
        <f t="shared" si="37"/>
        <v>1.9510775267781392E-2</v>
      </c>
      <c r="R228" s="10">
        <f t="shared" si="38"/>
        <v>0.32397524659652771</v>
      </c>
      <c r="S228" s="10">
        <f t="shared" si="39"/>
        <v>1.0706087429263525E-2</v>
      </c>
      <c r="Y228" s="10">
        <f t="shared" si="40"/>
        <v>1.1519406303208173E-2</v>
      </c>
      <c r="Z228" s="10">
        <f t="shared" si="41"/>
        <v>7.6635387645975113E-3</v>
      </c>
      <c r="AA228" s="10">
        <f t="shared" si="42"/>
        <v>3.4685073149796361E-3</v>
      </c>
    </row>
    <row r="229" spans="1:27">
      <c r="A229" s="66">
        <v>10.85</v>
      </c>
      <c r="B229" s="10">
        <f t="shared" si="33"/>
        <v>0.99131832278697107</v>
      </c>
      <c r="C229" s="10">
        <f t="shared" si="34"/>
        <v>0.47993896666747621</v>
      </c>
      <c r="D229" s="66">
        <f t="shared" si="43"/>
        <v>4</v>
      </c>
      <c r="E229" s="10">
        <f t="shared" si="35"/>
        <v>3.1718152765127634E-2</v>
      </c>
      <c r="K229" s="10">
        <f t="shared" si="36"/>
        <v>0.58897397507528493</v>
      </c>
      <c r="L229" s="10">
        <f t="shared" si="37"/>
        <v>3.8924046209120447E-2</v>
      </c>
      <c r="R229" s="10">
        <f t="shared" si="38"/>
        <v>0.32228914637337541</v>
      </c>
      <c r="S229" s="10">
        <f t="shared" si="39"/>
        <v>2.1299409069019941E-2</v>
      </c>
      <c r="Y229" s="10">
        <f t="shared" si="40"/>
        <v>2.2925250221799746E-2</v>
      </c>
      <c r="Z229" s="10">
        <f t="shared" si="41"/>
        <v>1.5222777462696509E-2</v>
      </c>
      <c r="AA229" s="10">
        <f t="shared" si="42"/>
        <v>6.8645683671117678E-3</v>
      </c>
    </row>
    <row r="230" spans="1:27">
      <c r="A230" s="66">
        <v>10.9</v>
      </c>
      <c r="B230" s="10">
        <f t="shared" si="33"/>
        <v>0.99125621862241431</v>
      </c>
      <c r="C230" s="10">
        <f t="shared" si="34"/>
        <v>0.4783181087479384</v>
      </c>
      <c r="D230" s="66">
        <f t="shared" si="43"/>
        <v>2</v>
      </c>
      <c r="E230" s="10">
        <f t="shared" si="35"/>
        <v>1.5804526659203538E-2</v>
      </c>
      <c r="K230" s="10">
        <f t="shared" si="36"/>
        <v>0.58753891935530878</v>
      </c>
      <c r="L230" s="10">
        <f t="shared" si="37"/>
        <v>1.9413386916454767E-2</v>
      </c>
      <c r="R230" s="10">
        <f t="shared" si="38"/>
        <v>0.32061182130817839</v>
      </c>
      <c r="S230" s="10">
        <f t="shared" si="39"/>
        <v>1.0593615387853004E-2</v>
      </c>
      <c r="Y230" s="10">
        <f t="shared" si="40"/>
        <v>1.1406120369920324E-2</v>
      </c>
      <c r="Z230" s="10">
        <f t="shared" si="41"/>
        <v>7.5595913012866094E-3</v>
      </c>
      <c r="AA230" s="10">
        <f t="shared" si="42"/>
        <v>3.3964383237378962E-3</v>
      </c>
    </row>
    <row r="231" spans="1:27">
      <c r="A231" s="66">
        <v>10.95</v>
      </c>
      <c r="B231" s="10">
        <f t="shared" si="33"/>
        <v>0.99119381825256847</v>
      </c>
      <c r="C231" s="10">
        <f t="shared" si="34"/>
        <v>0.47670272481692377</v>
      </c>
      <c r="D231" s="66">
        <f t="shared" si="43"/>
        <v>4</v>
      </c>
      <c r="E231" s="10">
        <f t="shared" si="35"/>
        <v>3.1500319598846006E-2</v>
      </c>
      <c r="K231" s="10">
        <f t="shared" si="36"/>
        <v>0.58610736019885934</v>
      </c>
      <c r="L231" s="10">
        <f t="shared" si="37"/>
        <v>3.8729732817429391E-2</v>
      </c>
      <c r="R231" s="10">
        <f t="shared" si="38"/>
        <v>0.31894322573141126</v>
      </c>
      <c r="S231" s="10">
        <f t="shared" si="39"/>
        <v>2.1075636914567226E-2</v>
      </c>
      <c r="Y231" s="10">
        <f t="shared" si="40"/>
        <v>2.2699781462830672E-2</v>
      </c>
      <c r="Z231" s="10">
        <f t="shared" si="41"/>
        <v>1.5016288185373839E-2</v>
      </c>
      <c r="AA231" s="10">
        <f t="shared" si="42"/>
        <v>6.7219316218760788E-3</v>
      </c>
    </row>
    <row r="232" spans="1:27">
      <c r="A232" s="66">
        <v>11</v>
      </c>
      <c r="B232" s="10">
        <f t="shared" si="33"/>
        <v>0.99113111997487247</v>
      </c>
      <c r="C232" s="10">
        <f t="shared" si="34"/>
        <v>0.47509279638758667</v>
      </c>
      <c r="D232" s="66">
        <f t="shared" si="43"/>
        <v>2</v>
      </c>
      <c r="E232" s="10">
        <f t="shared" si="35"/>
        <v>1.5695975179187426E-2</v>
      </c>
      <c r="K232" s="10">
        <f t="shared" si="36"/>
        <v>0.5846792890864374</v>
      </c>
      <c r="L232" s="10">
        <f t="shared" si="37"/>
        <v>1.9316461287278427E-2</v>
      </c>
      <c r="R232" s="10">
        <f t="shared" si="38"/>
        <v>0.31728331421123146</v>
      </c>
      <c r="S232" s="10">
        <f t="shared" si="39"/>
        <v>1.0482312218783905E-2</v>
      </c>
      <c r="Y232" s="10">
        <f t="shared" si="40"/>
        <v>1.1293934853111641E-2</v>
      </c>
      <c r="Z232" s="10">
        <f t="shared" si="41"/>
        <v>7.4570447399103061E-3</v>
      </c>
      <c r="AA232" s="10">
        <f t="shared" si="42"/>
        <v>3.3258627613726444E-3</v>
      </c>
    </row>
    <row r="233" spans="1:27">
      <c r="A233" s="66">
        <v>11.05</v>
      </c>
      <c r="B233" s="10">
        <f t="shared" si="33"/>
        <v>0.99106812207716677</v>
      </c>
      <c r="C233" s="10">
        <f t="shared" si="34"/>
        <v>0.47348830503551487</v>
      </c>
      <c r="D233" s="66">
        <f t="shared" si="43"/>
        <v>4</v>
      </c>
      <c r="E233" s="10">
        <f t="shared" si="35"/>
        <v>3.1283944353136563E-2</v>
      </c>
      <c r="K233" s="10">
        <f t="shared" si="36"/>
        <v>0.58325469751930081</v>
      </c>
      <c r="L233" s="10">
        <f t="shared" si="37"/>
        <v>3.8536342517542628E-2</v>
      </c>
      <c r="R233" s="10">
        <f t="shared" si="38"/>
        <v>0.31563204155224234</v>
      </c>
      <c r="S233" s="10">
        <f t="shared" si="39"/>
        <v>2.085419031257087E-2</v>
      </c>
      <c r="Y233" s="10">
        <f t="shared" si="40"/>
        <v>2.2476502798569498E-2</v>
      </c>
      <c r="Z233" s="10">
        <f t="shared" si="41"/>
        <v>1.4812581786591998E-2</v>
      </c>
      <c r="AA233" s="10">
        <f t="shared" si="42"/>
        <v>6.5822506632757386E-3</v>
      </c>
    </row>
    <row r="234" spans="1:27">
      <c r="A234" s="66">
        <v>11.1</v>
      </c>
      <c r="B234" s="10">
        <f t="shared" si="33"/>
        <v>0.99100482283764346</v>
      </c>
      <c r="C234" s="10">
        <f t="shared" si="34"/>
        <v>0.47188923239852043</v>
      </c>
      <c r="D234" s="66">
        <f t="shared" si="43"/>
        <v>2</v>
      </c>
      <c r="E234" s="10">
        <f t="shared" si="35"/>
        <v>1.5588150171736244E-2</v>
      </c>
      <c r="K234" s="10">
        <f t="shared" si="36"/>
        <v>0.58183357701941618</v>
      </c>
      <c r="L234" s="10">
        <f t="shared" si="37"/>
        <v>1.9219996030503967E-2</v>
      </c>
      <c r="R234" s="10">
        <f t="shared" si="38"/>
        <v>0.31398936279426287</v>
      </c>
      <c r="S234" s="10">
        <f t="shared" si="39"/>
        <v>1.0372165761627769E-2</v>
      </c>
      <c r="Y234" s="10">
        <f t="shared" si="40"/>
        <v>1.1182839040727104E-2</v>
      </c>
      <c r="Z234" s="10">
        <f t="shared" si="41"/>
        <v>7.3558802190534806E-3</v>
      </c>
      <c r="AA234" s="10">
        <f t="shared" si="42"/>
        <v>3.2567497182899733E-3</v>
      </c>
    </row>
    <row r="235" spans="1:27">
      <c r="A235" s="66">
        <v>11.15</v>
      </c>
      <c r="B235" s="10">
        <f t="shared" si="33"/>
        <v>0.99094122052479228</v>
      </c>
      <c r="C235" s="10">
        <f t="shared" si="34"/>
        <v>0.47029556017642793</v>
      </c>
      <c r="D235" s="66">
        <f t="shared" si="43"/>
        <v>4</v>
      </c>
      <c r="E235" s="10">
        <f t="shared" si="35"/>
        <v>3.1069017093908025E-2</v>
      </c>
      <c r="K235" s="10">
        <f t="shared" si="36"/>
        <v>0.58041591912940638</v>
      </c>
      <c r="L235" s="10">
        <f t="shared" si="37"/>
        <v>3.834387062094087E-2</v>
      </c>
      <c r="R235" s="10">
        <f t="shared" si="38"/>
        <v>0.31235523321110309</v>
      </c>
      <c r="S235" s="10">
        <f t="shared" si="39"/>
        <v>2.0635045069034439E-2</v>
      </c>
      <c r="Y235" s="10">
        <f t="shared" si="40"/>
        <v>2.2255392909432438E-2</v>
      </c>
      <c r="Z235" s="10">
        <f t="shared" si="41"/>
        <v>1.4611620798310489E-2</v>
      </c>
      <c r="AA235" s="10">
        <f t="shared" si="42"/>
        <v>6.4454643148598749E-3</v>
      </c>
    </row>
    <row r="236" spans="1:27">
      <c r="A236" s="66">
        <v>11.2</v>
      </c>
      <c r="B236" s="10">
        <f t="shared" si="33"/>
        <v>0.99087731339734864</v>
      </c>
      <c r="C236" s="10">
        <f t="shared" si="34"/>
        <v>0.46870727013086577</v>
      </c>
      <c r="D236" s="66">
        <f t="shared" si="43"/>
        <v>2</v>
      </c>
      <c r="E236" s="10">
        <f t="shared" si="35"/>
        <v>1.5481046686569253E-2</v>
      </c>
      <c r="K236" s="10">
        <f t="shared" si="36"/>
        <v>0.57900171541250134</v>
      </c>
      <c r="L236" s="10">
        <f t="shared" si="37"/>
        <v>1.9123988807346518E-2</v>
      </c>
      <c r="R236" s="10">
        <f t="shared" si="38"/>
        <v>0.31072960830934648</v>
      </c>
      <c r="S236" s="10">
        <f t="shared" si="39"/>
        <v>1.0263163982485855E-2</v>
      </c>
      <c r="Y236" s="10">
        <f t="shared" si="40"/>
        <v>1.1072822324983109E-2</v>
      </c>
      <c r="Z236" s="10">
        <f t="shared" si="41"/>
        <v>7.2560791312303594E-3</v>
      </c>
      <c r="AA236" s="10">
        <f t="shared" si="42"/>
        <v>3.1890689242924223E-3</v>
      </c>
    </row>
    <row r="237" spans="1:27">
      <c r="A237" s="66">
        <v>11.25</v>
      </c>
      <c r="B237" s="10">
        <f t="shared" si="33"/>
        <v>0.9908130997042417</v>
      </c>
      <c r="C237" s="10">
        <f t="shared" si="34"/>
        <v>0.46712434408505682</v>
      </c>
      <c r="D237" s="66">
        <f t="shared" si="43"/>
        <v>4</v>
      </c>
      <c r="E237" s="10">
        <f t="shared" si="35"/>
        <v>3.0855527954015066E-2</v>
      </c>
      <c r="K237" s="10">
        <f t="shared" si="36"/>
        <v>0.57759095745248701</v>
      </c>
      <c r="L237" s="10">
        <f t="shared" si="37"/>
        <v>3.8152312460975966E-2</v>
      </c>
      <c r="R237" s="10">
        <f t="shared" si="38"/>
        <v>0.30911244382713859</v>
      </c>
      <c r="S237" s="10">
        <f t="shared" si="39"/>
        <v>2.0418177241701366E-2</v>
      </c>
      <c r="Y237" s="10">
        <f t="shared" si="40"/>
        <v>2.2036430683361561E-2</v>
      </c>
      <c r="Z237" s="10">
        <f t="shared" si="41"/>
        <v>1.4413368256917422E-2</v>
      </c>
      <c r="AA237" s="10">
        <f t="shared" si="42"/>
        <v>6.3115126656779728E-3</v>
      </c>
    </row>
    <row r="238" spans="1:27">
      <c r="A238" s="66">
        <v>11.3</v>
      </c>
      <c r="B238" s="10">
        <f t="shared" si="33"/>
        <v>0.99074857768454061</v>
      </c>
      <c r="C238" s="10">
        <f t="shared" si="34"/>
        <v>0.46554676392361155</v>
      </c>
      <c r="D238" s="66">
        <f t="shared" si="43"/>
        <v>2</v>
      </c>
      <c r="E238" s="10">
        <f t="shared" si="35"/>
        <v>1.5374659806765292E-2</v>
      </c>
      <c r="K238" s="10">
        <f t="shared" si="36"/>
        <v>0.57618363685365626</v>
      </c>
      <c r="L238" s="10">
        <f t="shared" si="37"/>
        <v>1.9028437289928861E-2</v>
      </c>
      <c r="R238" s="10">
        <f t="shared" si="38"/>
        <v>0.30750369573298186</v>
      </c>
      <c r="S238" s="10">
        <f t="shared" si="39"/>
        <v>1.0155294972673052E-2</v>
      </c>
      <c r="Y238" s="10">
        <f t="shared" si="40"/>
        <v>1.0963874201352941E-2</v>
      </c>
      <c r="Z238" s="10">
        <f t="shared" si="41"/>
        <v>7.1576231194660006E-3</v>
      </c>
      <c r="AA238" s="10">
        <f t="shared" si="42"/>
        <v>3.1227907353555346E-3</v>
      </c>
    </row>
    <row r="239" spans="1:27">
      <c r="A239" s="66">
        <v>11.35</v>
      </c>
      <c r="B239" s="10">
        <f t="shared" si="33"/>
        <v>0.99068374556740124</v>
      </c>
      <c r="C239" s="10">
        <f t="shared" si="34"/>
        <v>0.46397451159231962</v>
      </c>
      <c r="D239" s="66">
        <f t="shared" si="43"/>
        <v>4</v>
      </c>
      <c r="E239" s="10">
        <f t="shared" si="35"/>
        <v>3.0643467132805653E-2</v>
      </c>
      <c r="K239" s="10">
        <f t="shared" si="36"/>
        <v>0.57477974524075814</v>
      </c>
      <c r="L239" s="10">
        <f t="shared" si="37"/>
        <v>3.7961663392759394E-2</v>
      </c>
      <c r="R239" s="10">
        <f t="shared" si="38"/>
        <v>0.30590332022453676</v>
      </c>
      <c r="S239" s="10">
        <f t="shared" si="39"/>
        <v>2.0203563137436546E-2</v>
      </c>
      <c r="Y239" s="10">
        <f t="shared" si="40"/>
        <v>2.1819595213805658E-2</v>
      </c>
      <c r="Z239" s="10">
        <f t="shared" si="41"/>
        <v>1.4217787696438802E-2</v>
      </c>
      <c r="AA239" s="10">
        <f t="shared" si="42"/>
        <v>6.180337044107898E-3</v>
      </c>
    </row>
    <row r="240" spans="1:27">
      <c r="A240" s="66">
        <v>11.4</v>
      </c>
      <c r="B240" s="10">
        <f t="shared" si="33"/>
        <v>0.99061860157201342</v>
      </c>
      <c r="C240" s="10">
        <f t="shared" si="34"/>
        <v>0.46240756909794389</v>
      </c>
      <c r="D240" s="66">
        <f t="shared" si="43"/>
        <v>2</v>
      </c>
      <c r="E240" s="10">
        <f t="shared" si="35"/>
        <v>1.5268984648537312E-2</v>
      </c>
      <c r="K240" s="10">
        <f t="shared" si="36"/>
        <v>0.57337927425894819</v>
      </c>
      <c r="L240" s="10">
        <f t="shared" si="37"/>
        <v>1.8933339161225842E-2</v>
      </c>
      <c r="R240" s="10">
        <f t="shared" si="38"/>
        <v>0.30431127372742894</v>
      </c>
      <c r="S240" s="10">
        <f t="shared" si="39"/>
        <v>1.0048546947415462E-2</v>
      </c>
      <c r="Y240" s="10">
        <f t="shared" si="40"/>
        <v>1.0855984267562195E-2</v>
      </c>
      <c r="Z240" s="10">
        <f t="shared" si="41"/>
        <v>7.0604940739239612E-3</v>
      </c>
      <c r="AA240" s="10">
        <f t="shared" si="42"/>
        <v>3.0578861206778671E-3</v>
      </c>
    </row>
    <row r="241" spans="1:27">
      <c r="A241" s="66">
        <v>11.45</v>
      </c>
      <c r="B241" s="10">
        <f t="shared" si="33"/>
        <v>0.9905531439075469</v>
      </c>
      <c r="C241" s="10">
        <f t="shared" si="34"/>
        <v>0.46084591850801399</v>
      </c>
      <c r="D241" s="66">
        <f t="shared" si="43"/>
        <v>4</v>
      </c>
      <c r="E241" s="10">
        <f t="shared" si="35"/>
        <v>3.0432824895671631E-2</v>
      </c>
      <c r="K241" s="10">
        <f t="shared" si="36"/>
        <v>0.57198221557373918</v>
      </c>
      <c r="L241" s="10">
        <f t="shared" si="37"/>
        <v>3.7771918793051446E-2</v>
      </c>
      <c r="R241" s="10">
        <f t="shared" si="38"/>
        <v>0.30272751289406313</v>
      </c>
      <c r="S241" s="10">
        <f t="shared" si="39"/>
        <v>1.9991179309635117E-2</v>
      </c>
      <c r="Y241" s="10">
        <f t="shared" si="40"/>
        <v>2.1604865797720921E-2</v>
      </c>
      <c r="Z241" s="10">
        <f t="shared" si="41"/>
        <v>1.4024843141839348E-2</v>
      </c>
      <c r="AA241" s="10">
        <f t="shared" si="42"/>
        <v>6.0518799922250933E-3</v>
      </c>
    </row>
    <row r="242" spans="1:27">
      <c r="A242" s="66">
        <v>11.5</v>
      </c>
      <c r="B242" s="10">
        <f t="shared" si="33"/>
        <v>0.99048737077309679</v>
      </c>
      <c r="C242" s="10">
        <f t="shared" si="34"/>
        <v>0.45928954195062172</v>
      </c>
      <c r="D242" s="66">
        <f t="shared" si="43"/>
        <v>2</v>
      </c>
      <c r="E242" s="10">
        <f t="shared" si="35"/>
        <v>1.5164016361008377E-2</v>
      </c>
      <c r="K242" s="10">
        <f t="shared" si="36"/>
        <v>0.57058856087095067</v>
      </c>
      <c r="L242" s="10">
        <f t="shared" si="37"/>
        <v>1.88386921150091E-2</v>
      </c>
      <c r="R242" s="10">
        <f t="shared" si="38"/>
        <v>0.30115199460244274</v>
      </c>
      <c r="S242" s="10">
        <f t="shared" si="39"/>
        <v>9.9429082445615779E-3</v>
      </c>
      <c r="Y242" s="10">
        <f t="shared" si="40"/>
        <v>1.0749142222593969E-2</v>
      </c>
      <c r="Z242" s="10">
        <f t="shared" si="41"/>
        <v>6.9646741285792711E-3</v>
      </c>
      <c r="AA242" s="10">
        <f t="shared" si="42"/>
        <v>2.9943266499987916E-3</v>
      </c>
    </row>
    <row r="243" spans="1:27">
      <c r="A243" s="66">
        <v>11.55</v>
      </c>
      <c r="B243" s="10">
        <f t="shared" si="33"/>
        <v>0.99042128035762989</v>
      </c>
      <c r="C243" s="10">
        <f t="shared" si="34"/>
        <v>0.4577384216142158</v>
      </c>
      <c r="D243" s="66">
        <f t="shared" si="43"/>
        <v>4</v>
      </c>
      <c r="E243" s="10">
        <f t="shared" si="35"/>
        <v>3.0223591573602149E-2</v>
      </c>
      <c r="K243" s="10">
        <f t="shared" si="36"/>
        <v>0.56919830185666032</v>
      </c>
      <c r="L243" s="10">
        <f t="shared" si="37"/>
        <v>3.7583074060150816E-2</v>
      </c>
      <c r="R243" s="10">
        <f t="shared" si="38"/>
        <v>0.29958467595499583</v>
      </c>
      <c r="S243" s="10">
        <f t="shared" si="39"/>
        <v>1.9781002555658178E-2</v>
      </c>
      <c r="Y243" s="10">
        <f t="shared" si="40"/>
        <v>2.1392221933590944E-2</v>
      </c>
      <c r="Z243" s="10">
        <f t="shared" si="41"/>
        <v>1.3834499102413361E-2</v>
      </c>
      <c r="AA243" s="10">
        <f t="shared" si="42"/>
        <v>5.9260852407017998E-3</v>
      </c>
    </row>
    <row r="244" spans="1:27">
      <c r="A244" s="66">
        <v>11.6</v>
      </c>
      <c r="B244" s="10">
        <f t="shared" si="33"/>
        <v>0.99035487083993057</v>
      </c>
      <c r="C244" s="10">
        <f t="shared" si="34"/>
        <v>0.45619253974739887</v>
      </c>
      <c r="D244" s="66">
        <f t="shared" si="43"/>
        <v>2</v>
      </c>
      <c r="E244" s="10">
        <f t="shared" si="35"/>
        <v>1.5059750125989172E-2</v>
      </c>
      <c r="K244" s="10">
        <f t="shared" si="36"/>
        <v>0.56781143025715419</v>
      </c>
      <c r="L244" s="10">
        <f t="shared" si="37"/>
        <v>1.8744493855792008E-2</v>
      </c>
      <c r="R244" s="10">
        <f t="shared" si="38"/>
        <v>0.29802551427740681</v>
      </c>
      <c r="S244" s="10">
        <f t="shared" si="39"/>
        <v>9.8383673233068368E-3</v>
      </c>
      <c r="Y244" s="10">
        <f t="shared" si="40"/>
        <v>1.0643337865703699E-2</v>
      </c>
      <c r="Z244" s="10">
        <f t="shared" si="41"/>
        <v>6.870145657936211E-3</v>
      </c>
      <c r="AA244" s="10">
        <f t="shared" si="42"/>
        <v>2.9320844811785542E-3</v>
      </c>
    </row>
    <row r="245" spans="1:27">
      <c r="A245" s="66">
        <v>11.65</v>
      </c>
      <c r="B245" s="10">
        <f t="shared" si="33"/>
        <v>0.99028814038854507</v>
      </c>
      <c r="C245" s="10">
        <f t="shared" si="34"/>
        <v>0.45465187865872353</v>
      </c>
      <c r="D245" s="66">
        <f t="shared" si="43"/>
        <v>4</v>
      </c>
      <c r="E245" s="10">
        <f t="shared" si="35"/>
        <v>3.0015757562740386E-2</v>
      </c>
      <c r="K245" s="10">
        <f t="shared" si="36"/>
        <v>0.56642793781887768</v>
      </c>
      <c r="L245" s="10">
        <f t="shared" si="37"/>
        <v>3.739512461378499E-2</v>
      </c>
      <c r="R245" s="10">
        <f t="shared" si="38"/>
        <v>0.29647446711745495</v>
      </c>
      <c r="S245" s="10">
        <f t="shared" si="39"/>
        <v>1.9573009914295291E-2</v>
      </c>
      <c r="Y245" s="10">
        <f t="shared" si="40"/>
        <v>2.1181643319466186E-2</v>
      </c>
      <c r="Z245" s="10">
        <f t="shared" si="41"/>
        <v>1.3646720565264706E-2</v>
      </c>
      <c r="AA245" s="10">
        <f t="shared" si="42"/>
        <v>5.8028976842253591E-3</v>
      </c>
    </row>
    <row r="246" spans="1:27">
      <c r="A246" s="66">
        <v>11.7</v>
      </c>
      <c r="B246" s="10">
        <f t="shared" si="33"/>
        <v>0.99022108716172663</v>
      </c>
      <c r="C246" s="10">
        <f t="shared" si="34"/>
        <v>0.45311642071649055</v>
      </c>
      <c r="D246" s="66">
        <f t="shared" si="43"/>
        <v>2</v>
      </c>
      <c r="E246" s="10">
        <f t="shared" si="35"/>
        <v>1.4956181157757121E-2</v>
      </c>
      <c r="K246" s="10">
        <f t="shared" si="36"/>
        <v>0.56504781630838585</v>
      </c>
      <c r="L246" s="10">
        <f t="shared" si="37"/>
        <v>1.8650742098774986E-2</v>
      </c>
      <c r="R246" s="10">
        <f t="shared" si="38"/>
        <v>0.2949314922438584</v>
      </c>
      <c r="S246" s="10">
        <f t="shared" si="39"/>
        <v>9.7349127629314629E-3</v>
      </c>
      <c r="Y246" s="10">
        <f t="shared" si="40"/>
        <v>1.0538561095443688E-2</v>
      </c>
      <c r="Z246" s="10">
        <f t="shared" si="41"/>
        <v>6.7768912737903239E-3</v>
      </c>
      <c r="AA246" s="10">
        <f t="shared" si="42"/>
        <v>2.8711323480351591E-3</v>
      </c>
    </row>
    <row r="247" spans="1:27">
      <c r="A247" s="66">
        <v>11.75</v>
      </c>
      <c r="B247" s="10">
        <f t="shared" si="33"/>
        <v>0.99015370930738122</v>
      </c>
      <c r="C247" s="10">
        <f t="shared" si="34"/>
        <v>0.45158614834854632</v>
      </c>
      <c r="D247" s="66">
        <f t="shared" si="43"/>
        <v>4</v>
      </c>
      <c r="E247" s="10">
        <f t="shared" si="35"/>
        <v>2.9809313323943099E-2</v>
      </c>
      <c r="K247" s="10">
        <f t="shared" si="36"/>
        <v>0.56367105751229518</v>
      </c>
      <c r="L247" s="10">
        <f t="shared" si="37"/>
        <v>3.7208065895000884E-2</v>
      </c>
      <c r="R247" s="10">
        <f t="shared" si="38"/>
        <v>0.29339654764512374</v>
      </c>
      <c r="S247" s="10">
        <f t="shared" si="39"/>
        <v>1.9367178663253271E-2</v>
      </c>
      <c r="Y247" s="10">
        <f t="shared" si="40"/>
        <v>2.0973109851022312E-2</v>
      </c>
      <c r="Z247" s="10">
        <f t="shared" si="41"/>
        <v>1.3461472988874467E-2</v>
      </c>
      <c r="AA247" s="10">
        <f t="shared" si="42"/>
        <v>5.6822633574248119E-3</v>
      </c>
    </row>
    <row r="248" spans="1:27">
      <c r="A248" s="66">
        <v>11.8</v>
      </c>
      <c r="B248" s="10">
        <f t="shared" si="33"/>
        <v>0.99008600496301014</v>
      </c>
      <c r="C248" s="10">
        <f t="shared" si="34"/>
        <v>0.45006104404208264</v>
      </c>
      <c r="D248" s="66">
        <f t="shared" si="43"/>
        <v>2</v>
      </c>
      <c r="E248" s="10">
        <f t="shared" si="35"/>
        <v>1.4853304702836899E-2</v>
      </c>
      <c r="K248" s="10">
        <f t="shared" si="36"/>
        <v>0.56229765323723424</v>
      </c>
      <c r="L248" s="10">
        <f t="shared" si="37"/>
        <v>1.8557434569790976E-2</v>
      </c>
      <c r="R248" s="10">
        <f t="shared" si="38"/>
        <v>0.2918695915284033</v>
      </c>
      <c r="S248" s="10">
        <f t="shared" si="39"/>
        <v>9.6325332615514146E-3</v>
      </c>
      <c r="Y248" s="10">
        <f t="shared" si="40"/>
        <v>1.043480190869699E-2</v>
      </c>
      <c r="Z248" s="10">
        <f t="shared" si="41"/>
        <v>6.6848938220339512E-3</v>
      </c>
      <c r="AA248" s="10">
        <f t="shared" si="42"/>
        <v>2.81144354843277E-3</v>
      </c>
    </row>
    <row r="249" spans="1:27">
      <c r="A249" s="66">
        <v>11.85</v>
      </c>
      <c r="B249" s="10">
        <f t="shared" si="33"/>
        <v>0.99001797225565635</v>
      </c>
      <c r="C249" s="10">
        <f t="shared" si="34"/>
        <v>0.44854109034343564</v>
      </c>
      <c r="D249" s="66">
        <f t="shared" si="43"/>
        <v>4</v>
      </c>
      <c r="E249" s="10">
        <f t="shared" si="35"/>
        <v>2.9604249382343292E-2</v>
      </c>
      <c r="K249" s="10">
        <f t="shared" si="36"/>
        <v>0.56092759530979508</v>
      </c>
      <c r="L249" s="10">
        <f t="shared" si="37"/>
        <v>3.7021893366056317E-2</v>
      </c>
      <c r="R249" s="10">
        <f t="shared" si="38"/>
        <v>0.2903505823183562</v>
      </c>
      <c r="S249" s="10">
        <f t="shared" si="39"/>
        <v>1.9163486316671204E-2</v>
      </c>
      <c r="Y249" s="10">
        <f t="shared" si="40"/>
        <v>2.0766601619637625E-2</v>
      </c>
      <c r="Z249" s="10">
        <f t="shared" si="41"/>
        <v>1.3278722296755242E-2</v>
      </c>
      <c r="AA249" s="10">
        <f t="shared" si="42"/>
        <v>5.5641294112953347E-3</v>
      </c>
    </row>
    <row r="250" spans="1:27">
      <c r="A250" s="66">
        <v>11.9</v>
      </c>
      <c r="B250" s="10">
        <f t="shared" si="33"/>
        <v>0.98994960930184617</v>
      </c>
      <c r="C250" s="10">
        <f t="shared" si="34"/>
        <v>0.4470262698578864</v>
      </c>
      <c r="D250" s="66">
        <f t="shared" si="43"/>
        <v>2</v>
      </c>
      <c r="E250" s="10">
        <f t="shared" si="35"/>
        <v>1.4751116039782545E-2</v>
      </c>
      <c r="K250" s="10">
        <f t="shared" si="36"/>
        <v>0.55956087557648448</v>
      </c>
      <c r="L250" s="10">
        <f t="shared" si="37"/>
        <v>1.8464569005251327E-2</v>
      </c>
      <c r="R250" s="10">
        <f t="shared" si="38"/>
        <v>0.2888394786560165</v>
      </c>
      <c r="S250" s="10">
        <f t="shared" si="39"/>
        <v>9.5312176348824173E-3</v>
      </c>
      <c r="Y250" s="10">
        <f t="shared" si="40"/>
        <v>1.0332050399720849E-2</v>
      </c>
      <c r="Z250" s="10">
        <f t="shared" si="41"/>
        <v>6.594136379504829E-3</v>
      </c>
      <c r="AA250" s="10">
        <f t="shared" si="42"/>
        <v>2.7529919326164682E-3</v>
      </c>
    </row>
    <row r="251" spans="1:27">
      <c r="A251" s="66">
        <v>11.95</v>
      </c>
      <c r="B251" s="10">
        <f t="shared" si="33"/>
        <v>0.98988091420753443</v>
      </c>
      <c r="C251" s="10">
        <f t="shared" si="34"/>
        <v>0.44551656524946143</v>
      </c>
      <c r="D251" s="66">
        <f t="shared" si="43"/>
        <v>4</v>
      </c>
      <c r="E251" s="10">
        <f t="shared" si="35"/>
        <v>2.9400556326915836E-2</v>
      </c>
      <c r="K251" s="10">
        <f t="shared" si="36"/>
        <v>0.55819748590367557</v>
      </c>
      <c r="L251" s="10">
        <f t="shared" si="37"/>
        <v>3.6836602510311844E-2</v>
      </c>
      <c r="R251" s="10">
        <f t="shared" si="38"/>
        <v>0.28733623939766778</v>
      </c>
      <c r="S251" s="10">
        <f t="shared" si="39"/>
        <v>1.8961910622661223E-2</v>
      </c>
      <c r="Y251" s="10">
        <f t="shared" si="40"/>
        <v>2.0562098910489095E-2</v>
      </c>
      <c r="Z251" s="10">
        <f t="shared" si="41"/>
        <v>1.3098434871190865E-2</v>
      </c>
      <c r="AA251" s="10">
        <f t="shared" si="42"/>
        <v>5.4484440901101652E-3</v>
      </c>
    </row>
    <row r="252" spans="1:27">
      <c r="A252" s="66">
        <v>12</v>
      </c>
      <c r="B252" s="10">
        <f t="shared" si="33"/>
        <v>0.9898118850680474</v>
      </c>
      <c r="C252" s="10">
        <f t="shared" si="34"/>
        <v>0.44401195924073528</v>
      </c>
      <c r="D252" s="66">
        <f t="shared" si="43"/>
        <v>2</v>
      </c>
      <c r="E252" s="10">
        <f t="shared" si="35"/>
        <v>1.4649610478960975E-2</v>
      </c>
      <c r="K252" s="10">
        <f t="shared" si="36"/>
        <v>0.5568374181775595</v>
      </c>
      <c r="L252" s="10">
        <f t="shared" si="37"/>
        <v>1.8372143152091826E-2</v>
      </c>
      <c r="R252" s="10">
        <f t="shared" si="38"/>
        <v>0.28584082361372198</v>
      </c>
      <c r="S252" s="10">
        <f t="shared" si="39"/>
        <v>9.4309548150167139E-3</v>
      </c>
      <c r="Y252" s="10">
        <f t="shared" si="40"/>
        <v>1.0230296759199342E-2</v>
      </c>
      <c r="Z252" s="10">
        <f t="shared" si="41"/>
        <v>6.5046022508770691E-3</v>
      </c>
      <c r="AA252" s="10">
        <f t="shared" si="42"/>
        <v>2.6957518917881747E-3</v>
      </c>
    </row>
    <row r="253" spans="1:27">
      <c r="A253" s="66">
        <v>12.05</v>
      </c>
      <c r="B253" s="10">
        <f t="shared" si="33"/>
        <v>0.98974251996802542</v>
      </c>
      <c r="C253" s="10">
        <f t="shared" si="34"/>
        <v>0.44251243461263068</v>
      </c>
      <c r="D253" s="66">
        <f t="shared" si="43"/>
        <v>4</v>
      </c>
      <c r="E253" s="10">
        <f t="shared" si="35"/>
        <v>2.9198224810046081E-2</v>
      </c>
      <c r="K253" s="10">
        <f t="shared" si="36"/>
        <v>0.55548066430409593</v>
      </c>
      <c r="L253" s="10">
        <f t="shared" si="37"/>
        <v>3.6652188832123254E-2</v>
      </c>
      <c r="R253" s="10">
        <f t="shared" si="38"/>
        <v>0.28435319058760566</v>
      </c>
      <c r="S253" s="10">
        <f t="shared" si="39"/>
        <v>1.8762429560875007E-2</v>
      </c>
      <c r="Y253" s="10">
        <f t="shared" si="40"/>
        <v>2.0359582200666991E-2</v>
      </c>
      <c r="Z253" s="10">
        <f t="shared" si="41"/>
        <v>1.2920577547060406E-2</v>
      </c>
      <c r="AA253" s="10">
        <f t="shared" si="42"/>
        <v>5.3351567088100174E-3</v>
      </c>
    </row>
    <row r="254" spans="1:27">
      <c r="A254" s="66">
        <v>12.1</v>
      </c>
      <c r="B254" s="10">
        <f t="shared" si="33"/>
        <v>0.98967281698136644</v>
      </c>
      <c r="C254" s="10">
        <f t="shared" si="34"/>
        <v>0.44101797420422467</v>
      </c>
      <c r="D254" s="66">
        <f t="shared" si="43"/>
        <v>2</v>
      </c>
      <c r="E254" s="10">
        <f t="shared" si="35"/>
        <v>1.4548783362337022E-2</v>
      </c>
      <c r="K254" s="10">
        <f t="shared" si="36"/>
        <v>0.55412721620896777</v>
      </c>
      <c r="L254" s="10">
        <f t="shared" si="37"/>
        <v>1.8280154767719062E-2</v>
      </c>
      <c r="R254" s="10">
        <f t="shared" si="38"/>
        <v>0.28287329981465126</v>
      </c>
      <c r="S254" s="10">
        <f t="shared" si="39"/>
        <v>9.3317338492126863E-3</v>
      </c>
      <c r="Y254" s="10">
        <f t="shared" si="40"/>
        <v>1.0129531273305254E-2</v>
      </c>
      <c r="Z254" s="10">
        <f t="shared" si="41"/>
        <v>6.4162749655940019E-3</v>
      </c>
      <c r="AA254" s="10">
        <f t="shared" si="42"/>
        <v>2.6396983469188697E-3</v>
      </c>
    </row>
    <row r="255" spans="1:27">
      <c r="A255" s="66">
        <v>12.15</v>
      </c>
      <c r="B255" s="10">
        <f t="shared" si="33"/>
        <v>0.98960277417116815</v>
      </c>
      <c r="C255" s="10">
        <f t="shared" si="34"/>
        <v>0.43952856091254949</v>
      </c>
      <c r="D255" s="66">
        <f t="shared" si="43"/>
        <v>4</v>
      </c>
      <c r="E255" s="10">
        <f t="shared" si="35"/>
        <v>2.8997245547101352E-2</v>
      </c>
      <c r="K255" s="10">
        <f t="shared" si="36"/>
        <v>0.55277706583752995</v>
      </c>
      <c r="L255" s="10">
        <f t="shared" si="37"/>
        <v>3.6468647856734544E-2</v>
      </c>
      <c r="R255" s="10">
        <f t="shared" si="38"/>
        <v>0.28140111100099369</v>
      </c>
      <c r="S255" s="10">
        <f t="shared" si="39"/>
        <v>1.8565021340095481E-2</v>
      </c>
      <c r="Y255" s="10">
        <f t="shared" si="40"/>
        <v>2.0159032157307848E-2</v>
      </c>
      <c r="Z255" s="10">
        <f t="shared" si="41"/>
        <v>1.2745117605745291E-2</v>
      </c>
      <c r="AA255" s="10">
        <f t="shared" si="42"/>
        <v>5.2242176308600246E-3</v>
      </c>
    </row>
    <row r="256" spans="1:27">
      <c r="A256" s="66">
        <v>12.2</v>
      </c>
      <c r="B256" s="10">
        <f t="shared" si="33"/>
        <v>0.98953238958967005</v>
      </c>
      <c r="C256" s="10">
        <f t="shared" si="34"/>
        <v>0.43804417769239778</v>
      </c>
      <c r="D256" s="66">
        <f t="shared" si="43"/>
        <v>2</v>
      </c>
      <c r="E256" s="10">
        <f t="shared" si="35"/>
        <v>1.4448630063260014E-2</v>
      </c>
      <c r="K256" s="10">
        <f t="shared" si="36"/>
        <v>0.55143020515476315</v>
      </c>
      <c r="L256" s="10">
        <f t="shared" si="37"/>
        <v>1.8188601619957157E-2</v>
      </c>
      <c r="R256" s="10">
        <f t="shared" si="38"/>
        <v>0.27993658406247429</v>
      </c>
      <c r="S256" s="10">
        <f t="shared" si="39"/>
        <v>9.2335438986969904E-3</v>
      </c>
      <c r="Y256" s="10">
        <f t="shared" si="40"/>
        <v>1.0029744322771232E-2</v>
      </c>
      <c r="Z256" s="10">
        <f t="shared" si="41"/>
        <v>6.3291382748423899E-3</v>
      </c>
      <c r="AA256" s="10">
        <f t="shared" si="42"/>
        <v>2.5848067377921367E-3</v>
      </c>
    </row>
    <row r="257" spans="1:27">
      <c r="A257" s="66">
        <v>12.25</v>
      </c>
      <c r="B257" s="10">
        <f t="shared" si="33"/>
        <v>0.98946166127819546</v>
      </c>
      <c r="C257" s="10">
        <f t="shared" si="34"/>
        <v>0.43656480755612787</v>
      </c>
      <c r="D257" s="66">
        <f t="shared" si="43"/>
        <v>4</v>
      </c>
      <c r="E257" s="10">
        <f t="shared" si="35"/>
        <v>2.8797609316005463E-2</v>
      </c>
      <c r="K257" s="10">
        <f t="shared" si="36"/>
        <v>0.55008662614522574</v>
      </c>
      <c r="L257" s="10">
        <f t="shared" si="37"/>
        <v>3.6285975130171517E-2</v>
      </c>
      <c r="R257" s="10">
        <f t="shared" si="38"/>
        <v>0.27847967912354832</v>
      </c>
      <c r="S257" s="10">
        <f t="shared" si="39"/>
        <v>1.8369664395853663E-2</v>
      </c>
      <c r="Y257" s="10">
        <f t="shared" si="40"/>
        <v>1.9960429635745618E-2</v>
      </c>
      <c r="Z257" s="10">
        <f t="shared" si="41"/>
        <v>1.2572022769118479E-2</v>
      </c>
      <c r="AA257" s="10">
        <f t="shared" si="42"/>
        <v>5.1155782465645986E-3</v>
      </c>
    </row>
    <row r="258" spans="1:27">
      <c r="A258" s="66">
        <v>12.3</v>
      </c>
      <c r="B258" s="10">
        <f t="shared" si="33"/>
        <v>0.98939058726709406</v>
      </c>
      <c r="C258" s="10">
        <f t="shared" si="34"/>
        <v>0.43509043357346872</v>
      </c>
      <c r="D258" s="66">
        <f t="shared" si="43"/>
        <v>2</v>
      </c>
      <c r="E258" s="10">
        <f t="shared" si="35"/>
        <v>1.4349145986251628E-2</v>
      </c>
      <c r="K258" s="10">
        <f t="shared" si="36"/>
        <v>0.54874632081300589</v>
      </c>
      <c r="L258" s="10">
        <f t="shared" si="37"/>
        <v>1.8097481486994572E-2</v>
      </c>
      <c r="R258" s="10">
        <f t="shared" si="38"/>
        <v>0.27703035651619984</v>
      </c>
      <c r="S258" s="10">
        <f t="shared" si="39"/>
        <v>9.1363742374791813E-3</v>
      </c>
      <c r="Y258" s="10">
        <f t="shared" si="40"/>
        <v>9.9309263819697575E-3</v>
      </c>
      <c r="Z258" s="10">
        <f t="shared" si="41"/>
        <v>6.2431761485672189E-3</v>
      </c>
      <c r="AA258" s="10">
        <f t="shared" si="42"/>
        <v>2.5310530122742811E-3</v>
      </c>
    </row>
    <row r="259" spans="1:27">
      <c r="A259" s="66">
        <v>12.35</v>
      </c>
      <c r="B259" s="10">
        <f t="shared" si="33"/>
        <v>0.989319165575682</v>
      </c>
      <c r="C259" s="10">
        <f t="shared" si="34"/>
        <v>0.4336210388713268</v>
      </c>
      <c r="D259" s="66">
        <f t="shared" si="43"/>
        <v>4</v>
      </c>
      <c r="E259" s="10">
        <f t="shared" si="35"/>
        <v>2.85993069568161E-2</v>
      </c>
      <c r="K259" s="10">
        <f t="shared" si="36"/>
        <v>0.54740928118167442</v>
      </c>
      <c r="L259" s="10">
        <f t="shared" si="37"/>
        <v>3.6104166219135876E-2</v>
      </c>
      <c r="R259" s="10">
        <f t="shared" si="38"/>
        <v>0.27558857677886189</v>
      </c>
      <c r="S259" s="10">
        <f t="shared" si="39"/>
        <v>1.8176337388070233E-2</v>
      </c>
      <c r="Y259" s="10">
        <f t="shared" si="40"/>
        <v>1.976375567768086E-2</v>
      </c>
      <c r="Z259" s="10">
        <f t="shared" si="41"/>
        <v>1.240126119361456E-2</v>
      </c>
      <c r="AA259" s="10">
        <f t="shared" si="42"/>
        <v>5.0091909518306917E-3</v>
      </c>
    </row>
    <row r="260" spans="1:27">
      <c r="A260" s="66">
        <v>12.4</v>
      </c>
      <c r="B260" s="10">
        <f t="shared" si="33"/>
        <v>0.98924739421218411</v>
      </c>
      <c r="C260" s="10">
        <f t="shared" si="34"/>
        <v>0.4321566066335924</v>
      </c>
      <c r="D260" s="66">
        <f t="shared" si="43"/>
        <v>2</v>
      </c>
      <c r="E260" s="10">
        <f t="shared" si="35"/>
        <v>1.4250326566795373E-2</v>
      </c>
      <c r="K260" s="10">
        <f t="shared" si="36"/>
        <v>0.54607549929423627</v>
      </c>
      <c r="L260" s="10">
        <f t="shared" si="37"/>
        <v>1.8006792157331357E-2</v>
      </c>
      <c r="R260" s="10">
        <f t="shared" si="38"/>
        <v>0.27415430065534135</v>
      </c>
      <c r="S260" s="10">
        <f t="shared" si="39"/>
        <v>9.0402142511786729E-3</v>
      </c>
      <c r="Y260" s="10">
        <f t="shared" si="40"/>
        <v>9.833068018002258E-3</v>
      </c>
      <c r="Z260" s="10">
        <f t="shared" si="41"/>
        <v>6.1583727725268191E-3</v>
      </c>
      <c r="AA260" s="10">
        <f t="shared" si="42"/>
        <v>2.4784136158063396E-3</v>
      </c>
    </row>
    <row r="261" spans="1:27">
      <c r="A261" s="66">
        <v>12.45</v>
      </c>
      <c r="B261" s="10">
        <f t="shared" si="33"/>
        <v>0.98917527117367421</v>
      </c>
      <c r="C261" s="10">
        <f t="shared" si="34"/>
        <v>0.43069712010094768</v>
      </c>
      <c r="D261" s="66">
        <f t="shared" si="43"/>
        <v>4</v>
      </c>
      <c r="E261" s="10">
        <f t="shared" si="35"/>
        <v>2.8402329371305032E-2</v>
      </c>
      <c r="K261" s="10">
        <f t="shared" si="36"/>
        <v>0.54474496721308485</v>
      </c>
      <c r="L261" s="10">
        <f t="shared" si="37"/>
        <v>3.5923216710899833E-2</v>
      </c>
      <c r="R261" s="10">
        <f t="shared" si="38"/>
        <v>0.27272748909375055</v>
      </c>
      <c r="S261" s="10">
        <f t="shared" si="39"/>
        <v>1.7985019198721731E-2</v>
      </c>
      <c r="Y261" s="10">
        <f t="shared" si="40"/>
        <v>1.956899150936767E-2</v>
      </c>
      <c r="Z261" s="10">
        <f t="shared" si="41"/>
        <v>1.2232801464379637E-2</v>
      </c>
      <c r="AA261" s="10">
        <f t="shared" si="42"/>
        <v>4.905009127370275E-3</v>
      </c>
    </row>
    <row r="262" spans="1:27">
      <c r="A262" s="66">
        <v>12.5</v>
      </c>
      <c r="B262" s="10">
        <f t="shared" si="33"/>
        <v>0.9891027944460159</v>
      </c>
      <c r="C262" s="10">
        <f t="shared" si="34"/>
        <v>0.42924256257067445</v>
      </c>
      <c r="D262" s="66">
        <f t="shared" si="43"/>
        <v>2</v>
      </c>
      <c r="E262" s="10">
        <f t="shared" si="35"/>
        <v>1.4152167271127431E-2</v>
      </c>
      <c r="K262" s="10">
        <f t="shared" si="36"/>
        <v>0.54341767701995292</v>
      </c>
      <c r="L262" s="10">
        <f t="shared" si="37"/>
        <v>1.7916531429726597E-2</v>
      </c>
      <c r="R262" s="10">
        <f t="shared" si="38"/>
        <v>0.27130810324544391</v>
      </c>
      <c r="S262" s="10">
        <f t="shared" si="39"/>
        <v>8.9450534358638915E-3</v>
      </c>
      <c r="Y262" s="10">
        <f t="shared" si="40"/>
        <v>9.7361598897970029E-3</v>
      </c>
      <c r="Z262" s="10">
        <f t="shared" si="41"/>
        <v>6.0747125453875679E-3</v>
      </c>
      <c r="AA262" s="10">
        <f t="shared" si="42"/>
        <v>2.4268654811133734E-3</v>
      </c>
    </row>
    <row r="263" spans="1:27">
      <c r="A263" s="66">
        <v>12.55</v>
      </c>
      <c r="B263" s="10">
        <f t="shared" si="33"/>
        <v>0.98902996200380267</v>
      </c>
      <c r="C263" s="10">
        <f t="shared" si="34"/>
        <v>0.42779291739646336</v>
      </c>
      <c r="D263" s="66">
        <f t="shared" si="43"/>
        <v>4</v>
      </c>
      <c r="E263" s="10">
        <f t="shared" si="35"/>
        <v>2.8206667522541338E-2</v>
      </c>
      <c r="K263" s="10">
        <f t="shared" si="36"/>
        <v>0.54209362081586687</v>
      </c>
      <c r="L263" s="10">
        <f t="shared" si="37"/>
        <v>3.5743122213201375E-2</v>
      </c>
      <c r="R263" s="10">
        <f t="shared" si="38"/>
        <v>0.26989610446396017</v>
      </c>
      <c r="S263" s="10">
        <f t="shared" si="39"/>
        <v>1.7795688929530991E-2</v>
      </c>
      <c r="Y263" s="10">
        <f t="shared" si="40"/>
        <v>1.9376118539818375E-2</v>
      </c>
      <c r="Z263" s="10">
        <f t="shared" si="41"/>
        <v>1.2066612589500033E-2</v>
      </c>
      <c r="AA263" s="10">
        <f t="shared" si="42"/>
        <v>4.8029871183328356E-3</v>
      </c>
    </row>
    <row r="264" spans="1:27">
      <c r="A264" s="66">
        <v>12.6</v>
      </c>
      <c r="B264" s="10">
        <f t="shared" si="33"/>
        <v>0.9889567718102984</v>
      </c>
      <c r="C264" s="10">
        <f t="shared" si="34"/>
        <v>0.42634816798822317</v>
      </c>
      <c r="D264" s="66">
        <f t="shared" si="43"/>
        <v>2</v>
      </c>
      <c r="E264" s="10">
        <f t="shared" si="35"/>
        <v>1.4054663596028935E-2</v>
      </c>
      <c r="K264" s="10">
        <f t="shared" si="36"/>
        <v>0.54077279072109929</v>
      </c>
      <c r="L264" s="10">
        <f t="shared" si="37"/>
        <v>1.7826697113146151E-2</v>
      </c>
      <c r="R264" s="10">
        <f t="shared" si="38"/>
        <v>0.26849145430397009</v>
      </c>
      <c r="S264" s="10">
        <f t="shared" si="39"/>
        <v>8.8508813969035514E-3</v>
      </c>
      <c r="Y264" s="10">
        <f t="shared" si="40"/>
        <v>9.6401927472158089E-3</v>
      </c>
      <c r="Z264" s="10">
        <f t="shared" si="41"/>
        <v>5.9921800758577087E-3</v>
      </c>
      <c r="AA264" s="10">
        <f t="shared" si="42"/>
        <v>2.3763860181265886E-3</v>
      </c>
    </row>
    <row r="265" spans="1:27">
      <c r="A265" s="66">
        <v>12.65</v>
      </c>
      <c r="B265" s="10">
        <f t="shared" si="33"/>
        <v>0.98888322181737665</v>
      </c>
      <c r="C265" s="10">
        <f t="shared" si="34"/>
        <v>0.42490829781189116</v>
      </c>
      <c r="D265" s="66">
        <f t="shared" si="43"/>
        <v>4</v>
      </c>
      <c r="E265" s="10">
        <f t="shared" si="35"/>
        <v>2.8012312434477354E-2</v>
      </c>
      <c r="K265" s="10">
        <f t="shared" si="36"/>
        <v>0.53945517887512151</v>
      </c>
      <c r="L265" s="10">
        <f t="shared" si="37"/>
        <v>3.5563878354139961E-2</v>
      </c>
      <c r="R265" s="10">
        <f t="shared" si="38"/>
        <v>0.26709411452022969</v>
      </c>
      <c r="S265" s="10">
        <f t="shared" si="39"/>
        <v>1.7608325899681608E-2</v>
      </c>
      <c r="Y265" s="10">
        <f t="shared" si="40"/>
        <v>1.9185118359025633E-2</v>
      </c>
      <c r="Z265" s="10">
        <f t="shared" si="41"/>
        <v>1.1902663994308645E-2</v>
      </c>
      <c r="AA265" s="10">
        <f t="shared" si="42"/>
        <v>4.7030802143590861E-3</v>
      </c>
    </row>
    <row r="266" spans="1:27">
      <c r="A266" s="66">
        <v>12.7</v>
      </c>
      <c r="B266" s="10">
        <f t="shared" si="33"/>
        <v>0.98880930996546013</v>
      </c>
      <c r="C266" s="10">
        <f t="shared" si="34"/>
        <v>0.42347329038924347</v>
      </c>
      <c r="D266" s="66">
        <f t="shared" si="43"/>
        <v>2</v>
      </c>
      <c r="E266" s="10">
        <f t="shared" si="35"/>
        <v>1.3957811068619692E-2</v>
      </c>
      <c r="K266" s="10">
        <f t="shared" si="36"/>
        <v>0.53814077743655786</v>
      </c>
      <c r="L266" s="10">
        <f t="shared" si="37"/>
        <v>1.7737287026710635E-2</v>
      </c>
      <c r="R266" s="10">
        <f t="shared" si="38"/>
        <v>0.265704047066539</v>
      </c>
      <c r="S266" s="10">
        <f t="shared" si="39"/>
        <v>8.7576878478298186E-3</v>
      </c>
      <c r="Y266" s="10">
        <f t="shared" si="40"/>
        <v>9.5451574301694334E-3</v>
      </c>
      <c r="Z266" s="10">
        <f t="shared" si="41"/>
        <v>5.9107601798597835E-3</v>
      </c>
      <c r="AA266" s="10">
        <f t="shared" si="42"/>
        <v>2.3269531041138309E-3</v>
      </c>
    </row>
    <row r="267" spans="1:27">
      <c r="A267" s="66">
        <v>12.75</v>
      </c>
      <c r="B267" s="10">
        <f t="shared" si="33"/>
        <v>0.98873503418346032</v>
      </c>
      <c r="C267" s="10">
        <f t="shared" si="34"/>
        <v>0.42204312929770682</v>
      </c>
      <c r="D267" s="66">
        <f t="shared" si="43"/>
        <v>4</v>
      </c>
      <c r="E267" s="10">
        <f t="shared" si="35"/>
        <v>2.7819255191537513E-2</v>
      </c>
      <c r="K267" s="10">
        <f t="shared" si="36"/>
        <v>0.53682957858313829</v>
      </c>
      <c r="L267" s="10">
        <f t="shared" si="37"/>
        <v>3.5385480782072785E-2</v>
      </c>
      <c r="R267" s="10">
        <f t="shared" si="38"/>
        <v>0.2643212140947061</v>
      </c>
      <c r="S267" s="10">
        <f t="shared" si="39"/>
        <v>1.7422909643556195E-2</v>
      </c>
      <c r="Y267" s="10">
        <f t="shared" si="40"/>
        <v>1.8995972736201874E-2</v>
      </c>
      <c r="Z267" s="10">
        <f t="shared" si="41"/>
        <v>1.1740925515767968E-2</v>
      </c>
      <c r="AA267" s="10">
        <f t="shared" si="42"/>
        <v>4.6052446300471365E-3</v>
      </c>
    </row>
    <row r="268" spans="1:27">
      <c r="A268" s="66">
        <v>12.8</v>
      </c>
      <c r="B268" s="10">
        <f t="shared" si="33"/>
        <v>0.98866039238871584</v>
      </c>
      <c r="C268" s="10">
        <f t="shared" si="34"/>
        <v>0.42061779817017064</v>
      </c>
      <c r="D268" s="66">
        <f t="shared" si="43"/>
        <v>2</v>
      </c>
      <c r="E268" s="10">
        <f t="shared" si="35"/>
        <v>1.3861605246153286E-2</v>
      </c>
      <c r="K268" s="10">
        <f t="shared" si="36"/>
        <v>0.53552157451165172</v>
      </c>
      <c r="L268" s="10">
        <f t="shared" si="37"/>
        <v>1.7648298999643749E-2</v>
      </c>
      <c r="R268" s="10">
        <f t="shared" si="38"/>
        <v>0.26294557795351653</v>
      </c>
      <c r="S268" s="10">
        <f t="shared" si="39"/>
        <v>8.6654626092133764E-3</v>
      </c>
      <c r="Y268" s="10">
        <f t="shared" si="40"/>
        <v>9.451044867741629E-3</v>
      </c>
      <c r="Z268" s="10">
        <f t="shared" si="41"/>
        <v>5.8304378777410812E-3</v>
      </c>
      <c r="AA268" s="10">
        <f t="shared" si="42"/>
        <v>2.2785450740141987E-3</v>
      </c>
    </row>
    <row r="269" spans="1:27">
      <c r="A269" s="66">
        <v>12.85</v>
      </c>
      <c r="B269" s="10">
        <f t="shared" ref="B269:B332" si="44">(B$8^A269)*B$9^((B$5^B$7)*((B$5^A269)-1))</f>
        <v>0.9885853824869314</v>
      </c>
      <c r="C269" s="10">
        <f t="shared" ref="C269:C332" si="45">(1+B$6)^-A269</f>
        <v>0.41919728069479967</v>
      </c>
      <c r="D269" s="66">
        <f t="shared" si="43"/>
        <v>4</v>
      </c>
      <c r="E269" s="10">
        <f t="shared" ref="E269:E332" si="46">B269*C269*D269*0.05/3</f>
        <v>2.7627486938210006E-2</v>
      </c>
      <c r="K269" s="10">
        <f t="shared" ref="K269:K332" si="47">1.05^-A269</f>
        <v>0.53421675743790009</v>
      </c>
      <c r="L269" s="10">
        <f t="shared" ref="L269:L332" si="48">E269*K269/C269</f>
        <v>3.5207925165511647E-2</v>
      </c>
      <c r="R269" s="10">
        <f t="shared" ref="R269:R332" si="49">1.11^-A269</f>
        <v>0.26157710118770827</v>
      </c>
      <c r="S269" s="10">
        <f t="shared" ref="S269:S332" si="50">L269*R269/K269</f>
        <v>1.7239419908498223E-2</v>
      </c>
      <c r="Y269" s="10">
        <f t="shared" ref="Y269:Y332" si="51">L269*K269</f>
        <v>1.8808663618035876E-2</v>
      </c>
      <c r="Z269" s="10">
        <f t="shared" ref="Z269:Z332" si="52">C269*E269</f>
        <v>1.1581367396928732E-2</v>
      </c>
      <c r="AA269" s="10">
        <f t="shared" ref="AA269:AA332" si="53">R269*S269</f>
        <v>4.5094374858226319E-3</v>
      </c>
    </row>
    <row r="270" spans="1:27">
      <c r="A270" s="66">
        <v>12.9</v>
      </c>
      <c r="B270" s="10">
        <f t="shared" si="44"/>
        <v>0.98851000237211595</v>
      </c>
      <c r="C270" s="10">
        <f t="shared" si="45"/>
        <v>0.41778156061484706</v>
      </c>
      <c r="D270" s="66">
        <f t="shared" si="43"/>
        <v>2</v>
      </c>
      <c r="E270" s="10">
        <f t="shared" si="46"/>
        <v>1.3766041715813629E-2</v>
      </c>
      <c r="K270" s="10">
        <f t="shared" si="47"/>
        <v>0.53291511959665194</v>
      </c>
      <c r="L270" s="10">
        <f t="shared" si="48"/>
        <v>1.7559730871220768E-2</v>
      </c>
      <c r="R270" s="10">
        <f t="shared" si="49"/>
        <v>0.26021574653695179</v>
      </c>
      <c r="S270" s="10">
        <f t="shared" si="50"/>
        <v>8.5741956075501419E-3</v>
      </c>
      <c r="Y270" s="10">
        <f t="shared" si="51"/>
        <v>9.3578460773216365E-3</v>
      </c>
      <c r="Z270" s="10">
        <f t="shared" si="52"/>
        <v>5.7511983915217047E-3</v>
      </c>
      <c r="AA270" s="10">
        <f t="shared" si="53"/>
        <v>2.231140710972513E-3</v>
      </c>
    </row>
    <row r="271" spans="1:27">
      <c r="A271" s="66">
        <v>12.95</v>
      </c>
      <c r="B271" s="10">
        <f t="shared" si="44"/>
        <v>0.98843424992652085</v>
      </c>
      <c r="C271" s="10">
        <f t="shared" si="45"/>
        <v>0.41637062172846862</v>
      </c>
      <c r="D271" s="66">
        <f t="shared" ref="D271:D334" si="54">IF(D270=4,2,4)</f>
        <v>4</v>
      </c>
      <c r="E271" s="10">
        <f t="shared" si="46"/>
        <v>2.7436998878641206E-2</v>
      </c>
      <c r="K271" s="10">
        <f t="shared" si="47"/>
        <v>0.53161665324159579</v>
      </c>
      <c r="L271" s="10">
        <f t="shared" si="48"/>
        <v>3.5031207193020275E-2</v>
      </c>
      <c r="R271" s="10">
        <f t="shared" si="49"/>
        <v>0.2588614769348358</v>
      </c>
      <c r="S271" s="10">
        <f t="shared" si="50"/>
        <v>1.7057836652597053E-2</v>
      </c>
      <c r="Y271" s="10">
        <f t="shared" si="51"/>
        <v>1.8623173126966357E-2</v>
      </c>
      <c r="Z271" s="10">
        <f t="shared" si="52"/>
        <v>1.1423960281463134E-2</v>
      </c>
      <c r="AA271" s="10">
        <f t="shared" si="53"/>
        <v>4.415616789204449E-3</v>
      </c>
    </row>
    <row r="272" spans="1:27">
      <c r="A272" s="66">
        <v>13</v>
      </c>
      <c r="B272" s="10">
        <f t="shared" si="44"/>
        <v>0.98835812302057768</v>
      </c>
      <c r="C272" s="10">
        <f t="shared" si="45"/>
        <v>0.41496444788853759</v>
      </c>
      <c r="D272" s="66">
        <f t="shared" si="54"/>
        <v>2</v>
      </c>
      <c r="E272" s="10">
        <f t="shared" si="46"/>
        <v>1.3671116094512844E-2</v>
      </c>
      <c r="K272" s="10">
        <f t="shared" si="47"/>
        <v>0.53032135064529462</v>
      </c>
      <c r="L272" s="10">
        <f t="shared" si="48"/>
        <v>1.7471580490717366E-2</v>
      </c>
      <c r="R272" s="10">
        <f t="shared" si="49"/>
        <v>0.25751425550785767</v>
      </c>
      <c r="S272" s="10">
        <f t="shared" si="50"/>
        <v>8.4838768741595898E-3</v>
      </c>
      <c r="Y272" s="10">
        <f t="shared" si="51"/>
        <v>9.2655521637452134E-3</v>
      </c>
      <c r="Z272" s="10">
        <f t="shared" si="52"/>
        <v>5.6730271421796229E-3</v>
      </c>
      <c r="AA272" s="10">
        <f t="shared" si="53"/>
        <v>2.1847192370695375E-3</v>
      </c>
    </row>
    <row r="273" spans="1:27">
      <c r="A273" s="66">
        <v>13.05</v>
      </c>
      <c r="B273" s="10">
        <f t="shared" si="44"/>
        <v>0.98828161951283477</v>
      </c>
      <c r="C273" s="10">
        <f t="shared" si="45"/>
        <v>0.41356302300245851</v>
      </c>
      <c r="D273" s="66">
        <f t="shared" si="54"/>
        <v>4</v>
      </c>
      <c r="E273" s="10">
        <f t="shared" si="46"/>
        <v>2.7247782276232896E-2</v>
      </c>
      <c r="K273" s="10">
        <f t="shared" si="47"/>
        <v>0.52902920409913901</v>
      </c>
      <c r="L273" s="10">
        <f t="shared" si="48"/>
        <v>3.4855322573112205E-2</v>
      </c>
      <c r="R273" s="10">
        <f t="shared" si="49"/>
        <v>0.25617404557441953</v>
      </c>
      <c r="S273" s="10">
        <f t="shared" si="50"/>
        <v>1.6878140042496138E-2</v>
      </c>
      <c r="Y273" s="10">
        <f t="shared" si="51"/>
        <v>1.8439483559472305E-2</v>
      </c>
      <c r="Z273" s="10">
        <f t="shared" si="52"/>
        <v>1.1268675208271687E-2</v>
      </c>
      <c r="AA273" s="10">
        <f t="shared" si="53"/>
        <v>4.3237414164578412E-3</v>
      </c>
    </row>
    <row r="274" spans="1:27">
      <c r="A274" s="66">
        <v>13.1</v>
      </c>
      <c r="B274" s="10">
        <f t="shared" si="44"/>
        <v>0.98820473724989633</v>
      </c>
      <c r="C274" s="10">
        <f t="shared" si="45"/>
        <v>0.41216633103198569</v>
      </c>
      <c r="D274" s="66">
        <f t="shared" si="54"/>
        <v>2</v>
      </c>
      <c r="E274" s="10">
        <f t="shared" si="46"/>
        <v>1.3576824028690574E-2</v>
      </c>
      <c r="K274" s="10">
        <f t="shared" si="47"/>
        <v>0.52774020591330262</v>
      </c>
      <c r="L274" s="10">
        <f t="shared" si="48"/>
        <v>1.7383845717358713E-2</v>
      </c>
      <c r="R274" s="10">
        <f t="shared" si="49"/>
        <v>0.25484081064382991</v>
      </c>
      <c r="S274" s="10">
        <f t="shared" si="50"/>
        <v>8.3944965440945502E-3</v>
      </c>
      <c r="Y274" s="10">
        <f t="shared" si="51"/>
        <v>9.1741543184439712E-3</v>
      </c>
      <c r="Z274" s="10">
        <f t="shared" si="52"/>
        <v>5.595909746972297E-3</v>
      </c>
      <c r="AA274" s="10">
        <f t="shared" si="53"/>
        <v>2.139260304243884E-3</v>
      </c>
    </row>
    <row r="275" spans="1:27">
      <c r="A275" s="66">
        <v>13.15</v>
      </c>
      <c r="B275" s="10">
        <f t="shared" si="44"/>
        <v>0.98812747406635781</v>
      </c>
      <c r="C275" s="10">
        <f t="shared" si="45"/>
        <v>0.41077435599303685</v>
      </c>
      <c r="D275" s="66">
        <f t="shared" si="54"/>
        <v>4</v>
      </c>
      <c r="E275" s="10">
        <f t="shared" si="46"/>
        <v>2.7059828453242288E-2</v>
      </c>
      <c r="K275" s="10">
        <f t="shared" si="47"/>
        <v>0.52645434841669514</v>
      </c>
      <c r="L275" s="10">
        <f t="shared" si="48"/>
        <v>3.4680267034149281E-2</v>
      </c>
      <c r="R275" s="10">
        <f t="shared" si="49"/>
        <v>0.25351451441530964</v>
      </c>
      <c r="S275" s="10">
        <f t="shared" si="50"/>
        <v>1.6700310451223943E-2</v>
      </c>
      <c r="Y275" s="10">
        <f t="shared" si="51"/>
        <v>1.8257577384380053E-2</v>
      </c>
      <c r="Z275" s="10">
        <f t="shared" si="52"/>
        <v>1.1115483606162655E-2</v>
      </c>
      <c r="AA275" s="10">
        <f t="shared" si="53"/>
        <v>4.2337710946269589E-3</v>
      </c>
    </row>
    <row r="276" spans="1:27">
      <c r="A276" s="66">
        <v>13.2</v>
      </c>
      <c r="B276" s="10">
        <f t="shared" si="44"/>
        <v>0.98804982778474226</v>
      </c>
      <c r="C276" s="10">
        <f t="shared" si="45"/>
        <v>0.40938708195551199</v>
      </c>
      <c r="D276" s="66">
        <f t="shared" si="54"/>
        <v>2</v>
      </c>
      <c r="E276" s="10">
        <f t="shared" si="46"/>
        <v>1.3483161194114726E-2</v>
      </c>
      <c r="K276" s="10">
        <f t="shared" si="47"/>
        <v>0.5251716239569173</v>
      </c>
      <c r="L276" s="10">
        <f t="shared" si="48"/>
        <v>1.7296524420268852E-2</v>
      </c>
      <c r="R276" s="10">
        <f t="shared" si="49"/>
        <v>0.25219512077700385</v>
      </c>
      <c r="S276" s="10">
        <f t="shared" si="50"/>
        <v>8.3060448550623632E-3</v>
      </c>
      <c r="Y276" s="10">
        <f t="shared" si="51"/>
        <v>9.0836438186030696E-3</v>
      </c>
      <c r="Z276" s="10">
        <f t="shared" si="52"/>
        <v>5.519832016794424E-3</v>
      </c>
      <c r="AA276" s="10">
        <f t="shared" si="53"/>
        <v>2.094743985401664E-3</v>
      </c>
    </row>
    <row r="277" spans="1:27">
      <c r="A277" s="66">
        <v>13.25</v>
      </c>
      <c r="B277" s="10">
        <f t="shared" si="44"/>
        <v>0.98797179621543796</v>
      </c>
      <c r="C277" s="10">
        <f t="shared" si="45"/>
        <v>0.40800449304311015</v>
      </c>
      <c r="D277" s="66">
        <f t="shared" si="54"/>
        <v>4</v>
      </c>
      <c r="E277" s="10">
        <f t="shared" si="46"/>
        <v>2.6873128790384712E-2</v>
      </c>
      <c r="K277" s="10">
        <f t="shared" si="47"/>
        <v>0.52389202490021491</v>
      </c>
      <c r="L277" s="10">
        <f t="shared" si="48"/>
        <v>3.4506036324240555E-2</v>
      </c>
      <c r="R277" s="10">
        <f t="shared" si="49"/>
        <v>0.25088259380499839</v>
      </c>
      <c r="S277" s="10">
        <f t="shared" si="50"/>
        <v>1.6524328456047493E-2</v>
      </c>
      <c r="Y277" s="10">
        <f t="shared" si="51"/>
        <v>1.8077437241186753E-2</v>
      </c>
      <c r="Z277" s="10">
        <f t="shared" si="52"/>
        <v>1.0964357288603122E-2</v>
      </c>
      <c r="AA277" s="10">
        <f t="shared" si="53"/>
        <v>4.1456663839389389E-3</v>
      </c>
    </row>
    <row r="278" spans="1:27">
      <c r="A278" s="66">
        <v>13.3</v>
      </c>
      <c r="B278" s="10">
        <f t="shared" si="44"/>
        <v>0.98789337715663339</v>
      </c>
      <c r="C278" s="10">
        <f t="shared" si="45"/>
        <v>0.40662657343314829</v>
      </c>
      <c r="D278" s="66">
        <f t="shared" si="54"/>
        <v>2</v>
      </c>
      <c r="E278" s="10">
        <f t="shared" si="46"/>
        <v>1.3390123295683424E-2</v>
      </c>
      <c r="K278" s="10">
        <f t="shared" si="47"/>
        <v>0.52261554363143425</v>
      </c>
      <c r="L278" s="10">
        <f t="shared" si="48"/>
        <v>1.7209614478420253E-2</v>
      </c>
      <c r="R278" s="10">
        <f t="shared" si="49"/>
        <v>0.24957689776234221</v>
      </c>
      <c r="S278" s="10">
        <f t="shared" si="50"/>
        <v>8.2185121463572049E-3</v>
      </c>
      <c r="Y278" s="10">
        <f t="shared" si="51"/>
        <v>8.9940120263270022E-3</v>
      </c>
      <c r="Z278" s="10">
        <f t="shared" si="52"/>
        <v>5.4447799535711251E-3</v>
      </c>
      <c r="AA278" s="10">
        <f t="shared" si="53"/>
        <v>2.0511507657099597E-3</v>
      </c>
    </row>
    <row r="279" spans="1:27">
      <c r="A279" s="66">
        <v>13.35</v>
      </c>
      <c r="B279" s="10">
        <f t="shared" si="44"/>
        <v>0.98781456839425308</v>
      </c>
      <c r="C279" s="10">
        <f t="shared" si="45"/>
        <v>0.40525330735638015</v>
      </c>
      <c r="D279" s="66">
        <f t="shared" si="54"/>
        <v>4</v>
      </c>
      <c r="E279" s="10">
        <f t="shared" si="46"/>
        <v>2.6687674726439087E-2</v>
      </c>
      <c r="K279" s="10">
        <f t="shared" si="47"/>
        <v>0.52134217255397564</v>
      </c>
      <c r="L279" s="10">
        <f t="shared" si="48"/>
        <v>3.4332626211141852E-2</v>
      </c>
      <c r="R279" s="10">
        <f t="shared" si="49"/>
        <v>0.24827799709807383</v>
      </c>
      <c r="S279" s="10">
        <f t="shared" si="50"/>
        <v>1.6350174836348232E-2</v>
      </c>
      <c r="Y279" s="10">
        <f t="shared" si="51"/>
        <v>1.7899045938400263E-2</v>
      </c>
      <c r="Z279" s="10">
        <f t="shared" si="52"/>
        <v>1.0815268448540718E-2</v>
      </c>
      <c r="AA279" s="10">
        <f t="shared" si="53"/>
        <v>4.059388660571866E-3</v>
      </c>
    </row>
    <row r="280" spans="1:27">
      <c r="A280" s="66">
        <v>13.4</v>
      </c>
      <c r="B280" s="10">
        <f t="shared" si="44"/>
        <v>0.98773536770189352</v>
      </c>
      <c r="C280" s="10">
        <f t="shared" si="45"/>
        <v>0.4038846790968153</v>
      </c>
      <c r="D280" s="66">
        <f t="shared" si="54"/>
        <v>2</v>
      </c>
      <c r="E280" s="10">
        <f t="shared" si="46"/>
        <v>1.3297706067228472E-2</v>
      </c>
      <c r="K280" s="10">
        <f t="shared" si="47"/>
        <v>0.5200719040897489</v>
      </c>
      <c r="L280" s="10">
        <f t="shared" si="48"/>
        <v>1.7123113780583735E-2</v>
      </c>
      <c r="R280" s="10">
        <f t="shared" si="49"/>
        <v>0.2469858564462534</v>
      </c>
      <c r="S280" s="10">
        <f t="shared" si="50"/>
        <v>8.1318888578035733E-3</v>
      </c>
      <c r="Y280" s="10">
        <f t="shared" si="51"/>
        <v>8.9052503878136024E-3</v>
      </c>
      <c r="Z280" s="10">
        <f t="shared" si="52"/>
        <v>5.3707397476863454E-3</v>
      </c>
      <c r="AA280" s="10">
        <f t="shared" si="53"/>
        <v>2.0084615340703609E-3</v>
      </c>
    </row>
    <row r="281" spans="1:27">
      <c r="A281" s="66">
        <v>13.45</v>
      </c>
      <c r="B281" s="10">
        <f t="shared" si="44"/>
        <v>0.98765577284075745</v>
      </c>
      <c r="C281" s="10">
        <f t="shared" si="45"/>
        <v>0.40252067299153987</v>
      </c>
      <c r="D281" s="66">
        <f t="shared" si="54"/>
        <v>4</v>
      </c>
      <c r="E281" s="10">
        <f t="shared" si="46"/>
        <v>2.6503457757856078E-2</v>
      </c>
      <c r="K281" s="10">
        <f t="shared" si="47"/>
        <v>0.51880473067912836</v>
      </c>
      <c r="L281" s="10">
        <f t="shared" si="48"/>
        <v>3.4160032482155704E-2</v>
      </c>
      <c r="R281" s="10">
        <f t="shared" si="49"/>
        <v>0.24570044062500049</v>
      </c>
      <c r="S281" s="10">
        <f t="shared" si="50"/>
        <v>1.6177830571519967E-2</v>
      </c>
      <c r="Y281" s="10">
        <f t="shared" si="51"/>
        <v>1.7722386451895066E-2</v>
      </c>
      <c r="Z281" s="10">
        <f t="shared" si="52"/>
        <v>1.0668189653295078E-2</v>
      </c>
      <c r="AA281" s="10">
        <f t="shared" si="53"/>
        <v>3.9749000997790591E-3</v>
      </c>
    </row>
    <row r="282" spans="1:27">
      <c r="A282" s="66">
        <v>13.5</v>
      </c>
      <c r="B282" s="10">
        <f t="shared" si="44"/>
        <v>0.98757578155958969</v>
      </c>
      <c r="C282" s="10">
        <f t="shared" si="45"/>
        <v>0.40116127343053681</v>
      </c>
      <c r="D282" s="66">
        <f t="shared" si="54"/>
        <v>2</v>
      </c>
      <c r="E282" s="10">
        <f t="shared" si="46"/>
        <v>1.3205905271320088E-2</v>
      </c>
      <c r="K282" s="10">
        <f t="shared" si="47"/>
        <v>0.51754064478090755</v>
      </c>
      <c r="L282" s="10">
        <f t="shared" si="48"/>
        <v>1.7037020225278626E-2</v>
      </c>
      <c r="R282" s="10">
        <f t="shared" si="49"/>
        <v>0.24442171463553505</v>
      </c>
      <c r="S282" s="10">
        <f t="shared" si="50"/>
        <v>8.0461655287107844E-3</v>
      </c>
      <c r="Y282" s="10">
        <f t="shared" si="51"/>
        <v>8.8173504325360624E-3</v>
      </c>
      <c r="Z282" s="10">
        <f t="shared" si="52"/>
        <v>5.2976977754458053E-3</v>
      </c>
      <c r="AA282" s="10">
        <f t="shared" si="53"/>
        <v>1.9666575747688264E-3</v>
      </c>
    </row>
    <row r="283" spans="1:27">
      <c r="A283" s="66">
        <v>13.55</v>
      </c>
      <c r="B283" s="10">
        <f t="shared" si="44"/>
        <v>0.98749539159461086</v>
      </c>
      <c r="C283" s="10">
        <f t="shared" si="45"/>
        <v>0.39980646485650773</v>
      </c>
      <c r="D283" s="66">
        <f t="shared" si="54"/>
        <v>4</v>
      </c>
      <c r="E283" s="10">
        <f t="shared" si="46"/>
        <v>2.6320469438368948E-2</v>
      </c>
      <c r="K283" s="10">
        <f t="shared" si="47"/>
        <v>0.51627963887225414</v>
      </c>
      <c r="L283" s="10">
        <f t="shared" si="48"/>
        <v>3.3988250944032072E-2</v>
      </c>
      <c r="R283" s="10">
        <f t="shared" si="49"/>
        <v>0.24314964366122532</v>
      </c>
      <c r="S283" s="10">
        <f t="shared" si="50"/>
        <v>1.6007276838888793E-2</v>
      </c>
      <c r="Y283" s="10">
        <f t="shared" si="51"/>
        <v>1.7547441923284429E-2</v>
      </c>
      <c r="Z283" s="10">
        <f t="shared" si="52"/>
        <v>1.0523093839518041E-2</v>
      </c>
      <c r="AA283" s="10">
        <f t="shared" si="53"/>
        <v>3.8921636593623951E-3</v>
      </c>
    </row>
    <row r="284" spans="1:27">
      <c r="A284" s="66">
        <v>13.6</v>
      </c>
      <c r="B284" s="10">
        <f t="shared" si="44"/>
        <v>0.98741460066945208</v>
      </c>
      <c r="C284" s="10">
        <f t="shared" si="45"/>
        <v>0.39845623176469452</v>
      </c>
      <c r="D284" s="66">
        <f t="shared" si="54"/>
        <v>2</v>
      </c>
      <c r="E284" s="10">
        <f t="shared" si="46"/>
        <v>1.3114716699073018E-2</v>
      </c>
      <c r="K284" s="10">
        <f t="shared" si="47"/>
        <v>0.51502170544866588</v>
      </c>
      <c r="L284" s="10">
        <f t="shared" si="48"/>
        <v>1.6951331720723155E-2</v>
      </c>
      <c r="R284" s="10">
        <f t="shared" si="49"/>
        <v>0.24188419306663975</v>
      </c>
      <c r="S284" s="10">
        <f t="shared" si="50"/>
        <v>7.9613327968382913E-3</v>
      </c>
      <c r="Y284" s="10">
        <f t="shared" si="51"/>
        <v>8.7303037724329076E-3</v>
      </c>
      <c r="Z284" s="10">
        <f t="shared" si="52"/>
        <v>5.2256405965741479E-3</v>
      </c>
      <c r="AA284" s="10">
        <f t="shared" si="53"/>
        <v>1.9257205592982042E-3</v>
      </c>
    </row>
    <row r="285" spans="1:27">
      <c r="A285" s="66">
        <v>13.65</v>
      </c>
      <c r="B285" s="10">
        <f t="shared" si="44"/>
        <v>0.98733340649508816</v>
      </c>
      <c r="C285" s="10">
        <f t="shared" si="45"/>
        <v>0.39711055870270201</v>
      </c>
      <c r="D285" s="66">
        <f t="shared" si="54"/>
        <v>4</v>
      </c>
      <c r="E285" s="10">
        <f t="shared" si="46"/>
        <v>2.6138701378607101E-2</v>
      </c>
      <c r="K285" s="10">
        <f t="shared" si="47"/>
        <v>0.51376683702392523</v>
      </c>
      <c r="L285" s="10">
        <f t="shared" si="48"/>
        <v>3.381727742286926E-2</v>
      </c>
      <c r="R285" s="10">
        <f t="shared" si="49"/>
        <v>0.24062532839660331</v>
      </c>
      <c r="S285" s="10">
        <f t="shared" si="50"/>
        <v>1.5838495011654508E-2</v>
      </c>
      <c r="Y285" s="10">
        <f t="shared" si="51"/>
        <v>1.7374195658308136E-2</v>
      </c>
      <c r="Z285" s="10">
        <f t="shared" si="52"/>
        <v>1.0379954308221754E-2</v>
      </c>
      <c r="AA285" s="10">
        <f t="shared" si="53"/>
        <v>3.8111430634873295E-3</v>
      </c>
    </row>
    <row r="286" spans="1:27">
      <c r="A286" s="66">
        <v>13.7</v>
      </c>
      <c r="B286" s="10">
        <f t="shared" si="44"/>
        <v>0.98725180676977287</v>
      </c>
      <c r="C286" s="10">
        <f t="shared" si="45"/>
        <v>0.39576943027032097</v>
      </c>
      <c r="D286" s="66">
        <f t="shared" si="54"/>
        <v>2</v>
      </c>
      <c r="E286" s="10">
        <f t="shared" si="46"/>
        <v>1.3024136169953933E-2</v>
      </c>
      <c r="K286" s="10">
        <f t="shared" si="47"/>
        <v>0.51251502613005517</v>
      </c>
      <c r="L286" s="10">
        <f t="shared" si="48"/>
        <v>1.6866046184785145E-2</v>
      </c>
      <c r="R286" s="10">
        <f t="shared" si="49"/>
        <v>0.23937301537526037</v>
      </c>
      <c r="S286" s="10">
        <f t="shared" si="50"/>
        <v>7.8773813973718153E-3</v>
      </c>
      <c r="Y286" s="10">
        <f t="shared" si="51"/>
        <v>8.6441021011058761E-3</v>
      </c>
      <c r="Z286" s="10">
        <f t="shared" si="52"/>
        <v>5.1545549517457486E-3</v>
      </c>
      <c r="AA286" s="10">
        <f t="shared" si="53"/>
        <v>1.8856325383498735E-3</v>
      </c>
    </row>
    <row r="287" spans="1:27">
      <c r="A287" s="66">
        <v>13.75</v>
      </c>
      <c r="B287" s="10">
        <f t="shared" si="44"/>
        <v>0.98716979917897019</v>
      </c>
      <c r="C287" s="10">
        <f t="shared" si="45"/>
        <v>0.39443283111935212</v>
      </c>
      <c r="D287" s="66">
        <f t="shared" si="54"/>
        <v>4</v>
      </c>
      <c r="E287" s="10">
        <f t="shared" si="46"/>
        <v>2.5958145245712234E-2</v>
      </c>
      <c r="K287" s="10">
        <f t="shared" si="47"/>
        <v>0.51126626531727459</v>
      </c>
      <c r="L287" s="10">
        <f t="shared" si="48"/>
        <v>3.3647107764015735E-2</v>
      </c>
      <c r="R287" s="10">
        <f t="shared" si="49"/>
        <v>0.23812721990514063</v>
      </c>
      <c r="S287" s="10">
        <f t="shared" si="50"/>
        <v>1.5671466656853612E-2</v>
      </c>
      <c r="Y287" s="10">
        <f t="shared" si="51"/>
        <v>1.7202631125236199E-2</v>
      </c>
      <c r="Z287" s="10">
        <f t="shared" si="52"/>
        <v>1.0238744719873627E-2</v>
      </c>
      <c r="AA287" s="10">
        <f t="shared" si="53"/>
        <v>3.7318027868326591E-3</v>
      </c>
    </row>
    <row r="288" spans="1:27">
      <c r="A288" s="66">
        <v>13.8</v>
      </c>
      <c r="B288" s="10">
        <f t="shared" si="44"/>
        <v>0.98708738139528873</v>
      </c>
      <c r="C288" s="10">
        <f t="shared" si="45"/>
        <v>0.39310074595343047</v>
      </c>
      <c r="D288" s="66">
        <f t="shared" si="54"/>
        <v>2</v>
      </c>
      <c r="E288" s="10">
        <f t="shared" si="46"/>
        <v>1.2934159531590212E-2</v>
      </c>
      <c r="K288" s="10">
        <f t="shared" si="47"/>
        <v>0.51002054715395395</v>
      </c>
      <c r="L288" s="10">
        <f t="shared" si="48"/>
        <v>1.6781161544932959E-2</v>
      </c>
      <c r="R288" s="10">
        <f t="shared" si="49"/>
        <v>0.23688790806623103</v>
      </c>
      <c r="S288" s="10">
        <f t="shared" si="50"/>
        <v>7.7943021619101297E-3</v>
      </c>
      <c r="Y288" s="10">
        <f t="shared" si="51"/>
        <v>8.5587371930255993E-3</v>
      </c>
      <c r="Z288" s="10">
        <f t="shared" si="52"/>
        <v>5.0844277601487849E-3</v>
      </c>
      <c r="AA288" s="10">
        <f t="shared" si="53"/>
        <v>1.8463759339709925E-3</v>
      </c>
    </row>
    <row r="289" spans="1:27">
      <c r="A289" s="66">
        <v>13.85</v>
      </c>
      <c r="B289" s="10">
        <f t="shared" si="44"/>
        <v>0.98700455107841401</v>
      </c>
      <c r="C289" s="10">
        <f t="shared" si="45"/>
        <v>0.39177315952785013</v>
      </c>
      <c r="D289" s="66">
        <f t="shared" si="54"/>
        <v>4</v>
      </c>
      <c r="E289" s="10">
        <f t="shared" si="46"/>
        <v>2.5778792762957175E-2</v>
      </c>
      <c r="K289" s="10">
        <f t="shared" si="47"/>
        <v>0.50877786422657156</v>
      </c>
      <c r="L289" s="10">
        <f t="shared" si="48"/>
        <v>3.347773783197211E-2</v>
      </c>
      <c r="R289" s="10">
        <f t="shared" si="49"/>
        <v>0.23565504611505245</v>
      </c>
      <c r="S289" s="10">
        <f t="shared" si="50"/>
        <v>1.5506173533343355E-2</v>
      </c>
      <c r="Y289" s="10">
        <f t="shared" si="51"/>
        <v>1.7032731953287864E-2</v>
      </c>
      <c r="Z289" s="10">
        <f t="shared" si="52"/>
        <v>1.009943908955741E-2</v>
      </c>
      <c r="AA289" s="10">
        <f t="shared" si="53"/>
        <v>3.6541080390680341E-3</v>
      </c>
    </row>
    <row r="290" spans="1:27">
      <c r="A290" s="66">
        <v>13.9</v>
      </c>
      <c r="B290" s="10">
        <f t="shared" si="44"/>
        <v>0.98692130587504112</v>
      </c>
      <c r="C290" s="10">
        <f t="shared" si="45"/>
        <v>0.39045005664938975</v>
      </c>
      <c r="D290" s="66">
        <f t="shared" si="54"/>
        <v>2</v>
      </c>
      <c r="E290" s="10">
        <f t="shared" si="46"/>
        <v>1.2844782659579985E-2</v>
      </c>
      <c r="K290" s="10">
        <f t="shared" si="47"/>
        <v>0.50753820913966852</v>
      </c>
      <c r="L290" s="10">
        <f t="shared" si="48"/>
        <v>1.6696675738186714E-2</v>
      </c>
      <c r="R290" s="10">
        <f t="shared" si="49"/>
        <v>0.23442860048374034</v>
      </c>
      <c r="S290" s="10">
        <f t="shared" si="50"/>
        <v>7.712086017462377E-3</v>
      </c>
      <c r="Y290" s="10">
        <f t="shared" si="51"/>
        <v>8.4742009027450379E-3</v>
      </c>
      <c r="Z290" s="10">
        <f t="shared" si="52"/>
        <v>5.0152461170821045E-3</v>
      </c>
      <c r="AA290" s="10">
        <f t="shared" si="53"/>
        <v>1.8079335318839276E-3</v>
      </c>
    </row>
    <row r="291" spans="1:27">
      <c r="A291" s="66">
        <v>13.95</v>
      </c>
      <c r="B291" s="10">
        <f t="shared" si="44"/>
        <v>0.98683764341880653</v>
      </c>
      <c r="C291" s="10">
        <f t="shared" si="45"/>
        <v>0.38913142217613889</v>
      </c>
      <c r="D291" s="66">
        <f t="shared" si="54"/>
        <v>4</v>
      </c>
      <c r="E291" s="10">
        <f t="shared" si="46"/>
        <v>2.5600635709367308E-2</v>
      </c>
      <c r="K291" s="10">
        <f t="shared" si="47"/>
        <v>0.50630157451580549</v>
      </c>
      <c r="L291" s="10">
        <f t="shared" si="48"/>
        <v>3.3309163510293914E-2</v>
      </c>
      <c r="R291" s="10">
        <f t="shared" si="49"/>
        <v>0.23320853777913134</v>
      </c>
      <c r="S291" s="10">
        <f t="shared" si="50"/>
        <v>1.5342597589806909E-2</v>
      </c>
      <c r="Y291" s="10">
        <f t="shared" si="51"/>
        <v>1.6864481931066225E-2</v>
      </c>
      <c r="Z291" s="10">
        <f t="shared" si="52"/>
        <v>9.9620117821993467E-3</v>
      </c>
      <c r="AA291" s="10">
        <f t="shared" si="53"/>
        <v>3.5780247496524941E-3</v>
      </c>
    </row>
    <row r="292" spans="1:27">
      <c r="A292" s="66">
        <v>14</v>
      </c>
      <c r="B292" s="10">
        <f t="shared" si="44"/>
        <v>0.98675356133022007</v>
      </c>
      <c r="C292" s="10">
        <f t="shared" si="45"/>
        <v>0.3878172410173249</v>
      </c>
      <c r="D292" s="66">
        <f t="shared" si="54"/>
        <v>2</v>
      </c>
      <c r="E292" s="10">
        <f t="shared" si="46"/>
        <v>1.2756001457303523E-2</v>
      </c>
      <c r="K292" s="10">
        <f t="shared" si="47"/>
        <v>0.50506795299551888</v>
      </c>
      <c r="L292" s="10">
        <f t="shared" si="48"/>
        <v>1.661258671106975E-2</v>
      </c>
      <c r="R292" s="10">
        <f t="shared" si="49"/>
        <v>0.23199482478185374</v>
      </c>
      <c r="S292" s="10">
        <f t="shared" si="50"/>
        <v>7.6307239854558201E-3</v>
      </c>
      <c r="Y292" s="10">
        <f t="shared" si="51"/>
        <v>8.3904851641205588E-3</v>
      </c>
      <c r="Z292" s="10">
        <f t="shared" si="52"/>
        <v>4.9469972915844275E-3</v>
      </c>
      <c r="AA292" s="10">
        <f t="shared" si="53"/>
        <v>1.7702884739645116E-3</v>
      </c>
    </row>
    <row r="293" spans="1:27">
      <c r="A293" s="66">
        <v>14.05</v>
      </c>
      <c r="B293" s="10">
        <f t="shared" si="44"/>
        <v>0.98666905721659581</v>
      </c>
      <c r="C293" s="10">
        <f t="shared" si="45"/>
        <v>0.38650749813313878</v>
      </c>
      <c r="D293" s="66">
        <f t="shared" si="54"/>
        <v>4</v>
      </c>
      <c r="E293" s="10">
        <f t="shared" si="46"/>
        <v>2.5423665919344616E-2</v>
      </c>
      <c r="K293" s="10">
        <f t="shared" si="47"/>
        <v>0.5038373372372752</v>
      </c>
      <c r="L293" s="10">
        <f t="shared" si="48"/>
        <v>3.3141380701494826E-2</v>
      </c>
      <c r="R293" s="10">
        <f t="shared" si="49"/>
        <v>0.23078742844542294</v>
      </c>
      <c r="S293" s="10">
        <f t="shared" si="50"/>
        <v>1.5180720962779202E-2</v>
      </c>
      <c r="Y293" s="10">
        <f t="shared" si="51"/>
        <v>1.6697865005007972E-2</v>
      </c>
      <c r="Z293" s="10">
        <f t="shared" si="52"/>
        <v>9.826437507858634E-3</v>
      </c>
      <c r="AA293" s="10">
        <f t="shared" si="53"/>
        <v>3.5035195529473369E-3</v>
      </c>
    </row>
    <row r="294" spans="1:27">
      <c r="A294" s="66">
        <v>14.1</v>
      </c>
      <c r="B294" s="10">
        <f t="shared" si="44"/>
        <v>0.98658412867198542</v>
      </c>
      <c r="C294" s="10">
        <f t="shared" si="45"/>
        <v>0.38520217853456601</v>
      </c>
      <c r="D294" s="66">
        <f t="shared" si="54"/>
        <v>2</v>
      </c>
      <c r="E294" s="10">
        <f t="shared" si="46"/>
        <v>1.2667811855735846E-2</v>
      </c>
      <c r="K294" s="10">
        <f t="shared" si="47"/>
        <v>0.50260971991743097</v>
      </c>
      <c r="L294" s="10">
        <f t="shared" si="48"/>
        <v>1.652889241956031E-2</v>
      </c>
      <c r="R294" s="10">
        <f t="shared" si="49"/>
        <v>0.22958631589534223</v>
      </c>
      <c r="S294" s="10">
        <f t="shared" si="50"/>
        <v>7.5502071807539142E-3</v>
      </c>
      <c r="Y294" s="10">
        <f t="shared" si="51"/>
        <v>8.307581989540555E-3</v>
      </c>
      <c r="Z294" s="10">
        <f t="shared" si="52"/>
        <v>4.8796687240954513E-3</v>
      </c>
      <c r="AA294" s="10">
        <f t="shared" si="53"/>
        <v>1.7334242508758495E-3</v>
      </c>
    </row>
    <row r="295" spans="1:27">
      <c r="A295" s="66">
        <v>14.15</v>
      </c>
      <c r="B295" s="10">
        <f t="shared" si="44"/>
        <v>0.986498773277106</v>
      </c>
      <c r="C295" s="10">
        <f t="shared" si="45"/>
        <v>0.383901267283212</v>
      </c>
      <c r="D295" s="66">
        <f t="shared" si="54"/>
        <v>4</v>
      </c>
      <c r="E295" s="10">
        <f t="shared" si="46"/>
        <v>2.5247875282294333E-2</v>
      </c>
      <c r="K295" s="10">
        <f t="shared" si="47"/>
        <v>0.5013850937301858</v>
      </c>
      <c r="L295" s="10">
        <f t="shared" si="48"/>
        <v>3.2974385326950337E-2</v>
      </c>
      <c r="R295" s="10">
        <f t="shared" si="49"/>
        <v>0.22839145442820688</v>
      </c>
      <c r="S295" s="10">
        <f t="shared" si="50"/>
        <v>1.5020525974693342E-2</v>
      </c>
      <c r="Y295" s="10">
        <f t="shared" si="51"/>
        <v>1.6532865277848259E-2</v>
      </c>
      <c r="Z295" s="10">
        <f t="shared" si="52"/>
        <v>9.6926913170812777E-3</v>
      </c>
      <c r="AA295" s="10">
        <f t="shared" si="53"/>
        <v>3.4305597736368721E-3</v>
      </c>
    </row>
    <row r="296" spans="1:27">
      <c r="A296" s="66">
        <v>14.2</v>
      </c>
      <c r="B296" s="10">
        <f t="shared" si="44"/>
        <v>0.98641298859927307</v>
      </c>
      <c r="C296" s="10">
        <f t="shared" si="45"/>
        <v>0.38260474949113266</v>
      </c>
      <c r="D296" s="66">
        <f t="shared" si="54"/>
        <v>2</v>
      </c>
      <c r="E296" s="10">
        <f t="shared" si="46"/>
        <v>1.2580209813260813E-2</v>
      </c>
      <c r="K296" s="10">
        <f t="shared" si="47"/>
        <v>0.50016345138754026</v>
      </c>
      <c r="L296" s="10">
        <f t="shared" si="48"/>
        <v>1.6445590829043694E-2</v>
      </c>
      <c r="R296" s="10">
        <f t="shared" si="49"/>
        <v>0.22720281151081426</v>
      </c>
      <c r="S296" s="10">
        <f t="shared" si="50"/>
        <v>7.4705268106846539E-3</v>
      </c>
      <c r="Y296" s="10">
        <f t="shared" si="51"/>
        <v>8.2254834691617741E-3</v>
      </c>
      <c r="Z296" s="10">
        <f t="shared" si="52"/>
        <v>4.8132480241485417E-3</v>
      </c>
      <c r="AA296" s="10">
        <f t="shared" si="53"/>
        <v>1.6973246948544698E-3</v>
      </c>
    </row>
    <row r="297" spans="1:27">
      <c r="A297" s="66">
        <v>14.25</v>
      </c>
      <c r="B297" s="10">
        <f t="shared" si="44"/>
        <v>0.98632677219232978</v>
      </c>
      <c r="C297" s="10">
        <f t="shared" si="45"/>
        <v>0.3813126103206636</v>
      </c>
      <c r="D297" s="66">
        <f t="shared" si="54"/>
        <v>4</v>
      </c>
      <c r="E297" s="10">
        <f t="shared" si="46"/>
        <v>2.5073255742254122E-2</v>
      </c>
      <c r="K297" s="10">
        <f t="shared" si="47"/>
        <v>0.49894478561925226</v>
      </c>
      <c r="L297" s="10">
        <f t="shared" si="48"/>
        <v>3.2808173326802074E-2</v>
      </c>
      <c r="R297" s="10">
        <f t="shared" si="49"/>
        <v>0.22602035477927787</v>
      </c>
      <c r="S297" s="10">
        <f t="shared" si="50"/>
        <v>1.486199513194736E-2</v>
      </c>
      <c r="Y297" s="10">
        <f t="shared" si="51"/>
        <v>1.6369467007100531E-2</v>
      </c>
      <c r="Z297" s="10">
        <f t="shared" si="52"/>
        <v>9.5607485963164866E-3</v>
      </c>
      <c r="AA297" s="10">
        <f t="shared" si="53"/>
        <v>3.359113412450643E-3</v>
      </c>
    </row>
    <row r="298" spans="1:27">
      <c r="A298" s="66">
        <v>14.3</v>
      </c>
      <c r="B298" s="10">
        <f t="shared" si="44"/>
        <v>0.98624012159657704</v>
      </c>
      <c r="C298" s="10">
        <f t="shared" si="45"/>
        <v>0.38002483498425071</v>
      </c>
      <c r="D298" s="66">
        <f t="shared" si="54"/>
        <v>2</v>
      </c>
      <c r="E298" s="10">
        <f t="shared" si="46"/>
        <v>1.2493191315486219E-2</v>
      </c>
      <c r="K298" s="10">
        <f t="shared" si="47"/>
        <v>0.49772908917279446</v>
      </c>
      <c r="L298" s="10">
        <f t="shared" si="48"/>
        <v>1.6362679914264346E-2</v>
      </c>
      <c r="R298" s="10">
        <f t="shared" si="49"/>
        <v>0.22484405203814609</v>
      </c>
      <c r="S298" s="10">
        <f t="shared" si="50"/>
        <v>7.391674174078944E-3</v>
      </c>
      <c r="Y298" s="10">
        <f t="shared" si="51"/>
        <v>8.1441817701527718E-3</v>
      </c>
      <c r="Z298" s="10">
        <f t="shared" si="52"/>
        <v>4.7477229680943245E-3</v>
      </c>
      <c r="AA298" s="10">
        <f t="shared" si="53"/>
        <v>1.6619739726456265E-3</v>
      </c>
    </row>
    <row r="299" spans="1:27">
      <c r="A299" s="66">
        <v>14.35</v>
      </c>
      <c r="B299" s="10">
        <f t="shared" si="44"/>
        <v>0.98615303433870338</v>
      </c>
      <c r="C299" s="10">
        <f t="shared" si="45"/>
        <v>0.37874140874428053</v>
      </c>
      <c r="D299" s="66">
        <f t="shared" si="54"/>
        <v>4</v>
      </c>
      <c r="E299" s="10">
        <f t="shared" si="46"/>
        <v>2.4899799297525827E-2</v>
      </c>
      <c r="K299" s="10">
        <f t="shared" si="47"/>
        <v>0.49651635481331002</v>
      </c>
      <c r="L299" s="10">
        <f t="shared" si="48"/>
        <v>3.2642740659862536E-2</v>
      </c>
      <c r="R299" s="10">
        <f t="shared" si="49"/>
        <v>0.2236738712595259</v>
      </c>
      <c r="S299" s="10">
        <f t="shared" si="50"/>
        <v>1.4705111122991067E-2</v>
      </c>
      <c r="Y299" s="10">
        <f t="shared" si="51"/>
        <v>1.6207654603551169E-2</v>
      </c>
      <c r="Z299" s="10">
        <f t="shared" si="52"/>
        <v>9.430585063394779E-3</v>
      </c>
      <c r="AA299" s="10">
        <f t="shared" si="53"/>
        <v>3.2891491321809263E-3</v>
      </c>
    </row>
    <row r="300" spans="1:27">
      <c r="A300" s="66">
        <v>14.4</v>
      </c>
      <c r="B300" s="10">
        <f t="shared" si="44"/>
        <v>0.98606550793171421</v>
      </c>
      <c r="C300" s="10">
        <f t="shared" si="45"/>
        <v>0.37746231691291149</v>
      </c>
      <c r="D300" s="66">
        <f t="shared" si="54"/>
        <v>2</v>
      </c>
      <c r="E300" s="10">
        <f t="shared" si="46"/>
        <v>1.2406752375060391E-2</v>
      </c>
      <c r="K300" s="10">
        <f t="shared" si="47"/>
        <v>0.49530657532357031</v>
      </c>
      <c r="L300" s="10">
        <f t="shared" si="48"/>
        <v>1.6280157659278472E-2</v>
      </c>
      <c r="R300" s="10">
        <f t="shared" si="49"/>
        <v>0.2225097805822103</v>
      </c>
      <c r="S300" s="10">
        <f t="shared" si="50"/>
        <v>7.3136406603190483E-3</v>
      </c>
      <c r="Y300" s="10">
        <f t="shared" si="51"/>
        <v>8.0636691359450129E-3</v>
      </c>
      <c r="Z300" s="10">
        <f t="shared" si="52"/>
        <v>4.6830814968550627E-3</v>
      </c>
      <c r="AA300" s="10">
        <f t="shared" si="53"/>
        <v>1.627356578584723E-3</v>
      </c>
    </row>
    <row r="301" spans="1:27">
      <c r="A301" s="66">
        <v>14.45</v>
      </c>
      <c r="B301" s="10">
        <f t="shared" si="44"/>
        <v>0.98597753987486081</v>
      </c>
      <c r="C301" s="10">
        <f t="shared" si="45"/>
        <v>0.37618754485190636</v>
      </c>
      <c r="D301" s="66">
        <f t="shared" si="54"/>
        <v>4</v>
      </c>
      <c r="E301" s="10">
        <f t="shared" si="46"/>
        <v>2.4727498000309767E-2</v>
      </c>
      <c r="K301" s="10">
        <f t="shared" si="47"/>
        <v>0.49409974350393177</v>
      </c>
      <c r="L301" s="10">
        <f t="shared" si="48"/>
        <v>3.2478083303520429E-2</v>
      </c>
      <c r="R301" s="10">
        <f t="shared" si="49"/>
        <v>0.2213517483108112</v>
      </c>
      <c r="S301" s="10">
        <f t="shared" si="50"/>
        <v>1.4549856816432869E-2</v>
      </c>
      <c r="Y301" s="10">
        <f t="shared" si="51"/>
        <v>1.6047412629768772E-2</v>
      </c>
      <c r="Z301" s="10">
        <f t="shared" si="52"/>
        <v>9.3021767630669557E-3</v>
      </c>
      <c r="AA301" s="10">
        <f t="shared" si="53"/>
        <v>3.2206362439893893E-3</v>
      </c>
    </row>
    <row r="302" spans="1:27">
      <c r="A302" s="66">
        <v>14.5</v>
      </c>
      <c r="B302" s="10">
        <f t="shared" si="44"/>
        <v>0.98588912765356929</v>
      </c>
      <c r="C302" s="10">
        <f t="shared" si="45"/>
        <v>0.37491707797246426</v>
      </c>
      <c r="D302" s="66">
        <f t="shared" si="54"/>
        <v>2</v>
      </c>
      <c r="E302" s="10">
        <f t="shared" si="46"/>
        <v>1.2320889031489935E-2</v>
      </c>
      <c r="K302" s="10">
        <f t="shared" si="47"/>
        <v>0.49289585217229281</v>
      </c>
      <c r="L302" s="10">
        <f t="shared" si="48"/>
        <v>1.6198022057406818E-2</v>
      </c>
      <c r="R302" s="10">
        <f t="shared" si="49"/>
        <v>0.22019974291489644</v>
      </c>
      <c r="S302" s="10">
        <f t="shared" si="50"/>
        <v>7.2364177483969184E-3</v>
      </c>
      <c r="Y302" s="10">
        <f t="shared" si="51"/>
        <v>7.9839378854911301E-3</v>
      </c>
      <c r="Z302" s="10">
        <f t="shared" si="52"/>
        <v>4.6193117137091916E-3</v>
      </c>
      <c r="AA302" s="10">
        <f t="shared" si="53"/>
        <v>1.5934573278217953E-3</v>
      </c>
    </row>
    <row r="303" spans="1:27">
      <c r="A303" s="66">
        <v>14.55</v>
      </c>
      <c r="B303" s="10">
        <f t="shared" si="44"/>
        <v>0.98580026873936866</v>
      </c>
      <c r="C303" s="10">
        <f t="shared" si="45"/>
        <v>0.37365090173505394</v>
      </c>
      <c r="D303" s="66">
        <f t="shared" si="54"/>
        <v>4</v>
      </c>
      <c r="E303" s="10">
        <f t="shared" si="46"/>
        <v>2.4556343956341573E-2</v>
      </c>
      <c r="K303" s="10">
        <f t="shared" si="47"/>
        <v>0.49169489416405149</v>
      </c>
      <c r="L303" s="10">
        <f t="shared" si="48"/>
        <v>3.2314197253646496E-2</v>
      </c>
      <c r="R303" s="10">
        <f t="shared" si="49"/>
        <v>0.21905373302813094</v>
      </c>
      <c r="S303" s="10">
        <f t="shared" si="50"/>
        <v>1.4396215259166229E-2</v>
      </c>
      <c r="Y303" s="10">
        <f t="shared" si="51"/>
        <v>1.5888725798627996E-2</v>
      </c>
      <c r="Z303" s="10">
        <f t="shared" si="52"/>
        <v>9.1755000626031705E-3</v>
      </c>
      <c r="AA303" s="10">
        <f t="shared" si="53"/>
        <v>3.1535446939969041E-3</v>
      </c>
    </row>
    <row r="304" spans="1:27">
      <c r="A304" s="66">
        <v>14.6</v>
      </c>
      <c r="B304" s="10">
        <f t="shared" si="44"/>
        <v>0.98571096058981944</v>
      </c>
      <c r="C304" s="10">
        <f t="shared" si="45"/>
        <v>0.37238900164924726</v>
      </c>
      <c r="D304" s="66">
        <f t="shared" si="54"/>
        <v>2</v>
      </c>
      <c r="E304" s="10">
        <f t="shared" si="46"/>
        <v>1.2235597350958778E-2</v>
      </c>
      <c r="K304" s="10">
        <f t="shared" si="47"/>
        <v>0.49049686233206274</v>
      </c>
      <c r="L304" s="10">
        <f t="shared" si="48"/>
        <v>1.6116271111187665E-2</v>
      </c>
      <c r="R304" s="10">
        <f t="shared" si="49"/>
        <v>0.21791368744742315</v>
      </c>
      <c r="S304" s="10">
        <f t="shared" si="50"/>
        <v>7.1599970059823045E-3</v>
      </c>
      <c r="Y304" s="10">
        <f t="shared" si="51"/>
        <v>7.904980412530415E-3</v>
      </c>
      <c r="Z304" s="10">
        <f t="shared" si="52"/>
        <v>4.5564018821057138E-3</v>
      </c>
      <c r="AA304" s="10">
        <f t="shared" si="53"/>
        <v>1.5602613496861135E-3</v>
      </c>
    </row>
    <row r="305" spans="1:27">
      <c r="A305" s="66">
        <v>14.65</v>
      </c>
      <c r="B305" s="10">
        <f t="shared" si="44"/>
        <v>0.98562120064844094</v>
      </c>
      <c r="C305" s="10">
        <f t="shared" si="45"/>
        <v>0.37113136327355323</v>
      </c>
      <c r="D305" s="66">
        <f t="shared" si="54"/>
        <v>4</v>
      </c>
      <c r="E305" s="10">
        <f t="shared" si="46"/>
        <v>2.4386329324531483E-2</v>
      </c>
      <c r="K305" s="10">
        <f t="shared" si="47"/>
        <v>0.48930174954659544</v>
      </c>
      <c r="L305" s="10">
        <f t="shared" si="48"/>
        <v>3.2151078524499881E-2</v>
      </c>
      <c r="R305" s="10">
        <f t="shared" si="49"/>
        <v>0.21677957513207505</v>
      </c>
      <c r="S305" s="10">
        <f t="shared" si="50"/>
        <v>1.4244169674515649E-2</v>
      </c>
      <c r="Y305" s="10">
        <f t="shared" si="51"/>
        <v>1.5731578971847765E-2</v>
      </c>
      <c r="Z305" s="10">
        <f t="shared" si="52"/>
        <v>9.0505316474511974E-3</v>
      </c>
      <c r="AA305" s="10">
        <f t="shared" si="53"/>
        <v>3.0878450501506901E-3</v>
      </c>
    </row>
    <row r="306" spans="1:27">
      <c r="A306" s="66">
        <v>14.7</v>
      </c>
      <c r="B306" s="10">
        <f t="shared" si="44"/>
        <v>0.9855309863446392</v>
      </c>
      <c r="C306" s="10">
        <f t="shared" si="45"/>
        <v>0.3698779722152532</v>
      </c>
      <c r="D306" s="66">
        <f t="shared" si="54"/>
        <v>2</v>
      </c>
      <c r="E306" s="10">
        <f t="shared" si="46"/>
        <v>1.2150873426148451E-2</v>
      </c>
      <c r="K306" s="10">
        <f t="shared" si="47"/>
        <v>0.48810954869529055</v>
      </c>
      <c r="L306" s="10">
        <f t="shared" si="48"/>
        <v>1.6034902832330212E-2</v>
      </c>
      <c r="R306" s="10">
        <f t="shared" si="49"/>
        <v>0.21565136520293726</v>
      </c>
      <c r="S306" s="10">
        <f t="shared" si="50"/>
        <v>7.0843700885006248E-3</v>
      </c>
      <c r="Y306" s="10">
        <f t="shared" si="51"/>
        <v>7.8267891848615365E-3</v>
      </c>
      <c r="Z306" s="10">
        <f t="shared" si="52"/>
        <v>4.4943404235079955E-3</v>
      </c>
      <c r="AA306" s="10">
        <f t="shared" si="53"/>
        <v>1.5277540811880132E-3</v>
      </c>
    </row>
    <row r="307" spans="1:27">
      <c r="A307" s="66">
        <v>14.75</v>
      </c>
      <c r="B307" s="10">
        <f t="shared" si="44"/>
        <v>0.98544031509363383</v>
      </c>
      <c r="C307" s="10">
        <f t="shared" si="45"/>
        <v>0.36862881413023563</v>
      </c>
      <c r="D307" s="66">
        <f t="shared" si="54"/>
        <v>4</v>
      </c>
      <c r="E307" s="10">
        <f t="shared" si="46"/>
        <v>2.4217446316606134E-2</v>
      </c>
      <c r="K307" s="10">
        <f t="shared" si="47"/>
        <v>0.4869202526831185</v>
      </c>
      <c r="L307" s="10">
        <f t="shared" si="48"/>
        <v>3.1988723148634941E-2</v>
      </c>
      <c r="R307" s="10">
        <f t="shared" si="49"/>
        <v>0.21452902694156809</v>
      </c>
      <c r="S307" s="10">
        <f t="shared" si="50"/>
        <v>1.4093703460401969E-2</v>
      </c>
      <c r="Y307" s="10">
        <f t="shared" si="51"/>
        <v>1.5575957158543648E-2</v>
      </c>
      <c r="Z307" s="10">
        <f t="shared" si="52"/>
        <v>8.9272485169531613E-3</v>
      </c>
      <c r="AA307" s="10">
        <f t="shared" si="53"/>
        <v>3.0235084893630456E-3</v>
      </c>
    </row>
    <row r="308" spans="1:27">
      <c r="A308" s="66">
        <v>14.8</v>
      </c>
      <c r="B308" s="10">
        <f t="shared" si="44"/>
        <v>0.98534918429638541</v>
      </c>
      <c r="C308" s="10">
        <f t="shared" si="45"/>
        <v>0.36738387472283224</v>
      </c>
      <c r="D308" s="66">
        <f t="shared" si="54"/>
        <v>2</v>
      </c>
      <c r="E308" s="10">
        <f t="shared" si="46"/>
        <v>1.2066713376059607E-2</v>
      </c>
      <c r="K308" s="10">
        <f t="shared" si="47"/>
        <v>0.48573385443233708</v>
      </c>
      <c r="L308" s="10">
        <f t="shared" si="48"/>
        <v>1.5953915241668087E-2</v>
      </c>
      <c r="R308" s="10">
        <f t="shared" si="49"/>
        <v>0.21341252978939731</v>
      </c>
      <c r="S308" s="10">
        <f t="shared" si="50"/>
        <v>7.0095287382203574E-3</v>
      </c>
      <c r="Y308" s="10">
        <f t="shared" si="51"/>
        <v>7.7493567436222504E-3</v>
      </c>
      <c r="Z308" s="10">
        <f t="shared" si="52"/>
        <v>4.4331159152666069E-3</v>
      </c>
      <c r="AA308" s="10">
        <f t="shared" si="53"/>
        <v>1.4959212606550885E-3</v>
      </c>
    </row>
    <row r="309" spans="1:27">
      <c r="A309" s="66">
        <v>14.85</v>
      </c>
      <c r="B309" s="10">
        <f t="shared" si="44"/>
        <v>0.98525759133952118</v>
      </c>
      <c r="C309" s="10">
        <f t="shared" si="45"/>
        <v>0.36614313974565432</v>
      </c>
      <c r="D309" s="66">
        <f t="shared" si="54"/>
        <v>4</v>
      </c>
      <c r="E309" s="10">
        <f t="shared" si="46"/>
        <v>2.4049687196752875E-2</v>
      </c>
      <c r="K309" s="10">
        <f t="shared" si="47"/>
        <v>0.48455034688244902</v>
      </c>
      <c r="L309" s="10">
        <f t="shared" si="48"/>
        <v>3.1827127176808745E-2</v>
      </c>
      <c r="R309" s="10">
        <f t="shared" si="49"/>
        <v>0.21230184334689409</v>
      </c>
      <c r="S309" s="10">
        <f t="shared" si="50"/>
        <v>1.3944800187526748E-2</v>
      </c>
      <c r="Y309" s="10">
        <f t="shared" si="51"/>
        <v>1.5421845513794498E-2</v>
      </c>
      <c r="Z309" s="10">
        <f t="shared" si="52"/>
        <v>8.8056279801199608E-3</v>
      </c>
      <c r="AA309" s="10">
        <f t="shared" si="53"/>
        <v>2.9605067849160431E-3</v>
      </c>
    </row>
    <row r="310" spans="1:27">
      <c r="A310" s="66">
        <v>14.9</v>
      </c>
      <c r="B310" s="10">
        <f t="shared" si="44"/>
        <v>0.98516553359526204</v>
      </c>
      <c r="C310" s="10">
        <f t="shared" si="45"/>
        <v>0.36490659499942962</v>
      </c>
      <c r="D310" s="66">
        <f t="shared" si="54"/>
        <v>2</v>
      </c>
      <c r="E310" s="10">
        <f t="shared" si="46"/>
        <v>1.1983113345834776E-2</v>
      </c>
      <c r="K310" s="10">
        <f t="shared" si="47"/>
        <v>0.48336972299016046</v>
      </c>
      <c r="L310" s="10">
        <f t="shared" si="48"/>
        <v>1.5873306369113181E-2</v>
      </c>
      <c r="R310" s="10">
        <f t="shared" si="49"/>
        <v>0.21119693737273901</v>
      </c>
      <c r="S310" s="10">
        <f t="shared" si="50"/>
        <v>6.9354647833499861E-3</v>
      </c>
      <c r="Y310" s="10">
        <f t="shared" si="51"/>
        <v>7.6726757025761877E-3</v>
      </c>
      <c r="Z310" s="10">
        <f t="shared" si="52"/>
        <v>4.3727170885207904E-3</v>
      </c>
      <c r="AA310" s="10">
        <f t="shared" si="53"/>
        <v>1.464748921500004E-3</v>
      </c>
    </row>
    <row r="311" spans="1:27">
      <c r="A311" s="66">
        <v>14.95</v>
      </c>
      <c r="B311" s="10">
        <f t="shared" si="44"/>
        <v>0.98507300842134815</v>
      </c>
      <c r="C311" s="10">
        <f t="shared" si="45"/>
        <v>0.36367422633284002</v>
      </c>
      <c r="D311" s="66">
        <f t="shared" si="54"/>
        <v>4</v>
      </c>
      <c r="E311" s="10">
        <f t="shared" si="46"/>
        <v>2.3883044281266471E-2</v>
      </c>
      <c r="K311" s="10">
        <f t="shared" si="47"/>
        <v>0.48219197572933847</v>
      </c>
      <c r="L311" s="10">
        <f t="shared" si="48"/>
        <v>3.1666286677888879E-2</v>
      </c>
      <c r="R311" s="10">
        <f t="shared" si="49"/>
        <v>0.21009778178300123</v>
      </c>
      <c r="S311" s="10">
        <f t="shared" si="50"/>
        <v>1.379744359757553E-2</v>
      </c>
      <c r="Y311" s="10">
        <f t="shared" si="51"/>
        <v>1.5269229337222868E-2</v>
      </c>
      <c r="Z311" s="10">
        <f t="shared" si="52"/>
        <v>8.6856476514625431E-3</v>
      </c>
      <c r="AA311" s="10">
        <f t="shared" si="53"/>
        <v>2.8988122941266911E-3</v>
      </c>
    </row>
    <row r="312" spans="1:27">
      <c r="A312" s="66">
        <v>15</v>
      </c>
      <c r="B312" s="10">
        <f t="shared" si="44"/>
        <v>0.98498001316096495</v>
      </c>
      <c r="C312" s="10">
        <f t="shared" si="45"/>
        <v>0.36244601964235967</v>
      </c>
      <c r="D312" s="66">
        <f t="shared" si="54"/>
        <v>2</v>
      </c>
      <c r="E312" s="10">
        <f t="shared" si="46"/>
        <v>1.190006950658236E-2</v>
      </c>
      <c r="K312" s="10">
        <f t="shared" si="47"/>
        <v>0.48101709809097021</v>
      </c>
      <c r="L312" s="10">
        <f t="shared" si="48"/>
        <v>1.5793074253609766E-2</v>
      </c>
      <c r="R312" s="10">
        <f t="shared" si="49"/>
        <v>0.2090043466503187</v>
      </c>
      <c r="S312" s="10">
        <f t="shared" si="50"/>
        <v>6.8621701371443262E-3</v>
      </c>
      <c r="Y312" s="10">
        <f t="shared" si="51"/>
        <v>7.596738747406585E-3</v>
      </c>
      <c r="Z312" s="10">
        <f t="shared" si="52"/>
        <v>4.3131328261281953E-3</v>
      </c>
      <c r="AA312" s="10">
        <f t="shared" si="53"/>
        <v>1.4342233861171778E-3</v>
      </c>
    </row>
    <row r="313" spans="1:27">
      <c r="A313" s="66">
        <v>15.05</v>
      </c>
      <c r="B313" s="10">
        <f t="shared" si="44"/>
        <v>0.98488654514266694</v>
      </c>
      <c r="C313" s="10">
        <f t="shared" si="45"/>
        <v>0.36122196087209235</v>
      </c>
      <c r="D313" s="66">
        <f t="shared" si="54"/>
        <v>4</v>
      </c>
      <c r="E313" s="10">
        <f t="shared" si="46"/>
        <v>2.3717509938198312E-2</v>
      </c>
      <c r="K313" s="10">
        <f t="shared" si="47"/>
        <v>0.47984508308311924</v>
      </c>
      <c r="L313" s="10">
        <f t="shared" si="48"/>
        <v>3.1506197738761954E-2</v>
      </c>
      <c r="R313" s="10">
        <f t="shared" si="49"/>
        <v>0.20791660220308375</v>
      </c>
      <c r="S313" s="10">
        <f t="shared" si="50"/>
        <v>1.3651617601439826E-2</v>
      </c>
      <c r="Y313" s="10">
        <f t="shared" si="51"/>
        <v>1.5118094071589414E-2</v>
      </c>
      <c r="Z313" s="10">
        <f t="shared" si="52"/>
        <v>8.5672854468793313E-3</v>
      </c>
      <c r="AA313" s="10">
        <f t="shared" si="53"/>
        <v>2.8383979462671808E-3</v>
      </c>
    </row>
    <row r="314" spans="1:27">
      <c r="A314" s="66">
        <v>15.1</v>
      </c>
      <c r="B314" s="10">
        <f t="shared" si="44"/>
        <v>0.98479260168030525</v>
      </c>
      <c r="C314" s="10">
        <f t="shared" si="45"/>
        <v>0.36000203601361314</v>
      </c>
      <c r="D314" s="66">
        <f t="shared" si="54"/>
        <v>2</v>
      </c>
      <c r="E314" s="10">
        <f t="shared" si="46"/>
        <v>1.1817578055201769E-2</v>
      </c>
      <c r="K314" s="10">
        <f t="shared" si="47"/>
        <v>0.47867592373088663</v>
      </c>
      <c r="L314" s="10">
        <f t="shared" si="48"/>
        <v>1.5713216943088776E-2</v>
      </c>
      <c r="R314" s="10">
        <f t="shared" si="49"/>
        <v>0.20683451882463263</v>
      </c>
      <c r="S314" s="10">
        <f t="shared" si="50"/>
        <v>6.7896367970201356E-3</v>
      </c>
      <c r="Y314" s="10">
        <f t="shared" si="51"/>
        <v>7.5215386350168381E-3</v>
      </c>
      <c r="Z314" s="10">
        <f t="shared" si="52"/>
        <v>4.2543521606224315E-3</v>
      </c>
      <c r="AA314" s="10">
        <f t="shared" si="53"/>
        <v>1.4043312599056796E-3</v>
      </c>
    </row>
    <row r="315" spans="1:27">
      <c r="A315" s="66">
        <v>15.15</v>
      </c>
      <c r="B315" s="10">
        <f t="shared" si="44"/>
        <v>0.9846981800729504</v>
      </c>
      <c r="C315" s="10">
        <f t="shared" si="45"/>
        <v>0.35878623110580554</v>
      </c>
      <c r="D315" s="66">
        <f t="shared" si="54"/>
        <v>4</v>
      </c>
      <c r="E315" s="10">
        <f t="shared" si="46"/>
        <v>2.355307658700798E-2</v>
      </c>
      <c r="K315" s="10">
        <f t="shared" si="47"/>
        <v>0.47750961307636741</v>
      </c>
      <c r="L315" s="10">
        <f t="shared" si="48"/>
        <v>3.1346856464242512E-2</v>
      </c>
      <c r="R315" s="10">
        <f t="shared" si="49"/>
        <v>0.2057580670524386</v>
      </c>
      <c r="S315" s="10">
        <f t="shared" si="50"/>
        <v>1.3507306277457625E-2</v>
      </c>
      <c r="Y315" s="10">
        <f t="shared" si="51"/>
        <v>1.4968425301400868E-2</v>
      </c>
      <c r="Z315" s="10">
        <f t="shared" si="52"/>
        <v>8.4505195795989817E-3</v>
      </c>
      <c r="AA315" s="10">
        <f t="shared" si="53"/>
        <v>2.7792372307349506E-3</v>
      </c>
    </row>
    <row r="316" spans="1:27">
      <c r="A316" s="66">
        <v>15.2</v>
      </c>
      <c r="B316" s="10">
        <f t="shared" si="44"/>
        <v>0.98460327760481658</v>
      </c>
      <c r="C316" s="10">
        <f t="shared" si="45"/>
        <v>0.35757453223470337</v>
      </c>
      <c r="D316" s="66">
        <f t="shared" si="54"/>
        <v>2</v>
      </c>
      <c r="E316" s="10">
        <f t="shared" si="46"/>
        <v>1.1735635214209937E-2</v>
      </c>
      <c r="K316" s="10">
        <f t="shared" si="47"/>
        <v>0.47634614417860971</v>
      </c>
      <c r="L316" s="10">
        <f t="shared" si="48"/>
        <v>1.5633732494422525E-2</v>
      </c>
      <c r="R316" s="10">
        <f t="shared" si="49"/>
        <v>0.20468721757731012</v>
      </c>
      <c r="S316" s="10">
        <f t="shared" si="50"/>
        <v>6.7178568436809935E-3</v>
      </c>
      <c r="Y316" s="10">
        <f t="shared" si="51"/>
        <v>7.4470681928380071E-3</v>
      </c>
      <c r="Z316" s="10">
        <f t="shared" si="52"/>
        <v>4.1963642721982311E-3</v>
      </c>
      <c r="AA316" s="10">
        <f t="shared" si="53"/>
        <v>1.3750594254157533E-3</v>
      </c>
    </row>
    <row r="317" spans="1:27">
      <c r="A317" s="66">
        <v>15.25</v>
      </c>
      <c r="B317" s="10">
        <f t="shared" si="44"/>
        <v>0.98450789154518648</v>
      </c>
      <c r="C317" s="10">
        <f t="shared" si="45"/>
        <v>0.35636692553333049</v>
      </c>
      <c r="D317" s="66">
        <f t="shared" si="54"/>
        <v>4</v>
      </c>
      <c r="E317" s="10">
        <f t="shared" si="46"/>
        <v>2.3389736698217312E-2</v>
      </c>
      <c r="K317" s="10">
        <f t="shared" si="47"/>
        <v>0.47518551011357363</v>
      </c>
      <c r="L317" s="10">
        <f t="shared" si="48"/>
        <v>3.118825897698255E-2</v>
      </c>
      <c r="R317" s="10">
        <f t="shared" si="49"/>
        <v>0.20362194124259267</v>
      </c>
      <c r="S317" s="10">
        <f t="shared" si="50"/>
        <v>1.3364493869672183E-2</v>
      </c>
      <c r="Y317" s="10">
        <f t="shared" si="51"/>
        <v>1.4820208751531696E-2</v>
      </c>
      <c r="Z317" s="10">
        <f t="shared" si="52"/>
        <v>8.3353285561778168E-3</v>
      </c>
      <c r="AA317" s="10">
        <f t="shared" si="53"/>
        <v>2.7213041854673792E-3</v>
      </c>
    </row>
    <row r="318" spans="1:27">
      <c r="A318" s="66">
        <v>15.3</v>
      </c>
      <c r="B318" s="10">
        <f t="shared" si="44"/>
        <v>0.98441201914833498</v>
      </c>
      <c r="C318" s="10">
        <f t="shared" si="45"/>
        <v>0.35516339718154277</v>
      </c>
      <c r="D318" s="66">
        <f t="shared" si="54"/>
        <v>2</v>
      </c>
      <c r="E318" s="10">
        <f t="shared" si="46"/>
        <v>1.1654237231568819E-2</v>
      </c>
      <c r="K318" s="10">
        <f t="shared" si="47"/>
        <v>0.47402770397408989</v>
      </c>
      <c r="L318" s="10">
        <f t="shared" si="48"/>
        <v>1.5554618973379434E-2</v>
      </c>
      <c r="R318" s="10">
        <f t="shared" si="49"/>
        <v>0.20256220904337482</v>
      </c>
      <c r="S318" s="10">
        <f t="shared" si="50"/>
        <v>6.6468224402511898E-3</v>
      </c>
      <c r="Y318" s="10">
        <f t="shared" si="51"/>
        <v>7.373320318142868E-3</v>
      </c>
      <c r="Z318" s="10">
        <f t="shared" si="52"/>
        <v>4.1391584867236002E-3</v>
      </c>
      <c r="AA318" s="10">
        <f t="shared" si="53"/>
        <v>1.3463950366163562E-3</v>
      </c>
    </row>
    <row r="319" spans="1:27">
      <c r="A319" s="66">
        <v>15.35</v>
      </c>
      <c r="B319" s="10">
        <f t="shared" si="44"/>
        <v>0.98431565765345164</v>
      </c>
      <c r="C319" s="10">
        <f t="shared" si="45"/>
        <v>0.35396393340586962</v>
      </c>
      <c r="D319" s="66">
        <f t="shared" si="54"/>
        <v>4</v>
      </c>
      <c r="E319" s="10">
        <f t="shared" si="46"/>
        <v>2.3227482793066741E-2</v>
      </c>
      <c r="K319" s="10">
        <f t="shared" si="47"/>
        <v>0.47287271886981913</v>
      </c>
      <c r="L319" s="10">
        <f t="shared" si="48"/>
        <v>3.1030401417381455E-2</v>
      </c>
      <c r="R319" s="10">
        <f t="shared" si="49"/>
        <v>0.201507992125699</v>
      </c>
      <c r="S319" s="10">
        <f t="shared" si="50"/>
        <v>1.3223164786108934E-2</v>
      </c>
      <c r="Y319" s="10">
        <f t="shared" si="51"/>
        <v>1.4673430285859058E-2</v>
      </c>
      <c r="Z319" s="10">
        <f t="shared" si="52"/>
        <v>8.2216911725510582E-3</v>
      </c>
      <c r="AA319" s="10">
        <f t="shared" si="53"/>
        <v>2.6645733855960594E-3</v>
      </c>
    </row>
    <row r="320" spans="1:27">
      <c r="A320" s="66">
        <v>15.4</v>
      </c>
      <c r="B320" s="10">
        <f t="shared" si="44"/>
        <v>0.98421880428456521</v>
      </c>
      <c r="C320" s="10">
        <f t="shared" si="45"/>
        <v>0.35276852047935642</v>
      </c>
      <c r="D320" s="66">
        <f t="shared" si="54"/>
        <v>2</v>
      </c>
      <c r="E320" s="10">
        <f t="shared" si="46"/>
        <v>1.1573380380514245E-2</v>
      </c>
      <c r="K320" s="10">
        <f t="shared" si="47"/>
        <v>0.4717205479272098</v>
      </c>
      <c r="L320" s="10">
        <f t="shared" si="48"/>
        <v>1.5475874454579279E-2</v>
      </c>
      <c r="R320" s="10">
        <f t="shared" si="49"/>
        <v>0.20045926178577497</v>
      </c>
      <c r="S320" s="10">
        <f t="shared" si="50"/>
        <v>6.5765258314187357E-3</v>
      </c>
      <c r="Y320" s="10">
        <f t="shared" si="51"/>
        <v>7.3002879773668471E-3</v>
      </c>
      <c r="Z320" s="10">
        <f t="shared" si="52"/>
        <v>4.082724273778821E-3</v>
      </c>
      <c r="AA320" s="10">
        <f t="shared" si="53"/>
        <v>1.3183255132812796E-3</v>
      </c>
    </row>
    <row r="321" spans="1:27">
      <c r="A321" s="66">
        <v>15.45</v>
      </c>
      <c r="B321" s="10">
        <f t="shared" si="44"/>
        <v>0.98412145625046454</v>
      </c>
      <c r="C321" s="10">
        <f t="shared" si="45"/>
        <v>0.35157714472140777</v>
      </c>
      <c r="D321" s="66">
        <f t="shared" si="54"/>
        <v>4</v>
      </c>
      <c r="E321" s="10">
        <f t="shared" si="46"/>
        <v>2.3066307443174144E-2</v>
      </c>
      <c r="K321" s="10">
        <f t="shared" si="47"/>
        <v>0.47057118428945882</v>
      </c>
      <c r="L321" s="10">
        <f t="shared" si="48"/>
        <v>3.0873279943496531E-2</v>
      </c>
      <c r="R321" s="10">
        <f t="shared" si="49"/>
        <v>0.19941598946919928</v>
      </c>
      <c r="S321" s="10">
        <f t="shared" si="50"/>
        <v>1.308330359707038E-2</v>
      </c>
      <c r="Y321" s="10">
        <f t="shared" si="51"/>
        <v>1.4528075905911158E-2</v>
      </c>
      <c r="Z321" s="10">
        <f t="shared" si="52"/>
        <v>8.1095865101373215E-3</v>
      </c>
      <c r="AA321" s="10">
        <f t="shared" si="53"/>
        <v>2.609019932335724E-3</v>
      </c>
    </row>
    <row r="322" spans="1:27">
      <c r="A322" s="66">
        <v>15.5</v>
      </c>
      <c r="B322" s="10">
        <f t="shared" si="44"/>
        <v>0.98402361074462252</v>
      </c>
      <c r="C322" s="10">
        <f t="shared" si="45"/>
        <v>0.35038979249763014</v>
      </c>
      <c r="D322" s="66">
        <f t="shared" si="54"/>
        <v>2</v>
      </c>
      <c r="E322" s="10">
        <f t="shared" si="46"/>
        <v>1.1493060959385902E-2</v>
      </c>
      <c r="K322" s="10">
        <f t="shared" si="47"/>
        <v>0.46942462111646938</v>
      </c>
      <c r="L322" s="10">
        <f t="shared" si="48"/>
        <v>1.5397497021448487E-2</v>
      </c>
      <c r="R322" s="10">
        <f t="shared" si="49"/>
        <v>0.19837814677017696</v>
      </c>
      <c r="S322" s="10">
        <f t="shared" si="50"/>
        <v>6.5069593425872074E-3</v>
      </c>
      <c r="Y322" s="10">
        <f t="shared" si="51"/>
        <v>7.2279642054354212E-3</v>
      </c>
      <c r="Z322" s="10">
        <f t="shared" si="52"/>
        <v>4.0270512447218403E-3</v>
      </c>
      <c r="AA322" s="10">
        <f t="shared" si="53"/>
        <v>1.2908385354913391E-3</v>
      </c>
    </row>
    <row r="323" spans="1:27">
      <c r="A323" s="66">
        <v>15.55</v>
      </c>
      <c r="B323" s="10">
        <f t="shared" si="44"/>
        <v>0.98392526494511767</v>
      </c>
      <c r="C323" s="10">
        <f t="shared" si="45"/>
        <v>0.34920645021967661</v>
      </c>
      <c r="D323" s="66">
        <f t="shared" si="54"/>
        <v>4</v>
      </c>
      <c r="E323" s="10">
        <f t="shared" si="46"/>
        <v>2.2906203270195959E-2</v>
      </c>
      <c r="K323" s="10">
        <f t="shared" si="47"/>
        <v>0.46828085158481092</v>
      </c>
      <c r="L323" s="10">
        <f t="shared" si="48"/>
        <v>3.071689073095403E-2</v>
      </c>
      <c r="R323" s="10">
        <f t="shared" si="49"/>
        <v>0.19734570543074856</v>
      </c>
      <c r="S323" s="10">
        <f t="shared" si="50"/>
        <v>1.2944895033448695E-2</v>
      </c>
      <c r="Y323" s="10">
        <f t="shared" si="51"/>
        <v>1.4384131749528739E-2</v>
      </c>
      <c r="Z323" s="10">
        <f t="shared" si="52"/>
        <v>7.9989939319954784E-3</v>
      </c>
      <c r="AA323" s="10">
        <f t="shared" si="53"/>
        <v>2.554619442102926E-3</v>
      </c>
    </row>
    <row r="324" spans="1:27">
      <c r="A324" s="66">
        <v>15.6</v>
      </c>
      <c r="B324" s="10">
        <f t="shared" si="44"/>
        <v>0.98382641601455545</v>
      </c>
      <c r="C324" s="10">
        <f t="shared" si="45"/>
        <v>0.34802710434509093</v>
      </c>
      <c r="D324" s="66">
        <f t="shared" si="54"/>
        <v>2</v>
      </c>
      <c r="E324" s="10">
        <f t="shared" si="46"/>
        <v>1.1413275291458485E-2</v>
      </c>
      <c r="K324" s="10">
        <f t="shared" si="47"/>
        <v>0.46713986888767883</v>
      </c>
      <c r="L324" s="10">
        <f t="shared" si="48"/>
        <v>1.5319484766175815E-2</v>
      </c>
      <c r="R324" s="10">
        <f t="shared" si="49"/>
        <v>0.19631863734002084</v>
      </c>
      <c r="S324" s="10">
        <f t="shared" si="50"/>
        <v>6.4381153790364666E-3</v>
      </c>
      <c r="Y324" s="10">
        <f t="shared" si="51"/>
        <v>7.1563421050981632E-3</v>
      </c>
      <c r="Z324" s="10">
        <f t="shared" si="52"/>
        <v>3.9721291507796705E-3</v>
      </c>
      <c r="AA324" s="10">
        <f t="shared" si="53"/>
        <v>1.2639220382502708E-3</v>
      </c>
    </row>
    <row r="325" spans="1:27">
      <c r="A325" s="66">
        <v>15.65</v>
      </c>
      <c r="B325" s="10">
        <f t="shared" si="44"/>
        <v>0.98372706109999075</v>
      </c>
      <c r="C325" s="10">
        <f t="shared" si="45"/>
        <v>0.34685174137715252</v>
      </c>
      <c r="D325" s="66">
        <f t="shared" si="54"/>
        <v>4</v>
      </c>
      <c r="E325" s="10">
        <f t="shared" si="46"/>
        <v>2.2747162945490687E-2</v>
      </c>
      <c r="K325" s="10">
        <f t="shared" si="47"/>
        <v>0.46600166623485278</v>
      </c>
      <c r="L325" s="10">
        <f t="shared" si="48"/>
        <v>3.0561229972860701E-2</v>
      </c>
      <c r="R325" s="10">
        <f t="shared" si="49"/>
        <v>0.19529691453340092</v>
      </c>
      <c r="S325" s="10">
        <f t="shared" si="50"/>
        <v>1.2807923985055904E-2</v>
      </c>
      <c r="Y325" s="10">
        <f t="shared" si="51"/>
        <v>1.4241584089539612E-2</v>
      </c>
      <c r="Z325" s="10">
        <f t="shared" si="52"/>
        <v>7.8898930790332836E-3</v>
      </c>
      <c r="AA325" s="10">
        <f t="shared" si="53"/>
        <v>2.5013480358597588E-3</v>
      </c>
    </row>
    <row r="326" spans="1:27">
      <c r="A326" s="66">
        <v>15.7</v>
      </c>
      <c r="B326" s="10">
        <f t="shared" si="44"/>
        <v>0.98362719733284798</v>
      </c>
      <c r="C326" s="10">
        <f t="shared" si="45"/>
        <v>0.34568034786472257</v>
      </c>
      <c r="D326" s="66">
        <f t="shared" si="54"/>
        <v>2</v>
      </c>
      <c r="E326" s="10">
        <f t="shared" si="46"/>
        <v>1.1334019724774035E-2</v>
      </c>
      <c r="K326" s="10">
        <f t="shared" si="47"/>
        <v>0.46486623685265771</v>
      </c>
      <c r="L326" s="10">
        <f t="shared" si="48"/>
        <v>1.5241835789668255E-2</v>
      </c>
      <c r="R326" s="10">
        <f t="shared" si="49"/>
        <v>0.19428050919183534</v>
      </c>
      <c r="S326" s="10">
        <f t="shared" si="50"/>
        <v>6.3699864250921215E-3</v>
      </c>
      <c r="Y326" s="10">
        <f t="shared" si="51"/>
        <v>7.0854148462692378E-3</v>
      </c>
      <c r="Z326" s="10">
        <f t="shared" si="52"/>
        <v>3.9179478811655153E-3</v>
      </c>
      <c r="AA326" s="10">
        <f t="shared" si="53"/>
        <v>1.2375642062119763E-3</v>
      </c>
    </row>
    <row r="327" spans="1:27">
      <c r="A327" s="66">
        <v>15.75</v>
      </c>
      <c r="B327" s="10">
        <f t="shared" si="44"/>
        <v>0.98352682182884188</v>
      </c>
      <c r="C327" s="10">
        <f t="shared" si="45"/>
        <v>0.34451291040208937</v>
      </c>
      <c r="D327" s="66">
        <f t="shared" si="54"/>
        <v>4</v>
      </c>
      <c r="E327" s="10">
        <f t="shared" si="46"/>
        <v>2.2589179189784772E-2</v>
      </c>
      <c r="K327" s="10">
        <f t="shared" si="47"/>
        <v>0.4637335739839224</v>
      </c>
      <c r="L327" s="10">
        <f t="shared" si="48"/>
        <v>3.0406293879715829E-2</v>
      </c>
      <c r="R327" s="10">
        <f t="shared" si="49"/>
        <v>0.19326939364105233</v>
      </c>
      <c r="S327" s="10">
        <f t="shared" si="50"/>
        <v>1.2672375498971442E-2</v>
      </c>
      <c r="Y327" s="10">
        <f t="shared" si="51"/>
        <v>1.4100419332446087E-2</v>
      </c>
      <c r="Z327" s="10">
        <f t="shared" si="52"/>
        <v>7.7822638662670626E-3</v>
      </c>
      <c r="AA327" s="10">
        <f t="shared" si="53"/>
        <v>2.4491823286779384E-3</v>
      </c>
    </row>
    <row r="328" spans="1:27">
      <c r="A328" s="66">
        <v>15.8</v>
      </c>
      <c r="B328" s="10">
        <f t="shared" si="44"/>
        <v>0.98342593168789949</v>
      </c>
      <c r="C328" s="10">
        <f t="shared" si="45"/>
        <v>0.34334941562881516</v>
      </c>
      <c r="D328" s="66">
        <f t="shared" si="54"/>
        <v>2</v>
      </c>
      <c r="E328" s="10">
        <f t="shared" si="46"/>
        <v>1.1255290631975445E-2</v>
      </c>
      <c r="K328" s="10">
        <f t="shared" si="47"/>
        <v>0.46260367088794008</v>
      </c>
      <c r="L328" s="10">
        <f t="shared" si="48"/>
        <v>1.5164548201507163E-2</v>
      </c>
      <c r="R328" s="10">
        <f t="shared" si="49"/>
        <v>0.19226354035080839</v>
      </c>
      <c r="S328" s="10">
        <f t="shared" si="50"/>
        <v>6.3025650433035929E-3</v>
      </c>
      <c r="Y328" s="10">
        <f t="shared" si="51"/>
        <v>7.0151756653743236E-3</v>
      </c>
      <c r="Z328" s="10">
        <f t="shared" si="52"/>
        <v>3.8644974612212467E-3</v>
      </c>
      <c r="AA328" s="10">
        <f t="shared" si="53"/>
        <v>1.2117534685167947E-3</v>
      </c>
    </row>
    <row r="329" spans="1:27">
      <c r="A329" s="66">
        <v>15.85</v>
      </c>
      <c r="B329" s="10">
        <f t="shared" si="44"/>
        <v>0.98332452399407844</v>
      </c>
      <c r="C329" s="10">
        <f t="shared" si="45"/>
        <v>0.34218985022958348</v>
      </c>
      <c r="D329" s="66">
        <f t="shared" si="54"/>
        <v>4</v>
      </c>
      <c r="E329" s="10">
        <f t="shared" si="46"/>
        <v>2.2432244772840681E-2</v>
      </c>
      <c r="K329" s="10">
        <f t="shared" si="47"/>
        <v>0.46147652084042767</v>
      </c>
      <c r="L329" s="10">
        <f t="shared" si="48"/>
        <v>3.02520786793238E-2</v>
      </c>
      <c r="R329" s="10">
        <f t="shared" si="49"/>
        <v>0.1912629219341388</v>
      </c>
      <c r="S329" s="10">
        <f t="shared" si="50"/>
        <v>1.2538234777906908E-2</v>
      </c>
      <c r="Y329" s="10">
        <f t="shared" si="51"/>
        <v>1.3960624017125228E-2</v>
      </c>
      <c r="Z329" s="10">
        <f t="shared" si="52"/>
        <v>7.6760864791317095E-3</v>
      </c>
      <c r="AA329" s="10">
        <f t="shared" si="53"/>
        <v>2.3980994195187131E-3</v>
      </c>
    </row>
    <row r="330" spans="1:27">
      <c r="A330" s="66">
        <v>15.9</v>
      </c>
      <c r="B330" s="10">
        <f t="shared" si="44"/>
        <v>0.98322259581548765</v>
      </c>
      <c r="C330" s="10">
        <f t="shared" si="45"/>
        <v>0.34103420093404635</v>
      </c>
      <c r="D330" s="66">
        <f t="shared" si="54"/>
        <v>2</v>
      </c>
      <c r="E330" s="10">
        <f t="shared" si="46"/>
        <v>1.1177084410141121E-2</v>
      </c>
      <c r="K330" s="10">
        <f t="shared" si="47"/>
        <v>0.46035211713348612</v>
      </c>
      <c r="L330" s="10">
        <f t="shared" si="48"/>
        <v>1.5087620119904721E-2</v>
      </c>
      <c r="R330" s="10">
        <f t="shared" si="49"/>
        <v>0.19026751114661172</v>
      </c>
      <c r="S330" s="10">
        <f t="shared" si="50"/>
        <v>6.235843873630794E-3</v>
      </c>
      <c r="Y330" s="10">
        <f t="shared" si="51"/>
        <v>6.9456178647039199E-3</v>
      </c>
      <c r="Z330" s="10">
        <f t="shared" si="52"/>
        <v>3.8117680505848641E-3</v>
      </c>
      <c r="AA330" s="10">
        <f t="shared" si="53"/>
        <v>1.1864784937345775E-3</v>
      </c>
    </row>
    <row r="331" spans="1:27">
      <c r="A331" s="66">
        <v>15.95</v>
      </c>
      <c r="B331" s="10">
        <f t="shared" si="44"/>
        <v>0.9831201442042069</v>
      </c>
      <c r="C331" s="10">
        <f t="shared" si="45"/>
        <v>0.33988245451667293</v>
      </c>
      <c r="D331" s="66">
        <f t="shared" si="54"/>
        <v>4</v>
      </c>
      <c r="E331" s="10">
        <f t="shared" si="46"/>
        <v>2.2276352513127418E-2</v>
      </c>
      <c r="K331" s="10">
        <f t="shared" si="47"/>
        <v>0.45923045307556049</v>
      </c>
      <c r="L331" s="10">
        <f t="shared" si="48"/>
        <v>3.0098580616707216E-2</v>
      </c>
      <c r="R331" s="10">
        <f t="shared" si="49"/>
        <v>0.18927728088558662</v>
      </c>
      <c r="S331" s="10">
        <f t="shared" si="50"/>
        <v>1.2405487178587872E-2</v>
      </c>
      <c r="Y331" s="10">
        <f t="shared" si="51"/>
        <v>1.3822184813541737E-2</v>
      </c>
      <c r="Z331" s="10">
        <f t="shared" si="52"/>
        <v>7.5713413698404028E-3</v>
      </c>
      <c r="AA331" s="10">
        <f t="shared" si="53"/>
        <v>2.3480768812241203E-3</v>
      </c>
    </row>
    <row r="332" spans="1:27">
      <c r="A332" s="66">
        <v>16</v>
      </c>
      <c r="B332" s="10">
        <f t="shared" si="44"/>
        <v>0.98301716619620638</v>
      </c>
      <c r="C332" s="10">
        <f t="shared" si="45"/>
        <v>0.33873459779659787</v>
      </c>
      <c r="D332" s="66">
        <f t="shared" si="54"/>
        <v>2</v>
      </c>
      <c r="E332" s="10">
        <f t="shared" si="46"/>
        <v>1.1099397480620781E-2</v>
      </c>
      <c r="K332" s="10">
        <f t="shared" si="47"/>
        <v>0.45811152199140021</v>
      </c>
      <c r="L332" s="10">
        <f t="shared" si="48"/>
        <v>1.5011049671660582E-2</v>
      </c>
      <c r="R332" s="10">
        <f t="shared" si="49"/>
        <v>0.18829220418947626</v>
      </c>
      <c r="S332" s="10">
        <f t="shared" si="50"/>
        <v>6.1698156326392157E-3</v>
      </c>
      <c r="Y332" s="10">
        <f t="shared" si="51"/>
        <v>6.8767348117729377E-3</v>
      </c>
      <c r="Z332" s="10">
        <f t="shared" si="52"/>
        <v>3.7597499413826521E-3</v>
      </c>
      <c r="AA332" s="10">
        <f t="shared" si="53"/>
        <v>1.1617281849123258E-3</v>
      </c>
    </row>
    <row r="333" spans="1:27">
      <c r="A333" s="66">
        <v>16.05</v>
      </c>
      <c r="B333" s="10">
        <f t="shared" ref="B333:B396" si="55">(B$8^A333)*B$9^((B$5^B$7)*((B$5^A333)-1))</f>
        <v>0.98291365881126336</v>
      </c>
      <c r="C333" s="10">
        <f t="shared" ref="C333:C396" si="56">(1+B$6)^-A333</f>
        <v>0.33759061763746945</v>
      </c>
      <c r="D333" s="66">
        <f t="shared" si="54"/>
        <v>4</v>
      </c>
      <c r="E333" s="10">
        <f t="shared" ref="E333:E396" si="57">B333*C333*D333*0.05/3</f>
        <v>2.2121495277493287E-2</v>
      </c>
      <c r="K333" s="10">
        <f t="shared" ref="K333:K396" si="58">1.05^-A333</f>
        <v>0.45699531722201825</v>
      </c>
      <c r="L333" s="10">
        <f t="shared" ref="L333:L396" si="59">E333*K333/C333</f>
        <v>2.994579595402053E-2</v>
      </c>
      <c r="R333" s="10">
        <f t="shared" ref="R333:R396" si="60">1.11^-A333</f>
        <v>0.18731225423701237</v>
      </c>
      <c r="S333" s="10">
        <f t="shared" ref="S333:S396" si="61">L333*R333/K333</f>
        <v>1.2274118210152493E-2</v>
      </c>
      <c r="Y333" s="10">
        <f t="shared" ref="Y333:Y396" si="62">L333*K333</f>
        <v>1.3685088521473442E-2</v>
      </c>
      <c r="Z333" s="10">
        <f t="shared" ref="Z333:Z396" si="63">C333*E333</f>
        <v>7.4680092537933226E-3</v>
      </c>
      <c r="AA333" s="10">
        <f t="shared" ref="AA333:AA396" si="64">R333*S333</f>
        <v>2.2990927507152269E-3</v>
      </c>
    </row>
    <row r="334" spans="1:27">
      <c r="A334" s="66">
        <v>16.100000000000001</v>
      </c>
      <c r="B334" s="10">
        <f t="shared" si="55"/>
        <v>0.98280961905288478</v>
      </c>
      <c r="C334" s="10">
        <f t="shared" si="56"/>
        <v>0.33645050094730189</v>
      </c>
      <c r="D334" s="66">
        <f t="shared" si="54"/>
        <v>2</v>
      </c>
      <c r="E334" s="10">
        <f t="shared" si="57"/>
        <v>1.1022226288872334E-2</v>
      </c>
      <c r="K334" s="10">
        <f t="shared" si="58"/>
        <v>0.45588183212465389</v>
      </c>
      <c r="L334" s="10">
        <f t="shared" si="59"/>
        <v>1.4934834992118742E-2</v>
      </c>
      <c r="R334" s="10">
        <f t="shared" si="60"/>
        <v>0.1863374043465158</v>
      </c>
      <c r="S334" s="10">
        <f t="shared" si="61"/>
        <v>6.1044731127034187E-3</v>
      </c>
      <c r="Y334" s="10">
        <f t="shared" si="62"/>
        <v>6.8085199386864834E-3</v>
      </c>
      <c r="Z334" s="10">
        <f t="shared" si="63"/>
        <v>3.7084335564456167E-3</v>
      </c>
      <c r="AA334" s="10">
        <f t="shared" si="64"/>
        <v>1.1374916747242509E-3</v>
      </c>
    </row>
    <row r="335" spans="1:27">
      <c r="A335" s="66">
        <v>16.149999999999999</v>
      </c>
      <c r="B335" s="10">
        <f t="shared" si="55"/>
        <v>0.98270504390822133</v>
      </c>
      <c r="C335" s="10">
        <f t="shared" si="56"/>
        <v>0.335314234678323</v>
      </c>
      <c r="D335" s="66">
        <f t="shared" ref="D335:D398" si="65">IF(D334=4,2,4)</f>
        <v>4</v>
      </c>
      <c r="E335" s="10">
        <f t="shared" si="57"/>
        <v>2.1967665980840875E-2</v>
      </c>
      <c r="K335" s="10">
        <f t="shared" si="58"/>
        <v>0.45477106007273094</v>
      </c>
      <c r="L335" s="10">
        <f t="shared" si="59"/>
        <v>2.9793720970464104E-2</v>
      </c>
      <c r="R335" s="10">
        <f t="shared" si="60"/>
        <v>0.18536762797516995</v>
      </c>
      <c r="S335" s="10">
        <f t="shared" si="61"/>
        <v>1.2144113532566819E-2</v>
      </c>
      <c r="Y335" s="10">
        <f t="shared" si="62"/>
        <v>1.3549322069249114E-2</v>
      </c>
      <c r="Z335" s="10">
        <f t="shared" si="63"/>
        <v>7.3660711060346898E-3</v>
      </c>
      <c r="AA335" s="10">
        <f t="shared" si="64"/>
        <v>2.2511255193930729E-3</v>
      </c>
    </row>
    <row r="336" spans="1:27">
      <c r="A336" s="66">
        <v>16.2</v>
      </c>
      <c r="B336" s="10">
        <f t="shared" si="55"/>
        <v>0.98259993034798809</v>
      </c>
      <c r="C336" s="10">
        <f t="shared" si="56"/>
        <v>0.33418180582682555</v>
      </c>
      <c r="D336" s="66">
        <f t="shared" si="65"/>
        <v>2</v>
      </c>
      <c r="E336" s="10">
        <f t="shared" si="57"/>
        <v>1.0945567304300123E-2</v>
      </c>
      <c r="K336" s="10">
        <f t="shared" si="58"/>
        <v>0.45366299445581876</v>
      </c>
      <c r="L336" s="10">
        <f t="shared" si="59"/>
        <v>1.4858974225124909E-2</v>
      </c>
      <c r="R336" s="10">
        <f t="shared" si="60"/>
        <v>0.18440289871829738</v>
      </c>
      <c r="S336" s="10">
        <f t="shared" si="61"/>
        <v>6.0398091812188708E-3</v>
      </c>
      <c r="Y336" s="10">
        <f t="shared" si="62"/>
        <v>6.7409667415119952E-3</v>
      </c>
      <c r="Z336" s="10">
        <f t="shared" si="63"/>
        <v>3.657809447550074E-3</v>
      </c>
      <c r="AA336" s="10">
        <f t="shared" si="64"/>
        <v>1.113758320722146E-3</v>
      </c>
    </row>
    <row r="337" spans="1:27">
      <c r="A337" s="66">
        <v>16.25</v>
      </c>
      <c r="B337" s="10">
        <f t="shared" si="55"/>
        <v>0.98249427532638045</v>
      </c>
      <c r="C337" s="10">
        <f t="shared" si="56"/>
        <v>0.33305320143301914</v>
      </c>
      <c r="D337" s="66">
        <f t="shared" si="65"/>
        <v>4</v>
      </c>
      <c r="E337" s="10">
        <f t="shared" si="57"/>
        <v>2.1814857585804346E-2</v>
      </c>
      <c r="K337" s="10">
        <f t="shared" si="58"/>
        <v>0.45255762867959387</v>
      </c>
      <c r="L337" s="10">
        <f t="shared" si="59"/>
        <v>2.9642351962198853E-2</v>
      </c>
      <c r="R337" s="10">
        <f t="shared" si="60"/>
        <v>0.18344319030864198</v>
      </c>
      <c r="S337" s="10">
        <f t="shared" si="61"/>
        <v>1.2015458955056567E-2</v>
      </c>
      <c r="Y337" s="10">
        <f t="shared" si="62"/>
        <v>1.3414872512498619E-2</v>
      </c>
      <c r="Z337" s="10">
        <f t="shared" si="63"/>
        <v>7.2655081577575201E-3</v>
      </c>
      <c r="AA337" s="10">
        <f t="shared" si="64"/>
        <v>2.2041541237381181E-3</v>
      </c>
    </row>
    <row r="338" spans="1:27">
      <c r="A338" s="66">
        <v>16.3</v>
      </c>
      <c r="B338" s="10">
        <f t="shared" si="55"/>
        <v>0.98238807578099252</v>
      </c>
      <c r="C338" s="10">
        <f t="shared" si="56"/>
        <v>0.33192840858088102</v>
      </c>
      <c r="D338" s="66">
        <f t="shared" si="65"/>
        <v>2</v>
      </c>
      <c r="E338" s="10">
        <f t="shared" si="57"/>
        <v>1.086941702009396E-2</v>
      </c>
      <c r="K338" s="10">
        <f t="shared" si="58"/>
        <v>0.45145495616579995</v>
      </c>
      <c r="L338" s="10">
        <f t="shared" si="59"/>
        <v>1.4783465522983751E-2</v>
      </c>
      <c r="R338" s="10">
        <f t="shared" si="60"/>
        <v>0.18248847661565301</v>
      </c>
      <c r="S338" s="10">
        <f t="shared" si="61"/>
        <v>5.9758167798218669E-3</v>
      </c>
      <c r="Y338" s="10">
        <f t="shared" si="62"/>
        <v>6.6740687796572442E-3</v>
      </c>
      <c r="Z338" s="10">
        <f t="shared" si="63"/>
        <v>3.6078682936817302E-3</v>
      </c>
      <c r="AA338" s="10">
        <f t="shared" si="64"/>
        <v>1.0905177006839497E-3</v>
      </c>
    </row>
    <row r="339" spans="1:27">
      <c r="A339" s="66">
        <v>16.350000000000001</v>
      </c>
      <c r="B339" s="10">
        <f t="shared" si="55"/>
        <v>0.98228132863273299</v>
      </c>
      <c r="C339" s="10">
        <f t="shared" si="56"/>
        <v>0.33080741439800893</v>
      </c>
      <c r="D339" s="66">
        <f t="shared" si="65"/>
        <v>4</v>
      </c>
      <c r="E339" s="10">
        <f t="shared" si="57"/>
        <v>2.166306310242902E-2</v>
      </c>
      <c r="K339" s="10">
        <f t="shared" si="58"/>
        <v>0.45035497035220862</v>
      </c>
      <c r="L339" s="10">
        <f t="shared" si="59"/>
        <v>2.9491685242261503E-2</v>
      </c>
      <c r="R339" s="10">
        <f t="shared" si="60"/>
        <v>0.18153873164477385</v>
      </c>
      <c r="S339" s="10">
        <f t="shared" si="61"/>
        <v>1.1888140434555309E-2</v>
      </c>
      <c r="Y339" s="10">
        <f t="shared" si="62"/>
        <v>1.3281727032915348E-2</v>
      </c>
      <c r="Z339" s="10">
        <f t="shared" si="63"/>
        <v>7.1663018928554536E-3</v>
      </c>
      <c r="AA339" s="10">
        <f t="shared" si="64"/>
        <v>2.1581579361041213E-3</v>
      </c>
    </row>
    <row r="340" spans="1:27">
      <c r="A340" s="66">
        <v>16.399999999999999</v>
      </c>
      <c r="B340" s="10">
        <f t="shared" si="55"/>
        <v>0.98217403078574295</v>
      </c>
      <c r="C340" s="10">
        <f t="shared" si="56"/>
        <v>0.32969020605547339</v>
      </c>
      <c r="D340" s="66">
        <f t="shared" si="65"/>
        <v>2</v>
      </c>
      <c r="E340" s="10">
        <f t="shared" si="57"/>
        <v>1.0793771953069549E-2</v>
      </c>
      <c r="K340" s="10">
        <f t="shared" si="58"/>
        <v>0.44925766469258083</v>
      </c>
      <c r="L340" s="10">
        <f t="shared" si="59"/>
        <v>1.470830704641673E-2</v>
      </c>
      <c r="R340" s="10">
        <f t="shared" si="60"/>
        <v>0.18059392953673425</v>
      </c>
      <c r="S340" s="10">
        <f t="shared" si="61"/>
        <v>5.9124889236176915E-3</v>
      </c>
      <c r="Y340" s="10">
        <f t="shared" si="62"/>
        <v>6.6078196752546109E-3</v>
      </c>
      <c r="Z340" s="10">
        <f t="shared" si="63"/>
        <v>3.5586008993232893E-3</v>
      </c>
      <c r="AA340" s="10">
        <f t="shared" si="64"/>
        <v>1.0677596080585351E-3</v>
      </c>
    </row>
    <row r="341" spans="1:27">
      <c r="A341" s="66">
        <v>16.45</v>
      </c>
      <c r="B341" s="10">
        <f t="shared" si="55"/>
        <v>0.98206617912731076</v>
      </c>
      <c r="C341" s="10">
        <f t="shared" si="56"/>
        <v>0.32857677076767078</v>
      </c>
      <c r="D341" s="66">
        <f t="shared" si="65"/>
        <v>4</v>
      </c>
      <c r="E341" s="10">
        <f t="shared" si="57"/>
        <v>2.1512275587853114E-2</v>
      </c>
      <c r="K341" s="10">
        <f t="shared" si="58"/>
        <v>0.44816303265662749</v>
      </c>
      <c r="L341" s="10">
        <f t="shared" si="59"/>
        <v>2.9341717140480159E-2</v>
      </c>
      <c r="R341" s="10">
        <f t="shared" si="60"/>
        <v>0.17965404456684622</v>
      </c>
      <c r="S341" s="10">
        <f t="shared" si="61"/>
        <v>1.1762144074168686E-2</v>
      </c>
      <c r="Y341" s="10">
        <f t="shared" si="62"/>
        <v>1.3149872937030536E-2</v>
      </c>
      <c r="Z341" s="10">
        <f t="shared" si="63"/>
        <v>7.068434044520973E-3</v>
      </c>
      <c r="AA341" s="10">
        <f t="shared" si="64"/>
        <v>2.1131167557023674E-3</v>
      </c>
    </row>
    <row r="342" spans="1:27">
      <c r="A342" s="66">
        <v>16.5</v>
      </c>
      <c r="B342" s="10">
        <f t="shared" si="55"/>
        <v>0.98195777052778899</v>
      </c>
      <c r="C342" s="10">
        <f t="shared" si="56"/>
        <v>0.3274670957921777</v>
      </c>
      <c r="D342" s="66">
        <f t="shared" si="65"/>
        <v>2</v>
      </c>
      <c r="E342" s="10">
        <f t="shared" si="57"/>
        <v>1.071862864350989E-2</v>
      </c>
      <c r="K342" s="10">
        <f t="shared" si="58"/>
        <v>0.44707106772997074</v>
      </c>
      <c r="L342" s="10">
        <f t="shared" si="59"/>
        <v>1.4633496964520008E-2</v>
      </c>
      <c r="R342" s="10">
        <f t="shared" si="60"/>
        <v>0.17871905114430353</v>
      </c>
      <c r="S342" s="10">
        <f t="shared" si="61"/>
        <v>5.8498187004167399E-3</v>
      </c>
      <c r="Y342" s="10">
        <f t="shared" si="62"/>
        <v>6.5422131125512459E-3</v>
      </c>
      <c r="Z342" s="10">
        <f t="shared" si="63"/>
        <v>3.509998192765033E-3</v>
      </c>
      <c r="AA342" s="10">
        <f t="shared" si="64"/>
        <v>1.0454740475046825E-3</v>
      </c>
    </row>
    <row r="343" spans="1:27">
      <c r="A343" s="66">
        <v>16.55</v>
      </c>
      <c r="B343" s="10">
        <f t="shared" si="55"/>
        <v>0.98184880184050982</v>
      </c>
      <c r="C343" s="10">
        <f t="shared" si="56"/>
        <v>0.32636116842960433</v>
      </c>
      <c r="D343" s="66">
        <f t="shared" si="65"/>
        <v>4</v>
      </c>
      <c r="E343" s="10">
        <f t="shared" si="57"/>
        <v>2.1362488145991721E-2</v>
      </c>
      <c r="K343" s="10">
        <f t="shared" si="58"/>
        <v>0.44598176341410567</v>
      </c>
      <c r="L343" s="10">
        <f t="shared" si="59"/>
        <v>2.9192444003390491E-2</v>
      </c>
      <c r="R343" s="10">
        <f t="shared" si="60"/>
        <v>0.17778892381148517</v>
      </c>
      <c r="S343" s="10">
        <f t="shared" si="61"/>
        <v>1.1637456121654694E-2</v>
      </c>
      <c r="Y343" s="10">
        <f t="shared" si="62"/>
        <v>1.3019297654999625E-2</v>
      </c>
      <c r="Z343" s="10">
        <f t="shared" si="63"/>
        <v>6.9718865918894299E-3</v>
      </c>
      <c r="AA343" s="10">
        <f t="shared" si="64"/>
        <v>2.0690107997723682E-3</v>
      </c>
    </row>
    <row r="344" spans="1:27">
      <c r="A344" s="66">
        <v>16.600000000000001</v>
      </c>
      <c r="B344" s="10">
        <f t="shared" si="55"/>
        <v>0.98173926990170002</v>
      </c>
      <c r="C344" s="10">
        <f t="shared" si="56"/>
        <v>0.32525897602344933</v>
      </c>
      <c r="D344" s="66">
        <f t="shared" si="65"/>
        <v>2</v>
      </c>
      <c r="E344" s="10">
        <f t="shared" si="57"/>
        <v>1.0643983655007856E-2</v>
      </c>
      <c r="K344" s="10">
        <f t="shared" si="58"/>
        <v>0.44489511322636077</v>
      </c>
      <c r="L344" s="10">
        <f t="shared" si="59"/>
        <v>1.4559033454722719E-2</v>
      </c>
      <c r="R344" s="10">
        <f t="shared" si="60"/>
        <v>0.17686363724326198</v>
      </c>
      <c r="S344" s="10">
        <f t="shared" si="61"/>
        <v>5.7877992699786381E-3</v>
      </c>
      <c r="Y344" s="10">
        <f t="shared" si="62"/>
        <v>6.4772428373052384E-3</v>
      </c>
      <c r="Z344" s="10">
        <f t="shared" si="63"/>
        <v>3.4620512244381871E-3</v>
      </c>
      <c r="AA344" s="10">
        <f t="shared" si="64"/>
        <v>1.0236512305223185E-3</v>
      </c>
    </row>
    <row r="345" spans="1:27">
      <c r="A345" s="66">
        <v>16.649999999999999</v>
      </c>
      <c r="B345" s="10">
        <f t="shared" si="55"/>
        <v>0.98162917153039642</v>
      </c>
      <c r="C345" s="10">
        <f t="shared" si="56"/>
        <v>0.32416050595995571</v>
      </c>
      <c r="D345" s="66">
        <f t="shared" si="65"/>
        <v>4</v>
      </c>
      <c r="E345" s="10">
        <f t="shared" si="57"/>
        <v>2.121369392722303E-2</v>
      </c>
      <c r="K345" s="10">
        <f t="shared" si="58"/>
        <v>0.44381111069985985</v>
      </c>
      <c r="L345" s="10">
        <f t="shared" si="59"/>
        <v>2.9043862194152562E-2</v>
      </c>
      <c r="R345" s="10">
        <f t="shared" si="60"/>
        <v>0.17594316624630715</v>
      </c>
      <c r="S345" s="10">
        <f t="shared" si="61"/>
        <v>1.1514062967919817E-2</v>
      </c>
      <c r="Y345" s="10">
        <f t="shared" si="62"/>
        <v>1.2889988739400516E-2</v>
      </c>
      <c r="Z345" s="10">
        <f t="shared" si="63"/>
        <v>6.8766417567282575E-3</v>
      </c>
      <c r="AA345" s="10">
        <f t="shared" si="64"/>
        <v>2.0258206949351652E-3</v>
      </c>
    </row>
    <row r="346" spans="1:27">
      <c r="A346" s="66">
        <v>16.7</v>
      </c>
      <c r="B346" s="10">
        <f t="shared" si="55"/>
        <v>0.98151850352835934</v>
      </c>
      <c r="C346" s="10">
        <f t="shared" si="56"/>
        <v>0.32306574566796503</v>
      </c>
      <c r="D346" s="66">
        <f t="shared" si="65"/>
        <v>2</v>
      </c>
      <c r="E346" s="10">
        <f t="shared" si="57"/>
        <v>1.0569833574309821E-2</v>
      </c>
      <c r="K346" s="10">
        <f t="shared" si="58"/>
        <v>0.44272974938348347</v>
      </c>
      <c r="L346" s="10">
        <f t="shared" si="59"/>
        <v>1.448491470274541E-2</v>
      </c>
      <c r="R346" s="10">
        <f t="shared" si="60"/>
        <v>0.17502748575841023</v>
      </c>
      <c r="S346" s="10">
        <f t="shared" si="61"/>
        <v>5.7264238632642019E-3</v>
      </c>
      <c r="Y346" s="10">
        <f t="shared" si="62"/>
        <v>6.4129026561876102E-3</v>
      </c>
      <c r="Z346" s="10">
        <f t="shared" si="63"/>
        <v>3.4147511652706944E-3</v>
      </c>
      <c r="AA346" s="10">
        <f t="shared" si="64"/>
        <v>1.0022815711740957E-3</v>
      </c>
    </row>
    <row r="347" spans="1:27">
      <c r="A347" s="66">
        <v>16.75</v>
      </c>
      <c r="B347" s="10">
        <f t="shared" si="55"/>
        <v>0.98140726267998868</v>
      </c>
      <c r="C347" s="10">
        <f t="shared" si="56"/>
        <v>0.3219746826187751</v>
      </c>
      <c r="D347" s="66">
        <f t="shared" si="65"/>
        <v>4</v>
      </c>
      <c r="E347" s="10">
        <f t="shared" si="57"/>
        <v>2.106588612807668E-2</v>
      </c>
      <c r="K347" s="10">
        <f t="shared" si="58"/>
        <v>0.44165102284183089</v>
      </c>
      <c r="L347" s="10">
        <f t="shared" si="59"/>
        <v>2.8895968092467892E-2</v>
      </c>
      <c r="R347" s="10">
        <f t="shared" si="60"/>
        <v>0.17411657084779486</v>
      </c>
      <c r="S347" s="10">
        <f t="shared" si="61"/>
        <v>1.1391951145530712E-2</v>
      </c>
      <c r="Y347" s="10">
        <f t="shared" si="62"/>
        <v>1.2761933864043354E-2</v>
      </c>
      <c r="Z347" s="10">
        <f t="shared" si="63"/>
        <v>6.7826820001707462E-3</v>
      </c>
      <c r="AA347" s="10">
        <f t="shared" si="64"/>
        <v>1.9835274687254158E-3</v>
      </c>
    </row>
    <row r="348" spans="1:27">
      <c r="A348" s="66">
        <v>16.8</v>
      </c>
      <c r="B348" s="10">
        <f t="shared" si="55"/>
        <v>0.98129544575223659</v>
      </c>
      <c r="C348" s="10">
        <f t="shared" si="56"/>
        <v>0.32088730432599549</v>
      </c>
      <c r="D348" s="66">
        <f t="shared" si="65"/>
        <v>2</v>
      </c>
      <c r="E348" s="10">
        <f t="shared" si="57"/>
        <v>1.049617501116038E-2</v>
      </c>
      <c r="K348" s="10">
        <f t="shared" si="58"/>
        <v>0.44057492465518094</v>
      </c>
      <c r="L348" s="10">
        <f t="shared" si="59"/>
        <v>1.4411138902558797E-2</v>
      </c>
      <c r="R348" s="10">
        <f t="shared" si="60"/>
        <v>0.17321039671243998</v>
      </c>
      <c r="S348" s="10">
        <f t="shared" si="61"/>
        <v>5.6656857816951853E-3</v>
      </c>
      <c r="Y348" s="10">
        <f t="shared" si="62"/>
        <v>6.3491864361901887E-3</v>
      </c>
      <c r="Z348" s="10">
        <f t="shared" si="63"/>
        <v>3.3680893050651297E-3</v>
      </c>
      <c r="AA348" s="10">
        <f t="shared" si="64"/>
        <v>9.8135568189545368E-4</v>
      </c>
    </row>
    <row r="349" spans="1:27">
      <c r="A349" s="66">
        <v>16.850000000000001</v>
      </c>
      <c r="B349" s="10">
        <f t="shared" si="55"/>
        <v>0.98118304949452162</v>
      </c>
      <c r="C349" s="10">
        <f t="shared" si="56"/>
        <v>0.31980359834540506</v>
      </c>
      <c r="D349" s="66">
        <f t="shared" si="65"/>
        <v>4</v>
      </c>
      <c r="E349" s="10">
        <f t="shared" si="57"/>
        <v>2.0919057990924379E-2</v>
      </c>
      <c r="K349" s="10">
        <f t="shared" si="58"/>
        <v>0.43950144841945488</v>
      </c>
      <c r="L349" s="10">
        <f t="shared" si="59"/>
        <v>2.8748758094497329E-2</v>
      </c>
      <c r="R349" s="10">
        <f t="shared" si="60"/>
        <v>0.17230893867940428</v>
      </c>
      <c r="S349" s="10">
        <f t="shared" si="61"/>
        <v>1.1271107327241495E-2</v>
      </c>
      <c r="Y349" s="10">
        <f t="shared" si="62"/>
        <v>1.2635120822792103E-2</v>
      </c>
      <c r="Z349" s="10">
        <f t="shared" si="63"/>
        <v>6.6899900194938161E-3</v>
      </c>
      <c r="AA349" s="10">
        <f t="shared" si="64"/>
        <v>1.9421125412986389E-3</v>
      </c>
    </row>
    <row r="350" spans="1:27">
      <c r="A350" s="66">
        <v>16.899999999999999</v>
      </c>
      <c r="B350" s="10">
        <f t="shared" si="55"/>
        <v>0.98107007063864171</v>
      </c>
      <c r="C350" s="10">
        <f t="shared" si="56"/>
        <v>0.3187235522748097</v>
      </c>
      <c r="D350" s="66">
        <f t="shared" si="65"/>
        <v>2</v>
      </c>
      <c r="E350" s="10">
        <f t="shared" si="57"/>
        <v>1.0423004598148213E-2</v>
      </c>
      <c r="K350" s="10">
        <f t="shared" si="58"/>
        <v>0.43843058774617727</v>
      </c>
      <c r="L350" s="10">
        <f t="shared" si="59"/>
        <v>1.4337704256342778E-2</v>
      </c>
      <c r="R350" s="10">
        <f t="shared" si="60"/>
        <v>0.17141217220415469</v>
      </c>
      <c r="S350" s="10">
        <f t="shared" si="61"/>
        <v>5.6055783964217695E-3</v>
      </c>
      <c r="Y350" s="10">
        <f t="shared" si="62"/>
        <v>6.2860881040392317E-3</v>
      </c>
      <c r="Z350" s="10">
        <f t="shared" si="63"/>
        <v>3.3220570508984736E-3</v>
      </c>
      <c r="AA350" s="10">
        <f t="shared" si="64"/>
        <v>9.6086436939133769E-4</v>
      </c>
    </row>
    <row r="351" spans="1:27">
      <c r="A351" s="66">
        <v>16.95</v>
      </c>
      <c r="B351" s="10">
        <f t="shared" si="55"/>
        <v>0.98095650589868766</v>
      </c>
      <c r="C351" s="10">
        <f t="shared" si="56"/>
        <v>0.3176471537538999</v>
      </c>
      <c r="D351" s="66">
        <f t="shared" si="65"/>
        <v>4</v>
      </c>
      <c r="E351" s="10">
        <f t="shared" si="57"/>
        <v>2.0773202803672591E-2</v>
      </c>
      <c r="K351" s="10">
        <f t="shared" si="58"/>
        <v>0.43736233626243853</v>
      </c>
      <c r="L351" s="10">
        <f t="shared" si="59"/>
        <v>2.8602228612779244E-2</v>
      </c>
      <c r="R351" s="10">
        <f t="shared" si="60"/>
        <v>0.17052007286989787</v>
      </c>
      <c r="S351" s="10">
        <f t="shared" si="61"/>
        <v>1.1151518324536308E-2</v>
      </c>
      <c r="Y351" s="10">
        <f t="shared" si="62"/>
        <v>1.2509537528397497E-2</v>
      </c>
      <c r="Z351" s="10">
        <f t="shared" si="63"/>
        <v>6.5985487449391322E-3</v>
      </c>
      <c r="AA351" s="10">
        <f t="shared" si="64"/>
        <v>1.9015577173099327E-3</v>
      </c>
    </row>
    <row r="352" spans="1:27">
      <c r="A352" s="66">
        <v>17</v>
      </c>
      <c r="B352" s="10">
        <f t="shared" si="55"/>
        <v>0.98084235197095526</v>
      </c>
      <c r="C352" s="10">
        <f t="shared" si="56"/>
        <v>0.31657439046411018</v>
      </c>
      <c r="D352" s="66">
        <f t="shared" si="65"/>
        <v>2</v>
      </c>
      <c r="E352" s="10">
        <f t="shared" si="57"/>
        <v>1.0350318990552979E-2</v>
      </c>
      <c r="K352" s="10">
        <f t="shared" si="58"/>
        <v>0.43629668761085727</v>
      </c>
      <c r="L352" s="10">
        <f t="shared" si="59"/>
        <v>1.426460897444568E-2</v>
      </c>
      <c r="R352" s="10">
        <f t="shared" si="60"/>
        <v>0.16963261638691554</v>
      </c>
      <c r="S352" s="10">
        <f t="shared" si="61"/>
        <v>5.5460951475976347E-3</v>
      </c>
      <c r="Y352" s="10">
        <f t="shared" si="62"/>
        <v>6.2236016456147583E-3</v>
      </c>
      <c r="Z352" s="10">
        <f t="shared" si="63"/>
        <v>3.2766459255434135E-3</v>
      </c>
      <c r="AA352" s="10">
        <f t="shared" si="64"/>
        <v>9.4079863061776326E-4</v>
      </c>
    </row>
    <row r="353" spans="1:27">
      <c r="A353" s="66">
        <v>17.05</v>
      </c>
      <c r="B353" s="10">
        <f t="shared" si="55"/>
        <v>0.98072760553385774</v>
      </c>
      <c r="C353" s="10">
        <f t="shared" si="56"/>
        <v>0.31550525012847608</v>
      </c>
      <c r="D353" s="66">
        <f t="shared" si="65"/>
        <v>4</v>
      </c>
      <c r="E353" s="10">
        <f t="shared" si="57"/>
        <v>2.0628313899457417E-2</v>
      </c>
      <c r="K353" s="10">
        <f t="shared" si="58"/>
        <v>0.43523363544954119</v>
      </c>
      <c r="L353" s="10">
        <f t="shared" si="59"/>
        <v>2.8456376076148305E-2</v>
      </c>
      <c r="R353" s="10">
        <f t="shared" si="60"/>
        <v>0.16874977859190302</v>
      </c>
      <c r="S353" s="10">
        <f t="shared" si="61"/>
        <v>1.103317108618705E-2</v>
      </c>
      <c r="Y353" s="10">
        <f t="shared" si="62"/>
        <v>1.2385172011341377E-2</v>
      </c>
      <c r="Z353" s="10">
        <f t="shared" si="63"/>
        <v>6.5083413365770318E-3</v>
      </c>
      <c r="AA353" s="10">
        <f t="shared" si="64"/>
        <v>1.8618451779606508E-3</v>
      </c>
    </row>
    <row r="354" spans="1:27">
      <c r="A354" s="66">
        <v>17.100000000000001</v>
      </c>
      <c r="B354" s="10">
        <f t="shared" si="55"/>
        <v>0.98061226324783857</v>
      </c>
      <c r="C354" s="10">
        <f t="shared" si="56"/>
        <v>0.31443972051149705</v>
      </c>
      <c r="D354" s="66">
        <f t="shared" si="65"/>
        <v>2</v>
      </c>
      <c r="E354" s="10">
        <f t="shared" si="57"/>
        <v>1.0278114866193231E-2</v>
      </c>
      <c r="K354" s="10">
        <f t="shared" si="58"/>
        <v>0.43417317345205136</v>
      </c>
      <c r="L354" s="10">
        <f t="shared" si="59"/>
        <v>1.419185127534375E-2</v>
      </c>
      <c r="R354" s="10">
        <f t="shared" si="60"/>
        <v>0.16787153544731157</v>
      </c>
      <c r="S354" s="10">
        <f t="shared" si="61"/>
        <v>5.487229543662599E-3</v>
      </c>
      <c r="Y354" s="10">
        <f t="shared" si="62"/>
        <v>6.1617211053755384E-3</v>
      </c>
      <c r="Z354" s="10">
        <f t="shared" si="63"/>
        <v>3.2318475659108624E-3</v>
      </c>
      <c r="AA354" s="10">
        <f t="shared" si="64"/>
        <v>9.2114964884649131E-4</v>
      </c>
    </row>
    <row r="355" spans="1:27">
      <c r="A355" s="66">
        <v>17.149999999999999</v>
      </c>
      <c r="B355" s="10">
        <f t="shared" si="55"/>
        <v>0.98049632175528234</v>
      </c>
      <c r="C355" s="10">
        <f t="shared" si="56"/>
        <v>0.31337778941899347</v>
      </c>
      <c r="D355" s="66">
        <f t="shared" si="65"/>
        <v>4</v>
      </c>
      <c r="E355" s="10">
        <f t="shared" si="57"/>
        <v>2.0484384656341639E-2</v>
      </c>
      <c r="K355" s="10">
        <f t="shared" si="58"/>
        <v>0.43311529530736276</v>
      </c>
      <c r="L355" s="10">
        <f t="shared" si="59"/>
        <v>2.8311196929654808E-2</v>
      </c>
      <c r="R355" s="10">
        <f t="shared" si="60"/>
        <v>0.16699786304069358</v>
      </c>
      <c r="S355" s="10">
        <f t="shared" si="61"/>
        <v>1.0916052696826165E-2</v>
      </c>
      <c r="Y355" s="10">
        <f t="shared" si="62"/>
        <v>1.2262012418692344E-2</v>
      </c>
      <c r="Z355" s="10">
        <f t="shared" si="63"/>
        <v>6.4193511812126909E-3</v>
      </c>
      <c r="AA355" s="10">
        <f t="shared" si="64"/>
        <v>1.8229574732095699E-3</v>
      </c>
    </row>
    <row r="356" spans="1:27">
      <c r="A356" s="66">
        <v>17.2</v>
      </c>
      <c r="B356" s="10">
        <f t="shared" si="55"/>
        <v>0.98037977768042595</v>
      </c>
      <c r="C356" s="10">
        <f t="shared" si="56"/>
        <v>0.3123194446979678</v>
      </c>
      <c r="D356" s="66">
        <f t="shared" si="65"/>
        <v>2</v>
      </c>
      <c r="E356" s="10">
        <f t="shared" si="57"/>
        <v>1.0206388925275591E-2</v>
      </c>
      <c r="K356" s="10">
        <f t="shared" si="58"/>
        <v>0.43205999471982737</v>
      </c>
      <c r="L356" s="10">
        <f t="shared" si="59"/>
        <v>1.4119429385601011E-2</v>
      </c>
      <c r="R356" s="10">
        <f t="shared" si="60"/>
        <v>0.16612873758405169</v>
      </c>
      <c r="S356" s="10">
        <f t="shared" si="61"/>
        <v>5.4289751606327466E-3</v>
      </c>
      <c r="Y356" s="10">
        <f t="shared" si="62"/>
        <v>6.1004405857897478E-3</v>
      </c>
      <c r="Z356" s="10">
        <f t="shared" si="63"/>
        <v>3.1876537215135611E-3</v>
      </c>
      <c r="AA356" s="10">
        <f t="shared" si="64"/>
        <v>9.0190878981109249E-4</v>
      </c>
    </row>
    <row r="357" spans="1:27">
      <c r="A357" s="66">
        <v>17.25</v>
      </c>
      <c r="B357" s="10">
        <f t="shared" si="55"/>
        <v>0.98026262762927041</v>
      </c>
      <c r="C357" s="10">
        <f t="shared" si="56"/>
        <v>0.31126467423646648</v>
      </c>
      <c r="D357" s="66">
        <f t="shared" si="65"/>
        <v>4</v>
      </c>
      <c r="E357" s="10">
        <f t="shared" si="57"/>
        <v>2.0341408497013835E-2</v>
      </c>
      <c r="K357" s="10">
        <f t="shared" si="58"/>
        <v>0.43100726540913703</v>
      </c>
      <c r="L357" s="10">
        <f t="shared" si="59"/>
        <v>2.8166687634484471E-2</v>
      </c>
      <c r="R357" s="10">
        <f t="shared" si="60"/>
        <v>0.16526413541319099</v>
      </c>
      <c r="S357" s="10">
        <f t="shared" si="61"/>
        <v>1.0800150375534277E-2</v>
      </c>
      <c r="Y357" s="10">
        <f t="shared" si="62"/>
        <v>1.2140047012972506E-2</v>
      </c>
      <c r="Z357" s="10">
        <f t="shared" si="63"/>
        <v>6.3315618893339028E-3</v>
      </c>
      <c r="AA357" s="10">
        <f t="shared" si="64"/>
        <v>1.7848775141451223E-3</v>
      </c>
    </row>
    <row r="358" spans="1:27">
      <c r="A358" s="66">
        <v>17.3</v>
      </c>
      <c r="B358" s="10">
        <f t="shared" si="55"/>
        <v>0.98014486818949109</v>
      </c>
      <c r="C358" s="10">
        <f t="shared" si="56"/>
        <v>0.31021346596344024</v>
      </c>
      <c r="D358" s="66">
        <f t="shared" si="65"/>
        <v>2</v>
      </c>
      <c r="E358" s="10">
        <f t="shared" si="57"/>
        <v>1.0135137890244712E-2</v>
      </c>
      <c r="K358" s="10">
        <f t="shared" si="58"/>
        <v>0.42995710111028562</v>
      </c>
      <c r="L358" s="10">
        <f t="shared" si="59"/>
        <v>1.4047341539829221E-2</v>
      </c>
      <c r="R358" s="10">
        <f t="shared" si="60"/>
        <v>0.16440403298707473</v>
      </c>
      <c r="S358" s="10">
        <f t="shared" si="61"/>
        <v>5.3713256413979041E-3</v>
      </c>
      <c r="Y358" s="10">
        <f t="shared" si="62"/>
        <v>6.0397542467710676E-3</v>
      </c>
      <c r="Z358" s="10">
        <f t="shared" si="63"/>
        <v>3.1440562529502013E-3</v>
      </c>
      <c r="AA358" s="10">
        <f t="shared" si="64"/>
        <v>8.8306759793270137E-4</v>
      </c>
    </row>
    <row r="359" spans="1:27">
      <c r="A359" s="66">
        <v>17.350000000000001</v>
      </c>
      <c r="B359" s="10">
        <f t="shared" si="55"/>
        <v>0.98002649593034796</v>
      </c>
      <c r="C359" s="10">
        <f t="shared" si="56"/>
        <v>0.30916580784860648</v>
      </c>
      <c r="D359" s="66">
        <f t="shared" si="65"/>
        <v>4</v>
      </c>
      <c r="E359" s="10">
        <f t="shared" si="57"/>
        <v>2.0199378888489671E-2</v>
      </c>
      <c r="K359" s="10">
        <f t="shared" si="58"/>
        <v>0.42890949557353197</v>
      </c>
      <c r="L359" s="10">
        <f t="shared" si="59"/>
        <v>2.8022844667878771E-2</v>
      </c>
      <c r="R359" s="10">
        <f t="shared" si="60"/>
        <v>0.16354840688718358</v>
      </c>
      <c r="S359" s="10">
        <f t="shared" si="61"/>
        <v>1.0685451474442486E-2</v>
      </c>
      <c r="Y359" s="10">
        <f t="shared" si="62"/>
        <v>1.2019264171035323E-2</v>
      </c>
      <c r="Z359" s="10">
        <f t="shared" si="63"/>
        <v>6.2449572920999959E-3</v>
      </c>
      <c r="AA359" s="10">
        <f t="shared" si="64"/>
        <v>1.7475885655153754E-3</v>
      </c>
    </row>
    <row r="360" spans="1:27">
      <c r="A360" s="66">
        <v>17.399999999999999</v>
      </c>
      <c r="B360" s="10">
        <f t="shared" si="55"/>
        <v>0.97990750740259625</v>
      </c>
      <c r="C360" s="10">
        <f t="shared" si="56"/>
        <v>0.30812168790231159</v>
      </c>
      <c r="D360" s="66">
        <f t="shared" si="65"/>
        <v>2</v>
      </c>
      <c r="E360" s="10">
        <f t="shared" si="57"/>
        <v>1.0064358505634495E-2</v>
      </c>
      <c r="K360" s="10">
        <f t="shared" si="58"/>
        <v>0.42786444256436262</v>
      </c>
      <c r="L360" s="10">
        <f t="shared" si="59"/>
        <v>1.3975585980648197E-2</v>
      </c>
      <c r="R360" s="10">
        <f t="shared" si="60"/>
        <v>0.16269723381687773</v>
      </c>
      <c r="S360" s="10">
        <f t="shared" si="61"/>
        <v>5.3142746950264686E-3</v>
      </c>
      <c r="Y360" s="10">
        <f t="shared" si="62"/>
        <v>5.979656305120362E-3</v>
      </c>
      <c r="Z360" s="10">
        <f t="shared" si="63"/>
        <v>3.1010471304100868E-3</v>
      </c>
      <c r="AA360" s="10">
        <f t="shared" si="64"/>
        <v>8.6461779262383791E-4</v>
      </c>
    </row>
    <row r="361" spans="1:27">
      <c r="A361" s="66">
        <v>17.45</v>
      </c>
      <c r="B361" s="10">
        <f t="shared" si="55"/>
        <v>0.97978789913839581</v>
      </c>
      <c r="C361" s="10">
        <f t="shared" si="56"/>
        <v>0.30708109417539325</v>
      </c>
      <c r="D361" s="66">
        <f t="shared" si="65"/>
        <v>4</v>
      </c>
      <c r="E361" s="10">
        <f t="shared" si="57"/>
        <v>2.0058289341815229E-2</v>
      </c>
      <c r="K361" s="10">
        <f t="shared" si="58"/>
        <v>0.42682193586345468</v>
      </c>
      <c r="L361" s="10">
        <f t="shared" si="59"/>
        <v>2.7879664523055826E-2</v>
      </c>
      <c r="R361" s="10">
        <f t="shared" si="60"/>
        <v>0.16185049060076231</v>
      </c>
      <c r="S361" s="10">
        <f t="shared" si="61"/>
        <v>1.0571943477349306E-2</v>
      </c>
      <c r="Y361" s="10">
        <f t="shared" si="62"/>
        <v>1.1899652382954366E-2</v>
      </c>
      <c r="Z361" s="10">
        <f t="shared" si="63"/>
        <v>6.1595214383712493E-3</v>
      </c>
      <c r="AA361" s="10">
        <f t="shared" si="64"/>
        <v>1.7110742384125143E-3</v>
      </c>
    </row>
    <row r="362" spans="1:27">
      <c r="A362" s="66">
        <v>17.5</v>
      </c>
      <c r="B362" s="10">
        <f t="shared" si="55"/>
        <v>0.97966766765122015</v>
      </c>
      <c r="C362" s="10">
        <f t="shared" si="56"/>
        <v>0.30604401475904458</v>
      </c>
      <c r="D362" s="66">
        <f t="shared" si="65"/>
        <v>2</v>
      </c>
      <c r="E362" s="10">
        <f t="shared" si="57"/>
        <v>9.9940475379202941E-3</v>
      </c>
      <c r="K362" s="10">
        <f t="shared" si="58"/>
        <v>0.42578196926663886</v>
      </c>
      <c r="L362" s="10">
        <f t="shared" si="59"/>
        <v>1.3904160958646388E-2</v>
      </c>
      <c r="R362" s="10">
        <f t="shared" si="60"/>
        <v>0.16100815418405723</v>
      </c>
      <c r="S362" s="10">
        <f t="shared" si="61"/>
        <v>5.2578160960774474E-3</v>
      </c>
      <c r="Y362" s="10">
        <f t="shared" si="62"/>
        <v>5.9201410339727763E-3</v>
      </c>
      <c r="Z362" s="10">
        <f t="shared" si="63"/>
        <v>3.0586184321978716E-3</v>
      </c>
      <c r="AA362" s="10">
        <f t="shared" si="64"/>
        <v>8.4655126466865556E-4</v>
      </c>
    </row>
    <row r="363" spans="1:27">
      <c r="A363" s="66">
        <v>17.55</v>
      </c>
      <c r="B363" s="10">
        <f t="shared" si="55"/>
        <v>0.97954680943576666</v>
      </c>
      <c r="C363" s="10">
        <f t="shared" si="56"/>
        <v>0.3050104377846769</v>
      </c>
      <c r="D363" s="66">
        <f t="shared" si="65"/>
        <v>4</v>
      </c>
      <c r="E363" s="10">
        <f t="shared" si="57"/>
        <v>1.9918133411772444E-2</v>
      </c>
      <c r="K363" s="10">
        <f t="shared" si="58"/>
        <v>0.4247445365848625</v>
      </c>
      <c r="L363" s="10">
        <f t="shared" si="59"/>
        <v>2.773714370913169E-2</v>
      </c>
      <c r="R363" s="10">
        <f t="shared" si="60"/>
        <v>0.16017020163196863</v>
      </c>
      <c r="S363" s="10">
        <f t="shared" si="61"/>
        <v>1.0459613998351887E-2</v>
      </c>
      <c r="Y363" s="10">
        <f t="shared" si="62"/>
        <v>1.1781200250922873E-2</v>
      </c>
      <c r="Z363" s="10">
        <f t="shared" si="63"/>
        <v>6.0752385917783132E-3</v>
      </c>
      <c r="AA363" s="10">
        <f t="shared" si="64"/>
        <v>1.6753184831085834E-3</v>
      </c>
    </row>
    <row r="364" spans="1:27">
      <c r="A364" s="66">
        <v>17.600000000000001</v>
      </c>
      <c r="B364" s="10">
        <f t="shared" si="55"/>
        <v>0.97942532096786417</v>
      </c>
      <c r="C364" s="10">
        <f t="shared" si="56"/>
        <v>0.30398035142378438</v>
      </c>
      <c r="D364" s="66">
        <f t="shared" si="65"/>
        <v>2</v>
      </c>
      <c r="E364" s="10">
        <f t="shared" si="57"/>
        <v>9.9242017753721386E-3</v>
      </c>
      <c r="K364" s="10">
        <f t="shared" si="58"/>
        <v>0.42370963164415304</v>
      </c>
      <c r="L364" s="10">
        <f t="shared" si="59"/>
        <v>1.3833064732341669E-2</v>
      </c>
      <c r="R364" s="10">
        <f t="shared" si="60"/>
        <v>0.1593366101290648</v>
      </c>
      <c r="S364" s="10">
        <f t="shared" si="61"/>
        <v>5.2019436839196905E-3</v>
      </c>
      <c r="Y364" s="10">
        <f t="shared" si="62"/>
        <v>5.8612027622502129E-3</v>
      </c>
      <c r="Z364" s="10">
        <f t="shared" si="63"/>
        <v>3.0167623432781677E-3</v>
      </c>
      <c r="AA364" s="10">
        <f t="shared" si="64"/>
        <v>8.2886007267806284E-4</v>
      </c>
    </row>
    <row r="365" spans="1:27">
      <c r="A365" s="66">
        <v>17.649999999999999</v>
      </c>
      <c r="B365" s="10">
        <f t="shared" si="55"/>
        <v>0.97930319870438198</v>
      </c>
      <c r="C365" s="10">
        <f t="shared" si="56"/>
        <v>0.30295374388780905</v>
      </c>
      <c r="D365" s="66">
        <f t="shared" si="65"/>
        <v>4</v>
      </c>
      <c r="E365" s="10">
        <f t="shared" si="57"/>
        <v>1.9778904696586636E-2</v>
      </c>
      <c r="K365" s="10">
        <f t="shared" si="58"/>
        <v>0.42267724828558073</v>
      </c>
      <c r="L365" s="10">
        <f t="shared" si="59"/>
        <v>2.7595278751042368E-2</v>
      </c>
      <c r="R365" s="10">
        <f t="shared" si="60"/>
        <v>0.15850735697865509</v>
      </c>
      <c r="S365" s="10">
        <f t="shared" si="61"/>
        <v>1.034845078049162E-2</v>
      </c>
      <c r="Y365" s="10">
        <f t="shared" si="62"/>
        <v>1.1663896488164145E-2</v>
      </c>
      <c r="Z365" s="10">
        <f t="shared" si="63"/>
        <v>5.9920932278310912E-3</v>
      </c>
      <c r="AA365" s="10">
        <f t="shared" si="64"/>
        <v>1.640305582039427E-3</v>
      </c>
    </row>
    <row r="366" spans="1:27">
      <c r="A366" s="66">
        <v>17.7</v>
      </c>
      <c r="B366" s="10">
        <f t="shared" si="55"/>
        <v>0.97918043908313801</v>
      </c>
      <c r="C366" s="10">
        <f t="shared" si="56"/>
        <v>0.30193060342800465</v>
      </c>
      <c r="D366" s="66">
        <f t="shared" si="65"/>
        <v>2</v>
      </c>
      <c r="E366" s="10">
        <f t="shared" si="57"/>
        <v>9.8548180279090149E-3</v>
      </c>
      <c r="K366" s="10">
        <f t="shared" si="58"/>
        <v>0.42164738036522237</v>
      </c>
      <c r="L366" s="10">
        <f t="shared" si="59"/>
        <v>1.3762295568142445E-2</v>
      </c>
      <c r="R366" s="10">
        <f t="shared" si="60"/>
        <v>0.15768241960217133</v>
      </c>
      <c r="S366" s="10">
        <f t="shared" si="61"/>
        <v>5.1466513620581911E-3</v>
      </c>
      <c r="Y366" s="10">
        <f t="shared" si="62"/>
        <v>5.8028358741191721E-3</v>
      </c>
      <c r="Z366" s="10">
        <f t="shared" si="63"/>
        <v>2.9754711538397477E-3</v>
      </c>
      <c r="AA366" s="10">
        <f t="shared" si="64"/>
        <v>8.1153643961814632E-4</v>
      </c>
    </row>
    <row r="367" spans="1:27">
      <c r="A367" s="66">
        <v>17.75</v>
      </c>
      <c r="B367" s="10">
        <f t="shared" si="55"/>
        <v>0.97905703852280679</v>
      </c>
      <c r="C367" s="10">
        <f t="shared" si="56"/>
        <v>0.30091091833530381</v>
      </c>
      <c r="D367" s="66">
        <f t="shared" si="65"/>
        <v>4</v>
      </c>
      <c r="E367" s="10">
        <f t="shared" si="57"/>
        <v>1.9640596837636051E-2</v>
      </c>
      <c r="K367" s="10">
        <f t="shared" si="58"/>
        <v>0.42062002175412466</v>
      </c>
      <c r="L367" s="10">
        <f t="shared" si="59"/>
        <v>2.7454066189466126E-2</v>
      </c>
      <c r="R367" s="10">
        <f t="shared" si="60"/>
        <v>0.15686177553855393</v>
      </c>
      <c r="S367" s="10">
        <f t="shared" si="61"/>
        <v>1.0238441694413725E-2</v>
      </c>
      <c r="Y367" s="10">
        <f t="shared" si="62"/>
        <v>1.154772991785242E-2</v>
      </c>
      <c r="Z367" s="10">
        <f t="shared" si="63"/>
        <v>5.9100700310665277E-3</v>
      </c>
      <c r="AA367" s="10">
        <f t="shared" si="64"/>
        <v>1.6060201429336975E-3</v>
      </c>
    </row>
    <row r="368" spans="1:27">
      <c r="A368" s="66">
        <v>17.8</v>
      </c>
      <c r="B368" s="10">
        <f t="shared" si="55"/>
        <v>0.97893299342282636</v>
      </c>
      <c r="C368" s="10">
        <f t="shared" si="56"/>
        <v>0.29989467694018268</v>
      </c>
      <c r="D368" s="66">
        <f t="shared" si="65"/>
        <v>2</v>
      </c>
      <c r="E368" s="10">
        <f t="shared" si="57"/>
        <v>9.7858931269541507E-3</v>
      </c>
      <c r="K368" s="10">
        <f t="shared" si="58"/>
        <v>0.4195951663382676</v>
      </c>
      <c r="L368" s="10">
        <f t="shared" si="59"/>
        <v>1.3691851740308972E-2</v>
      </c>
      <c r="R368" s="10">
        <f t="shared" si="60"/>
        <v>0.1560454024436396</v>
      </c>
      <c r="S368" s="10">
        <f t="shared" si="61"/>
        <v>5.0919330974673925E-3</v>
      </c>
      <c r="Y368" s="10">
        <f t="shared" si="62"/>
        <v>5.7450348084538416E-3</v>
      </c>
      <c r="Z368" s="10">
        <f t="shared" si="63"/>
        <v>2.934737257879069E-3</v>
      </c>
      <c r="AA368" s="10">
        <f t="shared" si="64"/>
        <v>7.945727494103876E-4</v>
      </c>
    </row>
    <row r="369" spans="1:27">
      <c r="A369" s="66">
        <v>17.850000000000001</v>
      </c>
      <c r="B369" s="10">
        <f t="shared" si="55"/>
        <v>0.97880830016330589</v>
      </c>
      <c r="C369" s="10">
        <f t="shared" si="56"/>
        <v>0.29888186761252805</v>
      </c>
      <c r="D369" s="66">
        <f t="shared" si="65"/>
        <v>4</v>
      </c>
      <c r="E369" s="10">
        <f t="shared" si="57"/>
        <v>1.9503203519163525E-2</v>
      </c>
      <c r="K369" s="10">
        <f t="shared" si="58"/>
        <v>0.41857280801852836</v>
      </c>
      <c r="L369" s="10">
        <f t="shared" si="59"/>
        <v>2.7313502580746506E-2</v>
      </c>
      <c r="R369" s="10">
        <f t="shared" si="60"/>
        <v>0.15523327808955337</v>
      </c>
      <c r="S369" s="10">
        <f t="shared" si="61"/>
        <v>1.0129574737040901E-2</v>
      </c>
      <c r="Y369" s="10">
        <f t="shared" si="62"/>
        <v>1.1432689472044386E-2</v>
      </c>
      <c r="Z369" s="10">
        <f t="shared" si="63"/>
        <v>5.8291538922348235E-3</v>
      </c>
      <c r="AA369" s="10">
        <f t="shared" si="64"/>
        <v>1.5724470920839846E-3</v>
      </c>
    </row>
    <row r="370" spans="1:27">
      <c r="A370" s="66">
        <v>17.899999999999999</v>
      </c>
      <c r="B370" s="10">
        <f t="shared" si="55"/>
        <v>0.97868295510493231</v>
      </c>
      <c r="C370" s="10">
        <f t="shared" si="56"/>
        <v>0.29787247876150441</v>
      </c>
      <c r="D370" s="66">
        <f t="shared" si="65"/>
        <v>2</v>
      </c>
      <c r="E370" s="10">
        <f t="shared" si="57"/>
        <v>9.7174239252913446E-3</v>
      </c>
      <c r="K370" s="10">
        <f t="shared" si="58"/>
        <v>0.41755294071064503</v>
      </c>
      <c r="L370" s="10">
        <f t="shared" si="59"/>
        <v>1.3621731530914958E-2</v>
      </c>
      <c r="R370" s="10">
        <f t="shared" si="60"/>
        <v>0.15442538036410333</v>
      </c>
      <c r="S370" s="10">
        <f t="shared" si="61"/>
        <v>5.0377829199314611E-3</v>
      </c>
      <c r="Y370" s="10">
        <f t="shared" si="62"/>
        <v>5.6877940583044571E-3</v>
      </c>
      <c r="Z370" s="10">
        <f t="shared" si="63"/>
        <v>2.8945531518028808E-3</v>
      </c>
      <c r="AA370" s="10">
        <f t="shared" si="64"/>
        <v>7.7796154360219904E-4</v>
      </c>
    </row>
    <row r="371" spans="1:27">
      <c r="A371" s="66">
        <v>17.95</v>
      </c>
      <c r="B371" s="10">
        <f t="shared" si="55"/>
        <v>0.97855695458887737</v>
      </c>
      <c r="C371" s="10">
        <f t="shared" si="56"/>
        <v>0.29686649883542043</v>
      </c>
      <c r="D371" s="66">
        <f t="shared" si="65"/>
        <v>4</v>
      </c>
      <c r="E371" s="10">
        <f t="shared" si="57"/>
        <v>1.9366718467990107E-2</v>
      </c>
      <c r="K371" s="10">
        <f t="shared" si="58"/>
        <v>0.41653555834517958</v>
      </c>
      <c r="L371" s="10">
        <f t="shared" si="59"/>
        <v>2.717358449681578E-2</v>
      </c>
      <c r="R371" s="10">
        <f t="shared" si="60"/>
        <v>0.15362168727017825</v>
      </c>
      <c r="S371" s="10">
        <f t="shared" si="61"/>
        <v>1.0021838030260705E-2</v>
      </c>
      <c r="Y371" s="10">
        <f t="shared" si="62"/>
        <v>1.1318764190621076E-2</v>
      </c>
      <c r="Z371" s="10">
        <f t="shared" si="63"/>
        <v>5.7493299055235E-3</v>
      </c>
      <c r="AA371" s="10">
        <f t="shared" si="64"/>
        <v>1.5395716677570892E-3</v>
      </c>
    </row>
    <row r="372" spans="1:27">
      <c r="A372" s="66">
        <v>18</v>
      </c>
      <c r="B372" s="10">
        <f t="shared" si="55"/>
        <v>0.9784302949367033</v>
      </c>
      <c r="C372" s="10">
        <f t="shared" si="56"/>
        <v>0.29586391632159825</v>
      </c>
      <c r="D372" s="66">
        <f t="shared" si="65"/>
        <v>2</v>
      </c>
      <c r="E372" s="10">
        <f t="shared" si="57"/>
        <v>9.6494072969223171E-3</v>
      </c>
      <c r="K372" s="10">
        <f t="shared" si="58"/>
        <v>0.41552065486748313</v>
      </c>
      <c r="L372" s="10">
        <f t="shared" si="59"/>
        <v>1.3551933229809457E-2</v>
      </c>
      <c r="R372" s="10">
        <f t="shared" si="60"/>
        <v>0.15282217692514913</v>
      </c>
      <c r="S372" s="10">
        <f t="shared" si="61"/>
        <v>4.9841949213914249E-3</v>
      </c>
      <c r="Y372" s="10">
        <f t="shared" si="62"/>
        <v>5.6311081703708313E-3</v>
      </c>
      <c r="Z372" s="10">
        <f t="shared" si="63"/>
        <v>2.8549114330496438E-3</v>
      </c>
      <c r="AA372" s="10">
        <f t="shared" si="64"/>
        <v>7.6169551810631008E-4</v>
      </c>
    </row>
    <row r="373" spans="1:27">
      <c r="A373" s="66">
        <v>18.05</v>
      </c>
      <c r="B373" s="10">
        <f t="shared" si="55"/>
        <v>0.97830297245026787</v>
      </c>
      <c r="C373" s="10">
        <f t="shared" si="56"/>
        <v>0.29486471974623935</v>
      </c>
      <c r="D373" s="66">
        <f t="shared" si="65"/>
        <v>4</v>
      </c>
      <c r="E373" s="10">
        <f t="shared" si="57"/>
        <v>1.9231135453230744E-2</v>
      </c>
      <c r="K373" s="10">
        <f t="shared" si="58"/>
        <v>0.41450822423765826</v>
      </c>
      <c r="L373" s="10">
        <f t="shared" si="59"/>
        <v>2.7034308525118886E-2</v>
      </c>
      <c r="R373" s="10">
        <f t="shared" si="60"/>
        <v>0.15202682756027297</v>
      </c>
      <c r="S373" s="10">
        <f t="shared" si="61"/>
        <v>9.9152198196266247E-3</v>
      </c>
      <c r="Y373" s="10">
        <f t="shared" si="62"/>
        <v>1.1205943220240015E-2</v>
      </c>
      <c r="Z373" s="10">
        <f t="shared" si="63"/>
        <v>5.6705833658188508E-3</v>
      </c>
      <c r="AA373" s="10">
        <f t="shared" si="64"/>
        <v>1.5073794137405777E-3</v>
      </c>
    </row>
    <row r="374" spans="1:27">
      <c r="A374" s="66">
        <v>18.100000000000001</v>
      </c>
      <c r="B374" s="10">
        <f t="shared" si="55"/>
        <v>0.97817498341163267</v>
      </c>
      <c r="C374" s="10">
        <f t="shared" si="56"/>
        <v>0.2938688976742963</v>
      </c>
      <c r="D374" s="66">
        <f t="shared" si="65"/>
        <v>2</v>
      </c>
      <c r="E374" s="10">
        <f t="shared" si="57"/>
        <v>9.5818401369249847E-3</v>
      </c>
      <c r="K374" s="10">
        <f t="shared" si="58"/>
        <v>0.41349826043052507</v>
      </c>
      <c r="L374" s="10">
        <f t="shared" si="59"/>
        <v>1.3482455134578927E-2</v>
      </c>
      <c r="R374" s="10">
        <f t="shared" si="60"/>
        <v>0.15123561752010051</v>
      </c>
      <c r="S374" s="10">
        <f t="shared" si="61"/>
        <v>4.9311632552990776E-3</v>
      </c>
      <c r="Y374" s="10">
        <f t="shared" si="62"/>
        <v>5.574971744480987E-3</v>
      </c>
      <c r="Z374" s="10">
        <f t="shared" si="63"/>
        <v>2.8158047987294735E-3</v>
      </c>
      <c r="AA374" s="10">
        <f t="shared" si="64"/>
        <v>7.45767520007585E-4</v>
      </c>
    </row>
    <row r="375" spans="1:27">
      <c r="A375" s="66">
        <v>18.149999999999999</v>
      </c>
      <c r="B375" s="10">
        <f t="shared" si="55"/>
        <v>0.97804632408296577</v>
      </c>
      <c r="C375" s="10">
        <f t="shared" si="56"/>
        <v>0.29287643870933966</v>
      </c>
      <c r="D375" s="66">
        <f t="shared" si="65"/>
        <v>4</v>
      </c>
      <c r="E375" s="10">
        <f t="shared" si="57"/>
        <v>1.909644828601198E-2</v>
      </c>
      <c r="K375" s="10">
        <f t="shared" si="58"/>
        <v>0.4124907574355835</v>
      </c>
      <c r="L375" s="10">
        <f t="shared" si="59"/>
        <v>2.6895671268538049E-2</v>
      </c>
      <c r="R375" s="10">
        <f t="shared" si="60"/>
        <v>0.15044852526188612</v>
      </c>
      <c r="S375" s="10">
        <f t="shared" si="61"/>
        <v>9.8097084730727306E-3</v>
      </c>
      <c r="Y375" s="10">
        <f t="shared" si="62"/>
        <v>1.109421581329772E-2</v>
      </c>
      <c r="Z375" s="10">
        <f t="shared" si="63"/>
        <v>5.5928997660042619E-3</v>
      </c>
      <c r="AA375" s="10">
        <f t="shared" si="64"/>
        <v>1.4758561730228211E-3</v>
      </c>
    </row>
    <row r="376" spans="1:27">
      <c r="A376" s="66">
        <v>18.2</v>
      </c>
      <c r="B376" s="10">
        <f t="shared" si="55"/>
        <v>0.97791699070644744</v>
      </c>
      <c r="C376" s="10">
        <f t="shared" si="56"/>
        <v>0.29188733149342783</v>
      </c>
      <c r="D376" s="66">
        <f t="shared" si="65"/>
        <v>2</v>
      </c>
      <c r="E376" s="10">
        <f t="shared" si="57"/>
        <v>9.514719361312941E-3</v>
      </c>
      <c r="K376" s="10">
        <f t="shared" si="58"/>
        <v>0.41148570925697842</v>
      </c>
      <c r="L376" s="10">
        <f t="shared" si="59"/>
        <v>1.3413295550509749E-2</v>
      </c>
      <c r="R376" s="10">
        <f t="shared" si="60"/>
        <v>0.14966552935500152</v>
      </c>
      <c r="S376" s="10">
        <f t="shared" si="61"/>
        <v>4.8786821359776853E-3</v>
      </c>
      <c r="Y376" s="10">
        <f t="shared" si="62"/>
        <v>5.5193794330749765E-3</v>
      </c>
      <c r="Z376" s="10">
        <f t="shared" si="63"/>
        <v>2.7772260442824864E-3</v>
      </c>
      <c r="AA376" s="10">
        <f t="shared" si="64"/>
        <v>7.3017054443588975E-4</v>
      </c>
    </row>
    <row r="377" spans="1:27">
      <c r="A377" s="66">
        <v>18.25</v>
      </c>
      <c r="B377" s="10">
        <f t="shared" si="55"/>
        <v>0.97778697950417504</v>
      </c>
      <c r="C377" s="10">
        <f t="shared" si="56"/>
        <v>0.29090156470697798</v>
      </c>
      <c r="D377" s="66">
        <f t="shared" si="65"/>
        <v>4</v>
      </c>
      <c r="E377" s="10">
        <f t="shared" si="57"/>
        <v>1.8962650819191622E-2</v>
      </c>
      <c r="K377" s="10">
        <f t="shared" si="58"/>
        <v>0.41048310991346382</v>
      </c>
      <c r="L377" s="10">
        <f t="shared" si="59"/>
        <v>2.6757669345317741E-2</v>
      </c>
      <c r="R377" s="10">
        <f t="shared" si="60"/>
        <v>0.14888660848035218</v>
      </c>
      <c r="S377" s="10">
        <f t="shared" si="61"/>
        <v>9.7052924796416171E-3</v>
      </c>
      <c r="Y377" s="10">
        <f t="shared" si="62"/>
        <v>1.0983571326902183E-2</v>
      </c>
      <c r="Z377" s="10">
        <f t="shared" si="63"/>
        <v>5.5162647942949006E-3</v>
      </c>
      <c r="AA377" s="10">
        <f t="shared" si="64"/>
        <v>1.4449880816037079E-3</v>
      </c>
    </row>
    <row r="378" spans="1:27">
      <c r="A378" s="66">
        <v>18.3</v>
      </c>
      <c r="B378" s="10">
        <f t="shared" si="55"/>
        <v>0.97765628667806725</v>
      </c>
      <c r="C378" s="10">
        <f t="shared" si="56"/>
        <v>0.28991912706863571</v>
      </c>
      <c r="D378" s="66">
        <f t="shared" si="65"/>
        <v>2</v>
      </c>
      <c r="E378" s="10">
        <f t="shared" si="57"/>
        <v>9.4480419068956375E-3</v>
      </c>
      <c r="K378" s="10">
        <f t="shared" si="58"/>
        <v>0.40948295343836727</v>
      </c>
      <c r="L378" s="10">
        <f t="shared" si="59"/>
        <v>1.3344452790550736E-2</v>
      </c>
      <c r="R378" s="10">
        <f t="shared" si="60"/>
        <v>0.14811174142979705</v>
      </c>
      <c r="S378" s="10">
        <f t="shared" si="61"/>
        <v>4.8267458379892486E-3</v>
      </c>
      <c r="Y378" s="10">
        <f t="shared" si="62"/>
        <v>5.4643259406935768E-3</v>
      </c>
      <c r="Z378" s="10">
        <f t="shared" si="63"/>
        <v>2.7391680621550716E-3</v>
      </c>
      <c r="AA378" s="10">
        <f t="shared" si="64"/>
        <v>7.1489773150361271E-4</v>
      </c>
    </row>
    <row r="379" spans="1:27">
      <c r="A379" s="66">
        <v>18.350000000000001</v>
      </c>
      <c r="B379" s="10">
        <f t="shared" si="55"/>
        <v>0.97752490840976813</v>
      </c>
      <c r="C379" s="10">
        <f t="shared" si="56"/>
        <v>0.28894000733514619</v>
      </c>
      <c r="D379" s="66">
        <f t="shared" si="65"/>
        <v>4</v>
      </c>
      <c r="E379" s="10">
        <f t="shared" si="57"/>
        <v>1.8829736947080435E-2</v>
      </c>
      <c r="K379" s="10">
        <f t="shared" si="58"/>
        <v>0.40848523387955427</v>
      </c>
      <c r="L379" s="10">
        <f t="shared" si="59"/>
        <v>2.6620299388990267E-2</v>
      </c>
      <c r="R379" s="10">
        <f t="shared" si="60"/>
        <v>0.14734090710557082</v>
      </c>
      <c r="S379" s="10">
        <f t="shared" si="61"/>
        <v>9.6019604482256837E-3</v>
      </c>
      <c r="Y379" s="10">
        <f t="shared" si="62"/>
        <v>1.0873999221855444E-2</v>
      </c>
      <c r="Z379" s="10">
        <f t="shared" si="63"/>
        <v>5.4406643316082942E-3</v>
      </c>
      <c r="AA379" s="10">
        <f t="shared" si="64"/>
        <v>1.4147615624333857E-3</v>
      </c>
    </row>
    <row r="380" spans="1:27">
      <c r="A380" s="66">
        <v>18.399999999999999</v>
      </c>
      <c r="B380" s="10">
        <f t="shared" si="55"/>
        <v>0.97739284086055067</v>
      </c>
      <c r="C380" s="10">
        <f t="shared" si="56"/>
        <v>0.28796419430122572</v>
      </c>
      <c r="D380" s="66">
        <f t="shared" si="65"/>
        <v>2</v>
      </c>
      <c r="E380" s="10">
        <f t="shared" si="57"/>
        <v>9.3818047311398211E-3</v>
      </c>
      <c r="K380" s="10">
        <f t="shared" si="58"/>
        <v>0.40748994529939297</v>
      </c>
      <c r="L380" s="10">
        <f t="shared" si="59"/>
        <v>1.3275925175276138E-2</v>
      </c>
      <c r="R380" s="10">
        <f t="shared" si="60"/>
        <v>0.14657408451970963</v>
      </c>
      <c r="S380" s="10">
        <f t="shared" si="61"/>
        <v>4.775348695508449E-3</v>
      </c>
      <c r="Y380" s="10">
        <f t="shared" si="62"/>
        <v>5.4098060234721076E-3</v>
      </c>
      <c r="Z380" s="10">
        <f t="shared" si="63"/>
        <v>2.701623840494106E-3</v>
      </c>
      <c r="AA380" s="10">
        <f t="shared" si="64"/>
        <v>6.9994236330654051E-4</v>
      </c>
    </row>
    <row r="381" spans="1:27">
      <c r="A381" s="66">
        <v>18.45</v>
      </c>
      <c r="B381" s="10">
        <f t="shared" si="55"/>
        <v>0.97726008017122046</v>
      </c>
      <c r="C381" s="10">
        <f t="shared" si="56"/>
        <v>0.28699167679943294</v>
      </c>
      <c r="D381" s="66">
        <f t="shared" si="65"/>
        <v>4</v>
      </c>
      <c r="E381" s="10">
        <f t="shared" si="57"/>
        <v>1.8697700605165787E-2</v>
      </c>
      <c r="K381" s="10">
        <f t="shared" si="58"/>
        <v>0.40649708177471872</v>
      </c>
      <c r="L381" s="10">
        <f t="shared" si="59"/>
        <v>2.6483558048301915E-2</v>
      </c>
      <c r="R381" s="10">
        <f t="shared" si="60"/>
        <v>0.14581125279347956</v>
      </c>
      <c r="S381" s="10">
        <f t="shared" si="61"/>
        <v>9.4997011063214613E-3</v>
      </c>
      <c r="Y381" s="10">
        <f t="shared" si="62"/>
        <v>1.0765489061646094E-2</v>
      </c>
      <c r="Z381" s="10">
        <f t="shared" si="63"/>
        <v>5.3660844489703012E-3</v>
      </c>
      <c r="AA381" s="10">
        <f t="shared" si="64"/>
        <v>1.385163319476336E-3</v>
      </c>
    </row>
    <row r="382" spans="1:27">
      <c r="A382" s="66">
        <v>18.5</v>
      </c>
      <c r="B382" s="10">
        <f t="shared" si="55"/>
        <v>0.97712662246201776</v>
      </c>
      <c r="C382" s="10">
        <f t="shared" si="56"/>
        <v>0.28602244370004165</v>
      </c>
      <c r="D382" s="66">
        <f t="shared" si="65"/>
        <v>2</v>
      </c>
      <c r="E382" s="10">
        <f t="shared" si="57"/>
        <v>9.3160048120318108E-3</v>
      </c>
      <c r="K382" s="10">
        <f t="shared" si="58"/>
        <v>0.40550663739679882</v>
      </c>
      <c r="L382" s="10">
        <f t="shared" si="59"/>
        <v>1.3207711032848806E-2</v>
      </c>
      <c r="R382" s="10">
        <f t="shared" si="60"/>
        <v>0.14505239115680829</v>
      </c>
      <c r="S382" s="10">
        <f t="shared" si="61"/>
        <v>4.7244851017030519E-3</v>
      </c>
      <c r="Y382" s="10">
        <f t="shared" si="62"/>
        <v>5.35581448863912E-3</v>
      </c>
      <c r="Z382" s="10">
        <f t="shared" si="63"/>
        <v>2.6645864618586859E-3</v>
      </c>
      <c r="AA382" s="10">
        <f t="shared" si="64"/>
        <v>6.8529786098674432E-4</v>
      </c>
    </row>
    <row r="383" spans="1:27">
      <c r="A383" s="66">
        <v>18.55</v>
      </c>
      <c r="B383" s="10">
        <f t="shared" si="55"/>
        <v>0.97699246383252203</v>
      </c>
      <c r="C383" s="10">
        <f t="shared" si="56"/>
        <v>0.28505648391091298</v>
      </c>
      <c r="D383" s="66">
        <f t="shared" si="65"/>
        <v>4</v>
      </c>
      <c r="E383" s="10">
        <f t="shared" si="57"/>
        <v>1.8566535769837238E-2</v>
      </c>
      <c r="K383" s="10">
        <f t="shared" si="58"/>
        <v>0.4045186062712976</v>
      </c>
      <c r="L383" s="10">
        <f t="shared" si="59"/>
        <v>2.6347441987139533E-2</v>
      </c>
      <c r="R383" s="10">
        <f t="shared" si="60"/>
        <v>0.14429747894771947</v>
      </c>
      <c r="S383" s="10">
        <f t="shared" si="61"/>
        <v>9.3985032987969289E-3</v>
      </c>
      <c r="Y383" s="10">
        <f t="shared" si="62"/>
        <v>1.0658030511451552E-2</v>
      </c>
      <c r="Z383" s="10">
        <f t="shared" si="63"/>
        <v>5.292511404955999E-3</v>
      </c>
      <c r="AA383" s="10">
        <f t="shared" si="64"/>
        <v>1.3561803318982218E-3</v>
      </c>
    </row>
    <row r="384" spans="1:27">
      <c r="A384" s="66">
        <v>18.600000000000001</v>
      </c>
      <c r="B384" s="10">
        <f t="shared" si="55"/>
        <v>0.97685760036155289</v>
      </c>
      <c r="C384" s="10">
        <f t="shared" si="56"/>
        <v>0.2840937863773686</v>
      </c>
      <c r="D384" s="66">
        <f t="shared" si="65"/>
        <v>2</v>
      </c>
      <c r="E384" s="10">
        <f t="shared" si="57"/>
        <v>9.2506391479407982E-3</v>
      </c>
      <c r="K384" s="10">
        <f t="shared" si="58"/>
        <v>0.40353298251824093</v>
      </c>
      <c r="L384" s="10">
        <f t="shared" si="59"/>
        <v>1.3139808698983646E-2</v>
      </c>
      <c r="R384" s="10">
        <f t="shared" si="60"/>
        <v>0.1435464956117701</v>
      </c>
      <c r="S384" s="10">
        <f t="shared" si="61"/>
        <v>4.6741495081207987E-3</v>
      </c>
      <c r="Y384" s="10">
        <f t="shared" si="62"/>
        <v>5.3023461940199983E-3</v>
      </c>
      <c r="Z384" s="10">
        <f t="shared" si="63"/>
        <v>2.6280491019492164E-3</v>
      </c>
      <c r="AA384" s="10">
        <f t="shared" si="64"/>
        <v>6.7095778185621965E-4</v>
      </c>
    </row>
    <row r="385" spans="1:27">
      <c r="A385" s="66">
        <v>18.649999999999999</v>
      </c>
      <c r="B385" s="10">
        <f t="shared" si="55"/>
        <v>0.97672202810707287</v>
      </c>
      <c r="C385" s="10">
        <f t="shared" si="56"/>
        <v>0.28313434008206451</v>
      </c>
      <c r="D385" s="66">
        <f t="shared" si="65"/>
        <v>4</v>
      </c>
      <c r="E385" s="10">
        <f t="shared" si="57"/>
        <v>1.8436236458114114E-2</v>
      </c>
      <c r="K385" s="10">
        <f t="shared" si="58"/>
        <v>0.40254976027198164</v>
      </c>
      <c r="L385" s="10">
        <f t="shared" si="59"/>
        <v>2.6211947884457722E-2</v>
      </c>
      <c r="R385" s="10">
        <f t="shared" si="60"/>
        <v>0.14279942070149104</v>
      </c>
      <c r="S385" s="10">
        <f t="shared" si="61"/>
        <v>9.2983559866716952E-3</v>
      </c>
      <c r="Y385" s="10">
        <f t="shared" si="62"/>
        <v>1.0551613337150132E-2</v>
      </c>
      <c r="Z385" s="10">
        <f t="shared" si="63"/>
        <v>5.2199316431650383E-3</v>
      </c>
      <c r="AA385" s="10">
        <f t="shared" si="64"/>
        <v>1.3277998483729593E-3</v>
      </c>
    </row>
    <row r="386" spans="1:27">
      <c r="A386" s="66">
        <v>18.7</v>
      </c>
      <c r="B386" s="10">
        <f t="shared" si="55"/>
        <v>0.97658574310608925</v>
      </c>
      <c r="C386" s="10">
        <f t="shared" si="56"/>
        <v>0.28217813404486414</v>
      </c>
      <c r="D386" s="66">
        <f t="shared" si="65"/>
        <v>2</v>
      </c>
      <c r="E386" s="10">
        <f t="shared" si="57"/>
        <v>9.1857047574831104E-3</v>
      </c>
      <c r="K386" s="10">
        <f t="shared" si="58"/>
        <v>0.40156893368116414</v>
      </c>
      <c r="L386" s="10">
        <f t="shared" si="59"/>
        <v>1.3072216516911319E-2</v>
      </c>
      <c r="R386" s="10">
        <f t="shared" si="60"/>
        <v>0.14205623387583002</v>
      </c>
      <c r="S386" s="10">
        <f t="shared" si="61"/>
        <v>4.6243364240826628E-3</v>
      </c>
      <c r="Y386" s="10">
        <f t="shared" si="62"/>
        <v>5.2493960475453799E-3</v>
      </c>
      <c r="Z386" s="10">
        <f t="shared" si="63"/>
        <v>2.5920050283536156E-3</v>
      </c>
      <c r="AA386" s="10">
        <f t="shared" si="64"/>
        <v>6.5691581658000619E-4</v>
      </c>
    </row>
    <row r="387" spans="1:27">
      <c r="A387" s="66">
        <v>18.75</v>
      </c>
      <c r="B387" s="10">
        <f t="shared" si="55"/>
        <v>0.9764487413745554</v>
      </c>
      <c r="C387" s="10">
        <f t="shared" si="56"/>
        <v>0.2812251573227138</v>
      </c>
      <c r="D387" s="66">
        <f t="shared" si="65"/>
        <v>4</v>
      </c>
      <c r="E387" s="10">
        <f t="shared" si="57"/>
        <v>1.8306796727375018E-2</v>
      </c>
      <c r="K387" s="10">
        <f t="shared" si="58"/>
        <v>0.40059049690869014</v>
      </c>
      <c r="L387" s="10">
        <f t="shared" si="59"/>
        <v>2.6077072434206552E-2</v>
      </c>
      <c r="R387" s="10">
        <f t="shared" si="60"/>
        <v>0.14131691489959813</v>
      </c>
      <c r="S387" s="10">
        <f t="shared" si="61"/>
        <v>9.1992482459098517E-3</v>
      </c>
      <c r="Y387" s="10">
        <f t="shared" si="62"/>
        <v>1.0446227404342709E-2</v>
      </c>
      <c r="Z387" s="10">
        <f t="shared" si="63"/>
        <v>5.1483317897309819E-3</v>
      </c>
      <c r="AA387" s="10">
        <f t="shared" si="64"/>
        <v>1.30000938150752E-3</v>
      </c>
    </row>
    <row r="388" spans="1:27">
      <c r="A388" s="66">
        <v>18.8</v>
      </c>
      <c r="B388" s="10">
        <f t="shared" si="55"/>
        <v>0.97631101890727234</v>
      </c>
      <c r="C388" s="10">
        <f t="shared" si="56"/>
        <v>0.28027539900951648</v>
      </c>
      <c r="D388" s="66">
        <f t="shared" si="65"/>
        <v>2</v>
      </c>
      <c r="E388" s="10">
        <f t="shared" si="57"/>
        <v>9.1211986793874461E-3</v>
      </c>
      <c r="K388" s="10">
        <f t="shared" si="58"/>
        <v>0.3996144441316834</v>
      </c>
      <c r="L388" s="10">
        <f t="shared" si="59"/>
        <v>1.3004932837342238E-2</v>
      </c>
      <c r="R388" s="10">
        <f t="shared" si="60"/>
        <v>0.14058144364291852</v>
      </c>
      <c r="S388" s="10">
        <f t="shared" si="61"/>
        <v>4.5750404160824366E-3</v>
      </c>
      <c r="Y388" s="10">
        <f t="shared" si="62"/>
        <v>5.1969590067643947E-3</v>
      </c>
      <c r="Z388" s="10">
        <f t="shared" si="63"/>
        <v>2.5564475993103911E-3</v>
      </c>
      <c r="AA388" s="10">
        <f t="shared" si="64"/>
        <v>6.4316578641756758E-4</v>
      </c>
    </row>
    <row r="389" spans="1:27">
      <c r="A389" s="66">
        <v>18.850000000000001</v>
      </c>
      <c r="B389" s="10">
        <f t="shared" si="55"/>
        <v>0.97617257167778948</v>
      </c>
      <c r="C389" s="10">
        <f t="shared" si="56"/>
        <v>0.27932884823600751</v>
      </c>
      <c r="D389" s="66">
        <f t="shared" si="65"/>
        <v>4</v>
      </c>
      <c r="E389" s="10">
        <f t="shared" si="57"/>
        <v>1.8178210675089228E-2</v>
      </c>
      <c r="K389" s="10">
        <f t="shared" si="58"/>
        <v>0.39864076954145555</v>
      </c>
      <c r="L389" s="10">
        <f t="shared" si="59"/>
        <v>2.5942812345259712E-2</v>
      </c>
      <c r="R389" s="10">
        <f t="shared" si="60"/>
        <v>0.13984980008067871</v>
      </c>
      <c r="S389" s="10">
        <f t="shared" si="61"/>
        <v>9.1011692662253917E-3</v>
      </c>
      <c r="Y389" s="10">
        <f t="shared" si="62"/>
        <v>1.0341862677383904E-2</v>
      </c>
      <c r="Z389" s="10">
        <f t="shared" si="63"/>
        <v>5.0776986508641701E-3</v>
      </c>
      <c r="AA389" s="10">
        <f t="shared" si="64"/>
        <v>1.2727967023820385E-3</v>
      </c>
    </row>
    <row r="390" spans="1:27">
      <c r="A390" s="66">
        <v>18.899999999999999</v>
      </c>
      <c r="B390" s="10">
        <f t="shared" si="55"/>
        <v>0.97603339563830538</v>
      </c>
      <c r="C390" s="10">
        <f t="shared" si="56"/>
        <v>0.27838549416963027</v>
      </c>
      <c r="D390" s="66">
        <f t="shared" si="65"/>
        <v>2</v>
      </c>
      <c r="E390" s="10">
        <f t="shared" si="57"/>
        <v>9.0571179723610649E-3</v>
      </c>
      <c r="K390" s="10">
        <f t="shared" si="58"/>
        <v>0.39766946734347142</v>
      </c>
      <c r="L390" s="10">
        <f t="shared" si="59"/>
        <v>1.2937956018430823E-2</v>
      </c>
      <c r="R390" s="10">
        <f t="shared" si="60"/>
        <v>0.13912196429198495</v>
      </c>
      <c r="S390" s="10">
        <f t="shared" si="61"/>
        <v>4.5262561071925727E-3</v>
      </c>
      <c r="Y390" s="10">
        <f t="shared" si="62"/>
        <v>5.1450300783626455E-3</v>
      </c>
      <c r="Z390" s="10">
        <f t="shared" si="63"/>
        <v>2.5213702624883746E-3</v>
      </c>
      <c r="AA390" s="10">
        <f t="shared" si="64"/>
        <v>6.2970164052122393E-4</v>
      </c>
    </row>
    <row r="391" spans="1:27">
      <c r="A391" s="66">
        <v>18.95</v>
      </c>
      <c r="B391" s="10">
        <f t="shared" si="55"/>
        <v>0.97589348671956744</v>
      </c>
      <c r="C391" s="10">
        <f t="shared" si="56"/>
        <v>0.27744532601441163</v>
      </c>
      <c r="D391" s="66">
        <f t="shared" si="65"/>
        <v>4</v>
      </c>
      <c r="E391" s="10">
        <f t="shared" si="57"/>
        <v>1.8050472438550087E-2</v>
      </c>
      <c r="K391" s="10">
        <f t="shared" si="58"/>
        <v>0.39670053175731379</v>
      </c>
      <c r="L391" s="10">
        <f t="shared" si="59"/>
        <v>2.5809164341343432E-2</v>
      </c>
      <c r="R391" s="10">
        <f t="shared" si="60"/>
        <v>0.13839791645962002</v>
      </c>
      <c r="S391" s="10">
        <f t="shared" si="61"/>
        <v>9.0041083499001334E-3</v>
      </c>
      <c r="Y391" s="10">
        <f t="shared" si="62"/>
        <v>1.023850921842284E-2</v>
      </c>
      <c r="Z391" s="10">
        <f t="shared" si="63"/>
        <v>5.0080192104276803E-3</v>
      </c>
      <c r="AA391" s="10">
        <f t="shared" si="64"/>
        <v>1.2461498352028457E-3</v>
      </c>
    </row>
    <row r="392" spans="1:27">
      <c r="A392" s="66">
        <v>19</v>
      </c>
      <c r="B392" s="10">
        <f t="shared" si="55"/>
        <v>0.97575284083077318</v>
      </c>
      <c r="C392" s="10">
        <f t="shared" si="56"/>
        <v>0.27650833301083949</v>
      </c>
      <c r="D392" s="66">
        <f t="shared" si="65"/>
        <v>2</v>
      </c>
      <c r="E392" s="10">
        <f t="shared" si="57"/>
        <v>8.9934597149569362E-3</v>
      </c>
      <c r="K392" s="10">
        <f t="shared" si="58"/>
        <v>0.39573395701665059</v>
      </c>
      <c r="L392" s="10">
        <f t="shared" si="59"/>
        <v>1.2871284425739996E-2</v>
      </c>
      <c r="R392" s="10">
        <f t="shared" si="60"/>
        <v>0.13767763686950371</v>
      </c>
      <c r="S392" s="10">
        <f t="shared" si="61"/>
        <v>4.4779781764761944E-3</v>
      </c>
      <c r="Y392" s="10">
        <f t="shared" si="62"/>
        <v>5.0936043176848756E-3</v>
      </c>
      <c r="Z392" s="10">
        <f t="shared" si="63"/>
        <v>2.486766553782882E-3</v>
      </c>
      <c r="AA392" s="10">
        <f t="shared" si="64"/>
        <v>6.1651745329045185E-4</v>
      </c>
    </row>
    <row r="393" spans="1:27">
      <c r="A393" s="66">
        <v>19.05</v>
      </c>
      <c r="B393" s="10">
        <f t="shared" si="55"/>
        <v>0.97561145385946846</v>
      </c>
      <c r="C393" s="10">
        <f t="shared" si="56"/>
        <v>0.27557450443573772</v>
      </c>
      <c r="D393" s="66">
        <f t="shared" si="65"/>
        <v>4</v>
      </c>
      <c r="E393" s="10">
        <f t="shared" si="57"/>
        <v>1.7923576194610175E-2</v>
      </c>
      <c r="K393" s="10">
        <f t="shared" si="58"/>
        <v>0.39476973736919835</v>
      </c>
      <c r="L393" s="10">
        <f t="shared" si="59"/>
        <v>2.567612516096561E-2</v>
      </c>
      <c r="R393" s="10">
        <f t="shared" si="60"/>
        <v>0.13696110591015584</v>
      </c>
      <c r="S393" s="10">
        <f t="shared" si="61"/>
        <v>8.908054910613852E-3</v>
      </c>
      <c r="Y393" s="10">
        <f t="shared" si="62"/>
        <v>1.0136157186453059E-2</v>
      </c>
      <c r="Z393" s="10">
        <f t="shared" si="63"/>
        <v>4.9392806275458849E-3</v>
      </c>
      <c r="AA393" s="10">
        <f t="shared" si="64"/>
        <v>1.2200570520660677E-3</v>
      </c>
    </row>
    <row r="394" spans="1:27">
      <c r="A394" s="66">
        <v>19.100000000000001</v>
      </c>
      <c r="B394" s="10">
        <f t="shared" si="55"/>
        <v>0.97546932167144895</v>
      </c>
      <c r="C394" s="10">
        <f t="shared" si="56"/>
        <v>0.27464382960214612</v>
      </c>
      <c r="D394" s="66">
        <f t="shared" si="65"/>
        <v>2</v>
      </c>
      <c r="E394" s="10">
        <f t="shared" si="57"/>
        <v>8.9302210054418175E-3</v>
      </c>
      <c r="K394" s="10">
        <f t="shared" si="58"/>
        <v>0.39380786707669052</v>
      </c>
      <c r="L394" s="10">
        <f t="shared" si="59"/>
        <v>1.2804916432205982E-2</v>
      </c>
      <c r="R394" s="10">
        <f t="shared" si="60"/>
        <v>0.13624830407216257</v>
      </c>
      <c r="S394" s="10">
        <f t="shared" si="61"/>
        <v>4.4302013584052585E-3</v>
      </c>
      <c r="Y394" s="10">
        <f t="shared" si="62"/>
        <v>5.0426768282623036E-3</v>
      </c>
      <c r="Z394" s="10">
        <f t="shared" si="63"/>
        <v>2.4526300961280685E-3</v>
      </c>
      <c r="AA394" s="10">
        <f t="shared" si="64"/>
        <v>6.0360742178090733E-4</v>
      </c>
    </row>
    <row r="395" spans="1:27">
      <c r="A395" s="66">
        <v>19.149999999999999</v>
      </c>
      <c r="B395" s="10">
        <f t="shared" si="55"/>
        <v>0.97532644011065717</v>
      </c>
      <c r="C395" s="10">
        <f t="shared" si="56"/>
        <v>0.27371629785919593</v>
      </c>
      <c r="D395" s="66">
        <f t="shared" si="65"/>
        <v>4</v>
      </c>
      <c r="E395" s="10">
        <f t="shared" si="57"/>
        <v>1.7797516159418526E-2</v>
      </c>
      <c r="K395" s="10">
        <f t="shared" si="58"/>
        <v>0.3928483404148414</v>
      </c>
      <c r="L395" s="10">
        <f t="shared" si="59"/>
        <v>2.5543691557345795E-2</v>
      </c>
      <c r="R395" s="10">
        <f t="shared" si="60"/>
        <v>0.13553921194764515</v>
      </c>
      <c r="S395" s="10">
        <f t="shared" si="61"/>
        <v>8.812998472286707E-3</v>
      </c>
      <c r="Y395" s="10">
        <f t="shared" si="62"/>
        <v>1.003479683637189E-2</v>
      </c>
      <c r="Z395" s="10">
        <f t="shared" si="63"/>
        <v>4.8714702342452544E-3</v>
      </c>
      <c r="AA395" s="10">
        <f t="shared" si="64"/>
        <v>1.1945068678295408E-3</v>
      </c>
    </row>
    <row r="396" spans="1:27">
      <c r="A396" s="66">
        <v>19.2</v>
      </c>
      <c r="B396" s="10">
        <f t="shared" si="55"/>
        <v>0.9751828049990825</v>
      </c>
      <c r="C396" s="10">
        <f t="shared" si="56"/>
        <v>0.2727918985919886</v>
      </c>
      <c r="D396" s="66">
        <f t="shared" si="65"/>
        <v>2</v>
      </c>
      <c r="E396" s="10">
        <f t="shared" si="57"/>
        <v>8.867398961665357E-3</v>
      </c>
      <c r="K396" s="10">
        <f t="shared" si="58"/>
        <v>0.39189115167331279</v>
      </c>
      <c r="L396" s="10">
        <f t="shared" si="59"/>
        <v>1.27388504181034E-2</v>
      </c>
      <c r="R396" s="10">
        <f t="shared" si="60"/>
        <v>0.13483381022973107</v>
      </c>
      <c r="S396" s="10">
        <f t="shared" si="61"/>
        <v>4.3829204422847707E-3</v>
      </c>
      <c r="Y396" s="10">
        <f t="shared" si="62"/>
        <v>4.9922427613446037E-3</v>
      </c>
      <c r="Z396" s="10">
        <f t="shared" si="63"/>
        <v>2.4189545983253212E-3</v>
      </c>
      <c r="AA396" s="10">
        <f t="shared" si="64"/>
        <v>5.9096586316703377E-4</v>
      </c>
    </row>
    <row r="397" spans="1:27">
      <c r="A397" s="66">
        <v>19.25</v>
      </c>
      <c r="B397" s="10">
        <f t="shared" ref="B397:B460" si="66">(B$8^A397)*B$9^((B$5^B$7)*((B$5^A397)-1))</f>
        <v>0.97503841213665954</v>
      </c>
      <c r="C397" s="10">
        <f t="shared" ref="C397:C460" si="67">(1+B$6)^-A397</f>
        <v>0.27187062122147471</v>
      </c>
      <c r="D397" s="66">
        <f t="shared" si="65"/>
        <v>4</v>
      </c>
      <c r="E397" s="10">
        <f t="shared" ref="E397:E460" si="68">B397*C397*D397*0.05/3</f>
        <v>1.7672286588159596E-2</v>
      </c>
      <c r="K397" s="10">
        <f t="shared" ref="K397:K460" si="69">1.05^-A397</f>
        <v>0.39093629515567979</v>
      </c>
      <c r="L397" s="10">
        <f t="shared" ref="L397:L460" si="70">E397*K397/C397</f>
        <v>2.5411860298345502E-2</v>
      </c>
      <c r="R397" s="10">
        <f t="shared" ref="R397:R460" si="71">1.11^-A397</f>
        <v>0.13413207971202901</v>
      </c>
      <c r="S397" s="10">
        <f t="shared" ref="S397:S460" si="72">L397*R397/K397</f>
        <v>8.7189286679336415E-3</v>
      </c>
      <c r="Y397" s="10">
        <f t="shared" ref="Y397:Y460" si="73">L397*K397</f>
        <v>9.9344185180488993E-3</v>
      </c>
      <c r="Z397" s="10">
        <f t="shared" ref="Z397:Z460" si="74">C397*E397</f>
        <v>4.8045755331268848E-3</v>
      </c>
      <c r="AA397" s="10">
        <f t="shared" ref="AA397:AA460" si="75">R397*S397</f>
        <v>1.1694880350907701E-3</v>
      </c>
    </row>
    <row r="398" spans="1:27">
      <c r="A398" s="66">
        <v>19.3</v>
      </c>
      <c r="B398" s="10">
        <f t="shared" si="66"/>
        <v>0.97489325730116649</v>
      </c>
      <c r="C398" s="10">
        <f t="shared" si="67"/>
        <v>0.27095245520433242</v>
      </c>
      <c r="D398" s="66">
        <f t="shared" si="65"/>
        <v>2</v>
      </c>
      <c r="E398" s="10">
        <f t="shared" si="68"/>
        <v>8.8049907209300001E-3</v>
      </c>
      <c r="K398" s="10">
        <f t="shared" si="69"/>
        <v>0.38998376517939737</v>
      </c>
      <c r="L398" s="10">
        <f t="shared" si="70"/>
        <v>1.2673084771010529E-2</v>
      </c>
      <c r="R398" s="10">
        <f t="shared" si="71"/>
        <v>0.13343400128810548</v>
      </c>
      <c r="S398" s="10">
        <f t="shared" si="72"/>
        <v>4.3361302716829727E-3</v>
      </c>
      <c r="Y398" s="10">
        <f t="shared" si="73"/>
        <v>4.9422973154363671E-3</v>
      </c>
      <c r="Z398" s="10">
        <f t="shared" si="74"/>
        <v>2.3857338538873485E-3</v>
      </c>
      <c r="AA398" s="10">
        <f t="shared" si="75"/>
        <v>5.7858721225713893E-4</v>
      </c>
    </row>
    <row r="399" spans="1:27">
      <c r="A399" s="66">
        <v>19.350000000000001</v>
      </c>
      <c r="B399" s="10">
        <f t="shared" si="66"/>
        <v>0.97474733624812293</v>
      </c>
      <c r="C399" s="10">
        <f t="shared" si="67"/>
        <v>0.27003739003284688</v>
      </c>
      <c r="D399" s="66">
        <f t="shared" ref="D399:D462" si="76">IF(D398=4,2,4)</f>
        <v>4</v>
      </c>
      <c r="E399" s="10">
        <f t="shared" si="68"/>
        <v>1.7547881774794195E-2</v>
      </c>
      <c r="K399" s="10">
        <f t="shared" si="69"/>
        <v>0.38903355607576595</v>
      </c>
      <c r="L399" s="10">
        <f t="shared" si="70"/>
        <v>2.5280628166399175E-2</v>
      </c>
      <c r="R399" s="10">
        <f t="shared" si="71"/>
        <v>0.1327395559509647</v>
      </c>
      <c r="S399" s="10">
        <f t="shared" si="72"/>
        <v>8.6258352385307682E-3</v>
      </c>
      <c r="Y399" s="10">
        <f t="shared" si="73"/>
        <v>9.8350126754034421E-3</v>
      </c>
      <c r="Z399" s="10">
        <f t="shared" si="74"/>
        <v>4.7385841950703857E-3</v>
      </c>
      <c r="AA399" s="10">
        <f t="shared" si="75"/>
        <v>1.1449895392687578E-3</v>
      </c>
    </row>
    <row r="400" spans="1:27">
      <c r="A400" s="66">
        <v>19.399999999999999</v>
      </c>
      <c r="B400" s="10">
        <f t="shared" si="66"/>
        <v>0.97460064471068775</v>
      </c>
      <c r="C400" s="10">
        <f t="shared" si="67"/>
        <v>0.26912541523479039</v>
      </c>
      <c r="D400" s="66">
        <f t="shared" si="76"/>
        <v>2</v>
      </c>
      <c r="E400" s="10">
        <f t="shared" si="68"/>
        <v>8.742993439861943E-3</v>
      </c>
      <c r="K400" s="10">
        <f t="shared" si="69"/>
        <v>0.3880856621898981</v>
      </c>
      <c r="L400" s="10">
        <f t="shared" si="70"/>
        <v>1.2607617885774964E-2</v>
      </c>
      <c r="R400" s="10">
        <f t="shared" si="71"/>
        <v>0.13204872479253116</v>
      </c>
      <c r="S400" s="10">
        <f t="shared" si="72"/>
        <v>4.289825743867502E-3</v>
      </c>
      <c r="Y400" s="10">
        <f t="shared" si="73"/>
        <v>4.8928357358381793E-3</v>
      </c>
      <c r="Z400" s="10">
        <f t="shared" si="74"/>
        <v>2.3529617398978936E-3</v>
      </c>
      <c r="AA400" s="10">
        <f t="shared" si="75"/>
        <v>5.6646601905987505E-4</v>
      </c>
    </row>
    <row r="401" spans="1:27">
      <c r="A401" s="66">
        <v>19.45</v>
      </c>
      <c r="B401" s="10">
        <f t="shared" si="66"/>
        <v>0.97445317839955614</v>
      </c>
      <c r="C401" s="10">
        <f t="shared" si="67"/>
        <v>0.26821652037330179</v>
      </c>
      <c r="D401" s="66">
        <f t="shared" si="76"/>
        <v>4</v>
      </c>
      <c r="E401" s="10">
        <f t="shared" si="68"/>
        <v>1.7424296051802218E-2</v>
      </c>
      <c r="K401" s="10">
        <f t="shared" si="69"/>
        <v>0.3871400778806845</v>
      </c>
      <c r="L401" s="10">
        <f t="shared" si="70"/>
        <v>2.5149991958445649E-2</v>
      </c>
      <c r="R401" s="10">
        <f t="shared" si="71"/>
        <v>0.13136148900313471</v>
      </c>
      <c r="S401" s="10">
        <f t="shared" si="72"/>
        <v>8.5337080318935322E-3</v>
      </c>
      <c r="Y401" s="10">
        <f t="shared" si="73"/>
        <v>9.7365698454912383E-3</v>
      </c>
      <c r="Z401" s="10">
        <f t="shared" si="74"/>
        <v>4.6734840569686515E-3</v>
      </c>
      <c r="AA401" s="10">
        <f t="shared" si="75"/>
        <v>1.1210005937875446E-3</v>
      </c>
    </row>
    <row r="402" spans="1:27">
      <c r="A402" s="66">
        <v>19.5</v>
      </c>
      <c r="B402" s="10">
        <f t="shared" si="66"/>
        <v>0.97430493300285759</v>
      </c>
      <c r="C402" s="10">
        <f t="shared" si="67"/>
        <v>0.26731069504676785</v>
      </c>
      <c r="D402" s="66">
        <f t="shared" si="76"/>
        <v>2</v>
      </c>
      <c r="E402" s="10">
        <f t="shared" si="68"/>
        <v>8.6814042942829489E-3</v>
      </c>
      <c r="K402" s="10">
        <f t="shared" si="69"/>
        <v>0.3861967975207608</v>
      </c>
      <c r="L402" s="10">
        <f t="shared" si="70"/>
        <v>1.2542448164479435E-2</v>
      </c>
      <c r="R402" s="10">
        <f t="shared" si="71"/>
        <v>0.13067782987099844</v>
      </c>
      <c r="S402" s="10">
        <f t="shared" si="72"/>
        <v>4.244001809247399E-3</v>
      </c>
      <c r="Y402" s="10">
        <f t="shared" si="73"/>
        <v>4.8438533141921024E-3</v>
      </c>
      <c r="Z402" s="10">
        <f t="shared" si="74"/>
        <v>2.3206322158867703E-3</v>
      </c>
      <c r="AA402" s="10">
        <f t="shared" si="75"/>
        <v>5.5459694640104117E-4</v>
      </c>
    </row>
    <row r="403" spans="1:27">
      <c r="A403" s="66">
        <v>19.55</v>
      </c>
      <c r="B403" s="10">
        <f t="shared" si="66"/>
        <v>0.9741559041860518</v>
      </c>
      <c r="C403" s="10">
        <f t="shared" si="67"/>
        <v>0.26640792888870368</v>
      </c>
      <c r="D403" s="66">
        <f t="shared" si="76"/>
        <v>4</v>
      </c>
      <c r="E403" s="10">
        <f t="shared" si="68"/>
        <v>1.7301523789927237E-2</v>
      </c>
      <c r="K403" s="10">
        <f t="shared" si="69"/>
        <v>0.38525581549647392</v>
      </c>
      <c r="L403" s="10">
        <f t="shared" si="70"/>
        <v>2.5019948485860154E-2</v>
      </c>
      <c r="R403" s="10">
        <f t="shared" si="71"/>
        <v>0.12999772878172924</v>
      </c>
      <c r="S403" s="10">
        <f t="shared" si="72"/>
        <v>8.4425370015665715E-3</v>
      </c>
      <c r="Y403" s="10">
        <f t="shared" si="73"/>
        <v>9.6390806575998213E-3</v>
      </c>
      <c r="Z403" s="10">
        <f t="shared" si="74"/>
        <v>4.6092631194931503E-3</v>
      </c>
      <c r="AA403" s="10">
        <f t="shared" si="75"/>
        <v>1.0975106353593648E-3</v>
      </c>
    </row>
    <row r="404" spans="1:27">
      <c r="A404" s="66">
        <v>19.600000000000001</v>
      </c>
      <c r="B404" s="10">
        <f t="shared" si="66"/>
        <v>0.97400608759182583</v>
      </c>
      <c r="C404" s="10">
        <f t="shared" si="67"/>
        <v>0.26550821156763416</v>
      </c>
      <c r="D404" s="66">
        <f t="shared" si="76"/>
        <v>2</v>
      </c>
      <c r="E404" s="10">
        <f t="shared" si="68"/>
        <v>8.6202204790831374E-3</v>
      </c>
      <c r="K404" s="10">
        <f t="shared" si="69"/>
        <v>0.38431712620784853</v>
      </c>
      <c r="L404" s="10">
        <f t="shared" si="70"/>
        <v>1.2477574016408017E-2</v>
      </c>
      <c r="R404" s="10">
        <f t="shared" si="71"/>
        <v>0.1293211672178109</v>
      </c>
      <c r="S404" s="10">
        <f t="shared" si="72"/>
        <v>4.1986534708209431E-3</v>
      </c>
      <c r="Y404" s="10">
        <f t="shared" si="73"/>
        <v>4.7953453880316514E-3</v>
      </c>
      <c r="Z404" s="10">
        <f t="shared" si="74"/>
        <v>2.2887393227200583E-3</v>
      </c>
      <c r="AA404" s="10">
        <f t="shared" si="75"/>
        <v>5.4297476758967725E-4</v>
      </c>
    </row>
    <row r="405" spans="1:27">
      <c r="A405" s="66">
        <v>19.649999999999999</v>
      </c>
      <c r="B405" s="10">
        <f t="shared" si="66"/>
        <v>0.97385547883999035</v>
      </c>
      <c r="C405" s="10">
        <f t="shared" si="67"/>
        <v>0.26461153278697613</v>
      </c>
      <c r="D405" s="66">
        <f t="shared" si="76"/>
        <v>4</v>
      </c>
      <c r="E405" s="10">
        <f t="shared" si="68"/>
        <v>1.7179559397922966E-2</v>
      </c>
      <c r="K405" s="10">
        <f t="shared" si="69"/>
        <v>0.38338072406855395</v>
      </c>
      <c r="L405" s="10">
        <f t="shared" si="70"/>
        <v>2.4890494574386926E-2</v>
      </c>
      <c r="R405" s="10">
        <f t="shared" si="71"/>
        <v>0.1286481267581</v>
      </c>
      <c r="S405" s="10">
        <f t="shared" si="72"/>
        <v>8.3523122057251511E-3</v>
      </c>
      <c r="Y405" s="10">
        <f t="shared" si="73"/>
        <v>9.5425358323528737E-3</v>
      </c>
      <c r="Z405" s="10">
        <f t="shared" si="74"/>
        <v>4.5459095448892968E-3</v>
      </c>
      <c r="AA405" s="10">
        <f t="shared" si="75"/>
        <v>1.0745093193653551E-3</v>
      </c>
    </row>
    <row r="406" spans="1:27">
      <c r="A406" s="66">
        <v>19.7</v>
      </c>
      <c r="B406" s="10">
        <f t="shared" si="66"/>
        <v>0.97370407352737554</v>
      </c>
      <c r="C406" s="10">
        <f t="shared" si="67"/>
        <v>0.26371788228491977</v>
      </c>
      <c r="D406" s="66">
        <f t="shared" si="76"/>
        <v>2</v>
      </c>
      <c r="E406" s="10">
        <f t="shared" si="68"/>
        <v>8.5594392080946442E-3</v>
      </c>
      <c r="K406" s="10">
        <f t="shared" si="69"/>
        <v>0.38244660350587062</v>
      </c>
      <c r="L406" s="10">
        <f t="shared" si="70"/>
        <v>1.2412993858012512E-2</v>
      </c>
      <c r="R406" s="10">
        <f t="shared" si="71"/>
        <v>0.12797858907732432</v>
      </c>
      <c r="S406" s="10">
        <f t="shared" si="72"/>
        <v>4.1537757836292268E-3</v>
      </c>
      <c r="Y406" s="10">
        <f t="shared" si="73"/>
        <v>4.7473073403361188E-3</v>
      </c>
      <c r="Z406" s="10">
        <f t="shared" si="74"/>
        <v>2.2572771815052304E-3</v>
      </c>
      <c r="AA406" s="10">
        <f t="shared" si="75"/>
        <v>5.3159436413242563E-4</v>
      </c>
    </row>
    <row r="407" spans="1:27">
      <c r="A407" s="66">
        <v>19.75</v>
      </c>
      <c r="B407" s="10">
        <f t="shared" si="66"/>
        <v>0.97355186722772691</v>
      </c>
      <c r="C407" s="10">
        <f t="shared" si="67"/>
        <v>0.26282724983431194</v>
      </c>
      <c r="D407" s="66">
        <f t="shared" si="76"/>
        <v>4</v>
      </c>
      <c r="E407" s="10">
        <f t="shared" si="68"/>
        <v>1.7058397322301511E-2</v>
      </c>
      <c r="K407" s="10">
        <f t="shared" si="69"/>
        <v>0.38151475896065723</v>
      </c>
      <c r="L407" s="10">
        <f t="shared" si="70"/>
        <v>2.4761627064072266E-2</v>
      </c>
      <c r="R407" s="10">
        <f t="shared" si="71"/>
        <v>0.12731253594558387</v>
      </c>
      <c r="S407" s="10">
        <f t="shared" si="72"/>
        <v>8.2630238060880171E-3</v>
      </c>
      <c r="Y407" s="10">
        <f t="shared" si="73"/>
        <v>9.4469261808232171E-3</v>
      </c>
      <c r="Z407" s="10">
        <f t="shared" si="74"/>
        <v>4.4834116548014974E-3</v>
      </c>
      <c r="AA407" s="10">
        <f t="shared" si="75"/>
        <v>1.0519865153317959E-3</v>
      </c>
    </row>
    <row r="408" spans="1:27">
      <c r="A408" s="66">
        <v>19.8</v>
      </c>
      <c r="B408" s="10">
        <f t="shared" si="66"/>
        <v>0.97339885549160077</v>
      </c>
      <c r="C408" s="10">
        <f t="shared" si="67"/>
        <v>0.26193962524253878</v>
      </c>
      <c r="D408" s="66">
        <f t="shared" si="76"/>
        <v>2</v>
      </c>
      <c r="E408" s="10">
        <f t="shared" si="68"/>
        <v>8.4990577139662012E-3</v>
      </c>
      <c r="K408" s="10">
        <f t="shared" si="69"/>
        <v>0.38058518488731752</v>
      </c>
      <c r="L408" s="10">
        <f t="shared" si="70"/>
        <v>1.2348706112879136E-2</v>
      </c>
      <c r="R408" s="10">
        <f t="shared" si="71"/>
        <v>0.12664994922785452</v>
      </c>
      <c r="S408" s="10">
        <f t="shared" si="72"/>
        <v>4.1093638542154306E-3</v>
      </c>
      <c r="Y408" s="10">
        <f t="shared" si="73"/>
        <v>4.6997345990892536E-3</v>
      </c>
      <c r="Z408" s="10">
        <f t="shared" si="74"/>
        <v>2.2262399925110149E-3</v>
      </c>
      <c r="AA408" s="10">
        <f t="shared" si="75"/>
        <v>5.2045072349516481E-4</v>
      </c>
    </row>
    <row r="409" spans="1:27">
      <c r="A409" s="66">
        <v>19.850000000000001</v>
      </c>
      <c r="B409" s="10">
        <f t="shared" si="66"/>
        <v>0.97324503384625971</v>
      </c>
      <c r="C409" s="10">
        <f t="shared" si="67"/>
        <v>0.26105499835140888</v>
      </c>
      <c r="D409" s="66">
        <f t="shared" si="76"/>
        <v>4</v>
      </c>
      <c r="E409" s="10">
        <f t="shared" si="68"/>
        <v>1.6938032047083482E-2</v>
      </c>
      <c r="K409" s="10">
        <f t="shared" si="69"/>
        <v>0.37965787575376719</v>
      </c>
      <c r="L409" s="10">
        <f t="shared" si="70"/>
        <v>2.463334280919828E-2</v>
      </c>
      <c r="R409" s="10">
        <f t="shared" si="71"/>
        <v>0.12599081088349434</v>
      </c>
      <c r="S409" s="10">
        <f t="shared" si="72"/>
        <v>8.1746620668416096E-3</v>
      </c>
      <c r="Y409" s="10">
        <f t="shared" si="73"/>
        <v>9.3522426036545554E-3</v>
      </c>
      <c r="Z409" s="10">
        <f t="shared" si="74"/>
        <v>4.421757928127489E-3</v>
      </c>
      <c r="AA409" s="10">
        <f t="shared" si="75"/>
        <v>1.0299323024999163E-3</v>
      </c>
    </row>
    <row r="410" spans="1:27">
      <c r="A410" s="66">
        <v>19.899999999999999</v>
      </c>
      <c r="B410" s="10">
        <f t="shared" si="66"/>
        <v>0.97309039779556672</v>
      </c>
      <c r="C410" s="10">
        <f t="shared" si="67"/>
        <v>0.26017335903703759</v>
      </c>
      <c r="D410" s="66">
        <f t="shared" si="76"/>
        <v>2</v>
      </c>
      <c r="E410" s="10">
        <f t="shared" si="68"/>
        <v>8.4390732480386574E-3</v>
      </c>
      <c r="K410" s="10">
        <f t="shared" si="69"/>
        <v>0.37873282604140129</v>
      </c>
      <c r="L410" s="10">
        <f t="shared" si="70"/>
        <v>1.2284709211695546E-2</v>
      </c>
      <c r="R410" s="10">
        <f t="shared" si="71"/>
        <v>0.12533510296575223</v>
      </c>
      <c r="S410" s="10">
        <f t="shared" si="72"/>
        <v>4.0654128400897382E-3</v>
      </c>
      <c r="Y410" s="10">
        <f t="shared" si="73"/>
        <v>4.6526226368422893E-3</v>
      </c>
      <c r="Z410" s="10">
        <f t="shared" si="74"/>
        <v>2.1956220341018207E-3</v>
      </c>
      <c r="AA410" s="10">
        <f t="shared" si="75"/>
        <v>5.0953893691093851E-4</v>
      </c>
    </row>
    <row r="411" spans="1:27">
      <c r="A411" s="66">
        <v>19.95</v>
      </c>
      <c r="B411" s="10">
        <f t="shared" si="66"/>
        <v>0.97293494281988124</v>
      </c>
      <c r="C411" s="10">
        <f t="shared" si="67"/>
        <v>0.25929469720973047</v>
      </c>
      <c r="D411" s="66">
        <f t="shared" si="76"/>
        <v>4</v>
      </c>
      <c r="E411" s="10">
        <f t="shared" si="68"/>
        <v>1.6818458093549839E-2</v>
      </c>
      <c r="K411" s="10">
        <f t="shared" si="69"/>
        <v>0.37781003024506077</v>
      </c>
      <c r="L411" s="10">
        <f t="shared" si="70"/>
        <v>2.4505638678217059E-2</v>
      </c>
      <c r="R411" s="10">
        <f t="shared" si="71"/>
        <v>0.12468280762127927</v>
      </c>
      <c r="S411" s="10">
        <f t="shared" si="72"/>
        <v>8.0872173535754422E-3</v>
      </c>
      <c r="Y411" s="10">
        <f t="shared" si="73"/>
        <v>9.2584760901917185E-3</v>
      </c>
      <c r="Z411" s="10">
        <f t="shared" si="74"/>
        <v>4.3609369989015467E-3</v>
      </c>
      <c r="AA411" s="10">
        <f t="shared" si="75"/>
        <v>1.0083369654873182E-3</v>
      </c>
    </row>
    <row r="412" spans="1:27">
      <c r="A412" s="66">
        <v>20</v>
      </c>
      <c r="B412" s="10">
        <f t="shared" si="66"/>
        <v>0.97277866437595295</v>
      </c>
      <c r="C412" s="10">
        <f t="shared" si="67"/>
        <v>0.2584190028138687</v>
      </c>
      <c r="D412" s="66">
        <f t="shared" si="76"/>
        <v>2</v>
      </c>
      <c r="E412" s="10">
        <f t="shared" si="68"/>
        <v>8.3794830802213626E-3</v>
      </c>
      <c r="K412" s="10">
        <f t="shared" si="69"/>
        <v>0.37688948287300061</v>
      </c>
      <c r="L412" s="10">
        <f t="shared" si="70"/>
        <v>1.2221001592218041E-2</v>
      </c>
      <c r="R412" s="10">
        <f t="shared" si="71"/>
        <v>0.12403390708964297</v>
      </c>
      <c r="S412" s="10">
        <f t="shared" si="72"/>
        <v>4.0219179491997993E-3</v>
      </c>
      <c r="Y412" s="10">
        <f t="shared" si="73"/>
        <v>4.6059669702811744E-3</v>
      </c>
      <c r="Z412" s="10">
        <f t="shared" si="74"/>
        <v>2.1654176616864897E-3</v>
      </c>
      <c r="AA412" s="10">
        <f t="shared" si="75"/>
        <v>4.9885419723321529E-4</v>
      </c>
    </row>
    <row r="413" spans="1:27">
      <c r="A413" s="66">
        <v>20.05</v>
      </c>
      <c r="B413" s="10">
        <f t="shared" si="66"/>
        <v>0.97262155789681404</v>
      </c>
      <c r="C413" s="10">
        <f t="shared" si="67"/>
        <v>0.25754626582779222</v>
      </c>
      <c r="D413" s="66">
        <f t="shared" si="76"/>
        <v>4</v>
      </c>
      <c r="E413" s="10">
        <f t="shared" si="68"/>
        <v>1.669967001999562E-2</v>
      </c>
      <c r="K413" s="10">
        <f t="shared" si="69"/>
        <v>0.37597117844685557</v>
      </c>
      <c r="L413" s="10">
        <f t="shared" si="70"/>
        <v>2.437851155368545E-2</v>
      </c>
      <c r="R413" s="10">
        <f t="shared" si="71"/>
        <v>0.12338838370284305</v>
      </c>
      <c r="S413" s="10">
        <f t="shared" si="72"/>
        <v>8.0006801322286044E-3</v>
      </c>
      <c r="Y413" s="10">
        <f t="shared" si="73"/>
        <v>9.1656177176194023E-3</v>
      </c>
      <c r="Z413" s="10">
        <f t="shared" si="74"/>
        <v>4.3009376542062043E-3</v>
      </c>
      <c r="AA413" s="10">
        <f t="shared" si="75"/>
        <v>9.8719099003913616E-4</v>
      </c>
    </row>
    <row r="414" spans="1:27">
      <c r="A414" s="66">
        <v>20.100000000000001</v>
      </c>
      <c r="B414" s="10">
        <f t="shared" si="66"/>
        <v>0.97246361879167764</v>
      </c>
      <c r="C414" s="10">
        <f t="shared" si="67"/>
        <v>0.25667647626368789</v>
      </c>
      <c r="D414" s="66">
        <f t="shared" si="76"/>
        <v>2</v>
      </c>
      <c r="E414" s="10">
        <f t="shared" si="68"/>
        <v>8.3202844988694031E-3</v>
      </c>
      <c r="K414" s="10">
        <f t="shared" si="69"/>
        <v>0.37505511150160997</v>
      </c>
      <c r="L414" s="10">
        <f t="shared" si="70"/>
        <v>1.215758169923906E-2</v>
      </c>
      <c r="R414" s="10">
        <f t="shared" si="71"/>
        <v>0.12274621988483114</v>
      </c>
      <c r="S414" s="10">
        <f t="shared" si="72"/>
        <v>3.9788744394067292E-3</v>
      </c>
      <c r="Y414" s="10">
        <f t="shared" si="73"/>
        <v>4.5597631597980382E-3</v>
      </c>
      <c r="Z414" s="10">
        <f t="shared" si="74"/>
        <v>2.1356213066811825E-3</v>
      </c>
      <c r="AA414" s="10">
        <f t="shared" si="75"/>
        <v>4.8839179683355261E-4</v>
      </c>
    </row>
    <row r="415" spans="1:27">
      <c r="A415" s="66">
        <v>20.149999999999999</v>
      </c>
      <c r="B415" s="10">
        <f t="shared" si="66"/>
        <v>0.97230484244582716</v>
      </c>
      <c r="C415" s="10">
        <f t="shared" si="67"/>
        <v>0.25580962416747277</v>
      </c>
      <c r="D415" s="66">
        <f t="shared" si="76"/>
        <v>4</v>
      </c>
      <c r="E415" s="10">
        <f t="shared" si="68"/>
        <v>1.6581662421485392E-2</v>
      </c>
      <c r="K415" s="10">
        <f t="shared" si="69"/>
        <v>0.37414127658556329</v>
      </c>
      <c r="L415" s="10">
        <f t="shared" si="70"/>
        <v>2.4251958332200452E-2</v>
      </c>
      <c r="R415" s="10">
        <f t="shared" si="71"/>
        <v>0.12210739815103168</v>
      </c>
      <c r="S415" s="10">
        <f t="shared" si="72"/>
        <v>7.9150409680472499E-3</v>
      </c>
      <c r="Y415" s="10">
        <f t="shared" si="73"/>
        <v>9.0736586501093657E-3</v>
      </c>
      <c r="Z415" s="10">
        <f t="shared" si="74"/>
        <v>4.241748832112085E-3</v>
      </c>
      <c r="AA415" s="10">
        <f t="shared" si="75"/>
        <v>9.6648505886707278E-4</v>
      </c>
    </row>
    <row r="416" spans="1:27">
      <c r="A416" s="66">
        <v>20.2</v>
      </c>
      <c r="B416" s="10">
        <f t="shared" si="66"/>
        <v>0.97214522422051142</v>
      </c>
      <c r="C416" s="10">
        <f t="shared" si="67"/>
        <v>0.25494569961868091</v>
      </c>
      <c r="D416" s="66">
        <f t="shared" si="76"/>
        <v>2</v>
      </c>
      <c r="E416" s="10">
        <f t="shared" si="68"/>
        <v>8.2614748106619243E-3</v>
      </c>
      <c r="K416" s="10">
        <f t="shared" si="69"/>
        <v>0.37322966826029785</v>
      </c>
      <c r="L416" s="10">
        <f t="shared" si="70"/>
        <v>1.2094447984555145E-2</v>
      </c>
      <c r="R416" s="10">
        <f t="shared" si="71"/>
        <v>0.12147190110786581</v>
      </c>
      <c r="S416" s="10">
        <f t="shared" si="72"/>
        <v>3.9362776179665999E-3</v>
      </c>
      <c r="Y416" s="10">
        <f t="shared" si="73"/>
        <v>4.5140068090669446E-3</v>
      </c>
      <c r="Z416" s="10">
        <f t="shared" si="74"/>
        <v>2.1062274754863135E-3</v>
      </c>
      <c r="AA416" s="10">
        <f t="shared" si="75"/>
        <v>4.7814712554274439E-4</v>
      </c>
    </row>
    <row r="417" spans="1:27">
      <c r="A417" s="66">
        <v>20.25</v>
      </c>
      <c r="B417" s="10">
        <f t="shared" si="66"/>
        <v>0.97198475945283813</v>
      </c>
      <c r="C417" s="10">
        <f t="shared" si="67"/>
        <v>0.25408469273035023</v>
      </c>
      <c r="D417" s="66">
        <f t="shared" si="76"/>
        <v>4</v>
      </c>
      <c r="E417" s="10">
        <f t="shared" si="68"/>
        <v>1.646442992961052E-2</v>
      </c>
      <c r="K417" s="10">
        <f t="shared" si="69"/>
        <v>0.37232028110064735</v>
      </c>
      <c r="L417" s="10">
        <f t="shared" si="70"/>
        <v>2.4125975924335057E-2</v>
      </c>
      <c r="R417" s="10">
        <f t="shared" si="71"/>
        <v>0.12083971145227834</v>
      </c>
      <c r="S417" s="10">
        <f t="shared" si="72"/>
        <v>7.830290524552877E-3</v>
      </c>
      <c r="Y417" s="10">
        <f t="shared" si="73"/>
        <v>8.9825901379758794E-3</v>
      </c>
      <c r="Z417" s="10">
        <f t="shared" si="74"/>
        <v>4.1833596196454706E-3</v>
      </c>
      <c r="AA417" s="10">
        <f t="shared" si="75"/>
        <v>9.4621004757447892E-4</v>
      </c>
    </row>
    <row r="418" spans="1:27">
      <c r="A418" s="66">
        <v>20.3</v>
      </c>
      <c r="B418" s="10">
        <f t="shared" si="66"/>
        <v>0.97182344345566618</v>
      </c>
      <c r="C418" s="10">
        <f t="shared" si="67"/>
        <v>0.25322659364890882</v>
      </c>
      <c r="D418" s="66">
        <f t="shared" si="76"/>
        <v>2</v>
      </c>
      <c r="E418" s="10">
        <f t="shared" si="68"/>
        <v>8.2030513404810438E-3</v>
      </c>
      <c r="K418" s="10">
        <f t="shared" si="69"/>
        <v>0.37141310969466412</v>
      </c>
      <c r="L418" s="10">
        <f t="shared" si="70"/>
        <v>1.2031598906934853E-2</v>
      </c>
      <c r="R418" s="10">
        <f t="shared" si="71"/>
        <v>0.12021081197126617</v>
      </c>
      <c r="S418" s="10">
        <f t="shared" si="72"/>
        <v>3.8941228410172501E-3</v>
      </c>
      <c r="Y418" s="10">
        <f t="shared" si="73"/>
        <v>4.4686935646235954E-3</v>
      </c>
      <c r="Z418" s="10">
        <f t="shared" si="74"/>
        <v>2.0772307484771299E-3</v>
      </c>
      <c r="AA418" s="10">
        <f t="shared" si="75"/>
        <v>4.6811566863453745E-4</v>
      </c>
    </row>
    <row r="419" spans="1:27">
      <c r="A419" s="66">
        <v>20.350000000000001</v>
      </c>
      <c r="B419" s="10">
        <f t="shared" si="66"/>
        <v>0.97166127151749859</v>
      </c>
      <c r="C419" s="10">
        <f t="shared" si="67"/>
        <v>0.25237139255406249</v>
      </c>
      <c r="D419" s="66">
        <f t="shared" si="76"/>
        <v>4</v>
      </c>
      <c r="E419" s="10">
        <f t="shared" si="68"/>
        <v>1.6347967212248144E-2</v>
      </c>
      <c r="K419" s="10">
        <f t="shared" si="69"/>
        <v>0.37050814864358661</v>
      </c>
      <c r="L419" s="10">
        <f t="shared" si="70"/>
        <v>2.4000561254574785E-2</v>
      </c>
      <c r="R419" s="10">
        <f t="shared" si="71"/>
        <v>0.11958518554140961</v>
      </c>
      <c r="S419" s="10">
        <f t="shared" si="72"/>
        <v>7.7464195625214704E-3</v>
      </c>
      <c r="Y419" s="10">
        <f t="shared" si="73"/>
        <v>8.8924035168395001E-3</v>
      </c>
      <c r="Z419" s="10">
        <f t="shared" si="74"/>
        <v>4.1257592507832194E-3</v>
      </c>
      <c r="AA419" s="10">
        <f t="shared" si="75"/>
        <v>9.2635702066573512E-4</v>
      </c>
    </row>
    <row r="420" spans="1:27">
      <c r="A420" s="66">
        <v>20.399999999999999</v>
      </c>
      <c r="B420" s="10">
        <f t="shared" si="66"/>
        <v>0.97149823890237463</v>
      </c>
      <c r="C420" s="10">
        <f t="shared" si="67"/>
        <v>0.25151907965868259</v>
      </c>
      <c r="D420" s="66">
        <f t="shared" si="76"/>
        <v>2</v>
      </c>
      <c r="E420" s="10">
        <f t="shared" si="68"/>
        <v>8.1450114312918744E-3</v>
      </c>
      <c r="K420" s="10">
        <f t="shared" si="69"/>
        <v>0.36960539256180769</v>
      </c>
      <c r="L420" s="10">
        <f t="shared" si="70"/>
        <v>1.1969032932087235E-2</v>
      </c>
      <c r="R420" s="10">
        <f t="shared" si="71"/>
        <v>0.11896281512840647</v>
      </c>
      <c r="S420" s="10">
        <f t="shared" si="72"/>
        <v>3.8524055130705224E-3</v>
      </c>
      <c r="Y420" s="10">
        <f t="shared" si="73"/>
        <v>4.4238191154493062E-3</v>
      </c>
      <c r="Z420" s="10">
        <f t="shared" si="74"/>
        <v>2.0486257790079811E-3</v>
      </c>
      <c r="AA420" s="10">
        <f t="shared" si="75"/>
        <v>4.5829300485106239E-4</v>
      </c>
    </row>
    <row r="421" spans="1:27">
      <c r="A421" s="66">
        <v>20.45</v>
      </c>
      <c r="B421" s="10">
        <f t="shared" si="66"/>
        <v>0.971334340849763</v>
      </c>
      <c r="C421" s="10">
        <f t="shared" si="67"/>
        <v>0.25066964520869328</v>
      </c>
      <c r="D421" s="66">
        <f t="shared" si="76"/>
        <v>4</v>
      </c>
      <c r="E421" s="10">
        <f t="shared" si="68"/>
        <v>1.6232268973322004E-2</v>
      </c>
      <c r="K421" s="10">
        <f t="shared" si="69"/>
        <v>0.36870483607684235</v>
      </c>
      <c r="L421" s="10">
        <f t="shared" si="70"/>
        <v>2.387571126125464E-2</v>
      </c>
      <c r="R421" s="10">
        <f t="shared" si="71"/>
        <v>0.11834368378660787</v>
      </c>
      <c r="S421" s="10">
        <f t="shared" si="72"/>
        <v>7.66341893897317E-3</v>
      </c>
      <c r="Y421" s="10">
        <f t="shared" si="73"/>
        <v>8.8030902067989109E-3</v>
      </c>
      <c r="Z421" s="10">
        <f t="shared" si="74"/>
        <v>4.0689371044747066E-3</v>
      </c>
      <c r="AA421" s="10">
        <f t="shared" si="75"/>
        <v>9.0691722763814285E-4</v>
      </c>
    </row>
    <row r="422" spans="1:27">
      <c r="A422" s="66">
        <v>20.5</v>
      </c>
      <c r="B422" s="10">
        <f t="shared" si="66"/>
        <v>0.97116957257445213</v>
      </c>
      <c r="C422" s="10">
        <f t="shared" si="67"/>
        <v>0.24982307948296065</v>
      </c>
      <c r="D422" s="66">
        <f t="shared" si="76"/>
        <v>2</v>
      </c>
      <c r="E422" s="10">
        <f t="shared" si="68"/>
        <v>8.0873524440233432E-3</v>
      </c>
      <c r="K422" s="10">
        <f t="shared" si="69"/>
        <v>0.36780647382929599</v>
      </c>
      <c r="L422" s="10">
        <f t="shared" si="70"/>
        <v>1.1906748532630461E-2</v>
      </c>
      <c r="R422" s="10">
        <f t="shared" si="71"/>
        <v>0.11772777465855713</v>
      </c>
      <c r="S422" s="10">
        <f t="shared" si="72"/>
        <v>3.8111210865097449E-3</v>
      </c>
      <c r="Y422" s="10">
        <f t="shared" si="73"/>
        <v>4.3793791925589541E-3</v>
      </c>
      <c r="Z422" s="10">
        <f t="shared" si="74"/>
        <v>2.0204072924299597E-3</v>
      </c>
      <c r="AA422" s="10">
        <f t="shared" si="75"/>
        <v>4.4867480446909467E-4</v>
      </c>
    </row>
    <row r="423" spans="1:27">
      <c r="A423" s="66">
        <v>20.55</v>
      </c>
      <c r="B423" s="10">
        <f t="shared" si="66"/>
        <v>0.97100392926644363</v>
      </c>
      <c r="C423" s="10">
        <f t="shared" si="67"/>
        <v>0.24897937279318097</v>
      </c>
      <c r="D423" s="66">
        <f t="shared" si="76"/>
        <v>4</v>
      </c>
      <c r="E423" s="10">
        <f t="shared" si="68"/>
        <v>1.6117329952564891E-2</v>
      </c>
      <c r="K423" s="10">
        <f t="shared" si="69"/>
        <v>0.3669103004728323</v>
      </c>
      <c r="L423" s="10">
        <f t="shared" si="70"/>
        <v>2.3751422896496774E-2</v>
      </c>
      <c r="R423" s="10">
        <f t="shared" si="71"/>
        <v>0.11711507097453082</v>
      </c>
      <c r="S423" s="10">
        <f t="shared" si="72"/>
        <v>7.5812796061725226E-3</v>
      </c>
      <c r="Y423" s="10">
        <f t="shared" si="73"/>
        <v>8.7146417116109407E-3</v>
      </c>
      <c r="Z423" s="10">
        <f t="shared" si="74"/>
        <v>4.0128827026903562E-3</v>
      </c>
      <c r="AA423" s="10">
        <f t="shared" si="75"/>
        <v>8.87882099154658E-4</v>
      </c>
    </row>
    <row r="424" spans="1:27">
      <c r="A424" s="66">
        <v>20.6</v>
      </c>
      <c r="B424" s="10">
        <f t="shared" si="66"/>
        <v>0.97083740609084246</v>
      </c>
      <c r="C424" s="10">
        <f t="shared" si="67"/>
        <v>0.24813851548377022</v>
      </c>
      <c r="D424" s="66">
        <f t="shared" si="76"/>
        <v>2</v>
      </c>
      <c r="E424" s="10">
        <f t="shared" si="68"/>
        <v>8.0300717574498612E-3</v>
      </c>
      <c r="K424" s="10">
        <f t="shared" si="69"/>
        <v>0.36601631067414142</v>
      </c>
      <c r="L424" s="10">
        <f t="shared" si="70"/>
        <v>1.1844744188060781E-2</v>
      </c>
      <c r="R424" s="10">
        <f t="shared" si="71"/>
        <v>0.11650555605208185</v>
      </c>
      <c r="S424" s="10">
        <f t="shared" si="72"/>
        <v>3.7702650610924801E-3</v>
      </c>
      <c r="Y424" s="10">
        <f t="shared" si="73"/>
        <v>4.3353695685929856E-3</v>
      </c>
      <c r="Z424" s="10">
        <f t="shared" si="74"/>
        <v>1.9925700851217585E-3</v>
      </c>
      <c r="AA424" s="10">
        <f t="shared" si="75"/>
        <v>4.3925682740631573E-4</v>
      </c>
    </row>
    <row r="425" spans="1:27">
      <c r="A425" s="66">
        <v>20.65</v>
      </c>
      <c r="B425" s="10">
        <f t="shared" si="66"/>
        <v>0.97066999818774913</v>
      </c>
      <c r="C425" s="10">
        <f t="shared" si="67"/>
        <v>0.2473004979317534</v>
      </c>
      <c r="D425" s="66">
        <f t="shared" si="76"/>
        <v>4</v>
      </c>
      <c r="E425" s="10">
        <f t="shared" si="68"/>
        <v>1.6003144925282969E-2</v>
      </c>
      <c r="K425" s="10">
        <f t="shared" si="69"/>
        <v>0.36512449911290851</v>
      </c>
      <c r="L425" s="10">
        <f t="shared" si="70"/>
        <v>2.3627693126148645E-2</v>
      </c>
      <c r="R425" s="10">
        <f t="shared" si="71"/>
        <v>0.11589921329558561</v>
      </c>
      <c r="S425" s="10">
        <f t="shared" si="72"/>
        <v>7.499992610639176E-3</v>
      </c>
      <c r="Y425" s="10">
        <f t="shared" si="73"/>
        <v>8.627049617878536E-3</v>
      </c>
      <c r="Z425" s="10">
        <f t="shared" si="74"/>
        <v>3.9575857084964911E-3</v>
      </c>
      <c r="AA425" s="10">
        <f t="shared" si="75"/>
        <v>8.6924324329578587E-4</v>
      </c>
    </row>
    <row r="426" spans="1:27">
      <c r="A426" s="66">
        <v>20.7</v>
      </c>
      <c r="B426" s="10">
        <f t="shared" si="66"/>
        <v>0.97050170067215003</v>
      </c>
      <c r="C426" s="10">
        <f t="shared" si="67"/>
        <v>0.24646531054665397</v>
      </c>
      <c r="D426" s="66">
        <f t="shared" si="76"/>
        <v>2</v>
      </c>
      <c r="E426" s="10">
        <f t="shared" si="68"/>
        <v>7.9731667680739086E-3</v>
      </c>
      <c r="K426" s="10">
        <f t="shared" si="69"/>
        <v>0.36423486048178155</v>
      </c>
      <c r="L426" s="10">
        <f t="shared" si="70"/>
        <v>1.1783018384721743E-2</v>
      </c>
      <c r="R426" s="10">
        <f t="shared" si="71"/>
        <v>0.1152960261957877</v>
      </c>
      <c r="S426" s="10">
        <f t="shared" si="72"/>
        <v>3.7298329834584247E-3</v>
      </c>
      <c r="Y426" s="10">
        <f t="shared" si="73"/>
        <v>4.2917860574133914E-3</v>
      </c>
      <c r="Z426" s="10">
        <f t="shared" si="74"/>
        <v>1.9651090235335974E-3</v>
      </c>
      <c r="AA426" s="10">
        <f t="shared" si="75"/>
        <v>4.3003492136673555E-4</v>
      </c>
    </row>
    <row r="427" spans="1:27">
      <c r="A427" s="66">
        <v>20.75</v>
      </c>
      <c r="B427" s="10">
        <f t="shared" si="66"/>
        <v>0.97033250863380893</v>
      </c>
      <c r="C427" s="10">
        <f t="shared" si="67"/>
        <v>0.24563294377038497</v>
      </c>
      <c r="D427" s="66">
        <f t="shared" si="76"/>
        <v>4</v>
      </c>
      <c r="E427" s="10">
        <f t="shared" si="68"/>
        <v>1.5889708702121665E-2</v>
      </c>
      <c r="K427" s="10">
        <f t="shared" si="69"/>
        <v>0.36334738948634016</v>
      </c>
      <c r="L427" s="10">
        <f t="shared" si="70"/>
        <v>2.3504518929721739E-2</v>
      </c>
      <c r="R427" s="10">
        <f t="shared" si="71"/>
        <v>0.1146959783293548</v>
      </c>
      <c r="S427" s="10">
        <f t="shared" si="72"/>
        <v>7.4195490921687883E-3</v>
      </c>
      <c r="Y427" s="10">
        <f t="shared" si="73"/>
        <v>8.5403055942466603E-3</v>
      </c>
      <c r="Z427" s="10">
        <f t="shared" si="74"/>
        <v>3.9030359241560477E-3</v>
      </c>
      <c r="AA427" s="10">
        <f t="shared" si="75"/>
        <v>8.5099244188897546E-4</v>
      </c>
    </row>
    <row r="428" spans="1:27">
      <c r="A428" s="66">
        <v>20.8</v>
      </c>
      <c r="B428" s="10">
        <f t="shared" si="66"/>
        <v>0.97016241713715701</v>
      </c>
      <c r="C428" s="10">
        <f t="shared" si="67"/>
        <v>0.24480338807713903</v>
      </c>
      <c r="D428" s="66">
        <f t="shared" si="76"/>
        <v>2</v>
      </c>
      <c r="E428" s="10">
        <f t="shared" si="68"/>
        <v>7.9166348900094243E-3</v>
      </c>
      <c r="K428" s="10">
        <f t="shared" si="69"/>
        <v>0.36246208084506426</v>
      </c>
      <c r="L428" s="10">
        <f t="shared" si="70"/>
        <v>1.1721569615773707E-2</v>
      </c>
      <c r="R428" s="10">
        <f t="shared" si="71"/>
        <v>0.11409905335842747</v>
      </c>
      <c r="S428" s="10">
        <f t="shared" si="72"/>
        <v>3.6898204466424491E-3</v>
      </c>
      <c r="Y428" s="10">
        <f t="shared" si="73"/>
        <v>4.2486245137036182E-3</v>
      </c>
      <c r="Z428" s="10">
        <f t="shared" si="74"/>
        <v>1.9380190432439959E-3</v>
      </c>
      <c r="AA428" s="10">
        <f t="shared" si="75"/>
        <v>4.2100502002447347E-4</v>
      </c>
    </row>
    <row r="429" spans="1:27">
      <c r="A429" s="66">
        <v>20.85</v>
      </c>
      <c r="B429" s="10">
        <f t="shared" si="66"/>
        <v>0.96999142122118365</v>
      </c>
      <c r="C429" s="10">
        <f t="shared" si="67"/>
        <v>0.24397663397327932</v>
      </c>
      <c r="D429" s="66">
        <f t="shared" si="76"/>
        <v>4</v>
      </c>
      <c r="E429" s="10">
        <f t="shared" si="68"/>
        <v>1.5777016128833449E-2</v>
      </c>
      <c r="K429" s="10">
        <f t="shared" si="69"/>
        <v>0.36157892928930208</v>
      </c>
      <c r="L429" s="10">
        <f t="shared" si="70"/>
        <v>2.3381897300330932E-2</v>
      </c>
      <c r="R429" s="10">
        <f t="shared" si="71"/>
        <v>0.11350523503017505</v>
      </c>
      <c r="S429" s="10">
        <f t="shared" si="72"/>
        <v>7.3399402828642647E-3</v>
      </c>
      <c r="Y429" s="10">
        <f t="shared" si="73"/>
        <v>8.4544013906060807E-3</v>
      </c>
      <c r="Z429" s="10">
        <f t="shared" si="74"/>
        <v>3.8492232892549227E-3</v>
      </c>
      <c r="AA429" s="10">
        <f t="shared" si="75"/>
        <v>8.3312164691395788E-4</v>
      </c>
    </row>
    <row r="430" spans="1:27">
      <c r="A430" s="66">
        <v>20.9</v>
      </c>
      <c r="B430" s="10">
        <f t="shared" si="66"/>
        <v>0.96981951589932636</v>
      </c>
      <c r="C430" s="10">
        <f t="shared" si="67"/>
        <v>0.2431526719972314</v>
      </c>
      <c r="D430" s="66">
        <f t="shared" si="76"/>
        <v>2</v>
      </c>
      <c r="E430" s="10">
        <f t="shared" si="68"/>
        <v>7.8604735548660886E-3</v>
      </c>
      <c r="K430" s="10">
        <f t="shared" si="69"/>
        <v>0.36069792956323937</v>
      </c>
      <c r="L430" s="10">
        <f t="shared" si="70"/>
        <v>1.1660396381163672E-2</v>
      </c>
      <c r="R430" s="10">
        <f t="shared" si="71"/>
        <v>0.11291450717635335</v>
      </c>
      <c r="S430" s="10">
        <f t="shared" si="72"/>
        <v>3.6502230895927345E-3</v>
      </c>
      <c r="Y430" s="10">
        <f t="shared" si="73"/>
        <v>4.2058808325724254E-3</v>
      </c>
      <c r="Z430" s="10">
        <f t="shared" si="74"/>
        <v>1.9112951480292654E-3</v>
      </c>
      <c r="AA430" s="10">
        <f t="shared" si="75"/>
        <v>4.1216314124510947E-4</v>
      </c>
    </row>
    <row r="431" spans="1:27">
      <c r="A431" s="66">
        <v>20.95</v>
      </c>
      <c r="B431" s="10">
        <f t="shared" si="66"/>
        <v>0.96964669615936128</v>
      </c>
      <c r="C431" s="10">
        <f t="shared" si="67"/>
        <v>0.24233149271937426</v>
      </c>
      <c r="D431" s="66">
        <f t="shared" si="76"/>
        <v>4</v>
      </c>
      <c r="E431" s="10">
        <f t="shared" si="68"/>
        <v>1.5665062086047173E-2</v>
      </c>
      <c r="K431" s="10">
        <f t="shared" si="69"/>
        <v>0.35981907642386746</v>
      </c>
      <c r="L431" s="10">
        <f t="shared" si="70"/>
        <v>2.325982524463439E-2</v>
      </c>
      <c r="R431" s="10">
        <f t="shared" si="71"/>
        <v>0.11232685371286423</v>
      </c>
      <c r="S431" s="10">
        <f t="shared" si="72"/>
        <v>7.2611575061769795E-3</v>
      </c>
      <c r="Y431" s="10">
        <f t="shared" si="73"/>
        <v>8.369328837304903E-3</v>
      </c>
      <c r="Z431" s="10">
        <f t="shared" si="74"/>
        <v>3.7961378788534863E-3</v>
      </c>
      <c r="AA431" s="10">
        <f t="shared" si="75"/>
        <v>8.1562297698240763E-4</v>
      </c>
    </row>
    <row r="432" spans="1:27">
      <c r="A432" s="66">
        <v>21</v>
      </c>
      <c r="B432" s="10">
        <f t="shared" si="66"/>
        <v>0.96947295696329194</v>
      </c>
      <c r="C432" s="10">
        <f t="shared" si="67"/>
        <v>0.24151308674193336</v>
      </c>
      <c r="D432" s="66">
        <f t="shared" si="76"/>
        <v>2</v>
      </c>
      <c r="E432" s="10">
        <f t="shared" si="68"/>
        <v>7.8046802116344726E-3</v>
      </c>
      <c r="K432" s="10">
        <f t="shared" si="69"/>
        <v>0.35894236464095297</v>
      </c>
      <c r="L432" s="10">
        <f t="shared" si="70"/>
        <v>1.1599497187595363E-2</v>
      </c>
      <c r="R432" s="10">
        <f t="shared" si="71"/>
        <v>0.11174225863931797</v>
      </c>
      <c r="S432" s="10">
        <f t="shared" si="72"/>
        <v>3.6110365966938855E-3</v>
      </c>
      <c r="Y432" s="10">
        <f t="shared" si="73"/>
        <v>4.163550949161563E-3</v>
      </c>
      <c r="Z432" s="10">
        <f t="shared" si="74"/>
        <v>1.8849324089455272E-3</v>
      </c>
      <c r="AA432" s="10">
        <f t="shared" si="75"/>
        <v>4.035053853438107E-4</v>
      </c>
    </row>
    <row r="433" spans="1:27">
      <c r="A433" s="66">
        <v>21.05</v>
      </c>
      <c r="B433" s="10">
        <f t="shared" si="66"/>
        <v>0.96929829324723948</v>
      </c>
      <c r="C433" s="10">
        <f t="shared" si="67"/>
        <v>0.24069744469887122</v>
      </c>
      <c r="D433" s="66">
        <f t="shared" si="76"/>
        <v>4</v>
      </c>
      <c r="E433" s="10">
        <f t="shared" si="68"/>
        <v>1.5553841489039181E-2</v>
      </c>
      <c r="K433" s="10">
        <f t="shared" si="69"/>
        <v>0.3580677889970052</v>
      </c>
      <c r="L433" s="10">
        <f t="shared" si="70"/>
        <v>2.3138299782773993E-2</v>
      </c>
      <c r="R433" s="10">
        <f t="shared" si="71"/>
        <v>0.11116070603859732</v>
      </c>
      <c r="S433" s="10">
        <f t="shared" si="72"/>
        <v>7.1831921759580343E-3</v>
      </c>
      <c r="Y433" s="10">
        <f t="shared" si="73"/>
        <v>8.2850798443677692E-3</v>
      </c>
      <c r="Z433" s="10">
        <f t="shared" si="74"/>
        <v>3.7437699016630173E-3</v>
      </c>
      <c r="AA433" s="10">
        <f t="shared" si="75"/>
        <v>7.9848871389042331E-4</v>
      </c>
    </row>
    <row r="434" spans="1:27">
      <c r="A434" s="66">
        <v>21.1</v>
      </c>
      <c r="B434" s="10">
        <f t="shared" si="66"/>
        <v>0.96912269992133282</v>
      </c>
      <c r="C434" s="10">
        <f t="shared" si="67"/>
        <v>0.23988455725578306</v>
      </c>
      <c r="D434" s="66">
        <f t="shared" si="76"/>
        <v>2</v>
      </c>
      <c r="E434" s="10">
        <f t="shared" si="68"/>
        <v>7.7492523265719343E-3</v>
      </c>
      <c r="K434" s="10">
        <f t="shared" si="69"/>
        <v>0.35719534428724758</v>
      </c>
      <c r="L434" s="10">
        <f t="shared" si="70"/>
        <v>1.1538870548499581E-2</v>
      </c>
      <c r="R434" s="10">
        <f t="shared" si="71"/>
        <v>0.11058218007642444</v>
      </c>
      <c r="S434" s="10">
        <f t="shared" si="72"/>
        <v>3.5722566972950492E-3</v>
      </c>
      <c r="Y434" s="10">
        <f t="shared" si="73"/>
        <v>4.1216308382572894E-3</v>
      </c>
      <c r="Z434" s="10">
        <f t="shared" si="74"/>
        <v>1.8589259634230553E-3</v>
      </c>
      <c r="AA434" s="10">
        <f t="shared" si="75"/>
        <v>3.9502793337949435E-4</v>
      </c>
    </row>
    <row r="435" spans="1:27">
      <c r="A435" s="66">
        <v>21.15</v>
      </c>
      <c r="B435" s="10">
        <f t="shared" si="66"/>
        <v>0.96894617186959631</v>
      </c>
      <c r="C435" s="10">
        <f t="shared" si="67"/>
        <v>0.23907441510978766</v>
      </c>
      <c r="D435" s="66">
        <f t="shared" si="76"/>
        <v>4</v>
      </c>
      <c r="E435" s="10">
        <f t="shared" si="68"/>
        <v>1.5443349287506103E-2</v>
      </c>
      <c r="K435" s="10">
        <f t="shared" si="69"/>
        <v>0.35632502531958404</v>
      </c>
      <c r="L435" s="10">
        <f t="shared" si="70"/>
        <v>2.3017317948316528E-2</v>
      </c>
      <c r="R435" s="10">
        <f t="shared" si="71"/>
        <v>0.1100066650009294</v>
      </c>
      <c r="S435" s="10">
        <f t="shared" si="72"/>
        <v>7.1060357955194421E-3</v>
      </c>
      <c r="Y435" s="10">
        <f t="shared" si="73"/>
        <v>8.2016464007228038E-3</v>
      </c>
      <c r="Z435" s="10">
        <f t="shared" si="74"/>
        <v>3.6921096982466773E-3</v>
      </c>
      <c r="AA435" s="10">
        <f t="shared" si="75"/>
        <v>7.8171129924232009E-4</v>
      </c>
    </row>
    <row r="436" spans="1:27">
      <c r="A436" s="66">
        <v>21.2</v>
      </c>
      <c r="B436" s="10">
        <f t="shared" si="66"/>
        <v>0.96876870394983994</v>
      </c>
      <c r="C436" s="10">
        <f t="shared" si="67"/>
        <v>0.23826700898942138</v>
      </c>
      <c r="D436" s="66">
        <f t="shared" si="76"/>
        <v>2</v>
      </c>
      <c r="E436" s="10">
        <f t="shared" si="68"/>
        <v>7.6941873830895548E-3</v>
      </c>
      <c r="K436" s="10">
        <f t="shared" si="69"/>
        <v>0.35545682691456937</v>
      </c>
      <c r="L436" s="10">
        <f t="shared" si="70"/>
        <v>1.1478514984004999E-2</v>
      </c>
      <c r="R436" s="10">
        <f t="shared" si="71"/>
        <v>0.10943414514222148</v>
      </c>
      <c r="S436" s="10">
        <f t="shared" si="72"/>
        <v>3.5338791652429532E-3</v>
      </c>
      <c r="Y436" s="10">
        <f t="shared" si="73"/>
        <v>4.0801165139057564E-3</v>
      </c>
      <c r="Z436" s="10">
        <f t="shared" si="74"/>
        <v>1.8332710143728916E-3</v>
      </c>
      <c r="AA436" s="10">
        <f t="shared" si="75"/>
        <v>3.8672704548426985E-4</v>
      </c>
    </row>
    <row r="437" spans="1:27">
      <c r="A437" s="66">
        <v>21.25</v>
      </c>
      <c r="B437" s="10">
        <f t="shared" si="66"/>
        <v>0.96859029099354743</v>
      </c>
      <c r="C437" s="10">
        <f t="shared" si="67"/>
        <v>0.23746232965453287</v>
      </c>
      <c r="D437" s="66">
        <f t="shared" si="76"/>
        <v>4</v>
      </c>
      <c r="E437" s="10">
        <f t="shared" si="68"/>
        <v>1.5333580465339313E-2</v>
      </c>
      <c r="K437" s="10">
        <f t="shared" si="69"/>
        <v>0.35459074390537848</v>
      </c>
      <c r="L437" s="10">
        <f t="shared" si="70"/>
        <v>2.289687678819527E-2</v>
      </c>
      <c r="R437" s="10">
        <f t="shared" si="71"/>
        <v>0.10886460491196251</v>
      </c>
      <c r="S437" s="10">
        <f t="shared" si="72"/>
        <v>7.029679956705023E-3</v>
      </c>
      <c r="Y437" s="10">
        <f t="shared" si="73"/>
        <v>8.1190205734359543E-3</v>
      </c>
      <c r="Z437" s="10">
        <f t="shared" si="74"/>
        <v>3.6411477392447097E-3</v>
      </c>
      <c r="AA437" s="10">
        <f t="shared" si="75"/>
        <v>7.6528333114423406E-4</v>
      </c>
    </row>
    <row r="438" spans="1:27">
      <c r="A438" s="66">
        <v>21.3</v>
      </c>
      <c r="B438" s="10">
        <f t="shared" si="66"/>
        <v>0.9684109278057651</v>
      </c>
      <c r="C438" s="10">
        <f t="shared" si="67"/>
        <v>0.23666036789617645</v>
      </c>
      <c r="D438" s="66">
        <f t="shared" si="76"/>
        <v>2</v>
      </c>
      <c r="E438" s="10">
        <f t="shared" si="68"/>
        <v>7.6394828816396644E-3</v>
      </c>
      <c r="K438" s="10">
        <f t="shared" si="69"/>
        <v>0.35372677113777529</v>
      </c>
      <c r="L438" s="10">
        <f t="shared" si="70"/>
        <v>1.1418429020909017E-2</v>
      </c>
      <c r="R438" s="10">
        <f t="shared" si="71"/>
        <v>0.10829802880294245</v>
      </c>
      <c r="S438" s="10">
        <f t="shared" si="72"/>
        <v>3.4958998184197658E-3</v>
      </c>
      <c r="Y438" s="10">
        <f t="shared" si="73"/>
        <v>4.0390040290320152E-3</v>
      </c>
      <c r="Z438" s="10">
        <f t="shared" si="74"/>
        <v>1.8079628293053852E-3</v>
      </c>
      <c r="AA438" s="10">
        <f t="shared" si="75"/>
        <v>3.7859905922742507E-4</v>
      </c>
    </row>
    <row r="439" spans="1:27">
      <c r="A439" s="66">
        <v>21.35</v>
      </c>
      <c r="B439" s="10">
        <f t="shared" si="66"/>
        <v>0.9682306091649906</v>
      </c>
      <c r="C439" s="10">
        <f t="shared" si="67"/>
        <v>0.23586111453650699</v>
      </c>
      <c r="D439" s="66">
        <f t="shared" si="76"/>
        <v>4</v>
      </c>
      <c r="E439" s="10">
        <f t="shared" si="68"/>
        <v>1.5224530040401052E-2</v>
      </c>
      <c r="K439" s="10">
        <f t="shared" si="69"/>
        <v>0.35286490347008237</v>
      </c>
      <c r="L439" s="10">
        <f t="shared" si="70"/>
        <v>2.277697336265223E-2</v>
      </c>
      <c r="R439" s="10">
        <f t="shared" si="71"/>
        <v>0.10773440138865727</v>
      </c>
      <c r="S439" s="10">
        <f t="shared" si="72"/>
        <v>6.9541163389710151E-3</v>
      </c>
      <c r="Y439" s="10">
        <f t="shared" si="73"/>
        <v>8.0371945069529164E-3</v>
      </c>
      <c r="Z439" s="10">
        <f t="shared" si="74"/>
        <v>3.5908746236235239E-3</v>
      </c>
      <c r="AA439" s="10">
        <f t="shared" si="75"/>
        <v>7.4919756096612311E-4</v>
      </c>
    </row>
    <row r="440" spans="1:27">
      <c r="A440" s="66">
        <v>21.4</v>
      </c>
      <c r="B440" s="10">
        <f t="shared" si="66"/>
        <v>0.96804932982306069</v>
      </c>
      <c r="C440" s="10">
        <f t="shared" si="67"/>
        <v>0.23506456042867532</v>
      </c>
      <c r="D440" s="66">
        <f t="shared" si="76"/>
        <v>2</v>
      </c>
      <c r="E440" s="10">
        <f t="shared" si="68"/>
        <v>7.5851363396043829E-3</v>
      </c>
      <c r="K440" s="10">
        <f t="shared" si="69"/>
        <v>0.35200513577315012</v>
      </c>
      <c r="L440" s="10">
        <f t="shared" si="70"/>
        <v>1.1358611192649115E-2</v>
      </c>
      <c r="R440" s="10">
        <f t="shared" si="71"/>
        <v>0.10717370732288869</v>
      </c>
      <c r="S440" s="10">
        <f t="shared" si="72"/>
        <v>3.4583145182858414E-3</v>
      </c>
      <c r="Y440" s="10">
        <f t="shared" si="73"/>
        <v>3.9982894750628739E-3</v>
      </c>
      <c r="Z440" s="10">
        <f t="shared" si="74"/>
        <v>1.7829967394606757E-3</v>
      </c>
      <c r="AA440" s="10">
        <f t="shared" si="75"/>
        <v>3.706403880132636E-4</v>
      </c>
    </row>
    <row r="441" spans="1:27">
      <c r="A441" s="66">
        <v>21.45</v>
      </c>
      <c r="B441" s="10">
        <f t="shared" si="66"/>
        <v>0.96786708450504011</v>
      </c>
      <c r="C441" s="10">
        <f t="shared" si="67"/>
        <v>0.23427069645672266</v>
      </c>
      <c r="D441" s="66">
        <f t="shared" si="76"/>
        <v>4</v>
      </c>
      <c r="E441" s="10">
        <f t="shared" si="68"/>
        <v>1.5116193064302228E-2</v>
      </c>
      <c r="K441" s="10">
        <f t="shared" si="69"/>
        <v>0.35114746293032606</v>
      </c>
      <c r="L441" s="10">
        <f t="shared" si="70"/>
        <v>2.2657604745181092E-2</v>
      </c>
      <c r="R441" s="10">
        <f t="shared" si="71"/>
        <v>0.10661593133928635</v>
      </c>
      <c r="S441" s="10">
        <f t="shared" si="72"/>
        <v>6.8793367084763078E-3</v>
      </c>
      <c r="Y441" s="10">
        <f t="shared" si="73"/>
        <v>7.9561604223484569E-3</v>
      </c>
      <c r="Z441" s="10">
        <f t="shared" si="74"/>
        <v>3.5412810769483638E-3</v>
      </c>
      <c r="AA441" s="10">
        <f t="shared" si="75"/>
        <v>7.3344689017074214E-4</v>
      </c>
    </row>
    <row r="442" spans="1:27">
      <c r="A442" s="66">
        <v>21.5</v>
      </c>
      <c r="B442" s="10">
        <f t="shared" si="66"/>
        <v>0.96768386790910865</v>
      </c>
      <c r="C442" s="10">
        <f t="shared" si="67"/>
        <v>0.23347951353547722</v>
      </c>
      <c r="D442" s="66">
        <f t="shared" si="76"/>
        <v>2</v>
      </c>
      <c r="E442" s="10">
        <f t="shared" si="68"/>
        <v>7.5311452911849229E-3</v>
      </c>
      <c r="K442" s="10">
        <f t="shared" si="69"/>
        <v>0.35029187983742477</v>
      </c>
      <c r="L442" s="10">
        <f t="shared" si="70"/>
        <v>1.1299060039274398E-2</v>
      </c>
      <c r="R442" s="10">
        <f t="shared" si="71"/>
        <v>0.1060610582509524</v>
      </c>
      <c r="S442" s="10">
        <f t="shared" si="72"/>
        <v>3.4211191694271635E-3</v>
      </c>
      <c r="Y442" s="10">
        <f t="shared" si="73"/>
        <v>3.9579689815533552E-3</v>
      </c>
      <c r="Z442" s="10">
        <f t="shared" si="74"/>
        <v>1.7583681389508558E-3</v>
      </c>
      <c r="AA442" s="10">
        <f t="shared" si="75"/>
        <v>3.628475195120643E-4</v>
      </c>
    </row>
    <row r="443" spans="1:27">
      <c r="A443" s="66">
        <v>21.55</v>
      </c>
      <c r="B443" s="10">
        <f t="shared" si="66"/>
        <v>0.96749967470644949</v>
      </c>
      <c r="C443" s="10">
        <f t="shared" si="67"/>
        <v>0.23269100261044953</v>
      </c>
      <c r="D443" s="66">
        <f t="shared" si="76"/>
        <v>4</v>
      </c>
      <c r="E443" s="10">
        <f t="shared" si="68"/>
        <v>1.5008564622181836E-2</v>
      </c>
      <c r="K443" s="10">
        <f t="shared" si="69"/>
        <v>0.3494383814026974</v>
      </c>
      <c r="L443" s="10">
        <f t="shared" si="70"/>
        <v>2.2538768022470533E-2</v>
      </c>
      <c r="R443" s="10">
        <f t="shared" si="71"/>
        <v>0.10550907295002779</v>
      </c>
      <c r="S443" s="10">
        <f t="shared" si="72"/>
        <v>6.8053329171820637E-3</v>
      </c>
      <c r="Y443" s="10">
        <f t="shared" si="73"/>
        <v>7.8759106165829772E-3</v>
      </c>
      <c r="Z443" s="10">
        <f t="shared" si="74"/>
        <v>3.4923579496792139E-3</v>
      </c>
      <c r="AA443" s="10">
        <f t="shared" si="75"/>
        <v>7.1802436720818773E-4</v>
      </c>
    </row>
    <row r="444" spans="1:27">
      <c r="A444" s="66">
        <v>21.6</v>
      </c>
      <c r="B444" s="10">
        <f t="shared" si="66"/>
        <v>0.9673144995411368</v>
      </c>
      <c r="C444" s="10">
        <f t="shared" si="67"/>
        <v>0.23190515465772921</v>
      </c>
      <c r="D444" s="66">
        <f t="shared" si="76"/>
        <v>2</v>
      </c>
      <c r="E444" s="10">
        <f t="shared" si="68"/>
        <v>7.4775072872917091E-3</v>
      </c>
      <c r="K444" s="10">
        <f t="shared" si="69"/>
        <v>0.34858696254680133</v>
      </c>
      <c r="L444" s="10">
        <f t="shared" si="70"/>
        <v>1.1239774107417472E-2</v>
      </c>
      <c r="R444" s="10">
        <f t="shared" si="71"/>
        <v>0.10495996040728092</v>
      </c>
      <c r="S444" s="10">
        <f t="shared" si="72"/>
        <v>3.3843097191075494E-3</v>
      </c>
      <c r="Y444" s="10">
        <f t="shared" si="73"/>
        <v>3.9180387158168411E-3</v>
      </c>
      <c r="Z444" s="10">
        <f t="shared" si="74"/>
        <v>1.734072483913681E-3</v>
      </c>
      <c r="AA444" s="10">
        <f t="shared" si="75"/>
        <v>3.5521701412350441E-4</v>
      </c>
    </row>
    <row r="445" spans="1:27">
      <c r="A445" s="66">
        <v>21.65</v>
      </c>
      <c r="B445" s="10">
        <f t="shared" si="66"/>
        <v>0.96712833703002354</v>
      </c>
      <c r="C445" s="10">
        <f t="shared" si="67"/>
        <v>0.23112196068388169</v>
      </c>
      <c r="D445" s="66">
        <f t="shared" si="76"/>
        <v>4</v>
      </c>
      <c r="E445" s="10">
        <f t="shared" si="68"/>
        <v>1.4901639832488066E-2</v>
      </c>
      <c r="K445" s="10">
        <f t="shared" si="69"/>
        <v>0.34773761820276999</v>
      </c>
      <c r="L445" s="10">
        <f t="shared" si="70"/>
        <v>2.2420460294348413E-2</v>
      </c>
      <c r="R445" s="10">
        <f t="shared" si="71"/>
        <v>0.10441370567169872</v>
      </c>
      <c r="S445" s="10">
        <f t="shared" si="72"/>
        <v>6.732096901960821E-3</v>
      </c>
      <c r="Y445" s="10">
        <f t="shared" si="73"/>
        <v>7.7964374617664929E-3</v>
      </c>
      <c r="Z445" s="10">
        <f t="shared" si="74"/>
        <v>3.4440962154896719E-3</v>
      </c>
      <c r="AA445" s="10">
        <f t="shared" si="75"/>
        <v>7.0292318447469197E-4</v>
      </c>
    </row>
    <row r="446" spans="1:27">
      <c r="A446" s="66">
        <v>21.7</v>
      </c>
      <c r="B446" s="10">
        <f t="shared" si="66"/>
        <v>0.96694118176262778</v>
      </c>
      <c r="C446" s="10">
        <f t="shared" si="67"/>
        <v>0.23034141172584482</v>
      </c>
      <c r="D446" s="66">
        <f t="shared" si="76"/>
        <v>2</v>
      </c>
      <c r="E446" s="10">
        <f t="shared" si="68"/>
        <v>7.4242198954353467E-3</v>
      </c>
      <c r="K446" s="10">
        <f t="shared" si="69"/>
        <v>0.3468903433159824</v>
      </c>
      <c r="L446" s="10">
        <f t="shared" si="70"/>
        <v>1.1180751950266656E-2</v>
      </c>
      <c r="R446" s="10">
        <f t="shared" si="71"/>
        <v>0.10387029387007898</v>
      </c>
      <c r="S446" s="10">
        <f t="shared" si="72"/>
        <v>3.34788215682552E-3</v>
      </c>
      <c r="Y446" s="10">
        <f t="shared" si="73"/>
        <v>3.8784948825588399E-3</v>
      </c>
      <c r="Z446" s="10">
        <f t="shared" si="74"/>
        <v>1.7101052916776817E-3</v>
      </c>
      <c r="AA446" s="10">
        <f t="shared" si="75"/>
        <v>3.4774550347186061E-4</v>
      </c>
    </row>
    <row r="447" spans="1:27">
      <c r="A447" s="66">
        <v>21.75</v>
      </c>
      <c r="B447" s="10">
        <f t="shared" si="66"/>
        <v>0.96675302830102094</v>
      </c>
      <c r="C447" s="10">
        <f t="shared" si="67"/>
        <v>0.22956349885082708</v>
      </c>
      <c r="D447" s="66">
        <f t="shared" si="76"/>
        <v>4</v>
      </c>
      <c r="E447" s="10">
        <f t="shared" si="68"/>
        <v>1.4795413846761002E-2</v>
      </c>
      <c r="K447" s="10">
        <f t="shared" si="69"/>
        <v>0.34604513284413352</v>
      </c>
      <c r="L447" s="10">
        <f t="shared" si="70"/>
        <v>2.2302678673726345E-2</v>
      </c>
      <c r="R447" s="10">
        <f t="shared" si="71"/>
        <v>0.10332971020662599</v>
      </c>
      <c r="S447" s="10">
        <f t="shared" si="72"/>
        <v>6.6596206837148389E-3</v>
      </c>
      <c r="Y447" s="10">
        <f t="shared" si="73"/>
        <v>7.7177334044296565E-3</v>
      </c>
      <c r="Z447" s="10">
        <f t="shared" si="74"/>
        <v>3.3964869696084302E-3</v>
      </c>
      <c r="AA447" s="10">
        <f t="shared" si="75"/>
        <v>6.8813667533430671E-4</v>
      </c>
    </row>
    <row r="448" spans="1:27">
      <c r="A448" s="66">
        <v>21.8</v>
      </c>
      <c r="B448" s="10">
        <f t="shared" si="66"/>
        <v>0.96656387117971454</v>
      </c>
      <c r="C448" s="10">
        <f t="shared" si="67"/>
        <v>0.22878821315620468</v>
      </c>
      <c r="D448" s="66">
        <f t="shared" si="76"/>
        <v>2</v>
      </c>
      <c r="E448" s="10">
        <f t="shared" si="68"/>
        <v>7.3712806996183633E-3</v>
      </c>
      <c r="K448" s="10">
        <f t="shared" si="69"/>
        <v>0.34520198175720407</v>
      </c>
      <c r="L448" s="10">
        <f t="shared" si="70"/>
        <v>1.1121992127538411E-2</v>
      </c>
      <c r="R448" s="10">
        <f t="shared" si="71"/>
        <v>0.1027919399625473</v>
      </c>
      <c r="S448" s="10">
        <f t="shared" si="72"/>
        <v>3.3118325138757503E-3</v>
      </c>
      <c r="Y448" s="10">
        <f t="shared" si="73"/>
        <v>3.8393337235142818E-3</v>
      </c>
      <c r="Z448" s="10">
        <f t="shared" si="74"/>
        <v>1.6864621399385036E-3</v>
      </c>
      <c r="AA448" s="10">
        <f t="shared" si="75"/>
        <v>3.4042968893232823E-4</v>
      </c>
    </row>
    <row r="449" spans="1:27">
      <c r="A449" s="66">
        <v>21.85</v>
      </c>
      <c r="B449" s="10">
        <f t="shared" si="66"/>
        <v>0.96637370490554708</v>
      </c>
      <c r="C449" s="10">
        <f t="shared" si="67"/>
        <v>0.2280155457694199</v>
      </c>
      <c r="D449" s="66">
        <f t="shared" si="76"/>
        <v>4</v>
      </c>
      <c r="E449" s="10">
        <f t="shared" si="68"/>
        <v>1.4689881849416978E-2</v>
      </c>
      <c r="K449" s="10">
        <f t="shared" si="69"/>
        <v>0.34436088503743056</v>
      </c>
      <c r="L449" s="10">
        <f t="shared" si="70"/>
        <v>2.2185420286544997E-2</v>
      </c>
      <c r="R449" s="10">
        <f t="shared" si="71"/>
        <v>0.10225696849565317</v>
      </c>
      <c r="S449" s="10">
        <f t="shared" si="72"/>
        <v>6.5878963665036106E-3</v>
      </c>
      <c r="Y449" s="10">
        <f t="shared" si="73"/>
        <v>7.6397909648020018E-3</v>
      </c>
      <c r="Z449" s="10">
        <f t="shared" si="74"/>
        <v>3.3495214271831077E-3</v>
      </c>
      <c r="AA449" s="10">
        <f t="shared" si="75"/>
        <v>6.7365831120218776E-4</v>
      </c>
    </row>
    <row r="450" spans="1:27">
      <c r="A450" s="66">
        <v>21.9</v>
      </c>
      <c r="B450" s="10">
        <f t="shared" si="66"/>
        <v>0.96618252395757065</v>
      </c>
      <c r="C450" s="10">
        <f t="shared" si="67"/>
        <v>0.22724548784787979</v>
      </c>
      <c r="D450" s="66">
        <f t="shared" si="76"/>
        <v>2</v>
      </c>
      <c r="E450" s="10">
        <f t="shared" si="68"/>
        <v>7.3186873002277983E-3</v>
      </c>
      <c r="K450" s="10">
        <f t="shared" si="69"/>
        <v>0.34352183767927552</v>
      </c>
      <c r="L450" s="10">
        <f t="shared" si="70"/>
        <v>1.1063493205450178E-2</v>
      </c>
      <c r="R450" s="10">
        <f t="shared" si="71"/>
        <v>0.10172478123995796</v>
      </c>
      <c r="S450" s="10">
        <f t="shared" si="72"/>
        <v>3.276156862915144E-3</v>
      </c>
      <c r="Y450" s="10">
        <f t="shared" si="73"/>
        <v>3.8005515170884238E-3</v>
      </c>
      <c r="Z450" s="10">
        <f t="shared" si="74"/>
        <v>1.6631386659463482E-3</v>
      </c>
      <c r="AA450" s="10">
        <f t="shared" si="75"/>
        <v>3.3326634018782992E-4</v>
      </c>
    </row>
    <row r="451" spans="1:27">
      <c r="A451" s="66">
        <v>21.95</v>
      </c>
      <c r="B451" s="10">
        <f t="shared" si="66"/>
        <v>0.9659903227869383</v>
      </c>
      <c r="C451" s="10">
        <f t="shared" si="67"/>
        <v>0.22647803057885443</v>
      </c>
      <c r="D451" s="66">
        <f t="shared" si="76"/>
        <v>4</v>
      </c>
      <c r="E451" s="10">
        <f t="shared" si="68"/>
        <v>1.4585039057534513E-2</v>
      </c>
      <c r="K451" s="10">
        <f t="shared" si="69"/>
        <v>0.34268483468939748</v>
      </c>
      <c r="L451" s="10">
        <f t="shared" si="70"/>
        <v>2.2068682271719976E-2</v>
      </c>
      <c r="R451" s="10">
        <f t="shared" si="71"/>
        <v>0.10119536370528305</v>
      </c>
      <c r="S451" s="10">
        <f t="shared" si="72"/>
        <v>6.5169161366805325E-3</v>
      </c>
      <c r="Y451" s="10">
        <f t="shared" si="73"/>
        <v>7.562602736097197E-3</v>
      </c>
      <c r="Z451" s="10">
        <f t="shared" si="74"/>
        <v>3.3031909216660878E-3</v>
      </c>
      <c r="AA451" s="10">
        <f t="shared" si="75"/>
        <v>6.5948169868821455E-4</v>
      </c>
    </row>
    <row r="452" spans="1:27">
      <c r="A452" s="66">
        <v>22</v>
      </c>
      <c r="B452" s="10">
        <f t="shared" si="66"/>
        <v>0.96579709581679007</v>
      </c>
      <c r="C452" s="10">
        <f t="shared" si="67"/>
        <v>0.22571316517937698</v>
      </c>
      <c r="D452" s="66">
        <f t="shared" si="76"/>
        <v>2</v>
      </c>
      <c r="E452" s="10">
        <f t="shared" si="68"/>
        <v>7.2664373139285912E-3</v>
      </c>
      <c r="K452" s="10">
        <f t="shared" si="69"/>
        <v>0.3418498710866219</v>
      </c>
      <c r="L452" s="10">
        <f t="shared" si="70"/>
        <v>1.1005253756693452E-2</v>
      </c>
      <c r="R452" s="10">
        <f t="shared" si="71"/>
        <v>0.10066870147686303</v>
      </c>
      <c r="S452" s="10">
        <f t="shared" si="72"/>
        <v>3.2408513175333914E-3</v>
      </c>
      <c r="Y452" s="10">
        <f t="shared" si="73"/>
        <v>3.7621445780012179E-3</v>
      </c>
      <c r="Z452" s="10">
        <f t="shared" si="74"/>
        <v>1.6401305657043526E-3</v>
      </c>
      <c r="AA452" s="10">
        <f t="shared" si="75"/>
        <v>3.2625229381566724E-4</v>
      </c>
    </row>
    <row r="453" spans="1:27">
      <c r="A453" s="66">
        <v>22.05</v>
      </c>
      <c r="B453" s="10">
        <f t="shared" si="66"/>
        <v>0.96560283744213815</v>
      </c>
      <c r="C453" s="10">
        <f t="shared" si="67"/>
        <v>0.22495088289614129</v>
      </c>
      <c r="D453" s="66">
        <f t="shared" si="76"/>
        <v>4</v>
      </c>
      <c r="E453" s="10">
        <f t="shared" si="68"/>
        <v>1.4480880720641881E-2</v>
      </c>
      <c r="K453" s="10">
        <f t="shared" si="69"/>
        <v>0.34101694190190979</v>
      </c>
      <c r="L453" s="10">
        <f t="shared" si="70"/>
        <v>2.1952461781088325E-2</v>
      </c>
      <c r="R453" s="10">
        <f t="shared" si="71"/>
        <v>0.10014478021495257</v>
      </c>
      <c r="S453" s="10">
        <f t="shared" si="72"/>
        <v>6.4466722620385008E-3</v>
      </c>
      <c r="Y453" s="10">
        <f t="shared" si="73"/>
        <v>7.486161383805293E-3</v>
      </c>
      <c r="Z453" s="10">
        <f t="shared" si="74"/>
        <v>3.2574869032221017E-3</v>
      </c>
      <c r="AA453" s="10">
        <f t="shared" si="75"/>
        <v>6.4560057679967679E-4</v>
      </c>
    </row>
    <row r="454" spans="1:27">
      <c r="A454" s="66">
        <v>22.1</v>
      </c>
      <c r="B454" s="10">
        <f t="shared" si="66"/>
        <v>0.9654075420297572</v>
      </c>
      <c r="C454" s="10">
        <f t="shared" si="67"/>
        <v>0.22419117500540472</v>
      </c>
      <c r="D454" s="66">
        <f t="shared" si="76"/>
        <v>2</v>
      </c>
      <c r="E454" s="10">
        <f t="shared" si="68"/>
        <v>7.2145283735576974E-3</v>
      </c>
      <c r="K454" s="10">
        <f t="shared" si="69"/>
        <v>0.34018604217833104</v>
      </c>
      <c r="L454" s="10">
        <f t="shared" si="70"/>
        <v>1.094727236040713E-2</v>
      </c>
      <c r="R454" s="10">
        <f t="shared" si="71"/>
        <v>9.962358565443645E-2</v>
      </c>
      <c r="S454" s="10">
        <f t="shared" si="72"/>
        <v>3.2059120318280159E-3</v>
      </c>
      <c r="Y454" s="10">
        <f t="shared" si="73"/>
        <v>3.7241092569351378E-3</v>
      </c>
      <c r="Z454" s="10">
        <f t="shared" si="74"/>
        <v>1.6174335931777317E-3</v>
      </c>
      <c r="AA454" s="10">
        <f t="shared" si="75"/>
        <v>3.1938445190340676E-4</v>
      </c>
    </row>
    <row r="455" spans="1:27">
      <c r="A455" s="66">
        <v>22.15</v>
      </c>
      <c r="B455" s="10">
        <f t="shared" si="66"/>
        <v>0.96521120391806636</v>
      </c>
      <c r="C455" s="10">
        <f t="shared" si="67"/>
        <v>0.22343403281288568</v>
      </c>
      <c r="D455" s="66">
        <f t="shared" si="76"/>
        <v>4</v>
      </c>
      <c r="E455" s="10">
        <f t="shared" si="68"/>
        <v>1.4377402120506276E-2</v>
      </c>
      <c r="K455" s="10">
        <f t="shared" si="69"/>
        <v>0.33935716697103235</v>
      </c>
      <c r="L455" s="10">
        <f t="shared" si="70"/>
        <v>2.1836755979355627E-2</v>
      </c>
      <c r="R455" s="10">
        <f t="shared" si="71"/>
        <v>9.9105103604440886E-2</v>
      </c>
      <c r="S455" s="10">
        <f t="shared" si="72"/>
        <v>6.3771570909644726E-3</v>
      </c>
      <c r="Y455" s="10">
        <f t="shared" si="73"/>
        <v>7.4104596449918771E-3</v>
      </c>
      <c r="Z455" s="10">
        <f t="shared" si="74"/>
        <v>3.2124009371572513E-3</v>
      </c>
      <c r="AA455" s="10">
        <f t="shared" si="75"/>
        <v>6.3200881420182888E-4</v>
      </c>
    </row>
    <row r="456" spans="1:27">
      <c r="A456" s="66">
        <v>22.2</v>
      </c>
      <c r="B456" s="10">
        <f t="shared" si="66"/>
        <v>0.96501381741701719</v>
      </c>
      <c r="C456" s="10">
        <f t="shared" si="67"/>
        <v>0.22267944765366482</v>
      </c>
      <c r="D456" s="66">
        <f t="shared" si="76"/>
        <v>2</v>
      </c>
      <c r="E456" s="10">
        <f t="shared" si="68"/>
        <v>7.1629581280191991E-3</v>
      </c>
      <c r="K456" s="10">
        <f t="shared" si="69"/>
        <v>0.3385303113472089</v>
      </c>
      <c r="L456" s="10">
        <f t="shared" si="70"/>
        <v>1.0889547602151384E-2</v>
      </c>
      <c r="R456" s="10">
        <f t="shared" si="71"/>
        <v>9.8589319947947243E-2</v>
      </c>
      <c r="S456" s="10">
        <f t="shared" si="72"/>
        <v>3.1713351999838758E-3</v>
      </c>
      <c r="Y456" s="10">
        <f t="shared" si="73"/>
        <v>3.6864419401865601E-3</v>
      </c>
      <c r="Z456" s="10">
        <f t="shared" si="74"/>
        <v>1.5950435595136442E-3</v>
      </c>
      <c r="AA456" s="10">
        <f t="shared" si="75"/>
        <v>3.1265978069339759E-4</v>
      </c>
    </row>
    <row r="457" spans="1:27">
      <c r="A457" s="66">
        <v>22.25</v>
      </c>
      <c r="B457" s="10">
        <f t="shared" si="66"/>
        <v>0.96481537680797991</v>
      </c>
      <c r="C457" s="10">
        <f t="shared" si="67"/>
        <v>0.22192741089208676</v>
      </c>
      <c r="D457" s="66">
        <f t="shared" si="76"/>
        <v>4</v>
      </c>
      <c r="E457" s="10">
        <f t="shared" si="68"/>
        <v>1.4274598570924538E-2</v>
      </c>
      <c r="K457" s="10">
        <f t="shared" si="69"/>
        <v>0.33770547038607468</v>
      </c>
      <c r="L457" s="10">
        <f t="shared" si="70"/>
        <v>2.1721562044043782E-2</v>
      </c>
      <c r="R457" s="10">
        <f t="shared" si="71"/>
        <v>9.8076220641407641E-2</v>
      </c>
      <c r="S457" s="10">
        <f t="shared" si="72"/>
        <v>6.3083630516028184E-3</v>
      </c>
      <c r="Y457" s="10">
        <f t="shared" si="73"/>
        <v>7.3354903276041114E-3</v>
      </c>
      <c r="Z457" s="10">
        <f t="shared" si="74"/>
        <v>3.1679247023691645E-3</v>
      </c>
      <c r="AA457" s="10">
        <f t="shared" si="75"/>
        <v>6.1870040653510161E-4</v>
      </c>
    </row>
    <row r="458" spans="1:27">
      <c r="A458" s="66">
        <v>22.3</v>
      </c>
      <c r="B458" s="10">
        <f t="shared" si="66"/>
        <v>0.96461587634362933</v>
      </c>
      <c r="C458" s="10">
        <f t="shared" si="67"/>
        <v>0.22117791392166017</v>
      </c>
      <c r="D458" s="66">
        <f t="shared" si="76"/>
        <v>2</v>
      </c>
      <c r="E458" s="10">
        <f t="shared" si="68"/>
        <v>7.1117242421799348E-3</v>
      </c>
      <c r="K458" s="10">
        <f t="shared" si="69"/>
        <v>0.33688263917883365</v>
      </c>
      <c r="L458" s="10">
        <f t="shared" si="70"/>
        <v>1.0832078073881509E-2</v>
      </c>
      <c r="R458" s="10">
        <f t="shared" si="71"/>
        <v>9.7565791714362596E-2</v>
      </c>
      <c r="S458" s="10">
        <f t="shared" si="72"/>
        <v>3.1371170558569957E-3</v>
      </c>
      <c r="Y458" s="10">
        <f t="shared" si="73"/>
        <v>3.6491390493203798E-3</v>
      </c>
      <c r="Z458" s="10">
        <f t="shared" si="74"/>
        <v>1.5729563322714574E-3</v>
      </c>
      <c r="AA458" s="10">
        <f t="shared" si="75"/>
        <v>3.0607530925531808E-4</v>
      </c>
    </row>
    <row r="459" spans="1:27">
      <c r="A459" s="66">
        <v>22.35</v>
      </c>
      <c r="B459" s="10">
        <f t="shared" si="66"/>
        <v>0.96441531024783012</v>
      </c>
      <c r="C459" s="10">
        <f t="shared" si="67"/>
        <v>0.22043094816495981</v>
      </c>
      <c r="D459" s="66">
        <f t="shared" si="76"/>
        <v>4</v>
      </c>
      <c r="E459" s="10">
        <f t="shared" si="68"/>
        <v>1.4172465417515538E-2</v>
      </c>
      <c r="K459" s="10">
        <f t="shared" si="69"/>
        <v>0.33606181282864994</v>
      </c>
      <c r="L459" s="10">
        <f t="shared" si="70"/>
        <v>2.1606877165439378E-2</v>
      </c>
      <c r="R459" s="10">
        <f t="shared" si="71"/>
        <v>9.705801926906063E-2</v>
      </c>
      <c r="S459" s="10">
        <f t="shared" si="72"/>
        <v>6.2402826510273993E-3</v>
      </c>
      <c r="Y459" s="10">
        <f t="shared" si="73"/>
        <v>7.2612463097835181E-3</v>
      </c>
      <c r="Z459" s="10">
        <f t="shared" si="74"/>
        <v>3.1240499898180533E-3</v>
      </c>
      <c r="AA459" s="10">
        <f t="shared" si="75"/>
        <v>6.0566947378780205E-4</v>
      </c>
    </row>
    <row r="460" spans="1:27">
      <c r="A460" s="66">
        <v>22.4</v>
      </c>
      <c r="B460" s="10">
        <f t="shared" si="66"/>
        <v>0.96421367271552327</v>
      </c>
      <c r="C460" s="10">
        <f t="shared" si="67"/>
        <v>0.21968650507352833</v>
      </c>
      <c r="D460" s="66">
        <f t="shared" si="76"/>
        <v>2</v>
      </c>
      <c r="E460" s="10">
        <f t="shared" si="68"/>
        <v>7.0608243967661402E-3</v>
      </c>
      <c r="K460" s="10">
        <f t="shared" si="69"/>
        <v>0.33524298645061923</v>
      </c>
      <c r="L460" s="10">
        <f t="shared" si="70"/>
        <v>1.0774862373922401E-2</v>
      </c>
      <c r="R460" s="10">
        <f t="shared" si="71"/>
        <v>9.6552889480079881E-2</v>
      </c>
      <c r="S460" s="10">
        <f t="shared" si="72"/>
        <v>3.1032538725627948E-3</v>
      </c>
      <c r="Y460" s="10">
        <f t="shared" si="73"/>
        <v>3.6121970408281544E-3</v>
      </c>
      <c r="Z460" s="10">
        <f t="shared" si="74"/>
        <v>1.5511678346634573E-3</v>
      </c>
      <c r="AA460" s="10">
        <f t="shared" si="75"/>
        <v>2.9962812818618543E-4</v>
      </c>
    </row>
    <row r="461" spans="1:27">
      <c r="A461" s="66">
        <v>22.45</v>
      </c>
      <c r="B461" s="10">
        <f t="shared" ref="B461:B512" si="77">(B$8^A461)*B$9^((B$5^B$7)*((B$5^A461)-1))</f>
        <v>0.9640109579126116</v>
      </c>
      <c r="C461" s="10">
        <f t="shared" ref="C461:C512" si="78">(1+B$6)^-A461</f>
        <v>0.21894457612777815</v>
      </c>
      <c r="D461" s="66">
        <f t="shared" si="76"/>
        <v>4</v>
      </c>
      <c r="E461" s="10">
        <f t="shared" ref="E461:E512" si="79">B461*C461*D461*0.05/3</f>
        <v>1.4070998037514009E-2</v>
      </c>
      <c r="K461" s="10">
        <f t="shared" ref="K461:K512" si="80">1.05^-A461</f>
        <v>0.33442615517173901</v>
      </c>
      <c r="L461" s="10">
        <f t="shared" ref="L461:L512" si="81">E461*K461/C461</f>
        <v>2.1492698546542652E-2</v>
      </c>
      <c r="R461" s="10">
        <f t="shared" ref="R461:R512" si="82">1.11^-A461</f>
        <v>9.6050388593951638E-2</v>
      </c>
      <c r="S461" s="10">
        <f t="shared" ref="S461:S512" si="83">L461*R461/K461</f>
        <v>6.1729084744222588E-3</v>
      </c>
      <c r="Y461" s="10">
        <f t="shared" ref="Y461:Y512" si="84">L461*K461</f>
        <v>7.1877205391854826E-3</v>
      </c>
      <c r="Z461" s="10">
        <f t="shared" ref="Z461:Z512" si="85">C461*E461</f>
        <v>3.0807687010183027E-3</v>
      </c>
      <c r="AA461" s="10">
        <f t="shared" ref="AA461:AA512" si="86">R461*S461</f>
        <v>5.9291025772315509E-4</v>
      </c>
    </row>
    <row r="462" spans="1:27">
      <c r="A462" s="66">
        <v>22.5</v>
      </c>
      <c r="B462" s="10">
        <f t="shared" si="77"/>
        <v>0.96380715997584576</v>
      </c>
      <c r="C462" s="10">
        <f t="shared" si="78"/>
        <v>0.21820515283689457</v>
      </c>
      <c r="D462" s="66">
        <f t="shared" si="76"/>
        <v>2</v>
      </c>
      <c r="E462" s="10">
        <f t="shared" si="79"/>
        <v>7.0102562882607576E-3</v>
      </c>
      <c r="K462" s="10">
        <f t="shared" si="80"/>
        <v>0.33361131413088069</v>
      </c>
      <c r="L462" s="10">
        <f t="shared" si="81"/>
        <v>1.0717899106943129E-2</v>
      </c>
      <c r="R462" s="10">
        <f t="shared" si="82"/>
        <v>9.5550502928785933E-2</v>
      </c>
      <c r="S462" s="10">
        <f t="shared" si="83"/>
        <v>3.0697419620685632E-3</v>
      </c>
      <c r="Y462" s="10">
        <f t="shared" si="84"/>
        <v>3.5756124057894898E-3</v>
      </c>
      <c r="Z462" s="10">
        <f t="shared" si="85"/>
        <v>1.5296740448057398E-3</v>
      </c>
      <c r="AA462" s="10">
        <f t="shared" si="86"/>
        <v>2.9331538833724934E-4</v>
      </c>
    </row>
    <row r="463" spans="1:27">
      <c r="A463" s="66">
        <v>22.55</v>
      </c>
      <c r="B463" s="10">
        <f t="shared" si="77"/>
        <v>0.9636022730127094</v>
      </c>
      <c r="C463" s="10">
        <f t="shared" si="78"/>
        <v>0.21746822673873786</v>
      </c>
      <c r="D463" s="66">
        <f t="shared" ref="D463:D511" si="87">IF(D462=4,2,4)</f>
        <v>4</v>
      </c>
      <c r="E463" s="10">
        <f t="shared" si="79"/>
        <v>1.3970191839566071E-2</v>
      </c>
      <c r="K463" s="10">
        <f t="shared" si="80"/>
        <v>0.33279845847875938</v>
      </c>
      <c r="L463" s="10">
        <f t="shared" si="81"/>
        <v>2.1379023403017224E-2</v>
      </c>
      <c r="R463" s="10">
        <f t="shared" si="82"/>
        <v>9.5053218873898879E-2</v>
      </c>
      <c r="S463" s="10">
        <f t="shared" si="83"/>
        <v>6.1062331842709023E-3</v>
      </c>
      <c r="Y463" s="10">
        <f t="shared" si="84"/>
        <v>7.1149060323054533E-3</v>
      </c>
      <c r="Z463" s="10">
        <f t="shared" si="85"/>
        <v>3.0380728465504198E-3</v>
      </c>
      <c r="AA463" s="10">
        <f t="shared" si="86"/>
        <v>5.8041711935956657E-4</v>
      </c>
    </row>
    <row r="464" spans="1:27">
      <c r="A464" s="66">
        <v>22.6</v>
      </c>
      <c r="B464" s="10">
        <f t="shared" si="77"/>
        <v>0.96339629110130498</v>
      </c>
      <c r="C464" s="10">
        <f t="shared" si="78"/>
        <v>0.21673378939974691</v>
      </c>
      <c r="D464" s="66">
        <f t="shared" si="87"/>
        <v>2</v>
      </c>
      <c r="E464" s="10">
        <f t="shared" si="79"/>
        <v>6.9600176288015835E-3</v>
      </c>
      <c r="K464" s="10">
        <f t="shared" si="80"/>
        <v>0.33198758337790607</v>
      </c>
      <c r="L464" s="10">
        <f t="shared" si="81"/>
        <v>1.0661186883931998E-2</v>
      </c>
      <c r="R464" s="10">
        <f t="shared" si="82"/>
        <v>9.4558522889442304E-2</v>
      </c>
      <c r="S464" s="10">
        <f t="shared" si="83"/>
        <v>3.0365776747902189E-3</v>
      </c>
      <c r="Y464" s="10">
        <f t="shared" si="84"/>
        <v>3.539381669536813E-3</v>
      </c>
      <c r="Z464" s="10">
        <f t="shared" si="85"/>
        <v>1.5084709949792082E-3</v>
      </c>
      <c r="AA464" s="10">
        <f t="shared" si="86"/>
        <v>2.871342995672204E-4</v>
      </c>
    </row>
    <row r="465" spans="1:27">
      <c r="A465" s="66">
        <v>22.65</v>
      </c>
      <c r="B465" s="10">
        <f t="shared" si="77"/>
        <v>0.96318920829023968</v>
      </c>
      <c r="C465" s="10">
        <f t="shared" si="78"/>
        <v>0.21600183241484266</v>
      </c>
      <c r="D465" s="66">
        <f t="shared" si="87"/>
        <v>4</v>
      </c>
      <c r="E465" s="10">
        <f t="shared" si="79"/>
        <v>1.3870042263526223E-2</v>
      </c>
      <c r="K465" s="10">
        <f t="shared" si="80"/>
        <v>0.33117868400263806</v>
      </c>
      <c r="L465" s="10">
        <f t="shared" si="81"/>
        <v>2.1265848963140294E-2</v>
      </c>
      <c r="R465" s="10">
        <f t="shared" si="82"/>
        <v>9.4066401506034861E-2</v>
      </c>
      <c r="S465" s="10">
        <f t="shared" si="83"/>
        <v>6.0402495195539686E-3</v>
      </c>
      <c r="Y465" s="10">
        <f t="shared" si="84"/>
        <v>7.0427958738116673E-3</v>
      </c>
      <c r="Z465" s="10">
        <f t="shared" si="85"/>
        <v>2.9959545445929761E-3</v>
      </c>
      <c r="AA465" s="10">
        <f t="shared" si="86"/>
        <v>5.6818453650299774E-4</v>
      </c>
    </row>
    <row r="466" spans="1:27">
      <c r="A466" s="66">
        <v>22.7</v>
      </c>
      <c r="B466" s="10">
        <f t="shared" si="77"/>
        <v>0.96298101859851037</v>
      </c>
      <c r="C466" s="10">
        <f t="shared" si="78"/>
        <v>0.21527234740733156</v>
      </c>
      <c r="D466" s="66">
        <f t="shared" si="87"/>
        <v>2</v>
      </c>
      <c r="E466" s="10">
        <f t="shared" si="79"/>
        <v>6.9101061460801515E-3</v>
      </c>
      <c r="K466" s="10">
        <f t="shared" si="80"/>
        <v>0.33037175553903086</v>
      </c>
      <c r="L466" s="10">
        <f t="shared" si="81"/>
        <v>1.0604724322171801E-2</v>
      </c>
      <c r="R466" s="10">
        <f t="shared" si="82"/>
        <v>9.3576841324395463E-2</v>
      </c>
      <c r="S466" s="10">
        <f t="shared" si="83"/>
        <v>3.0037573991932511E-3</v>
      </c>
      <c r="Y466" s="10">
        <f t="shared" si="84"/>
        <v>3.503501391323357E-3</v>
      </c>
      <c r="Z466" s="10">
        <f t="shared" si="85"/>
        <v>1.4875547709005035E-3</v>
      </c>
      <c r="AA466" s="10">
        <f t="shared" si="86"/>
        <v>2.8108212952128567E-4</v>
      </c>
    </row>
    <row r="467" spans="1:27">
      <c r="A467" s="66">
        <v>22.75</v>
      </c>
      <c r="B467" s="10">
        <f t="shared" si="77"/>
        <v>0.96277171601538958</v>
      </c>
      <c r="C467" s="10">
        <f t="shared" si="78"/>
        <v>0.21454532602881035</v>
      </c>
      <c r="D467" s="66">
        <f t="shared" si="87"/>
        <v>4</v>
      </c>
      <c r="E467" s="10">
        <f t="shared" si="79"/>
        <v>1.3770544780255932E-2</v>
      </c>
      <c r="K467" s="10">
        <f t="shared" si="80"/>
        <v>0.32956679318488902</v>
      </c>
      <c r="L467" s="10">
        <f t="shared" si="81"/>
        <v>2.1153172467753639E-2</v>
      </c>
      <c r="R467" s="10">
        <f t="shared" si="82"/>
        <v>9.3089829014978337E-2</v>
      </c>
      <c r="S467" s="10">
        <f t="shared" si="83"/>
        <v>5.9749502949553264E-3</v>
      </c>
      <c r="Y467" s="10">
        <f t="shared" si="84"/>
        <v>6.9713832158844521E-3</v>
      </c>
      <c r="Z467" s="10">
        <f t="shared" si="85"/>
        <v>2.9544060194743415E-3</v>
      </c>
      <c r="AA467" s="10">
        <f t="shared" si="86"/>
        <v>5.5620710133038567E-4</v>
      </c>
    </row>
    <row r="468" spans="1:27">
      <c r="A468" s="66">
        <v>22.8</v>
      </c>
      <c r="B468" s="10">
        <f t="shared" si="77"/>
        <v>0.96256129450031036</v>
      </c>
      <c r="C468" s="10">
        <f t="shared" si="78"/>
        <v>0.21382075995906977</v>
      </c>
      <c r="D468" s="66">
        <f t="shared" si="87"/>
        <v>2</v>
      </c>
      <c r="E468" s="10">
        <f t="shared" si="79"/>
        <v>6.8605195832414116E-3</v>
      </c>
      <c r="K468" s="10">
        <f t="shared" si="80"/>
        <v>0.32876379214971813</v>
      </c>
      <c r="L468" s="10">
        <f t="shared" si="81"/>
        <v>1.0548510045215457E-2</v>
      </c>
      <c r="R468" s="10">
        <f t="shared" si="82"/>
        <v>9.2605351317610163E-2</v>
      </c>
      <c r="S468" s="10">
        <f t="shared" si="83"/>
        <v>2.9712775613978289E-3</v>
      </c>
      <c r="Y468" s="10">
        <f t="shared" si="84"/>
        <v>3.4679681639944284E-3</v>
      </c>
      <c r="Z468" s="10">
        <f t="shared" si="85"/>
        <v>1.4669215110027591E-3</v>
      </c>
      <c r="AA468" s="10">
        <f t="shared" si="86"/>
        <v>2.7515620243537796E-4</v>
      </c>
    </row>
    <row r="469" spans="1:27">
      <c r="A469" s="66">
        <v>22.85</v>
      </c>
      <c r="B469" s="10">
        <f t="shared" si="77"/>
        <v>0.96234974798275263</v>
      </c>
      <c r="C469" s="10">
        <f t="shared" si="78"/>
        <v>0.21309864090599989</v>
      </c>
      <c r="D469" s="66">
        <f t="shared" si="87"/>
        <v>4</v>
      </c>
      <c r="E469" s="10">
        <f t="shared" si="79"/>
        <v>1.367169489142374E-2</v>
      </c>
      <c r="K469" s="10">
        <f t="shared" si="80"/>
        <v>0.32796274765469574</v>
      </c>
      <c r="L469" s="10">
        <f t="shared" si="81"/>
        <v>2.104099117021517E-2</v>
      </c>
      <c r="R469" s="10">
        <f t="shared" si="82"/>
        <v>9.2123395041129014E-2</v>
      </c>
      <c r="S469" s="10">
        <f t="shared" si="83"/>
        <v>5.9103284000764046E-3</v>
      </c>
      <c r="Y469" s="10">
        <f t="shared" si="84"/>
        <v>6.9006612775619593E-3</v>
      </c>
      <c r="Z469" s="10">
        <f t="shared" si="85"/>
        <v>2.913419600243901E-3</v>
      </c>
      <c r="AA469" s="10">
        <f t="shared" si="86"/>
        <v>5.444795180230426E-4</v>
      </c>
    </row>
    <row r="470" spans="1:27">
      <c r="A470" s="66">
        <v>22.9</v>
      </c>
      <c r="B470" s="10">
        <f t="shared" si="77"/>
        <v>0.96213707036212781</v>
      </c>
      <c r="C470" s="10">
        <f t="shared" si="78"/>
        <v>0.2123789606054951</v>
      </c>
      <c r="D470" s="66">
        <f t="shared" si="87"/>
        <v>2</v>
      </c>
      <c r="E470" s="10">
        <f t="shared" si="79"/>
        <v>6.8112556987841612E-3</v>
      </c>
      <c r="K470" s="10">
        <f t="shared" si="80"/>
        <v>0.32716365493264338</v>
      </c>
      <c r="L470" s="10">
        <f t="shared" si="81"/>
        <v>1.0492542682861988E-2</v>
      </c>
      <c r="R470" s="10">
        <f t="shared" si="82"/>
        <v>9.1643947063025158E-2</v>
      </c>
      <c r="S470" s="10">
        <f t="shared" si="83"/>
        <v>2.939134624788032E-3</v>
      </c>
      <c r="Y470" s="10">
        <f t="shared" si="84"/>
        <v>3.4327786136618917E-3</v>
      </c>
      <c r="Z470" s="10">
        <f t="shared" si="85"/>
        <v>1.4465674057260354E-3</v>
      </c>
      <c r="AA470" s="10">
        <f t="shared" si="86"/>
        <v>2.6935389796517873E-4</v>
      </c>
    </row>
    <row r="471" spans="1:27">
      <c r="A471" s="66">
        <v>22.95</v>
      </c>
      <c r="B471" s="10">
        <f t="shared" si="77"/>
        <v>0.96192325550766489</v>
      </c>
      <c r="C471" s="10">
        <f t="shared" si="78"/>
        <v>0.21166171082135926</v>
      </c>
      <c r="D471" s="66">
        <f t="shared" si="87"/>
        <v>4</v>
      </c>
      <c r="E471" s="10">
        <f t="shared" si="79"/>
        <v>1.3573488129306923E-2</v>
      </c>
      <c r="K471" s="10">
        <f t="shared" si="80"/>
        <v>0.32636650922799765</v>
      </c>
      <c r="L471" s="10">
        <f t="shared" si="81"/>
        <v>2.092930233635119E-2</v>
      </c>
      <c r="R471" s="10">
        <f t="shared" si="82"/>
        <v>9.1166994329083831E-2</v>
      </c>
      <c r="S471" s="10">
        <f t="shared" si="83"/>
        <v>5.8463767986587428E-3</v>
      </c>
      <c r="Y471" s="10">
        <f t="shared" si="84"/>
        <v>6.8306233440923137E-3</v>
      </c>
      <c r="Z471" s="10">
        <f t="shared" si="85"/>
        <v>2.8729877192625146E-3</v>
      </c>
      <c r="AA471" s="10">
        <f t="shared" si="86"/>
        <v>5.3299660044900886E-4</v>
      </c>
    </row>
    <row r="472" spans="1:27">
      <c r="A472" s="66">
        <v>23</v>
      </c>
      <c r="B472" s="10">
        <f t="shared" si="77"/>
        <v>0.96170829725829554</v>
      </c>
      <c r="C472" s="10">
        <f t="shared" si="78"/>
        <v>0.21094688334521211</v>
      </c>
      <c r="D472" s="66">
        <f t="shared" si="87"/>
        <v>2</v>
      </c>
      <c r="E472" s="10">
        <f t="shared" si="79"/>
        <v>6.7623122664622753E-3</v>
      </c>
      <c r="K472" s="10">
        <f t="shared" si="80"/>
        <v>0.32557130579678267</v>
      </c>
      <c r="L472" s="10">
        <f t="shared" si="81"/>
        <v>1.043682087113279E-2</v>
      </c>
      <c r="R472" s="10">
        <f t="shared" si="82"/>
        <v>9.0692523853029769E-2</v>
      </c>
      <c r="S472" s="10">
        <f t="shared" si="83"/>
        <v>2.9073250896251538E-3</v>
      </c>
      <c r="Y472" s="10">
        <f t="shared" si="84"/>
        <v>3.3979293993818176E-3</v>
      </c>
      <c r="Z472" s="10">
        <f t="shared" si="85"/>
        <v>1.4264886968173144E-3</v>
      </c>
      <c r="AA472" s="10">
        <f t="shared" si="86"/>
        <v>2.6367265003934115E-4</v>
      </c>
    </row>
    <row r="473" spans="1:27">
      <c r="A473" s="66">
        <v>23.05</v>
      </c>
      <c r="B473" s="10">
        <f t="shared" si="77"/>
        <v>0.96149218942253845</v>
      </c>
      <c r="C473" s="10">
        <f t="shared" si="78"/>
        <v>0.21023446999639372</v>
      </c>
      <c r="D473" s="66">
        <f t="shared" si="87"/>
        <v>4</v>
      </c>
      <c r="E473" s="10">
        <f t="shared" si="79"/>
        <v>1.3475920056594639E-2</v>
      </c>
      <c r="K473" s="10">
        <f t="shared" si="80"/>
        <v>0.32477803990658066</v>
      </c>
      <c r="L473" s="10">
        <f t="shared" si="81"/>
        <v>2.0818103244409258E-2</v>
      </c>
      <c r="R473" s="10">
        <f t="shared" si="82"/>
        <v>9.0220522716173465E-2</v>
      </c>
      <c r="S473" s="10">
        <f t="shared" si="83"/>
        <v>5.7830885278146336E-3</v>
      </c>
      <c r="Y473" s="10">
        <f t="shared" si="84"/>
        <v>6.7612627662920659E-3</v>
      </c>
      <c r="Z473" s="10">
        <f t="shared" si="85"/>
        <v>2.8331029108119459E-3</v>
      </c>
      <c r="AA473" s="10">
        <f t="shared" si="86"/>
        <v>5.2175326989334228E-4</v>
      </c>
    </row>
    <row r="474" spans="1:27">
      <c r="A474" s="66">
        <v>23.1</v>
      </c>
      <c r="B474" s="10">
        <f t="shared" si="77"/>
        <v>0.96127492577838836</v>
      </c>
      <c r="C474" s="10">
        <f t="shared" si="78"/>
        <v>0.20952446262187358</v>
      </c>
      <c r="D474" s="66">
        <f t="shared" si="87"/>
        <v>2</v>
      </c>
      <c r="E474" s="10">
        <f t="shared" si="79"/>
        <v>6.7136870751866072E-3</v>
      </c>
      <c r="K474" s="10">
        <f t="shared" si="80"/>
        <v>0.32398670683650571</v>
      </c>
      <c r="L474" s="10">
        <f t="shared" si="81"/>
        <v>1.0381343252248217E-2</v>
      </c>
      <c r="R474" s="10">
        <f t="shared" si="82"/>
        <v>8.9750978067059839E-2</v>
      </c>
      <c r="S474" s="10">
        <f t="shared" si="83"/>
        <v>2.8758454926650239E-3</v>
      </c>
      <c r="Y474" s="10">
        <f t="shared" si="84"/>
        <v>3.3634172128352798E-3</v>
      </c>
      <c r="Z474" s="10">
        <f t="shared" si="85"/>
        <v>1.406681676639892E-3</v>
      </c>
      <c r="AA474" s="10">
        <f t="shared" si="86"/>
        <v>2.5810994573643146E-4</v>
      </c>
    </row>
    <row r="475" spans="1:27">
      <c r="A475" s="66">
        <v>23.15</v>
      </c>
      <c r="B475" s="10">
        <f t="shared" si="77"/>
        <v>0.96105650007319743</v>
      </c>
      <c r="C475" s="10">
        <f t="shared" si="78"/>
        <v>0.20881685309615478</v>
      </c>
      <c r="D475" s="66">
        <f t="shared" si="87"/>
        <v>4</v>
      </c>
      <c r="E475" s="10">
        <f t="shared" si="79"/>
        <v>1.3378986266192635E-2</v>
      </c>
      <c r="K475" s="10">
        <f t="shared" si="80"/>
        <v>0.32319730187717366</v>
      </c>
      <c r="L475" s="10">
        <f t="shared" si="81"/>
        <v>2.070739118501181E-2</v>
      </c>
      <c r="R475" s="10">
        <f t="shared" si="82"/>
        <v>8.9283877121117947E-2</v>
      </c>
      <c r="S475" s="10">
        <f t="shared" si="83"/>
        <v>5.7204566972658029E-3</v>
      </c>
      <c r="Y475" s="10">
        <f t="shared" si="84"/>
        <v>6.6925729599109866E-3</v>
      </c>
      <c r="Z475" s="10">
        <f t="shared" si="85"/>
        <v>2.7937578097230195E-3</v>
      </c>
      <c r="AA475" s="10">
        <f t="shared" si="86"/>
        <v>5.107445528353562E-4</v>
      </c>
    </row>
    <row r="476" spans="1:27">
      <c r="A476" s="66">
        <v>23.2</v>
      </c>
      <c r="B476" s="10">
        <f t="shared" si="77"/>
        <v>0.96083690602356264</v>
      </c>
      <c r="C476" s="10">
        <f t="shared" si="78"/>
        <v>0.2081116333211821</v>
      </c>
      <c r="D476" s="66">
        <f t="shared" si="87"/>
        <v>2</v>
      </c>
      <c r="E476" s="10">
        <f t="shared" si="79"/>
        <v>6.6653779289278263E-3</v>
      </c>
      <c r="K476" s="10">
        <f t="shared" si="80"/>
        <v>0.32240982033067517</v>
      </c>
      <c r="L476" s="10">
        <f t="shared" si="81"/>
        <v>1.0326108474604623E-2</v>
      </c>
      <c r="R476" s="10">
        <f t="shared" si="82"/>
        <v>8.8819207160312816E-2</v>
      </c>
      <c r="S476" s="10">
        <f t="shared" si="83"/>
        <v>2.8446924067793613E-3</v>
      </c>
      <c r="Y476" s="10">
        <f t="shared" si="84"/>
        <v>3.329238778012339E-3</v>
      </c>
      <c r="Z476" s="10">
        <f t="shared" si="85"/>
        <v>1.387142687492128E-3</v>
      </c>
      <c r="AA476" s="10">
        <f t="shared" si="86"/>
        <v>2.5266332418510495E-4</v>
      </c>
    </row>
    <row r="477" spans="1:27">
      <c r="A477" s="66">
        <v>23.25</v>
      </c>
      <c r="B477" s="10">
        <f t="shared" si="77"/>
        <v>0.96061613731521223</v>
      </c>
      <c r="C477" s="10">
        <f t="shared" si="78"/>
        <v>0.20740879522624933</v>
      </c>
      <c r="D477" s="66">
        <f t="shared" si="87"/>
        <v>4</v>
      </c>
      <c r="E477" s="10">
        <f t="shared" si="79"/>
        <v>1.3282682381029432E-2</v>
      </c>
      <c r="K477" s="10">
        <f t="shared" si="80"/>
        <v>0.32162425751054735</v>
      </c>
      <c r="L477" s="10">
        <f t="shared" si="81"/>
        <v>2.0597163461110343E-2</v>
      </c>
      <c r="R477" s="10">
        <f t="shared" si="82"/>
        <v>8.8356955532799653E-2</v>
      </c>
      <c r="S477" s="10">
        <f t="shared" si="83"/>
        <v>5.6584744885899976E-3</v>
      </c>
      <c r="Y477" s="10">
        <f t="shared" si="84"/>
        <v>6.6245474050029892E-3</v>
      </c>
      <c r="Z477" s="10">
        <f t="shared" si="85"/>
        <v>2.7549451500222433E-3</v>
      </c>
      <c r="AA477" s="10">
        <f t="shared" si="86"/>
        <v>4.9996557877182767E-4</v>
      </c>
    </row>
    <row r="478" spans="1:27">
      <c r="A478" s="66">
        <v>23.3</v>
      </c>
      <c r="B478" s="10">
        <f t="shared" si="77"/>
        <v>0.96039418760288975</v>
      </c>
      <c r="C478" s="10">
        <f t="shared" si="78"/>
        <v>0.20670833076790671</v>
      </c>
      <c r="D478" s="66">
        <f t="shared" si="87"/>
        <v>2</v>
      </c>
      <c r="E478" s="10">
        <f t="shared" si="79"/>
        <v>6.6173826466197731E-3</v>
      </c>
      <c r="K478" s="10">
        <f t="shared" si="80"/>
        <v>0.3208406087417463</v>
      </c>
      <c r="L478" s="10">
        <f t="shared" si="81"/>
        <v>1.0271115192751534E-2</v>
      </c>
      <c r="R478" s="10">
        <f t="shared" si="82"/>
        <v>8.7897109652578895E-2</v>
      </c>
      <c r="S478" s="10">
        <f t="shared" si="83"/>
        <v>2.8138624405810208E-3</v>
      </c>
      <c r="Y478" s="10">
        <f t="shared" si="84"/>
        <v>3.295390850899001E-3</v>
      </c>
      <c r="Z478" s="10">
        <f t="shared" si="85"/>
        <v>1.367868120935286E-3</v>
      </c>
      <c r="AA478" s="10">
        <f t="shared" si="86"/>
        <v>2.4733037548702323E-4</v>
      </c>
    </row>
    <row r="479" spans="1:27">
      <c r="A479" s="66">
        <v>23.35</v>
      </c>
      <c r="B479" s="10">
        <f t="shared" si="77"/>
        <v>0.96017105051024021</v>
      </c>
      <c r="C479" s="10">
        <f t="shared" si="78"/>
        <v>0.20601023192986895</v>
      </c>
      <c r="D479" s="66">
        <f t="shared" si="87"/>
        <v>4</v>
      </c>
      <c r="E479" s="10">
        <f t="shared" si="79"/>
        <v>1.3187004053864035E-2</v>
      </c>
      <c r="K479" s="10">
        <f t="shared" si="80"/>
        <v>0.32005886936061895</v>
      </c>
      <c r="L479" s="10">
        <f t="shared" si="81"/>
        <v>2.0487417387940351E-2</v>
      </c>
      <c r="R479" s="10">
        <f t="shared" si="82"/>
        <v>8.7439656999153695E-2</v>
      </c>
      <c r="S479" s="10">
        <f t="shared" si="83"/>
        <v>5.5971351544754988E-3</v>
      </c>
      <c r="Y479" s="10">
        <f t="shared" si="84"/>
        <v>6.5571796453032741E-3</v>
      </c>
      <c r="Z479" s="10">
        <f t="shared" si="85"/>
        <v>2.716657763596652E-3</v>
      </c>
      <c r="AA479" s="10">
        <f t="shared" si="86"/>
        <v>4.894115780852428E-4</v>
      </c>
    </row>
    <row r="480" spans="1:27">
      <c r="A480" s="66">
        <v>23.4</v>
      </c>
      <c r="B480" s="10">
        <f t="shared" si="77"/>
        <v>0.95994671962969658</v>
      </c>
      <c r="C480" s="10">
        <f t="shared" si="78"/>
        <v>0.20531449072292365</v>
      </c>
      <c r="D480" s="66">
        <f t="shared" si="87"/>
        <v>2</v>
      </c>
      <c r="E480" s="10">
        <f t="shared" si="79"/>
        <v>6.5696990620637448E-3</v>
      </c>
      <c r="K480" s="10">
        <f t="shared" si="80"/>
        <v>0.31927903471487534</v>
      </c>
      <c r="L480" s="10">
        <f t="shared" si="81"/>
        <v>1.0216362067369355E-2</v>
      </c>
      <c r="R480" s="10">
        <f t="shared" si="82"/>
        <v>8.6984585117189095E-2</v>
      </c>
      <c r="S480" s="10">
        <f t="shared" si="83"/>
        <v>2.7833522380531937E-3</v>
      </c>
      <c r="Y480" s="10">
        <f t="shared" si="84"/>
        <v>3.2618702191673558E-3</v>
      </c>
      <c r="Z480" s="10">
        <f t="shared" si="85"/>
        <v>1.3488544171304869E-3</v>
      </c>
      <c r="AA480" s="10">
        <f t="shared" si="86"/>
        <v>2.421087396620568E-4</v>
      </c>
    </row>
    <row r="481" spans="1:27">
      <c r="A481" s="66">
        <v>23.45</v>
      </c>
      <c r="B481" s="10">
        <f t="shared" si="77"/>
        <v>0.9597211885223651</v>
      </c>
      <c r="C481" s="10">
        <f t="shared" si="78"/>
        <v>0.20462109918483939</v>
      </c>
      <c r="D481" s="66">
        <f t="shared" si="87"/>
        <v>4</v>
      </c>
      <c r="E481" s="10">
        <f t="shared" si="79"/>
        <v>1.3091946967095121E-2</v>
      </c>
      <c r="K481" s="10">
        <f t="shared" si="80"/>
        <v>0.31850110016356098</v>
      </c>
      <c r="L481" s="10">
        <f t="shared" si="81"/>
        <v>2.0378150292976904E-2</v>
      </c>
      <c r="R481" s="10">
        <f t="shared" si="82"/>
        <v>8.6531881616172632E-2</v>
      </c>
      <c r="S481" s="10">
        <f t="shared" si="83"/>
        <v>5.5364320179833188E-3</v>
      </c>
      <c r="Y481" s="10">
        <f t="shared" si="84"/>
        <v>6.4904632876115363E-3</v>
      </c>
      <c r="Z481" s="10">
        <f t="shared" si="85"/>
        <v>2.678888578876628E-3</v>
      </c>
      <c r="AA481" s="10">
        <f t="shared" si="86"/>
        <v>4.7907787995612029E-4</v>
      </c>
    </row>
    <row r="482" spans="1:27">
      <c r="A482" s="66">
        <v>23.5</v>
      </c>
      <c r="B482" s="10">
        <f t="shared" si="77"/>
        <v>0.95949445071791062</v>
      </c>
      <c r="C482" s="10">
        <f t="shared" si="78"/>
        <v>0.20393004938027526</v>
      </c>
      <c r="D482" s="66">
        <f t="shared" si="87"/>
        <v>2</v>
      </c>
      <c r="E482" s="10">
        <f t="shared" si="79"/>
        <v>6.5223250238334541E-3</v>
      </c>
      <c r="K482" s="10">
        <f t="shared" si="80"/>
        <v>0.31772506107702925</v>
      </c>
      <c r="L482" s="10">
        <f t="shared" si="81"/>
        <v>1.0161847765247294E-2</v>
      </c>
      <c r="R482" s="10">
        <f t="shared" si="82"/>
        <v>8.6081534170077384E-2</v>
      </c>
      <c r="S482" s="10">
        <f t="shared" si="83"/>
        <v>2.7531584781824488E-3</v>
      </c>
      <c r="Y482" s="10">
        <f t="shared" si="84"/>
        <v>3.2286737018686696E-3</v>
      </c>
      <c r="Z482" s="10">
        <f t="shared" si="85"/>
        <v>1.3300980641845614E-3</v>
      </c>
      <c r="AA482" s="10">
        <f t="shared" si="86"/>
        <v>2.3699610561530072E-4</v>
      </c>
    </row>
    <row r="483" spans="1:27">
      <c r="A483" s="66">
        <v>23.55</v>
      </c>
      <c r="B483" s="10">
        <f t="shared" si="77"/>
        <v>0.95926649971444378</v>
      </c>
      <c r="C483" s="10">
        <f t="shared" si="78"/>
        <v>0.20324133340068959</v>
      </c>
      <c r="D483" s="66">
        <f t="shared" si="87"/>
        <v>4</v>
      </c>
      <c r="E483" s="10">
        <f t="shared" si="79"/>
        <v>1.2997506832571719E-2</v>
      </c>
      <c r="K483" s="10">
        <f t="shared" si="80"/>
        <v>0.31695091283691373</v>
      </c>
      <c r="L483" s="10">
        <f t="shared" si="81"/>
        <v>2.0269359515890935E-2</v>
      </c>
      <c r="R483" s="10">
        <f t="shared" si="82"/>
        <v>8.5633530517026005E-2</v>
      </c>
      <c r="S483" s="10">
        <f t="shared" si="83"/>
        <v>5.4763584718171693E-3</v>
      </c>
      <c r="Y483" s="10">
        <f t="shared" si="84"/>
        <v>6.4243920011812158E-3</v>
      </c>
      <c r="Z483" s="10">
        <f t="shared" si="85"/>
        <v>2.6416306195364498E-3</v>
      </c>
      <c r="AA483" s="10">
        <f t="shared" si="86"/>
        <v>4.6895991031852945E-4</v>
      </c>
    </row>
    <row r="484" spans="1:27">
      <c r="A484" s="66">
        <v>23.6</v>
      </c>
      <c r="B484" s="10">
        <f t="shared" si="77"/>
        <v>0.95903732897840599</v>
      </c>
      <c r="C484" s="10">
        <f t="shared" si="78"/>
        <v>0.20255494336424945</v>
      </c>
      <c r="D484" s="66">
        <f t="shared" si="87"/>
        <v>2</v>
      </c>
      <c r="E484" s="10">
        <f t="shared" si="79"/>
        <v>6.4752583951807373E-3</v>
      </c>
      <c r="K484" s="10">
        <f t="shared" si="80"/>
        <v>0.31617865083610092</v>
      </c>
      <c r="L484" s="10">
        <f t="shared" si="81"/>
        <v>1.0107570959261677E-2</v>
      </c>
      <c r="R484" s="10">
        <f t="shared" si="82"/>
        <v>8.5187858458957016E-2</v>
      </c>
      <c r="S484" s="10">
        <f t="shared" si="83"/>
        <v>2.7232778745956217E-3</v>
      </c>
      <c r="Y484" s="10">
        <f t="shared" si="84"/>
        <v>3.1957981491295114E-3</v>
      </c>
      <c r="Z484" s="10">
        <f t="shared" si="85"/>
        <v>1.311595597504715E-3</v>
      </c>
      <c r="AA484" s="10">
        <f t="shared" si="86"/>
        <v>2.3199021012546112E-4</v>
      </c>
    </row>
    <row r="485" spans="1:27">
      <c r="A485" s="66">
        <v>23.65</v>
      </c>
      <c r="B485" s="10">
        <f t="shared" si="77"/>
        <v>0.95880693194445676</v>
      </c>
      <c r="C485" s="10">
        <f t="shared" si="78"/>
        <v>0.20187087141574081</v>
      </c>
      <c r="D485" s="66">
        <f t="shared" si="87"/>
        <v>4</v>
      </c>
      <c r="E485" s="10">
        <f t="shared" si="79"/>
        <v>1.2903679391405361E-2</v>
      </c>
      <c r="K485" s="10">
        <f t="shared" si="80"/>
        <v>0.3154082704787029</v>
      </c>
      <c r="L485" s="10">
        <f t="shared" si="81"/>
        <v>2.016104240850617E-2</v>
      </c>
      <c r="R485" s="10">
        <f t="shared" si="82"/>
        <v>8.4744505861292688E-2</v>
      </c>
      <c r="S485" s="10">
        <f t="shared" si="83"/>
        <v>5.4169079776010057E-3</v>
      </c>
      <c r="Y485" s="10">
        <f t="shared" si="84"/>
        <v>6.3589595171147139E-3</v>
      </c>
      <c r="Z485" s="10">
        <f t="shared" si="85"/>
        <v>2.604877003212336E-3</v>
      </c>
      <c r="AA485" s="10">
        <f t="shared" si="86"/>
        <v>4.5905318985789152E-4</v>
      </c>
    </row>
    <row r="486" spans="1:27">
      <c r="A486" s="66">
        <v>23.7</v>
      </c>
      <c r="B486" s="10">
        <f t="shared" si="77"/>
        <v>0.95857530201535912</v>
      </c>
      <c r="C486" s="10">
        <f t="shared" si="78"/>
        <v>0.2011891097264781</v>
      </c>
      <c r="D486" s="66">
        <f t="shared" si="87"/>
        <v>2</v>
      </c>
      <c r="E486" s="10">
        <f t="shared" si="79"/>
        <v>6.4284970539419993E-3</v>
      </c>
      <c r="K486" s="10">
        <f t="shared" si="80"/>
        <v>0.31463976718002934</v>
      </c>
      <c r="L486" s="10">
        <f t="shared" si="81"/>
        <v>1.005353032835463E-2</v>
      </c>
      <c r="R486" s="10">
        <f t="shared" si="82"/>
        <v>8.4303460652608547E-2</v>
      </c>
      <c r="S486" s="10">
        <f t="shared" si="83"/>
        <v>2.6937071752004727E-3</v>
      </c>
      <c r="Y486" s="10">
        <f t="shared" si="84"/>
        <v>3.1632404418508648E-3</v>
      </c>
      <c r="Z486" s="10">
        <f t="shared" si="85"/>
        <v>1.2933435991618781E-3</v>
      </c>
      <c r="AA486" s="10">
        <f t="shared" si="86"/>
        <v>2.2708883685416237E-4</v>
      </c>
    </row>
    <row r="487" spans="1:27">
      <c r="A487" s="66">
        <v>23.75</v>
      </c>
      <c r="B487" s="10">
        <f t="shared" si="77"/>
        <v>0.95834243256186635</v>
      </c>
      <c r="C487" s="10">
        <f t="shared" si="78"/>
        <v>0.20050965049421526</v>
      </c>
      <c r="D487" s="66">
        <f t="shared" si="87"/>
        <v>4</v>
      </c>
      <c r="E487" s="10">
        <f t="shared" si="79"/>
        <v>1.2810460413783725E-2</v>
      </c>
      <c r="K487" s="10">
        <f t="shared" si="80"/>
        <v>0.31387313636656095</v>
      </c>
      <c r="L487" s="10">
        <f t="shared" si="81"/>
        <v>2.0053196334756829E-2</v>
      </c>
      <c r="R487" s="10">
        <f t="shared" si="82"/>
        <v>8.3864710824304786E-2</v>
      </c>
      <c r="S487" s="10">
        <f t="shared" si="83"/>
        <v>5.3580740651641154E-3</v>
      </c>
      <c r="Y487" s="10">
        <f t="shared" si="84"/>
        <v>6.2941596277645501E-3</v>
      </c>
      <c r="Z487" s="10">
        <f t="shared" si="85"/>
        <v>2.568620940237755E-3</v>
      </c>
      <c r="AA487" s="10">
        <f t="shared" si="86"/>
        <v>4.4935333205019576E-4</v>
      </c>
    </row>
    <row r="488" spans="1:27">
      <c r="A488" s="66">
        <v>23.8</v>
      </c>
      <c r="B488" s="10">
        <f t="shared" si="77"/>
        <v>0.95810831692260867</v>
      </c>
      <c r="C488" s="10">
        <f t="shared" si="78"/>
        <v>0.19983248594305583</v>
      </c>
      <c r="D488" s="66">
        <f t="shared" si="87"/>
        <v>2</v>
      </c>
      <c r="E488" s="10">
        <f t="shared" si="79"/>
        <v>6.3820388924454028E-3</v>
      </c>
      <c r="K488" s="10">
        <f t="shared" si="80"/>
        <v>0.31310837347592202</v>
      </c>
      <c r="L488" s="10">
        <f t="shared" si="81"/>
        <v>9.9997245575130407E-3</v>
      </c>
      <c r="R488" s="10">
        <f t="shared" si="82"/>
        <v>8.3428244430279408E-2</v>
      </c>
      <c r="S488" s="10">
        <f t="shared" si="83"/>
        <v>2.6644431618300999E-3</v>
      </c>
      <c r="Y488" s="10">
        <f t="shared" si="84"/>
        <v>3.1309974914101421E-3</v>
      </c>
      <c r="Z488" s="10">
        <f t="shared" si="85"/>
        <v>1.2753386972626315E-3</v>
      </c>
      <c r="AA488" s="10">
        <f t="shared" si="86"/>
        <v>2.2228981537574809E-4</v>
      </c>
    </row>
    <row r="489" spans="1:27">
      <c r="A489" s="66">
        <v>23.85</v>
      </c>
      <c r="B489" s="10">
        <f t="shared" si="77"/>
        <v>0.95787294840398007</v>
      </c>
      <c r="C489" s="10">
        <f t="shared" si="78"/>
        <v>0.19915760832336438</v>
      </c>
      <c r="D489" s="66">
        <f t="shared" si="87"/>
        <v>4</v>
      </c>
      <c r="E489" s="10">
        <f t="shared" si="79"/>
        <v>1.2717845698785738E-2</v>
      </c>
      <c r="K489" s="10">
        <f t="shared" si="80"/>
        <v>0.31234547395685308</v>
      </c>
      <c r="L489" s="10">
        <f t="shared" si="81"/>
        <v>1.9945818670645963E-2</v>
      </c>
      <c r="R489" s="10">
        <f t="shared" si="82"/>
        <v>8.2994049586602683E-2</v>
      </c>
      <c r="S489" s="10">
        <f t="shared" si="83"/>
        <v>5.2998503318336821E-3</v>
      </c>
      <c r="Y489" s="10">
        <f t="shared" si="84"/>
        <v>6.2299861861403625E-3</v>
      </c>
      <c r="Z489" s="10">
        <f t="shared" si="85"/>
        <v>2.5328557323957544E-3</v>
      </c>
      <c r="AA489" s="10">
        <f t="shared" si="86"/>
        <v>4.3985604124177733E-4</v>
      </c>
    </row>
    <row r="490" spans="1:27">
      <c r="A490" s="66">
        <v>23.9</v>
      </c>
      <c r="B490" s="10">
        <f t="shared" si="77"/>
        <v>0.95763632028002477</v>
      </c>
      <c r="C490" s="10">
        <f t="shared" si="78"/>
        <v>0.19848500991167764</v>
      </c>
      <c r="D490" s="66">
        <f t="shared" si="87"/>
        <v>2</v>
      </c>
      <c r="E490" s="10">
        <f t="shared" si="79"/>
        <v>6.335881817418774E-3</v>
      </c>
      <c r="K490" s="10">
        <f t="shared" si="80"/>
        <v>0.31158443326918411</v>
      </c>
      <c r="L490" s="10">
        <f t="shared" si="81"/>
        <v>9.9461523377479474E-3</v>
      </c>
      <c r="R490" s="10">
        <f t="shared" si="82"/>
        <v>8.2562114471193854E-2</v>
      </c>
      <c r="S490" s="10">
        <f t="shared" si="83"/>
        <v>2.6354826498910756E-3</v>
      </c>
      <c r="Y490" s="10">
        <f t="shared" si="84"/>
        <v>3.0990662393661651E-3</v>
      </c>
      <c r="Z490" s="10">
        <f t="shared" si="85"/>
        <v>1.2575775653295835E-3</v>
      </c>
      <c r="AA490" s="10">
        <f t="shared" si="86"/>
        <v>2.1759102022715231E-4</v>
      </c>
    </row>
    <row r="491" spans="1:27">
      <c r="A491" s="66">
        <v>23.95</v>
      </c>
      <c r="B491" s="10">
        <f t="shared" si="77"/>
        <v>0.95739842579232493</v>
      </c>
      <c r="C491" s="10">
        <f t="shared" si="78"/>
        <v>0.19781468301061611</v>
      </c>
      <c r="D491" s="66">
        <f t="shared" si="87"/>
        <v>4</v>
      </c>
      <c r="E491" s="10">
        <f t="shared" si="79"/>
        <v>1.262583107419811E-2</v>
      </c>
      <c r="K491" s="10">
        <f t="shared" si="80"/>
        <v>0.31082524688380725</v>
      </c>
      <c r="L491" s="10">
        <f t="shared" si="81"/>
        <v>1.9838906804204522E-2</v>
      </c>
      <c r="R491" s="10">
        <f t="shared" si="82"/>
        <v>8.2132427323498958E-2</v>
      </c>
      <c r="S491" s="10">
        <f t="shared" si="83"/>
        <v>5.2422304417346962E-3</v>
      </c>
      <c r="Y491" s="10">
        <f t="shared" si="84"/>
        <v>6.1664331053217138E-3</v>
      </c>
      <c r="Z491" s="10">
        <f t="shared" si="85"/>
        <v>2.4975747716880856E-3</v>
      </c>
      <c r="AA491" s="10">
        <f t="shared" si="86"/>
        <v>4.3055711076880876E-4</v>
      </c>
    </row>
    <row r="492" spans="1:27">
      <c r="A492" s="66">
        <v>24</v>
      </c>
      <c r="B492" s="10">
        <f t="shared" si="77"/>
        <v>0.95715925814988756</v>
      </c>
      <c r="C492" s="10">
        <f t="shared" si="78"/>
        <v>0.19714661994879637</v>
      </c>
      <c r="D492" s="66">
        <f t="shared" si="87"/>
        <v>2</v>
      </c>
      <c r="E492" s="10">
        <f t="shared" si="79"/>
        <v>6.2900237498982594E-3</v>
      </c>
      <c r="K492" s="10">
        <f t="shared" si="80"/>
        <v>0.31006791028265024</v>
      </c>
      <c r="L492" s="10">
        <f t="shared" si="81"/>
        <v>9.8928123660742481E-3</v>
      </c>
      <c r="R492" s="10">
        <f t="shared" si="82"/>
        <v>8.1704976444170935E-2</v>
      </c>
      <c r="S492" s="10">
        <f t="shared" si="83"/>
        <v>2.6068224880152232E-3</v>
      </c>
      <c r="Y492" s="10">
        <f t="shared" si="84"/>
        <v>3.0674436571670027E-3</v>
      </c>
      <c r="Z492" s="10">
        <f t="shared" si="85"/>
        <v>1.2400569216900951E-3</v>
      </c>
      <c r="AA492" s="10">
        <f t="shared" si="86"/>
        <v>2.1299036997741888E-4</v>
      </c>
    </row>
    <row r="493" spans="1:27">
      <c r="A493" s="66">
        <v>24.05</v>
      </c>
      <c r="B493" s="10">
        <f t="shared" si="77"/>
        <v>0.95691881052903049</v>
      </c>
      <c r="C493" s="10">
        <f t="shared" si="78"/>
        <v>0.19648081308074181</v>
      </c>
      <c r="D493" s="66">
        <f t="shared" si="87"/>
        <v>4</v>
      </c>
      <c r="E493" s="10">
        <f t="shared" si="79"/>
        <v>1.253441239633335E-2</v>
      </c>
      <c r="K493" s="10">
        <f t="shared" si="80"/>
        <v>0.30931241895864831</v>
      </c>
      <c r="L493" s="10">
        <f t="shared" si="81"/>
        <v>1.9732458135451127E-2</v>
      </c>
      <c r="R493" s="10">
        <f t="shared" si="82"/>
        <v>8.1279750194750852E-2</v>
      </c>
      <c r="S493" s="10">
        <f t="shared" si="83"/>
        <v>5.1852081250971819E-3</v>
      </c>
      <c r="Y493" s="10">
        <f t="shared" si="84"/>
        <v>6.1034943578766477E-3</v>
      </c>
      <c r="Z493" s="10">
        <f t="shared" si="85"/>
        <v>2.4627715391209058E-3</v>
      </c>
      <c r="AA493" s="10">
        <f t="shared" si="86"/>
        <v>4.2145242111569137E-4</v>
      </c>
    </row>
    <row r="494" spans="1:27">
      <c r="A494" s="66">
        <v>24.1</v>
      </c>
      <c r="B494" s="10">
        <f t="shared" si="77"/>
        <v>0.95667707607327346</v>
      </c>
      <c r="C494" s="10">
        <f t="shared" si="78"/>
        <v>0.19581725478679771</v>
      </c>
      <c r="D494" s="66">
        <f t="shared" si="87"/>
        <v>2</v>
      </c>
      <c r="E494" s="10">
        <f t="shared" si="79"/>
        <v>6.2444626251376284E-3</v>
      </c>
      <c r="K494" s="10">
        <f t="shared" si="80"/>
        <v>0.30855876841571978</v>
      </c>
      <c r="L494" s="10">
        <f t="shared" si="81"/>
        <v>9.8397033454907037E-3</v>
      </c>
      <c r="R494" s="10">
        <f t="shared" si="82"/>
        <v>8.0856736997351186E-2</v>
      </c>
      <c r="S494" s="10">
        <f t="shared" si="83"/>
        <v>2.5784595577150538E-3</v>
      </c>
      <c r="Y494" s="10">
        <f t="shared" si="84"/>
        <v>3.036126745860649E-3</v>
      </c>
      <c r="Z494" s="10">
        <f t="shared" si="85"/>
        <v>1.2227735288732105E-3</v>
      </c>
      <c r="AA494" s="10">
        <f t="shared" si="86"/>
        <v>2.0848582631647256E-4</v>
      </c>
    </row>
    <row r="495" spans="1:27">
      <c r="A495" s="66">
        <v>24.15</v>
      </c>
      <c r="B495" s="10">
        <f t="shared" si="77"/>
        <v>0.95643404789322262</v>
      </c>
      <c r="C495" s="10">
        <f t="shared" si="78"/>
        <v>0.19515593747304186</v>
      </c>
      <c r="D495" s="66">
        <f t="shared" si="87"/>
        <v>4</v>
      </c>
      <c r="E495" s="10">
        <f t="shared" si="79"/>
        <v>1.2443585549849206E-2</v>
      </c>
      <c r="K495" s="10">
        <f t="shared" si="80"/>
        <v>0.30780695416873682</v>
      </c>
      <c r="L495" s="10">
        <f t="shared" si="81"/>
        <v>1.9626470076352577E-2</v>
      </c>
      <c r="R495" s="10">
        <f t="shared" si="82"/>
        <v>8.0435925334340477E-2</v>
      </c>
      <c r="S495" s="10">
        <f t="shared" si="83"/>
        <v>5.1287771775706857E-3</v>
      </c>
      <c r="Y495" s="10">
        <f t="shared" si="84"/>
        <v>6.0411639752859427E-3</v>
      </c>
      <c r="Z495" s="10">
        <f t="shared" si="85"/>
        <v>2.4284396035068189E-3</v>
      </c>
      <c r="AA495" s="10">
        <f t="shared" si="86"/>
        <v>4.1253793811154519E-4</v>
      </c>
    </row>
    <row r="496" spans="1:27">
      <c r="A496" s="66">
        <v>24.2</v>
      </c>
      <c r="B496" s="10">
        <f t="shared" si="77"/>
        <v>0.95618971906645944</v>
      </c>
      <c r="C496" s="10">
        <f t="shared" si="78"/>
        <v>0.1944968535711982</v>
      </c>
      <c r="D496" s="66">
        <f t="shared" si="87"/>
        <v>2</v>
      </c>
      <c r="E496" s="10">
        <f t="shared" si="79"/>
        <v>6.1991963925184766E-3</v>
      </c>
      <c r="K496" s="10">
        <f t="shared" si="80"/>
        <v>0.30705697174350011</v>
      </c>
      <c r="L496" s="10">
        <f t="shared" si="81"/>
        <v>9.7868239849605038E-3</v>
      </c>
      <c r="R496" s="10">
        <f t="shared" si="82"/>
        <v>8.0017303748029581E-2</v>
      </c>
      <c r="S496" s="10">
        <f t="shared" si="83"/>
        <v>2.5503907730427982E-3</v>
      </c>
      <c r="Y496" s="10">
        <f t="shared" si="84"/>
        <v>3.0051125358086265E-3</v>
      </c>
      <c r="Z496" s="10">
        <f t="shared" si="85"/>
        <v>1.2057241930147663E-3</v>
      </c>
      <c r="AA496" s="10">
        <f t="shared" si="86"/>
        <v>2.0407539316273757E-4</v>
      </c>
    </row>
    <row r="497" spans="1:27">
      <c r="A497" s="66">
        <v>24.25</v>
      </c>
      <c r="B497" s="10">
        <f t="shared" si="77"/>
        <v>0.95594408263743003</v>
      </c>
      <c r="C497" s="10">
        <f t="shared" si="78"/>
        <v>0.19383999553855077</v>
      </c>
      <c r="D497" s="66">
        <f t="shared" si="87"/>
        <v>4</v>
      </c>
      <c r="E497" s="10">
        <f t="shared" si="79"/>
        <v>1.2353346447569564E-2</v>
      </c>
      <c r="K497" s="10">
        <f t="shared" si="80"/>
        <v>0.30630881667671173</v>
      </c>
      <c r="L497" s="10">
        <f t="shared" si="81"/>
        <v>1.9520940050785061E-2</v>
      </c>
      <c r="R497" s="10">
        <f t="shared" si="82"/>
        <v>7.9600860840360069E-2</v>
      </c>
      <c r="S497" s="10">
        <f t="shared" si="83"/>
        <v>5.0729314595458486E-3</v>
      </c>
      <c r="Y497" s="10">
        <f t="shared" si="84"/>
        <v>5.9794360473730008E-3</v>
      </c>
      <c r="Z497" s="10">
        <f t="shared" si="85"/>
        <v>2.3945726202830564E-3</v>
      </c>
      <c r="AA497" s="10">
        <f t="shared" si="86"/>
        <v>4.0380971116399378E-4</v>
      </c>
    </row>
    <row r="498" spans="1:27">
      <c r="A498" s="66">
        <v>24.3</v>
      </c>
      <c r="B498" s="10">
        <f t="shared" si="77"/>
        <v>0.95569713161733183</v>
      </c>
      <c r="C498" s="10">
        <f t="shared" si="78"/>
        <v>0.19318535585785673</v>
      </c>
      <c r="D498" s="66">
        <f t="shared" si="87"/>
        <v>2</v>
      </c>
      <c r="E498" s="10">
        <f t="shared" si="79"/>
        <v>6.1542230154609063E-3</v>
      </c>
      <c r="K498" s="10">
        <f t="shared" si="80"/>
        <v>0.30556248451594886</v>
      </c>
      <c r="L498" s="10">
        <f t="shared" si="81"/>
        <v>9.7341729993919227E-3</v>
      </c>
      <c r="R498" s="10">
        <f t="shared" si="82"/>
        <v>7.9186585272593576E-2</v>
      </c>
      <c r="S498" s="10">
        <f t="shared" si="83"/>
        <v>2.5226130802529644E-3</v>
      </c>
      <c r="Y498" s="10">
        <f t="shared" si="84"/>
        <v>2.9743980864022617E-3</v>
      </c>
      <c r="Z498" s="10">
        <f t="shared" si="85"/>
        <v>1.1889057632704274E-3</v>
      </c>
      <c r="AA498" s="10">
        <f t="shared" si="86"/>
        <v>1.9975711578921131E-4</v>
      </c>
    </row>
    <row r="499" spans="1:27">
      <c r="A499" s="66">
        <v>24.35</v>
      </c>
      <c r="B499" s="10">
        <f t="shared" si="77"/>
        <v>0.95544885898400389</v>
      </c>
      <c r="C499" s="10">
        <f t="shared" si="78"/>
        <v>0.19253292703726069</v>
      </c>
      <c r="D499" s="66">
        <f t="shared" si="87"/>
        <v>4</v>
      </c>
      <c r="E499" s="10">
        <f t="shared" si="79"/>
        <v>1.2263691030306749E-2</v>
      </c>
      <c r="K499" s="10">
        <f t="shared" si="80"/>
        <v>0.30481797081963707</v>
      </c>
      <c r="L499" s="10">
        <f t="shared" si="81"/>
        <v>1.9415865494496112E-2</v>
      </c>
      <c r="R499" s="10">
        <f t="shared" si="82"/>
        <v>7.8774465765003326E-2</v>
      </c>
      <c r="S499" s="10">
        <f t="shared" si="83"/>
        <v>5.0176648954831276E-3</v>
      </c>
      <c r="Y499" s="10">
        <f t="shared" si="84"/>
        <v>5.9183047217393142E-3</v>
      </c>
      <c r="Z499" s="10">
        <f t="shared" si="85"/>
        <v>2.3611643303455576E-3</v>
      </c>
      <c r="AA499" s="10">
        <f t="shared" si="86"/>
        <v>3.9526387152949465E-4</v>
      </c>
    </row>
    <row r="500" spans="1:27">
      <c r="A500" s="66">
        <v>24.4</v>
      </c>
      <c r="B500" s="10">
        <f t="shared" si="77"/>
        <v>0.95519925768181535</v>
      </c>
      <c r="C500" s="10">
        <f t="shared" si="78"/>
        <v>0.19188270161020901</v>
      </c>
      <c r="D500" s="66">
        <f t="shared" si="87"/>
        <v>2</v>
      </c>
      <c r="E500" s="10">
        <f t="shared" si="79"/>
        <v>6.1095404713350969E-3</v>
      </c>
      <c r="K500" s="10">
        <f t="shared" si="80"/>
        <v>0.30407527115702421</v>
      </c>
      <c r="L500" s="10">
        <f t="shared" si="81"/>
        <v>9.6817491096195408E-3</v>
      </c>
      <c r="R500" s="10">
        <f t="shared" si="82"/>
        <v>7.8364491096566735E-2</v>
      </c>
      <c r="S500" s="10">
        <f t="shared" si="83"/>
        <v>2.4951234574684591E-3</v>
      </c>
      <c r="Y500" s="10">
        <f t="shared" si="84"/>
        <v>2.9439804857818394E-3</v>
      </c>
      <c r="Z500" s="10">
        <f t="shared" si="85"/>
        <v>1.1723151312366881E-3</v>
      </c>
      <c r="AA500" s="10">
        <f t="shared" si="86"/>
        <v>1.9552907996762186E-4</v>
      </c>
    </row>
    <row r="501" spans="1:27">
      <c r="A501" s="66">
        <v>24.45</v>
      </c>
      <c r="B501" s="10">
        <f t="shared" si="77"/>
        <v>0.95494832062155366</v>
      </c>
      <c r="C501" s="10">
        <f t="shared" si="78"/>
        <v>0.19123467213536394</v>
      </c>
      <c r="D501" s="66">
        <f t="shared" si="87"/>
        <v>4</v>
      </c>
      <c r="E501" s="10">
        <f t="shared" si="79"/>
        <v>1.2174615266685283E-2</v>
      </c>
      <c r="K501" s="10">
        <f t="shared" si="80"/>
        <v>0.30333438110815331</v>
      </c>
      <c r="L501" s="10">
        <f t="shared" si="81"/>
        <v>1.931124385506729E-2</v>
      </c>
      <c r="R501" s="10">
        <f t="shared" si="82"/>
        <v>7.7956650104660047E-2</v>
      </c>
      <c r="S501" s="10">
        <f t="shared" si="83"/>
        <v>4.9629714732484786E-3</v>
      </c>
      <c r="Y501" s="10">
        <f t="shared" si="84"/>
        <v>5.8577642032054652E-3</v>
      </c>
      <c r="Z501" s="10">
        <f t="shared" si="85"/>
        <v>2.3282085588987563E-3</v>
      </c>
      <c r="AA501" s="10">
        <f t="shared" si="86"/>
        <v>3.8689663061944085E-4</v>
      </c>
    </row>
    <row r="502" spans="1:27">
      <c r="A502" s="66">
        <v>24.5</v>
      </c>
      <c r="B502" s="10">
        <f t="shared" si="77"/>
        <v>0.95469604068031555</v>
      </c>
      <c r="C502" s="10">
        <f t="shared" si="78"/>
        <v>0.19058883119651895</v>
      </c>
      <c r="D502" s="66">
        <f t="shared" si="87"/>
        <v>2</v>
      </c>
      <c r="E502" s="10">
        <f t="shared" si="79"/>
        <v>6.065146751373522E-3</v>
      </c>
      <c r="K502" s="10">
        <f t="shared" si="80"/>
        <v>0.3025952962638373</v>
      </c>
      <c r="L502" s="10">
        <f t="shared" si="81"/>
        <v>9.6295510423857512E-3</v>
      </c>
      <c r="R502" s="10">
        <f t="shared" si="82"/>
        <v>7.7550931684754423E-2</v>
      </c>
      <c r="S502" s="10">
        <f t="shared" si="83"/>
        <v>2.4679189143501559E-3</v>
      </c>
      <c r="Y502" s="10">
        <f t="shared" si="84"/>
        <v>2.9138568505584599E-3</v>
      </c>
      <c r="Z502" s="10">
        <f t="shared" si="85"/>
        <v>1.1559492303796434E-3</v>
      </c>
      <c r="AA502" s="10">
        <f t="shared" si="86"/>
        <v>1.9138941113028225E-4</v>
      </c>
    </row>
    <row r="503" spans="1:27">
      <c r="A503" s="66">
        <v>24.55</v>
      </c>
      <c r="B503" s="10">
        <f t="shared" si="77"/>
        <v>0.9544424107013959</v>
      </c>
      <c r="C503" s="10">
        <f t="shared" si="78"/>
        <v>0.18994517140251363</v>
      </c>
      <c r="D503" s="66">
        <f t="shared" si="87"/>
        <v>4</v>
      </c>
      <c r="E503" s="10">
        <f t="shared" si="79"/>
        <v>1.2086115152966996E-2</v>
      </c>
      <c r="K503" s="10">
        <f t="shared" si="80"/>
        <v>0.30185801222563208</v>
      </c>
      <c r="L503" s="10">
        <f t="shared" si="81"/>
        <v>1.920707259187758E-2</v>
      </c>
      <c r="R503" s="10">
        <f t="shared" si="82"/>
        <v>7.7147324790113533E-2</v>
      </c>
      <c r="S503" s="10">
        <f t="shared" si="83"/>
        <v>4.9088452434559683E-3</v>
      </c>
      <c r="Y503" s="10">
        <f t="shared" si="84"/>
        <v>5.7978087532575854E-3</v>
      </c>
      <c r="Z503" s="10">
        <f t="shared" si="85"/>
        <v>2.2956992143208332E-3</v>
      </c>
      <c r="AA503" s="10">
        <f t="shared" si="86"/>
        <v>3.787042783413015E-4</v>
      </c>
    </row>
    <row r="504" spans="1:27">
      <c r="A504" s="66">
        <v>24.6</v>
      </c>
      <c r="B504" s="10">
        <f t="shared" si="77"/>
        <v>0.9541874234941784</v>
      </c>
      <c r="C504" s="10">
        <f t="shared" si="78"/>
        <v>0.18930368538714898</v>
      </c>
      <c r="D504" s="66">
        <f t="shared" si="87"/>
        <v>2</v>
      </c>
      <c r="E504" s="10">
        <f t="shared" si="79"/>
        <v>6.0210398605838747E-3</v>
      </c>
      <c r="K504" s="10">
        <f t="shared" si="80"/>
        <v>0.30112252460581046</v>
      </c>
      <c r="L504" s="10">
        <f t="shared" si="81"/>
        <v>9.5775775303226889E-3</v>
      </c>
      <c r="R504" s="10">
        <f t="shared" si="82"/>
        <v>7.6745818431492779E-2</v>
      </c>
      <c r="S504" s="10">
        <f t="shared" si="83"/>
        <v>2.4409964917699377E-3</v>
      </c>
      <c r="Y504" s="10">
        <f t="shared" si="84"/>
        <v>2.8840243255386514E-3</v>
      </c>
      <c r="Z504" s="10">
        <f t="shared" si="85"/>
        <v>1.1398050354714533E-3</v>
      </c>
      <c r="AA504" s="10">
        <f t="shared" si="86"/>
        <v>1.8733627354928649E-4</v>
      </c>
    </row>
    <row r="505" spans="1:27">
      <c r="A505" s="66">
        <v>24.65</v>
      </c>
      <c r="B505" s="10">
        <f t="shared" si="77"/>
        <v>0.95393107183402492</v>
      </c>
      <c r="C505" s="10">
        <f t="shared" si="78"/>
        <v>0.18866436580910353</v>
      </c>
      <c r="D505" s="66">
        <f t="shared" si="87"/>
        <v>4</v>
      </c>
      <c r="E505" s="10">
        <f t="shared" si="79"/>
        <v>1.1998186712877647E-2</v>
      </c>
      <c r="K505" s="10">
        <f t="shared" si="80"/>
        <v>0.3003888290273361</v>
      </c>
      <c r="L505" s="10">
        <f t="shared" si="81"/>
        <v>1.9103349176067624E-2</v>
      </c>
      <c r="R505" s="10">
        <f t="shared" si="82"/>
        <v>7.6346401676840245E-2</v>
      </c>
      <c r="S505" s="10">
        <f t="shared" si="83"/>
        <v>4.8552803188172799E-3</v>
      </c>
      <c r="Y505" s="10">
        <f t="shared" si="84"/>
        <v>5.7384326894992796E-3</v>
      </c>
      <c r="Z505" s="10">
        <f t="shared" si="85"/>
        <v>2.2636302870442737E-3</v>
      </c>
      <c r="AA505" s="10">
        <f t="shared" si="86"/>
        <v>3.70683181474081E-4</v>
      </c>
    </row>
    <row r="506" spans="1:27">
      <c r="A506" s="66">
        <v>24.7</v>
      </c>
      <c r="B506" s="10">
        <f t="shared" si="77"/>
        <v>0.95367334846216767</v>
      </c>
      <c r="C506" s="10">
        <f t="shared" si="78"/>
        <v>0.18802720535184869</v>
      </c>
      <c r="D506" s="66">
        <f t="shared" si="87"/>
        <v>2</v>
      </c>
      <c r="E506" s="10">
        <f t="shared" si="79"/>
        <v>5.9772178176627057E-3</v>
      </c>
      <c r="K506" s="10">
        <f t="shared" si="80"/>
        <v>0.29965692112383752</v>
      </c>
      <c r="L506" s="10">
        <f t="shared" si="81"/>
        <v>9.5258273119344615E-3</v>
      </c>
      <c r="R506" s="10">
        <f t="shared" si="82"/>
        <v>7.5949063650998669E-2</v>
      </c>
      <c r="S506" s="10">
        <f t="shared" si="83"/>
        <v>2.4143532614871407E-3</v>
      </c>
      <c r="Y506" s="10">
        <f t="shared" si="84"/>
        <v>2.8544800834516422E-3</v>
      </c>
      <c r="Z506" s="10">
        <f t="shared" si="85"/>
        <v>1.1238795620343944E-3</v>
      </c>
      <c r="AA506" s="10">
        <f t="shared" si="86"/>
        <v>1.8336786953268309E-4</v>
      </c>
    </row>
    <row r="507" spans="1:27">
      <c r="A507" s="66">
        <v>24.75</v>
      </c>
      <c r="B507" s="10">
        <f t="shared" si="77"/>
        <v>0.9534142460855991</v>
      </c>
      <c r="C507" s="10">
        <f t="shared" si="78"/>
        <v>0.18739219672356563</v>
      </c>
      <c r="D507" s="66">
        <f t="shared" si="87"/>
        <v>4</v>
      </c>
      <c r="E507" s="10">
        <f t="shared" si="79"/>
        <v>1.1910825997434841E-2</v>
      </c>
      <c r="K507" s="10">
        <f t="shared" si="80"/>
        <v>0.29892679653958182</v>
      </c>
      <c r="L507" s="10">
        <f t="shared" si="81"/>
        <v>1.900007109050458E-2</v>
      </c>
      <c r="R507" s="10">
        <f t="shared" si="82"/>
        <v>7.5553793535409738E-2</v>
      </c>
      <c r="S507" s="10">
        <f t="shared" si="83"/>
        <v>4.8022708734979797E-3</v>
      </c>
      <c r="Y507" s="10">
        <f t="shared" si="84"/>
        <v>5.6796303851088534E-3</v>
      </c>
      <c r="Z507" s="10">
        <f t="shared" si="85"/>
        <v>2.2319958484514697E-3</v>
      </c>
      <c r="AA507" s="10">
        <f t="shared" si="86"/>
        <v>3.6282978207737812E-4</v>
      </c>
    </row>
    <row r="508" spans="1:27">
      <c r="A508" s="66">
        <v>24.8</v>
      </c>
      <c r="B508" s="10">
        <f t="shared" si="77"/>
        <v>0.9531537573769634</v>
      </c>
      <c r="C508" s="10">
        <f t="shared" si="78"/>
        <v>0.18675933265706154</v>
      </c>
      <c r="D508" s="66">
        <f t="shared" si="87"/>
        <v>2</v>
      </c>
      <c r="E508" s="10">
        <f t="shared" si="79"/>
        <v>5.9336786549097483E-3</v>
      </c>
      <c r="K508" s="10">
        <f t="shared" si="80"/>
        <v>0.29819845092944952</v>
      </c>
      <c r="L508" s="10">
        <f t="shared" si="81"/>
        <v>9.4742991315798289E-3</v>
      </c>
      <c r="R508" s="10">
        <f t="shared" si="82"/>
        <v>7.516058056781931E-2</v>
      </c>
      <c r="S508" s="10">
        <f t="shared" si="83"/>
        <v>2.3879863258283655E-3</v>
      </c>
      <c r="Y508" s="10">
        <f t="shared" si="84"/>
        <v>2.8252213246793339E-3</v>
      </c>
      <c r="Z508" s="10">
        <f t="shared" si="85"/>
        <v>1.1081698657923952E-3</v>
      </c>
      <c r="AA508" s="10">
        <f t="shared" si="86"/>
        <v>1.7948243863727368E-4</v>
      </c>
    </row>
    <row r="509" spans="1:27">
      <c r="A509" s="66">
        <v>24.85</v>
      </c>
      <c r="B509" s="10">
        <f t="shared" si="77"/>
        <v>0.95289187497444905</v>
      </c>
      <c r="C509" s="10">
        <f t="shared" si="78"/>
        <v>0.18612860590968633</v>
      </c>
      <c r="D509" s="66">
        <f t="shared" si="87"/>
        <v>4</v>
      </c>
      <c r="E509" s="10">
        <f t="shared" si="79"/>
        <v>1.1824029084777421E-2</v>
      </c>
      <c r="K509" s="10">
        <f t="shared" si="80"/>
        <v>0.29747187995890767</v>
      </c>
      <c r="L509" s="10">
        <f t="shared" si="81"/>
        <v>1.8897235829747849E-2</v>
      </c>
      <c r="R509" s="10">
        <f t="shared" si="82"/>
        <v>7.4769414041984394E-2</v>
      </c>
      <c r="S509" s="10">
        <f t="shared" si="83"/>
        <v>4.7498111424804932E-3</v>
      </c>
      <c r="Y509" s="10">
        <f t="shared" si="84"/>
        <v>5.6213962683019213E-3</v>
      </c>
      <c r="Z509" s="10">
        <f t="shared" si="85"/>
        <v>2.2007900497852057E-3</v>
      </c>
      <c r="AA509" s="10">
        <f t="shared" si="86"/>
        <v>3.551405959333549E-4</v>
      </c>
    </row>
    <row r="510" spans="1:27">
      <c r="A510" s="66">
        <v>24.9</v>
      </c>
      <c r="B510" s="10">
        <f t="shared" si="77"/>
        <v>0.95262859148167989</v>
      </c>
      <c r="C510" s="10">
        <f t="shared" si="78"/>
        <v>0.18550000926325017</v>
      </c>
      <c r="D510" s="66">
        <f t="shared" si="87"/>
        <v>2</v>
      </c>
      <c r="E510" s="10">
        <f t="shared" si="79"/>
        <v>5.8904204181429521E-3</v>
      </c>
      <c r="K510" s="10">
        <f t="shared" si="80"/>
        <v>0.29674707930398486</v>
      </c>
      <c r="L510" s="10">
        <f t="shared" si="81"/>
        <v>9.4229917394552491E-3</v>
      </c>
      <c r="R510" s="10">
        <f t="shared" si="82"/>
        <v>7.4380283307381834E-2</v>
      </c>
      <c r="S510" s="10">
        <f t="shared" si="83"/>
        <v>2.3618928173706486E-3</v>
      </c>
      <c r="Y510" s="10">
        <f t="shared" si="84"/>
        <v>2.7962452769889211E-3</v>
      </c>
      <c r="Z510" s="10">
        <f t="shared" si="85"/>
        <v>1.0926730421299555E-3</v>
      </c>
      <c r="AA510" s="10">
        <f t="shared" si="86"/>
        <v>1.756782568976991E-4</v>
      </c>
    </row>
    <row r="511" spans="1:27">
      <c r="A511" s="66">
        <v>24.95</v>
      </c>
      <c r="B511" s="10">
        <f t="shared" si="77"/>
        <v>0.95236389946760813</v>
      </c>
      <c r="C511" s="10">
        <f t="shared" si="78"/>
        <v>0.18487353552394029</v>
      </c>
      <c r="D511" s="66">
        <f t="shared" si="87"/>
        <v>4</v>
      </c>
      <c r="E511" s="10">
        <f t="shared" si="79"/>
        <v>1.173779207999621E-2</v>
      </c>
      <c r="K511" s="10">
        <f t="shared" si="80"/>
        <v>0.29602404465124499</v>
      </c>
      <c r="L511" s="10">
        <f t="shared" si="81"/>
        <v>1.8794840900015534E-2</v>
      </c>
      <c r="R511" s="10">
        <f t="shared" si="82"/>
        <v>7.3993177768917964E-2</v>
      </c>
      <c r="S511" s="10">
        <f t="shared" si="83"/>
        <v>4.6978954209337762E-3</v>
      </c>
      <c r="Y511" s="10">
        <f t="shared" si="84"/>
        <v>5.563724821799244E-3</v>
      </c>
      <c r="Z511" s="10">
        <f t="shared" si="85"/>
        <v>2.170007121073804E-3</v>
      </c>
      <c r="AA511" s="10">
        <f t="shared" si="86"/>
        <v>3.4761221102093859E-4</v>
      </c>
    </row>
    <row r="512" spans="1:27">
      <c r="A512" s="66">
        <v>25</v>
      </c>
      <c r="B512" s="10">
        <f t="shared" si="77"/>
        <v>0.95209779146640805</v>
      </c>
      <c r="C512" s="10">
        <f t="shared" si="78"/>
        <v>0.18424917752223957</v>
      </c>
      <c r="D512" s="66">
        <v>1</v>
      </c>
      <c r="E512" s="10">
        <f t="shared" si="79"/>
        <v>2.9237205833071074E-3</v>
      </c>
      <c r="K512" s="10">
        <f t="shared" si="80"/>
        <v>0.29530277169776209</v>
      </c>
      <c r="L512" s="10">
        <f t="shared" si="81"/>
        <v>4.6859519457891369E-3</v>
      </c>
      <c r="R512" s="10">
        <f t="shared" si="82"/>
        <v>7.3608086886640473E-2</v>
      </c>
      <c r="S512" s="10">
        <f t="shared" si="83"/>
        <v>1.1680349493139645E-3</v>
      </c>
      <c r="Y512" s="10">
        <f t="shared" si="84"/>
        <v>1.3837745976340535E-3</v>
      </c>
      <c r="Z512" s="10">
        <f t="shared" si="85"/>
        <v>5.3869311277917708E-4</v>
      </c>
      <c r="AA512" s="10">
        <f t="shared" si="86"/>
        <v>8.5976818035735008E-5</v>
      </c>
    </row>
    <row r="513" spans="2:27">
      <c r="B513" s="66"/>
      <c r="C513" s="4"/>
      <c r="D513" s="66"/>
      <c r="K513" s="8"/>
      <c r="L513" s="4"/>
      <c r="R513" s="8"/>
      <c r="S513" s="4"/>
      <c r="X513" s="66" t="s">
        <v>355</v>
      </c>
      <c r="Y513" s="10">
        <f>SUM(Y12:Y512)</f>
        <v>9.2823623732829041</v>
      </c>
      <c r="Z513" s="10">
        <f>SUM(Z12:Z512)</f>
        <v>7.0973186983169532</v>
      </c>
      <c r="AA513" s="10">
        <f>SUM(AA12:AA512)</f>
        <v>4.7479006861606257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15"/>
  <sheetViews>
    <sheetView zoomScale="125" zoomScaleNormal="125" zoomScalePageLayoutView="125" workbookViewId="0"/>
  </sheetViews>
  <sheetFormatPr baseColWidth="10" defaultRowHeight="12" x14ac:dyDescent="0"/>
  <cols>
    <col min="3" max="3" width="10.83203125" style="25"/>
  </cols>
  <sheetData>
    <row r="1" spans="1:19" ht="15">
      <c r="A1" s="70" t="s">
        <v>453</v>
      </c>
      <c r="H1" s="66"/>
      <c r="I1" s="66"/>
      <c r="J1" s="66"/>
      <c r="K1" s="66"/>
      <c r="L1" s="66"/>
      <c r="N1" s="5"/>
      <c r="P1" s="12"/>
    </row>
    <row r="2" spans="1:19">
      <c r="C2"/>
      <c r="H2" s="66"/>
      <c r="I2" s="66"/>
      <c r="J2" s="66"/>
      <c r="K2" s="66"/>
      <c r="L2" s="66"/>
      <c r="N2" s="5"/>
      <c r="P2" s="12"/>
    </row>
    <row r="3" spans="1:19">
      <c r="A3" s="154" t="s">
        <v>10</v>
      </c>
      <c r="B3" s="93">
        <f>3*(10^-6)</f>
        <v>3.0000000000000001E-6</v>
      </c>
      <c r="C3"/>
      <c r="H3" s="66"/>
      <c r="I3" s="66"/>
      <c r="J3" s="66"/>
      <c r="K3" s="66"/>
      <c r="L3" s="66"/>
      <c r="N3" s="5"/>
      <c r="P3" s="12"/>
    </row>
    <row r="4" spans="1:19">
      <c r="A4" s="52" t="s">
        <v>24</v>
      </c>
      <c r="B4" s="51">
        <v>1.125</v>
      </c>
      <c r="C4"/>
      <c r="H4" s="66"/>
      <c r="I4" s="66"/>
      <c r="J4" s="66"/>
      <c r="K4" s="66"/>
      <c r="L4" s="66"/>
      <c r="N4" s="5"/>
      <c r="P4" s="12"/>
    </row>
    <row r="5" spans="1:19">
      <c r="A5" s="52" t="s">
        <v>74</v>
      </c>
      <c r="B5" s="160">
        <v>0.05</v>
      </c>
      <c r="C5"/>
      <c r="H5" s="66"/>
      <c r="I5" s="66"/>
      <c r="J5" s="66"/>
      <c r="K5" s="66"/>
      <c r="L5" s="66"/>
      <c r="N5" s="5"/>
      <c r="P5" s="12"/>
    </row>
    <row r="6" spans="1:19">
      <c r="A6" s="154" t="s">
        <v>82</v>
      </c>
      <c r="B6" s="155">
        <v>50</v>
      </c>
      <c r="C6" s="153"/>
      <c r="H6" s="66"/>
      <c r="I6" s="66"/>
      <c r="J6" s="66"/>
      <c r="K6" s="66"/>
      <c r="L6" s="66"/>
      <c r="N6" s="5"/>
      <c r="P6" s="12"/>
    </row>
    <row r="7" spans="1:19">
      <c r="A7" s="154" t="s">
        <v>101</v>
      </c>
      <c r="B7" s="155">
        <v>550</v>
      </c>
      <c r="C7" s="153"/>
      <c r="H7" s="66"/>
      <c r="I7" s="66"/>
      <c r="J7" s="66"/>
      <c r="K7" s="66"/>
      <c r="L7" s="66"/>
      <c r="N7" s="5"/>
      <c r="P7" s="12"/>
    </row>
    <row r="8" spans="1:19">
      <c r="A8" s="154" t="s">
        <v>371</v>
      </c>
      <c r="B8" s="155">
        <v>200000</v>
      </c>
      <c r="C8" s="153"/>
      <c r="H8" s="66"/>
      <c r="I8" s="66"/>
      <c r="J8" s="66"/>
      <c r="K8" s="66"/>
      <c r="L8" s="66"/>
      <c r="N8" s="5"/>
      <c r="P8" s="12"/>
    </row>
    <row r="9" spans="1:19">
      <c r="A9" s="164" t="s">
        <v>25</v>
      </c>
      <c r="B9" s="77">
        <f>EXP(-B$3/LN(B4))</f>
        <v>0.9999745297633249</v>
      </c>
      <c r="C9" s="153"/>
      <c r="H9" s="66"/>
      <c r="I9" s="66"/>
      <c r="J9" s="66"/>
      <c r="K9" s="66"/>
      <c r="L9" s="66"/>
      <c r="N9" s="5"/>
      <c r="P9" s="12"/>
    </row>
    <row r="10" spans="1:19">
      <c r="A10" s="148" t="s">
        <v>216</v>
      </c>
      <c r="B10" s="20">
        <f>1/(1+B5)</f>
        <v>0.95238095238095233</v>
      </c>
      <c r="C10" s="153"/>
      <c r="H10" s="66"/>
      <c r="I10" s="66"/>
      <c r="J10" s="66"/>
      <c r="K10" s="66"/>
      <c r="L10" s="66"/>
      <c r="N10" s="5"/>
      <c r="P10" s="12"/>
    </row>
    <row r="11" spans="1:19">
      <c r="A11" s="148" t="s">
        <v>228</v>
      </c>
      <c r="B11" s="20">
        <f>LN(1+B5)</f>
        <v>4.8790164169432049E-2</v>
      </c>
      <c r="C11" s="153"/>
      <c r="H11" s="66"/>
      <c r="I11" s="66"/>
      <c r="J11" s="66"/>
      <c r="K11" s="66"/>
      <c r="L11" s="66"/>
      <c r="N11" s="5"/>
      <c r="O11" s="13"/>
      <c r="P11" s="12"/>
    </row>
    <row r="12" spans="1:19">
      <c r="A12" s="148"/>
      <c r="B12" s="151"/>
      <c r="C12" s="153"/>
      <c r="H12" s="66"/>
      <c r="I12" s="66"/>
      <c r="J12" s="66"/>
      <c r="K12" s="66"/>
      <c r="L12" s="66"/>
      <c r="N12" s="5"/>
      <c r="P12" s="12"/>
    </row>
    <row r="13" spans="1:19">
      <c r="A13" s="152" t="s">
        <v>1</v>
      </c>
      <c r="B13" s="20"/>
      <c r="C13" s="153"/>
      <c r="E13" s="152" t="s">
        <v>374</v>
      </c>
      <c r="H13" s="152" t="s">
        <v>4</v>
      </c>
      <c r="I13" s="66"/>
      <c r="J13" s="66"/>
      <c r="K13" s="66" t="s">
        <v>120</v>
      </c>
      <c r="L13" s="66"/>
      <c r="N13" s="163" t="s">
        <v>177</v>
      </c>
      <c r="P13" s="12"/>
    </row>
    <row r="14" spans="1:19">
      <c r="A14" s="4" t="s">
        <v>368</v>
      </c>
      <c r="B14" s="10" t="s">
        <v>370</v>
      </c>
      <c r="C14" s="24" t="s">
        <v>370</v>
      </c>
      <c r="E14" s="60" t="s">
        <v>33</v>
      </c>
      <c r="F14" s="74">
        <f>AVERAGE(C16:C1015)</f>
        <v>-795.12009042971374</v>
      </c>
      <c r="H14" s="66"/>
      <c r="I14" s="66"/>
      <c r="J14" s="66"/>
      <c r="K14" s="66" t="s">
        <v>121</v>
      </c>
      <c r="L14" s="66" t="s">
        <v>75</v>
      </c>
      <c r="N14" s="5" t="s">
        <v>368</v>
      </c>
      <c r="O14" s="66" t="s">
        <v>370</v>
      </c>
      <c r="P14" s="12" t="s">
        <v>370</v>
      </c>
      <c r="R14" s="157" t="s">
        <v>33</v>
      </c>
      <c r="S14" s="158">
        <f>AVERAGE(P16:P1015)</f>
        <v>-932.74863902811285</v>
      </c>
    </row>
    <row r="15" spans="1:19">
      <c r="A15" s="4" t="s">
        <v>369</v>
      </c>
      <c r="B15" s="10" t="s">
        <v>372</v>
      </c>
      <c r="C15" s="24" t="s">
        <v>373</v>
      </c>
      <c r="E15" s="157" t="s">
        <v>364</v>
      </c>
      <c r="F15" s="158">
        <f>STDEV(C16:C1015)</f>
        <v>25266.857729227449</v>
      </c>
      <c r="H15" s="66" t="s">
        <v>0</v>
      </c>
      <c r="I15" s="66" t="s">
        <v>85</v>
      </c>
      <c r="J15" s="7" t="s">
        <v>84</v>
      </c>
      <c r="K15" s="66" t="s">
        <v>22</v>
      </c>
      <c r="L15" s="66" t="s">
        <v>86</v>
      </c>
      <c r="N15" s="5" t="s">
        <v>376</v>
      </c>
      <c r="O15" s="66" t="s">
        <v>377</v>
      </c>
      <c r="P15" s="12" t="s">
        <v>378</v>
      </c>
      <c r="R15" s="157" t="s">
        <v>364</v>
      </c>
      <c r="S15" s="158">
        <f>STDEV(P16:P1015)</f>
        <v>26234.068255970265</v>
      </c>
    </row>
    <row r="16" spans="1:19">
      <c r="A16" s="149">
        <v>1.6479995117038484E-3</v>
      </c>
      <c r="B16" s="150">
        <f>LN(1-LN(B$4)*(LN(1-A16)/(B$3*B$4^50)))/LN(B$4)</f>
        <v>1.4004193363426767</v>
      </c>
      <c r="C16" s="24">
        <f t="shared" ref="C16:C79" si="0">IF($B16&lt;15,B$8*(B$10^$B16)-B$7*(1-B$10^$B16)/B$11, -B$7*(1-B$10^15)/B$11)</f>
        <v>186046.55591064828</v>
      </c>
      <c r="E16" s="100" t="s">
        <v>34</v>
      </c>
      <c r="F16" s="156">
        <f>F15^2</f>
        <v>638414099.50902092</v>
      </c>
      <c r="H16" s="66">
        <v>0</v>
      </c>
      <c r="I16" s="10">
        <f t="shared" ref="I16:I79" si="1">B$10^H16</f>
        <v>1</v>
      </c>
      <c r="J16" s="10">
        <f>B$9^((B$4^B$6)*((B$4^H16)-1))</f>
        <v>1</v>
      </c>
      <c r="K16" s="66">
        <v>1</v>
      </c>
      <c r="L16" s="5">
        <f>I16*J16*K16*0.05/3</f>
        <v>1.6666666666666666E-2</v>
      </c>
      <c r="N16" s="5">
        <v>1.8254545873001918E-2</v>
      </c>
      <c r="O16" s="19">
        <f>EXP(N16)-1</f>
        <v>1.8422178561499081E-2</v>
      </c>
      <c r="P16" s="12">
        <f t="shared" ref="P16:P79" si="2">IF($B16&lt;15,B$8*((1+O16)^-$B16)-B$7*(1-(1+O16)^-$B16)/LN(1+O16), -B$7*(1-(1+O16)^-15)/LN(1+O16))</f>
        <v>194191.52585897522</v>
      </c>
      <c r="R16" s="165" t="s">
        <v>34</v>
      </c>
      <c r="S16" s="166">
        <f>S15^2</f>
        <v>688226337.25890672</v>
      </c>
    </row>
    <row r="17" spans="1:19">
      <c r="A17" s="149">
        <v>0.87566759239478742</v>
      </c>
      <c r="B17" s="150">
        <f t="shared" ref="B17:B80" si="3">LN(1-LN(B$4)*(LN(1-A17)/(B$3*B$4^50)))/LN(B$4)</f>
        <v>46.083959952042335</v>
      </c>
      <c r="C17" s="24">
        <f t="shared" si="0"/>
        <v>-5850.3717072712852</v>
      </c>
      <c r="E17" s="76" t="s">
        <v>365</v>
      </c>
      <c r="F17" s="159">
        <f>F14-F15*NORMSINV(0.95)/SQRT(1000)</f>
        <v>-2109.3716218835857</v>
      </c>
      <c r="H17" s="66">
        <v>0.05</v>
      </c>
      <c r="I17" s="10">
        <f t="shared" si="1"/>
        <v>0.99756346497348602</v>
      </c>
      <c r="J17" s="10">
        <f t="shared" ref="J17:J80" si="4">B$9^((B$4^B$6)*((B$4^H17)-1))</f>
        <v>0.99994567683992541</v>
      </c>
      <c r="K17" s="66">
        <v>4</v>
      </c>
      <c r="L17" s="5">
        <f>I17*J17*K17*0.05/3</f>
        <v>6.6500618278246257E-2</v>
      </c>
      <c r="N17" s="5">
        <v>3.7241944889625303E-2</v>
      </c>
      <c r="O17" s="19">
        <f t="shared" ref="O17:O80" si="5">EXP(N17)-1</f>
        <v>3.7944115735887518E-2</v>
      </c>
      <c r="P17" s="12">
        <f t="shared" si="2"/>
        <v>-6320.9387835678153</v>
      </c>
      <c r="R17" s="76" t="s">
        <v>365</v>
      </c>
      <c r="S17" s="159">
        <f>S14-S15*NORMSINV(0.95)/SQRT(1000)</f>
        <v>-2297.3094701041391</v>
      </c>
    </row>
    <row r="18" spans="1:19">
      <c r="A18" s="149">
        <v>0.37400433362834556</v>
      </c>
      <c r="B18" s="150">
        <f t="shared" si="3"/>
        <v>33.535160875326561</v>
      </c>
      <c r="C18" s="24">
        <f t="shared" si="0"/>
        <v>-5850.3717072712852</v>
      </c>
      <c r="E18" s="76" t="s">
        <v>366</v>
      </c>
      <c r="F18" s="159">
        <f>F14+NORMSINV(0.95)*F15/SQRT(1000)</f>
        <v>519.13144102415811</v>
      </c>
      <c r="H18" s="66">
        <v>0.1</v>
      </c>
      <c r="I18" s="10">
        <f t="shared" si="1"/>
        <v>0.99513286664990741</v>
      </c>
      <c r="J18" s="10">
        <f t="shared" si="4"/>
        <v>0.99989103579584515</v>
      </c>
      <c r="K18" s="66">
        <f>IF(K17=4,2,4)</f>
        <v>2</v>
      </c>
      <c r="L18" s="5">
        <f>I18*J18*K18*0.05/3</f>
        <v>3.3167481092968819E-2</v>
      </c>
      <c r="N18" s="5">
        <v>5.0375922407634791E-2</v>
      </c>
      <c r="O18" s="19">
        <f t="shared" si="5"/>
        <v>5.1666367028543325E-2</v>
      </c>
      <c r="P18" s="12">
        <f t="shared" si="2"/>
        <v>-5789.6558134449788</v>
      </c>
      <c r="R18" s="76" t="s">
        <v>366</v>
      </c>
      <c r="S18" s="159">
        <f>S14+NORMSINV(0.95)*S15/SQRT(1000)</f>
        <v>431.81219204791341</v>
      </c>
    </row>
    <row r="19" spans="1:19">
      <c r="A19" s="149">
        <v>0.74614703817865535</v>
      </c>
      <c r="B19" s="150">
        <f t="shared" si="3"/>
        <v>42.54485382480518</v>
      </c>
      <c r="C19" s="24">
        <f t="shared" si="0"/>
        <v>-5850.3717072712852</v>
      </c>
      <c r="H19" s="66">
        <v>0.15</v>
      </c>
      <c r="I19" s="10">
        <f t="shared" si="1"/>
        <v>0.99270819056427961</v>
      </c>
      <c r="J19" s="10">
        <f t="shared" si="4"/>
        <v>0.99983607502527794</v>
      </c>
      <c r="K19" s="66">
        <f t="shared" ref="K19:K82" si="6">IF(K18=4,2,4)</f>
        <v>4</v>
      </c>
      <c r="L19" s="5">
        <f t="shared" ref="L19:L82" si="7">I19*J19*K19*0.05/3</f>
        <v>6.6169697393282337E-2</v>
      </c>
      <c r="N19" s="5">
        <v>5.1357830850189204E-2</v>
      </c>
      <c r="O19" s="19">
        <f t="shared" si="5"/>
        <v>5.2699514258064184E-2</v>
      </c>
      <c r="P19" s="12">
        <f t="shared" si="2"/>
        <v>-5752.5087679589924</v>
      </c>
    </row>
    <row r="20" spans="1:19">
      <c r="A20" s="149">
        <v>0.84414197210608233</v>
      </c>
      <c r="B20" s="150">
        <f t="shared" si="3"/>
        <v>45.11437151185887</v>
      </c>
      <c r="C20" s="24">
        <f t="shared" si="0"/>
        <v>-5850.3717072712852</v>
      </c>
      <c r="H20" s="66">
        <v>0.2</v>
      </c>
      <c r="I20" s="10">
        <f t="shared" si="1"/>
        <v>0.99028942228686234</v>
      </c>
      <c r="J20" s="10">
        <f t="shared" si="4"/>
        <v>0.99978079267527276</v>
      </c>
      <c r="K20" s="66">
        <f t="shared" si="6"/>
        <v>2</v>
      </c>
      <c r="L20" s="5">
        <f t="shared" si="7"/>
        <v>3.3002411453063242E-2</v>
      </c>
      <c r="N20" s="5">
        <v>4.1913722677360057E-2</v>
      </c>
      <c r="O20" s="19">
        <f t="shared" si="5"/>
        <v>4.2804504488765716E-2</v>
      </c>
      <c r="P20" s="12">
        <f t="shared" si="2"/>
        <v>-6124.3706174076933</v>
      </c>
    </row>
    <row r="21" spans="1:19">
      <c r="A21" s="149">
        <v>0.9591967528305918</v>
      </c>
      <c r="B21" s="150">
        <f t="shared" si="3"/>
        <v>49.706162301844913</v>
      </c>
      <c r="C21" s="24">
        <f t="shared" si="0"/>
        <v>-5850.3717072712852</v>
      </c>
      <c r="H21" s="66">
        <v>0.25</v>
      </c>
      <c r="I21" s="10">
        <f t="shared" si="1"/>
        <v>0.98787654742307407</v>
      </c>
      <c r="J21" s="10">
        <f t="shared" si="4"/>
        <v>0.99972518688235201</v>
      </c>
      <c r="K21" s="66">
        <f t="shared" si="6"/>
        <v>4</v>
      </c>
      <c r="L21" s="5">
        <f t="shared" si="7"/>
        <v>6.5840337732615037E-2</v>
      </c>
      <c r="N21" s="5">
        <v>2.4318826442264255E-2</v>
      </c>
      <c r="O21" s="19">
        <f t="shared" si="5"/>
        <v>2.4616940793762643E-2</v>
      </c>
      <c r="P21" s="12">
        <f t="shared" si="2"/>
        <v>-6912.699946095946</v>
      </c>
    </row>
    <row r="22" spans="1:19">
      <c r="A22" s="149">
        <v>0.73021637623218483</v>
      </c>
      <c r="B22" s="150">
        <f t="shared" si="3"/>
        <v>42.161940395628996</v>
      </c>
      <c r="C22" s="24">
        <f t="shared" si="0"/>
        <v>-5850.3717072712852</v>
      </c>
      <c r="H22" s="66">
        <v>0.3</v>
      </c>
      <c r="I22" s="10">
        <f t="shared" si="1"/>
        <v>0.98546955161340599</v>
      </c>
      <c r="J22" s="10">
        <f t="shared" si="4"/>
        <v>0.99966925577245425</v>
      </c>
      <c r="K22" s="66">
        <f t="shared" si="6"/>
        <v>2</v>
      </c>
      <c r="L22" s="5">
        <f t="shared" si="7"/>
        <v>3.2838120441592927E-2</v>
      </c>
      <c r="N22" s="5">
        <v>4.9266145035413503E-2</v>
      </c>
      <c r="O22" s="19">
        <f t="shared" si="5"/>
        <v>5.0499898870991267E-2</v>
      </c>
      <c r="P22" s="12">
        <f t="shared" si="2"/>
        <v>-5832.0525596504649</v>
      </c>
    </row>
    <row r="23" spans="1:19">
      <c r="A23" s="149">
        <v>0.53862117374187446</v>
      </c>
      <c r="B23" s="150">
        <f t="shared" si="3"/>
        <v>37.729305170722206</v>
      </c>
      <c r="C23" s="24">
        <f t="shared" si="0"/>
        <v>-5850.3717072712852</v>
      </c>
      <c r="H23" s="66">
        <v>0.35</v>
      </c>
      <c r="I23" s="10">
        <f t="shared" si="1"/>
        <v>0.98306842053333687</v>
      </c>
      <c r="J23" s="10">
        <f t="shared" si="4"/>
        <v>0.99961299746087651</v>
      </c>
      <c r="K23" s="66">
        <f t="shared" si="6"/>
        <v>4</v>
      </c>
      <c r="L23" s="5">
        <f t="shared" si="7"/>
        <v>6.5512531370563898E-2</v>
      </c>
      <c r="N23" s="5">
        <v>3.798715744973015E-2</v>
      </c>
      <c r="O23" s="19">
        <f t="shared" si="5"/>
        <v>3.871789300608186E-2</v>
      </c>
      <c r="P23" s="12">
        <f t="shared" si="2"/>
        <v>-6288.9960969456242</v>
      </c>
    </row>
    <row r="24" spans="1:19">
      <c r="A24" s="149">
        <v>0.83840449232459491</v>
      </c>
      <c r="B24" s="150">
        <f t="shared" si="3"/>
        <v>44.948453450770707</v>
      </c>
      <c r="C24" s="24">
        <f t="shared" si="0"/>
        <v>-5850.3717072712852</v>
      </c>
      <c r="H24" s="66">
        <v>0.4</v>
      </c>
      <c r="I24" s="10">
        <f t="shared" si="1"/>
        <v>0.98067313989324767</v>
      </c>
      <c r="J24" s="10">
        <f t="shared" si="4"/>
        <v>0.99955641005221674</v>
      </c>
      <c r="K24" s="66">
        <f t="shared" si="6"/>
        <v>2</v>
      </c>
      <c r="L24" s="5">
        <f t="shared" si="7"/>
        <v>3.2674604104877665E-2</v>
      </c>
      <c r="N24" s="5">
        <v>2.9362183065255523E-2</v>
      </c>
      <c r="O24" s="19">
        <f t="shared" si="5"/>
        <v>2.9797502156554412E-2</v>
      </c>
      <c r="P24" s="12">
        <f t="shared" si="2"/>
        <v>-6672.9787121302334</v>
      </c>
    </row>
    <row r="25" spans="1:19">
      <c r="A25" s="149">
        <v>0.99612414929654836</v>
      </c>
      <c r="B25" s="150">
        <f t="shared" si="3"/>
        <v>54.378178386233095</v>
      </c>
      <c r="C25" s="24">
        <f t="shared" si="0"/>
        <v>-5850.3717072712852</v>
      </c>
      <c r="H25" s="66">
        <v>0.45</v>
      </c>
      <c r="I25" s="10">
        <f t="shared" si="1"/>
        <v>0.97828369543833626</v>
      </c>
      <c r="J25" s="10">
        <f t="shared" si="4"/>
        <v>0.99949949164031504</v>
      </c>
      <c r="K25" s="66">
        <f t="shared" si="6"/>
        <v>4</v>
      </c>
      <c r="L25" s="5">
        <f t="shared" si="7"/>
        <v>6.5186270418041731E-2</v>
      </c>
      <c r="N25" s="5">
        <v>1.6032963637495415E-2</v>
      </c>
      <c r="O25" s="19">
        <f t="shared" si="5"/>
        <v>1.6162181255798824E-2</v>
      </c>
      <c r="P25" s="12">
        <f t="shared" si="2"/>
        <v>-7332.9266907091633</v>
      </c>
    </row>
    <row r="26" spans="1:19">
      <c r="A26" s="149">
        <v>0.15607165746024965</v>
      </c>
      <c r="B26" s="150">
        <f t="shared" si="3"/>
        <v>25.197378861928584</v>
      </c>
      <c r="C26" s="24">
        <f t="shared" si="0"/>
        <v>-5850.3717072712852</v>
      </c>
      <c r="H26" s="66">
        <v>0.5</v>
      </c>
      <c r="I26" s="10">
        <f t="shared" si="1"/>
        <v>0.9759000729485332</v>
      </c>
      <c r="J26" s="10">
        <f t="shared" si="4"/>
        <v>0.99944224030819617</v>
      </c>
      <c r="K26" s="66">
        <f t="shared" si="6"/>
        <v>2</v>
      </c>
      <c r="L26" s="5">
        <f t="shared" si="7"/>
        <v>3.251185850748714E-2</v>
      </c>
      <c r="N26" s="5">
        <v>6.7655516383762007E-2</v>
      </c>
      <c r="O26" s="19">
        <f t="shared" si="5"/>
        <v>6.9996648668891881E-2</v>
      </c>
      <c r="P26" s="12">
        <f t="shared" si="2"/>
        <v>-5182.8046286093995</v>
      </c>
    </row>
    <row r="27" spans="1:19">
      <c r="A27" s="149">
        <v>0.86431470686971645</v>
      </c>
      <c r="B27" s="150">
        <f t="shared" si="3"/>
        <v>45.722071905597062</v>
      </c>
      <c r="C27" s="24">
        <f t="shared" si="0"/>
        <v>-5850.3717072712852</v>
      </c>
      <c r="H27" s="66">
        <v>0.55000000000000004</v>
      </c>
      <c r="I27" s="10">
        <f t="shared" si="1"/>
        <v>0.97352225823841643</v>
      </c>
      <c r="J27" s="10">
        <f t="shared" si="4"/>
        <v>0.99938465412800992</v>
      </c>
      <c r="K27" s="66">
        <f t="shared" si="6"/>
        <v>4</v>
      </c>
      <c r="L27" s="5">
        <f t="shared" si="7"/>
        <v>6.4861547022367932E-2</v>
      </c>
      <c r="N27" s="5">
        <v>5.1627213176412626E-2</v>
      </c>
      <c r="O27" s="19">
        <f t="shared" si="5"/>
        <v>5.2983131100996728E-2</v>
      </c>
      <c r="P27" s="12">
        <f t="shared" si="2"/>
        <v>-5742.3769899568715</v>
      </c>
    </row>
    <row r="28" spans="1:19">
      <c r="A28" s="149">
        <v>0.41300698873866998</v>
      </c>
      <c r="B28" s="150">
        <f t="shared" si="3"/>
        <v>34.607997666548734</v>
      </c>
      <c r="C28" s="24">
        <f t="shared" si="0"/>
        <v>-5850.3717072712852</v>
      </c>
      <c r="H28" s="66">
        <v>0.6</v>
      </c>
      <c r="I28" s="10">
        <f t="shared" si="1"/>
        <v>0.97115023715712756</v>
      </c>
      <c r="J28" s="10">
        <f t="shared" si="4"/>
        <v>0.99932673116097304</v>
      </c>
      <c r="K28" s="66">
        <f t="shared" si="6"/>
        <v>2</v>
      </c>
      <c r="L28" s="5">
        <f t="shared" si="7"/>
        <v>3.2349879732147868E-2</v>
      </c>
      <c r="N28" s="5">
        <v>6.0723387443555113E-2</v>
      </c>
      <c r="O28" s="19">
        <f t="shared" si="5"/>
        <v>6.2604943661143331E-2</v>
      </c>
      <c r="P28" s="12">
        <f t="shared" si="2"/>
        <v>-5414.7169695665671</v>
      </c>
    </row>
    <row r="29" spans="1:19">
      <c r="A29" s="149">
        <v>0.53334147160252698</v>
      </c>
      <c r="B29" s="150">
        <f t="shared" si="3"/>
        <v>37.604980297748682</v>
      </c>
      <c r="C29" s="24">
        <f t="shared" si="0"/>
        <v>-5850.3717072712852</v>
      </c>
      <c r="H29" s="66">
        <v>0.65</v>
      </c>
      <c r="I29" s="10">
        <f t="shared" si="1"/>
        <v>0.96878399558828676</v>
      </c>
      <c r="J29" s="10">
        <f t="shared" si="4"/>
        <v>0.99926846945730918</v>
      </c>
      <c r="K29" s="66">
        <f t="shared" si="6"/>
        <v>4</v>
      </c>
      <c r="L29" s="5">
        <f t="shared" si="7"/>
        <v>6.4538353367082926E-2</v>
      </c>
      <c r="N29" s="5">
        <v>4.3707449501322118E-2</v>
      </c>
      <c r="O29" s="19">
        <f t="shared" si="5"/>
        <v>4.4676689492873622E-2</v>
      </c>
      <c r="P29" s="12">
        <f t="shared" si="2"/>
        <v>-6051.1785928084773</v>
      </c>
    </row>
    <row r="30" spans="1:19">
      <c r="A30" s="149">
        <v>1.3000885036774804E-2</v>
      </c>
      <c r="B30" s="150">
        <f t="shared" si="3"/>
        <v>7.5132032086088243</v>
      </c>
      <c r="C30" s="24">
        <f t="shared" si="0"/>
        <v>135161.93687741697</v>
      </c>
      <c r="H30" s="66">
        <v>0.7</v>
      </c>
      <c r="I30" s="10">
        <f t="shared" si="1"/>
        <v>0.96642351944990978</v>
      </c>
      <c r="J30" s="10">
        <f t="shared" si="4"/>
        <v>0.99920986705618964</v>
      </c>
      <c r="K30" s="66">
        <f t="shared" si="6"/>
        <v>2</v>
      </c>
      <c r="L30" s="5">
        <f t="shared" si="7"/>
        <v>3.2188663879650643E-2</v>
      </c>
      <c r="N30" s="5">
        <v>7.6568805477232674E-2</v>
      </c>
      <c r="O30" s="19">
        <f t="shared" si="5"/>
        <v>7.9576468555890179E-2</v>
      </c>
      <c r="P30" s="12">
        <f t="shared" si="2"/>
        <v>109367.55860845737</v>
      </c>
    </row>
    <row r="31" spans="1:19">
      <c r="A31" s="149">
        <v>0.13144322031311992</v>
      </c>
      <c r="B31" s="150">
        <f t="shared" si="3"/>
        <v>23.708959464381682</v>
      </c>
      <c r="C31" s="24">
        <f t="shared" si="0"/>
        <v>-5850.3717072712852</v>
      </c>
      <c r="H31" s="66">
        <v>0.75</v>
      </c>
      <c r="I31" s="10">
        <f t="shared" si="1"/>
        <v>0.96406879469432305</v>
      </c>
      <c r="J31" s="10">
        <f t="shared" si="4"/>
        <v>0.9991509219856739</v>
      </c>
      <c r="K31" s="66">
        <f t="shared" si="6"/>
        <v>4</v>
      </c>
      <c r="L31" s="5">
        <f t="shared" si="7"/>
        <v>6.4216681671763351E-2</v>
      </c>
      <c r="N31" s="5">
        <v>6.7899198890823756E-2</v>
      </c>
      <c r="O31" s="19">
        <f t="shared" si="5"/>
        <v>7.0257419906191165E-2</v>
      </c>
      <c r="P31" s="12">
        <f t="shared" si="2"/>
        <v>-5174.9164610359621</v>
      </c>
    </row>
    <row r="32" spans="1:19">
      <c r="A32" s="149">
        <v>0.36509292886135442</v>
      </c>
      <c r="B32" s="150">
        <f t="shared" si="3"/>
        <v>33.280094223083019</v>
      </c>
      <c r="C32" s="24">
        <f t="shared" si="0"/>
        <v>-5850.3717072712852</v>
      </c>
      <c r="H32" s="66">
        <v>0.8</v>
      </c>
      <c r="I32" s="10">
        <f t="shared" si="1"/>
        <v>0.96171980730808115</v>
      </c>
      <c r="J32" s="10">
        <f t="shared" si="4"/>
        <v>0.99909163226264874</v>
      </c>
      <c r="K32" s="66">
        <f t="shared" si="6"/>
        <v>2</v>
      </c>
      <c r="L32" s="5">
        <f t="shared" si="7"/>
        <v>3.2028207068758363E-2</v>
      </c>
      <c r="N32" s="5">
        <v>2.0042464209051106E-2</v>
      </c>
      <c r="O32" s="19">
        <f t="shared" si="5"/>
        <v>2.0244662989564066E-2</v>
      </c>
      <c r="P32" s="12">
        <f t="shared" si="2"/>
        <v>-7125.342729346944</v>
      </c>
    </row>
    <row r="33" spans="1:16">
      <c r="A33" s="149">
        <v>0.61363567003387554</v>
      </c>
      <c r="B33" s="150">
        <f t="shared" si="3"/>
        <v>39.464023570054934</v>
      </c>
      <c r="C33" s="24">
        <f t="shared" si="0"/>
        <v>-5850.3717072712852</v>
      </c>
      <c r="H33" s="66">
        <v>0.85</v>
      </c>
      <c r="I33" s="10">
        <f t="shared" si="1"/>
        <v>0.95937654331188271</v>
      </c>
      <c r="J33" s="10">
        <f t="shared" si="4"/>
        <v>0.99903199589276859</v>
      </c>
      <c r="K33" s="66">
        <f t="shared" si="6"/>
        <v>4</v>
      </c>
      <c r="L33" s="5">
        <f t="shared" si="7"/>
        <v>6.3896524191838361E-2</v>
      </c>
      <c r="N33" s="5">
        <v>6.1785957152220364E-2</v>
      </c>
      <c r="O33" s="19">
        <f t="shared" si="5"/>
        <v>6.3734635568465592E-2</v>
      </c>
      <c r="P33" s="12">
        <f t="shared" si="2"/>
        <v>-5378.2061636577046</v>
      </c>
    </row>
    <row r="34" spans="1:16">
      <c r="A34" s="149">
        <v>0.37079989013336589</v>
      </c>
      <c r="B34" s="150">
        <f t="shared" si="3"/>
        <v>33.443907598487264</v>
      </c>
      <c r="C34" s="24">
        <f t="shared" si="0"/>
        <v>-5850.3717072712852</v>
      </c>
      <c r="H34" s="66">
        <v>0.9</v>
      </c>
      <c r="I34" s="10">
        <f t="shared" si="1"/>
        <v>0.95703898876048743</v>
      </c>
      <c r="J34" s="10">
        <f t="shared" si="4"/>
        <v>0.998972010870394</v>
      </c>
      <c r="K34" s="66">
        <f t="shared" si="6"/>
        <v>2</v>
      </c>
      <c r="L34" s="5">
        <f t="shared" si="7"/>
        <v>3.1868505436114421E-2</v>
      </c>
      <c r="N34" s="5">
        <v>4.177582588648511E-2</v>
      </c>
      <c r="O34" s="19">
        <f t="shared" si="5"/>
        <v>4.2660715008368433E-2</v>
      </c>
      <c r="P34" s="12">
        <f t="shared" si="2"/>
        <v>-6130.048931273398</v>
      </c>
    </row>
    <row r="35" spans="1:16">
      <c r="A35" s="149">
        <v>3.7568285164952545E-2</v>
      </c>
      <c r="B35" s="150">
        <f t="shared" si="3"/>
        <v>13.937405260428289</v>
      </c>
      <c r="C35" s="24">
        <f t="shared" si="0"/>
        <v>95760.720937396094</v>
      </c>
      <c r="H35" s="66">
        <v>0.95</v>
      </c>
      <c r="I35" s="10">
        <f t="shared" si="1"/>
        <v>0.95470712974263294</v>
      </c>
      <c r="J35" s="10">
        <f t="shared" si="4"/>
        <v>0.9989116751785313</v>
      </c>
      <c r="K35" s="66">
        <f t="shared" si="6"/>
        <v>4</v>
      </c>
      <c r="L35" s="5">
        <f t="shared" si="7"/>
        <v>6.357787321840673E-2</v>
      </c>
      <c r="N35" s="5">
        <v>8.4086742342275103E-2</v>
      </c>
      <c r="O35" s="19">
        <f t="shared" si="5"/>
        <v>8.7723241378506733E-2</v>
      </c>
      <c r="P35" s="12">
        <f t="shared" si="2"/>
        <v>57437.647517679528</v>
      </c>
    </row>
    <row r="36" spans="1:16">
      <c r="A36" s="149">
        <v>0.38200018311105688</v>
      </c>
      <c r="B36" s="150">
        <f t="shared" si="3"/>
        <v>33.760660659235519</v>
      </c>
      <c r="C36" s="24">
        <f t="shared" si="0"/>
        <v>-5850.3717072712852</v>
      </c>
      <c r="H36" s="66">
        <v>1</v>
      </c>
      <c r="I36" s="10">
        <f t="shared" si="1"/>
        <v>0.95238095238095233</v>
      </c>
      <c r="J36" s="10">
        <f t="shared" si="4"/>
        <v>0.99885098678877138</v>
      </c>
      <c r="K36" s="66">
        <f t="shared" si="6"/>
        <v>2</v>
      </c>
      <c r="L36" s="5">
        <f t="shared" si="7"/>
        <v>3.1709555136151472E-2</v>
      </c>
      <c r="N36" s="5">
        <v>3.1924548190669158E-2</v>
      </c>
      <c r="O36" s="19">
        <f t="shared" si="5"/>
        <v>3.2439602930151912E-2</v>
      </c>
      <c r="P36" s="12">
        <f t="shared" si="2"/>
        <v>-6555.5739900409499</v>
      </c>
    </row>
    <row r="37" spans="1:16">
      <c r="A37" s="149">
        <v>0.33545945616016115</v>
      </c>
      <c r="B37" s="150">
        <f t="shared" si="3"/>
        <v>32.400412325428931</v>
      </c>
      <c r="C37" s="24">
        <f t="shared" si="0"/>
        <v>-5850.3717072712852</v>
      </c>
      <c r="H37" s="66">
        <v>1.05</v>
      </c>
      <c r="I37" s="10">
        <f t="shared" si="1"/>
        <v>0.95006044283189139</v>
      </c>
      <c r="J37" s="10">
        <f t="shared" si="4"/>
        <v>0.99878994366122709</v>
      </c>
      <c r="K37" s="66">
        <f t="shared" si="6"/>
        <v>4</v>
      </c>
      <c r="L37" s="5">
        <f t="shared" si="7"/>
        <v>6.3260721078055027E-2</v>
      </c>
      <c r="N37" s="5">
        <v>8.6478524233039936E-2</v>
      </c>
      <c r="O37" s="19">
        <f t="shared" si="5"/>
        <v>9.0327951837339659E-2</v>
      </c>
      <c r="P37" s="12">
        <f t="shared" si="2"/>
        <v>-4621.7705823636798</v>
      </c>
    </row>
    <row r="38" spans="1:16">
      <c r="A38" s="149">
        <v>0.95196386608478045</v>
      </c>
      <c r="B38" s="150">
        <f t="shared" si="3"/>
        <v>49.262918458373598</v>
      </c>
      <c r="C38" s="24">
        <f t="shared" si="0"/>
        <v>-5850.3717072712852</v>
      </c>
      <c r="H38" s="66">
        <v>1.1000000000000001</v>
      </c>
      <c r="I38" s="10">
        <f t="shared" si="1"/>
        <v>0.94774558728562608</v>
      </c>
      <c r="J38" s="10">
        <f t="shared" si="4"/>
        <v>0.99872854374447251</v>
      </c>
      <c r="K38" s="66">
        <f t="shared" si="6"/>
        <v>2</v>
      </c>
      <c r="L38" s="5">
        <f t="shared" si="7"/>
        <v>3.1551352341000774E-2</v>
      </c>
      <c r="N38" s="5">
        <v>1.2753359848953552E-2</v>
      </c>
      <c r="O38" s="19">
        <f t="shared" si="5"/>
        <v>1.2835030766234823E-2</v>
      </c>
      <c r="P38" s="12">
        <f t="shared" si="2"/>
        <v>-7508.8878341704885</v>
      </c>
    </row>
    <row r="39" spans="1:16">
      <c r="A39" s="149">
        <v>0.86095767082735675</v>
      </c>
      <c r="B39" s="150">
        <f t="shared" si="3"/>
        <v>45.618027929367614</v>
      </c>
      <c r="C39" s="24">
        <f t="shared" si="0"/>
        <v>-5850.3717072712852</v>
      </c>
      <c r="H39" s="66">
        <v>1.1499999999999999</v>
      </c>
      <c r="I39" s="10">
        <f t="shared" si="1"/>
        <v>0.94543637196598052</v>
      </c>
      <c r="J39" s="10">
        <f t="shared" si="4"/>
        <v>0.99866678497548023</v>
      </c>
      <c r="K39" s="66">
        <f t="shared" si="6"/>
        <v>4</v>
      </c>
      <c r="L39" s="5">
        <f t="shared" si="7"/>
        <v>6.2945060132676534E-2</v>
      </c>
      <c r="N39" s="5">
        <v>1.7041393855048229E-2</v>
      </c>
      <c r="O39" s="19">
        <f t="shared" si="5"/>
        <v>1.7187426762702573E-2</v>
      </c>
      <c r="P39" s="12">
        <f t="shared" si="2"/>
        <v>-7279.9489573438486</v>
      </c>
    </row>
    <row r="40" spans="1:16">
      <c r="A40" s="149">
        <v>0.79152806176946322</v>
      </c>
      <c r="B40" s="150">
        <f t="shared" si="3"/>
        <v>43.677374471642246</v>
      </c>
      <c r="C40" s="24">
        <f t="shared" si="0"/>
        <v>-5850.3717072712852</v>
      </c>
      <c r="H40" s="66">
        <v>1.2</v>
      </c>
      <c r="I40" s="10">
        <f t="shared" si="1"/>
        <v>0.9431327831303451</v>
      </c>
      <c r="J40" s="10">
        <f t="shared" si="4"/>
        <v>0.99860466527955871</v>
      </c>
      <c r="K40" s="66">
        <f t="shared" si="6"/>
        <v>2</v>
      </c>
      <c r="L40" s="5">
        <f t="shared" si="7"/>
        <v>3.1393893240401899E-2</v>
      </c>
      <c r="N40" s="5">
        <v>2.1043277635850247E-2</v>
      </c>
      <c r="O40" s="19">
        <f t="shared" si="5"/>
        <v>2.1266248669966403E-2</v>
      </c>
      <c r="P40" s="12">
        <f t="shared" si="2"/>
        <v>-7074.7818544979573</v>
      </c>
    </row>
    <row r="41" spans="1:16">
      <c r="A41" s="149">
        <v>0.727835932493057</v>
      </c>
      <c r="B41" s="150">
        <f t="shared" si="3"/>
        <v>42.105219083142785</v>
      </c>
      <c r="C41" s="24">
        <f t="shared" si="0"/>
        <v>-5850.3717072712852</v>
      </c>
      <c r="H41" s="66">
        <v>1.25</v>
      </c>
      <c r="I41" s="10">
        <f t="shared" si="1"/>
        <v>0.94083480706959433</v>
      </c>
      <c r="J41" s="10">
        <f t="shared" si="4"/>
        <v>0.99854218257028993</v>
      </c>
      <c r="K41" s="66">
        <f t="shared" si="6"/>
        <v>4</v>
      </c>
      <c r="L41" s="5">
        <f t="shared" si="7"/>
        <v>6.2630882779291366E-2</v>
      </c>
      <c r="N41" s="5">
        <v>2.8407015585922638E-2</v>
      </c>
      <c r="O41" s="19">
        <f t="shared" si="5"/>
        <v>2.881434268792038E-2</v>
      </c>
      <c r="P41" s="12">
        <f t="shared" si="2"/>
        <v>-6717.4888793403179</v>
      </c>
    </row>
    <row r="42" spans="1:16">
      <c r="A42" s="149">
        <v>0.13281655323953978</v>
      </c>
      <c r="B42" s="150">
        <f t="shared" si="3"/>
        <v>23.797986469622614</v>
      </c>
      <c r="C42" s="24">
        <f t="shared" si="0"/>
        <v>-5850.3717072712852</v>
      </c>
      <c r="H42" s="66">
        <v>1.3</v>
      </c>
      <c r="I42" s="10">
        <f t="shared" si="1"/>
        <v>0.93854243010800575</v>
      </c>
      <c r="J42" s="10">
        <f t="shared" si="4"/>
        <v>0.99847933474946571</v>
      </c>
      <c r="K42" s="66">
        <f t="shared" si="6"/>
        <v>2</v>
      </c>
      <c r="L42" s="5">
        <f t="shared" si="7"/>
        <v>3.1237174041612952E-2</v>
      </c>
      <c r="N42" s="5">
        <v>4.5710857259233309E-2</v>
      </c>
      <c r="O42" s="19">
        <f t="shared" si="5"/>
        <v>4.6771700757303858E-2</v>
      </c>
      <c r="P42" s="12">
        <f t="shared" si="2"/>
        <v>-5970.8810243771923</v>
      </c>
    </row>
    <row r="43" spans="1:16">
      <c r="A43" s="149">
        <v>0.58238471633045441</v>
      </c>
      <c r="B43" s="150">
        <f t="shared" si="3"/>
        <v>38.746807598482881</v>
      </c>
      <c r="C43" s="24">
        <f t="shared" si="0"/>
        <v>-5850.3717072712852</v>
      </c>
      <c r="H43" s="66">
        <v>1.35</v>
      </c>
      <c r="I43" s="10">
        <f t="shared" si="1"/>
        <v>0.93625563860317795</v>
      </c>
      <c r="J43" s="10">
        <f t="shared" si="4"/>
        <v>0.99841611970702493</v>
      </c>
      <c r="K43" s="66">
        <f t="shared" si="6"/>
        <v>4</v>
      </c>
      <c r="L43" s="5">
        <f t="shared" si="7"/>
        <v>6.2318181449867179E-2</v>
      </c>
      <c r="N43" s="5">
        <v>7.0362216954104953E-2</v>
      </c>
      <c r="O43" s="19">
        <f t="shared" si="5"/>
        <v>7.2896732266516828E-2</v>
      </c>
      <c r="P43" s="12">
        <f t="shared" si="2"/>
        <v>-5096.1600310728691</v>
      </c>
    </row>
    <row r="44" spans="1:16">
      <c r="A44" s="149">
        <v>0.82161931211279637</v>
      </c>
      <c r="B44" s="150">
        <f t="shared" si="3"/>
        <v>44.47761354691422</v>
      </c>
      <c r="C44" s="24">
        <f t="shared" si="0"/>
        <v>-5850.3717072712852</v>
      </c>
      <c r="H44" s="66">
        <v>1.4</v>
      </c>
      <c r="I44" s="10">
        <f t="shared" si="1"/>
        <v>0.93397441894595001</v>
      </c>
      <c r="J44" s="10">
        <f t="shared" si="4"/>
        <v>0.99835253532098966</v>
      </c>
      <c r="K44" s="66">
        <f t="shared" si="6"/>
        <v>2</v>
      </c>
      <c r="L44" s="5">
        <f t="shared" si="7"/>
        <v>3.1081190969321246E-2</v>
      </c>
      <c r="N44" s="5">
        <v>3.0212058001903644E-2</v>
      </c>
      <c r="O44" s="19">
        <f t="shared" si="5"/>
        <v>3.067307325372437E-2</v>
      </c>
      <c r="P44" s="12">
        <f t="shared" si="2"/>
        <v>-6633.7176060760712</v>
      </c>
    </row>
    <row r="45" spans="1:16">
      <c r="A45" s="149">
        <v>9.5553453169347213E-2</v>
      </c>
      <c r="B45" s="150">
        <f t="shared" si="3"/>
        <v>21.040265532516468</v>
      </c>
      <c r="C45" s="24">
        <f t="shared" si="0"/>
        <v>-5850.3717072712852</v>
      </c>
      <c r="H45" s="66">
        <v>1.45</v>
      </c>
      <c r="I45" s="10">
        <f t="shared" si="1"/>
        <v>0.93169875756032017</v>
      </c>
      <c r="J45" s="10">
        <f t="shared" si="4"/>
        <v>0.99828857945740057</v>
      </c>
      <c r="K45" s="66">
        <f t="shared" si="6"/>
        <v>4</v>
      </c>
      <c r="L45" s="5">
        <f t="shared" si="7"/>
        <v>6.2006948611141144E-2</v>
      </c>
      <c r="N45" s="5">
        <v>4.5287221220984067E-2</v>
      </c>
      <c r="O45" s="19">
        <f t="shared" si="5"/>
        <v>4.6328344458527182E-2</v>
      </c>
      <c r="P45" s="12">
        <f t="shared" si="2"/>
        <v>-5987.7345195076268</v>
      </c>
    </row>
    <row r="46" spans="1:16">
      <c r="A46" s="149">
        <v>0.53257850886562697</v>
      </c>
      <c r="B46" s="150">
        <f t="shared" si="3"/>
        <v>37.586980291618531</v>
      </c>
      <c r="C46" s="24">
        <f t="shared" si="0"/>
        <v>-5850.3717072712852</v>
      </c>
      <c r="H46" s="66">
        <v>1.5</v>
      </c>
      <c r="I46" s="10">
        <f t="shared" si="1"/>
        <v>0.92942864090336486</v>
      </c>
      <c r="J46" s="10">
        <f t="shared" si="4"/>
        <v>0.99822424997025383</v>
      </c>
      <c r="K46" s="66">
        <f t="shared" si="6"/>
        <v>2</v>
      </c>
      <c r="L46" s="5">
        <f t="shared" si="7"/>
        <v>3.0925940265554463E-2</v>
      </c>
      <c r="N46" s="5">
        <v>2.3363549368819805E-2</v>
      </c>
      <c r="O46" s="19">
        <f t="shared" si="5"/>
        <v>2.3638615081619019E-2</v>
      </c>
      <c r="P46" s="12">
        <f t="shared" si="2"/>
        <v>-6959.438163572494</v>
      </c>
    </row>
    <row r="47" spans="1:16">
      <c r="A47" s="149">
        <v>0.24320200201422162</v>
      </c>
      <c r="B47" s="150">
        <f t="shared" si="3"/>
        <v>29.23631190427712</v>
      </c>
      <c r="C47" s="24">
        <f t="shared" si="0"/>
        <v>-5850.3717072712852</v>
      </c>
      <c r="H47" s="66">
        <v>1.55</v>
      </c>
      <c r="I47" s="10">
        <f t="shared" si="1"/>
        <v>0.92716405546515845</v>
      </c>
      <c r="J47" s="10">
        <f t="shared" si="4"/>
        <v>0.99815954470143531</v>
      </c>
      <c r="K47" s="66">
        <f t="shared" si="6"/>
        <v>4</v>
      </c>
      <c r="L47" s="5">
        <f t="shared" si="7"/>
        <v>6.1697176764442592E-2</v>
      </c>
      <c r="N47" s="5">
        <v>3.9089646813532455E-2</v>
      </c>
      <c r="O47" s="19">
        <f t="shared" si="5"/>
        <v>3.9863699939031383E-2</v>
      </c>
      <c r="P47" s="12">
        <f t="shared" si="2"/>
        <v>-6242.1522526888402</v>
      </c>
    </row>
    <row r="48" spans="1:16">
      <c r="A48" s="149">
        <v>0.15134128849147008</v>
      </c>
      <c r="B48" s="150">
        <f t="shared" si="3"/>
        <v>24.927857383823572</v>
      </c>
      <c r="C48" s="24">
        <f t="shared" si="0"/>
        <v>-5850.3717072712852</v>
      </c>
      <c r="H48" s="66">
        <v>1.6</v>
      </c>
      <c r="I48" s="10">
        <f t="shared" si="1"/>
        <v>0.9249049877686929</v>
      </c>
      <c r="J48" s="10">
        <f t="shared" si="4"/>
        <v>0.99809446148065617</v>
      </c>
      <c r="K48" s="66">
        <f t="shared" si="6"/>
        <v>2</v>
      </c>
      <c r="L48" s="5">
        <f t="shared" si="7"/>
        <v>3.0771418189592215E-2</v>
      </c>
      <c r="N48" s="5">
        <v>1.6228369938413381E-2</v>
      </c>
      <c r="O48" s="19">
        <f t="shared" si="5"/>
        <v>1.6360765150410961E-2</v>
      </c>
      <c r="P48" s="12">
        <f t="shared" si="2"/>
        <v>-7322.6201482462711</v>
      </c>
    </row>
    <row r="49" spans="1:16">
      <c r="A49" s="149">
        <v>0.49165318765831478</v>
      </c>
      <c r="B49" s="150">
        <f t="shared" si="3"/>
        <v>36.60671332237029</v>
      </c>
      <c r="C49" s="24">
        <f t="shared" si="0"/>
        <v>-5850.3717072712852</v>
      </c>
      <c r="H49" s="66">
        <v>1.65</v>
      </c>
      <c r="I49" s="10">
        <f t="shared" si="1"/>
        <v>0.92265142436979686</v>
      </c>
      <c r="J49" s="10">
        <f t="shared" si="4"/>
        <v>0.99802899812538803</v>
      </c>
      <c r="K49" s="66">
        <f t="shared" si="6"/>
        <v>4</v>
      </c>
      <c r="L49" s="5">
        <f t="shared" si="7"/>
        <v>6.1388858445516704E-2</v>
      </c>
      <c r="N49" s="5">
        <v>5.3380938149653959E-2</v>
      </c>
      <c r="O49" s="19">
        <f t="shared" si="5"/>
        <v>5.4831394113208809E-2</v>
      </c>
      <c r="P49" s="12">
        <f t="shared" si="2"/>
        <v>-5677.035409777538</v>
      </c>
    </row>
    <row r="50" spans="1:16">
      <c r="A50" s="149">
        <v>0.22135074922940765</v>
      </c>
      <c r="B50" s="150">
        <f t="shared" si="3"/>
        <v>28.352304884106282</v>
      </c>
      <c r="C50" s="24">
        <f t="shared" si="0"/>
        <v>-5850.3717072712852</v>
      </c>
      <c r="H50" s="66">
        <v>1.7</v>
      </c>
      <c r="I50" s="10">
        <f t="shared" si="1"/>
        <v>0.9204033518570568</v>
      </c>
      <c r="J50" s="10">
        <f t="shared" si="4"/>
        <v>0.99796315244079681</v>
      </c>
      <c r="K50" s="66">
        <f t="shared" si="6"/>
        <v>2</v>
      </c>
      <c r="L50" s="5">
        <f t="shared" si="7"/>
        <v>3.0617621017878145E-2</v>
      </c>
      <c r="N50" s="5">
        <v>3.1596012442729263E-2</v>
      </c>
      <c r="O50" s="19">
        <f t="shared" si="5"/>
        <v>3.2100465325464178E-2</v>
      </c>
      <c r="P50" s="12">
        <f t="shared" si="2"/>
        <v>-6570.4661945618154</v>
      </c>
    </row>
    <row r="51" spans="1:16">
      <c r="A51" s="149">
        <v>0.44602801599169895</v>
      </c>
      <c r="B51" s="150">
        <f t="shared" si="3"/>
        <v>35.469800040768668</v>
      </c>
      <c r="C51" s="24">
        <f t="shared" si="0"/>
        <v>-5850.3717072712852</v>
      </c>
      <c r="H51" s="66">
        <v>1.75</v>
      </c>
      <c r="I51" s="10">
        <f t="shared" si="1"/>
        <v>0.91816075685173626</v>
      </c>
      <c r="J51" s="10">
        <f t="shared" si="4"/>
        <v>0.99789692221967696</v>
      </c>
      <c r="K51" s="66">
        <f t="shared" si="6"/>
        <v>4</v>
      </c>
      <c r="L51" s="5">
        <f t="shared" si="7"/>
        <v>6.1081986224349127E-2</v>
      </c>
      <c r="N51" s="5">
        <v>4.9836390596407001E-2</v>
      </c>
      <c r="O51" s="19">
        <f t="shared" si="5"/>
        <v>5.1099112608395947E-2</v>
      </c>
      <c r="P51" s="12">
        <f t="shared" si="2"/>
        <v>-5810.2125723169629</v>
      </c>
    </row>
    <row r="52" spans="1:16">
      <c r="A52" s="149">
        <v>3.4241767632068848E-2</v>
      </c>
      <c r="B52" s="150">
        <f t="shared" si="3"/>
        <v>13.296983231914608</v>
      </c>
      <c r="C52" s="24">
        <f t="shared" si="0"/>
        <v>99157.91941570866</v>
      </c>
      <c r="H52" s="66">
        <v>1.8</v>
      </c>
      <c r="I52" s="10">
        <f t="shared" si="1"/>
        <v>0.91592362600769628</v>
      </c>
      <c r="J52" s="10">
        <f t="shared" si="4"/>
        <v>0.99783030524238592</v>
      </c>
      <c r="K52" s="66">
        <f t="shared" si="6"/>
        <v>2</v>
      </c>
      <c r="L52" s="5">
        <f t="shared" si="7"/>
        <v>3.0464545043932419E-2</v>
      </c>
      <c r="N52" s="5">
        <v>4.3249620100265021E-2</v>
      </c>
      <c r="O52" s="19">
        <f t="shared" si="5"/>
        <v>4.4198515259288751E-2</v>
      </c>
      <c r="P52" s="12">
        <f t="shared" si="2"/>
        <v>106969.23718174407</v>
      </c>
    </row>
    <row r="53" spans="1:16">
      <c r="A53" s="149">
        <v>0.47264015625476852</v>
      </c>
      <c r="B53" s="150">
        <f t="shared" si="3"/>
        <v>36.139500177530628</v>
      </c>
      <c r="C53" s="24">
        <f t="shared" si="0"/>
        <v>-5850.3717072712852</v>
      </c>
      <c r="H53" s="66">
        <v>1.85</v>
      </c>
      <c r="I53" s="10">
        <f t="shared" si="1"/>
        <v>0.91369194601131687</v>
      </c>
      <c r="J53" s="10">
        <f t="shared" si="4"/>
        <v>0.99776329927677709</v>
      </c>
      <c r="K53" s="66">
        <f t="shared" si="6"/>
        <v>4</v>
      </c>
      <c r="L53" s="5">
        <f t="shared" si="7"/>
        <v>6.0776552704991361E-2</v>
      </c>
      <c r="N53" s="5">
        <v>4.5953854803097785E-2</v>
      </c>
      <c r="O53" s="19">
        <f t="shared" si="5"/>
        <v>4.7026094616864356E-2</v>
      </c>
      <c r="P53" s="12">
        <f t="shared" si="2"/>
        <v>-5961.2441250796473</v>
      </c>
    </row>
    <row r="54" spans="1:16">
      <c r="A54" s="149">
        <v>7.8829309976500742E-2</v>
      </c>
      <c r="B54" s="150">
        <f t="shared" si="3"/>
        <v>19.487620773666222</v>
      </c>
      <c r="C54" s="24">
        <f t="shared" si="0"/>
        <v>-5850.3717072712852</v>
      </c>
      <c r="H54" s="66">
        <v>1.9</v>
      </c>
      <c r="I54" s="10">
        <f t="shared" si="1"/>
        <v>0.91146570358141654</v>
      </c>
      <c r="J54" s="10">
        <f t="shared" si="4"/>
        <v>0.99769590207813319</v>
      </c>
      <c r="K54" s="66">
        <f t="shared" si="6"/>
        <v>2</v>
      </c>
      <c r="L54" s="5">
        <f t="shared" si="7"/>
        <v>3.0312186578264729E-2</v>
      </c>
      <c r="N54" s="5">
        <v>8.0794206448568731E-2</v>
      </c>
      <c r="O54" s="19">
        <f t="shared" si="5"/>
        <v>8.4147762989400299E-2</v>
      </c>
      <c r="P54" s="12">
        <f t="shared" si="2"/>
        <v>-4781.3448202138197</v>
      </c>
    </row>
    <row r="55" spans="1:16">
      <c r="A55" s="149">
        <v>0.40388195440534685</v>
      </c>
      <c r="B55" s="150">
        <f t="shared" si="3"/>
        <v>34.362826542522789</v>
      </c>
      <c r="C55" s="24">
        <f t="shared" si="0"/>
        <v>-5850.3717072712852</v>
      </c>
      <c r="H55" s="66">
        <v>1.95</v>
      </c>
      <c r="I55" s="10">
        <f t="shared" si="1"/>
        <v>0.90924488546917415</v>
      </c>
      <c r="J55" s="10">
        <f t="shared" si="4"/>
        <v>0.99762811138909924</v>
      </c>
      <c r="K55" s="66">
        <f t="shared" si="6"/>
        <v>4</v>
      </c>
      <c r="L55" s="5">
        <f t="shared" si="7"/>
        <v>6.0472550525387338E-2</v>
      </c>
      <c r="N55" s="5">
        <v>1.3913303925743095E-2</v>
      </c>
      <c r="O55" s="19">
        <f t="shared" si="5"/>
        <v>1.4010544394170488E-2</v>
      </c>
      <c r="P55" s="12">
        <f t="shared" si="2"/>
        <v>-7446.0044671838423</v>
      </c>
    </row>
    <row r="56" spans="1:16">
      <c r="A56" s="149">
        <v>0.77474288155766469</v>
      </c>
      <c r="B56" s="150">
        <f t="shared" si="3"/>
        <v>43.249923900476148</v>
      </c>
      <c r="C56" s="24">
        <f t="shared" si="0"/>
        <v>-5850.3717072712852</v>
      </c>
      <c r="H56" s="66">
        <v>2</v>
      </c>
      <c r="I56" s="10">
        <f t="shared" si="1"/>
        <v>0.90702947845804982</v>
      </c>
      <c r="J56" s="10">
        <f t="shared" si="4"/>
        <v>0.99755992493961521</v>
      </c>
      <c r="K56" s="66">
        <f t="shared" si="6"/>
        <v>2</v>
      </c>
      <c r="L56" s="5">
        <f t="shared" si="7"/>
        <v>3.0160541948287687E-2</v>
      </c>
      <c r="N56" s="5">
        <v>6.0372439699800454E-2</v>
      </c>
      <c r="O56" s="19">
        <f t="shared" si="5"/>
        <v>6.2232090283515396E-2</v>
      </c>
      <c r="P56" s="12">
        <f t="shared" si="2"/>
        <v>-5426.8544205981407</v>
      </c>
    </row>
    <row r="57" spans="1:16">
      <c r="A57" s="149">
        <v>0.79366435743278296</v>
      </c>
      <c r="B57" s="150">
        <f t="shared" si="3"/>
        <v>43.732643129950702</v>
      </c>
      <c r="C57" s="24">
        <f t="shared" si="0"/>
        <v>-5850.3717072712852</v>
      </c>
      <c r="H57" s="66">
        <v>2.0499999999999998</v>
      </c>
      <c r="I57" s="10">
        <f t="shared" si="1"/>
        <v>0.90481946936370605</v>
      </c>
      <c r="J57" s="10">
        <f t="shared" si="4"/>
        <v>0.99749134044684828</v>
      </c>
      <c r="K57" s="66">
        <f t="shared" si="6"/>
        <v>4</v>
      </c>
      <c r="L57" s="5">
        <f t="shared" si="7"/>
        <v>6.0169972357200611E-2</v>
      </c>
      <c r="N57" s="5">
        <v>0.10616447611676995</v>
      </c>
      <c r="O57" s="19">
        <f t="shared" si="5"/>
        <v>0.11200475969086421</v>
      </c>
      <c r="P57" s="12">
        <f t="shared" si="2"/>
        <v>-4126.7785691847821</v>
      </c>
    </row>
    <row r="58" spans="1:16">
      <c r="A58" s="149">
        <v>0.33429975280007324</v>
      </c>
      <c r="B58" s="150">
        <f t="shared" si="3"/>
        <v>32.364911026916822</v>
      </c>
      <c r="C58" s="24">
        <f t="shared" si="0"/>
        <v>-5850.3717072712852</v>
      </c>
      <c r="H58" s="66">
        <v>2.1</v>
      </c>
      <c r="I58" s="10">
        <f t="shared" si="1"/>
        <v>0.90261484503392952</v>
      </c>
      <c r="J58" s="10">
        <f t="shared" si="4"/>
        <v>0.99742235561512493</v>
      </c>
      <c r="K58" s="66">
        <f t="shared" si="6"/>
        <v>2</v>
      </c>
      <c r="L58" s="5">
        <f t="shared" si="7"/>
        <v>3.0009607498230766E-2</v>
      </c>
      <c r="N58" s="5">
        <v>6.354579199718137E-2</v>
      </c>
      <c r="O58" s="19">
        <f t="shared" si="5"/>
        <v>6.5608281015643977E-2</v>
      </c>
      <c r="P58" s="12">
        <f t="shared" si="2"/>
        <v>-5318.5147425641289</v>
      </c>
    </row>
    <row r="59" spans="1:16">
      <c r="A59" s="149">
        <v>0.44511246070741906</v>
      </c>
      <c r="B59" s="150">
        <f t="shared" si="3"/>
        <v>35.446394455401432</v>
      </c>
      <c r="C59" s="24">
        <f t="shared" si="0"/>
        <v>-5850.3717072712852</v>
      </c>
      <c r="H59" s="66">
        <v>2.15</v>
      </c>
      <c r="I59" s="10">
        <f t="shared" si="1"/>
        <v>0.90041559234855284</v>
      </c>
      <c r="J59" s="10">
        <f t="shared" si="4"/>
        <v>0.99735296813586238</v>
      </c>
      <c r="K59" s="66">
        <f t="shared" si="6"/>
        <v>4</v>
      </c>
      <c r="L59" s="5">
        <f t="shared" si="7"/>
        <v>5.9868810905642666E-2</v>
      </c>
      <c r="N59" s="5">
        <v>7.0839444512908814E-2</v>
      </c>
      <c r="O59" s="19">
        <f t="shared" si="5"/>
        <v>7.3408870348388611E-2</v>
      </c>
      <c r="P59" s="12">
        <f t="shared" si="2"/>
        <v>-5081.1029291382556</v>
      </c>
    </row>
    <row r="60" spans="1:16">
      <c r="A60" s="149">
        <v>0.83971678823206275</v>
      </c>
      <c r="B60" s="150">
        <f t="shared" si="3"/>
        <v>44.986161405313126</v>
      </c>
      <c r="C60" s="24">
        <f t="shared" si="0"/>
        <v>-5850.3717072712852</v>
      </c>
      <c r="H60" s="66">
        <v>2.2000000000000002</v>
      </c>
      <c r="I60" s="10">
        <f t="shared" si="1"/>
        <v>0.89822169821937614</v>
      </c>
      <c r="J60" s="10">
        <f t="shared" si="4"/>
        <v>0.99728317568750002</v>
      </c>
      <c r="K60" s="66">
        <f t="shared" si="6"/>
        <v>2</v>
      </c>
      <c r="L60" s="5">
        <f t="shared" si="7"/>
        <v>2.9859379589054626E-2</v>
      </c>
      <c r="N60" s="5">
        <v>3.6345739042313654E-2</v>
      </c>
      <c r="O60" s="19">
        <f t="shared" si="5"/>
        <v>3.7014320856219252E-2</v>
      </c>
      <c r="P60" s="12">
        <f t="shared" si="2"/>
        <v>-6359.6549377395813</v>
      </c>
    </row>
    <row r="61" spans="1:16">
      <c r="A61" s="149">
        <v>0.1989501632740257</v>
      </c>
      <c r="B61" s="150">
        <f t="shared" si="3"/>
        <v>27.369184342139324</v>
      </c>
      <c r="C61" s="24">
        <f t="shared" si="0"/>
        <v>-5850.3717072712852</v>
      </c>
      <c r="H61" s="66">
        <v>2.25</v>
      </c>
      <c r="I61" s="10">
        <f t="shared" si="1"/>
        <v>0.89603314959008984</v>
      </c>
      <c r="J61" s="10">
        <f t="shared" si="4"/>
        <v>0.99721297593543079</v>
      </c>
      <c r="K61" s="66">
        <f t="shared" si="6"/>
        <v>4</v>
      </c>
      <c r="L61" s="5">
        <f t="shared" si="7"/>
        <v>5.9569058909302038E-2</v>
      </c>
      <c r="N61" s="5">
        <v>-1.6264859416754915E-2</v>
      </c>
      <c r="O61" s="19">
        <f t="shared" si="5"/>
        <v>-1.613330081724762E-2</v>
      </c>
      <c r="P61" s="12">
        <f t="shared" si="2"/>
        <v>-9343.4777442259965</v>
      </c>
    </row>
    <row r="62" spans="1:16">
      <c r="A62" s="149">
        <v>0.8197271645252846</v>
      </c>
      <c r="B62" s="150">
        <f t="shared" si="3"/>
        <v>44.425763412461329</v>
      </c>
      <c r="C62" s="24">
        <f t="shared" si="0"/>
        <v>-5850.3717072712852</v>
      </c>
      <c r="H62" s="66">
        <v>2.2999999999999998</v>
      </c>
      <c r="I62" s="10">
        <f t="shared" si="1"/>
        <v>0.8938499334361959</v>
      </c>
      <c r="J62" s="10">
        <f t="shared" si="4"/>
        <v>0.99714236653193122</v>
      </c>
      <c r="K62" s="66">
        <f t="shared" si="6"/>
        <v>2</v>
      </c>
      <c r="L62" s="5">
        <f t="shared" si="7"/>
        <v>2.970985459836592E-2</v>
      </c>
      <c r="N62" s="5">
        <v>6.526751548984612E-2</v>
      </c>
      <c r="O62" s="19">
        <f t="shared" si="5"/>
        <v>6.7444544142120755E-2</v>
      </c>
      <c r="P62" s="12">
        <f t="shared" si="2"/>
        <v>-5261.0398839814998</v>
      </c>
    </row>
    <row r="63" spans="1:16">
      <c r="A63" s="149">
        <v>0.37888729514450514</v>
      </c>
      <c r="B63" s="150">
        <f t="shared" si="3"/>
        <v>33.673237324540054</v>
      </c>
      <c r="C63" s="24">
        <f t="shared" si="0"/>
        <v>-5850.3717072712852</v>
      </c>
      <c r="H63" s="66">
        <v>2.35</v>
      </c>
      <c r="I63" s="10">
        <f t="shared" si="1"/>
        <v>0.89167203676493134</v>
      </c>
      <c r="J63" s="10">
        <f t="shared" si="4"/>
        <v>0.99707134511609252</v>
      </c>
      <c r="K63" s="66">
        <f t="shared" si="6"/>
        <v>4</v>
      </c>
      <c r="L63" s="5">
        <f t="shared" si="7"/>
        <v>5.9270709139974405E-2</v>
      </c>
      <c r="N63" s="5">
        <v>5.4801579219325505E-2</v>
      </c>
      <c r="O63" s="19">
        <f t="shared" si="5"/>
        <v>5.6330995858968391E-2</v>
      </c>
      <c r="P63" s="12">
        <f t="shared" si="2"/>
        <v>-5624.8800078046715</v>
      </c>
    </row>
    <row r="64" spans="1:16">
      <c r="A64" s="149">
        <v>0.38593707083346052</v>
      </c>
      <c r="B64" s="150">
        <f t="shared" si="3"/>
        <v>33.870573178834753</v>
      </c>
      <c r="C64" s="24">
        <f t="shared" si="0"/>
        <v>-5850.3717072712852</v>
      </c>
      <c r="H64" s="66">
        <v>2.4</v>
      </c>
      <c r="I64" s="10">
        <f t="shared" si="1"/>
        <v>0.88949944661519054</v>
      </c>
      <c r="J64" s="10">
        <f t="shared" si="4"/>
        <v>0.99699990931375027</v>
      </c>
      <c r="K64" s="66">
        <f t="shared" si="6"/>
        <v>2</v>
      </c>
      <c r="L64" s="5">
        <f t="shared" si="7"/>
        <v>2.9561028920332535E-2</v>
      </c>
      <c r="N64" s="5">
        <v>3.8812455906860124E-2</v>
      </c>
      <c r="O64" s="19">
        <f t="shared" si="5"/>
        <v>3.9575499122397773E-2</v>
      </c>
      <c r="P64" s="12">
        <f t="shared" si="2"/>
        <v>-6253.8837331514296</v>
      </c>
    </row>
    <row r="65" spans="1:16">
      <c r="A65" s="149">
        <v>0.96475112155522325</v>
      </c>
      <c r="B65" s="150">
        <f t="shared" si="3"/>
        <v>50.08483441860389</v>
      </c>
      <c r="C65" s="24">
        <f t="shared" si="0"/>
        <v>-5850.3717072712852</v>
      </c>
      <c r="H65" s="66">
        <v>2.4500000000000002</v>
      </c>
      <c r="I65" s="10">
        <f t="shared" si="1"/>
        <v>0.8873321500574477</v>
      </c>
      <c r="J65" s="10">
        <f t="shared" si="4"/>
        <v>0.99692805673741414</v>
      </c>
      <c r="K65" s="66">
        <f t="shared" si="6"/>
        <v>4</v>
      </c>
      <c r="L65" s="5">
        <f t="shared" si="7"/>
        <v>5.8973754402493528E-2</v>
      </c>
      <c r="N65" s="5">
        <v>0.10469459989247844</v>
      </c>
      <c r="O65" s="19">
        <f t="shared" si="5"/>
        <v>0.11037145100816392</v>
      </c>
      <c r="P65" s="12">
        <f t="shared" si="2"/>
        <v>-4160.8935316239904</v>
      </c>
    </row>
    <row r="66" spans="1:16">
      <c r="A66" s="149">
        <v>0.96694845423749509</v>
      </c>
      <c r="B66" s="150">
        <f t="shared" si="3"/>
        <v>50.24619806565169</v>
      </c>
      <c r="C66" s="24">
        <f t="shared" si="0"/>
        <v>-5850.3717072712852</v>
      </c>
      <c r="H66" s="66">
        <v>2.5</v>
      </c>
      <c r="I66" s="10">
        <f t="shared" si="1"/>
        <v>0.88517013419368074</v>
      </c>
      <c r="J66" s="10">
        <f t="shared" si="4"/>
        <v>0.99685578498619776</v>
      </c>
      <c r="K66" s="66">
        <f t="shared" si="6"/>
        <v>2</v>
      </c>
      <c r="L66" s="5">
        <f t="shared" si="7"/>
        <v>2.9412898965599326E-2</v>
      </c>
      <c r="N66" s="5">
        <v>7.0594118094173611E-2</v>
      </c>
      <c r="O66" s="19">
        <f t="shared" si="5"/>
        <v>7.314556709333031E-2</v>
      </c>
      <c r="P66" s="12">
        <f t="shared" si="2"/>
        <v>-5088.8351385718825</v>
      </c>
    </row>
    <row r="67" spans="1:16">
      <c r="A67" s="149">
        <v>0.62883388775292215</v>
      </c>
      <c r="B67" s="150">
        <f t="shared" si="3"/>
        <v>39.81166177248457</v>
      </c>
      <c r="C67" s="24">
        <f t="shared" si="0"/>
        <v>-5850.3717072712852</v>
      </c>
      <c r="H67" s="66">
        <v>2.5499999999999998</v>
      </c>
      <c r="I67" s="10">
        <f t="shared" si="1"/>
        <v>0.88301338615729374</v>
      </c>
      <c r="J67" s="10">
        <f t="shared" si="4"/>
        <v>0.99678309164574719</v>
      </c>
      <c r="K67" s="66">
        <f t="shared" si="6"/>
        <v>4</v>
      </c>
      <c r="L67" s="5">
        <f t="shared" si="7"/>
        <v>5.8678187534563157E-2</v>
      </c>
      <c r="N67" s="5">
        <v>4.233949580078479E-2</v>
      </c>
      <c r="O67" s="19">
        <f t="shared" si="5"/>
        <v>4.3248597154414981E-2</v>
      </c>
      <c r="P67" s="12">
        <f t="shared" si="2"/>
        <v>-6106.8847750542545</v>
      </c>
    </row>
    <row r="68" spans="1:16">
      <c r="A68" s="149">
        <v>0.48496963408307137</v>
      </c>
      <c r="B68" s="150">
        <f t="shared" si="3"/>
        <v>36.443444261556273</v>
      </c>
      <c r="C68" s="24">
        <f t="shared" si="0"/>
        <v>-5850.3717072712852</v>
      </c>
      <c r="H68" s="66">
        <v>2.6</v>
      </c>
      <c r="I68" s="10">
        <f t="shared" si="1"/>
        <v>0.88086189311304075</v>
      </c>
      <c r="J68" s="10">
        <f t="shared" si="4"/>
        <v>0.99670997428817021</v>
      </c>
      <c r="K68" s="66">
        <f t="shared" si="6"/>
        <v>2</v>
      </c>
      <c r="L68" s="5">
        <f t="shared" si="7"/>
        <v>2.9265461161204265E-2</v>
      </c>
      <c r="N68" s="5">
        <v>7.1021370738104453E-2</v>
      </c>
      <c r="O68" s="19">
        <f t="shared" si="5"/>
        <v>7.3604169336727754E-2</v>
      </c>
      <c r="P68" s="12">
        <f t="shared" si="2"/>
        <v>-5075.3800563561254</v>
      </c>
    </row>
    <row r="69" spans="1:16">
      <c r="A69" s="149">
        <v>0.34971160008545182</v>
      </c>
      <c r="B69" s="150">
        <f t="shared" si="3"/>
        <v>32.829867266200516</v>
      </c>
      <c r="C69" s="24">
        <f t="shared" si="0"/>
        <v>-5850.3717072712852</v>
      </c>
      <c r="H69" s="66">
        <v>2.65</v>
      </c>
      <c r="I69" s="10">
        <f t="shared" si="1"/>
        <v>0.87871564225694943</v>
      </c>
      <c r="J69" s="10">
        <f t="shared" si="4"/>
        <v>0.99663643047196471</v>
      </c>
      <c r="K69" s="66">
        <f t="shared" si="6"/>
        <v>4</v>
      </c>
      <c r="L69" s="5">
        <f t="shared" si="7"/>
        <v>5.8384001406589732E-2</v>
      </c>
      <c r="N69" s="5">
        <v>4.5426679727948796E-2</v>
      </c>
      <c r="O69" s="19">
        <f t="shared" si="5"/>
        <v>4.6474274022563211E-2</v>
      </c>
      <c r="P69" s="12">
        <f t="shared" si="2"/>
        <v>-5982.1790297191346</v>
      </c>
    </row>
    <row r="70" spans="1:16">
      <c r="A70" s="149">
        <v>8.0355235450300613E-2</v>
      </c>
      <c r="B70" s="150">
        <f t="shared" si="3"/>
        <v>19.640395517570962</v>
      </c>
      <c r="C70" s="24">
        <f t="shared" si="0"/>
        <v>-5850.3717072712852</v>
      </c>
      <c r="H70" s="66">
        <v>2.7</v>
      </c>
      <c r="I70" s="10">
        <f t="shared" si="1"/>
        <v>0.8765746208162446</v>
      </c>
      <c r="J70" s="10">
        <f t="shared" si="4"/>
        <v>0.99656245774194674</v>
      </c>
      <c r="K70" s="66">
        <f t="shared" si="6"/>
        <v>2</v>
      </c>
      <c r="L70" s="5">
        <f t="shared" si="7"/>
        <v>2.911871195049506E-2</v>
      </c>
      <c r="N70" s="5">
        <v>2.876497735281737E-2</v>
      </c>
      <c r="O70" s="19">
        <f t="shared" si="5"/>
        <v>2.918268481010089E-2</v>
      </c>
      <c r="P70" s="12">
        <f t="shared" si="2"/>
        <v>-6700.760117880006</v>
      </c>
    </row>
    <row r="71" spans="1:16">
      <c r="A71" s="149">
        <v>0.54014709921567428</v>
      </c>
      <c r="B71" s="150">
        <f t="shared" si="3"/>
        <v>37.765162744220575</v>
      </c>
      <c r="C71" s="24">
        <f t="shared" si="0"/>
        <v>-5850.3717072712852</v>
      </c>
      <c r="H71" s="66">
        <v>2.75</v>
      </c>
      <c r="I71" s="10">
        <f t="shared" si="1"/>
        <v>0.87443881604927254</v>
      </c>
      <c r="J71" s="10">
        <f t="shared" si="4"/>
        <v>0.99648805362917803</v>
      </c>
      <c r="K71" s="66">
        <f t="shared" si="6"/>
        <v>4</v>
      </c>
      <c r="L71" s="5">
        <f t="shared" si="7"/>
        <v>5.8091188921516164E-2</v>
      </c>
      <c r="N71" s="5">
        <v>5.0820079943274324E-2</v>
      </c>
      <c r="O71" s="19">
        <f t="shared" si="5"/>
        <v>5.2133576320020802E-2</v>
      </c>
      <c r="P71" s="12">
        <f t="shared" si="2"/>
        <v>-5772.810499667421</v>
      </c>
    </row>
    <row r="72" spans="1:16">
      <c r="A72" s="149">
        <v>0.82613605151524394</v>
      </c>
      <c r="B72" s="150">
        <f t="shared" si="3"/>
        <v>44.602337841579022</v>
      </c>
      <c r="C72" s="24">
        <f t="shared" si="0"/>
        <v>-5850.3717072712852</v>
      </c>
      <c r="H72" s="66">
        <v>2.8</v>
      </c>
      <c r="I72" s="10">
        <f t="shared" si="1"/>
        <v>0.87230821524542501</v>
      </c>
      <c r="J72" s="10">
        <f t="shared" si="4"/>
        <v>0.99641321565089436</v>
      </c>
      <c r="K72" s="66">
        <f t="shared" si="6"/>
        <v>2</v>
      </c>
      <c r="L72" s="5">
        <f t="shared" si="7"/>
        <v>2.8972647793046216E-2</v>
      </c>
      <c r="N72" s="5">
        <v>6.4851962017324696E-2</v>
      </c>
      <c r="O72" s="19">
        <f t="shared" si="5"/>
        <v>6.7001056007977455E-2</v>
      </c>
      <c r="P72" s="12">
        <f t="shared" si="2"/>
        <v>-5274.829210803071</v>
      </c>
    </row>
    <row r="73" spans="1:16">
      <c r="A73" s="149">
        <v>0.6104922635578478</v>
      </c>
      <c r="B73" s="150">
        <f t="shared" si="3"/>
        <v>39.392070378136047</v>
      </c>
      <c r="C73" s="24">
        <f t="shared" si="0"/>
        <v>-5850.3717072712852</v>
      </c>
      <c r="H73" s="66">
        <v>2.85</v>
      </c>
      <c r="I73" s="10">
        <f t="shared" si="1"/>
        <v>0.87018280572506368</v>
      </c>
      <c r="J73" s="10">
        <f t="shared" si="4"/>
        <v>0.99633794131043174</v>
      </c>
      <c r="K73" s="66">
        <f t="shared" si="6"/>
        <v>4</v>
      </c>
      <c r="L73" s="5">
        <f t="shared" si="7"/>
        <v>5.7799743014656367E-2</v>
      </c>
      <c r="N73" s="5">
        <v>8.3944817967800192E-2</v>
      </c>
      <c r="O73" s="19">
        <f t="shared" si="5"/>
        <v>8.7568877892101993E-2</v>
      </c>
      <c r="P73" s="12">
        <f t="shared" si="2"/>
        <v>-4691.9048430242083</v>
      </c>
    </row>
    <row r="74" spans="1:16">
      <c r="A74" s="149">
        <v>0.91607409894100778</v>
      </c>
      <c r="B74" s="150">
        <f t="shared" si="3"/>
        <v>47.544368225999797</v>
      </c>
      <c r="C74" s="24">
        <f t="shared" si="0"/>
        <v>-5850.3717072712852</v>
      </c>
      <c r="H74" s="66">
        <v>2.9</v>
      </c>
      <c r="I74" s="10">
        <f t="shared" si="1"/>
        <v>0.86806257483944427</v>
      </c>
      <c r="J74" s="10">
        <f t="shared" si="4"/>
        <v>0.9962622280971537</v>
      </c>
      <c r="K74" s="66">
        <f t="shared" si="6"/>
        <v>2</v>
      </c>
      <c r="L74" s="5">
        <f t="shared" si="7"/>
        <v>2.8827265164576565E-2</v>
      </c>
      <c r="N74" s="5">
        <v>1.971784645059961E-2</v>
      </c>
      <c r="O74" s="19">
        <f t="shared" si="5"/>
        <v>1.9913527203178516E-2</v>
      </c>
      <c r="P74" s="12">
        <f t="shared" si="2"/>
        <v>-7141.8485064397228</v>
      </c>
    </row>
    <row r="75" spans="1:16">
      <c r="A75" s="149">
        <v>0.76711325418866538</v>
      </c>
      <c r="B75" s="150">
        <f t="shared" si="3"/>
        <v>43.059224303687962</v>
      </c>
      <c r="C75" s="24">
        <f t="shared" si="0"/>
        <v>-5850.3717072712852</v>
      </c>
      <c r="H75" s="66">
        <v>2.95</v>
      </c>
      <c r="I75" s="10">
        <f t="shared" si="1"/>
        <v>0.86594750997064196</v>
      </c>
      <c r="J75" s="10">
        <f t="shared" si="4"/>
        <v>0.99618607348637811</v>
      </c>
      <c r="K75" s="66">
        <f t="shared" si="6"/>
        <v>4</v>
      </c>
      <c r="L75" s="5">
        <f t="shared" si="7"/>
        <v>5.7509656653530673E-2</v>
      </c>
      <c r="N75" s="5">
        <v>4.1036504009876809E-2</v>
      </c>
      <c r="O75" s="19">
        <f t="shared" si="5"/>
        <v>4.1890138019195167E-2</v>
      </c>
      <c r="P75" s="12">
        <f t="shared" si="2"/>
        <v>-6160.6193677107576</v>
      </c>
    </row>
    <row r="76" spans="1:16">
      <c r="A76" s="149">
        <v>0.17969298379467147</v>
      </c>
      <c r="B76" s="150">
        <f t="shared" si="3"/>
        <v>26.447965964711994</v>
      </c>
      <c r="C76" s="24">
        <f t="shared" si="0"/>
        <v>-5850.3717072712852</v>
      </c>
      <c r="H76" s="66">
        <v>3</v>
      </c>
      <c r="I76" s="10">
        <f t="shared" si="1"/>
        <v>0.86383759853147601</v>
      </c>
      <c r="J76" s="10">
        <f t="shared" si="4"/>
        <v>0.99610947493930246</v>
      </c>
      <c r="K76" s="66">
        <f t="shared" si="6"/>
        <v>2</v>
      </c>
      <c r="L76" s="5">
        <f t="shared" si="7"/>
        <v>2.8682560556867218E-2</v>
      </c>
      <c r="N76" s="5">
        <v>5.8822559774067487E-2</v>
      </c>
      <c r="O76" s="19">
        <f t="shared" si="5"/>
        <v>6.0587033240062871E-2</v>
      </c>
      <c r="P76" s="12">
        <f t="shared" si="2"/>
        <v>-5480.92834457139</v>
      </c>
    </row>
    <row r="77" spans="1:16">
      <c r="A77" s="149">
        <v>0.73751029999694817</v>
      </c>
      <c r="B77" s="150">
        <f t="shared" si="3"/>
        <v>42.336512230245013</v>
      </c>
      <c r="C77" s="24">
        <f t="shared" si="0"/>
        <v>-5850.3717072712852</v>
      </c>
      <c r="H77" s="66">
        <v>3.05</v>
      </c>
      <c r="I77" s="10">
        <f t="shared" si="1"/>
        <v>0.86173282796543427</v>
      </c>
      <c r="J77" s="10">
        <f t="shared" si="4"/>
        <v>0.99603242990293073</v>
      </c>
      <c r="K77" s="66">
        <f t="shared" si="6"/>
        <v>4</v>
      </c>
      <c r="L77" s="5">
        <f t="shared" si="7"/>
        <v>5.722092283770238E-2</v>
      </c>
      <c r="N77" s="5">
        <v>4.5731269162512037E-2</v>
      </c>
      <c r="O77" s="19">
        <f t="shared" si="5"/>
        <v>4.6793067578082548E-2</v>
      </c>
      <c r="P77" s="12">
        <f t="shared" si="2"/>
        <v>-5970.070673082756</v>
      </c>
    </row>
    <row r="78" spans="1:16">
      <c r="A78" s="149">
        <v>9.8818933683278903E-2</v>
      </c>
      <c r="B78" s="150">
        <f t="shared" si="3"/>
        <v>21.315860691956122</v>
      </c>
      <c r="C78" s="24">
        <f t="shared" si="0"/>
        <v>-5850.3717072712852</v>
      </c>
      <c r="H78" s="66">
        <v>3.1</v>
      </c>
      <c r="I78" s="10">
        <f t="shared" si="1"/>
        <v>0.85963318574659953</v>
      </c>
      <c r="J78" s="10">
        <f t="shared" si="4"/>
        <v>0.99595493580999839</v>
      </c>
      <c r="K78" s="66">
        <f t="shared" si="6"/>
        <v>2</v>
      </c>
      <c r="L78" s="5">
        <f t="shared" si="7"/>
        <v>2.8538530477679968E-2</v>
      </c>
      <c r="N78" s="5">
        <v>-1.3710196552565307E-3</v>
      </c>
      <c r="O78" s="19">
        <f t="shared" si="5"/>
        <v>-1.3700802371782173E-3</v>
      </c>
      <c r="P78" s="12">
        <f t="shared" si="2"/>
        <v>-8335.4163739538817</v>
      </c>
    </row>
    <row r="79" spans="1:16">
      <c r="A79" s="149">
        <v>0.14651936399426252</v>
      </c>
      <c r="B79" s="150">
        <f t="shared" si="3"/>
        <v>24.645639603303838</v>
      </c>
      <c r="C79" s="24">
        <f t="shared" si="0"/>
        <v>-5850.3717072712852</v>
      </c>
      <c r="H79" s="66">
        <v>3.15</v>
      </c>
      <c r="I79" s="10">
        <f t="shared" si="1"/>
        <v>0.85753865937957408</v>
      </c>
      <c r="J79" s="10">
        <f t="shared" si="4"/>
        <v>0.99587699007889741</v>
      </c>
      <c r="K79" s="66">
        <f t="shared" si="6"/>
        <v>4</v>
      </c>
      <c r="L79" s="5">
        <f t="shared" si="7"/>
        <v>5.6933534598614867E-2</v>
      </c>
      <c r="N79" s="5">
        <v>4.1507046327875288E-2</v>
      </c>
      <c r="O79" s="19">
        <f t="shared" si="5"/>
        <v>4.2380506780417715E-2</v>
      </c>
      <c r="P79" s="12">
        <f t="shared" si="2"/>
        <v>-6141.1380432821006</v>
      </c>
    </row>
    <row r="80" spans="1:16">
      <c r="A80" s="149">
        <v>0.4008911404766991</v>
      </c>
      <c r="B80" s="150">
        <f t="shared" si="3"/>
        <v>34.281739857424633</v>
      </c>
      <c r="C80" s="24">
        <f t="shared" ref="C80:C143" si="8">IF($B80&lt;15,B$8*(B$10^$B80)-B$7*(1-B$10^$B80)/B$11, -B$7*(1-B$10^15)/B$11)</f>
        <v>-5850.3717072712852</v>
      </c>
      <c r="H80" s="66">
        <v>3.2</v>
      </c>
      <c r="I80" s="10">
        <f t="shared" ref="I80:I143" si="9">B$10^H80</f>
        <v>0.85544923639940584</v>
      </c>
      <c r="J80" s="10">
        <f t="shared" si="4"/>
        <v>0.9957985901136015</v>
      </c>
      <c r="K80" s="66">
        <f t="shared" si="6"/>
        <v>2</v>
      </c>
      <c r="L80" s="5">
        <f t="shared" si="7"/>
        <v>2.8395171450676177E-2</v>
      </c>
      <c r="N80" s="5">
        <v>6.9042125206906363E-3</v>
      </c>
      <c r="O80" s="19">
        <f t="shared" si="5"/>
        <v>6.9281015426043702E-3</v>
      </c>
      <c r="P80" s="12">
        <f t="shared" ref="P80:P143" si="10">IF($B80&lt;15,B$8*((1+O80)^-$B80)-B$7*(1-(1+O80)^-$B80)/LN(1+O80), -B$7*(1-(1+O80)^-15)/LN(1+O80))</f>
        <v>-7837.1751381135755</v>
      </c>
    </row>
    <row r="81" spans="1:16">
      <c r="A81" s="149">
        <v>0.5679494613483077</v>
      </c>
      <c r="B81" s="150">
        <f t="shared" ref="B81:B144" si="11">LN(1-LN(B$4)*(LN(1-A81)/(B$3*B$4^50)))/LN(B$4)</f>
        <v>38.413378315101973</v>
      </c>
      <c r="C81" s="24">
        <f t="shared" si="8"/>
        <v>-5850.3717072712852</v>
      </c>
      <c r="H81" s="66">
        <v>3.25</v>
      </c>
      <c r="I81" s="10">
        <f t="shared" si="9"/>
        <v>0.85336490437151402</v>
      </c>
      <c r="J81" s="10">
        <f t="shared" ref="J81:J144" si="12">B$9^((B$4^B$6)*((B$4^H81)-1))</f>
        <v>0.99571973330359043</v>
      </c>
      <c r="K81" s="66">
        <f t="shared" si="6"/>
        <v>4</v>
      </c>
      <c r="L81" s="5">
        <f t="shared" si="7"/>
        <v>5.6647484999429863E-2</v>
      </c>
      <c r="N81" s="5">
        <v>4.7431293021087187E-2</v>
      </c>
      <c r="O81" s="19">
        <f t="shared" ref="O81:O144" si="13">EXP(N81)-1</f>
        <v>4.8574154283946402E-2</v>
      </c>
      <c r="P81" s="12">
        <f t="shared" si="10"/>
        <v>-5903.1224453750983</v>
      </c>
    </row>
    <row r="82" spans="1:16">
      <c r="A82" s="149">
        <v>0.4086123233741264</v>
      </c>
      <c r="B82" s="150">
        <f t="shared" si="11"/>
        <v>34.490333456321096</v>
      </c>
      <c r="C82" s="24">
        <f t="shared" si="8"/>
        <v>-5850.3717072712852</v>
      </c>
      <c r="H82" s="66">
        <v>3.3</v>
      </c>
      <c r="I82" s="10">
        <f t="shared" si="9"/>
        <v>0.85128565089161512</v>
      </c>
      <c r="J82" s="10">
        <f t="shared" si="12"/>
        <v>0.99564041702377437</v>
      </c>
      <c r="K82" s="66">
        <f t="shared" si="6"/>
        <v>2</v>
      </c>
      <c r="L82" s="5">
        <f t="shared" si="7"/>
        <v>2.82524800153361E-2</v>
      </c>
      <c r="N82" s="5">
        <v>4.2567780335171848E-2</v>
      </c>
      <c r="O82" s="19">
        <f t="shared" si="13"/>
        <v>4.3486781860574419E-2</v>
      </c>
      <c r="P82" s="12">
        <f t="shared" si="10"/>
        <v>-6097.5384182176622</v>
      </c>
    </row>
    <row r="83" spans="1:16">
      <c r="A83" s="149">
        <v>0.96407971434675133</v>
      </c>
      <c r="B83" s="150">
        <f t="shared" si="11"/>
        <v>50.036944036504885</v>
      </c>
      <c r="C83" s="24">
        <f t="shared" si="8"/>
        <v>-5850.3717072712852</v>
      </c>
      <c r="H83" s="66">
        <v>3.35</v>
      </c>
      <c r="I83" s="10">
        <f t="shared" si="9"/>
        <v>0.84921146358564881</v>
      </c>
      <c r="J83" s="10">
        <f t="shared" si="12"/>
        <v>0.99556063863441757</v>
      </c>
      <c r="K83" s="66">
        <f t="shared" ref="K83:K146" si="14">IF(K82=4,2,4)</f>
        <v>4</v>
      </c>
      <c r="L83" s="5">
        <f t="shared" ref="L83:L146" si="15">I83*J83*K83*0.05/3</f>
        <v>5.6362767134866466E-2</v>
      </c>
      <c r="N83" s="5">
        <v>-4.5317138327518464E-3</v>
      </c>
      <c r="O83" s="19">
        <f t="shared" si="13"/>
        <v>-4.5214611109348768E-3</v>
      </c>
      <c r="P83" s="12">
        <f t="shared" si="10"/>
        <v>-8536.8627063793247</v>
      </c>
    </row>
    <row r="84" spans="1:16">
      <c r="A84" s="149">
        <v>0.25614185003204443</v>
      </c>
      <c r="B84" s="150">
        <f t="shared" si="11"/>
        <v>29.730320062487777</v>
      </c>
      <c r="C84" s="24">
        <f t="shared" si="8"/>
        <v>-5850.3717072712852</v>
      </c>
      <c r="H84" s="66">
        <v>3.4</v>
      </c>
      <c r="I84" s="10">
        <f t="shared" si="9"/>
        <v>0.84714233010970519</v>
      </c>
      <c r="J84" s="10">
        <f t="shared" si="12"/>
        <v>0.99548039548106193</v>
      </c>
      <c r="K84" s="66">
        <f t="shared" si="14"/>
        <v>2</v>
      </c>
      <c r="L84" s="5">
        <f t="shared" si="15"/>
        <v>2.811045272687859E-2</v>
      </c>
      <c r="N84" s="5">
        <v>3.4256930072966499E-2</v>
      </c>
      <c r="O84" s="19">
        <f t="shared" si="13"/>
        <v>3.4850456777588468E-2</v>
      </c>
      <c r="P84" s="12">
        <f t="shared" si="10"/>
        <v>-6451.186253337296</v>
      </c>
    </row>
    <row r="85" spans="1:16">
      <c r="A85" s="149">
        <v>0.43186742759483626</v>
      </c>
      <c r="B85" s="150">
        <f t="shared" si="11"/>
        <v>35.104806110049431</v>
      </c>
      <c r="C85" s="24">
        <f t="shared" si="8"/>
        <v>-5850.3717072712852</v>
      </c>
      <c r="H85" s="66">
        <v>3.45</v>
      </c>
      <c r="I85" s="10">
        <f t="shared" si="9"/>
        <v>0.8450782381499502</v>
      </c>
      <c r="J85" s="10">
        <f t="shared" si="12"/>
        <v>0.99539968489445019</v>
      </c>
      <c r="K85" s="66">
        <f t="shared" si="14"/>
        <v>4</v>
      </c>
      <c r="L85" s="5">
        <f t="shared" si="15"/>
        <v>5.6079374131041172E-2</v>
      </c>
      <c r="N85" s="5">
        <v>9.7759070259926389E-3</v>
      </c>
      <c r="O85" s="19">
        <f t="shared" si="13"/>
        <v>9.8238472976137636E-3</v>
      </c>
      <c r="P85" s="12">
        <f t="shared" si="10"/>
        <v>-7673.6293447226626</v>
      </c>
    </row>
    <row r="86" spans="1:16">
      <c r="A86" s="149">
        <v>0.46711630603961302</v>
      </c>
      <c r="B86" s="150">
        <f t="shared" si="11"/>
        <v>36.00209414288129</v>
      </c>
      <c r="C86" s="24">
        <f t="shared" si="8"/>
        <v>-5850.3717072712852</v>
      </c>
      <c r="H86" s="66">
        <v>3.5</v>
      </c>
      <c r="I86" s="10">
        <f t="shared" si="9"/>
        <v>0.84301917542255311</v>
      </c>
      <c r="J86" s="10">
        <f t="shared" si="12"/>
        <v>0.99531850419044887</v>
      </c>
      <c r="K86" s="66">
        <f t="shared" si="14"/>
        <v>2</v>
      </c>
      <c r="L86" s="5">
        <f t="shared" si="15"/>
        <v>2.7969086156181378E-2</v>
      </c>
      <c r="N86" s="5">
        <v>8.8658899082598511E-2</v>
      </c>
      <c r="O86" s="19">
        <f t="shared" si="13"/>
        <v>9.2707869094311279E-2</v>
      </c>
      <c r="P86" s="12">
        <f t="shared" si="10"/>
        <v>-4562.6616290215761</v>
      </c>
    </row>
    <row r="87" spans="1:16">
      <c r="A87" s="149">
        <v>1.9379253517258218E-2</v>
      </c>
      <c r="B87" s="150">
        <f t="shared" si="11"/>
        <v>9.6814029982707606</v>
      </c>
      <c r="C87" s="24">
        <f t="shared" si="8"/>
        <v>120462.29511628878</v>
      </c>
      <c r="H87" s="66">
        <v>3.55</v>
      </c>
      <c r="I87" s="10">
        <f t="shared" si="9"/>
        <v>0.84096512967361303</v>
      </c>
      <c r="J87" s="10">
        <f t="shared" si="12"/>
        <v>0.99523685066997047</v>
      </c>
      <c r="K87" s="66">
        <f t="shared" si="14"/>
        <v>4</v>
      </c>
      <c r="L87" s="5">
        <f t="shared" si="15"/>
        <v>5.5797299145308669E-2</v>
      </c>
      <c r="N87" s="5">
        <v>3.4806489745402361E-2</v>
      </c>
      <c r="O87" s="19">
        <f t="shared" si="13"/>
        <v>3.5419325154877557E-2</v>
      </c>
      <c r="P87" s="12">
        <f t="shared" si="10"/>
        <v>138264.80617171206</v>
      </c>
    </row>
    <row r="88" spans="1:16">
      <c r="A88" s="149">
        <v>0.85299233985412148</v>
      </c>
      <c r="B88" s="150">
        <f t="shared" si="11"/>
        <v>45.376005891410998</v>
      </c>
      <c r="C88" s="24">
        <f t="shared" si="8"/>
        <v>-5850.3717072712852</v>
      </c>
      <c r="H88" s="66">
        <v>3.6</v>
      </c>
      <c r="I88" s="10">
        <f t="shared" si="9"/>
        <v>0.8389160886790864</v>
      </c>
      <c r="J88" s="10">
        <f t="shared" si="12"/>
        <v>0.99515472161889618</v>
      </c>
      <c r="K88" s="66">
        <f t="shared" si="14"/>
        <v>2</v>
      </c>
      <c r="L88" s="5">
        <f t="shared" si="15"/>
        <v>2.7828376889701651E-2</v>
      </c>
      <c r="N88" s="5">
        <v>5.2628601972297476E-2</v>
      </c>
      <c r="O88" s="19">
        <f t="shared" si="13"/>
        <v>5.4038104741970017E-2</v>
      </c>
      <c r="P88" s="12">
        <f t="shared" si="10"/>
        <v>-5704.9358727725785</v>
      </c>
    </row>
    <row r="89" spans="1:16">
      <c r="A89" s="149">
        <v>0.98782311471907713</v>
      </c>
      <c r="B89" s="150">
        <f t="shared" si="11"/>
        <v>52.421723485056155</v>
      </c>
      <c r="C89" s="24">
        <f t="shared" si="8"/>
        <v>-5850.3717072712852</v>
      </c>
      <c r="H89" s="66">
        <v>3.65</v>
      </c>
      <c r="I89" s="10">
        <f t="shared" si="9"/>
        <v>0.83687204024471362</v>
      </c>
      <c r="J89" s="10">
        <f t="shared" si="12"/>
        <v>0.99507211430799725</v>
      </c>
      <c r="K89" s="66">
        <f t="shared" si="14"/>
        <v>4</v>
      </c>
      <c r="L89" s="5">
        <f t="shared" si="15"/>
        <v>5.5516535366103646E-2</v>
      </c>
      <c r="N89" s="5">
        <v>3.4893069093537635E-2</v>
      </c>
      <c r="O89" s="19">
        <f t="shared" si="13"/>
        <v>3.5508974965951179E-2</v>
      </c>
      <c r="P89" s="12">
        <f t="shared" si="10"/>
        <v>-6423.1172085845737</v>
      </c>
    </row>
    <row r="90" spans="1:16">
      <c r="A90" s="149">
        <v>0.85592211676381724</v>
      </c>
      <c r="B90" s="150">
        <f t="shared" si="11"/>
        <v>45.464264031446938</v>
      </c>
      <c r="C90" s="24">
        <f t="shared" si="8"/>
        <v>-5850.3717072712852</v>
      </c>
      <c r="H90" s="66">
        <v>3.7</v>
      </c>
      <c r="I90" s="10">
        <f t="shared" si="9"/>
        <v>0.83483297220594721</v>
      </c>
      <c r="J90" s="10">
        <f t="shared" si="12"/>
        <v>0.99498902599285655</v>
      </c>
      <c r="K90" s="66">
        <f t="shared" si="14"/>
        <v>2</v>
      </c>
      <c r="L90" s="5">
        <f t="shared" si="15"/>
        <v>2.7688321529397233E-2</v>
      </c>
      <c r="N90" s="5">
        <v>6.0773718539290714E-2</v>
      </c>
      <c r="O90" s="19">
        <f t="shared" si="13"/>
        <v>6.2658427078220003E-2</v>
      </c>
      <c r="P90" s="12">
        <f t="shared" si="10"/>
        <v>-5412.9794906778561</v>
      </c>
    </row>
    <row r="91" spans="1:16">
      <c r="A91" s="149">
        <v>0.39619129001739556</v>
      </c>
      <c r="B91" s="150">
        <f t="shared" si="11"/>
        <v>34.15356297821463</v>
      </c>
      <c r="C91" s="24">
        <f t="shared" si="8"/>
        <v>-5850.3717072712852</v>
      </c>
      <c r="H91" s="66">
        <v>3.75</v>
      </c>
      <c r="I91" s="10">
        <f t="shared" si="9"/>
        <v>0.83279887242787853</v>
      </c>
      <c r="J91" s="10">
        <f t="shared" si="12"/>
        <v>0.99490545391378982</v>
      </c>
      <c r="K91" s="66">
        <f t="shared" si="14"/>
        <v>4</v>
      </c>
      <c r="L91" s="5">
        <f t="shared" si="15"/>
        <v>5.5237076012783388E-2</v>
      </c>
      <c r="N91" s="5">
        <v>4.756965558693628E-2</v>
      </c>
      <c r="O91" s="19">
        <f t="shared" si="13"/>
        <v>4.8719247731935589E-2</v>
      </c>
      <c r="P91" s="12">
        <f t="shared" si="10"/>
        <v>-5897.7204973408452</v>
      </c>
    </row>
    <row r="92" spans="1:16">
      <c r="A92" s="149">
        <v>0.95446638386181215</v>
      </c>
      <c r="B92" s="150">
        <f t="shared" si="11"/>
        <v>49.41080122982077</v>
      </c>
      <c r="C92" s="24">
        <f t="shared" si="8"/>
        <v>-5850.3717072712852</v>
      </c>
      <c r="H92" s="66">
        <v>3.8</v>
      </c>
      <c r="I92" s="10">
        <f t="shared" si="9"/>
        <v>0.83076972880516664</v>
      </c>
      <c r="J92" s="10">
        <f t="shared" si="12"/>
        <v>0.99482139529576674</v>
      </c>
      <c r="K92" s="66">
        <f t="shared" si="14"/>
        <v>2</v>
      </c>
      <c r="L92" s="5">
        <f t="shared" si="15"/>
        <v>2.7548916692648057E-2</v>
      </c>
      <c r="N92" s="5">
        <v>4.5749817965894182E-2</v>
      </c>
      <c r="O92" s="19">
        <f t="shared" si="13"/>
        <v>4.6812484516954855E-2</v>
      </c>
      <c r="P92" s="12">
        <f t="shared" si="10"/>
        <v>-5969.3344216270025</v>
      </c>
    </row>
    <row r="93" spans="1:16">
      <c r="A93" s="149">
        <v>0.40391247291482285</v>
      </c>
      <c r="B93" s="150">
        <f t="shared" si="11"/>
        <v>34.363652064082572</v>
      </c>
      <c r="C93" s="24">
        <f t="shared" si="8"/>
        <v>-5850.3717072712852</v>
      </c>
      <c r="H93" s="66">
        <v>3.85</v>
      </c>
      <c r="I93" s="10">
        <f t="shared" si="9"/>
        <v>0.82874552926196532</v>
      </c>
      <c r="J93" s="10">
        <f t="shared" si="12"/>
        <v>0.99473684734833079</v>
      </c>
      <c r="K93" s="66">
        <f t="shared" si="14"/>
        <v>4</v>
      </c>
      <c r="L93" s="5">
        <f t="shared" si="15"/>
        <v>5.4958914335471419E-2</v>
      </c>
      <c r="N93" s="5">
        <v>7.5330939987121384E-2</v>
      </c>
      <c r="O93" s="19">
        <f t="shared" si="13"/>
        <v>7.8240924883778762E-2</v>
      </c>
      <c r="P93" s="12">
        <f t="shared" si="10"/>
        <v>-4942.5286687110365</v>
      </c>
    </row>
    <row r="94" spans="1:16">
      <c r="A94" s="149">
        <v>0.19782097842341381</v>
      </c>
      <c r="B94" s="150">
        <f t="shared" si="11"/>
        <v>27.317259310887703</v>
      </c>
      <c r="C94" s="24">
        <f t="shared" si="8"/>
        <v>-5850.3717072712852</v>
      </c>
      <c r="H94" s="66">
        <v>3.9</v>
      </c>
      <c r="I94" s="10">
        <f t="shared" si="9"/>
        <v>0.8267262617518516</v>
      </c>
      <c r="J94" s="10">
        <f t="shared" si="12"/>
        <v>0.99465180726551994</v>
      </c>
      <c r="K94" s="66">
        <f t="shared" si="14"/>
        <v>2</v>
      </c>
      <c r="L94" s="5">
        <f t="shared" si="15"/>
        <v>2.7410159012178217E-2</v>
      </c>
      <c r="N94" s="5">
        <v>2.2207112303600299E-2</v>
      </c>
      <c r="O94" s="19">
        <f t="shared" si="13"/>
        <v>2.2455525661827069E-2</v>
      </c>
      <c r="P94" s="12">
        <f t="shared" si="10"/>
        <v>-7016.6010965507194</v>
      </c>
    </row>
    <row r="95" spans="1:16">
      <c r="A95" s="149">
        <v>0.34363841669972839</v>
      </c>
      <c r="B95" s="150">
        <f t="shared" si="11"/>
        <v>32.648380130882316</v>
      </c>
      <c r="C95" s="24">
        <f t="shared" si="8"/>
        <v>-5850.3717072712852</v>
      </c>
      <c r="H95" s="66">
        <v>3.95</v>
      </c>
      <c r="I95" s="10">
        <f t="shared" si="9"/>
        <v>0.82471191425775425</v>
      </c>
      <c r="J95" s="10">
        <f t="shared" si="12"/>
        <v>0.99456627222578609</v>
      </c>
      <c r="K95" s="66">
        <f t="shared" si="14"/>
        <v>4</v>
      </c>
      <c r="L95" s="5">
        <f t="shared" si="15"/>
        <v>5.4682043614901789E-2</v>
      </c>
      <c r="N95" s="5">
        <v>7.6013218128660812E-2</v>
      </c>
      <c r="O95" s="19">
        <f t="shared" si="13"/>
        <v>7.897683611766726E-2</v>
      </c>
      <c r="P95" s="12">
        <f t="shared" si="10"/>
        <v>-4921.9651513055551</v>
      </c>
    </row>
    <row r="96" spans="1:16">
      <c r="A96" s="149">
        <v>0.95989867854853972</v>
      </c>
      <c r="B96" s="150">
        <f t="shared" si="11"/>
        <v>49.751960055767753</v>
      </c>
      <c r="C96" s="24">
        <f t="shared" si="8"/>
        <v>-5850.3717072712852</v>
      </c>
      <c r="H96" s="66">
        <v>4</v>
      </c>
      <c r="I96" s="10">
        <f t="shared" si="9"/>
        <v>0.82270247479188185</v>
      </c>
      <c r="J96" s="10">
        <f t="shared" si="12"/>
        <v>0.99448023939191488</v>
      </c>
      <c r="K96" s="66">
        <f t="shared" si="14"/>
        <v>2</v>
      </c>
      <c r="L96" s="5">
        <f t="shared" si="15"/>
        <v>2.7272045135978387E-2</v>
      </c>
      <c r="N96" s="5">
        <v>3.6600490554643331E-2</v>
      </c>
      <c r="O96" s="19">
        <f t="shared" si="13"/>
        <v>3.727853547587312E-2</v>
      </c>
      <c r="P96" s="12">
        <f t="shared" si="10"/>
        <v>-6348.6160143444949</v>
      </c>
    </row>
    <row r="97" spans="1:16">
      <c r="A97" s="149">
        <v>0.54139835810419024</v>
      </c>
      <c r="B97" s="150">
        <f t="shared" si="11"/>
        <v>37.794541773288167</v>
      </c>
      <c r="C97" s="24">
        <f t="shared" si="8"/>
        <v>-5850.3717072712852</v>
      </c>
      <c r="H97" s="66">
        <v>4.05</v>
      </c>
      <c r="I97" s="10">
        <f t="shared" si="9"/>
        <v>0.82069793139565161</v>
      </c>
      <c r="J97" s="10">
        <f t="shared" si="12"/>
        <v>0.99439370591094411</v>
      </c>
      <c r="K97" s="66">
        <f t="shared" si="14"/>
        <v>4</v>
      </c>
      <c r="L97" s="5">
        <f t="shared" si="15"/>
        <v>5.440645716226452E-2</v>
      </c>
      <c r="N97" s="5">
        <v>6.1942923318507384E-2</v>
      </c>
      <c r="O97" s="19">
        <f t="shared" si="13"/>
        <v>6.3901619021190958E-2</v>
      </c>
      <c r="P97" s="12">
        <f t="shared" si="10"/>
        <v>-5372.8428273302052</v>
      </c>
    </row>
    <row r="98" spans="1:16">
      <c r="A98" s="149">
        <v>0.23221533860286264</v>
      </c>
      <c r="B98" s="150">
        <f t="shared" si="11"/>
        <v>28.800197624597423</v>
      </c>
      <c r="C98" s="24">
        <f t="shared" si="8"/>
        <v>-5850.3717072712852</v>
      </c>
      <c r="H98" s="66">
        <v>4.0999999999999996</v>
      </c>
      <c r="I98" s="10">
        <f t="shared" si="9"/>
        <v>0.81869827213961854</v>
      </c>
      <c r="J98" s="10">
        <f t="shared" si="12"/>
        <v>0.99430666891408359</v>
      </c>
      <c r="K98" s="66">
        <f t="shared" si="14"/>
        <v>2</v>
      </c>
      <c r="L98" s="5">
        <f t="shared" si="15"/>
        <v>2.7134571727228666E-2</v>
      </c>
      <c r="N98" s="5">
        <v>8.4246640151046451E-2</v>
      </c>
      <c r="O98" s="19">
        <f t="shared" si="13"/>
        <v>8.7897179847172158E-2</v>
      </c>
      <c r="P98" s="12">
        <f t="shared" si="10"/>
        <v>-4683.4674032069806</v>
      </c>
    </row>
    <row r="99" spans="1:16">
      <c r="A99" s="149">
        <v>0.17557298501541185</v>
      </c>
      <c r="B99" s="150">
        <f t="shared" si="11"/>
        <v>26.240232252637576</v>
      </c>
      <c r="C99" s="24">
        <f t="shared" si="8"/>
        <v>-5850.3717072712852</v>
      </c>
      <c r="H99" s="66">
        <v>4.1500000000000004</v>
      </c>
      <c r="I99" s="10">
        <f t="shared" si="9"/>
        <v>0.81670348512340385</v>
      </c>
      <c r="J99" s="10">
        <f t="shared" si="12"/>
        <v>0.9942191255166325</v>
      </c>
      <c r="K99" s="66">
        <f t="shared" si="14"/>
        <v>4</v>
      </c>
      <c r="L99" s="5">
        <f t="shared" si="15"/>
        <v>5.4132148319051776E-2</v>
      </c>
      <c r="N99" s="5">
        <v>7.0667217366586557E-2</v>
      </c>
      <c r="O99" s="19">
        <f t="shared" si="13"/>
        <v>7.3224016120726487E-2</v>
      </c>
      <c r="P99" s="12">
        <f t="shared" si="10"/>
        <v>-5086.5293944023106</v>
      </c>
    </row>
    <row r="100" spans="1:16">
      <c r="A100" s="149">
        <v>0.83269753105258337</v>
      </c>
      <c r="B100" s="150">
        <f t="shared" si="11"/>
        <v>44.786051903112515</v>
      </c>
      <c r="C100" s="24">
        <f t="shared" si="8"/>
        <v>-5850.3717072712852</v>
      </c>
      <c r="H100" s="66">
        <v>4.2</v>
      </c>
      <c r="I100" s="10">
        <f t="shared" si="9"/>
        <v>0.81471355847562454</v>
      </c>
      <c r="J100" s="10">
        <f t="shared" si="12"/>
        <v>0.99413107281789792</v>
      </c>
      <c r="K100" s="66">
        <f t="shared" si="14"/>
        <v>2</v>
      </c>
      <c r="L100" s="5">
        <f t="shared" si="15"/>
        <v>2.6997735464222E-2</v>
      </c>
      <c r="N100" s="5">
        <v>5.2305299343184744E-2</v>
      </c>
      <c r="O100" s="19">
        <f t="shared" si="13"/>
        <v>5.3697386532036262E-2</v>
      </c>
      <c r="P100" s="12">
        <f t="shared" si="10"/>
        <v>-5716.9857363222363</v>
      </c>
    </row>
    <row r="101" spans="1:16">
      <c r="A101" s="149">
        <v>0.29572435682241277</v>
      </c>
      <c r="B101" s="150">
        <f t="shared" si="11"/>
        <v>31.129957030225899</v>
      </c>
      <c r="C101" s="24">
        <f t="shared" si="8"/>
        <v>-5850.3717072712852</v>
      </c>
      <c r="H101" s="66">
        <v>4.25</v>
      </c>
      <c r="I101" s="10">
        <f t="shared" si="9"/>
        <v>0.81272848035382284</v>
      </c>
      <c r="J101" s="10">
        <f t="shared" si="12"/>
        <v>0.9940425079011127</v>
      </c>
      <c r="K101" s="66">
        <f t="shared" si="14"/>
        <v>4</v>
      </c>
      <c r="L101" s="5">
        <f t="shared" si="15"/>
        <v>5.3859110456904953E-2</v>
      </c>
      <c r="N101" s="5">
        <v>4.4094234519558087E-2</v>
      </c>
      <c r="O101" s="19">
        <f t="shared" si="13"/>
        <v>4.5080832938546367E-2</v>
      </c>
      <c r="P101" s="12">
        <f t="shared" si="10"/>
        <v>-6035.557783943309</v>
      </c>
    </row>
    <row r="102" spans="1:16">
      <c r="A102" s="149">
        <v>0.41554002502517778</v>
      </c>
      <c r="B102" s="150">
        <f t="shared" si="11"/>
        <v>34.675479425020271</v>
      </c>
      <c r="C102" s="24">
        <f t="shared" si="8"/>
        <v>-5850.3717072712852</v>
      </c>
      <c r="H102" s="66">
        <v>4.3</v>
      </c>
      <c r="I102" s="10">
        <f t="shared" si="9"/>
        <v>0.81074823894439529</v>
      </c>
      <c r="J102" s="10">
        <f t="shared" si="12"/>
        <v>0.99395342783335261</v>
      </c>
      <c r="K102" s="66">
        <f t="shared" si="14"/>
        <v>2</v>
      </c>
      <c r="L102" s="5">
        <f t="shared" si="15"/>
        <v>2.686153304028786E-2</v>
      </c>
      <c r="N102" s="5">
        <v>1.5849283906514758E-2</v>
      </c>
      <c r="O102" s="19">
        <f t="shared" si="13"/>
        <v>1.5975550000427052E-2</v>
      </c>
      <c r="P102" s="12">
        <f t="shared" si="10"/>
        <v>-7342.632730663091</v>
      </c>
    </row>
    <row r="103" spans="1:16">
      <c r="A103" s="149">
        <v>0.59324930570390944</v>
      </c>
      <c r="B103" s="150">
        <f t="shared" si="11"/>
        <v>38.99672497052206</v>
      </c>
      <c r="C103" s="24">
        <f t="shared" si="8"/>
        <v>-5850.3717072712852</v>
      </c>
      <c r="H103" s="66">
        <v>4.3499999999999996</v>
      </c>
      <c r="I103" s="10">
        <f t="shared" si="9"/>
        <v>0.80877282246252269</v>
      </c>
      <c r="J103" s="10">
        <f t="shared" si="12"/>
        <v>0.99386382966545339</v>
      </c>
      <c r="K103" s="66">
        <f t="shared" si="14"/>
        <v>4</v>
      </c>
      <c r="L103" s="5">
        <f t="shared" si="15"/>
        <v>5.3587336977462714E-2</v>
      </c>
      <c r="N103" s="5">
        <v>3.4061085395602278E-2</v>
      </c>
      <c r="O103" s="19">
        <f t="shared" si="13"/>
        <v>3.4647806668380854E-2</v>
      </c>
      <c r="P103" s="12">
        <f t="shared" si="10"/>
        <v>-6459.8621257622945</v>
      </c>
    </row>
    <row r="104" spans="1:16">
      <c r="A104" s="149">
        <v>0.75664540543839842</v>
      </c>
      <c r="B104" s="150">
        <f t="shared" si="11"/>
        <v>42.800767135848247</v>
      </c>
      <c r="C104" s="24">
        <f t="shared" si="8"/>
        <v>-5850.3717072712852</v>
      </c>
      <c r="H104" s="66">
        <v>4.4000000000000004</v>
      </c>
      <c r="I104" s="10">
        <f t="shared" si="9"/>
        <v>0.80680221915210015</v>
      </c>
      <c r="J104" s="10">
        <f t="shared" si="12"/>
        <v>0.99377371043192764</v>
      </c>
      <c r="K104" s="66">
        <f t="shared" si="14"/>
        <v>2</v>
      </c>
      <c r="L104" s="5">
        <f t="shared" si="15"/>
        <v>2.6725961163716529E-2</v>
      </c>
      <c r="N104" s="5">
        <v>8.2030811606397039E-2</v>
      </c>
      <c r="O104" s="19">
        <f t="shared" si="13"/>
        <v>8.5489254981969687E-2</v>
      </c>
      <c r="P104" s="12">
        <f t="shared" si="10"/>
        <v>-4745.9406656652782</v>
      </c>
    </row>
    <row r="105" spans="1:16">
      <c r="A105" s="149">
        <v>0.75267799920651879</v>
      </c>
      <c r="B105" s="150">
        <f t="shared" si="11"/>
        <v>42.703690054107248</v>
      </c>
      <c r="C105" s="24">
        <f t="shared" si="8"/>
        <v>-5850.3717072712852</v>
      </c>
      <c r="H105" s="66">
        <v>4.45</v>
      </c>
      <c r="I105" s="10">
        <f t="shared" si="9"/>
        <v>0.80483641728566679</v>
      </c>
      <c r="J105" s="10">
        <f t="shared" si="12"/>
        <v>0.99368306715088084</v>
      </c>
      <c r="K105" s="66">
        <f t="shared" si="14"/>
        <v>4</v>
      </c>
      <c r="L105" s="5">
        <f t="shared" si="15"/>
        <v>5.3316821312209849E-2</v>
      </c>
      <c r="N105" s="5">
        <v>6.5283954606580666E-2</v>
      </c>
      <c r="O105" s="19">
        <f t="shared" si="13"/>
        <v>6.7462092131825857E-2</v>
      </c>
      <c r="P105" s="12">
        <f t="shared" si="10"/>
        <v>-5260.4954601102954</v>
      </c>
    </row>
    <row r="106" spans="1:16">
      <c r="A106" s="149">
        <v>7.8890346995452748E-2</v>
      </c>
      <c r="B106" s="150">
        <f t="shared" si="11"/>
        <v>19.493779936955022</v>
      </c>
      <c r="C106" s="24">
        <f t="shared" si="8"/>
        <v>-5850.3717072712852</v>
      </c>
      <c r="H106" s="66">
        <v>4.5</v>
      </c>
      <c r="I106" s="10">
        <f t="shared" si="9"/>
        <v>0.8028754051643362</v>
      </c>
      <c r="J106" s="10">
        <f t="shared" si="12"/>
        <v>0.99359189682392757</v>
      </c>
      <c r="K106" s="66">
        <f t="shared" si="14"/>
        <v>2</v>
      </c>
      <c r="L106" s="5">
        <f t="shared" si="15"/>
        <v>2.6591016557683742E-2</v>
      </c>
      <c r="N106" s="5">
        <v>3.5263387596511167E-2</v>
      </c>
      <c r="O106" s="19">
        <f t="shared" si="13"/>
        <v>3.5892514110814178E-2</v>
      </c>
      <c r="P106" s="12">
        <f t="shared" si="10"/>
        <v>-6406.8556075803544</v>
      </c>
    </row>
    <row r="107" spans="1:16">
      <c r="A107" s="149">
        <v>0.33832819605090486</v>
      </c>
      <c r="B107" s="150">
        <f t="shared" si="11"/>
        <v>32.48786236646081</v>
      </c>
      <c r="C107" s="24">
        <f t="shared" si="8"/>
        <v>-5850.3717072712852</v>
      </c>
      <c r="H107" s="66">
        <v>4.55</v>
      </c>
      <c r="I107" s="10">
        <f t="shared" si="9"/>
        <v>0.8009191711177267</v>
      </c>
      <c r="J107" s="10">
        <f t="shared" si="12"/>
        <v>0.99350019643610732</v>
      </c>
      <c r="K107" s="66">
        <f t="shared" si="14"/>
        <v>4</v>
      </c>
      <c r="L107" s="5">
        <f t="shared" si="15"/>
        <v>5.3047556922327051E-2</v>
      </c>
      <c r="N107" s="5">
        <v>8.9804486330773217E-2</v>
      </c>
      <c r="O107" s="19">
        <f t="shared" si="13"/>
        <v>9.3960378587598203E-2</v>
      </c>
      <c r="P107" s="12">
        <f t="shared" si="10"/>
        <v>-4532.0574522114002</v>
      </c>
    </row>
    <row r="108" spans="1:16">
      <c r="A108" s="149">
        <v>0.80214850306711016</v>
      </c>
      <c r="B108" s="150">
        <f t="shared" si="11"/>
        <v>43.954287076086473</v>
      </c>
      <c r="C108" s="24">
        <f t="shared" si="8"/>
        <v>-5850.3717072712852</v>
      </c>
      <c r="H108" s="66">
        <v>4.5999999999999996</v>
      </c>
      <c r="I108" s="10">
        <f t="shared" si="9"/>
        <v>0.79896770350389179</v>
      </c>
      <c r="J108" s="10">
        <f t="shared" si="12"/>
        <v>0.99340796295579947</v>
      </c>
      <c r="K108" s="66">
        <f t="shared" si="14"/>
        <v>2</v>
      </c>
      <c r="L108" s="5">
        <f t="shared" si="15"/>
        <v>2.6456695960175813E-2</v>
      </c>
      <c r="N108" s="5">
        <v>4.1416631185835287E-2</v>
      </c>
      <c r="O108" s="19">
        <f t="shared" si="13"/>
        <v>4.2286264059385958E-2</v>
      </c>
      <c r="P108" s="12">
        <f t="shared" si="10"/>
        <v>-6144.8746678932603</v>
      </c>
    </row>
    <row r="109" spans="1:16">
      <c r="A109" s="149">
        <v>0.31485946226386302</v>
      </c>
      <c r="B109" s="150">
        <f t="shared" si="11"/>
        <v>31.756303562512237</v>
      </c>
      <c r="C109" s="24">
        <f t="shared" si="8"/>
        <v>-5850.3717072712852</v>
      </c>
      <c r="H109" s="66">
        <v>4.6500000000000004</v>
      </c>
      <c r="I109" s="10">
        <f t="shared" si="9"/>
        <v>0.79702099070925103</v>
      </c>
      <c r="J109" s="10">
        <f t="shared" si="12"/>
        <v>0.99331519333463814</v>
      </c>
      <c r="K109" s="66">
        <f t="shared" si="14"/>
        <v>4</v>
      </c>
      <c r="L109" s="5">
        <f t="shared" si="15"/>
        <v>5.2779537298541644E-2</v>
      </c>
      <c r="N109" s="5">
        <v>5.7190237677910774E-2</v>
      </c>
      <c r="O109" s="19">
        <f t="shared" si="13"/>
        <v>5.8857225776366207E-2</v>
      </c>
      <c r="P109" s="12">
        <f t="shared" si="10"/>
        <v>-5538.7207967469994</v>
      </c>
    </row>
    <row r="110" spans="1:16">
      <c r="A110" s="149">
        <v>0.67317728202154603</v>
      </c>
      <c r="B110" s="150">
        <f t="shared" si="11"/>
        <v>40.82819806733373</v>
      </c>
      <c r="C110" s="24">
        <f t="shared" si="8"/>
        <v>-5850.3717072712852</v>
      </c>
      <c r="H110" s="66">
        <v>4.7</v>
      </c>
      <c r="I110" s="10">
        <f t="shared" si="9"/>
        <v>0.79507902114852103</v>
      </c>
      <c r="J110" s="10">
        <f t="shared" si="12"/>
        <v>0.99322188450742743</v>
      </c>
      <c r="K110" s="66">
        <f t="shared" si="14"/>
        <v>2</v>
      </c>
      <c r="L110" s="5">
        <f t="shared" si="15"/>
        <v>2.6322996123915161E-2</v>
      </c>
      <c r="N110" s="5">
        <v>3.7428720654257633E-2</v>
      </c>
      <c r="O110" s="19">
        <f t="shared" si="13"/>
        <v>3.8137996647313877E-2</v>
      </c>
      <c r="P110" s="12">
        <f t="shared" si="10"/>
        <v>-6312.9115734701181</v>
      </c>
    </row>
    <row r="111" spans="1:16">
      <c r="A111" s="149">
        <v>0.58223212378307443</v>
      </c>
      <c r="B111" s="150">
        <f t="shared" si="11"/>
        <v>38.743291806248024</v>
      </c>
      <c r="C111" s="24">
        <f t="shared" si="8"/>
        <v>-5850.3717072712852</v>
      </c>
      <c r="H111" s="66">
        <v>4.75</v>
      </c>
      <c r="I111" s="10">
        <f t="shared" si="9"/>
        <v>0.79314178326464624</v>
      </c>
      <c r="J111" s="10">
        <f t="shared" si="12"/>
        <v>0.99312803339205502</v>
      </c>
      <c r="K111" s="66">
        <f t="shared" si="14"/>
        <v>4</v>
      </c>
      <c r="L111" s="5">
        <f t="shared" si="15"/>
        <v>5.2512755960979041E-2</v>
      </c>
      <c r="N111" s="5">
        <v>2.9293905933751377E-2</v>
      </c>
      <c r="O111" s="19">
        <f t="shared" si="13"/>
        <v>2.9727192937360147E-2</v>
      </c>
      <c r="P111" s="12">
        <f t="shared" si="10"/>
        <v>-6676.1468158676589</v>
      </c>
    </row>
    <row r="112" spans="1:16">
      <c r="A112" s="149">
        <v>0.38331247901852472</v>
      </c>
      <c r="B112" s="150">
        <f t="shared" si="11"/>
        <v>33.797378334005629</v>
      </c>
      <c r="C112" s="24">
        <f t="shared" si="8"/>
        <v>-5850.3717072712852</v>
      </c>
      <c r="H112" s="66">
        <v>4.8</v>
      </c>
      <c r="I112" s="10">
        <f t="shared" si="9"/>
        <v>0.79120926552873005</v>
      </c>
      <c r="J112" s="10">
        <f t="shared" si="12"/>
        <v>0.99303363688940638</v>
      </c>
      <c r="K112" s="66">
        <f t="shared" si="14"/>
        <v>2</v>
      </c>
      <c r="L112" s="5">
        <f t="shared" si="15"/>
        <v>2.6189913816286364E-2</v>
      </c>
      <c r="N112" s="5">
        <v>4.0051335142503378E-2</v>
      </c>
      <c r="O112" s="19">
        <f t="shared" si="13"/>
        <v>4.0864205733246672E-2</v>
      </c>
      <c r="P112" s="12">
        <f t="shared" si="10"/>
        <v>-6201.689399818355</v>
      </c>
    </row>
    <row r="113" spans="1:16">
      <c r="A113" s="149">
        <v>0.45530564287240211</v>
      </c>
      <c r="B113" s="150">
        <f t="shared" si="11"/>
        <v>35.70554951870583</v>
      </c>
      <c r="C113" s="24">
        <f t="shared" si="8"/>
        <v>-5850.3717072712852</v>
      </c>
      <c r="H113" s="66">
        <v>4.8499999999999996</v>
      </c>
      <c r="I113" s="10">
        <f t="shared" si="9"/>
        <v>0.78928145643996694</v>
      </c>
      <c r="J113" s="10">
        <f t="shared" si="12"/>
        <v>0.99293869188327843</v>
      </c>
      <c r="K113" s="66">
        <f t="shared" si="14"/>
        <v>4</v>
      </c>
      <c r="L113" s="5">
        <f t="shared" si="15"/>
        <v>5.2247206459015309E-2</v>
      </c>
      <c r="N113" s="5">
        <v>1.2692315928812606E-2</v>
      </c>
      <c r="O113" s="19">
        <f t="shared" si="13"/>
        <v>1.2773205232556428E-2</v>
      </c>
      <c r="P113" s="12">
        <f t="shared" si="10"/>
        <v>-7512.2170818410123</v>
      </c>
    </row>
    <row r="114" spans="1:16">
      <c r="A114" s="149">
        <v>0.13327433088167973</v>
      </c>
      <c r="B114" s="150">
        <f t="shared" si="11"/>
        <v>23.827486951436899</v>
      </c>
      <c r="C114" s="24">
        <f t="shared" si="8"/>
        <v>-5850.3717072712852</v>
      </c>
      <c r="H114" s="66">
        <v>4.9000000000000004</v>
      </c>
      <c r="I114" s="10">
        <f t="shared" si="9"/>
        <v>0.78735834452557296</v>
      </c>
      <c r="J114" s="10">
        <f t="shared" si="12"/>
        <v>0.9928431952402923</v>
      </c>
      <c r="K114" s="66">
        <f t="shared" si="14"/>
        <v>2</v>
      </c>
      <c r="L114" s="5">
        <f t="shared" si="15"/>
        <v>2.6057445819262559E-2</v>
      </c>
      <c r="N114" s="5">
        <v>2.2260539432987572E-2</v>
      </c>
      <c r="O114" s="19">
        <f t="shared" si="13"/>
        <v>2.2510153984793613E-2</v>
      </c>
      <c r="P114" s="12">
        <f t="shared" si="10"/>
        <v>-7013.946013914715</v>
      </c>
    </row>
    <row r="115" spans="1:16">
      <c r="A115" s="149">
        <v>0.95782341990417186</v>
      </c>
      <c r="B115" s="150">
        <f t="shared" si="11"/>
        <v>49.618101972322052</v>
      </c>
      <c r="C115" s="24">
        <f t="shared" si="8"/>
        <v>-5850.3717072712852</v>
      </c>
      <c r="H115" s="66">
        <v>4.95</v>
      </c>
      <c r="I115" s="10">
        <f t="shared" si="9"/>
        <v>0.78543991834071825</v>
      </c>
      <c r="J115" s="10">
        <f t="shared" si="12"/>
        <v>0.99274714380980689</v>
      </c>
      <c r="K115" s="66">
        <f t="shared" si="14"/>
        <v>4</v>
      </c>
      <c r="L115" s="5">
        <f t="shared" si="15"/>
        <v>5.1982882371130405E-2</v>
      </c>
      <c r="N115" s="5">
        <v>7.9752295229933226E-2</v>
      </c>
      <c r="O115" s="19">
        <f t="shared" si="13"/>
        <v>8.3018765532175909E-2</v>
      </c>
      <c r="P115" s="12">
        <f t="shared" si="10"/>
        <v>-4811.4794399878219</v>
      </c>
    </row>
    <row r="116" spans="1:16">
      <c r="A116" s="149">
        <v>0.78737754448072761</v>
      </c>
      <c r="B116" s="150">
        <f t="shared" si="11"/>
        <v>43.570582142559452</v>
      </c>
      <c r="C116" s="24">
        <f t="shared" si="8"/>
        <v>-5850.3717072712852</v>
      </c>
      <c r="H116" s="66">
        <v>5</v>
      </c>
      <c r="I116" s="10">
        <f t="shared" si="9"/>
        <v>0.78352616646845885</v>
      </c>
      <c r="J116" s="10">
        <f t="shared" si="12"/>
        <v>0.99265053442383067</v>
      </c>
      <c r="K116" s="66">
        <f t="shared" si="14"/>
        <v>2</v>
      </c>
      <c r="L116" s="5">
        <f t="shared" si="15"/>
        <v>2.5925588929332371E-2</v>
      </c>
      <c r="N116" s="5">
        <v>5.4138096467919242E-2</v>
      </c>
      <c r="O116" s="19">
        <f t="shared" si="13"/>
        <v>5.5630370915424665E-2</v>
      </c>
      <c r="P116" s="12">
        <f t="shared" si="10"/>
        <v>-5649.1525176479645</v>
      </c>
    </row>
    <row r="117" spans="1:16">
      <c r="A117" s="149">
        <v>0.25409710989715262</v>
      </c>
      <c r="B117" s="150">
        <f t="shared" si="11"/>
        <v>29.653586632411592</v>
      </c>
      <c r="C117" s="24">
        <f t="shared" si="8"/>
        <v>-5850.3717072712852</v>
      </c>
      <c r="H117" s="66">
        <v>5.05</v>
      </c>
      <c r="I117" s="10">
        <f t="shared" si="9"/>
        <v>0.78161707751966814</v>
      </c>
      <c r="J117" s="10">
        <f t="shared" si="12"/>
        <v>0.99255336389693416</v>
      </c>
      <c r="K117" s="66">
        <f t="shared" si="14"/>
        <v>4</v>
      </c>
      <c r="L117" s="5">
        <f t="shared" si="15"/>
        <v>5.1719777304762495E-2</v>
      </c>
      <c r="N117" s="5">
        <v>4.0331128909325345E-2</v>
      </c>
      <c r="O117" s="19">
        <f t="shared" si="13"/>
        <v>4.1155473795712938E-2</v>
      </c>
      <c r="P117" s="12">
        <f t="shared" si="10"/>
        <v>-6189.9862650444284</v>
      </c>
    </row>
    <row r="118" spans="1:16">
      <c r="A118" s="149">
        <v>0.89330729087191385</v>
      </c>
      <c r="B118" s="150">
        <f t="shared" si="11"/>
        <v>46.682710730606736</v>
      </c>
      <c r="C118" s="24">
        <f t="shared" si="8"/>
        <v>-5850.3717072712852</v>
      </c>
      <c r="H118" s="66">
        <v>5.0999999999999996</v>
      </c>
      <c r="I118" s="10">
        <f t="shared" si="9"/>
        <v>0.77971264013297004</v>
      </c>
      <c r="J118" s="10">
        <f t="shared" si="12"/>
        <v>0.99245562902616213</v>
      </c>
      <c r="K118" s="66">
        <f t="shared" si="14"/>
        <v>2</v>
      </c>
      <c r="L118" s="5">
        <f t="shared" si="15"/>
        <v>2.579433995742721E-2</v>
      </c>
      <c r="N118" s="5">
        <v>5.6254166972517852E-2</v>
      </c>
      <c r="O118" s="19">
        <f t="shared" si="13"/>
        <v>5.7866524301777522E-2</v>
      </c>
      <c r="P118" s="12">
        <f t="shared" si="10"/>
        <v>-5572.2580147271074</v>
      </c>
    </row>
    <row r="119" spans="1:16">
      <c r="A119" s="149">
        <v>0.6402783288064211</v>
      </c>
      <c r="B119" s="150">
        <f t="shared" si="11"/>
        <v>40.073409755359613</v>
      </c>
      <c r="C119" s="24">
        <f t="shared" si="8"/>
        <v>-5850.3717072712852</v>
      </c>
      <c r="H119" s="66">
        <v>5.15</v>
      </c>
      <c r="I119" s="10">
        <f t="shared" si="9"/>
        <v>0.77781284297467024</v>
      </c>
      <c r="J119" s="10">
        <f t="shared" si="12"/>
        <v>0.99235732659094422</v>
      </c>
      <c r="K119" s="66">
        <f t="shared" si="14"/>
        <v>4</v>
      </c>
      <c r="L119" s="5">
        <f t="shared" si="15"/>
        <v>5.1457884896163049E-2</v>
      </c>
      <c r="N119" s="5">
        <v>3.2206013267692471E-2</v>
      </c>
      <c r="O119" s="19">
        <f t="shared" si="13"/>
        <v>3.273023952261922E-2</v>
      </c>
      <c r="P119" s="12">
        <f t="shared" si="10"/>
        <v>-6542.8527140962697</v>
      </c>
    </row>
    <row r="120" spans="1:16">
      <c r="A120" s="149">
        <v>0.55769524216437272</v>
      </c>
      <c r="B120" s="150">
        <f t="shared" si="11"/>
        <v>38.175338319299819</v>
      </c>
      <c r="C120" s="24">
        <f t="shared" si="8"/>
        <v>-5850.3717072712852</v>
      </c>
      <c r="H120" s="66">
        <v>5.2</v>
      </c>
      <c r="I120" s="10">
        <f t="shared" si="9"/>
        <v>0.77591767473869</v>
      </c>
      <c r="J120" s="10">
        <f t="shared" si="12"/>
        <v>0.99225845335300666</v>
      </c>
      <c r="K120" s="66">
        <f t="shared" si="14"/>
        <v>2</v>
      </c>
      <c r="L120" s="5">
        <f t="shared" si="15"/>
        <v>2.5663695728849131E-2</v>
      </c>
      <c r="N120" s="5">
        <v>3.0709752261042014E-2</v>
      </c>
      <c r="O120" s="19">
        <f t="shared" si="13"/>
        <v>3.1186160995151813E-2</v>
      </c>
      <c r="P120" s="12">
        <f t="shared" si="10"/>
        <v>-6610.874435148432</v>
      </c>
    </row>
    <row r="121" spans="1:16">
      <c r="A121" s="149">
        <v>0.37470625934629354</v>
      </c>
      <c r="B121" s="150">
        <f t="shared" si="11"/>
        <v>33.555081290803322</v>
      </c>
      <c r="C121" s="24">
        <f t="shared" si="8"/>
        <v>-5850.3717072712852</v>
      </c>
      <c r="H121" s="66">
        <v>5.25</v>
      </c>
      <c r="I121" s="10">
        <f t="shared" si="9"/>
        <v>0.77402712414649788</v>
      </c>
      <c r="J121" s="10">
        <f t="shared" si="12"/>
        <v>0.99215900605628304</v>
      </c>
      <c r="K121" s="66">
        <f t="shared" si="14"/>
        <v>4</v>
      </c>
      <c r="L121" s="5">
        <f t="shared" si="15"/>
        <v>5.1197198810252836E-2</v>
      </c>
      <c r="N121" s="5">
        <v>1.5447840675857152E-2</v>
      </c>
      <c r="O121" s="19">
        <f t="shared" si="13"/>
        <v>1.5567775348029E-2</v>
      </c>
      <c r="P121" s="12">
        <f t="shared" si="10"/>
        <v>-7363.9067884696833</v>
      </c>
    </row>
    <row r="122" spans="1:16">
      <c r="A122" s="149">
        <v>0.5824457533494064</v>
      </c>
      <c r="B122" s="150">
        <f t="shared" si="11"/>
        <v>38.748213867405582</v>
      </c>
      <c r="C122" s="24">
        <f t="shared" si="8"/>
        <v>-5850.3717072712852</v>
      </c>
      <c r="H122" s="66">
        <v>5.3</v>
      </c>
      <c r="I122" s="10">
        <f t="shared" si="9"/>
        <v>0.77214117994704301</v>
      </c>
      <c r="J122" s="10">
        <f t="shared" si="12"/>
        <v>0.99205898142682425</v>
      </c>
      <c r="K122" s="66">
        <f t="shared" si="14"/>
        <v>2</v>
      </c>
      <c r="L122" s="5">
        <f t="shared" si="15"/>
        <v>2.5533653083198993E-2</v>
      </c>
      <c r="N122" s="5">
        <v>5.3480723588232651E-2</v>
      </c>
      <c r="O122" s="19">
        <f t="shared" si="13"/>
        <v>5.49366561782203E-2</v>
      </c>
      <c r="P122" s="12">
        <f t="shared" si="10"/>
        <v>-5673.3495026368082</v>
      </c>
    </row>
    <row r="123" spans="1:16">
      <c r="A123" s="149">
        <v>0.38279366435743278</v>
      </c>
      <c r="B123" s="150">
        <f t="shared" si="11"/>
        <v>33.78287169174174</v>
      </c>
      <c r="C123" s="24">
        <f t="shared" si="8"/>
        <v>-5850.3717072712852</v>
      </c>
      <c r="H123" s="66">
        <v>5.35</v>
      </c>
      <c r="I123" s="10">
        <f t="shared" si="9"/>
        <v>0.77025983091668826</v>
      </c>
      <c r="J123" s="10">
        <f t="shared" si="12"/>
        <v>0.99195837617270899</v>
      </c>
      <c r="K123" s="66">
        <f t="shared" si="14"/>
        <v>4</v>
      </c>
      <c r="L123" s="5">
        <f t="shared" si="15"/>
        <v>5.0937712740478903E-2</v>
      </c>
      <c r="N123" s="5">
        <v>8.691582886182006E-3</v>
      </c>
      <c r="O123" s="19">
        <f t="shared" si="13"/>
        <v>8.7294643631770086E-3</v>
      </c>
      <c r="P123" s="12">
        <f t="shared" si="10"/>
        <v>-7734.8373018589346</v>
      </c>
    </row>
    <row r="124" spans="1:16">
      <c r="A124" s="149">
        <v>1.1383404034546954E-2</v>
      </c>
      <c r="B124" s="150">
        <f t="shared" si="11"/>
        <v>6.8652138418314683</v>
      </c>
      <c r="C124" s="24">
        <f t="shared" si="8"/>
        <v>139865.50534465336</v>
      </c>
      <c r="H124" s="66">
        <v>5.4</v>
      </c>
      <c r="I124" s="10">
        <f t="shared" si="9"/>
        <v>0.76838306585914296</v>
      </c>
      <c r="J124" s="10">
        <f t="shared" si="12"/>
        <v>0.99185718698395342</v>
      </c>
      <c r="K124" s="66">
        <f t="shared" si="14"/>
        <v>2</v>
      </c>
      <c r="L124" s="5">
        <f t="shared" si="15"/>
        <v>2.5404208874305181E-2</v>
      </c>
      <c r="N124" s="5">
        <v>7.3258405743341429E-2</v>
      </c>
      <c r="O124" s="19">
        <f t="shared" si="13"/>
        <v>7.6008547781985403E-2</v>
      </c>
      <c r="P124" s="12">
        <f t="shared" si="10"/>
        <v>117983.28432854949</v>
      </c>
    </row>
    <row r="125" spans="1:16">
      <c r="A125" s="149">
        <v>0.63579210791344953</v>
      </c>
      <c r="B125" s="150">
        <f t="shared" si="11"/>
        <v>39.970788207933005</v>
      </c>
      <c r="C125" s="24">
        <f t="shared" si="8"/>
        <v>-5850.3717072712852</v>
      </c>
      <c r="H125" s="66">
        <v>5.45</v>
      </c>
      <c r="I125" s="10">
        <f t="shared" si="9"/>
        <v>0.76651087360539694</v>
      </c>
      <c r="J125" s="10">
        <f t="shared" si="12"/>
        <v>0.99175541053242022</v>
      </c>
      <c r="K125" s="66">
        <f t="shared" si="14"/>
        <v>4</v>
      </c>
      <c r="L125" s="5">
        <f t="shared" si="15"/>
        <v>5.06794204086723E-2</v>
      </c>
      <c r="N125" s="5">
        <v>2.1176927654902103E-2</v>
      </c>
      <c r="O125" s="19">
        <f t="shared" si="13"/>
        <v>2.1402750045060648E-2</v>
      </c>
      <c r="P125" s="12">
        <f t="shared" si="10"/>
        <v>-7068.0670938596913</v>
      </c>
    </row>
    <row r="126" spans="1:16">
      <c r="A126" s="149">
        <v>0.93475142674031797</v>
      </c>
      <c r="B126" s="150">
        <f t="shared" si="11"/>
        <v>48.36296235076324</v>
      </c>
      <c r="C126" s="24">
        <f t="shared" si="8"/>
        <v>-5850.3717072712852</v>
      </c>
      <c r="H126" s="66">
        <v>5.5</v>
      </c>
      <c r="I126" s="10">
        <f t="shared" si="9"/>
        <v>0.7646432430136535</v>
      </c>
      <c r="J126" s="10">
        <f t="shared" si="12"/>
        <v>0.99165304347172789</v>
      </c>
      <c r="K126" s="66">
        <f t="shared" si="14"/>
        <v>2</v>
      </c>
      <c r="L126" s="5">
        <f t="shared" si="15"/>
        <v>2.5275359970152719E-2</v>
      </c>
      <c r="N126" s="5">
        <v>8.2583111131621992E-2</v>
      </c>
      <c r="O126" s="19">
        <f t="shared" si="13"/>
        <v>8.6088935768596331E-2</v>
      </c>
      <c r="P126" s="12">
        <f t="shared" si="10"/>
        <v>-4730.2537720006712</v>
      </c>
    </row>
    <row r="127" spans="1:16">
      <c r="A127" s="149">
        <v>0.91369365520187995</v>
      </c>
      <c r="B127" s="150">
        <f t="shared" si="11"/>
        <v>47.44834723112762</v>
      </c>
      <c r="C127" s="24">
        <f t="shared" si="8"/>
        <v>-5850.3717072712852</v>
      </c>
      <c r="H127" s="66">
        <v>5.55</v>
      </c>
      <c r="I127" s="10">
        <f t="shared" si="9"/>
        <v>0.76278016296926343</v>
      </c>
      <c r="J127" s="10">
        <f t="shared" si="12"/>
        <v>0.99155008243715925</v>
      </c>
      <c r="K127" s="66">
        <f t="shared" si="14"/>
        <v>4</v>
      </c>
      <c r="L127" s="5">
        <f t="shared" si="15"/>
        <v>5.0422315564906867E-2</v>
      </c>
      <c r="N127" s="5">
        <v>2.3296751757821768E-2</v>
      </c>
      <c r="O127" s="19">
        <f t="shared" si="13"/>
        <v>2.357024075125258E-2</v>
      </c>
      <c r="P127" s="12">
        <f t="shared" si="10"/>
        <v>-6962.7225514572801</v>
      </c>
    </row>
    <row r="128" spans="1:16">
      <c r="A128" s="149">
        <v>0.67311624500259404</v>
      </c>
      <c r="B128" s="150">
        <f t="shared" si="11"/>
        <v>40.826791813248498</v>
      </c>
      <c r="C128" s="24">
        <f t="shared" si="8"/>
        <v>-5850.3717072712852</v>
      </c>
      <c r="H128" s="66">
        <v>5.6</v>
      </c>
      <c r="I128" s="10">
        <f t="shared" si="9"/>
        <v>0.76092162238465877</v>
      </c>
      <c r="J128" s="10">
        <f t="shared" si="12"/>
        <v>0.99144652404556999</v>
      </c>
      <c r="K128" s="66">
        <f t="shared" si="14"/>
        <v>2</v>
      </c>
      <c r="L128" s="5">
        <f t="shared" si="15"/>
        <v>2.5147103252812858E-2</v>
      </c>
      <c r="N128" s="5">
        <v>5.6188191317356542E-2</v>
      </c>
      <c r="O128" s="19">
        <f t="shared" si="13"/>
        <v>5.7796733167046588E-2</v>
      </c>
      <c r="P128" s="12">
        <f t="shared" si="10"/>
        <v>-5574.632748362108</v>
      </c>
    </row>
    <row r="129" spans="1:16">
      <c r="A129" s="149">
        <v>0.8350169377727592</v>
      </c>
      <c r="B129" s="150">
        <f t="shared" si="11"/>
        <v>44.851750217344524</v>
      </c>
      <c r="C129" s="24">
        <f t="shared" si="8"/>
        <v>-5850.3717072712852</v>
      </c>
      <c r="H129" s="66">
        <v>5.65</v>
      </c>
      <c r="I129" s="10">
        <f t="shared" si="9"/>
        <v>0.7590676101992867</v>
      </c>
      <c r="J129" s="10">
        <f t="shared" si="12"/>
        <v>0.99134236489529615</v>
      </c>
      <c r="K129" s="66">
        <f t="shared" si="14"/>
        <v>4</v>
      </c>
      <c r="L129" s="5">
        <f t="shared" si="15"/>
        <v>5.0166391987358783E-2</v>
      </c>
      <c r="N129" s="5">
        <v>3.6291270768866526E-2</v>
      </c>
      <c r="O129" s="19">
        <f t="shared" si="13"/>
        <v>3.6957838014897826E-2</v>
      </c>
      <c r="P129" s="12">
        <f t="shared" si="10"/>
        <v>-6362.0186428851612</v>
      </c>
    </row>
    <row r="130" spans="1:16">
      <c r="A130" s="149">
        <v>0.94225898007141329</v>
      </c>
      <c r="B130" s="150">
        <f t="shared" si="11"/>
        <v>48.733685108809645</v>
      </c>
      <c r="C130" s="24">
        <f t="shared" si="8"/>
        <v>-5850.3717072712852</v>
      </c>
      <c r="H130" s="66">
        <v>5.7</v>
      </c>
      <c r="I130" s="10">
        <f t="shared" si="9"/>
        <v>0.75721811537954387</v>
      </c>
      <c r="J130" s="10">
        <f t="shared" si="12"/>
        <v>0.99123760156606211</v>
      </c>
      <c r="K130" s="66">
        <f t="shared" si="14"/>
        <v>2</v>
      </c>
      <c r="L130" s="5">
        <f t="shared" si="15"/>
        <v>2.5019435618373092E-2</v>
      </c>
      <c r="N130" s="5">
        <v>5.9330090104718694E-2</v>
      </c>
      <c r="O130" s="19">
        <f t="shared" si="13"/>
        <v>6.1125449947575072E-2</v>
      </c>
      <c r="P130" s="12">
        <f t="shared" si="10"/>
        <v>-5463.1359463691615</v>
      </c>
    </row>
    <row r="131" spans="1:16">
      <c r="A131" s="149">
        <v>0.60097048860133673</v>
      </c>
      <c r="B131" s="150">
        <f t="shared" si="11"/>
        <v>39.173916327133831</v>
      </c>
      <c r="C131" s="24">
        <f t="shared" si="8"/>
        <v>-5850.3717072712852</v>
      </c>
      <c r="H131" s="66">
        <v>5.75</v>
      </c>
      <c r="I131" s="10">
        <f t="shared" si="9"/>
        <v>0.75537312691871061</v>
      </c>
      <c r="J131" s="10">
        <f t="shared" si="12"/>
        <v>0.99113223061888778</v>
      </c>
      <c r="K131" s="66">
        <f t="shared" si="14"/>
        <v>4</v>
      </c>
      <c r="L131" s="5">
        <f t="shared" si="15"/>
        <v>4.9911643482167062E-2</v>
      </c>
      <c r="N131" s="5">
        <v>5.4103985300695059E-2</v>
      </c>
      <c r="O131" s="19">
        <f t="shared" si="13"/>
        <v>5.5594362745459147E-2</v>
      </c>
      <c r="P131" s="12">
        <f t="shared" si="10"/>
        <v>-5650.4044697182471</v>
      </c>
    </row>
    <row r="132" spans="1:16">
      <c r="A132" s="149">
        <v>0.90588091677602467</v>
      </c>
      <c r="B132" s="150">
        <f t="shared" si="11"/>
        <v>47.143751150425693</v>
      </c>
      <c r="C132" s="24">
        <f t="shared" si="8"/>
        <v>-5850.3717072712852</v>
      </c>
      <c r="H132" s="66">
        <v>5.8</v>
      </c>
      <c r="I132" s="10">
        <f t="shared" si="9"/>
        <v>0.75353263383688573</v>
      </c>
      <c r="J132" s="10">
        <f t="shared" si="12"/>
        <v>0.99102624859599542</v>
      </c>
      <c r="K132" s="66">
        <f t="shared" si="14"/>
        <v>2</v>
      </c>
      <c r="L132" s="5">
        <f t="shared" si="15"/>
        <v>2.4892353976867624E-2</v>
      </c>
      <c r="N132" s="5">
        <v>4.982159539134591E-2</v>
      </c>
      <c r="O132" s="19">
        <f t="shared" si="13"/>
        <v>5.1083561496526597E-2</v>
      </c>
      <c r="P132" s="12">
        <f t="shared" si="10"/>
        <v>-5810.7777475028151</v>
      </c>
    </row>
    <row r="133" spans="1:16">
      <c r="A133" s="149">
        <v>0.98132267220068969</v>
      </c>
      <c r="B133" s="150">
        <f t="shared" si="11"/>
        <v>51.556975095596066</v>
      </c>
      <c r="C133" s="24">
        <f t="shared" si="8"/>
        <v>-5850.3717072712852</v>
      </c>
      <c r="H133" s="66">
        <v>5.85</v>
      </c>
      <c r="I133" s="10">
        <f t="shared" si="9"/>
        <v>0.75169662518092084</v>
      </c>
      <c r="J133" s="10">
        <f t="shared" si="12"/>
        <v>0.99091965202071619</v>
      </c>
      <c r="K133" s="66">
        <f t="shared" si="14"/>
        <v>4</v>
      </c>
      <c r="L133" s="5">
        <f t="shared" si="15"/>
        <v>4.9658063883294995E-2</v>
      </c>
      <c r="N133" s="5">
        <v>8.5755531879054617E-2</v>
      </c>
      <c r="O133" s="19">
        <f t="shared" si="13"/>
        <v>8.9539937963153404E-2</v>
      </c>
      <c r="P133" s="12">
        <f t="shared" si="10"/>
        <v>-4641.6232074763202</v>
      </c>
    </row>
    <row r="134" spans="1:16">
      <c r="A134" s="149">
        <v>0.78389843440046392</v>
      </c>
      <c r="B134" s="150">
        <f t="shared" si="11"/>
        <v>43.481639473309713</v>
      </c>
      <c r="C134" s="24">
        <f t="shared" si="8"/>
        <v>-5850.3717072712852</v>
      </c>
      <c r="H134" s="66">
        <v>5.9</v>
      </c>
      <c r="I134" s="10">
        <f t="shared" si="9"/>
        <v>0.7498650900243552</v>
      </c>
      <c r="J134" s="10">
        <f t="shared" si="12"/>
        <v>0.99081243739739633</v>
      </c>
      <c r="K134" s="66">
        <f t="shared" si="14"/>
        <v>2</v>
      </c>
      <c r="L134" s="5">
        <f t="shared" si="15"/>
        <v>2.4765855252208313E-2</v>
      </c>
      <c r="N134" s="5">
        <v>6.6920989249534615E-2</v>
      </c>
      <c r="O134" s="19">
        <f t="shared" si="13"/>
        <v>6.9210995673957276E-2</v>
      </c>
      <c r="P134" s="12">
        <f t="shared" si="10"/>
        <v>-5206.6879354695502</v>
      </c>
    </row>
    <row r="135" spans="1:16">
      <c r="A135" s="149">
        <v>0.79100924710837117</v>
      </c>
      <c r="B135" s="150">
        <f t="shared" si="11"/>
        <v>43.663983503347637</v>
      </c>
      <c r="C135" s="24">
        <f t="shared" si="8"/>
        <v>-5850.3717072712852</v>
      </c>
      <c r="H135" s="66">
        <v>5.95</v>
      </c>
      <c r="I135" s="10">
        <f t="shared" si="9"/>
        <v>0.74803801746735077</v>
      </c>
      <c r="J135" s="10">
        <f t="shared" si="12"/>
        <v>0.99070460121130322</v>
      </c>
      <c r="K135" s="66">
        <f t="shared" si="14"/>
        <v>4</v>
      </c>
      <c r="L135" s="5">
        <f t="shared" si="15"/>
        <v>4.9405647052392372E-2</v>
      </c>
      <c r="N135" s="5">
        <v>3.9884478107647739E-2</v>
      </c>
      <c r="O135" s="19">
        <f t="shared" si="13"/>
        <v>4.0690544706875498E-2</v>
      </c>
      <c r="P135" s="12">
        <f t="shared" si="10"/>
        <v>-6208.6834390106533</v>
      </c>
    </row>
    <row r="136" spans="1:16">
      <c r="A136" s="149">
        <v>0.52082888271736805</v>
      </c>
      <c r="B136" s="150">
        <f t="shared" si="11"/>
        <v>37.308626716348371</v>
      </c>
      <c r="C136" s="24">
        <f t="shared" si="8"/>
        <v>-5850.3717072712852</v>
      </c>
      <c r="H136" s="66">
        <v>6</v>
      </c>
      <c r="I136" s="10">
        <f t="shared" si="9"/>
        <v>0.7462153966366275</v>
      </c>
      <c r="J136" s="10">
        <f t="shared" si="12"/>
        <v>0.99059613992853046</v>
      </c>
      <c r="K136" s="66">
        <f t="shared" si="14"/>
        <v>2</v>
      </c>
      <c r="L136" s="5">
        <f t="shared" si="15"/>
        <v>2.4639936382116017E-2</v>
      </c>
      <c r="N136" s="5">
        <v>6.1803136029207964E-2</v>
      </c>
      <c r="O136" s="19">
        <f t="shared" si="13"/>
        <v>6.3752909491879839E-2</v>
      </c>
      <c r="P136" s="12">
        <f t="shared" si="10"/>
        <v>-5377.6188062132542</v>
      </c>
    </row>
    <row r="137" spans="1:16">
      <c r="A137" s="149">
        <v>0.59114352855006558</v>
      </c>
      <c r="B137" s="150">
        <f t="shared" si="11"/>
        <v>38.948344407586539</v>
      </c>
      <c r="C137" s="24">
        <f t="shared" si="8"/>
        <v>-5850.3717072712852</v>
      </c>
      <c r="H137" s="66">
        <v>6.05</v>
      </c>
      <c r="I137" s="10">
        <f t="shared" si="9"/>
        <v>0.74439721668539827</v>
      </c>
      <c r="J137" s="10">
        <f t="shared" si="12"/>
        <v>0.99048704999590365</v>
      </c>
      <c r="K137" s="66">
        <f t="shared" si="14"/>
        <v>4</v>
      </c>
      <c r="L137" s="5">
        <f t="shared" si="15"/>
        <v>4.9154386878658772E-2</v>
      </c>
      <c r="N137" s="5">
        <v>6.0326684158222635E-2</v>
      </c>
      <c r="O137" s="19">
        <f t="shared" si="13"/>
        <v>6.2183488390854746E-2</v>
      </c>
      <c r="P137" s="12">
        <f t="shared" si="10"/>
        <v>-5428.4397564701694</v>
      </c>
    </row>
    <row r="138" spans="1:16">
      <c r="A138" s="149">
        <v>0.56111331522568442</v>
      </c>
      <c r="B138" s="150">
        <f t="shared" si="11"/>
        <v>38.254807166959338</v>
      </c>
      <c r="C138" s="24">
        <f t="shared" si="8"/>
        <v>-5850.3717072712852</v>
      </c>
      <c r="H138" s="66">
        <v>6.1</v>
      </c>
      <c r="I138" s="10">
        <f t="shared" si="9"/>
        <v>0.74258346679330467</v>
      </c>
      <c r="J138" s="10">
        <f t="shared" si="12"/>
        <v>0.99037732784088428</v>
      </c>
      <c r="K138" s="66">
        <f t="shared" si="14"/>
        <v>2</v>
      </c>
      <c r="L138" s="5">
        <f t="shared" si="15"/>
        <v>2.4514594318052436E-2</v>
      </c>
      <c r="N138" s="5">
        <v>2.9898262661969058E-2</v>
      </c>
      <c r="O138" s="19">
        <f t="shared" si="13"/>
        <v>3.0349703584942267E-2</v>
      </c>
      <c r="P138" s="12">
        <f t="shared" si="10"/>
        <v>-6648.1764480158881</v>
      </c>
    </row>
    <row r="139" spans="1:16">
      <c r="A139" s="149">
        <v>0.72698141422772911</v>
      </c>
      <c r="B139" s="150">
        <f t="shared" si="11"/>
        <v>42.084886429595272</v>
      </c>
      <c r="C139" s="24">
        <f t="shared" si="8"/>
        <v>-5850.3717072712852</v>
      </c>
      <c r="H139" s="66">
        <v>6.15</v>
      </c>
      <c r="I139" s="10">
        <f t="shared" si="9"/>
        <v>0.74077413616635257</v>
      </c>
      <c r="J139" s="10">
        <f t="shared" si="12"/>
        <v>0.99026696987147522</v>
      </c>
      <c r="K139" s="66">
        <f t="shared" si="14"/>
        <v>4</v>
      </c>
      <c r="L139" s="5">
        <f t="shared" si="15"/>
        <v>4.8904277278707574E-2</v>
      </c>
      <c r="N139" s="5">
        <v>1.4852306273620344E-2</v>
      </c>
      <c r="O139" s="19">
        <f t="shared" si="13"/>
        <v>1.49631498555165E-2</v>
      </c>
      <c r="P139" s="12">
        <f t="shared" si="10"/>
        <v>-7395.6211549638356</v>
      </c>
    </row>
    <row r="140" spans="1:16">
      <c r="A140" s="149">
        <v>0.6462294381542405</v>
      </c>
      <c r="B140" s="150">
        <f t="shared" si="11"/>
        <v>40.209603572874791</v>
      </c>
      <c r="C140" s="24">
        <f t="shared" si="8"/>
        <v>-5850.3717072712852</v>
      </c>
      <c r="H140" s="66">
        <v>6.2</v>
      </c>
      <c r="I140" s="10">
        <f t="shared" si="9"/>
        <v>0.73896921403684757</v>
      </c>
      <c r="J140" s="10">
        <f t="shared" si="12"/>
        <v>0.99015597247612397</v>
      </c>
      <c r="K140" s="66">
        <f t="shared" si="14"/>
        <v>2</v>
      </c>
      <c r="L140" s="5">
        <f t="shared" si="15"/>
        <v>2.4389826025152397E-2</v>
      </c>
      <c r="N140" s="5">
        <v>7.4257708976219888E-3</v>
      </c>
      <c r="O140" s="19">
        <f t="shared" si="13"/>
        <v>7.4534103066166146E-3</v>
      </c>
      <c r="P140" s="12">
        <f t="shared" si="10"/>
        <v>-7807.1253422057152</v>
      </c>
    </row>
    <row r="141" spans="1:16">
      <c r="A141" s="149">
        <v>0.20587786492507706</v>
      </c>
      <c r="B141" s="150">
        <f t="shared" si="11"/>
        <v>27.682531175268554</v>
      </c>
      <c r="C141" s="24">
        <f t="shared" si="8"/>
        <v>-5850.3717072712852</v>
      </c>
      <c r="H141" s="66">
        <v>6.25</v>
      </c>
      <c r="I141" s="10">
        <f t="shared" si="9"/>
        <v>0.73716868966333127</v>
      </c>
      <c r="J141" s="10">
        <f t="shared" si="12"/>
        <v>0.99004433202362696</v>
      </c>
      <c r="K141" s="66">
        <f t="shared" si="14"/>
        <v>4</v>
      </c>
      <c r="L141" s="5">
        <f t="shared" si="15"/>
        <v>4.8655312196431016E-2</v>
      </c>
      <c r="N141" s="5">
        <v>3.3267788419048885E-2</v>
      </c>
      <c r="O141" s="19">
        <f t="shared" si="13"/>
        <v>3.3827349167808052E-2</v>
      </c>
      <c r="P141" s="12">
        <f t="shared" si="10"/>
        <v>-6495.1716778561477</v>
      </c>
    </row>
    <row r="142" spans="1:16">
      <c r="A142" s="149">
        <v>0.37104403820917387</v>
      </c>
      <c r="B142" s="150">
        <f t="shared" si="11"/>
        <v>33.450878402597972</v>
      </c>
      <c r="C142" s="24">
        <f t="shared" si="8"/>
        <v>-5850.3717072712852</v>
      </c>
      <c r="H142" s="66">
        <v>6.3</v>
      </c>
      <c r="I142" s="10">
        <f t="shared" si="9"/>
        <v>0.73537255233051713</v>
      </c>
      <c r="J142" s="10">
        <f t="shared" si="12"/>
        <v>0.98993204486303277</v>
      </c>
      <c r="K142" s="66">
        <f t="shared" si="14"/>
        <v>2</v>
      </c>
      <c r="L142" s="5">
        <f t="shared" si="15"/>
        <v>2.4265628482156548E-2</v>
      </c>
      <c r="N142" s="5">
        <v>5.0821915644643015E-2</v>
      </c>
      <c r="O142" s="19">
        <f t="shared" si="13"/>
        <v>5.2135507724839547E-2</v>
      </c>
      <c r="P142" s="12">
        <f t="shared" si="10"/>
        <v>-5772.7410229089246</v>
      </c>
    </row>
    <row r="143" spans="1:16">
      <c r="A143" s="149">
        <v>0.45387127292703022</v>
      </c>
      <c r="B143" s="150">
        <f t="shared" si="11"/>
        <v>35.669267752211887</v>
      </c>
      <c r="C143" s="24">
        <f t="shared" si="8"/>
        <v>-5850.3717072712852</v>
      </c>
      <c r="H143" s="66">
        <v>6.35</v>
      </c>
      <c r="I143" s="10">
        <f t="shared" si="9"/>
        <v>0.73358079134922682</v>
      </c>
      <c r="J143" s="10">
        <f t="shared" si="12"/>
        <v>0.98981910732354494</v>
      </c>
      <c r="K143" s="66">
        <f t="shared" si="14"/>
        <v>4</v>
      </c>
      <c r="L143" s="5">
        <f t="shared" si="15"/>
        <v>4.840748560286609E-2</v>
      </c>
      <c r="N143" s="5">
        <v>5.7300516752671685E-2</v>
      </c>
      <c r="O143" s="19">
        <f t="shared" si="13"/>
        <v>5.897400201039793E-2</v>
      </c>
      <c r="P143" s="12">
        <f t="shared" si="10"/>
        <v>-5534.7888457645122</v>
      </c>
    </row>
    <row r="144" spans="1:16">
      <c r="A144" s="149">
        <v>0.63789788506729328</v>
      </c>
      <c r="B144" s="150">
        <f t="shared" si="11"/>
        <v>40.018953600365151</v>
      </c>
      <c r="C144" s="24">
        <f t="shared" ref="C144:C207" si="16">IF($B144&lt;15,B$8*(B$10^$B144)-B$7*(1-B$10^$B144)/B$11, -B$7*(1-B$10^15)/B$11)</f>
        <v>-5850.3717072712852</v>
      </c>
      <c r="H144" s="66">
        <v>6.4</v>
      </c>
      <c r="I144" s="10">
        <f t="shared" ref="I144:I207" si="17">B$10^H144</f>
        <v>0.73179339605632654</v>
      </c>
      <c r="J144" s="10">
        <f t="shared" si="12"/>
        <v>0.98970551571442511</v>
      </c>
      <c r="K144" s="66">
        <f t="shared" si="14"/>
        <v>2</v>
      </c>
      <c r="L144" s="5">
        <f t="shared" si="15"/>
        <v>2.4141998681344576E-2</v>
      </c>
      <c r="N144" s="5">
        <v>7.4699458716291703E-2</v>
      </c>
      <c r="O144" s="19">
        <f t="shared" si="13"/>
        <v>7.75602508733364E-2</v>
      </c>
      <c r="P144" s="12">
        <f t="shared" ref="P144:P207" si="18">IF($B144&lt;15,B$8*((1+O144)^-$B144)-B$7*(1-(1+O144)^-$B144)/LN(1+O144), -B$7*(1-(1+O144)^-15)/LN(1+O144))</f>
        <v>-4961.6739871029104</v>
      </c>
    </row>
    <row r="145" spans="1:16">
      <c r="A145" s="149">
        <v>0.78588213751640368</v>
      </c>
      <c r="B145" s="150">
        <f t="shared" ref="B145:B208" si="19">LN(1-LN(B$4)*(LN(1-A145)/(B$3*B$4^50)))/LN(B$4)</f>
        <v>43.532289622463423</v>
      </c>
      <c r="C145" s="24">
        <f t="shared" si="16"/>
        <v>-5850.3717072712852</v>
      </c>
      <c r="H145" s="66">
        <v>6.45</v>
      </c>
      <c r="I145" s="10">
        <f t="shared" si="17"/>
        <v>0.73001035581466367</v>
      </c>
      <c r="J145" s="10">
        <f t="shared" ref="J145:J208" si="20">B$9^((B$4^B$6)*((B$4^H145)-1))</f>
        <v>0.98959126632489525</v>
      </c>
      <c r="K145" s="66">
        <f t="shared" si="14"/>
        <v>4</v>
      </c>
      <c r="L145" s="5">
        <f t="shared" si="15"/>
        <v>4.8160791496061367E-2</v>
      </c>
      <c r="N145" s="5">
        <v>2.4810904003184989E-2</v>
      </c>
      <c r="O145" s="19">
        <f t="shared" ref="O145:O208" si="21">EXP(N145)-1</f>
        <v>2.5121255869756443E-2</v>
      </c>
      <c r="P145" s="12">
        <f t="shared" si="18"/>
        <v>-6888.7927044357448</v>
      </c>
    </row>
    <row r="146" spans="1:16">
      <c r="A146" s="149">
        <v>0.7491378521073031</v>
      </c>
      <c r="B146" s="150">
        <f t="shared" si="19"/>
        <v>42.617447070271062</v>
      </c>
      <c r="C146" s="24">
        <f t="shared" si="16"/>
        <v>-5850.3717072712852</v>
      </c>
      <c r="H146" s="66">
        <v>6.5</v>
      </c>
      <c r="I146" s="10">
        <f t="shared" si="17"/>
        <v>0.72823166001300332</v>
      </c>
      <c r="J146" s="10">
        <f t="shared" si="20"/>
        <v>0.98947635542403933</v>
      </c>
      <c r="K146" s="66">
        <f t="shared" si="14"/>
        <v>2</v>
      </c>
      <c r="L146" s="5">
        <f t="shared" si="15"/>
        <v>2.4018933628468825E-2</v>
      </c>
      <c r="N146" s="5">
        <v>3.0459439310230665E-2</v>
      </c>
      <c r="O146" s="19">
        <f t="shared" si="21"/>
        <v>3.0928074046957743E-2</v>
      </c>
      <c r="P146" s="12">
        <f t="shared" si="18"/>
        <v>-6622.3496450296243</v>
      </c>
    </row>
    <row r="147" spans="1:16">
      <c r="A147" s="149">
        <v>0.61592455824457537</v>
      </c>
      <c r="B147" s="150">
        <f t="shared" si="19"/>
        <v>39.516401113131963</v>
      </c>
      <c r="C147" s="24">
        <f t="shared" si="16"/>
        <v>-5850.3717072712852</v>
      </c>
      <c r="H147" s="66">
        <v>6.55</v>
      </c>
      <c r="I147" s="10">
        <f t="shared" si="17"/>
        <v>0.72645729806596515</v>
      </c>
      <c r="J147" s="10">
        <f t="shared" si="20"/>
        <v>0.98936077926070565</v>
      </c>
      <c r="K147" s="66">
        <f t="shared" ref="K147:K210" si="22">IF(K146=4,2,4)</f>
        <v>4</v>
      </c>
      <c r="L147" s="5">
        <f t="shared" ref="L147:L210" si="23">I147*J147*K147*0.05/3</f>
        <v>4.7915223900944666E-2</v>
      </c>
      <c r="N147" s="5">
        <v>1.7569692269840745E-2</v>
      </c>
      <c r="O147" s="19">
        <f t="shared" si="21"/>
        <v>1.7724947240914668E-2</v>
      </c>
      <c r="P147" s="12">
        <f t="shared" si="18"/>
        <v>-7252.4028545650754</v>
      </c>
    </row>
    <row r="148" spans="1:16">
      <c r="A148" s="149">
        <v>0.31177709280678734</v>
      </c>
      <c r="B148" s="150">
        <f t="shared" si="19"/>
        <v>31.657335217586816</v>
      </c>
      <c r="C148" s="24">
        <f t="shared" si="16"/>
        <v>-5850.3717072712852</v>
      </c>
      <c r="H148" s="66">
        <v>6.6</v>
      </c>
      <c r="I148" s="10">
        <f t="shared" si="17"/>
        <v>0.72468725941396073</v>
      </c>
      <c r="J148" s="10">
        <f t="shared" si="20"/>
        <v>0.98924453406340762</v>
      </c>
      <c r="K148" s="66">
        <f t="shared" si="22"/>
        <v>2</v>
      </c>
      <c r="L148" s="5">
        <f t="shared" si="23"/>
        <v>2.3896430342688377E-2</v>
      </c>
      <c r="N148" s="5">
        <v>7.6258763735619142E-2</v>
      </c>
      <c r="O148" s="19">
        <f t="shared" si="21"/>
        <v>7.9241806669632098E-2</v>
      </c>
      <c r="P148" s="12">
        <f t="shared" si="18"/>
        <v>-4914.5953360957647</v>
      </c>
    </row>
    <row r="149" spans="1:16">
      <c r="A149" s="149">
        <v>0.13785210730307931</v>
      </c>
      <c r="B149" s="150">
        <f t="shared" si="19"/>
        <v>24.117817140119399</v>
      </c>
      <c r="C149" s="24">
        <f t="shared" si="16"/>
        <v>-5850.3717072712852</v>
      </c>
      <c r="H149" s="66">
        <v>6.65</v>
      </c>
      <c r="I149" s="10">
        <f t="shared" si="17"/>
        <v>0.72292153352313016</v>
      </c>
      <c r="J149" s="10">
        <f t="shared" si="20"/>
        <v>0.98912761604022481</v>
      </c>
      <c r="K149" s="66">
        <f t="shared" si="22"/>
        <v>4</v>
      </c>
      <c r="L149" s="5">
        <f t="shared" si="23"/>
        <v>4.7670776869191807E-2</v>
      </c>
      <c r="N149" s="5">
        <v>1.7636763866117691E-2</v>
      </c>
      <c r="O149" s="19">
        <f t="shared" si="21"/>
        <v>1.7793209966916468E-2</v>
      </c>
      <c r="P149" s="12">
        <f t="shared" si="18"/>
        <v>-7248.91583152159</v>
      </c>
    </row>
    <row r="150" spans="1:16">
      <c r="A150" s="149">
        <v>1.1932737205114903E-2</v>
      </c>
      <c r="B150" s="150">
        <f t="shared" si="19"/>
        <v>7.0907555929212771</v>
      </c>
      <c r="C150" s="24">
        <f t="shared" si="16"/>
        <v>138211.46412837453</v>
      </c>
      <c r="H150" s="66">
        <v>6.7</v>
      </c>
      <c r="I150" s="10">
        <f t="shared" si="17"/>
        <v>0.72116010988527979</v>
      </c>
      <c r="J150" s="10">
        <f t="shared" si="20"/>
        <v>0.98901002137870409</v>
      </c>
      <c r="K150" s="66">
        <f t="shared" si="22"/>
        <v>2</v>
      </c>
      <c r="L150" s="5">
        <f t="shared" si="23"/>
        <v>2.377448585650364E-2</v>
      </c>
      <c r="N150" s="5">
        <v>1.3757680287322729E-2</v>
      </c>
      <c r="O150" s="19">
        <f t="shared" si="21"/>
        <v>1.3852752662235401E-2</v>
      </c>
      <c r="P150" s="12">
        <f t="shared" si="18"/>
        <v>177695.24125870815</v>
      </c>
    </row>
    <row r="151" spans="1:16">
      <c r="A151" s="149">
        <v>0.55287331766716519</v>
      </c>
      <c r="B151" s="150">
        <f t="shared" si="19"/>
        <v>38.063007276057867</v>
      </c>
      <c r="C151" s="24">
        <f t="shared" si="16"/>
        <v>-5850.3717072712852</v>
      </c>
      <c r="H151" s="66">
        <v>6.75</v>
      </c>
      <c r="I151" s="10">
        <f t="shared" si="17"/>
        <v>0.71940297801781961</v>
      </c>
      <c r="J151" s="10">
        <f t="shared" si="20"/>
        <v>0.98889174624575915</v>
      </c>
      <c r="K151" s="66">
        <f t="shared" si="22"/>
        <v>4</v>
      </c>
      <c r="L151" s="5">
        <f t="shared" si="23"/>
        <v>4.7427444479096074E-2</v>
      </c>
      <c r="N151" s="5">
        <v>6.8006491526044557E-2</v>
      </c>
      <c r="O151" s="19">
        <f t="shared" si="21"/>
        <v>7.0372256805604216E-2</v>
      </c>
      <c r="P151" s="12">
        <f t="shared" si="18"/>
        <v>-5171.4488685886436</v>
      </c>
    </row>
    <row r="152" spans="1:16">
      <c r="A152" s="149">
        <v>0.27979369487594224</v>
      </c>
      <c r="B152" s="150">
        <f t="shared" si="19"/>
        <v>30.584996209221401</v>
      </c>
      <c r="C152" s="24">
        <f t="shared" si="16"/>
        <v>-5850.3717072712852</v>
      </c>
      <c r="H152" s="66">
        <v>6.8</v>
      </c>
      <c r="I152" s="10">
        <f t="shared" si="17"/>
        <v>0.71765012746370072</v>
      </c>
      <c r="J152" s="10">
        <f t="shared" si="20"/>
        <v>0.98877278678757108</v>
      </c>
      <c r="K152" s="66">
        <f t="shared" si="22"/>
        <v>2</v>
      </c>
      <c r="L152" s="5">
        <f t="shared" si="23"/>
        <v>2.36530972156913E-2</v>
      </c>
      <c r="N152" s="5">
        <v>4.6129917743324769E-2</v>
      </c>
      <c r="O152" s="19">
        <f t="shared" si="21"/>
        <v>4.7210453338470071E-2</v>
      </c>
      <c r="P152" s="12">
        <f t="shared" si="18"/>
        <v>-5954.2754879714676</v>
      </c>
    </row>
    <row r="153" spans="1:16">
      <c r="A153" s="149">
        <v>3.1769768364513076E-2</v>
      </c>
      <c r="B153" s="150">
        <f t="shared" si="19"/>
        <v>12.789263619974784</v>
      </c>
      <c r="C153" s="24">
        <f t="shared" si="16"/>
        <v>101927.64149888318</v>
      </c>
      <c r="H153" s="66">
        <v>6.85</v>
      </c>
      <c r="I153" s="10">
        <f t="shared" si="17"/>
        <v>0.71590154779135318</v>
      </c>
      <c r="J153" s="10">
        <f t="shared" si="20"/>
        <v>0.9886531391294876</v>
      </c>
      <c r="K153" s="66">
        <f t="shared" si="22"/>
        <v>4</v>
      </c>
      <c r="L153" s="5">
        <f t="shared" si="23"/>
        <v>4.7185220835438683E-2</v>
      </c>
      <c r="N153" s="5">
        <v>3.4617604294122431E-2</v>
      </c>
      <c r="O153" s="19">
        <f t="shared" si="21"/>
        <v>3.5223767977915932E-2</v>
      </c>
      <c r="P153" s="12">
        <f t="shared" si="18"/>
        <v>122772.21202533238</v>
      </c>
    </row>
    <row r="154" spans="1:16">
      <c r="A154" s="149">
        <v>0.53178502761925106</v>
      </c>
      <c r="B154" s="150">
        <f t="shared" si="19"/>
        <v>37.568250957554895</v>
      </c>
      <c r="C154" s="24">
        <f t="shared" si="16"/>
        <v>-5850.3717072712852</v>
      </c>
      <c r="H154" s="66">
        <v>6.9</v>
      </c>
      <c r="I154" s="10">
        <f t="shared" si="17"/>
        <v>0.71415722859462394</v>
      </c>
      <c r="J154" s="10">
        <f t="shared" si="20"/>
        <v>0.98853279937592275</v>
      </c>
      <c r="K154" s="66">
        <f t="shared" si="22"/>
        <v>2</v>
      </c>
      <c r="L154" s="5">
        <f t="shared" si="23"/>
        <v>2.3532261479239813E-2</v>
      </c>
      <c r="N154" s="5">
        <v>9.1790112444083208E-2</v>
      </c>
      <c r="O154" s="19">
        <f t="shared" si="21"/>
        <v>9.6134732895190256E-2</v>
      </c>
      <c r="P154" s="12">
        <f t="shared" si="18"/>
        <v>-4479.7361277907121</v>
      </c>
    </row>
    <row r="155" spans="1:16">
      <c r="A155" s="149">
        <v>0.60148930326242867</v>
      </c>
      <c r="B155" s="150">
        <f t="shared" si="19"/>
        <v>39.185812120535445</v>
      </c>
      <c r="C155" s="24">
        <f t="shared" si="16"/>
        <v>-5850.3717072712852</v>
      </c>
      <c r="H155" s="66">
        <v>6.95</v>
      </c>
      <c r="I155" s="10">
        <f t="shared" si="17"/>
        <v>0.71241715949271489</v>
      </c>
      <c r="J155" s="10">
        <f t="shared" si="20"/>
        <v>0.98841176361025551</v>
      </c>
      <c r="K155" s="66">
        <f t="shared" si="22"/>
        <v>4</v>
      </c>
      <c r="L155" s="5">
        <f t="shared" si="23"/>
        <v>4.6944100069360201E-2</v>
      </c>
      <c r="N155" s="5">
        <v>1.1286990636232078E-2</v>
      </c>
      <c r="O155" s="19">
        <f t="shared" si="21"/>
        <v>1.1350929046019864E-2</v>
      </c>
      <c r="P155" s="12">
        <f t="shared" si="18"/>
        <v>-7589.4173607250177</v>
      </c>
    </row>
    <row r="156" spans="1:16">
      <c r="A156" s="149">
        <v>0.6709799493392743</v>
      </c>
      <c r="B156" s="150">
        <f t="shared" si="19"/>
        <v>40.777591288415742</v>
      </c>
      <c r="C156" s="24">
        <f t="shared" si="16"/>
        <v>-5850.3717072712852</v>
      </c>
      <c r="H156" s="66">
        <v>7</v>
      </c>
      <c r="I156" s="10">
        <f t="shared" si="17"/>
        <v>0.71068133013012136</v>
      </c>
      <c r="J156" s="10">
        <f t="shared" si="20"/>
        <v>0.9882900278947282</v>
      </c>
      <c r="K156" s="66">
        <f t="shared" si="22"/>
        <v>2</v>
      </c>
      <c r="L156" s="5">
        <f t="shared" si="23"/>
        <v>2.3411975719285341E-2</v>
      </c>
      <c r="N156" s="5">
        <v>1.8189556564844681E-2</v>
      </c>
      <c r="O156" s="19">
        <f t="shared" si="21"/>
        <v>1.8355994159364952E-2</v>
      </c>
      <c r="P156" s="12">
        <f t="shared" si="18"/>
        <v>-7220.263270754197</v>
      </c>
    </row>
    <row r="157" spans="1:16">
      <c r="A157" s="149">
        <v>0.16330454420606097</v>
      </c>
      <c r="B157" s="150">
        <f t="shared" si="19"/>
        <v>25.59637812534865</v>
      </c>
      <c r="C157" s="24">
        <f t="shared" si="16"/>
        <v>-5850.3717072712852</v>
      </c>
      <c r="H157" s="66">
        <v>7.05</v>
      </c>
      <c r="I157" s="10">
        <f t="shared" si="17"/>
        <v>0.7089497301765697</v>
      </c>
      <c r="J157" s="10">
        <f t="shared" si="20"/>
        <v>0.98816758827034523</v>
      </c>
      <c r="K157" s="66">
        <f t="shared" si="22"/>
        <v>4</v>
      </c>
      <c r="L157" s="5">
        <f t="shared" si="23"/>
        <v>4.6704076338232862E-2</v>
      </c>
      <c r="N157" s="5">
        <v>2.6900808913647781E-2</v>
      </c>
      <c r="O157" s="19">
        <f t="shared" si="21"/>
        <v>2.7265902088952743E-2</v>
      </c>
      <c r="P157" s="12">
        <f t="shared" si="18"/>
        <v>-6788.5149326248356</v>
      </c>
    </row>
    <row r="158" spans="1:16">
      <c r="A158" s="149">
        <v>0.4740440076906644</v>
      </c>
      <c r="B158" s="150">
        <f t="shared" si="19"/>
        <v>36.17429611683302</v>
      </c>
      <c r="C158" s="24">
        <f t="shared" si="16"/>
        <v>-5850.3717072712852</v>
      </c>
      <c r="H158" s="66">
        <v>7.1</v>
      </c>
      <c r="I158" s="10">
        <f t="shared" si="17"/>
        <v>0.70722234932695682</v>
      </c>
      <c r="J158" s="10">
        <f t="shared" si="20"/>
        <v>0.98804444075677089</v>
      </c>
      <c r="K158" s="66">
        <f t="shared" si="22"/>
        <v>2</v>
      </c>
      <c r="L158" s="5">
        <f t="shared" si="23"/>
        <v>2.3292237021048091E-2</v>
      </c>
      <c r="N158" s="5">
        <v>2.4992556243101718E-2</v>
      </c>
      <c r="O158" s="19">
        <f t="shared" si="21"/>
        <v>2.5307488356333563E-2</v>
      </c>
      <c r="P158" s="12">
        <f t="shared" si="18"/>
        <v>-6879.9960083287906</v>
      </c>
    </row>
    <row r="159" spans="1:16">
      <c r="A159" s="149">
        <v>8.1484420300912512E-3</v>
      </c>
      <c r="B159" s="150">
        <f t="shared" si="19"/>
        <v>5.4027729529280268</v>
      </c>
      <c r="C159" s="24">
        <f t="shared" si="16"/>
        <v>151043.6884267453</v>
      </c>
      <c r="H159" s="66">
        <v>7.15</v>
      </c>
      <c r="I159" s="10">
        <f t="shared" si="17"/>
        <v>0.70549917730128819</v>
      </c>
      <c r="J159" s="10">
        <f t="shared" si="20"/>
        <v>0.98792058135222649</v>
      </c>
      <c r="K159" s="66">
        <f t="shared" si="22"/>
        <v>4</v>
      </c>
      <c r="L159" s="5">
        <f t="shared" si="23"/>
        <v>4.6465143825533746E-2</v>
      </c>
      <c r="N159" s="5">
        <v>4.8888100147574734E-2</v>
      </c>
      <c r="O159" s="19">
        <f t="shared" si="21"/>
        <v>5.0102837812728618E-2</v>
      </c>
      <c r="P159" s="12">
        <f t="shared" si="18"/>
        <v>150963.06729789445</v>
      </c>
    </row>
    <row r="160" spans="1:16">
      <c r="A160" s="149">
        <v>1.7975402081362345E-2</v>
      </c>
      <c r="B160" s="150">
        <f t="shared" si="19"/>
        <v>9.2483279227977171</v>
      </c>
      <c r="C160" s="24">
        <f t="shared" si="16"/>
        <v>123275.44710718824</v>
      </c>
      <c r="H160" s="66">
        <v>7.2</v>
      </c>
      <c r="I160" s="10">
        <f t="shared" si="17"/>
        <v>0.7037802038446167</v>
      </c>
      <c r="J160" s="10">
        <f t="shared" si="20"/>
        <v>0.98779600603338835</v>
      </c>
      <c r="K160" s="66">
        <f t="shared" si="22"/>
        <v>2</v>
      </c>
      <c r="L160" s="5">
        <f t="shared" si="23"/>
        <v>2.3173042482769208E-2</v>
      </c>
      <c r="N160" s="5">
        <v>3.5796124572822011E-2</v>
      </c>
      <c r="O160" s="19">
        <f t="shared" si="21"/>
        <v>3.644451938031823E-2</v>
      </c>
      <c r="P160" s="12">
        <f t="shared" si="18"/>
        <v>139302.91647102236</v>
      </c>
    </row>
    <row r="161" spans="1:16">
      <c r="A161" s="149">
        <v>0.61833552049317908</v>
      </c>
      <c r="B161" s="150">
        <f t="shared" si="19"/>
        <v>39.571560324637773</v>
      </c>
      <c r="C161" s="24">
        <f t="shared" si="16"/>
        <v>-5850.3717072712852</v>
      </c>
      <c r="H161" s="66">
        <v>7.25</v>
      </c>
      <c r="I161" s="10">
        <f t="shared" si="17"/>
        <v>0.70206541872698214</v>
      </c>
      <c r="J161" s="10">
        <f t="shared" si="20"/>
        <v>0.98767071075528401</v>
      </c>
      <c r="K161" s="66">
        <f t="shared" si="22"/>
        <v>4</v>
      </c>
      <c r="L161" s="5">
        <f t="shared" si="23"/>
        <v>4.6227296740718966E-2</v>
      </c>
      <c r="N161" s="5">
        <v>0.10328521961777005</v>
      </c>
      <c r="O161" s="19">
        <f t="shared" si="21"/>
        <v>0.10880761766430802</v>
      </c>
      <c r="P161" s="12">
        <f t="shared" si="18"/>
        <v>-4194.0108785230987</v>
      </c>
    </row>
    <row r="162" spans="1:16">
      <c r="A162" s="149">
        <v>2.8870509964293346E-2</v>
      </c>
      <c r="B162" s="150">
        <f t="shared" si="19"/>
        <v>12.154150683633569</v>
      </c>
      <c r="C162" s="24">
        <f t="shared" si="16"/>
        <v>105490.32624821969</v>
      </c>
      <c r="H162" s="66">
        <v>7.3</v>
      </c>
      <c r="I162" s="10">
        <f t="shared" si="17"/>
        <v>0.70035481174334968</v>
      </c>
      <c r="J162" s="10">
        <f t="shared" si="20"/>
        <v>0.98754469145118928</v>
      </c>
      <c r="K162" s="66">
        <f t="shared" si="22"/>
        <v>2</v>
      </c>
      <c r="L162" s="5">
        <f t="shared" si="23"/>
        <v>2.3054389215648067E-2</v>
      </c>
      <c r="N162" s="5">
        <v>5.8133596391722678E-2</v>
      </c>
      <c r="O162" s="19">
        <f t="shared" si="21"/>
        <v>5.9856579267284493E-2</v>
      </c>
      <c r="P162" s="12">
        <f t="shared" si="18"/>
        <v>93873.700473978199</v>
      </c>
    </row>
    <row r="163" spans="1:16">
      <c r="A163" s="149">
        <v>0.35929441206091495</v>
      </c>
      <c r="B163" s="150">
        <f t="shared" si="19"/>
        <v>33.111897439942624</v>
      </c>
      <c r="C163" s="24">
        <f t="shared" si="16"/>
        <v>-5850.3717072712852</v>
      </c>
      <c r="H163" s="66">
        <v>7.35</v>
      </c>
      <c r="I163" s="10">
        <f t="shared" si="17"/>
        <v>0.69864837271354929</v>
      </c>
      <c r="J163" s="10">
        <f t="shared" si="20"/>
        <v>0.98741794403252436</v>
      </c>
      <c r="K163" s="66">
        <f t="shared" si="22"/>
        <v>4</v>
      </c>
      <c r="L163" s="5">
        <f t="shared" si="23"/>
        <v>4.5990529319098777E-2</v>
      </c>
      <c r="N163" s="5">
        <v>2.2293856042902918E-2</v>
      </c>
      <c r="O163" s="19">
        <f t="shared" si="21"/>
        <v>2.2544221124225938E-2</v>
      </c>
      <c r="P163" s="12">
        <f t="shared" si="18"/>
        <v>-7012.2910291724584</v>
      </c>
    </row>
    <row r="164" spans="1:16">
      <c r="A164" s="149">
        <v>0.59150975066377753</v>
      </c>
      <c r="B164" s="150">
        <f t="shared" si="19"/>
        <v>38.956760288119241</v>
      </c>
      <c r="C164" s="24">
        <f t="shared" si="16"/>
        <v>-5850.3717072712852</v>
      </c>
      <c r="H164" s="66">
        <v>7.4</v>
      </c>
      <c r="I164" s="10">
        <f t="shared" si="17"/>
        <v>0.69694609148221576</v>
      </c>
      <c r="J164" s="10">
        <f t="shared" si="20"/>
        <v>0.98729046438874957</v>
      </c>
      <c r="K164" s="66">
        <f t="shared" si="22"/>
        <v>2</v>
      </c>
      <c r="L164" s="5">
        <f t="shared" si="23"/>
        <v>2.2936274343780025E-2</v>
      </c>
      <c r="N164" s="5">
        <v>5.9191563147702256E-2</v>
      </c>
      <c r="O164" s="19">
        <f t="shared" si="21"/>
        <v>6.0978465648859892E-2</v>
      </c>
      <c r="P164" s="12">
        <f t="shared" si="18"/>
        <v>-5467.9840012984369</v>
      </c>
    </row>
    <row r="165" spans="1:16">
      <c r="A165" s="149">
        <v>0.99563585314493241</v>
      </c>
      <c r="B165" s="150">
        <f t="shared" si="19"/>
        <v>54.195098313601576</v>
      </c>
      <c r="C165" s="24">
        <f t="shared" si="16"/>
        <v>-5850.3717072712852</v>
      </c>
      <c r="H165" s="66">
        <v>7.45</v>
      </c>
      <c r="I165" s="10">
        <f t="shared" si="17"/>
        <v>0.69524795791872729</v>
      </c>
      <c r="J165" s="10">
        <f t="shared" si="20"/>
        <v>0.9871622483872613</v>
      </c>
      <c r="K165" s="66">
        <f t="shared" si="22"/>
        <v>4</v>
      </c>
      <c r="L165" s="5">
        <f t="shared" si="23"/>
        <v>4.5754835821713524E-2</v>
      </c>
      <c r="N165" s="5">
        <v>3.7667882404217382E-2</v>
      </c>
      <c r="O165" s="19">
        <f t="shared" si="21"/>
        <v>3.8386309239545113E-2</v>
      </c>
      <c r="P165" s="12">
        <f t="shared" si="18"/>
        <v>-6302.653736732741</v>
      </c>
    </row>
    <row r="166" spans="1:16">
      <c r="A166" s="149">
        <v>0.66808069093905453</v>
      </c>
      <c r="B166" s="150">
        <f t="shared" si="19"/>
        <v>40.710873856017606</v>
      </c>
      <c r="C166" s="24">
        <f t="shared" si="16"/>
        <v>-5850.3717072712852</v>
      </c>
      <c r="H166" s="66">
        <v>7.5</v>
      </c>
      <c r="I166" s="10">
        <f t="shared" si="17"/>
        <v>0.69355396191714591</v>
      </c>
      <c r="J166" s="10">
        <f t="shared" si="20"/>
        <v>0.98703329187328681</v>
      </c>
      <c r="K166" s="66">
        <f t="shared" si="22"/>
        <v>2</v>
      </c>
      <c r="L166" s="5">
        <f t="shared" si="23"/>
        <v>2.2818695004094693E-2</v>
      </c>
      <c r="N166" s="5">
        <v>4.8325772761141708E-2</v>
      </c>
      <c r="O166" s="19">
        <f t="shared" si="21"/>
        <v>4.9512502224945409E-2</v>
      </c>
      <c r="P166" s="12">
        <f t="shared" si="18"/>
        <v>-5868.3236614447951</v>
      </c>
    </row>
    <row r="167" spans="1:16">
      <c r="A167" s="149">
        <v>0.9353617969298379</v>
      </c>
      <c r="B167" s="150">
        <f t="shared" si="19"/>
        <v>48.392048253902395</v>
      </c>
      <c r="C167" s="24">
        <f t="shared" si="16"/>
        <v>-5850.3717072712852</v>
      </c>
      <c r="H167" s="66">
        <v>7.55</v>
      </c>
      <c r="I167" s="10">
        <f t="shared" si="17"/>
        <v>0.69186409339615729</v>
      </c>
      <c r="J167" s="10">
        <f t="shared" si="20"/>
        <v>0.98690359066977973</v>
      </c>
      <c r="K167" s="66">
        <f t="shared" si="22"/>
        <v>4</v>
      </c>
      <c r="L167" s="5">
        <f t="shared" si="23"/>
        <v>4.5520210535210631E-2</v>
      </c>
      <c r="N167" s="5">
        <v>4.1324161154203468E-2</v>
      </c>
      <c r="O167" s="19">
        <f t="shared" si="21"/>
        <v>4.2189888271583875E-2</v>
      </c>
      <c r="P167" s="12">
        <f t="shared" si="18"/>
        <v>-6148.6995237909268</v>
      </c>
    </row>
    <row r="168" spans="1:16">
      <c r="A168" s="149">
        <v>0.96264534440137939</v>
      </c>
      <c r="B168" s="150">
        <f t="shared" si="19"/>
        <v>49.936692873006933</v>
      </c>
      <c r="C168" s="24">
        <f t="shared" si="16"/>
        <v>-5850.3717072712852</v>
      </c>
      <c r="H168" s="66">
        <v>7.6</v>
      </c>
      <c r="I168" s="10">
        <f t="shared" si="17"/>
        <v>0.69017834229901021</v>
      </c>
      <c r="J168" s="10">
        <f t="shared" si="20"/>
        <v>0.98677314057731425</v>
      </c>
      <c r="K168" s="66">
        <f t="shared" si="22"/>
        <v>2</v>
      </c>
      <c r="L168" s="5">
        <f t="shared" si="23"/>
        <v>2.2701648346294633E-2</v>
      </c>
      <c r="N168" s="5">
        <v>5.5519886425041479E-2</v>
      </c>
      <c r="O168" s="19">
        <f t="shared" si="21"/>
        <v>5.7090038605215332E-2</v>
      </c>
      <c r="P168" s="12">
        <f t="shared" si="18"/>
        <v>-5598.7697699111022</v>
      </c>
    </row>
    <row r="169" spans="1:16">
      <c r="A169" s="149">
        <v>0.84395886104922635</v>
      </c>
      <c r="B169" s="150">
        <f t="shared" si="19"/>
        <v>45.109033179007909</v>
      </c>
      <c r="C169" s="24">
        <f t="shared" si="16"/>
        <v>-5850.3717072712852</v>
      </c>
      <c r="H169" s="66">
        <v>7.65</v>
      </c>
      <c r="I169" s="10">
        <f t="shared" si="17"/>
        <v>0.68849669859345719</v>
      </c>
      <c r="J169" s="10">
        <f t="shared" si="20"/>
        <v>0.98664193737397954</v>
      </c>
      <c r="K169" s="66">
        <f t="shared" si="22"/>
        <v>4</v>
      </c>
      <c r="L169" s="5">
        <f t="shared" si="23"/>
        <v>4.5286647771722498E-2</v>
      </c>
      <c r="N169" s="5">
        <v>4.8956322482023099E-2</v>
      </c>
      <c r="O169" s="19">
        <f t="shared" si="21"/>
        <v>5.0174480723530479E-2</v>
      </c>
      <c r="P169" s="12">
        <f t="shared" si="18"/>
        <v>-5843.9674729840408</v>
      </c>
    </row>
    <row r="170" spans="1:16">
      <c r="A170" s="149">
        <v>0.45860164189580982</v>
      </c>
      <c r="B170" s="150">
        <f t="shared" si="19"/>
        <v>35.78869657453275</v>
      </c>
      <c r="C170" s="24">
        <f t="shared" si="16"/>
        <v>-5850.3717072712852</v>
      </c>
      <c r="H170" s="66">
        <v>7.7</v>
      </c>
      <c r="I170" s="10">
        <f t="shared" si="17"/>
        <v>0.68681915227169499</v>
      </c>
      <c r="J170" s="10">
        <f t="shared" si="20"/>
        <v>0.98650997681527341</v>
      </c>
      <c r="K170" s="66">
        <f t="shared" si="22"/>
        <v>2</v>
      </c>
      <c r="L170" s="5">
        <f t="shared" si="23"/>
        <v>2.2585131532794522E-2</v>
      </c>
      <c r="N170" s="5">
        <v>6.8694906937831549E-2</v>
      </c>
      <c r="O170" s="19">
        <f t="shared" si="21"/>
        <v>7.1109371254901133E-2</v>
      </c>
      <c r="P170" s="12">
        <f t="shared" si="18"/>
        <v>-5149.2802905026265</v>
      </c>
    </row>
    <row r="171" spans="1:16">
      <c r="A171" s="149">
        <v>0.89516891994994963</v>
      </c>
      <c r="B171" s="150">
        <f t="shared" si="19"/>
        <v>46.748961938347136</v>
      </c>
      <c r="C171" s="24">
        <f t="shared" si="16"/>
        <v>-5850.3717072712852</v>
      </c>
      <c r="H171" s="66">
        <v>7.75</v>
      </c>
      <c r="I171" s="10">
        <f t="shared" si="17"/>
        <v>0.6851456933503044</v>
      </c>
      <c r="J171" s="10">
        <f t="shared" si="20"/>
        <v>0.98637725463399684</v>
      </c>
      <c r="K171" s="66">
        <f t="shared" si="22"/>
        <v>4</v>
      </c>
      <c r="L171" s="5">
        <f t="shared" si="23"/>
        <v>4.5054141868745297E-2</v>
      </c>
      <c r="N171" s="5">
        <v>3.669205643485475E-2</v>
      </c>
      <c r="O171" s="19">
        <f t="shared" si="21"/>
        <v>3.7373519146563616E-2</v>
      </c>
      <c r="P171" s="12">
        <f t="shared" si="18"/>
        <v>-6344.6548117337115</v>
      </c>
    </row>
    <row r="172" spans="1:16">
      <c r="A172" s="149">
        <v>7.5441755424665066E-2</v>
      </c>
      <c r="B172" s="150">
        <f t="shared" si="19"/>
        <v>19.139251337033585</v>
      </c>
      <c r="C172" s="24">
        <f t="shared" si="16"/>
        <v>-5850.3717072712852</v>
      </c>
      <c r="H172" s="66">
        <v>7.8</v>
      </c>
      <c r="I172" s="10">
        <f t="shared" si="17"/>
        <v>0.68347631187019109</v>
      </c>
      <c r="J172" s="10">
        <f t="shared" si="20"/>
        <v>0.98624376654014601</v>
      </c>
      <c r="K172" s="66">
        <f t="shared" si="22"/>
        <v>2</v>
      </c>
      <c r="L172" s="5">
        <f t="shared" si="23"/>
        <v>2.2469141738660825E-2</v>
      </c>
      <c r="N172" s="5">
        <v>2.9531012794119307E-2</v>
      </c>
      <c r="O172" s="19">
        <f t="shared" si="21"/>
        <v>2.9971377266859056E-2</v>
      </c>
      <c r="P172" s="12">
        <f t="shared" si="18"/>
        <v>-6665.153832400696</v>
      </c>
    </row>
    <row r="173" spans="1:16">
      <c r="A173" s="149">
        <v>0.56996368297372357</v>
      </c>
      <c r="B173" s="150">
        <f t="shared" si="19"/>
        <v>38.460012583415235</v>
      </c>
      <c r="C173" s="24">
        <f t="shared" si="16"/>
        <v>-5850.3717072712852</v>
      </c>
      <c r="H173" s="66">
        <v>7.85</v>
      </c>
      <c r="I173" s="10">
        <f t="shared" si="17"/>
        <v>0.68181099789652677</v>
      </c>
      <c r="J173" s="10">
        <f t="shared" si="20"/>
        <v>0.98610950822080645</v>
      </c>
      <c r="K173" s="66">
        <f t="shared" si="22"/>
        <v>4</v>
      </c>
      <c r="L173" s="5">
        <f t="shared" si="23"/>
        <v>4.4822687189018752E-2</v>
      </c>
      <c r="N173" s="5">
        <v>7.4672882144237521E-2</v>
      </c>
      <c r="O173" s="19">
        <f t="shared" si="21"/>
        <v>7.7531613396231158E-2</v>
      </c>
      <c r="P173" s="12">
        <f t="shared" si="18"/>
        <v>-4962.4821275251861</v>
      </c>
    </row>
    <row r="174" spans="1:16">
      <c r="A174" s="149">
        <v>0.9642628254036073</v>
      </c>
      <c r="B174" s="150">
        <f t="shared" si="19"/>
        <v>50.049942389502569</v>
      </c>
      <c r="C174" s="24">
        <f t="shared" si="16"/>
        <v>-5850.3717072712852</v>
      </c>
      <c r="H174" s="66">
        <v>7.9</v>
      </c>
      <c r="I174" s="10">
        <f t="shared" si="17"/>
        <v>0.68014974151868934</v>
      </c>
      <c r="J174" s="10">
        <f t="shared" si="20"/>
        <v>0.98597447534004523</v>
      </c>
      <c r="K174" s="66">
        <f t="shared" si="22"/>
        <v>2</v>
      </c>
      <c r="L174" s="5">
        <f t="shared" si="23"/>
        <v>2.2353676151551902E-2</v>
      </c>
      <c r="N174" s="5">
        <v>3.5893444143890521E-2</v>
      </c>
      <c r="O174" s="19">
        <f t="shared" si="21"/>
        <v>3.6545390624674212E-2</v>
      </c>
      <c r="P174" s="12">
        <f t="shared" si="18"/>
        <v>-6379.3199932051748</v>
      </c>
    </row>
    <row r="175" spans="1:16">
      <c r="A175" s="149">
        <v>0.69631031220435191</v>
      </c>
      <c r="B175" s="150">
        <f t="shared" si="19"/>
        <v>41.363726295921666</v>
      </c>
      <c r="C175" s="24">
        <f t="shared" si="16"/>
        <v>-5850.3717072712852</v>
      </c>
      <c r="H175" s="66">
        <v>7.95</v>
      </c>
      <c r="I175" s="10">
        <f t="shared" si="17"/>
        <v>0.67849253285020472</v>
      </c>
      <c r="J175" s="10">
        <f t="shared" si="20"/>
        <v>0.98583866353880301</v>
      </c>
      <c r="K175" s="66">
        <f t="shared" si="22"/>
        <v>4</v>
      </c>
      <c r="L175" s="5">
        <f t="shared" si="23"/>
        <v>4.4592278120406885E-2</v>
      </c>
      <c r="N175" s="5">
        <v>-9.550004077609614E-4</v>
      </c>
      <c r="O175" s="19">
        <f t="shared" si="21"/>
        <v>-9.5454454000110101E-4</v>
      </c>
      <c r="P175" s="12">
        <f t="shared" si="18"/>
        <v>-8309.3738215858684</v>
      </c>
    </row>
    <row r="176" spans="1:16">
      <c r="A176" s="149">
        <v>0.61027863399151583</v>
      </c>
      <c r="B176" s="150">
        <f t="shared" si="19"/>
        <v>39.387179350146077</v>
      </c>
      <c r="C176" s="24">
        <f t="shared" si="16"/>
        <v>-5850.3717072712852</v>
      </c>
      <c r="H176" s="66">
        <v>8</v>
      </c>
      <c r="I176" s="10">
        <f t="shared" si="17"/>
        <v>0.676839362028687</v>
      </c>
      <c r="J176" s="10">
        <f t="shared" si="20"/>
        <v>0.9857020684347868</v>
      </c>
      <c r="K176" s="66">
        <f t="shared" si="22"/>
        <v>2</v>
      </c>
      <c r="L176" s="5">
        <f t="shared" si="23"/>
        <v>2.2238731971658612E-2</v>
      </c>
      <c r="N176" s="5">
        <v>6.4972844322379389E-2</v>
      </c>
      <c r="O176" s="19">
        <f t="shared" si="21"/>
        <v>6.7130045351230905E-2</v>
      </c>
      <c r="P176" s="12">
        <f t="shared" si="18"/>
        <v>-5270.8125657523733</v>
      </c>
    </row>
    <row r="177" spans="1:16">
      <c r="A177" s="149">
        <v>0.47294534134952848</v>
      </c>
      <c r="B177" s="150">
        <f t="shared" si="19"/>
        <v>36.147068757335155</v>
      </c>
      <c r="C177" s="24">
        <f t="shared" si="16"/>
        <v>-5850.3717072712852</v>
      </c>
      <c r="H177" s="66">
        <v>8.0500000000000007</v>
      </c>
      <c r="I177" s="10">
        <f t="shared" si="17"/>
        <v>0.6751902192157806</v>
      </c>
      <c r="J177" s="10">
        <f t="shared" si="20"/>
        <v>0.98556468562236121</v>
      </c>
      <c r="K177" s="66">
        <f t="shared" si="22"/>
        <v>4</v>
      </c>
      <c r="L177" s="5">
        <f t="shared" si="23"/>
        <v>4.4362909075779604E-2</v>
      </c>
      <c r="N177" s="5">
        <v>4.0471573763294147E-2</v>
      </c>
      <c r="O177" s="19">
        <f t="shared" si="21"/>
        <v>4.1301708992939057E-2</v>
      </c>
      <c r="P177" s="12">
        <f t="shared" si="18"/>
        <v>-6184.1234652163539</v>
      </c>
    </row>
    <row r="178" spans="1:16">
      <c r="A178" s="149">
        <v>0.7661671803949095</v>
      </c>
      <c r="B178" s="150">
        <f t="shared" si="19"/>
        <v>43.035719029623678</v>
      </c>
      <c r="C178" s="24">
        <f t="shared" si="16"/>
        <v>-5850.3717072712852</v>
      </c>
      <c r="H178" s="66">
        <v>8.1</v>
      </c>
      <c r="I178" s="10">
        <f t="shared" si="17"/>
        <v>0.67354509459710177</v>
      </c>
      <c r="J178" s="10">
        <f t="shared" si="20"/>
        <v>0.98542651067244003</v>
      </c>
      <c r="K178" s="66">
        <f t="shared" si="22"/>
        <v>2</v>
      </c>
      <c r="L178" s="5">
        <f t="shared" si="23"/>
        <v>2.2124306411645353E-2</v>
      </c>
      <c r="N178" s="5">
        <v>1.8339426512407955E-2</v>
      </c>
      <c r="O178" s="19">
        <f t="shared" si="21"/>
        <v>1.8508626556029251E-2</v>
      </c>
      <c r="P178" s="12">
        <f t="shared" si="18"/>
        <v>-7212.521782832102</v>
      </c>
    </row>
    <row r="179" spans="1:16">
      <c r="A179" s="149">
        <v>0.65837580492568748</v>
      </c>
      <c r="B179" s="150">
        <f t="shared" si="19"/>
        <v>40.487946821686307</v>
      </c>
      <c r="C179" s="24">
        <f t="shared" si="16"/>
        <v>-5850.3717072712852</v>
      </c>
      <c r="H179" s="66">
        <v>8.15</v>
      </c>
      <c r="I179" s="10">
        <f t="shared" si="17"/>
        <v>0.67190397838217919</v>
      </c>
      <c r="J179" s="10">
        <f t="shared" si="20"/>
        <v>0.98528753913237743</v>
      </c>
      <c r="K179" s="66">
        <f t="shared" si="22"/>
        <v>4</v>
      </c>
      <c r="L179" s="5">
        <f t="shared" si="23"/>
        <v>4.4134574492895436E-2</v>
      </c>
      <c r="N179" s="5">
        <v>5.1389393954319532E-2</v>
      </c>
      <c r="O179" s="19">
        <f t="shared" si="21"/>
        <v>5.2732741246821258E-2</v>
      </c>
      <c r="P179" s="12">
        <f t="shared" si="18"/>
        <v>-5751.3203265291158</v>
      </c>
    </row>
    <row r="180" spans="1:16">
      <c r="A180" s="149">
        <v>0.91943113498336737</v>
      </c>
      <c r="B180" s="150">
        <f t="shared" si="19"/>
        <v>47.682595059078217</v>
      </c>
      <c r="C180" s="24">
        <f t="shared" si="16"/>
        <v>-5850.3717072712852</v>
      </c>
      <c r="H180" s="66">
        <v>8.1999999999999993</v>
      </c>
      <c r="I180" s="10">
        <f t="shared" si="17"/>
        <v>0.6702668608043969</v>
      </c>
      <c r="J180" s="10">
        <f t="shared" si="20"/>
        <v>0.98514776652585845</v>
      </c>
      <c r="K180" s="66">
        <f t="shared" si="22"/>
        <v>2</v>
      </c>
      <c r="L180" s="5">
        <f t="shared" si="23"/>
        <v>2.2010396696591671E-2</v>
      </c>
      <c r="N180" s="5">
        <v>5.1391257054216113E-2</v>
      </c>
      <c r="O180" s="19">
        <f t="shared" si="21"/>
        <v>5.2734702594909866E-2</v>
      </c>
      <c r="P180" s="12">
        <f t="shared" si="18"/>
        <v>-5751.2501864075621</v>
      </c>
    </row>
    <row r="181" spans="1:16">
      <c r="A181" s="149">
        <v>6.2807092501602227E-2</v>
      </c>
      <c r="B181" s="150">
        <f t="shared" si="19"/>
        <v>17.710559226166581</v>
      </c>
      <c r="C181" s="24">
        <f t="shared" si="16"/>
        <v>-5850.3717072712852</v>
      </c>
      <c r="H181" s="66">
        <v>8.25</v>
      </c>
      <c r="I181" s="10">
        <f t="shared" si="17"/>
        <v>0.66863373212093535</v>
      </c>
      <c r="J181" s="10">
        <f t="shared" si="20"/>
        <v>0.98500718835278989</v>
      </c>
      <c r="K181" s="66">
        <f t="shared" si="22"/>
        <v>4</v>
      </c>
      <c r="L181" s="5">
        <f t="shared" si="23"/>
        <v>4.3907268834285001E-2</v>
      </c>
      <c r="N181" s="5">
        <v>3.1180897346654093E-2</v>
      </c>
      <c r="O181" s="19">
        <f t="shared" si="21"/>
        <v>3.1672113755394138E-2</v>
      </c>
      <c r="P181" s="12">
        <f t="shared" si="18"/>
        <v>-6589.3502023021865</v>
      </c>
    </row>
    <row r="182" spans="1:16">
      <c r="A182" s="149">
        <v>0.13385418256172368</v>
      </c>
      <c r="B182" s="150">
        <f t="shared" si="19"/>
        <v>23.864729916852188</v>
      </c>
      <c r="C182" s="24">
        <f t="shared" si="16"/>
        <v>-5850.3717072712852</v>
      </c>
      <c r="H182" s="66">
        <v>8.3000000000000007</v>
      </c>
      <c r="I182" s="10">
        <f t="shared" si="17"/>
        <v>0.66700458261271389</v>
      </c>
      <c r="J182" s="10">
        <f t="shared" si="20"/>
        <v>0.98486580008919067</v>
      </c>
      <c r="K182" s="66">
        <f t="shared" si="22"/>
        <v>2</v>
      </c>
      <c r="L182" s="5">
        <f t="shared" si="23"/>
        <v>2.1897000063934243E-2</v>
      </c>
      <c r="N182" s="5">
        <v>5.4409396691095027E-2</v>
      </c>
      <c r="O182" s="19">
        <f t="shared" si="21"/>
        <v>5.5916802523367837E-2</v>
      </c>
      <c r="P182" s="12">
        <f t="shared" si="18"/>
        <v>-5639.2093358663014</v>
      </c>
    </row>
    <row r="183" spans="1:16">
      <c r="A183" s="149">
        <v>7.4831385235145112E-2</v>
      </c>
      <c r="B183" s="150">
        <f t="shared" si="19"/>
        <v>19.075073102254784</v>
      </c>
      <c r="C183" s="24">
        <f t="shared" si="16"/>
        <v>-5850.3717072712852</v>
      </c>
      <c r="H183" s="66">
        <v>8.35</v>
      </c>
      <c r="I183" s="10">
        <f t="shared" si="17"/>
        <v>0.6653794025843327</v>
      </c>
      <c r="J183" s="10">
        <f t="shared" si="20"/>
        <v>0.98472359718708091</v>
      </c>
      <c r="K183" s="66">
        <f t="shared" si="22"/>
        <v>4</v>
      </c>
      <c r="L183" s="5">
        <f t="shared" si="23"/>
        <v>4.3680986587135658E-2</v>
      </c>
      <c r="N183" s="5">
        <v>3.3127973731221574E-2</v>
      </c>
      <c r="O183" s="19">
        <f t="shared" si="21"/>
        <v>3.3682815023950541E-2</v>
      </c>
      <c r="P183" s="12">
        <f t="shared" si="18"/>
        <v>-6501.4226405156469</v>
      </c>
    </row>
    <row r="184" spans="1:16">
      <c r="A184" s="149">
        <v>0.31641590624713889</v>
      </c>
      <c r="B184" s="150">
        <f t="shared" si="19"/>
        <v>31.806010071215439</v>
      </c>
      <c r="C184" s="24">
        <f t="shared" si="16"/>
        <v>-5850.3717072712852</v>
      </c>
      <c r="H184" s="66">
        <v>8.4</v>
      </c>
      <c r="I184" s="10">
        <f t="shared" si="17"/>
        <v>0.66375818236401496</v>
      </c>
      <c r="J184" s="10">
        <f t="shared" si="20"/>
        <v>0.98458057507437258</v>
      </c>
      <c r="K184" s="66">
        <f t="shared" si="22"/>
        <v>2</v>
      </c>
      <c r="L184" s="5">
        <f t="shared" si="23"/>
        <v>2.1784113763409402E-2</v>
      </c>
      <c r="N184" s="5">
        <v>4.5564192939433271E-2</v>
      </c>
      <c r="O184" s="19">
        <f t="shared" si="21"/>
        <v>4.6618187955526746E-2</v>
      </c>
      <c r="P184" s="12">
        <f t="shared" si="18"/>
        <v>-5976.7081655807842</v>
      </c>
    </row>
    <row r="185" spans="1:16">
      <c r="A185" s="149">
        <v>0.3176061281167028</v>
      </c>
      <c r="B185" s="150">
        <f t="shared" si="19"/>
        <v>31.843901400165969</v>
      </c>
      <c r="C185" s="24">
        <f t="shared" si="16"/>
        <v>-5850.3717072712852</v>
      </c>
      <c r="H185" s="66">
        <v>8.4499999999999993</v>
      </c>
      <c r="I185" s="10">
        <f t="shared" si="17"/>
        <v>0.66214091230354977</v>
      </c>
      <c r="J185" s="10">
        <f t="shared" si="20"/>
        <v>0.98443672915475799</v>
      </c>
      <c r="K185" s="66">
        <f t="shared" si="22"/>
        <v>4</v>
      </c>
      <c r="L185" s="5">
        <f t="shared" si="23"/>
        <v>4.3455722263176934E-2</v>
      </c>
      <c r="N185" s="5">
        <v>5.1697901378371172E-2</v>
      </c>
      <c r="O185" s="19">
        <f t="shared" si="21"/>
        <v>5.3057567216073354E-2</v>
      </c>
      <c r="P185" s="12">
        <f t="shared" si="18"/>
        <v>-5739.7225384092881</v>
      </c>
    </row>
    <row r="186" spans="1:16">
      <c r="A186" s="149">
        <v>0.87795648060548725</v>
      </c>
      <c r="B186" s="150">
        <f t="shared" si="19"/>
        <v>46.158965064375543</v>
      </c>
      <c r="C186" s="24">
        <f t="shared" si="16"/>
        <v>-5850.3717072712852</v>
      </c>
      <c r="H186" s="66">
        <v>8.5</v>
      </c>
      <c r="I186" s="10">
        <f t="shared" si="17"/>
        <v>0.6605275827782342</v>
      </c>
      <c r="J186" s="10">
        <f t="shared" si="20"/>
        <v>0.9842920548075994</v>
      </c>
      <c r="K186" s="66">
        <f t="shared" si="22"/>
        <v>2</v>
      </c>
      <c r="L186" s="5">
        <f t="shared" si="23"/>
        <v>2.1671735056996166E-2</v>
      </c>
      <c r="N186" s="5">
        <v>1.2063136134325761E-2</v>
      </c>
      <c r="O186" s="19">
        <f t="shared" si="21"/>
        <v>1.2136189215244286E-2</v>
      </c>
      <c r="P186" s="12">
        <f t="shared" si="18"/>
        <v>-7546.6484462762619</v>
      </c>
    </row>
    <row r="187" spans="1:16">
      <c r="A187" s="149">
        <v>0.78002258369701227</v>
      </c>
      <c r="B187" s="150">
        <f t="shared" si="19"/>
        <v>43.383143808531727</v>
      </c>
      <c r="C187" s="24">
        <f t="shared" si="16"/>
        <v>-5850.3717072712852</v>
      </c>
      <c r="H187" s="66">
        <v>8.5500000000000007</v>
      </c>
      <c r="I187" s="10">
        <f t="shared" si="17"/>
        <v>0.65891818418681636</v>
      </c>
      <c r="J187" s="10">
        <f t="shared" si="20"/>
        <v>0.98414654738781737</v>
      </c>
      <c r="K187" s="66">
        <f t="shared" si="22"/>
        <v>4</v>
      </c>
      <c r="L187" s="5">
        <f t="shared" si="23"/>
        <v>4.3231470398567014E-2</v>
      </c>
      <c r="N187" s="5">
        <v>1.7062983895026265E-2</v>
      </c>
      <c r="O187" s="19">
        <f t="shared" si="21"/>
        <v>1.7209388116983915E-2</v>
      </c>
      <c r="P187" s="12">
        <f t="shared" si="18"/>
        <v>-7278.8204353323481</v>
      </c>
    </row>
    <row r="188" spans="1:16">
      <c r="A188" s="149">
        <v>0.99981688894314402</v>
      </c>
      <c r="B188" s="150">
        <f t="shared" si="19"/>
        <v>58.09236969454998</v>
      </c>
      <c r="C188" s="24">
        <f t="shared" si="16"/>
        <v>-5850.3717072712852</v>
      </c>
      <c r="H188" s="66">
        <v>8.6</v>
      </c>
      <c r="I188" s="10">
        <f t="shared" si="17"/>
        <v>0.65731270695143817</v>
      </c>
      <c r="J188" s="10">
        <f t="shared" si="20"/>
        <v>0.98400020222577922</v>
      </c>
      <c r="K188" s="66">
        <f t="shared" si="22"/>
        <v>2</v>
      </c>
      <c r="L188" s="5">
        <f t="shared" si="23"/>
        <v>2.1559861218859652E-2</v>
      </c>
      <c r="N188" s="5">
        <v>6.4565346017057892E-2</v>
      </c>
      <c r="O188" s="19">
        <f t="shared" si="21"/>
        <v>6.669528025522875E-2</v>
      </c>
      <c r="P188" s="12">
        <f t="shared" si="18"/>
        <v>-5284.3705706265346</v>
      </c>
    </row>
    <row r="189" spans="1:16">
      <c r="A189" s="149">
        <v>3.6561174352244638E-2</v>
      </c>
      <c r="B189" s="150">
        <f t="shared" si="19"/>
        <v>13.748333720873871</v>
      </c>
      <c r="C189" s="24">
        <f t="shared" si="16"/>
        <v>96752.654972666671</v>
      </c>
      <c r="H189" s="66">
        <v>8.65</v>
      </c>
      <c r="I189" s="10">
        <f t="shared" si="17"/>
        <v>0.65571114151757826</v>
      </c>
      <c r="J189" s="10">
        <f t="shared" si="20"/>
        <v>0.98385301462718766</v>
      </c>
      <c r="K189" s="66">
        <f t="shared" si="22"/>
        <v>4</v>
      </c>
      <c r="L189" s="5">
        <f t="shared" si="23"/>
        <v>4.3008225553780255E-2</v>
      </c>
      <c r="N189" s="5">
        <v>6.2260691444986152E-2</v>
      </c>
      <c r="O189" s="19">
        <f t="shared" si="21"/>
        <v>6.4239746765689665E-2</v>
      </c>
      <c r="P189" s="12">
        <f t="shared" si="18"/>
        <v>79892.628618508592</v>
      </c>
    </row>
    <row r="190" spans="1:16">
      <c r="A190" s="149">
        <v>0.91561632129886772</v>
      </c>
      <c r="B190" s="150">
        <f t="shared" si="19"/>
        <v>47.525777752264823</v>
      </c>
      <c r="C190" s="24">
        <f t="shared" si="16"/>
        <v>-5850.3717072712852</v>
      </c>
      <c r="H190" s="66">
        <v>8.6999999999999993</v>
      </c>
      <c r="I190" s="10">
        <f t="shared" si="17"/>
        <v>0.65411347835399525</v>
      </c>
      <c r="J190" s="10">
        <f t="shared" si="20"/>
        <v>0.9837049798729679</v>
      </c>
      <c r="K190" s="66">
        <f t="shared" si="22"/>
        <v>2</v>
      </c>
      <c r="L190" s="5">
        <f t="shared" si="23"/>
        <v>2.1448489535295132E-2</v>
      </c>
      <c r="N190" s="5">
        <v>1.476901474883198E-2</v>
      </c>
      <c r="O190" s="19">
        <f t="shared" si="21"/>
        <v>1.4878615547705643E-2</v>
      </c>
      <c r="P190" s="12">
        <f t="shared" si="18"/>
        <v>-7400.0715171488919</v>
      </c>
    </row>
    <row r="191" spans="1:16">
      <c r="A191" s="149">
        <v>0.57756279183324688</v>
      </c>
      <c r="B191" s="150">
        <f t="shared" si="19"/>
        <v>38.635622903295541</v>
      </c>
      <c r="C191" s="24">
        <f t="shared" si="16"/>
        <v>-5850.3717072712852</v>
      </c>
      <c r="H191" s="66">
        <v>8.75</v>
      </c>
      <c r="I191" s="10">
        <f t="shared" si="17"/>
        <v>0.65251970795267078</v>
      </c>
      <c r="J191" s="10">
        <f t="shared" si="20"/>
        <v>0.98355609321915594</v>
      </c>
      <c r="K191" s="66">
        <f t="shared" si="22"/>
        <v>4</v>
      </c>
      <c r="L191" s="5">
        <f t="shared" si="23"/>
        <v>4.278598231349557E-2</v>
      </c>
      <c r="N191" s="5">
        <v>5.2113153467085796E-2</v>
      </c>
      <c r="O191" s="19">
        <f t="shared" si="21"/>
        <v>5.3494942374585852E-2</v>
      </c>
      <c r="P191" s="12">
        <f t="shared" si="18"/>
        <v>-5724.1644454826182</v>
      </c>
    </row>
    <row r="192" spans="1:16">
      <c r="A192" s="149">
        <v>0.3932615131076998</v>
      </c>
      <c r="B192" s="150">
        <f t="shared" si="19"/>
        <v>34.073182682313181</v>
      </c>
      <c r="C192" s="24">
        <f t="shared" si="16"/>
        <v>-5850.3717072712852</v>
      </c>
      <c r="H192" s="66">
        <v>8.8000000000000007</v>
      </c>
      <c r="I192" s="10">
        <f t="shared" si="17"/>
        <v>0.65092982082875339</v>
      </c>
      <c r="J192" s="10">
        <f t="shared" si="20"/>
        <v>0.98340634989678533</v>
      </c>
      <c r="K192" s="66">
        <f t="shared" si="22"/>
        <v>2</v>
      </c>
      <c r="L192" s="5">
        <f t="shared" si="23"/>
        <v>2.1337617304672429E-2</v>
      </c>
      <c r="N192" s="5">
        <v>6.4807877785948223E-2</v>
      </c>
      <c r="O192" s="19">
        <f t="shared" si="21"/>
        <v>6.6954019123345532E-2</v>
      </c>
      <c r="P192" s="12">
        <f t="shared" si="18"/>
        <v>-5276.2951347826593</v>
      </c>
    </row>
    <row r="193" spans="1:16">
      <c r="A193" s="149">
        <v>0.94531083101901303</v>
      </c>
      <c r="B193" s="150">
        <f t="shared" si="19"/>
        <v>48.893320616714298</v>
      </c>
      <c r="C193" s="24">
        <f t="shared" si="16"/>
        <v>-5850.3717072712852</v>
      </c>
      <c r="H193" s="66">
        <v>8.85</v>
      </c>
      <c r="I193" s="10">
        <f t="shared" si="17"/>
        <v>0.64934380752050169</v>
      </c>
      <c r="J193" s="10">
        <f t="shared" si="20"/>
        <v>0.98325574511177438</v>
      </c>
      <c r="K193" s="66">
        <f t="shared" si="22"/>
        <v>4</v>
      </c>
      <c r="L193" s="5">
        <f t="shared" si="23"/>
        <v>4.2564735286485834E-2</v>
      </c>
      <c r="N193" s="5">
        <v>6.5028764717804735E-2</v>
      </c>
      <c r="O193" s="19">
        <f t="shared" si="21"/>
        <v>6.7189721353874576E-2</v>
      </c>
      <c r="P193" s="12">
        <f t="shared" si="18"/>
        <v>-5268.9559586433825</v>
      </c>
    </row>
    <row r="194" spans="1:16">
      <c r="A194" s="149">
        <v>0.58033997619556266</v>
      </c>
      <c r="B194" s="150">
        <f t="shared" si="19"/>
        <v>38.69968153916485</v>
      </c>
      <c r="C194" s="24">
        <f t="shared" si="16"/>
        <v>-5850.3717072712852</v>
      </c>
      <c r="H194" s="66">
        <v>8.9</v>
      </c>
      <c r="I194" s="10">
        <f t="shared" si="17"/>
        <v>0.64776165858922796</v>
      </c>
      <c r="J194" s="10">
        <f t="shared" si="20"/>
        <v>0.98310427404481349</v>
      </c>
      <c r="K194" s="66">
        <f t="shared" si="22"/>
        <v>2</v>
      </c>
      <c r="L194" s="5">
        <f t="shared" si="23"/>
        <v>2.1227241837380909E-2</v>
      </c>
      <c r="N194" s="5">
        <v>2.2529045006318485E-2</v>
      </c>
      <c r="O194" s="19">
        <f t="shared" si="21"/>
        <v>2.2784740522284075E-2</v>
      </c>
      <c r="P194" s="12">
        <f t="shared" si="18"/>
        <v>-7000.6233677263708</v>
      </c>
    </row>
    <row r="195" spans="1:16">
      <c r="A195" s="149">
        <v>0.43620105594042785</v>
      </c>
      <c r="B195" s="150">
        <f t="shared" si="19"/>
        <v>35.217199069310318</v>
      </c>
      <c r="C195" s="24">
        <f t="shared" si="16"/>
        <v>-5850.3717072712852</v>
      </c>
      <c r="H195" s="66">
        <v>8.9499999999999993</v>
      </c>
      <c r="I195" s="10">
        <f t="shared" si="17"/>
        <v>0.64618336461924253</v>
      </c>
      <c r="J195" s="10">
        <f t="shared" si="20"/>
        <v>0.9829519318512504</v>
      </c>
      <c r="K195" s="66">
        <f t="shared" si="22"/>
        <v>4</v>
      </c>
      <c r="L195" s="5">
        <f t="shared" si="23"/>
        <v>4.2344479105508363E-2</v>
      </c>
      <c r="N195" s="5">
        <v>8.2196572700137041E-2</v>
      </c>
      <c r="O195" s="19">
        <f t="shared" si="21"/>
        <v>8.5669201781795712E-2</v>
      </c>
      <c r="P195" s="12">
        <f t="shared" si="18"/>
        <v>-4741.2244748458543</v>
      </c>
    </row>
    <row r="196" spans="1:16">
      <c r="A196" s="149">
        <v>0.18277535325174718</v>
      </c>
      <c r="B196" s="150">
        <f t="shared" si="19"/>
        <v>26.600787123551818</v>
      </c>
      <c r="C196" s="24">
        <f t="shared" si="16"/>
        <v>-5850.3717072712852</v>
      </c>
      <c r="H196" s="66">
        <v>9</v>
      </c>
      <c r="I196" s="10">
        <f t="shared" si="17"/>
        <v>0.64460891621779715</v>
      </c>
      <c r="J196" s="10">
        <f t="shared" si="20"/>
        <v>0.98279871366097771</v>
      </c>
      <c r="K196" s="66">
        <f t="shared" si="22"/>
        <v>2</v>
      </c>
      <c r="L196" s="5">
        <f t="shared" si="23"/>
        <v>2.1117360455774933E-2</v>
      </c>
      <c r="N196" s="5">
        <v>7.7604469831509051E-2</v>
      </c>
      <c r="O196" s="19">
        <f t="shared" si="21"/>
        <v>8.0695126599229727E-2</v>
      </c>
      <c r="P196" s="12">
        <f t="shared" si="18"/>
        <v>-4874.4925008642786</v>
      </c>
    </row>
    <row r="197" spans="1:16">
      <c r="A197" s="149">
        <v>0.70900601214636683</v>
      </c>
      <c r="B197" s="150">
        <f t="shared" si="19"/>
        <v>41.660380768605705</v>
      </c>
      <c r="C197" s="24">
        <f t="shared" si="16"/>
        <v>-5850.3717072712852</v>
      </c>
      <c r="H197" s="66">
        <v>9.0500000000000007</v>
      </c>
      <c r="I197" s="10">
        <f t="shared" si="17"/>
        <v>0.64303830401502915</v>
      </c>
      <c r="J197" s="10">
        <f t="shared" si="20"/>
        <v>0.98264461457831787</v>
      </c>
      <c r="K197" s="66">
        <f t="shared" si="22"/>
        <v>4</v>
      </c>
      <c r="L197" s="5">
        <f t="shared" si="23"/>
        <v>4.2125208427196241E-2</v>
      </c>
      <c r="N197" s="5">
        <v>2.9455557248307743E-2</v>
      </c>
      <c r="O197" s="19">
        <f t="shared" si="21"/>
        <v>2.9893663146434601E-2</v>
      </c>
      <c r="P197" s="12">
        <f t="shared" si="18"/>
        <v>-6668.6494570263339</v>
      </c>
    </row>
    <row r="198" spans="1:16">
      <c r="A198" s="149">
        <v>0.20697653126621296</v>
      </c>
      <c r="B198" s="150">
        <f t="shared" si="19"/>
        <v>27.731424473169838</v>
      </c>
      <c r="C198" s="24">
        <f t="shared" si="16"/>
        <v>-5850.3717072712852</v>
      </c>
      <c r="H198" s="66">
        <v>9.1</v>
      </c>
      <c r="I198" s="10">
        <f t="shared" si="17"/>
        <v>0.64147151866390639</v>
      </c>
      <c r="J198" s="10">
        <f t="shared" si="20"/>
        <v>0.98248962968190945</v>
      </c>
      <c r="K198" s="66">
        <f t="shared" si="22"/>
        <v>2</v>
      </c>
      <c r="L198" s="5">
        <f t="shared" si="23"/>
        <v>2.1007970494119784E-2</v>
      </c>
      <c r="N198" s="5">
        <v>5.6069939270979377E-2</v>
      </c>
      <c r="O198" s="19">
        <f t="shared" si="21"/>
        <v>5.7671653934281863E-2</v>
      </c>
      <c r="P198" s="12">
        <f t="shared" si="18"/>
        <v>-5578.8927560591665</v>
      </c>
    </row>
    <row r="199" spans="1:16">
      <c r="A199" s="149">
        <v>0.8596453749198889</v>
      </c>
      <c r="B199" s="150">
        <f t="shared" si="19"/>
        <v>45.577695920393758</v>
      </c>
      <c r="C199" s="24">
        <f t="shared" si="16"/>
        <v>-5850.3717072712852</v>
      </c>
      <c r="H199" s="66">
        <v>9.15</v>
      </c>
      <c r="I199" s="10">
        <f t="shared" si="17"/>
        <v>0.63990855084017062</v>
      </c>
      <c r="J199" s="10">
        <f t="shared" si="20"/>
        <v>0.98233375402459211</v>
      </c>
      <c r="K199" s="66">
        <f t="shared" si="22"/>
        <v>4</v>
      </c>
      <c r="L199" s="5">
        <f t="shared" si="23"/>
        <v>4.1906917931950761E-2</v>
      </c>
      <c r="N199" s="5">
        <v>4.6124355842162915E-2</v>
      </c>
      <c r="O199" s="19">
        <f t="shared" si="21"/>
        <v>4.7204628873630528E-2</v>
      </c>
      <c r="P199" s="12">
        <f t="shared" si="18"/>
        <v>-5954.4954537475478</v>
      </c>
    </row>
    <row r="200" spans="1:16">
      <c r="A200" s="149">
        <v>0.83236182744834741</v>
      </c>
      <c r="B200" s="150">
        <f t="shared" si="19"/>
        <v>44.776576586827879</v>
      </c>
      <c r="C200" s="24">
        <f t="shared" si="16"/>
        <v>-5850.3717072712852</v>
      </c>
      <c r="H200" s="66">
        <v>9.1999999999999993</v>
      </c>
      <c r="I200" s="10">
        <f t="shared" si="17"/>
        <v>0.63834939124228274</v>
      </c>
      <c r="J200" s="10">
        <f t="shared" si="20"/>
        <v>0.98217698263329234</v>
      </c>
      <c r="K200" s="66">
        <f t="shared" si="22"/>
        <v>2</v>
      </c>
      <c r="L200" s="5">
        <f t="shared" si="23"/>
        <v>2.0899069298538145E-2</v>
      </c>
      <c r="N200" s="5">
        <v>5.018550263879297E-2</v>
      </c>
      <c r="O200" s="19">
        <f t="shared" si="21"/>
        <v>5.1466128027372271E-2</v>
      </c>
      <c r="P200" s="12">
        <f t="shared" si="18"/>
        <v>-5796.8991862991943</v>
      </c>
    </row>
    <row r="201" spans="1:16">
      <c r="A201" s="149">
        <v>0.51029999694814909</v>
      </c>
      <c r="B201" s="150">
        <f t="shared" si="19"/>
        <v>37.057206454248551</v>
      </c>
      <c r="C201" s="24">
        <f t="shared" si="16"/>
        <v>-5850.3717072712852</v>
      </c>
      <c r="H201" s="66">
        <v>9.25</v>
      </c>
      <c r="I201" s="10">
        <f t="shared" si="17"/>
        <v>0.63679403059136697</v>
      </c>
      <c r="J201" s="10">
        <f t="shared" si="20"/>
        <v>0.98201931050890778</v>
      </c>
      <c r="K201" s="66">
        <f t="shared" si="22"/>
        <v>4</v>
      </c>
      <c r="L201" s="5">
        <f t="shared" si="23"/>
        <v>4.168960232383484E-2</v>
      </c>
      <c r="N201" s="5">
        <v>6.7166397863853491E-2</v>
      </c>
      <c r="O201" s="19">
        <f t="shared" si="21"/>
        <v>6.947342146227764E-2</v>
      </c>
      <c r="P201" s="12">
        <f t="shared" si="18"/>
        <v>-5198.6906399133941</v>
      </c>
    </row>
    <row r="202" spans="1:16">
      <c r="A202" s="149">
        <v>2.3529770805993836E-2</v>
      </c>
      <c r="B202" s="150">
        <f t="shared" si="19"/>
        <v>10.849121528093905</v>
      </c>
      <c r="C202" s="24">
        <f t="shared" si="16"/>
        <v>113166.72915097572</v>
      </c>
      <c r="H202" s="66">
        <v>9.3000000000000007</v>
      </c>
      <c r="I202" s="10">
        <f t="shared" si="17"/>
        <v>0.635242459631156</v>
      </c>
      <c r="J202" s="10">
        <f t="shared" si="20"/>
        <v>0.98186073262619222</v>
      </c>
      <c r="K202" s="66">
        <f t="shared" si="22"/>
        <v>2</v>
      </c>
      <c r="L202" s="5">
        <f t="shared" si="23"/>
        <v>2.0790654226957039E-2</v>
      </c>
      <c r="N202" s="5">
        <v>5.3424227823721596E-2</v>
      </c>
      <c r="O202" s="19">
        <f t="shared" si="21"/>
        <v>5.4877058408845381E-2</v>
      </c>
      <c r="P202" s="12">
        <f t="shared" si="18"/>
        <v>107495.25421879209</v>
      </c>
    </row>
    <row r="203" spans="1:16">
      <c r="A203" s="149">
        <v>0.33631397442548905</v>
      </c>
      <c r="B203" s="150">
        <f t="shared" si="19"/>
        <v>32.426515975659882</v>
      </c>
      <c r="C203" s="24">
        <f t="shared" si="16"/>
        <v>-5850.3717072712852</v>
      </c>
      <c r="H203" s="66">
        <v>9.35</v>
      </c>
      <c r="I203" s="10">
        <f t="shared" si="17"/>
        <v>0.63369466912793582</v>
      </c>
      <c r="J203" s="10">
        <f t="shared" si="20"/>
        <v>0.98170124393363989</v>
      </c>
      <c r="K203" s="66">
        <f t="shared" si="22"/>
        <v>4</v>
      </c>
      <c r="L203" s="5">
        <f t="shared" si="23"/>
        <v>4.1473256330467397E-2</v>
      </c>
      <c r="N203" s="5">
        <v>3.1480308459445952E-2</v>
      </c>
      <c r="O203" s="19">
        <f t="shared" si="21"/>
        <v>3.1981054098787931E-2</v>
      </c>
      <c r="P203" s="12">
        <f t="shared" si="18"/>
        <v>-6575.722127639383</v>
      </c>
    </row>
    <row r="204" spans="1:16">
      <c r="A204" s="149">
        <v>0.85961485641041291</v>
      </c>
      <c r="B204" s="150">
        <f t="shared" si="19"/>
        <v>45.576760187664576</v>
      </c>
      <c r="C204" s="24">
        <f t="shared" si="16"/>
        <v>-5850.3717072712852</v>
      </c>
      <c r="H204" s="66">
        <v>9.4</v>
      </c>
      <c r="I204" s="10">
        <f t="shared" si="17"/>
        <v>0.63215064987049041</v>
      </c>
      <c r="J204" s="10">
        <f t="shared" si="20"/>
        <v>0.98154083935336978</v>
      </c>
      <c r="K204" s="66">
        <f t="shared" si="22"/>
        <v>2</v>
      </c>
      <c r="L204" s="5">
        <f t="shared" si="23"/>
        <v>2.0682722649055314E-2</v>
      </c>
      <c r="N204" s="5">
        <v>4.0858358781530116E-2</v>
      </c>
      <c r="O204" s="19">
        <f t="shared" si="21"/>
        <v>4.1704546794232078E-2</v>
      </c>
      <c r="P204" s="12">
        <f t="shared" si="18"/>
        <v>-6168.0175845226095</v>
      </c>
    </row>
    <row r="205" spans="1:16">
      <c r="A205" s="149">
        <v>0.34772789696951201</v>
      </c>
      <c r="B205" s="150">
        <f t="shared" si="19"/>
        <v>32.77082808456003</v>
      </c>
      <c r="C205" s="24">
        <f t="shared" si="16"/>
        <v>-5850.3717072712852</v>
      </c>
      <c r="H205" s="66">
        <v>9.4499999999999993</v>
      </c>
      <c r="I205" s="10">
        <f t="shared" si="17"/>
        <v>0.63061039267004737</v>
      </c>
      <c r="J205" s="10">
        <f t="shared" si="20"/>
        <v>0.98137951378100918</v>
      </c>
      <c r="K205" s="66">
        <f t="shared" si="22"/>
        <v>4</v>
      </c>
      <c r="L205" s="5">
        <f t="shared" si="23"/>
        <v>4.1257874702918827E-2</v>
      </c>
      <c r="N205" s="5">
        <v>3.2476080557113166E-2</v>
      </c>
      <c r="O205" s="19">
        <f t="shared" si="21"/>
        <v>3.3009183844282974E-2</v>
      </c>
      <c r="P205" s="12">
        <f t="shared" si="18"/>
        <v>-6530.6788013476362</v>
      </c>
    </row>
    <row r="206" spans="1:16">
      <c r="A206" s="149">
        <v>0.88070314645832692</v>
      </c>
      <c r="B206" s="150">
        <f t="shared" si="19"/>
        <v>46.249956480416969</v>
      </c>
      <c r="C206" s="24">
        <f t="shared" si="16"/>
        <v>-5850.3717072712852</v>
      </c>
      <c r="H206" s="66">
        <v>9.5</v>
      </c>
      <c r="I206" s="10">
        <f t="shared" si="17"/>
        <v>0.62907388836022304</v>
      </c>
      <c r="J206" s="10">
        <f t="shared" si="20"/>
        <v>0.98121726208557813</v>
      </c>
      <c r="K206" s="66">
        <f t="shared" si="22"/>
        <v>2</v>
      </c>
      <c r="L206" s="5">
        <f t="shared" si="23"/>
        <v>2.0575271946211556E-2</v>
      </c>
      <c r="N206" s="5">
        <v>4.2425170997499664E-2</v>
      </c>
      <c r="O206" s="19">
        <f t="shared" si="21"/>
        <v>4.3337981512155288E-2</v>
      </c>
      <c r="P206" s="12">
        <f t="shared" si="18"/>
        <v>-6103.3747235146848</v>
      </c>
    </row>
    <row r="207" spans="1:16">
      <c r="A207" s="149">
        <v>0.27558214056825464</v>
      </c>
      <c r="B207" s="150">
        <f t="shared" si="19"/>
        <v>30.436999734026912</v>
      </c>
      <c r="C207" s="24">
        <f t="shared" si="16"/>
        <v>-5850.3717072712852</v>
      </c>
      <c r="H207" s="66">
        <v>9.5500000000000007</v>
      </c>
      <c r="I207" s="10">
        <f t="shared" si="17"/>
        <v>0.62754112779696791</v>
      </c>
      <c r="J207" s="10">
        <f t="shared" si="20"/>
        <v>0.98105407910937203</v>
      </c>
      <c r="K207" s="66">
        <f t="shared" si="22"/>
        <v>4</v>
      </c>
      <c r="L207" s="5">
        <f t="shared" si="23"/>
        <v>4.1043452215607408E-2</v>
      </c>
      <c r="N207" s="5">
        <v>3.0029611204678078E-2</v>
      </c>
      <c r="O207" s="19">
        <f t="shared" si="21"/>
        <v>3.0485047405401033E-2</v>
      </c>
      <c r="P207" s="12">
        <f t="shared" si="18"/>
        <v>-6642.1189537286455</v>
      </c>
    </row>
    <row r="208" spans="1:16">
      <c r="A208" s="149">
        <v>0.65218054750206</v>
      </c>
      <c r="B208" s="150">
        <f t="shared" si="19"/>
        <v>40.345903059944447</v>
      </c>
      <c r="C208" s="24">
        <f t="shared" ref="C208:C271" si="24">IF($B208&lt;15,B$8*(B$10^$B208)-B$7*(1-B$10^$B208)/B$11, -B$7*(1-B$10^15)/B$11)</f>
        <v>-5850.3717072712852</v>
      </c>
      <c r="H208" s="66">
        <v>9.6</v>
      </c>
      <c r="I208" s="10">
        <f t="shared" ref="I208:I271" si="25">B$10^H208</f>
        <v>0.62601210185851253</v>
      </c>
      <c r="J208" s="10">
        <f t="shared" si="20"/>
        <v>0.9808899596678452</v>
      </c>
      <c r="K208" s="66">
        <f t="shared" si="22"/>
        <v>2</v>
      </c>
      <c r="L208" s="5">
        <f t="shared" si="23"/>
        <v>2.0468299511452643E-2</v>
      </c>
      <c r="N208" s="5">
        <v>5.8333633043854208E-2</v>
      </c>
      <c r="O208" s="19">
        <f t="shared" si="21"/>
        <v>6.006861063545621E-2</v>
      </c>
      <c r="P208" s="12">
        <f t="shared" ref="P208:P271" si="26">IF($B208&lt;15,B$8*((1+O208)^-$B208)-B$7*(1-(1+O208)^-$B208)/LN(1+O208), -B$7*(1-(1+O208)^-15)/LN(1+O208))</f>
        <v>-5498.1475210250319</v>
      </c>
    </row>
    <row r="209" spans="1:16">
      <c r="A209" s="149">
        <v>0.71108127079073458</v>
      </c>
      <c r="B209" s="150">
        <f t="shared" ref="B209:B272" si="27">LN(1-LN(B$4)*(LN(1-A209)/(B$3*B$4^50)))/LN(B$4)</f>
        <v>41.709101502198394</v>
      </c>
      <c r="C209" s="24">
        <f t="shared" si="24"/>
        <v>-5850.3717072712852</v>
      </c>
      <c r="H209" s="66">
        <v>9.65</v>
      </c>
      <c r="I209" s="10">
        <f t="shared" si="25"/>
        <v>0.62448680144531266</v>
      </c>
      <c r="J209" s="10">
        <f t="shared" ref="J209:J272" si="28">B$9^((B$4^B$6)*((B$4^H209)-1))</f>
        <v>0.98072489854949407</v>
      </c>
      <c r="K209" s="66">
        <f t="shared" si="22"/>
        <v>4</v>
      </c>
      <c r="L209" s="5">
        <f t="shared" si="23"/>
        <v>4.082998366619682E-2</v>
      </c>
      <c r="N209" s="5">
        <v>1.3752529364079238E-2</v>
      </c>
      <c r="O209" s="19">
        <f t="shared" ref="O209:O272" si="29">EXP(N209)-1</f>
        <v>1.3847530397975927E-2</v>
      </c>
      <c r="P209" s="12">
        <f t="shared" si="26"/>
        <v>-7454.6777022445885</v>
      </c>
    </row>
    <row r="210" spans="1:16">
      <c r="A210" s="149">
        <v>0.85061189611499377</v>
      </c>
      <c r="B210" s="150">
        <f t="shared" si="27"/>
        <v>45.304917673419034</v>
      </c>
      <c r="C210" s="24">
        <f t="shared" si="24"/>
        <v>-5850.3717072712852</v>
      </c>
      <c r="H210" s="66">
        <v>9.6999999999999993</v>
      </c>
      <c r="I210" s="10">
        <f t="shared" si="25"/>
        <v>0.62296521747999545</v>
      </c>
      <c r="J210" s="10">
        <f t="shared" si="28"/>
        <v>0.98055889051573986</v>
      </c>
      <c r="K210" s="66">
        <f t="shared" si="22"/>
        <v>2</v>
      </c>
      <c r="L210" s="5">
        <f t="shared" si="23"/>
        <v>2.0361802749402701E-2</v>
      </c>
      <c r="N210" s="5">
        <v>7.5102600655678545E-2</v>
      </c>
      <c r="O210" s="19">
        <f t="shared" si="29"/>
        <v>7.7994748178838336E-2</v>
      </c>
      <c r="P210" s="12">
        <f t="shared" si="26"/>
        <v>-4949.4389300817229</v>
      </c>
    </row>
    <row r="211" spans="1:16">
      <c r="A211" s="149">
        <v>0.33643604846339303</v>
      </c>
      <c r="B211" s="150">
        <f t="shared" si="27"/>
        <v>32.430241263499092</v>
      </c>
      <c r="C211" s="24">
        <f t="shared" si="24"/>
        <v>-5850.3717072712852</v>
      </c>
      <c r="H211" s="66">
        <v>9.75</v>
      </c>
      <c r="I211" s="10">
        <f t="shared" si="25"/>
        <v>0.62144734090730547</v>
      </c>
      <c r="J211" s="10">
        <f t="shared" si="28"/>
        <v>0.98039193030081095</v>
      </c>
      <c r="K211" s="66">
        <f t="shared" ref="K211:K274" si="30">IF(K210=4,2,4)</f>
        <v>4</v>
      </c>
      <c r="L211" s="5">
        <f t="shared" ref="L211:L274" si="31">I211*J211*K211*0.05/3</f>
        <v>4.0617463875494621E-2</v>
      </c>
      <c r="N211" s="5">
        <v>2.9935469862844913E-2</v>
      </c>
      <c r="O211" s="19">
        <f t="shared" si="29"/>
        <v>3.0388040726540444E-2</v>
      </c>
      <c r="P211" s="12">
        <f t="shared" si="26"/>
        <v>-6646.4597603841794</v>
      </c>
    </row>
    <row r="212" spans="1:16">
      <c r="A212" s="149">
        <v>0.10666219061861018</v>
      </c>
      <c r="B212" s="150">
        <f t="shared" si="27"/>
        <v>21.947148960992173</v>
      </c>
      <c r="C212" s="24">
        <f t="shared" si="24"/>
        <v>-5850.3717072712852</v>
      </c>
      <c r="H212" s="66">
        <v>9.8000000000000007</v>
      </c>
      <c r="I212" s="10">
        <f t="shared" si="25"/>
        <v>0.61993316269405085</v>
      </c>
      <c r="J212" s="10">
        <f t="shared" si="28"/>
        <v>0.98022401261162517</v>
      </c>
      <c r="K212" s="66">
        <f t="shared" si="30"/>
        <v>2</v>
      </c>
      <c r="L212" s="5">
        <f t="shared" si="31"/>
        <v>2.0255779076232598E-2</v>
      </c>
      <c r="N212" s="5">
        <v>8.562818352141767E-2</v>
      </c>
      <c r="O212" s="19">
        <f t="shared" si="29"/>
        <v>8.9401195675962608E-2</v>
      </c>
      <c r="P212" s="12">
        <f t="shared" si="26"/>
        <v>-4645.1332332020529</v>
      </c>
    </row>
    <row r="213" spans="1:16">
      <c r="A213" s="149">
        <v>0.79000213629566329</v>
      </c>
      <c r="B213" s="150">
        <f t="shared" si="27"/>
        <v>43.638023820880029</v>
      </c>
      <c r="C213" s="24">
        <f t="shared" si="24"/>
        <v>-5850.3717072712852</v>
      </c>
      <c r="H213" s="66">
        <v>9.85</v>
      </c>
      <c r="I213" s="10">
        <f t="shared" si="25"/>
        <v>0.61842267382904914</v>
      </c>
      <c r="J213" s="10">
        <f t="shared" si="28"/>
        <v>0.98005513212767237</v>
      </c>
      <c r="K213" s="66">
        <f t="shared" si="30"/>
        <v>4</v>
      </c>
      <c r="L213" s="5">
        <f t="shared" si="31"/>
        <v>4.0405887687351816E-2</v>
      </c>
      <c r="N213" s="5">
        <v>6.3963534077047385E-3</v>
      </c>
      <c r="O213" s="19">
        <f t="shared" si="29"/>
        <v>6.4168537620250543E-3</v>
      </c>
      <c r="P213" s="12">
        <f t="shared" si="26"/>
        <v>-7866.5853221289099</v>
      </c>
    </row>
    <row r="214" spans="1:16">
      <c r="A214" s="149">
        <v>0.22608111819818721</v>
      </c>
      <c r="B214" s="150">
        <f t="shared" si="27"/>
        <v>28.549449275606932</v>
      </c>
      <c r="C214" s="24">
        <f t="shared" si="24"/>
        <v>-5850.3717072712852</v>
      </c>
      <c r="H214" s="66">
        <v>9.9</v>
      </c>
      <c r="I214" s="10">
        <f t="shared" si="25"/>
        <v>0.61691586532307419</v>
      </c>
      <c r="J214" s="10">
        <f t="shared" si="28"/>
        <v>0.9798852835008961</v>
      </c>
      <c r="K214" s="66">
        <f t="shared" si="30"/>
        <v>2</v>
      </c>
      <c r="L214" s="5">
        <f t="shared" si="31"/>
        <v>2.0150225919610038E-2</v>
      </c>
      <c r="N214" s="5">
        <v>5.7652231655207289E-2</v>
      </c>
      <c r="O214" s="19">
        <f t="shared" si="29"/>
        <v>5.934652445531019E-2</v>
      </c>
      <c r="P214" s="12">
        <f t="shared" si="26"/>
        <v>-5522.2753559162511</v>
      </c>
    </row>
    <row r="215" spans="1:16">
      <c r="A215" s="149">
        <v>0.55504013183996093</v>
      </c>
      <c r="B215" s="150">
        <f t="shared" si="27"/>
        <v>38.113518371689601</v>
      </c>
      <c r="C215" s="24">
        <f t="shared" si="24"/>
        <v>-5850.3717072712852</v>
      </c>
      <c r="H215" s="66">
        <v>9.9499999999999993</v>
      </c>
      <c r="I215" s="10">
        <f t="shared" si="25"/>
        <v>0.61541272820880233</v>
      </c>
      <c r="J215" s="10">
        <f t="shared" si="28"/>
        <v>0.97971446135557494</v>
      </c>
      <c r="K215" s="66">
        <f t="shared" si="30"/>
        <v>4</v>
      </c>
      <c r="L215" s="5">
        <f t="shared" si="31"/>
        <v>4.0195249968563447E-2</v>
      </c>
      <c r="N215" s="5">
        <v>5.1305855842780149E-2</v>
      </c>
      <c r="O215" s="19">
        <f t="shared" si="29"/>
        <v>5.2644801614868397E-2</v>
      </c>
      <c r="P215" s="12">
        <f t="shared" si="26"/>
        <v>-5754.4665387374016</v>
      </c>
    </row>
    <row r="216" spans="1:16">
      <c r="A216" s="149">
        <v>0.87087618640705589</v>
      </c>
      <c r="B216" s="150">
        <f t="shared" si="27"/>
        <v>45.929244167685312</v>
      </c>
      <c r="C216" s="24">
        <f t="shared" si="24"/>
        <v>-5850.3717072712852</v>
      </c>
      <c r="H216" s="66">
        <v>10</v>
      </c>
      <c r="I216" s="10">
        <f t="shared" si="25"/>
        <v>0.6139132535407591</v>
      </c>
      <c r="J216" s="10">
        <f t="shared" si="28"/>
        <v>0.97954266028820469</v>
      </c>
      <c r="K216" s="66">
        <f t="shared" si="30"/>
        <v>2</v>
      </c>
      <c r="L216" s="5">
        <f t="shared" si="31"/>
        <v>2.0045140718650076E-2</v>
      </c>
      <c r="N216" s="5">
        <v>6.8802528355387041E-2</v>
      </c>
      <c r="O216" s="19">
        <f t="shared" si="29"/>
        <v>7.1224651767007208E-2</v>
      </c>
      <c r="P216" s="12">
        <f t="shared" si="26"/>
        <v>-5145.8271538094523</v>
      </c>
    </row>
    <row r="217" spans="1:16">
      <c r="A217" s="149">
        <v>0.87212744529557173</v>
      </c>
      <c r="B217" s="150">
        <f t="shared" si="27"/>
        <v>45.969356988768745</v>
      </c>
      <c r="C217" s="24">
        <f t="shared" si="24"/>
        <v>-5850.3717072712852</v>
      </c>
      <c r="H217" s="66">
        <v>10.050000000000001</v>
      </c>
      <c r="I217" s="10">
        <f t="shared" si="25"/>
        <v>0.6124174323952658</v>
      </c>
      <c r="J217" s="10">
        <f t="shared" si="28"/>
        <v>0.97936987486737936</v>
      </c>
      <c r="K217" s="66">
        <f t="shared" si="30"/>
        <v>4</v>
      </c>
      <c r="L217" s="5">
        <f t="shared" si="31"/>
        <v>3.9985545608770212E-2</v>
      </c>
      <c r="N217" s="5">
        <v>3.9395304790683441E-2</v>
      </c>
      <c r="O217" s="19">
        <f t="shared" si="29"/>
        <v>4.0181591154585528E-2</v>
      </c>
      <c r="P217" s="12">
        <f t="shared" si="26"/>
        <v>-6229.2517063038913</v>
      </c>
    </row>
    <row r="218" spans="1:16">
      <c r="A218" s="149">
        <v>0.95129245887630853</v>
      </c>
      <c r="B218" s="150">
        <f t="shared" si="27"/>
        <v>49.224128242319033</v>
      </c>
      <c r="C218" s="24">
        <f t="shared" si="24"/>
        <v>-5850.3717072712852</v>
      </c>
      <c r="H218" s="66">
        <v>10.1</v>
      </c>
      <c r="I218" s="10">
        <f t="shared" si="25"/>
        <v>0.61092525587038693</v>
      </c>
      <c r="J218" s="10">
        <f t="shared" si="28"/>
        <v>0.97919609963367205</v>
      </c>
      <c r="K218" s="66">
        <f t="shared" si="30"/>
        <v>2</v>
      </c>
      <c r="L218" s="5">
        <f t="shared" si="31"/>
        <v>1.9940520923866202E-2</v>
      </c>
      <c r="N218" s="5">
        <v>6.6113965610507877E-2</v>
      </c>
      <c r="O218" s="19">
        <f t="shared" si="29"/>
        <v>6.8348465213389442E-2</v>
      </c>
      <c r="P218" s="12">
        <f t="shared" si="26"/>
        <v>-5233.113469370126</v>
      </c>
    </row>
    <row r="219" spans="1:16">
      <c r="A219" s="149">
        <v>0.17743461409344768</v>
      </c>
      <c r="B219" s="150">
        <f t="shared" si="27"/>
        <v>26.334598032506623</v>
      </c>
      <c r="C219" s="24">
        <f t="shared" si="24"/>
        <v>-5850.3717072712852</v>
      </c>
      <c r="H219" s="66">
        <v>10.15</v>
      </c>
      <c r="I219" s="10">
        <f t="shared" si="25"/>
        <v>0.60943671508587671</v>
      </c>
      <c r="J219" s="10">
        <f t="shared" si="28"/>
        <v>0.97902132909951645</v>
      </c>
      <c r="K219" s="66">
        <f t="shared" si="30"/>
        <v>4</v>
      </c>
      <c r="L219" s="5">
        <f t="shared" si="31"/>
        <v>3.9776769520361223E-2</v>
      </c>
      <c r="N219" s="5">
        <v>6.5543363868651797E-2</v>
      </c>
      <c r="O219" s="19">
        <f t="shared" si="29"/>
        <v>6.7739037604992003E-2</v>
      </c>
      <c r="P219" s="12">
        <f t="shared" si="26"/>
        <v>-5251.9152666274167</v>
      </c>
    </row>
    <row r="220" spans="1:16">
      <c r="A220" s="149">
        <v>0.47077852717673269</v>
      </c>
      <c r="B220" s="150">
        <f t="shared" si="27"/>
        <v>36.093280352723227</v>
      </c>
      <c r="C220" s="24">
        <f t="shared" si="24"/>
        <v>-5850.3717072712852</v>
      </c>
      <c r="H220" s="66">
        <v>10.199999999999999</v>
      </c>
      <c r="I220" s="10">
        <f t="shared" si="25"/>
        <v>0.60795180118312642</v>
      </c>
      <c r="J220" s="10">
        <f t="shared" si="28"/>
        <v>0.97884555774908721</v>
      </c>
      <c r="K220" s="66">
        <f t="shared" si="30"/>
        <v>2</v>
      </c>
      <c r="L220" s="5">
        <f t="shared" si="31"/>
        <v>1.9836363997121988E-2</v>
      </c>
      <c r="N220" s="5">
        <v>2.884994018780708E-2</v>
      </c>
      <c r="O220" s="19">
        <f t="shared" si="29"/>
        <v>2.9270130803501715E-2</v>
      </c>
      <c r="P220" s="12">
        <f t="shared" si="26"/>
        <v>-6696.7979802090176</v>
      </c>
    </row>
    <row r="221" spans="1:16">
      <c r="A221" s="149">
        <v>8.6855677968688011E-2</v>
      </c>
      <c r="B221" s="150">
        <f t="shared" si="27"/>
        <v>20.264696441712811</v>
      </c>
      <c r="C221" s="24">
        <f t="shared" si="24"/>
        <v>-5850.3717072712852</v>
      </c>
      <c r="H221" s="66">
        <v>10.25</v>
      </c>
      <c r="I221" s="10">
        <f t="shared" si="25"/>
        <v>0.60647050532511138</v>
      </c>
      <c r="J221" s="10">
        <f t="shared" si="28"/>
        <v>0.97866878003818047</v>
      </c>
      <c r="K221" s="66">
        <f t="shared" si="30"/>
        <v>4</v>
      </c>
      <c r="L221" s="5">
        <f t="shared" si="31"/>
        <v>3.9568916638377714E-2</v>
      </c>
      <c r="N221" s="5">
        <v>5.9867156048436301E-2</v>
      </c>
      <c r="O221" s="19">
        <f t="shared" si="29"/>
        <v>6.1695497351575312E-2</v>
      </c>
      <c r="P221" s="12">
        <f t="shared" si="26"/>
        <v>-5444.3985529013853</v>
      </c>
    </row>
    <row r="222" spans="1:16">
      <c r="A222" s="149">
        <v>1.5503402813806574E-2</v>
      </c>
      <c r="B222" s="150">
        <f t="shared" si="27"/>
        <v>8.42922509683053</v>
      </c>
      <c r="C222" s="24">
        <f t="shared" si="24"/>
        <v>128761.44503663384</v>
      </c>
      <c r="H222" s="66">
        <v>10.3</v>
      </c>
      <c r="I222" s="10">
        <f t="shared" si="25"/>
        <v>0.60499281869633903</v>
      </c>
      <c r="J222" s="10">
        <f t="shared" si="28"/>
        <v>0.97849099039409471</v>
      </c>
      <c r="K222" s="66">
        <f t="shared" si="30"/>
        <v>2</v>
      </c>
      <c r="L222" s="5">
        <f t="shared" si="31"/>
        <v>1.9732667411583193E-2</v>
      </c>
      <c r="N222" s="5">
        <v>6.0527758679527338E-3</v>
      </c>
      <c r="O222" s="19">
        <f t="shared" si="29"/>
        <v>6.0711309301455518E-3</v>
      </c>
      <c r="P222" s="12">
        <f t="shared" si="26"/>
        <v>185532.10006184183</v>
      </c>
    </row>
    <row r="223" spans="1:16">
      <c r="A223" s="149">
        <v>0.60353404339732053</v>
      </c>
      <c r="B223" s="150">
        <f t="shared" si="27"/>
        <v>39.232684264983305</v>
      </c>
      <c r="C223" s="24">
        <f t="shared" si="24"/>
        <v>-5850.3717072712852</v>
      </c>
      <c r="H223" s="66">
        <v>10.35</v>
      </c>
      <c r="I223" s="10">
        <f t="shared" si="25"/>
        <v>0.60351873250279597</v>
      </c>
      <c r="J223" s="10">
        <f t="shared" si="28"/>
        <v>0.97831218321551061</v>
      </c>
      <c r="K223" s="66">
        <f t="shared" si="30"/>
        <v>4</v>
      </c>
      <c r="L223" s="5">
        <f t="shared" si="31"/>
        <v>3.9361981920417878E-2</v>
      </c>
      <c r="N223" s="5">
        <v>4.5415528527097196E-2</v>
      </c>
      <c r="O223" s="19">
        <f t="shared" si="29"/>
        <v>4.64626046428116E-2</v>
      </c>
      <c r="P223" s="12">
        <f t="shared" si="26"/>
        <v>-5982.6229825267937</v>
      </c>
    </row>
    <row r="224" spans="1:16">
      <c r="A224" s="149">
        <v>0.10382396923734245</v>
      </c>
      <c r="B224" s="150">
        <f t="shared" si="27"/>
        <v>21.723456778409293</v>
      </c>
      <c r="C224" s="24">
        <f t="shared" si="24"/>
        <v>-5850.3717072712852</v>
      </c>
      <c r="H224" s="66">
        <v>10.4</v>
      </c>
      <c r="I224" s="10">
        <f t="shared" si="25"/>
        <v>0.60204823797189566</v>
      </c>
      <c r="J224" s="10">
        <f t="shared" si="28"/>
        <v>0.97813235287237099</v>
      </c>
      <c r="K224" s="66">
        <f t="shared" si="30"/>
        <v>2</v>
      </c>
      <c r="L224" s="5">
        <f t="shared" si="31"/>
        <v>1.9629428651670517E-2</v>
      </c>
      <c r="N224" s="5">
        <v>6.9175641508205446E-2</v>
      </c>
      <c r="O224" s="19">
        <f t="shared" si="29"/>
        <v>7.1624414347905674E-2</v>
      </c>
      <c r="P224" s="12">
        <f t="shared" si="26"/>
        <v>-5133.8815712557625</v>
      </c>
    </row>
    <row r="225" spans="1:16">
      <c r="A225" s="149">
        <v>0.15106662190618611</v>
      </c>
      <c r="B225" s="150">
        <f t="shared" si="27"/>
        <v>24.911988801866599</v>
      </c>
      <c r="C225" s="24">
        <f t="shared" si="24"/>
        <v>-5850.3717072712852</v>
      </c>
      <c r="H225" s="66">
        <v>10.45</v>
      </c>
      <c r="I225" s="10">
        <f t="shared" si="25"/>
        <v>0.600581326352426</v>
      </c>
      <c r="J225" s="10">
        <f t="shared" si="28"/>
        <v>0.97795149370576151</v>
      </c>
      <c r="K225" s="66">
        <f t="shared" si="30"/>
        <v>4</v>
      </c>
      <c r="L225" s="5">
        <f t="shared" si="31"/>
        <v>3.9155960346542833E-2</v>
      </c>
      <c r="N225" s="5">
        <v>4.1021023841618445E-2</v>
      </c>
      <c r="O225" s="19">
        <f t="shared" si="29"/>
        <v>4.1874009509388355E-2</v>
      </c>
      <c r="P225" s="12">
        <f t="shared" si="26"/>
        <v>-6161.2617507287368</v>
      </c>
    </row>
    <row r="226" spans="1:16">
      <c r="A226" s="149">
        <v>0.8409375286111026</v>
      </c>
      <c r="B226" s="150">
        <f t="shared" si="27"/>
        <v>45.021365296356869</v>
      </c>
      <c r="C226" s="24">
        <f t="shared" si="24"/>
        <v>-5850.3717072712852</v>
      </c>
      <c r="H226" s="66">
        <v>10.5</v>
      </c>
      <c r="I226" s="10">
        <f t="shared" si="25"/>
        <v>0.59911798891449808</v>
      </c>
      <c r="J226" s="10">
        <f t="shared" si="28"/>
        <v>0.97776960002778934</v>
      </c>
      <c r="K226" s="66">
        <f t="shared" si="30"/>
        <v>2</v>
      </c>
      <c r="L226" s="5">
        <f t="shared" si="31"/>
        <v>1.9526645213012745E-2</v>
      </c>
      <c r="N226" s="5">
        <v>8.7204061375232428E-3</v>
      </c>
      <c r="O226" s="19">
        <f t="shared" si="29"/>
        <v>8.7585396450837738E-3</v>
      </c>
      <c r="P226" s="12">
        <f t="shared" si="26"/>
        <v>-7733.2017834212611</v>
      </c>
    </row>
    <row r="227" spans="1:16">
      <c r="A227" s="149">
        <v>0.34849085970641192</v>
      </c>
      <c r="B227" s="150">
        <f t="shared" si="27"/>
        <v>32.793562780455787</v>
      </c>
      <c r="C227" s="24">
        <f t="shared" si="24"/>
        <v>-5850.3717072712852</v>
      </c>
      <c r="H227" s="66">
        <v>10.55</v>
      </c>
      <c r="I227" s="10">
        <f t="shared" si="25"/>
        <v>0.59765821694949328</v>
      </c>
      <c r="J227" s="10">
        <f t="shared" si="28"/>
        <v>0.97758666612146383</v>
      </c>
      <c r="K227" s="66">
        <f t="shared" si="30"/>
        <v>4</v>
      </c>
      <c r="L227" s="5">
        <f t="shared" si="31"/>
        <v>3.8950846919183581E-2</v>
      </c>
      <c r="N227" s="5">
        <v>4.3816495642327938E-2</v>
      </c>
      <c r="O227" s="19">
        <f t="shared" si="29"/>
        <v>4.4790613665844248E-2</v>
      </c>
      <c r="P227" s="12">
        <f t="shared" si="26"/>
        <v>-6046.7688564761747</v>
      </c>
    </row>
    <row r="228" spans="1:16">
      <c r="A228" s="149">
        <v>0.37916196172978911</v>
      </c>
      <c r="B228" s="150">
        <f t="shared" si="27"/>
        <v>33.680969741644368</v>
      </c>
      <c r="C228" s="24">
        <f t="shared" si="24"/>
        <v>-5850.3717072712852</v>
      </c>
      <c r="H228" s="66">
        <v>10.6</v>
      </c>
      <c r="I228" s="10">
        <f t="shared" si="25"/>
        <v>0.59620200177001192</v>
      </c>
      <c r="J228" s="10">
        <f t="shared" si="28"/>
        <v>0.97740268624057514</v>
      </c>
      <c r="K228" s="66">
        <f t="shared" si="30"/>
        <v>2</v>
      </c>
      <c r="L228" s="5">
        <f t="shared" si="31"/>
        <v>1.9424314602400596E-2</v>
      </c>
      <c r="N228" s="5">
        <v>8.7812065382546281E-2</v>
      </c>
      <c r="O228" s="19">
        <f t="shared" si="29"/>
        <v>9.1782918941205827E-2</v>
      </c>
      <c r="P228" s="12">
        <f t="shared" si="26"/>
        <v>-4585.4839544214055</v>
      </c>
    </row>
    <row r="229" spans="1:16">
      <c r="A229" s="149">
        <v>0.27301858577227089</v>
      </c>
      <c r="B229" s="150">
        <f t="shared" si="27"/>
        <v>30.3460642936593</v>
      </c>
      <c r="C229" s="24">
        <f t="shared" si="24"/>
        <v>-5850.3717072712852</v>
      </c>
      <c r="H229" s="66">
        <v>10.65</v>
      </c>
      <c r="I229" s="10">
        <f t="shared" si="25"/>
        <v>0.5947493347098215</v>
      </c>
      <c r="J229" s="10">
        <f t="shared" si="28"/>
        <v>0.97721765460957433</v>
      </c>
      <c r="K229" s="66">
        <f t="shared" si="30"/>
        <v>4</v>
      </c>
      <c r="L229" s="5">
        <f t="shared" si="31"/>
        <v>3.8746636663049096E-2</v>
      </c>
      <c r="N229" s="5">
        <v>4.9035613821739391E-2</v>
      </c>
      <c r="O229" s="19">
        <f t="shared" si="29"/>
        <v>5.0257753766414837E-2</v>
      </c>
      <c r="P229" s="12">
        <f t="shared" si="26"/>
        <v>-5840.914858569844</v>
      </c>
    </row>
    <row r="230" spans="1:16">
      <c r="A230" s="149">
        <v>0.195806756797998</v>
      </c>
      <c r="B230" s="150">
        <f t="shared" si="27"/>
        <v>27.224024175169259</v>
      </c>
      <c r="C230" s="24">
        <f t="shared" si="24"/>
        <v>-5850.3717072712852</v>
      </c>
      <c r="H230" s="66">
        <v>10.7</v>
      </c>
      <c r="I230" s="10">
        <f t="shared" si="25"/>
        <v>0.59330020712380516</v>
      </c>
      <c r="J230" s="10">
        <f t="shared" si="28"/>
        <v>0.97703156542345182</v>
      </c>
      <c r="K230" s="66">
        <f t="shared" si="30"/>
        <v>2</v>
      </c>
      <c r="L230" s="5">
        <f t="shared" si="31"/>
        <v>1.9322434337740987E-2</v>
      </c>
      <c r="N230" s="5">
        <v>6.0424496902793182E-2</v>
      </c>
      <c r="O230" s="19">
        <f t="shared" si="29"/>
        <v>6.2287388554388867E-2</v>
      </c>
      <c r="P230" s="12">
        <f t="shared" si="26"/>
        <v>-5425.051556758377</v>
      </c>
    </row>
    <row r="231" spans="1:16">
      <c r="A231" s="149">
        <v>0.42829676198614458</v>
      </c>
      <c r="B231" s="150">
        <f t="shared" si="27"/>
        <v>35.011723172920924</v>
      </c>
      <c r="C231" s="24">
        <f t="shared" si="24"/>
        <v>-5850.3717072712852</v>
      </c>
      <c r="H231" s="66">
        <v>10.75</v>
      </c>
      <c r="I231" s="10">
        <f t="shared" si="25"/>
        <v>0.59185461038790999</v>
      </c>
      <c r="J231" s="10">
        <f t="shared" si="28"/>
        <v>0.97684441284761725</v>
      </c>
      <c r="K231" s="66">
        <f t="shared" si="30"/>
        <v>4</v>
      </c>
      <c r="L231" s="5">
        <f t="shared" si="31"/>
        <v>3.8543324625035548E-2</v>
      </c>
      <c r="N231" s="5">
        <v>3.1739553330349737E-2</v>
      </c>
      <c r="O231" s="19">
        <f t="shared" si="29"/>
        <v>3.2248624575571316E-2</v>
      </c>
      <c r="P231" s="12">
        <f t="shared" si="26"/>
        <v>-6563.9538536864166</v>
      </c>
    </row>
    <row r="232" spans="1:16">
      <c r="A232" s="149">
        <v>0.7864925077059236</v>
      </c>
      <c r="B232" s="150">
        <f t="shared" si="27"/>
        <v>43.547907673793198</v>
      </c>
      <c r="C232" s="24">
        <f t="shared" si="24"/>
        <v>-5850.3717072712852</v>
      </c>
      <c r="H232" s="66">
        <v>10.8</v>
      </c>
      <c r="I232" s="10">
        <f t="shared" si="25"/>
        <v>0.59041253589909604</v>
      </c>
      <c r="J232" s="10">
        <f t="shared" si="28"/>
        <v>0.97665619101777779</v>
      </c>
      <c r="K232" s="66">
        <f t="shared" si="30"/>
        <v>2</v>
      </c>
      <c r="L232" s="5">
        <f t="shared" si="31"/>
        <v>1.9221001948011938E-2</v>
      </c>
      <c r="N232" s="5">
        <v>6.4791657857436805E-2</v>
      </c>
      <c r="O232" s="19">
        <f t="shared" si="29"/>
        <v>6.6936713345779886E-2</v>
      </c>
      <c r="P232" s="12">
        <f t="shared" si="26"/>
        <v>-5276.8346414661228</v>
      </c>
    </row>
    <row r="233" spans="1:16">
      <c r="A233" s="149">
        <v>0.8707846308786279</v>
      </c>
      <c r="B233" s="150">
        <f t="shared" si="27"/>
        <v>45.926316949457103</v>
      </c>
      <c r="C233" s="24">
        <f t="shared" si="24"/>
        <v>-5850.3717072712852</v>
      </c>
      <c r="H233" s="66">
        <v>10.85</v>
      </c>
      <c r="I233" s="10">
        <f t="shared" si="25"/>
        <v>0.58897397507528482</v>
      </c>
      <c r="J233" s="10">
        <f t="shared" si="28"/>
        <v>0.97646689403981735</v>
      </c>
      <c r="K233" s="66">
        <f t="shared" si="30"/>
        <v>4</v>
      </c>
      <c r="L233" s="5">
        <f t="shared" si="31"/>
        <v>3.8340905874136542E-2</v>
      </c>
      <c r="N233" s="5">
        <v>7.394983499319642E-2</v>
      </c>
      <c r="O233" s="19">
        <f t="shared" si="29"/>
        <v>7.6752788830380503E-2</v>
      </c>
      <c r="P233" s="12">
        <f t="shared" si="26"/>
        <v>-4984.5429460650985</v>
      </c>
    </row>
    <row r="234" spans="1:16">
      <c r="A234" s="149">
        <v>0.66441846980193486</v>
      </c>
      <c r="B234" s="150">
        <f t="shared" si="27"/>
        <v>40.626682528731294</v>
      </c>
      <c r="C234" s="24">
        <f t="shared" si="24"/>
        <v>-5850.3717072712852</v>
      </c>
      <c r="H234" s="66">
        <v>10.9</v>
      </c>
      <c r="I234" s="10">
        <f t="shared" si="25"/>
        <v>0.58753891935530878</v>
      </c>
      <c r="J234" s="10">
        <f t="shared" si="28"/>
        <v>0.97627651598967535</v>
      </c>
      <c r="K234" s="66">
        <f t="shared" si="30"/>
        <v>2</v>
      </c>
      <c r="L234" s="5">
        <f t="shared" si="31"/>
        <v>1.9120014973217987E-2</v>
      </c>
      <c r="N234" s="5">
        <v>6.6733884702567595E-2</v>
      </c>
      <c r="O234" s="19">
        <f t="shared" si="29"/>
        <v>6.9010960149361145E-2</v>
      </c>
      <c r="P234" s="12">
        <f t="shared" si="26"/>
        <v>-5212.7972647596607</v>
      </c>
    </row>
    <row r="235" spans="1:16">
      <c r="A235" s="149">
        <v>7.5075533310953096E-2</v>
      </c>
      <c r="B235" s="150">
        <f t="shared" si="27"/>
        <v>19.100797554816747</v>
      </c>
      <c r="C235" s="24">
        <f t="shared" si="24"/>
        <v>-5850.3717072712852</v>
      </c>
      <c r="H235" s="66">
        <v>10.95</v>
      </c>
      <c r="I235" s="10">
        <f t="shared" si="25"/>
        <v>0.58610736019885945</v>
      </c>
      <c r="J235" s="10">
        <f t="shared" si="28"/>
        <v>0.97608505091322495</v>
      </c>
      <c r="K235" s="66">
        <f t="shared" si="30"/>
        <v>4</v>
      </c>
      <c r="L235" s="5">
        <f t="shared" si="31"/>
        <v>3.8139375501354635E-2</v>
      </c>
      <c r="N235" s="5">
        <v>4.7743088268485737E-2</v>
      </c>
      <c r="O235" s="19">
        <f t="shared" si="29"/>
        <v>4.8901145696332193E-2</v>
      </c>
      <c r="P235" s="12">
        <f t="shared" si="26"/>
        <v>-5890.9592356043713</v>
      </c>
    </row>
    <row r="236" spans="1:16">
      <c r="A236" s="149">
        <v>0.17471846675008393</v>
      </c>
      <c r="B236" s="150">
        <f t="shared" si="27"/>
        <v>26.196635184296671</v>
      </c>
      <c r="C236" s="24">
        <f t="shared" si="24"/>
        <v>-5850.3717072712852</v>
      </c>
      <c r="H236" s="66">
        <v>11</v>
      </c>
      <c r="I236" s="10">
        <f t="shared" si="25"/>
        <v>0.58467928908643729</v>
      </c>
      <c r="J236" s="10">
        <f t="shared" si="28"/>
        <v>0.9758924928261522</v>
      </c>
      <c r="K236" s="66">
        <f t="shared" si="30"/>
        <v>2</v>
      </c>
      <c r="L236" s="5">
        <f t="shared" si="31"/>
        <v>1.9019470964346193E-2</v>
      </c>
      <c r="N236" s="5">
        <v>8.0391557682683926E-2</v>
      </c>
      <c r="O236" s="19">
        <f t="shared" si="29"/>
        <v>8.3711320103087239E-2</v>
      </c>
      <c r="P236" s="12">
        <f t="shared" si="26"/>
        <v>-4792.9571940821552</v>
      </c>
    </row>
    <row r="237" spans="1:16">
      <c r="A237" s="149">
        <v>0.26117740409558399</v>
      </c>
      <c r="B237" s="150">
        <f t="shared" si="27"/>
        <v>29.917264661294656</v>
      </c>
      <c r="C237" s="24">
        <f t="shared" si="24"/>
        <v>-5850.3717072712852</v>
      </c>
      <c r="H237" s="66">
        <v>11.05</v>
      </c>
      <c r="I237" s="10">
        <f t="shared" si="25"/>
        <v>0.5832546975193007</v>
      </c>
      <c r="J237" s="10">
        <f t="shared" si="28"/>
        <v>0.97569883571383398</v>
      </c>
      <c r="K237" s="66">
        <f t="shared" si="30"/>
        <v>4</v>
      </c>
      <c r="L237" s="5">
        <f t="shared" si="31"/>
        <v>3.793872861961374E-2</v>
      </c>
      <c r="N237" s="5">
        <v>5.0918248868707452E-2</v>
      </c>
      <c r="O237" s="19">
        <f t="shared" si="29"/>
        <v>5.2236868212564236E-2</v>
      </c>
      <c r="P237" s="12">
        <f t="shared" si="26"/>
        <v>-5769.0967185287127</v>
      </c>
    </row>
    <row r="238" spans="1:16">
      <c r="A238" s="149">
        <v>0.20462660603656119</v>
      </c>
      <c r="B238" s="150">
        <f t="shared" si="27"/>
        <v>27.626585131501351</v>
      </c>
      <c r="C238" s="24">
        <f t="shared" si="24"/>
        <v>-5850.3717072712852</v>
      </c>
      <c r="H238" s="66">
        <v>11.1</v>
      </c>
      <c r="I238" s="10">
        <f t="shared" si="25"/>
        <v>0.58183357701941618</v>
      </c>
      <c r="J238" s="10">
        <f t="shared" si="28"/>
        <v>0.9755040735312166</v>
      </c>
      <c r="K238" s="66">
        <f t="shared" si="30"/>
        <v>2</v>
      </c>
      <c r="L238" s="5">
        <f t="shared" si="31"/>
        <v>1.8919367483322642E-2</v>
      </c>
      <c r="N238" s="5">
        <v>6.7602472833765206E-2</v>
      </c>
      <c r="O238" s="19">
        <f t="shared" si="29"/>
        <v>6.9939893753416138E-2</v>
      </c>
      <c r="P238" s="12">
        <f t="shared" si="26"/>
        <v>-5184.5240041944562</v>
      </c>
    </row>
    <row r="239" spans="1:16">
      <c r="A239" s="149">
        <v>0.18900112918485062</v>
      </c>
      <c r="B239" s="150">
        <f t="shared" si="27"/>
        <v>26.903001004974307</v>
      </c>
      <c r="C239" s="24">
        <f t="shared" si="24"/>
        <v>-5850.3717072712852</v>
      </c>
      <c r="H239" s="66">
        <v>11.15</v>
      </c>
      <c r="I239" s="10">
        <f t="shared" si="25"/>
        <v>0.58041591912940638</v>
      </c>
      <c r="J239" s="10">
        <f t="shared" si="28"/>
        <v>0.97530820020269393</v>
      </c>
      <c r="K239" s="66">
        <f t="shared" si="30"/>
        <v>4</v>
      </c>
      <c r="L239" s="5">
        <f t="shared" si="31"/>
        <v>3.7738960363672913E-2</v>
      </c>
      <c r="N239" s="5">
        <v>5.810564989327395E-2</v>
      </c>
      <c r="O239" s="19">
        <f t="shared" si="29"/>
        <v>5.9826960400909845E-2</v>
      </c>
      <c r="P239" s="12">
        <f t="shared" si="26"/>
        <v>-5506.203309778065</v>
      </c>
    </row>
    <row r="240" spans="1:16">
      <c r="A240" s="149">
        <v>2.1698660237434005E-2</v>
      </c>
      <c r="B240" s="150">
        <f t="shared" si="27"/>
        <v>10.353023007600692</v>
      </c>
      <c r="C240" s="24">
        <f t="shared" si="24"/>
        <v>116215.50177378333</v>
      </c>
      <c r="H240" s="66">
        <v>11.2</v>
      </c>
      <c r="I240" s="10">
        <f t="shared" si="25"/>
        <v>0.57900171541250123</v>
      </c>
      <c r="J240" s="10">
        <f t="shared" si="28"/>
        <v>0.97511120962198594</v>
      </c>
      <c r="K240" s="66">
        <f t="shared" si="30"/>
        <v>2</v>
      </c>
      <c r="L240" s="5">
        <f t="shared" si="31"/>
        <v>1.881970210296963E-2</v>
      </c>
      <c r="N240" s="5">
        <v>5.4960052304646526E-2</v>
      </c>
      <c r="O240" s="19">
        <f t="shared" si="29"/>
        <v>5.6498409155902873E-2</v>
      </c>
      <c r="P240" s="12">
        <f t="shared" si="26"/>
        <v>108875.68868358643</v>
      </c>
    </row>
    <row r="241" spans="1:16">
      <c r="A241" s="149">
        <v>0.9761650440992462</v>
      </c>
      <c r="B241" s="150">
        <f t="shared" si="27"/>
        <v>51.021528572448936</v>
      </c>
      <c r="C241" s="24">
        <f t="shared" si="24"/>
        <v>-5850.3717072712852</v>
      </c>
      <c r="H241" s="66">
        <v>11.25</v>
      </c>
      <c r="I241" s="10">
        <f t="shared" si="25"/>
        <v>0.57759095745248701</v>
      </c>
      <c r="J241" s="10">
        <f t="shared" si="28"/>
        <v>0.97491309565201656</v>
      </c>
      <c r="K241" s="66">
        <f t="shared" si="30"/>
        <v>4</v>
      </c>
      <c r="L241" s="5">
        <f t="shared" si="31"/>
        <v>3.7540065890041087E-2</v>
      </c>
      <c r="N241" s="5">
        <v>4.520538181817392E-2</v>
      </c>
      <c r="O241" s="19">
        <f t="shared" si="29"/>
        <v>4.6242717075568152E-2</v>
      </c>
      <c r="P241" s="12">
        <f t="shared" si="26"/>
        <v>-5990.9980821212084</v>
      </c>
    </row>
    <row r="242" spans="1:16">
      <c r="A242" s="149">
        <v>0.82503738517410807</v>
      </c>
      <c r="B242" s="150">
        <f t="shared" si="27"/>
        <v>44.571873122483474</v>
      </c>
      <c r="C242" s="24">
        <f t="shared" si="24"/>
        <v>-5850.3717072712852</v>
      </c>
      <c r="H242" s="66">
        <v>11.3</v>
      </c>
      <c r="I242" s="10">
        <f t="shared" si="25"/>
        <v>0.57618363685365614</v>
      </c>
      <c r="J242" s="10">
        <f t="shared" si="28"/>
        <v>0.97471385212479178</v>
      </c>
      <c r="K242" s="66">
        <f t="shared" si="30"/>
        <v>2</v>
      </c>
      <c r="L242" s="5">
        <f t="shared" si="31"/>
        <v>1.8720472406963312E-2</v>
      </c>
      <c r="N242" s="5">
        <v>3.2595483341661749E-2</v>
      </c>
      <c r="O242" s="19">
        <f t="shared" si="29"/>
        <v>3.3132535381410033E-2</v>
      </c>
      <c r="P242" s="12">
        <f t="shared" si="26"/>
        <v>-6525.3064776343144</v>
      </c>
    </row>
    <row r="243" spans="1:16">
      <c r="A243" s="149">
        <v>0.43250831629383218</v>
      </c>
      <c r="B243" s="150">
        <f t="shared" si="27"/>
        <v>35.121467262410022</v>
      </c>
      <c r="C243" s="24">
        <f t="shared" si="24"/>
        <v>-5850.3717072712852</v>
      </c>
      <c r="H243" s="66">
        <v>11.35</v>
      </c>
      <c r="I243" s="10">
        <f t="shared" si="25"/>
        <v>0.57477974524075803</v>
      </c>
      <c r="J243" s="10">
        <f t="shared" si="28"/>
        <v>0.97451347284127765</v>
      </c>
      <c r="K243" s="66">
        <f t="shared" si="30"/>
        <v>4</v>
      </c>
      <c r="L243" s="5">
        <f t="shared" si="31"/>
        <v>3.7342040376893058E-2</v>
      </c>
      <c r="N243" s="5">
        <v>2.0590434766869295E-2</v>
      </c>
      <c r="O243" s="19">
        <f t="shared" si="29"/>
        <v>2.0803880229951943E-2</v>
      </c>
      <c r="P243" s="12">
        <f t="shared" si="26"/>
        <v>-7097.5983484245053</v>
      </c>
    </row>
    <row r="244" spans="1:16">
      <c r="A244" s="149">
        <v>0.77614673299356063</v>
      </c>
      <c r="B244" s="150">
        <f t="shared" si="27"/>
        <v>43.285242684809738</v>
      </c>
      <c r="C244" s="24">
        <f t="shared" si="24"/>
        <v>-5850.3717072712852</v>
      </c>
      <c r="H244" s="66">
        <v>11.4</v>
      </c>
      <c r="I244" s="10">
        <f t="shared" si="25"/>
        <v>0.57337927425894819</v>
      </c>
      <c r="J244" s="10">
        <f t="shared" si="28"/>
        <v>0.97431195157127859</v>
      </c>
      <c r="K244" s="66">
        <f t="shared" si="30"/>
        <v>2</v>
      </c>
      <c r="L244" s="5">
        <f t="shared" si="31"/>
        <v>1.8621675989791975E-2</v>
      </c>
      <c r="N244" s="5">
        <v>3.4558807053268539E-2</v>
      </c>
      <c r="O244" s="19">
        <f t="shared" si="29"/>
        <v>3.5162901466101459E-2</v>
      </c>
      <c r="P244" s="12">
        <f t="shared" si="26"/>
        <v>-6437.8449419591598</v>
      </c>
    </row>
    <row r="245" spans="1:16">
      <c r="A245" s="149">
        <v>0.86162907803582878</v>
      </c>
      <c r="B245" s="150">
        <f t="shared" si="27"/>
        <v>45.638735794559672</v>
      </c>
      <c r="C245" s="24">
        <f t="shared" si="24"/>
        <v>-5850.3717072712852</v>
      </c>
      <c r="H245" s="66">
        <v>11.45</v>
      </c>
      <c r="I245" s="10">
        <f t="shared" si="25"/>
        <v>0.57198221557373907</v>
      </c>
      <c r="J245" s="10">
        <f t="shared" si="28"/>
        <v>0.97410928205331504</v>
      </c>
      <c r="K245" s="66">
        <f t="shared" si="30"/>
        <v>4</v>
      </c>
      <c r="L245" s="5">
        <f t="shared" si="31"/>
        <v>3.7144879023986631E-2</v>
      </c>
      <c r="N245" s="5">
        <v>1.0762034841842252E-2</v>
      </c>
      <c r="O245" s="19">
        <f t="shared" si="29"/>
        <v>1.0820153844603553E-2</v>
      </c>
      <c r="P245" s="12">
        <f t="shared" si="26"/>
        <v>-7618.5306947523832</v>
      </c>
    </row>
    <row r="246" spans="1:16">
      <c r="A246" s="149">
        <v>0.91189306314279606</v>
      </c>
      <c r="B246" s="150">
        <f t="shared" si="27"/>
        <v>47.376755818440252</v>
      </c>
      <c r="C246" s="24">
        <f t="shared" si="24"/>
        <v>-5850.3717072712852</v>
      </c>
      <c r="H246" s="66">
        <v>11.5</v>
      </c>
      <c r="I246" s="10">
        <f t="shared" si="25"/>
        <v>0.57058856087095056</v>
      </c>
      <c r="J246" s="10">
        <f t="shared" si="28"/>
        <v>0.97390545799450134</v>
      </c>
      <c r="K246" s="66">
        <f t="shared" si="30"/>
        <v>2</v>
      </c>
      <c r="L246" s="5">
        <f t="shared" si="31"/>
        <v>1.8523310456714886E-2</v>
      </c>
      <c r="N246" s="5">
        <v>7.2417270937090508E-2</v>
      </c>
      <c r="O246" s="19">
        <f t="shared" si="29"/>
        <v>7.5103860076121132E-2</v>
      </c>
      <c r="P246" s="12">
        <f t="shared" si="26"/>
        <v>-5031.7812007450666</v>
      </c>
    </row>
    <row r="247" spans="1:16">
      <c r="A247" s="149">
        <v>0.37360759300515761</v>
      </c>
      <c r="B247" s="150">
        <f t="shared" si="27"/>
        <v>33.523890703727183</v>
      </c>
      <c r="C247" s="24">
        <f t="shared" si="24"/>
        <v>-5850.3717072712852</v>
      </c>
      <c r="H247" s="66">
        <v>11.55</v>
      </c>
      <c r="I247" s="10">
        <f t="shared" si="25"/>
        <v>0.5691983018566602</v>
      </c>
      <c r="J247" s="10">
        <f t="shared" si="28"/>
        <v>0.97370047307042384</v>
      </c>
      <c r="K247" s="66">
        <f t="shared" si="30"/>
        <v>4</v>
      </c>
      <c r="L247" s="5">
        <f t="shared" si="31"/>
        <v>3.6948577052580797E-2</v>
      </c>
      <c r="N247" s="5">
        <v>1.0986593176436146E-2</v>
      </c>
      <c r="O247" s="19">
        <f t="shared" si="29"/>
        <v>1.1047167422866488E-2</v>
      </c>
      <c r="P247" s="12">
        <f t="shared" si="26"/>
        <v>-7606.0585477632321</v>
      </c>
    </row>
    <row r="248" spans="1:16">
      <c r="A248" s="149">
        <v>5.2797021393475141E-2</v>
      </c>
      <c r="B248" s="150">
        <f t="shared" si="27"/>
        <v>16.395935929291252</v>
      </c>
      <c r="C248" s="24">
        <f t="shared" si="24"/>
        <v>-5850.3717072712852</v>
      </c>
      <c r="H248" s="66">
        <v>11.6</v>
      </c>
      <c r="I248" s="10">
        <f t="shared" si="25"/>
        <v>0.56781143025715419</v>
      </c>
      <c r="J248" s="10">
        <f t="shared" si="28"/>
        <v>0.97349432092501875</v>
      </c>
      <c r="K248" s="66">
        <f t="shared" si="30"/>
        <v>2</v>
      </c>
      <c r="L248" s="5">
        <f t="shared" si="31"/>
        <v>1.8425373423721733E-2</v>
      </c>
      <c r="N248" s="5">
        <v>4.9166551386530047E-2</v>
      </c>
      <c r="O248" s="19">
        <f t="shared" si="29"/>
        <v>5.0395280962637123E-2</v>
      </c>
      <c r="P248" s="12">
        <f t="shared" si="26"/>
        <v>-5835.8788874531683</v>
      </c>
    </row>
    <row r="249" spans="1:16">
      <c r="A249" s="149">
        <v>0.6164738914151433</v>
      </c>
      <c r="B249" s="150">
        <f t="shared" si="27"/>
        <v>39.528970021877733</v>
      </c>
      <c r="C249" s="24">
        <f t="shared" si="24"/>
        <v>-5850.3717072712852</v>
      </c>
      <c r="H249" s="66">
        <v>11.65</v>
      </c>
      <c r="I249" s="10">
        <f t="shared" si="25"/>
        <v>0.56642793781887757</v>
      </c>
      <c r="J249" s="10">
        <f t="shared" si="28"/>
        <v>0.97328699517044992</v>
      </c>
      <c r="K249" s="66">
        <f t="shared" si="30"/>
        <v>4</v>
      </c>
      <c r="L249" s="5">
        <f t="shared" si="31"/>
        <v>3.6753129705355325E-2</v>
      </c>
      <c r="N249" s="5">
        <v>8.2359100767585916E-2</v>
      </c>
      <c r="O249" s="19">
        <f t="shared" si="29"/>
        <v>8.5845667839005158E-2</v>
      </c>
      <c r="P249" s="12">
        <f t="shared" si="26"/>
        <v>-4736.6070192191946</v>
      </c>
    </row>
    <row r="250" spans="1:16">
      <c r="A250" s="149">
        <v>0.23834955900753807</v>
      </c>
      <c r="B250" s="150">
        <f t="shared" si="27"/>
        <v>29.045678076906224</v>
      </c>
      <c r="C250" s="24">
        <f t="shared" si="24"/>
        <v>-5850.3717072712852</v>
      </c>
      <c r="H250" s="66">
        <v>11.7</v>
      </c>
      <c r="I250" s="10">
        <f t="shared" si="25"/>
        <v>0.56504781630838585</v>
      </c>
      <c r="J250" s="10">
        <f t="shared" si="28"/>
        <v>0.97307848938698649</v>
      </c>
      <c r="K250" s="66">
        <f t="shared" si="30"/>
        <v>2</v>
      </c>
      <c r="L250" s="5">
        <f t="shared" si="31"/>
        <v>1.832786251749265E-2</v>
      </c>
      <c r="N250" s="5">
        <v>5.5101593099730964E-2</v>
      </c>
      <c r="O250" s="19">
        <f t="shared" si="29"/>
        <v>5.6647957364076795E-2</v>
      </c>
      <c r="P250" s="12">
        <f t="shared" si="26"/>
        <v>-5613.9534383939381</v>
      </c>
    </row>
    <row r="251" spans="1:16">
      <c r="A251" s="149">
        <v>0.58406323435163432</v>
      </c>
      <c r="B251" s="150">
        <f t="shared" si="27"/>
        <v>38.785470133520136</v>
      </c>
      <c r="C251" s="24">
        <f t="shared" si="24"/>
        <v>-5850.3717072712852</v>
      </c>
      <c r="H251" s="66">
        <v>11.75</v>
      </c>
      <c r="I251" s="10">
        <f t="shared" si="25"/>
        <v>0.56367105751229518</v>
      </c>
      <c r="J251" s="10">
        <f t="shared" si="28"/>
        <v>0.97286879712288132</v>
      </c>
      <c r="K251" s="66">
        <f t="shared" si="30"/>
        <v>4</v>
      </c>
      <c r="L251" s="5">
        <f t="shared" si="31"/>
        <v>3.6558532246331273E-2</v>
      </c>
      <c r="N251" s="5">
        <v>6.0576832717866638E-2</v>
      </c>
      <c r="O251" s="19">
        <f t="shared" si="29"/>
        <v>6.2449225296019595E-2</v>
      </c>
      <c r="P251" s="12">
        <f t="shared" si="26"/>
        <v>-5419.7807669233134</v>
      </c>
    </row>
    <row r="252" spans="1:16">
      <c r="A252" s="149">
        <v>0.96310312204351944</v>
      </c>
      <c r="B252" s="150">
        <f t="shared" si="27"/>
        <v>49.968391356636701</v>
      </c>
      <c r="C252" s="24">
        <f t="shared" si="24"/>
        <v>-5850.3717072712852</v>
      </c>
      <c r="H252" s="66">
        <v>11.8</v>
      </c>
      <c r="I252" s="10">
        <f t="shared" si="25"/>
        <v>0.56229765323723424</v>
      </c>
      <c r="J252" s="10">
        <f t="shared" si="28"/>
        <v>0.97265791189424833</v>
      </c>
      <c r="K252" s="66">
        <f t="shared" si="30"/>
        <v>2</v>
      </c>
      <c r="L252" s="5">
        <f t="shared" si="31"/>
        <v>1.8230775375358815E-2</v>
      </c>
      <c r="N252" s="5">
        <v>7.0594118094173611E-2</v>
      </c>
      <c r="O252" s="19">
        <f t="shared" si="29"/>
        <v>7.314556709333031E-2</v>
      </c>
      <c r="P252" s="12">
        <f t="shared" si="26"/>
        <v>-5088.8351385718825</v>
      </c>
    </row>
    <row r="253" spans="1:16">
      <c r="A253" s="149">
        <v>0.92675557725760671</v>
      </c>
      <c r="B253" s="150">
        <f t="shared" si="27"/>
        <v>47.996823380175869</v>
      </c>
      <c r="C253" s="24">
        <f t="shared" si="24"/>
        <v>-5850.3717072712852</v>
      </c>
      <c r="H253" s="66">
        <v>11.85</v>
      </c>
      <c r="I253" s="10">
        <f t="shared" si="25"/>
        <v>0.56092759530979508</v>
      </c>
      <c r="J253" s="10">
        <f t="shared" si="28"/>
        <v>0.97244582718494099</v>
      </c>
      <c r="K253" s="66">
        <f t="shared" si="30"/>
        <v>4</v>
      </c>
      <c r="L253" s="5">
        <f t="shared" si="31"/>
        <v>3.6364779960792903E-2</v>
      </c>
      <c r="N253" s="5">
        <v>3.7416418715234614E-2</v>
      </c>
      <c r="O253" s="19">
        <f t="shared" si="29"/>
        <v>3.8125225615535996E-2</v>
      </c>
      <c r="P253" s="12">
        <f t="shared" si="26"/>
        <v>-6313.4398448410157</v>
      </c>
    </row>
    <row r="254" spans="1:16">
      <c r="A254" s="149">
        <v>0.18610187078463089</v>
      </c>
      <c r="B254" s="150">
        <f t="shared" si="27"/>
        <v>26.763314139074204</v>
      </c>
      <c r="C254" s="24">
        <f t="shared" si="24"/>
        <v>-5850.3717072712852</v>
      </c>
      <c r="H254" s="66">
        <v>11.9</v>
      </c>
      <c r="I254" s="10">
        <f t="shared" si="25"/>
        <v>0.55956087557648448</v>
      </c>
      <c r="J254" s="10">
        <f t="shared" si="28"/>
        <v>0.97223253644642937</v>
      </c>
      <c r="K254" s="66">
        <f t="shared" si="30"/>
        <v>2</v>
      </c>
      <c r="L254" s="5">
        <f t="shared" si="31"/>
        <v>1.8134109645263678E-2</v>
      </c>
      <c r="N254" s="5">
        <v>5.2458457114094928E-2</v>
      </c>
      <c r="O254" s="19">
        <f t="shared" si="29"/>
        <v>5.3858780834051823E-2</v>
      </c>
      <c r="P254" s="12">
        <f t="shared" si="26"/>
        <v>-5711.2728462756377</v>
      </c>
    </row>
    <row r="255" spans="1:16">
      <c r="A255" s="149">
        <v>9.9032563249610892E-2</v>
      </c>
      <c r="B255" s="150">
        <f t="shared" si="27"/>
        <v>21.333616447474522</v>
      </c>
      <c r="C255" s="24">
        <f t="shared" si="24"/>
        <v>-5850.3717072712852</v>
      </c>
      <c r="H255" s="66">
        <v>11.95</v>
      </c>
      <c r="I255" s="10">
        <f t="shared" si="25"/>
        <v>0.55819748590367557</v>
      </c>
      <c r="J255" s="10">
        <f t="shared" si="28"/>
        <v>0.9720180330976792</v>
      </c>
      <c r="K255" s="66">
        <f t="shared" si="30"/>
        <v>4</v>
      </c>
      <c r="L255" s="5">
        <f t="shared" si="31"/>
        <v>3.617186815521068E-2</v>
      </c>
      <c r="N255" s="5">
        <v>7.3280324565654156E-2</v>
      </c>
      <c r="O255" s="19">
        <f t="shared" si="29"/>
        <v>7.6032132880629044E-2</v>
      </c>
      <c r="P255" s="12">
        <f t="shared" si="26"/>
        <v>-5005.0989305956682</v>
      </c>
    </row>
    <row r="256" spans="1:16">
      <c r="A256" s="149">
        <v>0.36091189306314281</v>
      </c>
      <c r="B256" s="150">
        <f t="shared" si="27"/>
        <v>33.158997319792249</v>
      </c>
      <c r="C256" s="24">
        <f t="shared" si="24"/>
        <v>-5850.3717072712852</v>
      </c>
      <c r="H256" s="66">
        <v>12</v>
      </c>
      <c r="I256" s="10">
        <f t="shared" si="25"/>
        <v>0.55683741817755927</v>
      </c>
      <c r="J256" s="10">
        <f t="shared" si="28"/>
        <v>0.97180231052502897</v>
      </c>
      <c r="K256" s="66">
        <f t="shared" si="30"/>
        <v>2</v>
      </c>
      <c r="L256" s="5">
        <f t="shared" si="31"/>
        <v>1.8037862985724795E-2</v>
      </c>
      <c r="N256" s="5">
        <v>6.0535077361360892E-2</v>
      </c>
      <c r="O256" s="19">
        <f t="shared" si="29"/>
        <v>6.2404863276030564E-2</v>
      </c>
      <c r="P256" s="12">
        <f t="shared" si="26"/>
        <v>-5421.2247592347767</v>
      </c>
    </row>
    <row r="257" spans="1:16">
      <c r="A257" s="149">
        <v>0.85219885860774558</v>
      </c>
      <c r="B257" s="150">
        <f t="shared" si="27"/>
        <v>45.35224896783982</v>
      </c>
      <c r="C257" s="24">
        <f t="shared" si="24"/>
        <v>-5850.3717072712852</v>
      </c>
      <c r="H257" s="66">
        <v>12.05</v>
      </c>
      <c r="I257" s="10">
        <f t="shared" si="25"/>
        <v>0.55548066430409593</v>
      </c>
      <c r="J257" s="10">
        <f t="shared" si="28"/>
        <v>0.97158536208206858</v>
      </c>
      <c r="K257" s="66">
        <f t="shared" si="30"/>
        <v>4</v>
      </c>
      <c r="L257" s="5">
        <f t="shared" si="31"/>
        <v>3.5979792157165534E-2</v>
      </c>
      <c r="N257" s="5">
        <v>4.3637857240479208E-2</v>
      </c>
      <c r="O257" s="19">
        <f t="shared" si="29"/>
        <v>4.4603990609870969E-2</v>
      </c>
      <c r="P257" s="12">
        <f t="shared" si="26"/>
        <v>-6053.9952182423403</v>
      </c>
    </row>
    <row r="258" spans="1:16">
      <c r="A258" s="149">
        <v>0.21131015961180455</v>
      </c>
      <c r="B258" s="150">
        <f t="shared" si="27"/>
        <v>27.922227873426934</v>
      </c>
      <c r="C258" s="24">
        <f t="shared" si="24"/>
        <v>-5850.3717072712852</v>
      </c>
      <c r="H258" s="66">
        <v>12.1</v>
      </c>
      <c r="I258" s="10">
        <f t="shared" si="25"/>
        <v>0.55412721620896777</v>
      </c>
      <c r="J258" s="10">
        <f t="shared" si="28"/>
        <v>0.97136718108951714</v>
      </c>
      <c r="K258" s="66">
        <f t="shared" si="30"/>
        <v>2</v>
      </c>
      <c r="L258" s="5">
        <f t="shared" si="31"/>
        <v>1.7942033065796215E-2</v>
      </c>
      <c r="N258" s="5">
        <v>9.020253214397235E-2</v>
      </c>
      <c r="O258" s="19">
        <f t="shared" si="29"/>
        <v>9.4395911611398597E-2</v>
      </c>
      <c r="P258" s="12">
        <f t="shared" si="26"/>
        <v>-4521.4957014526572</v>
      </c>
    </row>
    <row r="259" spans="1:16">
      <c r="A259" s="149">
        <v>0.14429151280251473</v>
      </c>
      <c r="B259" s="150">
        <f t="shared" si="27"/>
        <v>24.512566168892359</v>
      </c>
      <c r="C259" s="24">
        <f t="shared" si="24"/>
        <v>-5850.3717072712852</v>
      </c>
      <c r="H259" s="66">
        <v>12.15</v>
      </c>
      <c r="I259" s="10">
        <f t="shared" si="25"/>
        <v>0.55277706583752984</v>
      </c>
      <c r="J259" s="10">
        <f t="shared" si="28"/>
        <v>0.97114776083510135</v>
      </c>
      <c r="K259" s="66">
        <f t="shared" si="30"/>
        <v>4</v>
      </c>
      <c r="L259" s="5">
        <f t="shared" si="31"/>
        <v>3.5788547315274304E-2</v>
      </c>
      <c r="N259" s="5">
        <v>2.5619489358301509E-2</v>
      </c>
      <c r="O259" s="19">
        <f t="shared" si="29"/>
        <v>2.595048911221931E-2</v>
      </c>
      <c r="P259" s="12">
        <f t="shared" si="26"/>
        <v>-6849.7546461393367</v>
      </c>
    </row>
    <row r="260" spans="1:16">
      <c r="A260" s="149">
        <v>0.28638569292275767</v>
      </c>
      <c r="B260" s="150">
        <f t="shared" si="27"/>
        <v>30.813270363947897</v>
      </c>
      <c r="C260" s="24">
        <f t="shared" si="24"/>
        <v>-5850.3717072712852</v>
      </c>
      <c r="H260" s="66">
        <v>12.2</v>
      </c>
      <c r="I260" s="10">
        <f t="shared" si="25"/>
        <v>0.55143020515476315</v>
      </c>
      <c r="J260" s="10">
        <f t="shared" si="28"/>
        <v>0.97092709457343385</v>
      </c>
      <c r="K260" s="66">
        <f t="shared" si="30"/>
        <v>2</v>
      </c>
      <c r="L260" s="5">
        <f t="shared" si="31"/>
        <v>1.7846617565031562E-2</v>
      </c>
      <c r="N260" s="5">
        <v>5.1257607035164257E-2</v>
      </c>
      <c r="O260" s="19">
        <f t="shared" si="29"/>
        <v>5.2594013983578547E-2</v>
      </c>
      <c r="P260" s="12">
        <f t="shared" si="26"/>
        <v>-5756.2848024863815</v>
      </c>
    </row>
    <row r="261" spans="1:16">
      <c r="A261" s="149">
        <v>0.62062440870387892</v>
      </c>
      <c r="B261" s="150">
        <f t="shared" si="27"/>
        <v>39.623917483274283</v>
      </c>
      <c r="C261" s="24">
        <f t="shared" si="24"/>
        <v>-5850.3717072712852</v>
      </c>
      <c r="H261" s="66">
        <v>12.25</v>
      </c>
      <c r="I261" s="10">
        <f t="shared" si="25"/>
        <v>0.55008662614522563</v>
      </c>
      <c r="J261" s="10">
        <f t="shared" si="28"/>
        <v>0.97070517552589153</v>
      </c>
      <c r="K261" s="66">
        <f t="shared" si="30"/>
        <v>4</v>
      </c>
      <c r="L261" s="5">
        <f t="shared" si="31"/>
        <v>3.5598128999116442E-2</v>
      </c>
      <c r="N261" s="5">
        <v>4.213162316967646E-2</v>
      </c>
      <c r="O261" s="19">
        <f t="shared" si="29"/>
        <v>4.3031756861986459E-2</v>
      </c>
      <c r="P261" s="12">
        <f t="shared" si="26"/>
        <v>-6115.4129901060542</v>
      </c>
    </row>
    <row r="262" spans="1:16">
      <c r="A262" s="149">
        <v>8.597064119388409E-2</v>
      </c>
      <c r="B262" s="150">
        <f t="shared" si="27"/>
        <v>20.18209555531207</v>
      </c>
      <c r="C262" s="24">
        <f t="shared" si="24"/>
        <v>-5850.3717072712852</v>
      </c>
      <c r="H262" s="66">
        <v>12.3</v>
      </c>
      <c r="I262" s="10">
        <f t="shared" si="25"/>
        <v>0.54874632081300589</v>
      </c>
      <c r="J262" s="10">
        <f t="shared" si="28"/>
        <v>0.97048199688049386</v>
      </c>
      <c r="K262" s="66">
        <f t="shared" si="30"/>
        <v>2</v>
      </c>
      <c r="L262" s="5">
        <f t="shared" si="31"/>
        <v>1.7751614173447668E-2</v>
      </c>
      <c r="N262" s="5">
        <v>4.1507046327875288E-2</v>
      </c>
      <c r="O262" s="19">
        <f t="shared" si="29"/>
        <v>4.2380506780417715E-2</v>
      </c>
      <c r="P262" s="12">
        <f t="shared" si="26"/>
        <v>-6141.1380432821006</v>
      </c>
    </row>
    <row r="263" spans="1:16">
      <c r="A263" s="149">
        <v>0.53712576677755064</v>
      </c>
      <c r="B263" s="150">
        <f t="shared" si="27"/>
        <v>37.694132800402173</v>
      </c>
      <c r="C263" s="24">
        <f t="shared" si="24"/>
        <v>-5850.3717072712852</v>
      </c>
      <c r="H263" s="66">
        <v>12.35</v>
      </c>
      <c r="I263" s="10">
        <f t="shared" si="25"/>
        <v>0.54740928118167431</v>
      </c>
      <c r="J263" s="10">
        <f t="shared" si="28"/>
        <v>0.97025755179178153</v>
      </c>
      <c r="K263" s="66">
        <f t="shared" si="30"/>
        <v>4</v>
      </c>
      <c r="L263" s="5">
        <f t="shared" si="31"/>
        <v>3.5408532599162025E-2</v>
      </c>
      <c r="N263" s="5">
        <v>8.108156220908859E-2</v>
      </c>
      <c r="O263" s="19">
        <f t="shared" si="29"/>
        <v>8.4459343859484948E-2</v>
      </c>
      <c r="P263" s="12">
        <f t="shared" si="26"/>
        <v>-4773.0829573075125</v>
      </c>
    </row>
    <row r="264" spans="1:16">
      <c r="A264" s="149">
        <v>0.38770714438306836</v>
      </c>
      <c r="B264" s="150">
        <f t="shared" si="27"/>
        <v>33.91975831912243</v>
      </c>
      <c r="C264" s="24">
        <f t="shared" si="24"/>
        <v>-5850.3717072712852</v>
      </c>
      <c r="H264" s="66">
        <v>12.4</v>
      </c>
      <c r="I264" s="10">
        <f t="shared" si="25"/>
        <v>0.54607549929423627</v>
      </c>
      <c r="J264" s="10">
        <f t="shared" si="28"/>
        <v>0.97003183338069565</v>
      </c>
      <c r="K264" s="66">
        <f t="shared" si="30"/>
        <v>2</v>
      </c>
      <c r="L264" s="5">
        <f t="shared" si="31"/>
        <v>1.7657020591488892E-2</v>
      </c>
      <c r="N264" s="5">
        <v>0.10422992085944861</v>
      </c>
      <c r="O264" s="19">
        <f t="shared" si="29"/>
        <v>0.10985560453680732</v>
      </c>
      <c r="P264" s="12">
        <f t="shared" si="26"/>
        <v>-4171.768209141881</v>
      </c>
    </row>
    <row r="265" spans="1:16">
      <c r="A265" s="149">
        <v>0.48707541123691517</v>
      </c>
      <c r="B265" s="150">
        <f t="shared" si="27"/>
        <v>36.494994221069042</v>
      </c>
      <c r="C265" s="24">
        <f t="shared" si="24"/>
        <v>-5850.3717072712852</v>
      </c>
      <c r="H265" s="66">
        <v>12.45</v>
      </c>
      <c r="I265" s="10">
        <f t="shared" si="25"/>
        <v>0.54474496721308474</v>
      </c>
      <c r="J265" s="10">
        <f t="shared" si="28"/>
        <v>0.96980483473445556</v>
      </c>
      <c r="K265" s="66">
        <f t="shared" si="30"/>
        <v>4</v>
      </c>
      <c r="L265" s="5">
        <f t="shared" si="31"/>
        <v>3.5219753526700807E-2</v>
      </c>
      <c r="N265" s="5">
        <v>7.4234998871485006E-2</v>
      </c>
      <c r="O265" s="19">
        <f t="shared" si="29"/>
        <v>7.7059883615690383E-2</v>
      </c>
      <c r="P265" s="12">
        <f t="shared" si="26"/>
        <v>-4975.8251714939115</v>
      </c>
    </row>
    <row r="266" spans="1:16">
      <c r="A266" s="149">
        <v>0.94592120120853296</v>
      </c>
      <c r="B266" s="150">
        <f t="shared" si="27"/>
        <v>48.925943936077282</v>
      </c>
      <c r="C266" s="24">
        <f t="shared" si="24"/>
        <v>-5850.3717072712852</v>
      </c>
      <c r="H266" s="66">
        <v>12.5</v>
      </c>
      <c r="I266" s="10">
        <f t="shared" si="25"/>
        <v>0.54341767701995292</v>
      </c>
      <c r="J266" s="10">
        <f t="shared" si="28"/>
        <v>0.96957654890643885</v>
      </c>
      <c r="K266" s="66">
        <f t="shared" si="30"/>
        <v>2</v>
      </c>
      <c r="L266" s="5">
        <f t="shared" si="31"/>
        <v>1.7562834529991994E-2</v>
      </c>
      <c r="N266" s="5">
        <v>3.2059732527282905E-2</v>
      </c>
      <c r="O266" s="19">
        <f t="shared" si="29"/>
        <v>3.2579182027208997E-2</v>
      </c>
      <c r="P266" s="12">
        <f t="shared" si="26"/>
        <v>-6549.459827885471</v>
      </c>
    </row>
    <row r="267" spans="1:16">
      <c r="A267" s="149">
        <v>0.66740928373058261</v>
      </c>
      <c r="B267" s="150">
        <f t="shared" si="27"/>
        <v>40.695432045332431</v>
      </c>
      <c r="C267" s="24">
        <f t="shared" si="24"/>
        <v>-5850.3717072712852</v>
      </c>
      <c r="H267" s="66">
        <v>12.55</v>
      </c>
      <c r="I267" s="10">
        <f t="shared" si="25"/>
        <v>0.54209362081586676</v>
      </c>
      <c r="J267" s="10">
        <f t="shared" si="28"/>
        <v>0.96934696891605987</v>
      </c>
      <c r="K267" s="66">
        <f t="shared" si="30"/>
        <v>4</v>
      </c>
      <c r="L267" s="5">
        <f t="shared" si="31"/>
        <v>3.5031787213772828E-2</v>
      </c>
      <c r="N267" s="5">
        <v>6.1695898191042944E-2</v>
      </c>
      <c r="O267" s="19">
        <f t="shared" si="29"/>
        <v>6.3638841045860151E-2</v>
      </c>
      <c r="P267" s="12">
        <f t="shared" si="26"/>
        <v>-5381.2868574491076</v>
      </c>
    </row>
    <row r="268" spans="1:16">
      <c r="A268" s="149">
        <v>0.60304574724570448</v>
      </c>
      <c r="B268" s="150">
        <f t="shared" si="27"/>
        <v>39.221492510717809</v>
      </c>
      <c r="C268" s="24">
        <f t="shared" si="24"/>
        <v>-5850.3717072712852</v>
      </c>
      <c r="H268" s="66">
        <v>12.6</v>
      </c>
      <c r="I268" s="10">
        <f t="shared" si="25"/>
        <v>0.54077279072109918</v>
      </c>
      <c r="J268" s="10">
        <f t="shared" si="28"/>
        <v>0.96911608774864921</v>
      </c>
      <c r="K268" s="66">
        <f t="shared" si="30"/>
        <v>2</v>
      </c>
      <c r="L268" s="5">
        <f t="shared" si="31"/>
        <v>1.7469053710151689E-2</v>
      </c>
      <c r="N268" s="5">
        <v>1.7548650200420526E-2</v>
      </c>
      <c r="O268" s="19">
        <f t="shared" si="29"/>
        <v>1.7703532427230995E-2</v>
      </c>
      <c r="P268" s="12">
        <f t="shared" si="26"/>
        <v>-7253.4972938539668</v>
      </c>
    </row>
    <row r="269" spans="1:16">
      <c r="A269" s="149">
        <v>0.81347087008270513</v>
      </c>
      <c r="B269" s="150">
        <f t="shared" si="27"/>
        <v>44.255916675827976</v>
      </c>
      <c r="C269" s="24">
        <f t="shared" si="24"/>
        <v>-5850.3717072712852</v>
      </c>
      <c r="H269" s="66">
        <v>12.65</v>
      </c>
      <c r="I269" s="10">
        <f t="shared" si="25"/>
        <v>0.53945517887512151</v>
      </c>
      <c r="J269" s="10">
        <f t="shared" si="28"/>
        <v>0.96888389835533284</v>
      </c>
      <c r="K269" s="66">
        <f t="shared" si="30"/>
        <v>4</v>
      </c>
      <c r="L269" s="5">
        <f t="shared" si="31"/>
        <v>3.484462911310008E-2</v>
      </c>
      <c r="N269" s="5">
        <v>1.815700711371028E-2</v>
      </c>
      <c r="O269" s="19">
        <f t="shared" si="29"/>
        <v>1.8322847770146922E-2</v>
      </c>
      <c r="P269" s="12">
        <f t="shared" si="26"/>
        <v>-7221.9461015468269</v>
      </c>
    </row>
    <row r="270" spans="1:16">
      <c r="A270" s="149">
        <v>0.67656483657338173</v>
      </c>
      <c r="B270" s="150">
        <f t="shared" si="27"/>
        <v>40.906293025063661</v>
      </c>
      <c r="C270" s="24">
        <f t="shared" si="24"/>
        <v>-5850.3717072712852</v>
      </c>
      <c r="H270" s="66">
        <v>12.7</v>
      </c>
      <c r="I270" s="10">
        <f t="shared" si="25"/>
        <v>0.53814077743655786</v>
      </c>
      <c r="J270" s="10">
        <f t="shared" si="28"/>
        <v>0.96865039365291217</v>
      </c>
      <c r="K270" s="66">
        <f t="shared" si="30"/>
        <v>2</v>
      </c>
      <c r="L270" s="5">
        <f t="shared" si="31"/>
        <v>1.7375675863486865E-2</v>
      </c>
      <c r="N270" s="5">
        <v>5.2180279860418524E-2</v>
      </c>
      <c r="O270" s="19">
        <f t="shared" si="29"/>
        <v>5.3565662064013919E-2</v>
      </c>
      <c r="P270" s="12">
        <f t="shared" si="26"/>
        <v>-5721.6550941970736</v>
      </c>
    </row>
    <row r="271" spans="1:16">
      <c r="A271" s="149">
        <v>0.4651631214331492</v>
      </c>
      <c r="B271" s="150">
        <f t="shared" si="27"/>
        <v>35.953316838014004</v>
      </c>
      <c r="C271" s="24">
        <f t="shared" si="24"/>
        <v>-5850.3717072712852</v>
      </c>
      <c r="H271" s="66">
        <v>12.75</v>
      </c>
      <c r="I271" s="10">
        <f t="shared" si="25"/>
        <v>0.53682957858313818</v>
      </c>
      <c r="J271" s="10">
        <f t="shared" si="28"/>
        <v>0.96841556652374361</v>
      </c>
      <c r="K271" s="66">
        <f t="shared" si="30"/>
        <v>4</v>
      </c>
      <c r="L271" s="5">
        <f t="shared" si="31"/>
        <v>3.4658274698019485E-2</v>
      </c>
      <c r="N271" s="5">
        <v>3.2869523417626625E-2</v>
      </c>
      <c r="O271" s="19">
        <f t="shared" si="29"/>
        <v>3.3415693896506227E-2</v>
      </c>
      <c r="P271" s="12">
        <f t="shared" si="26"/>
        <v>-6512.9997241921856</v>
      </c>
    </row>
    <row r="272" spans="1:16">
      <c r="A272" s="149">
        <v>0.88320566423535873</v>
      </c>
      <c r="B272" s="150">
        <f t="shared" si="27"/>
        <v>46.333834330592097</v>
      </c>
      <c r="C272" s="24">
        <f t="shared" ref="C272:C335" si="32">IF($B272&lt;15,B$8*(B$10^$B272)-B$7*(1-B$10^$B272)/B$11, -B$7*(1-B$10^15)/B$11)</f>
        <v>-5850.3717072712852</v>
      </c>
      <c r="H272" s="66">
        <v>12.8</v>
      </c>
      <c r="I272" s="10">
        <f t="shared" ref="I272:I316" si="33">B$10^H272</f>
        <v>0.53552157451165161</v>
      </c>
      <c r="J272" s="10">
        <f t="shared" si="28"/>
        <v>0.96817940981561845</v>
      </c>
      <c r="K272" s="66">
        <f t="shared" si="30"/>
        <v>2</v>
      </c>
      <c r="L272" s="5">
        <f t="shared" si="31"/>
        <v>1.7282698731807388E-2</v>
      </c>
      <c r="N272" s="5">
        <v>2.6431934630963966E-3</v>
      </c>
      <c r="O272" s="19">
        <f t="shared" si="29"/>
        <v>2.6466897787389421E-3</v>
      </c>
      <c r="P272" s="12">
        <f t="shared" ref="P272:P335" si="34">IF($B272&lt;15,B$8*((1+O272)^-$B272)-B$7*(1-(1+O272)^-$B272)/LN(1+O272), -B$7*(1-(1+O272)^-15)/LN(1+O272))</f>
        <v>-8088.5925887789335</v>
      </c>
    </row>
    <row r="273" spans="1:16">
      <c r="A273" s="149">
        <v>2.5208288827173683E-2</v>
      </c>
      <c r="B273" s="150">
        <f t="shared" ref="B273:B336" si="35">LN(1-LN(B$4)*(LN(1-A273)/(B$3*B$4^50)))/LN(B$4)</f>
        <v>11.280495155543848</v>
      </c>
      <c r="C273" s="24">
        <f t="shared" si="32"/>
        <v>110575.04623268511</v>
      </c>
      <c r="H273" s="66">
        <v>12.85</v>
      </c>
      <c r="I273" s="10">
        <f t="shared" si="33"/>
        <v>0.53421675743790009</v>
      </c>
      <c r="J273" s="10">
        <f t="shared" ref="J273:J316" si="36">B$9^((B$4^B$6)*((B$4^H273)-1))</f>
        <v>0.96794191634164328</v>
      </c>
      <c r="K273" s="66">
        <f t="shared" si="30"/>
        <v>4</v>
      </c>
      <c r="L273" s="5">
        <f t="shared" si="31"/>
        <v>3.4472719462417326E-2</v>
      </c>
      <c r="N273" s="5">
        <v>4.4298408349401144E-2</v>
      </c>
      <c r="O273" s="19">
        <f t="shared" ref="O273:O336" si="37">EXP(N273)-1</f>
        <v>4.5294232879303342E-2</v>
      </c>
      <c r="P273" s="12">
        <f t="shared" si="34"/>
        <v>116458.52517574336</v>
      </c>
    </row>
    <row r="274" spans="1:16">
      <c r="A274" s="149">
        <v>0.66814172795800653</v>
      </c>
      <c r="B274" s="150">
        <f t="shared" si="35"/>
        <v>40.712277812210736</v>
      </c>
      <c r="C274" s="24">
        <f t="shared" si="32"/>
        <v>-5850.3717072712852</v>
      </c>
      <c r="H274" s="66">
        <v>12.9</v>
      </c>
      <c r="I274" s="10">
        <f t="shared" si="33"/>
        <v>0.53291511959665183</v>
      </c>
      <c r="J274" s="10">
        <f t="shared" si="36"/>
        <v>0.96770307888012042</v>
      </c>
      <c r="K274" s="66">
        <f t="shared" si="30"/>
        <v>2</v>
      </c>
      <c r="L274" s="5">
        <f t="shared" si="31"/>
        <v>1.7190120067181586E-2</v>
      </c>
      <c r="N274" s="5">
        <v>5.9665612477270771E-2</v>
      </c>
      <c r="O274" s="19">
        <f t="shared" si="37"/>
        <v>6.1481541011035423E-2</v>
      </c>
      <c r="P274" s="12">
        <f t="shared" si="34"/>
        <v>-5451.419226736557</v>
      </c>
    </row>
    <row r="275" spans="1:16">
      <c r="A275" s="149">
        <v>0.26038392284920803</v>
      </c>
      <c r="B275" s="150">
        <f t="shared" si="35"/>
        <v>29.887994786848491</v>
      </c>
      <c r="C275" s="24">
        <f t="shared" si="32"/>
        <v>-5850.3717072712852</v>
      </c>
      <c r="H275" s="66">
        <v>12.95</v>
      </c>
      <c r="I275" s="10">
        <f t="shared" si="33"/>
        <v>0.53161665324159568</v>
      </c>
      <c r="J275" s="10">
        <f t="shared" si="36"/>
        <v>0.96746289017442821</v>
      </c>
      <c r="K275" s="66">
        <f t="shared" ref="K275:K315" si="38">IF(K274=4,2,4)</f>
        <v>4</v>
      </c>
      <c r="L275" s="5">
        <f t="shared" ref="L275:L316" si="39">I275*J275*K275*0.05/3</f>
        <v>3.4287958920664739E-2</v>
      </c>
      <c r="N275" s="5">
        <v>3.5344761224347168E-2</v>
      </c>
      <c r="O275" s="19">
        <f t="shared" si="37"/>
        <v>3.597681187249635E-2</v>
      </c>
      <c r="P275" s="12">
        <f t="shared" si="34"/>
        <v>-6403.2899874525701</v>
      </c>
    </row>
    <row r="276" spans="1:16">
      <c r="A276" s="149">
        <v>0.23661000396740622</v>
      </c>
      <c r="B276" s="150">
        <f t="shared" si="35"/>
        <v>28.976583189617447</v>
      </c>
      <c r="C276" s="24">
        <f t="shared" si="32"/>
        <v>-5850.3717072712852</v>
      </c>
      <c r="H276" s="66">
        <v>13</v>
      </c>
      <c r="I276" s="10">
        <f t="shared" si="33"/>
        <v>0.53032135064529451</v>
      </c>
      <c r="J276" s="10">
        <f t="shared" si="36"/>
        <v>0.96722134293290252</v>
      </c>
      <c r="K276" s="66">
        <f t="shared" si="38"/>
        <v>2</v>
      </c>
      <c r="L276" s="5">
        <f t="shared" si="39"/>
        <v>1.7097937631904415E-2</v>
      </c>
      <c r="N276" s="5">
        <v>6.2421602999289463E-2</v>
      </c>
      <c r="O276" s="19">
        <f t="shared" si="37"/>
        <v>6.4411009016160925E-2</v>
      </c>
      <c r="P276" s="12">
        <f t="shared" si="34"/>
        <v>-5356.5345881994244</v>
      </c>
    </row>
    <row r="277" spans="1:16">
      <c r="A277" s="149">
        <v>0.6012146366771447</v>
      </c>
      <c r="B277" s="150">
        <f t="shared" si="35"/>
        <v>39.179514495894502</v>
      </c>
      <c r="C277" s="24">
        <f t="shared" si="32"/>
        <v>-5850.3717072712852</v>
      </c>
      <c r="H277" s="66">
        <v>13.05</v>
      </c>
      <c r="I277" s="10">
        <f t="shared" si="33"/>
        <v>0.52902920409913889</v>
      </c>
      <c r="J277" s="10">
        <f t="shared" si="36"/>
        <v>0.96697842982871718</v>
      </c>
      <c r="K277" s="66">
        <f t="shared" si="38"/>
        <v>4</v>
      </c>
      <c r="L277" s="5">
        <f t="shared" si="39"/>
        <v>3.4103988607554758E-2</v>
      </c>
      <c r="N277" s="5">
        <v>2.0023942804196851E-2</v>
      </c>
      <c r="O277" s="19">
        <f t="shared" si="37"/>
        <v>2.0225766800102907E-2</v>
      </c>
      <c r="P277" s="12">
        <f t="shared" si="34"/>
        <v>-7126.2830795966793</v>
      </c>
    </row>
    <row r="278" spans="1:16">
      <c r="A278" s="149">
        <v>0.47083956419568468</v>
      </c>
      <c r="B278" s="150">
        <f t="shared" si="35"/>
        <v>36.094797166964085</v>
      </c>
      <c r="C278" s="24">
        <f t="shared" si="32"/>
        <v>-5850.3717072712852</v>
      </c>
      <c r="H278" s="66">
        <v>13.1</v>
      </c>
      <c r="I278" s="10">
        <f t="shared" si="33"/>
        <v>0.52774020591330251</v>
      </c>
      <c r="J278" s="10">
        <f t="shared" si="36"/>
        <v>0.96673414349976594</v>
      </c>
      <c r="K278" s="66">
        <f t="shared" si="38"/>
        <v>2</v>
      </c>
      <c r="L278" s="5">
        <f t="shared" si="39"/>
        <v>1.7006149198466224E-2</v>
      </c>
      <c r="N278" s="5">
        <v>8.5847152556321818E-2</v>
      </c>
      <c r="O278" s="19">
        <f t="shared" si="37"/>
        <v>8.9639766923307995E-2</v>
      </c>
      <c r="P278" s="12">
        <f t="shared" si="34"/>
        <v>-4639.100367665872</v>
      </c>
    </row>
    <row r="279" spans="1:16">
      <c r="A279" s="149">
        <v>0.94192327646717733</v>
      </c>
      <c r="B279" s="150">
        <f t="shared" si="35"/>
        <v>48.716464274491734</v>
      </c>
      <c r="C279" s="24">
        <f t="shared" si="32"/>
        <v>-5850.3717072712852</v>
      </c>
      <c r="H279" s="66">
        <v>13.15</v>
      </c>
      <c r="I279" s="10">
        <f t="shared" si="33"/>
        <v>0.52645434841669503</v>
      </c>
      <c r="J279" s="10">
        <f t="shared" si="36"/>
        <v>0.96648847654854386</v>
      </c>
      <c r="K279" s="66">
        <f t="shared" si="38"/>
        <v>4</v>
      </c>
      <c r="L279" s="5">
        <f t="shared" si="39"/>
        <v>3.3920804078240531E-2</v>
      </c>
      <c r="N279" s="5">
        <v>6.4657542063410803E-2</v>
      </c>
      <c r="O279" s="19">
        <f t="shared" si="37"/>
        <v>6.6793629876385152E-2</v>
      </c>
      <c r="P279" s="12">
        <f t="shared" si="34"/>
        <v>-5281.2986635200332</v>
      </c>
    </row>
    <row r="280" spans="1:16">
      <c r="A280" s="149">
        <v>0.87813959166234323</v>
      </c>
      <c r="B280" s="150">
        <f t="shared" si="35"/>
        <v>46.164997277651658</v>
      </c>
      <c r="C280" s="24">
        <f t="shared" si="32"/>
        <v>-5850.3717072712852</v>
      </c>
      <c r="H280" s="66">
        <v>13.2</v>
      </c>
      <c r="I280" s="10">
        <f t="shared" si="33"/>
        <v>0.52517162395691719</v>
      </c>
      <c r="J280" s="10">
        <f t="shared" si="36"/>
        <v>0.96624142154202963</v>
      </c>
      <c r="K280" s="66">
        <f t="shared" si="38"/>
        <v>2</v>
      </c>
      <c r="L280" s="5">
        <f t="shared" si="39"/>
        <v>1.6914752549522266E-2</v>
      </c>
      <c r="N280" s="5">
        <v>0.10960441609052941</v>
      </c>
      <c r="O280" s="19">
        <f t="shared" si="37"/>
        <v>0.11583657614548337</v>
      </c>
      <c r="P280" s="12">
        <f t="shared" si="34"/>
        <v>-4048.595257981498</v>
      </c>
    </row>
    <row r="281" spans="1:16">
      <c r="A281" s="149">
        <v>0.75304422132023074</v>
      </c>
      <c r="B281" s="150">
        <f t="shared" si="35"/>
        <v>42.712631875554059</v>
      </c>
      <c r="C281" s="24">
        <f t="shared" si="32"/>
        <v>-5850.3717072712852</v>
      </c>
      <c r="H281" s="66">
        <v>13.25</v>
      </c>
      <c r="I281" s="10">
        <f t="shared" si="33"/>
        <v>0.52389202490021491</v>
      </c>
      <c r="J281" s="10">
        <f t="shared" si="36"/>
        <v>0.96599297101156723</v>
      </c>
      <c r="K281" s="66">
        <f t="shared" si="38"/>
        <v>4</v>
      </c>
      <c r="L281" s="5">
        <f t="shared" si="39"/>
        <v>3.3738400908174974E-2</v>
      </c>
      <c r="N281" s="5">
        <v>3.3952833811905295E-2</v>
      </c>
      <c r="O281" s="19">
        <f t="shared" si="37"/>
        <v>3.4535810466733041E-2</v>
      </c>
      <c r="P281" s="12">
        <f t="shared" si="34"/>
        <v>-6464.6646203432383</v>
      </c>
    </row>
    <row r="282" spans="1:16">
      <c r="A282" s="149">
        <v>0.38200018311105688</v>
      </c>
      <c r="B282" s="150">
        <f t="shared" si="35"/>
        <v>33.760660659235519</v>
      </c>
      <c r="C282" s="24">
        <f t="shared" si="32"/>
        <v>-5850.3717072712852</v>
      </c>
      <c r="H282" s="66">
        <v>13.3</v>
      </c>
      <c r="I282" s="10">
        <f t="shared" si="33"/>
        <v>0.52261554363143414</v>
      </c>
      <c r="J282" s="10">
        <f t="shared" si="36"/>
        <v>0.96574311745274899</v>
      </c>
      <c r="K282" s="66">
        <f t="shared" si="38"/>
        <v>2</v>
      </c>
      <c r="L282" s="5">
        <f t="shared" si="39"/>
        <v>1.6823745477862816E-2</v>
      </c>
      <c r="N282" s="5">
        <v>6.7109189737617272E-2</v>
      </c>
      <c r="O282" s="19">
        <f t="shared" si="37"/>
        <v>6.941224064181295E-2</v>
      </c>
      <c r="P282" s="12">
        <f t="shared" si="34"/>
        <v>-5200.5533215285413</v>
      </c>
    </row>
    <row r="283" spans="1:16">
      <c r="A283" s="149">
        <v>0.32135990478225046</v>
      </c>
      <c r="B283" s="150">
        <f t="shared" si="35"/>
        <v>31.962736409493605</v>
      </c>
      <c r="C283" s="24">
        <f t="shared" si="32"/>
        <v>-5850.3717072712852</v>
      </c>
      <c r="H283" s="66">
        <v>13.35</v>
      </c>
      <c r="I283" s="10">
        <f t="shared" si="33"/>
        <v>0.52134217255397552</v>
      </c>
      <c r="J283" s="10">
        <f t="shared" si="36"/>
        <v>0.96549185332529863</v>
      </c>
      <c r="K283" s="66">
        <f t="shared" si="38"/>
        <v>4</v>
      </c>
      <c r="L283" s="5">
        <f t="shared" si="39"/>
        <v>3.3556774693051704E-2</v>
      </c>
      <c r="N283" s="5">
        <v>5.2139236865637942E-2</v>
      </c>
      <c r="O283" s="19">
        <f t="shared" si="37"/>
        <v>5.352242146141295E-2</v>
      </c>
      <c r="P283" s="12">
        <f t="shared" si="34"/>
        <v>-5723.1891968370537</v>
      </c>
    </row>
    <row r="284" spans="1:16">
      <c r="A284" s="149">
        <v>0.76210821863460187</v>
      </c>
      <c r="B284" s="150">
        <f t="shared" si="35"/>
        <v>42.935210648023656</v>
      </c>
      <c r="C284" s="24">
        <f t="shared" si="32"/>
        <v>-5850.3717072712852</v>
      </c>
      <c r="H284" s="66">
        <v>13.4</v>
      </c>
      <c r="I284" s="10">
        <f t="shared" si="33"/>
        <v>0.52007190408974879</v>
      </c>
      <c r="J284" s="10">
        <f t="shared" si="36"/>
        <v>0.96523917105295398</v>
      </c>
      <c r="K284" s="66">
        <f t="shared" si="38"/>
        <v>2</v>
      </c>
      <c r="L284" s="5">
        <f t="shared" si="39"/>
        <v>1.6733125786384018E-2</v>
      </c>
      <c r="N284" s="5">
        <v>7.1366044218972094E-2</v>
      </c>
      <c r="O284" s="19">
        <f t="shared" si="37"/>
        <v>7.3974276002159334E-2</v>
      </c>
      <c r="P284" s="12">
        <f t="shared" si="34"/>
        <v>-5064.5634432569095</v>
      </c>
    </row>
    <row r="285" spans="1:16">
      <c r="A285" s="149">
        <v>0.95004119998779257</v>
      </c>
      <c r="B285" s="150">
        <f t="shared" si="35"/>
        <v>49.152782310620303</v>
      </c>
      <c r="C285" s="24">
        <f t="shared" si="32"/>
        <v>-5850.3717072712852</v>
      </c>
      <c r="H285" s="66">
        <v>13.45</v>
      </c>
      <c r="I285" s="10">
        <f t="shared" si="33"/>
        <v>0.51880473067912836</v>
      </c>
      <c r="J285" s="10">
        <f t="shared" si="36"/>
        <v>0.96498506302335074</v>
      </c>
      <c r="K285" s="66">
        <f t="shared" si="38"/>
        <v>4</v>
      </c>
      <c r="L285" s="5">
        <f t="shared" si="39"/>
        <v>3.3375921048747412E-2</v>
      </c>
      <c r="N285" s="5">
        <v>2.4813917841252989E-2</v>
      </c>
      <c r="O285" s="19">
        <f t="shared" si="37"/>
        <v>2.5124345423877426E-2</v>
      </c>
      <c r="P285" s="12">
        <f t="shared" si="34"/>
        <v>-6888.6466299897002</v>
      </c>
    </row>
    <row r="286" spans="1:16">
      <c r="A286" s="149">
        <v>0.49604785302285836</v>
      </c>
      <c r="B286" s="150">
        <f t="shared" si="35"/>
        <v>36.713530670001035</v>
      </c>
      <c r="C286" s="24">
        <f t="shared" si="32"/>
        <v>-5850.3717072712852</v>
      </c>
      <c r="H286" s="66">
        <v>13.5</v>
      </c>
      <c r="I286" s="10">
        <f t="shared" si="33"/>
        <v>0.51754064478090744</v>
      </c>
      <c r="J286" s="10">
        <f t="shared" si="36"/>
        <v>0.96472952158790681</v>
      </c>
      <c r="K286" s="66">
        <f t="shared" si="38"/>
        <v>2</v>
      </c>
      <c r="L286" s="5">
        <f t="shared" si="39"/>
        <v>1.6642891288059389E-2</v>
      </c>
      <c r="N286" s="5">
        <v>3.8626282909841395E-2</v>
      </c>
      <c r="O286" s="19">
        <f t="shared" si="37"/>
        <v>3.9381976251024353E-2</v>
      </c>
      <c r="P286" s="12">
        <f t="shared" si="34"/>
        <v>-6261.780439702743</v>
      </c>
    </row>
    <row r="287" spans="1:16">
      <c r="A287" s="149">
        <v>0.10827967162083804</v>
      </c>
      <c r="B287" s="150">
        <f t="shared" si="35"/>
        <v>22.072350998228298</v>
      </c>
      <c r="C287" s="24">
        <f t="shared" si="32"/>
        <v>-5850.3717072712852</v>
      </c>
      <c r="H287" s="66">
        <v>13.55</v>
      </c>
      <c r="I287" s="10">
        <f t="shared" si="33"/>
        <v>0.51627963887225403</v>
      </c>
      <c r="J287" s="10">
        <f t="shared" si="36"/>
        <v>0.96447253906170616</v>
      </c>
      <c r="K287" s="66">
        <f t="shared" si="38"/>
        <v>4</v>
      </c>
      <c r="L287" s="5">
        <f t="shared" si="39"/>
        <v>3.3195835611265573E-2</v>
      </c>
      <c r="N287" s="5">
        <v>9.0947224132047269E-2</v>
      </c>
      <c r="O287" s="19">
        <f t="shared" si="37"/>
        <v>9.5211203011366541E-2</v>
      </c>
      <c r="P287" s="12">
        <f t="shared" si="34"/>
        <v>-4501.8349390115927</v>
      </c>
    </row>
    <row r="288" spans="1:16">
      <c r="A288" s="149">
        <v>0.28189947202978605</v>
      </c>
      <c r="B288" s="150">
        <f t="shared" si="35"/>
        <v>30.658357410349396</v>
      </c>
      <c r="C288" s="24">
        <f t="shared" si="32"/>
        <v>-5850.3717072712852</v>
      </c>
      <c r="H288" s="66">
        <v>13.6</v>
      </c>
      <c r="I288" s="10">
        <f t="shared" si="33"/>
        <v>0.51502170544866588</v>
      </c>
      <c r="J288" s="10">
        <f t="shared" si="36"/>
        <v>0.96421410772338378</v>
      </c>
      <c r="K288" s="66">
        <f t="shared" si="38"/>
        <v>2</v>
      </c>
      <c r="L288" s="5">
        <f t="shared" si="39"/>
        <v>1.6553039805912027E-2</v>
      </c>
      <c r="N288" s="5">
        <v>8.3337581119267284E-3</v>
      </c>
      <c r="O288" s="19">
        <f t="shared" si="37"/>
        <v>8.3685805407431868E-3</v>
      </c>
      <c r="P288" s="12">
        <f t="shared" si="34"/>
        <v>-7755.1802372231132</v>
      </c>
    </row>
    <row r="289" spans="1:16">
      <c r="A289" s="149">
        <v>0.94631794183172091</v>
      </c>
      <c r="B289" s="150">
        <f t="shared" si="35"/>
        <v>48.947279247102728</v>
      </c>
      <c r="C289" s="24">
        <f t="shared" si="32"/>
        <v>-5850.3717072712852</v>
      </c>
      <c r="H289" s="66">
        <v>13.65</v>
      </c>
      <c r="I289" s="10">
        <f t="shared" si="33"/>
        <v>0.51376683702392523</v>
      </c>
      <c r="J289" s="10">
        <f t="shared" si="36"/>
        <v>0.96395421981501062</v>
      </c>
      <c r="K289" s="66">
        <f t="shared" si="38"/>
        <v>4</v>
      </c>
      <c r="L289" s="5">
        <f t="shared" si="39"/>
        <v>3.3016514036681571E-2</v>
      </c>
      <c r="N289" s="5">
        <v>2.9761379616626074E-2</v>
      </c>
      <c r="O289" s="19">
        <f t="shared" si="37"/>
        <v>3.0208675832121612E-2</v>
      </c>
      <c r="P289" s="12">
        <f t="shared" si="34"/>
        <v>-6654.4973271017707</v>
      </c>
    </row>
    <row r="290" spans="1:16">
      <c r="A290" s="149">
        <v>0.24839014862514114</v>
      </c>
      <c r="B290" s="150">
        <f t="shared" si="35"/>
        <v>29.436818373087316</v>
      </c>
      <c r="C290" s="24">
        <f t="shared" si="32"/>
        <v>-5850.3717072712852</v>
      </c>
      <c r="H290" s="66">
        <v>13.7</v>
      </c>
      <c r="I290" s="10">
        <f t="shared" si="33"/>
        <v>0.51251502613005506</v>
      </c>
      <c r="J290" s="10">
        <f t="shared" si="36"/>
        <v>0.96369286754197947</v>
      </c>
      <c r="K290" s="66">
        <f t="shared" si="38"/>
        <v>2</v>
      </c>
      <c r="L290" s="5">
        <f t="shared" si="39"/>
        <v>1.6463569172987511E-2</v>
      </c>
      <c r="N290" s="5">
        <v>1.7561308320306127E-2</v>
      </c>
      <c r="O290" s="19">
        <f t="shared" si="37"/>
        <v>1.7716414722084961E-2</v>
      </c>
      <c r="P290" s="12">
        <f t="shared" si="34"/>
        <v>-7252.8388932367643</v>
      </c>
    </row>
    <row r="291" spans="1:16">
      <c r="A291" s="149">
        <v>0.40296639912106691</v>
      </c>
      <c r="B291" s="150">
        <f t="shared" si="35"/>
        <v>34.338043188094517</v>
      </c>
      <c r="C291" s="24">
        <f t="shared" si="32"/>
        <v>-5850.3717072712852</v>
      </c>
      <c r="H291" s="66">
        <v>13.75</v>
      </c>
      <c r="I291" s="10">
        <f t="shared" si="33"/>
        <v>0.51126626531727448</v>
      </c>
      <c r="J291" s="10">
        <f t="shared" si="36"/>
        <v>0.96343004307289026</v>
      </c>
      <c r="K291" s="66">
        <f t="shared" si="38"/>
        <v>4</v>
      </c>
      <c r="L291" s="5">
        <f t="shared" si="39"/>
        <v>3.2837952001089167E-2</v>
      </c>
      <c r="N291" s="5">
        <v>6.2241183693127825E-2</v>
      </c>
      <c r="O291" s="19">
        <f t="shared" si="37"/>
        <v>6.4218986043290238E-2</v>
      </c>
      <c r="P291" s="12">
        <f t="shared" si="34"/>
        <v>-5362.6729193663432</v>
      </c>
    </row>
    <row r="292" spans="1:16">
      <c r="A292" s="149">
        <v>0.41639454329050568</v>
      </c>
      <c r="B292" s="150">
        <f t="shared" si="35"/>
        <v>34.698189452938855</v>
      </c>
      <c r="C292" s="24">
        <f t="shared" si="32"/>
        <v>-5850.3717072712852</v>
      </c>
      <c r="H292" s="66">
        <v>13.8</v>
      </c>
      <c r="I292" s="10">
        <f t="shared" si="33"/>
        <v>0.51002054715395395</v>
      </c>
      <c r="J292" s="10">
        <f t="shared" si="36"/>
        <v>0.96316573853943743</v>
      </c>
      <c r="K292" s="66">
        <f t="shared" si="38"/>
        <v>2</v>
      </c>
      <c r="L292" s="5">
        <f t="shared" si="39"/>
        <v>1.6374477232327534E-2</v>
      </c>
      <c r="N292" s="5">
        <v>3.3828745879087366E-2</v>
      </c>
      <c r="O292" s="19">
        <f t="shared" si="37"/>
        <v>3.4407445021052085E-2</v>
      </c>
      <c r="P292" s="12">
        <f t="shared" si="34"/>
        <v>-6470.1758003755731</v>
      </c>
    </row>
    <row r="293" spans="1:16">
      <c r="A293" s="149">
        <v>0.46586504715109717</v>
      </c>
      <c r="B293" s="150">
        <f t="shared" si="35"/>
        <v>35.970857905356368</v>
      </c>
      <c r="C293" s="24">
        <f t="shared" si="32"/>
        <v>-5850.3717072712852</v>
      </c>
      <c r="H293" s="66">
        <v>13.85</v>
      </c>
      <c r="I293" s="10">
        <f t="shared" si="33"/>
        <v>0.50877786422657145</v>
      </c>
      <c r="J293" s="10">
        <f t="shared" si="36"/>
        <v>0.9628999460362957</v>
      </c>
      <c r="K293" s="66">
        <f t="shared" si="38"/>
        <v>4</v>
      </c>
      <c r="L293" s="5">
        <f t="shared" si="39"/>
        <v>3.2660145200548496E-2</v>
      </c>
      <c r="N293" s="5">
        <v>3.8788482194955579E-2</v>
      </c>
      <c r="O293" s="19">
        <f t="shared" si="37"/>
        <v>3.9550576937618542E-2</v>
      </c>
      <c r="P293" s="12">
        <f t="shared" si="34"/>
        <v>-6254.8998180712979</v>
      </c>
    </row>
    <row r="294" spans="1:16">
      <c r="A294" s="149">
        <v>0.98516800439466534</v>
      </c>
      <c r="B294" s="150">
        <f t="shared" si="35"/>
        <v>52.033893319914803</v>
      </c>
      <c r="C294" s="24">
        <f t="shared" si="32"/>
        <v>-5850.3717072712852</v>
      </c>
      <c r="H294" s="66">
        <v>13.9</v>
      </c>
      <c r="I294" s="10">
        <f t="shared" si="33"/>
        <v>0.50753820913966841</v>
      </c>
      <c r="J294" s="10">
        <f t="shared" si="36"/>
        <v>0.96263265762100836</v>
      </c>
      <c r="K294" s="66">
        <f t="shared" si="38"/>
        <v>2</v>
      </c>
      <c r="L294" s="5">
        <f t="shared" si="39"/>
        <v>1.6285761836944208E-2</v>
      </c>
      <c r="N294" s="5">
        <v>5.2010628175718013E-2</v>
      </c>
      <c r="O294" s="19">
        <f t="shared" si="37"/>
        <v>5.3386938035347109E-2</v>
      </c>
      <c r="P294" s="12">
        <f t="shared" si="34"/>
        <v>-5728.0001259333239</v>
      </c>
    </row>
    <row r="295" spans="1:16">
      <c r="A295" s="149">
        <v>0.1130710776085696</v>
      </c>
      <c r="B295" s="150">
        <f t="shared" si="35"/>
        <v>22.434024591751346</v>
      </c>
      <c r="C295" s="24">
        <f t="shared" si="32"/>
        <v>-5850.3717072712852</v>
      </c>
      <c r="H295" s="66">
        <v>13.95</v>
      </c>
      <c r="I295" s="10">
        <f t="shared" si="33"/>
        <v>0.50630157451580537</v>
      </c>
      <c r="J295" s="10">
        <f t="shared" si="36"/>
        <v>0.96236386531387441</v>
      </c>
      <c r="K295" s="66">
        <f t="shared" si="38"/>
        <v>4</v>
      </c>
      <c r="L295" s="5">
        <f t="shared" si="39"/>
        <v>3.2483089351035409E-2</v>
      </c>
      <c r="N295" s="5">
        <v>2.6262368416733808E-2</v>
      </c>
      <c r="O295" s="19">
        <f t="shared" si="37"/>
        <v>2.6610263251423127E-2</v>
      </c>
      <c r="P295" s="12">
        <f t="shared" si="34"/>
        <v>-6818.9339392926968</v>
      </c>
    </row>
    <row r="296" spans="1:16">
      <c r="A296" s="149">
        <v>0.10507522812585833</v>
      </c>
      <c r="B296" s="150">
        <f t="shared" si="35"/>
        <v>21.822713320555465</v>
      </c>
      <c r="C296" s="24">
        <f t="shared" si="32"/>
        <v>-5850.3717072712852</v>
      </c>
      <c r="H296" s="66">
        <v>14</v>
      </c>
      <c r="I296" s="10">
        <f t="shared" si="33"/>
        <v>0.50506795299551854</v>
      </c>
      <c r="J296" s="10">
        <f t="shared" si="36"/>
        <v>0.96209356109783717</v>
      </c>
      <c r="K296" s="66">
        <f t="shared" si="38"/>
        <v>2</v>
      </c>
      <c r="L296" s="5">
        <f t="shared" si="39"/>
        <v>1.6197420849795117E-2</v>
      </c>
      <c r="N296" s="5">
        <v>3.9786172189575156E-2</v>
      </c>
      <c r="O296" s="19">
        <f t="shared" si="37"/>
        <v>4.0588243695928394E-2</v>
      </c>
      <c r="P296" s="12">
        <f t="shared" si="34"/>
        <v>-6212.8092484380713</v>
      </c>
    </row>
    <row r="297" spans="1:16">
      <c r="A297" s="149">
        <v>0.20227668080690939</v>
      </c>
      <c r="B297" s="150">
        <f t="shared" si="35"/>
        <v>27.520750117401978</v>
      </c>
      <c r="C297" s="24">
        <f t="shared" si="32"/>
        <v>-5850.3717072712852</v>
      </c>
      <c r="H297" s="66">
        <v>14.05</v>
      </c>
      <c r="I297" s="10">
        <f t="shared" si="33"/>
        <v>0.5038373372372752</v>
      </c>
      <c r="J297" s="10">
        <f t="shared" si="36"/>
        <v>0.96182173691837314</v>
      </c>
      <c r="K297" s="66">
        <f t="shared" si="38"/>
        <v>4</v>
      </c>
      <c r="L297" s="5">
        <f t="shared" si="39"/>
        <v>3.2306780188392281E-2</v>
      </c>
      <c r="N297" s="5">
        <v>6.1011510362855917E-2</v>
      </c>
      <c r="O297" s="19">
        <f t="shared" si="37"/>
        <v>6.291114860978797E-2</v>
      </c>
      <c r="P297" s="12">
        <f t="shared" si="34"/>
        <v>-5404.7815512556626</v>
      </c>
    </row>
    <row r="298" spans="1:16">
      <c r="A298" s="149">
        <v>0.58894619586779384</v>
      </c>
      <c r="B298" s="150">
        <f t="shared" si="35"/>
        <v>38.897831965955177</v>
      </c>
      <c r="C298" s="24">
        <f t="shared" si="32"/>
        <v>-5850.3717072712852</v>
      </c>
      <c r="H298" s="66">
        <v>14.1</v>
      </c>
      <c r="I298" s="10">
        <f t="shared" si="33"/>
        <v>0.50260971991743097</v>
      </c>
      <c r="J298" s="10">
        <f t="shared" si="36"/>
        <v>0.96154838468338122</v>
      </c>
      <c r="K298" s="66">
        <f t="shared" si="38"/>
        <v>2</v>
      </c>
      <c r="L298" s="5">
        <f t="shared" si="39"/>
        <v>1.6109452143759081E-2</v>
      </c>
      <c r="N298" s="5">
        <v>4.9672081624645217E-2</v>
      </c>
      <c r="O298" s="19">
        <f t="shared" si="37"/>
        <v>5.0926421781698039E-2</v>
      </c>
      <c r="P298" s="12">
        <f t="shared" si="34"/>
        <v>-5816.4935456474223</v>
      </c>
    </row>
    <row r="299" spans="1:16">
      <c r="A299" s="149">
        <v>0.20041505172887356</v>
      </c>
      <c r="B299" s="150">
        <f t="shared" si="35"/>
        <v>27.436184755467753</v>
      </c>
      <c r="C299" s="24">
        <f t="shared" si="32"/>
        <v>-5850.3717072712852</v>
      </c>
      <c r="H299" s="66">
        <v>14.15</v>
      </c>
      <c r="I299" s="10">
        <f t="shared" si="33"/>
        <v>0.50138509373018569</v>
      </c>
      <c r="J299" s="10">
        <f t="shared" si="36"/>
        <v>0.96127349626307279</v>
      </c>
      <c r="K299" s="66">
        <f t="shared" si="38"/>
        <v>4</v>
      </c>
      <c r="L299" s="5">
        <f t="shared" si="39"/>
        <v>3.2131213468280274E-2</v>
      </c>
      <c r="N299" s="5">
        <v>5.3761695491753927E-2</v>
      </c>
      <c r="O299" s="19">
        <f t="shared" si="37"/>
        <v>5.523310538359949E-2</v>
      </c>
      <c r="P299" s="12">
        <f t="shared" si="34"/>
        <v>-5662.9892229787538</v>
      </c>
    </row>
    <row r="300" spans="1:16">
      <c r="A300" s="149">
        <v>0.13315225684377574</v>
      </c>
      <c r="B300" s="150">
        <f t="shared" si="35"/>
        <v>23.819628651497574</v>
      </c>
      <c r="C300" s="24">
        <f t="shared" si="32"/>
        <v>-5850.3717072712852</v>
      </c>
      <c r="H300" s="66">
        <v>14.2</v>
      </c>
      <c r="I300" s="10">
        <f t="shared" si="33"/>
        <v>0.50016345138754015</v>
      </c>
      <c r="J300" s="10">
        <f t="shared" si="36"/>
        <v>0.96099706348986191</v>
      </c>
      <c r="K300" s="66">
        <f t="shared" si="38"/>
        <v>2</v>
      </c>
      <c r="L300" s="5">
        <f t="shared" si="39"/>
        <v>1.6021853601612679E-2</v>
      </c>
      <c r="N300" s="5">
        <v>2.3350836451878423E-2</v>
      </c>
      <c r="O300" s="19">
        <f t="shared" si="37"/>
        <v>2.3625601731646517E-2</v>
      </c>
      <c r="P300" s="12">
        <f t="shared" si="34"/>
        <v>-6960.0630840750991</v>
      </c>
    </row>
    <row r="301" spans="1:16">
      <c r="A301" s="149">
        <v>0.28897976622821742</v>
      </c>
      <c r="B301" s="150">
        <f t="shared" si="35"/>
        <v>30.902009211573432</v>
      </c>
      <c r="C301" s="24">
        <f t="shared" si="32"/>
        <v>-5850.3717072712852</v>
      </c>
      <c r="H301" s="66">
        <v>14.25</v>
      </c>
      <c r="I301" s="10">
        <f t="shared" si="33"/>
        <v>0.49894478561925226</v>
      </c>
      <c r="J301" s="10">
        <f t="shared" si="36"/>
        <v>0.96071907815825652</v>
      </c>
      <c r="K301" s="66">
        <f t="shared" si="38"/>
        <v>4</v>
      </c>
      <c r="L301" s="5">
        <f t="shared" si="39"/>
        <v>3.1956384966133129E-2</v>
      </c>
      <c r="N301" s="5">
        <v>5.5141786740146928E-2</v>
      </c>
      <c r="O301" s="19">
        <f t="shared" si="37"/>
        <v>5.669042874565533E-2</v>
      </c>
      <c r="P301" s="12">
        <f t="shared" si="34"/>
        <v>-5612.491886288768</v>
      </c>
    </row>
    <row r="302" spans="1:16">
      <c r="A302" s="149">
        <v>0.69319742423780017</v>
      </c>
      <c r="B302" s="150">
        <f t="shared" si="35"/>
        <v>41.29132251050504</v>
      </c>
      <c r="C302" s="24">
        <f t="shared" si="32"/>
        <v>-5850.3717072712852</v>
      </c>
      <c r="H302" s="66">
        <v>14.3</v>
      </c>
      <c r="I302" s="10">
        <f t="shared" si="33"/>
        <v>0.4977290891727944</v>
      </c>
      <c r="J302" s="10">
        <f t="shared" si="36"/>
        <v>0.96043953202475041</v>
      </c>
      <c r="K302" s="66">
        <f t="shared" si="38"/>
        <v>2</v>
      </c>
      <c r="L302" s="5">
        <f t="shared" si="39"/>
        <v>1.5934623116007466E-2</v>
      </c>
      <c r="N302" s="5">
        <v>0.100558956498513</v>
      </c>
      <c r="O302" s="19">
        <f t="shared" si="37"/>
        <v>0.1057888332200283</v>
      </c>
      <c r="P302" s="12">
        <f t="shared" si="34"/>
        <v>-4259.2233034475321</v>
      </c>
    </row>
    <row r="303" spans="1:16">
      <c r="A303" s="149">
        <v>0.16382335886715294</v>
      </c>
      <c r="B303" s="150">
        <f t="shared" si="35"/>
        <v>25.624419251050593</v>
      </c>
      <c r="C303" s="24">
        <f t="shared" si="32"/>
        <v>-5850.3717072712852</v>
      </c>
      <c r="H303" s="66">
        <v>14.35</v>
      </c>
      <c r="I303" s="10">
        <f t="shared" si="33"/>
        <v>0.49651635481331002</v>
      </c>
      <c r="J303" s="10">
        <f t="shared" si="36"/>
        <v>0.96015841680771474</v>
      </c>
      <c r="K303" s="66">
        <f t="shared" si="38"/>
        <v>4</v>
      </c>
      <c r="L303" s="5">
        <f t="shared" si="39"/>
        <v>3.1782290477112361E-2</v>
      </c>
      <c r="N303" s="5">
        <v>4.8617073909677858E-2</v>
      </c>
      <c r="O303" s="19">
        <f t="shared" si="37"/>
        <v>4.981827095547553E-2</v>
      </c>
      <c r="P303" s="12">
        <f t="shared" si="34"/>
        <v>-5857.0537227919831</v>
      </c>
    </row>
    <row r="304" spans="1:16">
      <c r="A304" s="149">
        <v>0.30710776085695973</v>
      </c>
      <c r="B304" s="150">
        <f t="shared" si="35"/>
        <v>31.506041685769006</v>
      </c>
      <c r="C304" s="24">
        <f t="shared" si="32"/>
        <v>-5850.3717072712852</v>
      </c>
      <c r="H304" s="66">
        <v>14.4</v>
      </c>
      <c r="I304" s="10">
        <f t="shared" si="33"/>
        <v>0.49530657532357025</v>
      </c>
      <c r="J304" s="10">
        <f t="shared" si="36"/>
        <v>0.95987572418729139</v>
      </c>
      <c r="K304" s="66">
        <f t="shared" si="38"/>
        <v>2</v>
      </c>
      <c r="L304" s="5">
        <f t="shared" si="39"/>
        <v>1.5847758589447973E-2</v>
      </c>
      <c r="N304" s="5">
        <v>6.6077881749275549E-2</v>
      </c>
      <c r="O304" s="19">
        <f t="shared" si="37"/>
        <v>6.8309915771133545E-2</v>
      </c>
      <c r="P304" s="12">
        <f t="shared" si="34"/>
        <v>-5234.2995641322541</v>
      </c>
    </row>
    <row r="305" spans="1:16">
      <c r="A305" s="149">
        <v>0.89663380840479756</v>
      </c>
      <c r="B305" s="150">
        <f t="shared" si="35"/>
        <v>46.801557137009461</v>
      </c>
      <c r="C305" s="24">
        <f t="shared" si="32"/>
        <v>-5850.3717072712852</v>
      </c>
      <c r="H305" s="66">
        <v>14.45</v>
      </c>
      <c r="I305" s="10">
        <f t="shared" si="33"/>
        <v>0.49409974350393171</v>
      </c>
      <c r="J305" s="10">
        <f t="shared" si="36"/>
        <v>0.95959144580528655</v>
      </c>
      <c r="K305" s="66">
        <f t="shared" si="38"/>
        <v>4</v>
      </c>
      <c r="L305" s="5">
        <f t="shared" si="39"/>
        <v>3.1608925816063942E-2</v>
      </c>
      <c r="N305" s="5">
        <v>6.5514978993756814E-2</v>
      </c>
      <c r="O305" s="19">
        <f t="shared" si="37"/>
        <v>6.770873039612435E-2</v>
      </c>
      <c r="P305" s="12">
        <f t="shared" si="34"/>
        <v>-5252.8531315221235</v>
      </c>
    </row>
    <row r="306" spans="1:16">
      <c r="A306" s="149">
        <v>0.51493881038850065</v>
      </c>
      <c r="B306" s="150">
        <f t="shared" si="35"/>
        <v>37.168221678374373</v>
      </c>
      <c r="C306" s="24">
        <f t="shared" si="32"/>
        <v>-5850.3717072712852</v>
      </c>
      <c r="H306" s="66">
        <v>14.5</v>
      </c>
      <c r="I306" s="10">
        <f t="shared" si="33"/>
        <v>0.49289585217229281</v>
      </c>
      <c r="J306" s="10">
        <f t="shared" si="36"/>
        <v>0.95930557326506471</v>
      </c>
      <c r="K306" s="66">
        <f t="shared" si="38"/>
        <v>2</v>
      </c>
      <c r="L306" s="5">
        <f t="shared" si="39"/>
        <v>1.5761257934270467E-2</v>
      </c>
      <c r="N306" s="5">
        <v>2.7975817553975504E-2</v>
      </c>
      <c r="O306" s="19">
        <f t="shared" si="37"/>
        <v>2.8370815598990351E-2</v>
      </c>
      <c r="P306" s="12">
        <f t="shared" si="34"/>
        <v>-6737.716984205379</v>
      </c>
    </row>
    <row r="307" spans="1:16">
      <c r="A307" s="149">
        <v>0.6649678029725028</v>
      </c>
      <c r="B307" s="150">
        <f t="shared" si="35"/>
        <v>40.639305625717</v>
      </c>
      <c r="C307" s="24">
        <f t="shared" si="32"/>
        <v>-5850.3717072712852</v>
      </c>
      <c r="H307" s="66">
        <v>14.55</v>
      </c>
      <c r="I307" s="10">
        <f t="shared" si="33"/>
        <v>0.49169489416405149</v>
      </c>
      <c r="J307" s="10">
        <f t="shared" si="36"/>
        <v>0.95901809813144334</v>
      </c>
      <c r="K307" s="66">
        <f t="shared" si="38"/>
        <v>4</v>
      </c>
      <c r="L307" s="5">
        <f t="shared" si="39"/>
        <v>3.143628681747667E-2</v>
      </c>
      <c r="N307" s="5">
        <v>6.8418620182579618E-2</v>
      </c>
      <c r="O307" s="19">
        <f t="shared" si="37"/>
        <v>7.0813478799662599E-2</v>
      </c>
      <c r="P307" s="12">
        <f t="shared" si="34"/>
        <v>-5158.1606993240466</v>
      </c>
    </row>
    <row r="308" spans="1:16">
      <c r="A308" s="149">
        <v>0.2031922360911893</v>
      </c>
      <c r="B308" s="150">
        <f t="shared" si="35"/>
        <v>27.562104386098571</v>
      </c>
      <c r="C308" s="24">
        <f t="shared" si="32"/>
        <v>-5850.3717072712852</v>
      </c>
      <c r="H308" s="66">
        <v>14.6</v>
      </c>
      <c r="I308" s="10">
        <f t="shared" si="33"/>
        <v>0.49049686233206274</v>
      </c>
      <c r="J308" s="10">
        <f t="shared" si="36"/>
        <v>0.95872901193058868</v>
      </c>
      <c r="K308" s="66">
        <f t="shared" si="38"/>
        <v>2</v>
      </c>
      <c r="L308" s="5">
        <f t="shared" si="39"/>
        <v>1.5675119072622416E-2</v>
      </c>
      <c r="N308" s="5">
        <v>3.5560360240320735E-2</v>
      </c>
      <c r="O308" s="19">
        <f t="shared" si="37"/>
        <v>3.6200191533059645E-2</v>
      </c>
      <c r="P308" s="12">
        <f t="shared" si="34"/>
        <v>-6393.8562702609279</v>
      </c>
    </row>
    <row r="309" spans="1:16">
      <c r="A309" s="149">
        <v>0.11343729972228156</v>
      </c>
      <c r="B309" s="150">
        <f t="shared" si="35"/>
        <v>22.461123252936197</v>
      </c>
      <c r="C309" s="24">
        <f t="shared" si="32"/>
        <v>-5850.3717072712852</v>
      </c>
      <c r="H309" s="66">
        <v>14.65</v>
      </c>
      <c r="I309" s="10">
        <f t="shared" si="33"/>
        <v>0.48930174954659544</v>
      </c>
      <c r="J309" s="10">
        <f t="shared" si="36"/>
        <v>0.95843830614991221</v>
      </c>
      <c r="K309" s="66">
        <f t="shared" si="38"/>
        <v>4</v>
      </c>
      <c r="L309" s="5">
        <f t="shared" si="39"/>
        <v>3.1264369335441834E-2</v>
      </c>
      <c r="N309" s="5">
        <v>3.7826739068928875E-2</v>
      </c>
      <c r="O309" s="19">
        <f t="shared" si="37"/>
        <v>3.8551276928074474E-2</v>
      </c>
      <c r="P309" s="12">
        <f t="shared" si="34"/>
        <v>-6295.8531360200923</v>
      </c>
    </row>
    <row r="310" spans="1:16">
      <c r="A310" s="149">
        <v>0.83870967741935487</v>
      </c>
      <c r="B310" s="150">
        <f t="shared" si="35"/>
        <v>44.957210268703477</v>
      </c>
      <c r="C310" s="24">
        <f t="shared" si="32"/>
        <v>-5850.3717072712852</v>
      </c>
      <c r="H310" s="66">
        <v>14.7</v>
      </c>
      <c r="I310" s="10">
        <f t="shared" si="33"/>
        <v>0.48810954869529055</v>
      </c>
      <c r="J310" s="10">
        <f t="shared" si="36"/>
        <v>0.95814597223796694</v>
      </c>
      <c r="K310" s="66">
        <f t="shared" si="38"/>
        <v>2</v>
      </c>
      <c r="L310" s="5">
        <f t="shared" si="39"/>
        <v>1.5589339936442815E-2</v>
      </c>
      <c r="N310" s="5">
        <v>7.5837100391378046E-2</v>
      </c>
      <c r="O310" s="19">
        <f t="shared" si="37"/>
        <v>7.8786825891286494E-2</v>
      </c>
      <c r="P310" s="12">
        <f t="shared" si="34"/>
        <v>-4927.2611792534144</v>
      </c>
    </row>
    <row r="311" spans="1:16">
      <c r="A311" s="149">
        <v>0.70259712515640738</v>
      </c>
      <c r="B311" s="150">
        <f t="shared" si="35"/>
        <v>41.51033963502951</v>
      </c>
      <c r="C311" s="24">
        <f t="shared" si="32"/>
        <v>-5850.3717072712852</v>
      </c>
      <c r="H311" s="66">
        <v>14.75</v>
      </c>
      <c r="I311" s="10">
        <f t="shared" si="33"/>
        <v>0.4869202526831185</v>
      </c>
      <c r="J311" s="10">
        <f t="shared" si="36"/>
        <v>0.95785200160434569</v>
      </c>
      <c r="K311" s="66">
        <f t="shared" si="38"/>
        <v>4</v>
      </c>
      <c r="L311" s="5">
        <f t="shared" si="39"/>
        <v>3.1093169243614591E-2</v>
      </c>
      <c r="N311" s="5">
        <v>1.6300537660878037E-2</v>
      </c>
      <c r="O311" s="19">
        <f t="shared" si="37"/>
        <v>1.6434116238792873E-2</v>
      </c>
      <c r="P311" s="12">
        <f t="shared" si="34"/>
        <v>-7318.8187069437136</v>
      </c>
    </row>
    <row r="312" spans="1:16">
      <c r="A312" s="149">
        <v>0.26886806848353528</v>
      </c>
      <c r="B312" s="150">
        <f t="shared" si="35"/>
        <v>30.197432092654932</v>
      </c>
      <c r="C312" s="24">
        <f t="shared" si="32"/>
        <v>-5850.3717072712852</v>
      </c>
      <c r="H312" s="66">
        <v>14.8</v>
      </c>
      <c r="I312" s="10">
        <f t="shared" si="33"/>
        <v>0.48573385443233702</v>
      </c>
      <c r="J312" s="10">
        <f t="shared" si="36"/>
        <v>0.95755638561957968</v>
      </c>
      <c r="K312" s="66">
        <f t="shared" si="38"/>
        <v>2</v>
      </c>
      <c r="L312" s="5">
        <f t="shared" si="39"/>
        <v>1.5503918467443192E-2</v>
      </c>
      <c r="N312" s="5">
        <v>1.2366602229245474E-2</v>
      </c>
      <c r="O312" s="19">
        <f t="shared" si="37"/>
        <v>1.2443384841483329E-2</v>
      </c>
      <c r="P312" s="12">
        <f t="shared" si="34"/>
        <v>-7530.014882230741</v>
      </c>
    </row>
    <row r="313" spans="1:16">
      <c r="A313" s="149">
        <v>0.76543473616748559</v>
      </c>
      <c r="B313" s="150">
        <f t="shared" si="35"/>
        <v>43.017542052685592</v>
      </c>
      <c r="C313" s="24">
        <f t="shared" si="32"/>
        <v>-5850.3717072712852</v>
      </c>
      <c r="H313" s="66">
        <v>14.85</v>
      </c>
      <c r="I313" s="10">
        <f t="shared" si="33"/>
        <v>0.48455034688244897</v>
      </c>
      <c r="J313" s="10">
        <f t="shared" si="36"/>
        <v>0.95725911561503707</v>
      </c>
      <c r="K313" s="66">
        <f t="shared" si="38"/>
        <v>4</v>
      </c>
      <c r="L313" s="5">
        <f t="shared" si="39"/>
        <v>3.0922682435176835E-2</v>
      </c>
      <c r="N313" s="5">
        <v>2.9238122530965485E-2</v>
      </c>
      <c r="O313" s="19">
        <f t="shared" si="37"/>
        <v>2.9669752852713671E-2</v>
      </c>
      <c r="P313" s="12">
        <f t="shared" si="34"/>
        <v>-6678.736747963484</v>
      </c>
    </row>
    <row r="314" spans="1:16">
      <c r="A314" s="149">
        <v>0.18127994628742333</v>
      </c>
      <c r="B314" s="150">
        <f t="shared" si="35"/>
        <v>26.526917805466677</v>
      </c>
      <c r="C314" s="24">
        <f t="shared" si="32"/>
        <v>-5850.3717072712852</v>
      </c>
      <c r="H314" s="66">
        <v>14.9</v>
      </c>
      <c r="I314" s="10">
        <f t="shared" si="33"/>
        <v>0.4833697229901604</v>
      </c>
      <c r="J314" s="10">
        <f t="shared" si="36"/>
        <v>0.95696018288282381</v>
      </c>
      <c r="K314" s="66">
        <f t="shared" si="38"/>
        <v>2</v>
      </c>
      <c r="L314" s="5">
        <f t="shared" si="39"/>
        <v>1.541885261708946E-2</v>
      </c>
      <c r="N314" s="5">
        <v>2.1754543419898256E-2</v>
      </c>
      <c r="O314" s="19">
        <f t="shared" si="37"/>
        <v>2.1992898799100935E-2</v>
      </c>
      <c r="P314" s="12">
        <f t="shared" si="34"/>
        <v>-7039.1470718919863</v>
      </c>
    </row>
    <row r="315" spans="1:16">
      <c r="A315" s="149">
        <v>0.24216437269203772</v>
      </c>
      <c r="B315" s="150">
        <f t="shared" si="35"/>
        <v>29.195803805418603</v>
      </c>
      <c r="C315" s="24">
        <f t="shared" si="32"/>
        <v>-5850.3717072712852</v>
      </c>
      <c r="H315" s="66">
        <v>14.95</v>
      </c>
      <c r="I315" s="10">
        <f t="shared" si="33"/>
        <v>0.48219197572933847</v>
      </c>
      <c r="J315" s="10">
        <f t="shared" si="36"/>
        <v>0.95665957867568419</v>
      </c>
      <c r="K315" s="66">
        <f t="shared" si="38"/>
        <v>4</v>
      </c>
      <c r="L315" s="5">
        <f t="shared" si="39"/>
        <v>3.0752904822801647E-2</v>
      </c>
      <c r="N315" s="5">
        <v>1.2040011776785833E-2</v>
      </c>
      <c r="O315" s="19">
        <f t="shared" si="37"/>
        <v>1.2112784486736361E-2</v>
      </c>
      <c r="P315" s="12">
        <f t="shared" si="34"/>
        <v>-7547.9179761660498</v>
      </c>
    </row>
    <row r="316" spans="1:16">
      <c r="A316" s="149">
        <v>0.5594958342234565</v>
      </c>
      <c r="B316" s="150">
        <f t="shared" si="35"/>
        <v>38.21721723610348</v>
      </c>
      <c r="C316" s="24">
        <f t="shared" si="32"/>
        <v>-5850.3717072712852</v>
      </c>
      <c r="H316" s="66">
        <v>15</v>
      </c>
      <c r="I316" s="10">
        <f t="shared" si="33"/>
        <v>0.48101709809097004</v>
      </c>
      <c r="J316" s="10">
        <f t="shared" si="36"/>
        <v>0.95635729420690252</v>
      </c>
      <c r="K316" s="66">
        <v>1</v>
      </c>
      <c r="L316" s="5">
        <f t="shared" si="39"/>
        <v>7.6670701732922718E-3</v>
      </c>
      <c r="N316" s="5">
        <v>4.1198812889102557E-2</v>
      </c>
      <c r="O316" s="19">
        <f t="shared" si="37"/>
        <v>4.2059259764382739E-2</v>
      </c>
      <c r="P316" s="12">
        <f t="shared" si="34"/>
        <v>-6153.8896751334951</v>
      </c>
    </row>
    <row r="317" spans="1:16">
      <c r="A317" s="149">
        <v>0.33170567949461349</v>
      </c>
      <c r="B317" s="150">
        <f t="shared" si="35"/>
        <v>32.285184651806546</v>
      </c>
      <c r="C317" s="24">
        <f t="shared" si="32"/>
        <v>-5850.3717072712852</v>
      </c>
      <c r="H317" s="66"/>
      <c r="I317" s="66"/>
      <c r="J317" s="54" t="s">
        <v>180</v>
      </c>
      <c r="K317" s="161"/>
      <c r="L317" s="162">
        <f>SUM(L16:L316)</f>
        <v>10.494653351294479</v>
      </c>
      <c r="N317" s="5">
        <v>-1.2742943047545849E-2</v>
      </c>
      <c r="O317" s="19">
        <f t="shared" si="37"/>
        <v>-1.266209552494435E-2</v>
      </c>
      <c r="P317" s="12">
        <f t="shared" si="34"/>
        <v>-9091.202128648878</v>
      </c>
    </row>
    <row r="318" spans="1:16">
      <c r="A318" s="149">
        <v>0.6701254310739464</v>
      </c>
      <c r="B318" s="150">
        <f t="shared" si="35"/>
        <v>40.757920824748425</v>
      </c>
      <c r="C318" s="24">
        <f t="shared" si="32"/>
        <v>-5850.3717072712852</v>
      </c>
      <c r="H318" s="66"/>
      <c r="I318" s="66"/>
      <c r="J318" s="54" t="s">
        <v>375</v>
      </c>
      <c r="K318" s="161"/>
      <c r="L318" s="162">
        <f>1-B11*L317-I316*J316</f>
        <v>2.7939929691525756E-2</v>
      </c>
      <c r="N318" s="5">
        <v>2.8612504545104459E-2</v>
      </c>
      <c r="O318" s="19">
        <f t="shared" si="37"/>
        <v>2.9025774399087823E-2</v>
      </c>
      <c r="P318" s="12">
        <f t="shared" si="34"/>
        <v>-6707.8786351125464</v>
      </c>
    </row>
    <row r="319" spans="1:16">
      <c r="A319" s="149">
        <v>0.70668660542619099</v>
      </c>
      <c r="B319" s="150">
        <f t="shared" si="35"/>
        <v>41.606008585607832</v>
      </c>
      <c r="C319" s="24">
        <f t="shared" si="32"/>
        <v>-5850.3717072712852</v>
      </c>
      <c r="H319" s="66"/>
      <c r="I319" s="66"/>
      <c r="J319" s="56"/>
      <c r="K319" s="48" t="s">
        <v>367</v>
      </c>
      <c r="L319" s="57">
        <f>B8*L318-B7*L317</f>
        <v>-184.07340490681327</v>
      </c>
      <c r="N319" s="5">
        <v>4.9899160623805075E-2</v>
      </c>
      <c r="O319" s="19">
        <f t="shared" si="37"/>
        <v>5.1165092199241036E-2</v>
      </c>
      <c r="P319" s="12">
        <f t="shared" si="34"/>
        <v>-5807.8156333764337</v>
      </c>
    </row>
    <row r="320" spans="1:16">
      <c r="A320" s="149">
        <v>0.89049958800012208</v>
      </c>
      <c r="B320" s="150">
        <f t="shared" si="35"/>
        <v>46.583991828443004</v>
      </c>
      <c r="C320" s="24">
        <f t="shared" si="32"/>
        <v>-5850.3717072712852</v>
      </c>
      <c r="H320" s="66"/>
      <c r="I320" s="66"/>
      <c r="J320" s="66"/>
      <c r="K320" s="66"/>
      <c r="L320" s="66"/>
      <c r="N320" s="5">
        <v>8.1953328569521547E-2</v>
      </c>
      <c r="O320" s="19">
        <f t="shared" si="37"/>
        <v>8.5405151236346954E-2</v>
      </c>
      <c r="P320" s="12">
        <f t="shared" si="34"/>
        <v>-4748.147580263796</v>
      </c>
    </row>
    <row r="321" spans="1:16">
      <c r="A321" s="149">
        <v>0.61238441114535969</v>
      </c>
      <c r="B321" s="150">
        <f t="shared" si="35"/>
        <v>39.43538519418555</v>
      </c>
      <c r="C321" s="24">
        <f t="shared" si="32"/>
        <v>-5850.3717072712852</v>
      </c>
      <c r="H321" s="66"/>
      <c r="I321" s="66"/>
      <c r="J321" s="66"/>
      <c r="K321" s="66"/>
      <c r="L321" s="66"/>
      <c r="N321" s="5">
        <v>7.8523909630472191E-2</v>
      </c>
      <c r="O321" s="19">
        <f t="shared" si="37"/>
        <v>8.1689217642573864E-2</v>
      </c>
      <c r="P321" s="12">
        <f t="shared" si="34"/>
        <v>-4847.3695673476377</v>
      </c>
    </row>
    <row r="322" spans="1:16">
      <c r="A322" s="149">
        <v>0.66530350657673876</v>
      </c>
      <c r="B322" s="150">
        <f t="shared" si="35"/>
        <v>40.647020687784007</v>
      </c>
      <c r="C322" s="24">
        <f t="shared" si="32"/>
        <v>-5850.3717072712852</v>
      </c>
      <c r="H322" s="66"/>
      <c r="I322" s="66"/>
      <c r="J322" s="66"/>
      <c r="K322" s="66"/>
      <c r="L322" s="66"/>
      <c r="N322" s="5">
        <v>4.0027799807045086E-2</v>
      </c>
      <c r="O322" s="19">
        <f t="shared" si="37"/>
        <v>4.0839708933269492E-2</v>
      </c>
      <c r="P322" s="12">
        <f t="shared" si="34"/>
        <v>-6202.6752452132459</v>
      </c>
    </row>
    <row r="323" spans="1:16">
      <c r="A323" s="149">
        <v>0.23505355998413038</v>
      </c>
      <c r="B323" s="150">
        <f t="shared" si="35"/>
        <v>28.914416032468253</v>
      </c>
      <c r="C323" s="24">
        <f t="shared" si="32"/>
        <v>-5850.3717072712852</v>
      </c>
      <c r="H323" s="66"/>
      <c r="I323" s="66"/>
      <c r="J323" s="66"/>
      <c r="K323" s="66"/>
      <c r="L323" s="66"/>
      <c r="N323" s="5">
        <v>5.7121412575848809E-2</v>
      </c>
      <c r="O323" s="19">
        <f t="shared" si="37"/>
        <v>5.8784352327523104E-2</v>
      </c>
      <c r="P323" s="12">
        <f t="shared" si="34"/>
        <v>-5541.1767578825247</v>
      </c>
    </row>
    <row r="324" spans="1:16">
      <c r="A324" s="149">
        <v>0.68739890743736076</v>
      </c>
      <c r="B324" s="150">
        <f t="shared" si="35"/>
        <v>41.156761208565769</v>
      </c>
      <c r="C324" s="24">
        <f t="shared" si="32"/>
        <v>-5850.3717072712852</v>
      </c>
      <c r="H324" s="66"/>
      <c r="I324" s="66"/>
      <c r="J324" s="66"/>
      <c r="K324" s="66"/>
      <c r="L324" s="66"/>
      <c r="N324" s="5">
        <v>5.6256112267998107E-2</v>
      </c>
      <c r="O324" s="19">
        <f t="shared" si="37"/>
        <v>5.7868582166747506E-2</v>
      </c>
      <c r="P324" s="12">
        <f t="shared" si="34"/>
        <v>-5572.1880176064979</v>
      </c>
    </row>
    <row r="325" spans="1:16">
      <c r="A325" s="149">
        <v>0.30411694692831204</v>
      </c>
      <c r="B325" s="150">
        <f t="shared" si="35"/>
        <v>31.408244561972978</v>
      </c>
      <c r="C325" s="24">
        <f t="shared" si="32"/>
        <v>-5850.3717072712852</v>
      </c>
      <c r="H325" s="66"/>
      <c r="I325" s="66"/>
      <c r="J325" s="66"/>
      <c r="K325" s="66"/>
      <c r="L325" s="66"/>
      <c r="N325" s="5">
        <v>1.7786907798959875E-2</v>
      </c>
      <c r="O325" s="19">
        <f t="shared" si="37"/>
        <v>1.7946036915013286E-2</v>
      </c>
      <c r="P325" s="12">
        <f t="shared" si="34"/>
        <v>-7241.1181963745476</v>
      </c>
    </row>
    <row r="326" spans="1:16">
      <c r="A326" s="149">
        <v>0.65721610156559951</v>
      </c>
      <c r="B326" s="150">
        <f t="shared" si="35"/>
        <v>40.461343587472321</v>
      </c>
      <c r="C326" s="24">
        <f t="shared" si="32"/>
        <v>-5850.3717072712852</v>
      </c>
      <c r="H326" s="66"/>
      <c r="I326" s="66"/>
      <c r="J326" s="66"/>
      <c r="K326" s="66"/>
      <c r="L326" s="66"/>
      <c r="N326" s="5">
        <v>2.8896161504359044E-2</v>
      </c>
      <c r="O326" s="19">
        <f t="shared" si="37"/>
        <v>2.931770612352369E-2</v>
      </c>
      <c r="P326" s="12">
        <f t="shared" si="34"/>
        <v>-6694.6438668236724</v>
      </c>
    </row>
    <row r="327" spans="1:16">
      <c r="A327" s="149">
        <v>0.11444441053498947</v>
      </c>
      <c r="B327" s="150">
        <f t="shared" si="35"/>
        <v>22.535258820104072</v>
      </c>
      <c r="C327" s="24">
        <f t="shared" si="32"/>
        <v>-5850.3717072712852</v>
      </c>
      <c r="H327" s="66"/>
      <c r="I327" s="66"/>
      <c r="J327" s="66"/>
      <c r="K327" s="66"/>
      <c r="L327" s="66"/>
      <c r="N327" s="5">
        <v>3.4862821118746071E-2</v>
      </c>
      <c r="O327" s="19">
        <f t="shared" si="37"/>
        <v>3.547765339028941E-2</v>
      </c>
      <c r="P327" s="12">
        <f t="shared" si="34"/>
        <v>-6424.448013686826</v>
      </c>
    </row>
    <row r="328" spans="1:16">
      <c r="A328" s="149">
        <v>0.31385235145115514</v>
      </c>
      <c r="B328" s="150">
        <f t="shared" si="35"/>
        <v>31.724045299797094</v>
      </c>
      <c r="C328" s="24">
        <f t="shared" si="32"/>
        <v>-5850.3717072712852</v>
      </c>
      <c r="H328" s="66"/>
      <c r="I328" s="66"/>
      <c r="J328" s="66"/>
      <c r="K328" s="66"/>
      <c r="L328" s="66"/>
      <c r="N328" s="5">
        <v>4.1005571071887972E-2</v>
      </c>
      <c r="O328" s="19">
        <f t="shared" si="37"/>
        <v>4.1857909794624115E-2</v>
      </c>
      <c r="P328" s="12">
        <f t="shared" si="34"/>
        <v>-6161.9030906887965</v>
      </c>
    </row>
    <row r="329" spans="1:16">
      <c r="A329" s="149">
        <v>0.14059877315591907</v>
      </c>
      <c r="B329" s="150">
        <f t="shared" si="35"/>
        <v>24.288080126321915</v>
      </c>
      <c r="C329" s="24">
        <f t="shared" si="32"/>
        <v>-5850.3717072712852</v>
      </c>
      <c r="H329" s="66"/>
      <c r="I329" s="66"/>
      <c r="J329" s="66"/>
      <c r="K329" s="66"/>
      <c r="L329" s="66"/>
      <c r="N329" s="5">
        <v>1.2591927722620314E-2</v>
      </c>
      <c r="O329" s="19">
        <f t="shared" si="37"/>
        <v>1.2671539850291458E-2</v>
      </c>
      <c r="P329" s="12">
        <f t="shared" si="34"/>
        <v>-7517.6964605074572</v>
      </c>
    </row>
    <row r="330" spans="1:16">
      <c r="A330" s="149">
        <v>0.47077852717673269</v>
      </c>
      <c r="B330" s="150">
        <f t="shared" si="35"/>
        <v>36.093280352723227</v>
      </c>
      <c r="C330" s="24">
        <f t="shared" si="32"/>
        <v>-5850.3717072712852</v>
      </c>
      <c r="H330" s="66"/>
      <c r="I330" s="66"/>
      <c r="J330" s="66"/>
      <c r="K330" s="66"/>
      <c r="L330" s="66"/>
      <c r="N330" s="5">
        <v>6.621046322573966E-2</v>
      </c>
      <c r="O330" s="19">
        <f t="shared" si="37"/>
        <v>6.8451563266797244E-2</v>
      </c>
      <c r="P330" s="12">
        <f t="shared" si="34"/>
        <v>-5229.9434618466576</v>
      </c>
    </row>
    <row r="331" spans="1:16">
      <c r="A331" s="149">
        <v>0.2925199133274331</v>
      </c>
      <c r="B331" s="150">
        <f t="shared" si="35"/>
        <v>31.022148026924803</v>
      </c>
      <c r="C331" s="24">
        <f t="shared" si="32"/>
        <v>-5850.3717072712852</v>
      </c>
      <c r="H331" s="66"/>
      <c r="I331" s="66"/>
      <c r="J331" s="66"/>
      <c r="K331" s="66"/>
      <c r="L331" s="66"/>
      <c r="N331" s="5">
        <v>7.2344993620514289E-2</v>
      </c>
      <c r="O331" s="19">
        <f t="shared" si="37"/>
        <v>7.5026157262183313E-2</v>
      </c>
      <c r="P331" s="12">
        <f t="shared" si="34"/>
        <v>-5034.0251889249521</v>
      </c>
    </row>
    <row r="332" spans="1:16">
      <c r="A332" s="149">
        <v>0.15976439710684531</v>
      </c>
      <c r="B332" s="150">
        <f t="shared" si="35"/>
        <v>25.403000354483211</v>
      </c>
      <c r="C332" s="24">
        <f t="shared" si="32"/>
        <v>-5850.3717072712852</v>
      </c>
      <c r="H332" s="66"/>
      <c r="I332" s="66"/>
      <c r="J332" s="66"/>
      <c r="K332" s="66"/>
      <c r="L332" s="66"/>
      <c r="N332" s="5">
        <v>2.4073609617640615E-2</v>
      </c>
      <c r="O332" s="19">
        <f t="shared" si="37"/>
        <v>2.4365718284337534E-2</v>
      </c>
      <c r="P332" s="12">
        <f t="shared" si="34"/>
        <v>-6924.6562486072362</v>
      </c>
    </row>
    <row r="333" spans="1:16">
      <c r="A333" s="149">
        <v>0.7534409619434187</v>
      </c>
      <c r="B333" s="150">
        <f t="shared" si="35"/>
        <v>42.722323184432646</v>
      </c>
      <c r="C333" s="24">
        <f t="shared" si="32"/>
        <v>-5850.3717072712852</v>
      </c>
      <c r="H333" s="66"/>
      <c r="I333" s="66"/>
      <c r="J333" s="66"/>
      <c r="K333" s="66"/>
      <c r="L333" s="66"/>
      <c r="N333" s="5">
        <v>0.11865776645857841</v>
      </c>
      <c r="O333" s="19">
        <f t="shared" si="37"/>
        <v>0.12598450267710293</v>
      </c>
      <c r="P333" s="12">
        <f t="shared" si="34"/>
        <v>-3853.4067282467058</v>
      </c>
    </row>
    <row r="334" spans="1:16">
      <c r="A334" s="149">
        <v>0.30747398297067169</v>
      </c>
      <c r="B334" s="150">
        <f t="shared" si="35"/>
        <v>31.517968589162429</v>
      </c>
      <c r="C334" s="24">
        <f t="shared" si="32"/>
        <v>-5850.3717072712852</v>
      </c>
      <c r="H334" s="66"/>
      <c r="I334" s="66"/>
      <c r="J334" s="66"/>
      <c r="K334" s="66"/>
      <c r="L334" s="66"/>
      <c r="N334" s="5">
        <v>4.6929050606318926E-2</v>
      </c>
      <c r="O334" s="19">
        <f t="shared" si="37"/>
        <v>4.8047648096572138E-2</v>
      </c>
      <c r="P334" s="12">
        <f t="shared" si="34"/>
        <v>-5922.7900161779407</v>
      </c>
    </row>
    <row r="335" spans="1:16">
      <c r="A335" s="149">
        <v>0.37611011078218942</v>
      </c>
      <c r="B335" s="150">
        <f t="shared" si="35"/>
        <v>33.594849231859349</v>
      </c>
      <c r="C335" s="24">
        <f t="shared" si="32"/>
        <v>-5850.3717072712852</v>
      </c>
      <c r="H335" s="66"/>
      <c r="I335" s="66"/>
      <c r="J335" s="66"/>
      <c r="K335" s="66"/>
      <c r="L335" s="66"/>
      <c r="N335" s="5">
        <v>4.1578172906280089E-2</v>
      </c>
      <c r="O335" s="19">
        <f t="shared" si="37"/>
        <v>4.2454650376019698E-2</v>
      </c>
      <c r="P335" s="12">
        <f t="shared" si="34"/>
        <v>-6138.2008106997573</v>
      </c>
    </row>
    <row r="336" spans="1:16">
      <c r="A336" s="149">
        <v>0.27033295693838311</v>
      </c>
      <c r="B336" s="150">
        <f t="shared" si="35"/>
        <v>30.25009132450527</v>
      </c>
      <c r="C336" s="24">
        <f t="shared" ref="C336:C399" si="40">IF($B336&lt;15,B$8*(B$10^$B336)-B$7*(1-B$10^$B336)/B$11, -B$7*(1-B$10^15)/B$11)</f>
        <v>-5850.3717072712852</v>
      </c>
      <c r="H336" s="66"/>
      <c r="I336" s="66"/>
      <c r="J336" s="66"/>
      <c r="K336" s="66"/>
      <c r="L336" s="66"/>
      <c r="N336" s="5">
        <v>1.2507869039051003E-2</v>
      </c>
      <c r="O336" s="19">
        <f t="shared" si="37"/>
        <v>1.2586419591362086E-2</v>
      </c>
      <c r="P336" s="12">
        <f t="shared" ref="P336:P399" si="41">IF($B336&lt;15,B$8*((1+O336)^-$B336)-B$7*(1-(1+O336)^-$B336)/LN(1+O336), -B$7*(1-(1+O336)^-15)/LN(1+O336))</f>
        <v>-7522.2887085298653</v>
      </c>
    </row>
    <row r="337" spans="1:16">
      <c r="A337" s="149">
        <v>0.90993987853633229</v>
      </c>
      <c r="B337" s="150">
        <f t="shared" ref="B337:B400" si="42">LN(1-LN(B$4)*(LN(1-A337)/(B$3*B$4^50)))/LN(B$4)</f>
        <v>47.300066427860628</v>
      </c>
      <c r="C337" s="24">
        <f t="shared" si="40"/>
        <v>-5850.3717072712852</v>
      </c>
      <c r="H337" s="66"/>
      <c r="I337" s="66"/>
      <c r="J337" s="66"/>
      <c r="K337" s="66"/>
      <c r="L337" s="66"/>
      <c r="N337" s="5">
        <v>8.6801059703371722E-2</v>
      </c>
      <c r="O337" s="19">
        <f t="shared" ref="O337:O400" si="43">EXP(N337)-1</f>
        <v>9.0679677995133101E-2</v>
      </c>
      <c r="P337" s="12">
        <f t="shared" si="41"/>
        <v>-4612.9549389253871</v>
      </c>
    </row>
    <row r="338" spans="1:16">
      <c r="A338" s="149">
        <v>0.65675832392345956</v>
      </c>
      <c r="B338" s="150">
        <f t="shared" si="42"/>
        <v>40.450844158567911</v>
      </c>
      <c r="C338" s="24">
        <f t="shared" si="40"/>
        <v>-5850.3717072712852</v>
      </c>
      <c r="H338" s="66"/>
      <c r="I338" s="66"/>
      <c r="J338" s="66"/>
      <c r="K338" s="66"/>
      <c r="L338" s="66"/>
      <c r="N338" s="5">
        <v>5.0202160943750643E-2</v>
      </c>
      <c r="O338" s="19">
        <f t="shared" si="43"/>
        <v>5.1483643816676805E-2</v>
      </c>
      <c r="P338" s="12">
        <f t="shared" si="41"/>
        <v>-5796.2650069852043</v>
      </c>
    </row>
    <row r="339" spans="1:16">
      <c r="A339" s="149">
        <v>2.252265999328593E-2</v>
      </c>
      <c r="B339" s="150">
        <f t="shared" si="42"/>
        <v>10.57974578490569</v>
      </c>
      <c r="C339" s="24">
        <f t="shared" si="40"/>
        <v>114813.01810997081</v>
      </c>
      <c r="H339" s="66"/>
      <c r="I339" s="66"/>
      <c r="J339" s="66"/>
      <c r="K339" s="66"/>
      <c r="L339" s="66"/>
      <c r="N339" s="5">
        <v>6.3395976846673877E-2</v>
      </c>
      <c r="O339" s="19">
        <f t="shared" si="43"/>
        <v>6.5448648708609225E-2</v>
      </c>
      <c r="P339" s="12">
        <f t="shared" si="41"/>
        <v>98029.338327887192</v>
      </c>
    </row>
    <row r="340" spans="1:16">
      <c r="A340" s="149">
        <v>0.79723502304147464</v>
      </c>
      <c r="B340" s="150">
        <f t="shared" si="42"/>
        <v>43.825497138741014</v>
      </c>
      <c r="C340" s="24">
        <f t="shared" si="40"/>
        <v>-5850.3717072712852</v>
      </c>
      <c r="H340" s="66"/>
      <c r="I340" s="66"/>
      <c r="J340" s="66"/>
      <c r="K340" s="66"/>
      <c r="L340" s="66"/>
      <c r="N340" s="5">
        <v>9.284912034412264E-2</v>
      </c>
      <c r="O340" s="19">
        <f t="shared" si="43"/>
        <v>9.7296163110175415E-2</v>
      </c>
      <c r="P340" s="12">
        <f t="shared" si="41"/>
        <v>-4452.2014550809045</v>
      </c>
    </row>
    <row r="341" spans="1:16">
      <c r="A341" s="149">
        <v>0.28437147129734186</v>
      </c>
      <c r="B341" s="150">
        <f t="shared" si="42"/>
        <v>30.743947027289693</v>
      </c>
      <c r="C341" s="24">
        <f t="shared" si="40"/>
        <v>-5850.3717072712852</v>
      </c>
      <c r="H341" s="66"/>
      <c r="I341" s="66"/>
      <c r="J341" s="66"/>
      <c r="K341" s="66"/>
      <c r="L341" s="66"/>
      <c r="N341" s="5">
        <v>1.4531743497296704E-2</v>
      </c>
      <c r="O341" s="19">
        <f t="shared" si="43"/>
        <v>1.463784259381784E-2</v>
      </c>
      <c r="P341" s="12">
        <f t="shared" si="41"/>
        <v>-7412.7691525746513</v>
      </c>
    </row>
    <row r="342" spans="1:16">
      <c r="A342" s="149">
        <v>0.60753196813867616</v>
      </c>
      <c r="B342" s="150">
        <f t="shared" si="42"/>
        <v>39.324281990130366</v>
      </c>
      <c r="C342" s="24">
        <f t="shared" si="40"/>
        <v>-5850.3717072712852</v>
      </c>
      <c r="H342" s="66"/>
      <c r="I342" s="66"/>
      <c r="J342" s="66"/>
      <c r="K342" s="66"/>
      <c r="L342" s="66"/>
      <c r="N342" s="5">
        <v>6.2306309993924516E-2</v>
      </c>
      <c r="O342" s="19">
        <f t="shared" si="43"/>
        <v>6.4288296946045653E-2</v>
      </c>
      <c r="P342" s="12">
        <f t="shared" si="41"/>
        <v>-5360.4559819845144</v>
      </c>
    </row>
    <row r="343" spans="1:16">
      <c r="A343" s="149">
        <v>0.12952055421613209</v>
      </c>
      <c r="B343" s="150">
        <f t="shared" si="42"/>
        <v>23.58297319181715</v>
      </c>
      <c r="C343" s="24">
        <f t="shared" si="40"/>
        <v>-5850.3717072712852</v>
      </c>
      <c r="H343" s="66"/>
      <c r="I343" s="66"/>
      <c r="J343" s="66"/>
      <c r="K343" s="66"/>
      <c r="L343" s="66"/>
      <c r="N343" s="5">
        <v>1.6933060075767573E-2</v>
      </c>
      <c r="O343" s="19">
        <f t="shared" si="43"/>
        <v>1.7077236973270571E-2</v>
      </c>
      <c r="P343" s="12">
        <f t="shared" si="41"/>
        <v>-7285.6152177278282</v>
      </c>
    </row>
    <row r="344" spans="1:16">
      <c r="A344" s="149">
        <v>5.3468428601947081E-2</v>
      </c>
      <c r="B344" s="150">
        <f t="shared" si="42"/>
        <v>16.490307275687474</v>
      </c>
      <c r="C344" s="24">
        <f t="shared" si="40"/>
        <v>-5850.3717072712852</v>
      </c>
      <c r="H344" s="66"/>
      <c r="I344" s="66"/>
      <c r="J344" s="66"/>
      <c r="K344" s="66"/>
      <c r="L344" s="66"/>
      <c r="N344" s="5">
        <v>8.8504480979405345E-2</v>
      </c>
      <c r="O344" s="19">
        <f t="shared" si="43"/>
        <v>9.2539148244933589E-2</v>
      </c>
      <c r="P344" s="12">
        <f t="shared" si="41"/>
        <v>-4566.8105387378218</v>
      </c>
    </row>
    <row r="345" spans="1:16">
      <c r="A345" s="149">
        <v>0.41859187597277747</v>
      </c>
      <c r="B345" s="150">
        <f t="shared" si="42"/>
        <v>34.756461037015278</v>
      </c>
      <c r="C345" s="24">
        <f t="shared" si="40"/>
        <v>-5850.3717072712852</v>
      </c>
      <c r="H345" s="66"/>
      <c r="I345" s="66"/>
      <c r="J345" s="66"/>
      <c r="K345" s="66"/>
      <c r="L345" s="66"/>
      <c r="N345" s="5">
        <v>3.7120487215484901E-2</v>
      </c>
      <c r="O345" s="19">
        <f t="shared" si="43"/>
        <v>3.7818057113250925E-2</v>
      </c>
      <c r="P345" s="12">
        <f t="shared" si="41"/>
        <v>-6326.1664284450981</v>
      </c>
    </row>
    <row r="346" spans="1:16">
      <c r="A346" s="149">
        <v>0.59150975066377753</v>
      </c>
      <c r="B346" s="150">
        <f t="shared" si="42"/>
        <v>38.956760288119241</v>
      </c>
      <c r="C346" s="24">
        <f t="shared" si="40"/>
        <v>-5850.3717072712852</v>
      </c>
      <c r="H346" s="66"/>
      <c r="I346" s="66"/>
      <c r="J346" s="66"/>
      <c r="K346" s="66"/>
      <c r="L346" s="66"/>
      <c r="N346" s="5">
        <v>2.5955778889634532E-2</v>
      </c>
      <c r="O346" s="19">
        <f t="shared" si="43"/>
        <v>2.6295563540580602E-2</v>
      </c>
      <c r="P346" s="12">
        <f t="shared" si="41"/>
        <v>-6833.6084667078003</v>
      </c>
    </row>
    <row r="347" spans="1:16">
      <c r="A347" s="149">
        <v>0.73049104281746879</v>
      </c>
      <c r="B347" s="150">
        <f t="shared" si="42"/>
        <v>42.16849289272308</v>
      </c>
      <c r="C347" s="24">
        <f t="shared" si="40"/>
        <v>-5850.3717072712852</v>
      </c>
      <c r="H347" s="66"/>
      <c r="I347" s="66"/>
      <c r="J347" s="66"/>
      <c r="K347" s="66"/>
      <c r="L347" s="66"/>
      <c r="N347" s="5">
        <v>8.5779971365933308E-2</v>
      </c>
      <c r="O347" s="19">
        <f t="shared" si="43"/>
        <v>8.9566566085558685E-2</v>
      </c>
      <c r="P347" s="12">
        <f t="shared" si="41"/>
        <v>-4640.9500489788506</v>
      </c>
    </row>
    <row r="348" spans="1:16">
      <c r="A348" s="149">
        <v>0.45310831019013031</v>
      </c>
      <c r="B348" s="150">
        <f t="shared" si="42"/>
        <v>35.649944561324119</v>
      </c>
      <c r="C348" s="24">
        <f t="shared" si="40"/>
        <v>-5850.3717072712852</v>
      </c>
      <c r="H348" s="66"/>
      <c r="I348" s="66"/>
      <c r="J348" s="66"/>
      <c r="K348" s="66"/>
      <c r="L348" s="66"/>
      <c r="N348" s="5">
        <v>5.0451761532836828E-2</v>
      </c>
      <c r="O348" s="19">
        <f t="shared" si="43"/>
        <v>5.1746127510267526E-2</v>
      </c>
      <c r="P348" s="12">
        <f t="shared" si="41"/>
        <v>-5786.7745565917749</v>
      </c>
    </row>
    <row r="349" spans="1:16">
      <c r="A349" s="149">
        <v>2.8138065736869413E-2</v>
      </c>
      <c r="B349" s="150">
        <f t="shared" si="42"/>
        <v>11.986208770521802</v>
      </c>
      <c r="C349" s="24">
        <f t="shared" si="40"/>
        <v>106451.00338772176</v>
      </c>
      <c r="H349" s="66"/>
      <c r="I349" s="66"/>
      <c r="J349" s="66"/>
      <c r="K349" s="66"/>
      <c r="L349" s="66"/>
      <c r="N349" s="5">
        <v>8.5193314086733155E-2</v>
      </c>
      <c r="O349" s="19">
        <f t="shared" si="43"/>
        <v>8.8927551388030546E-2</v>
      </c>
      <c r="P349" s="12">
        <f t="shared" si="41"/>
        <v>67905.867564343018</v>
      </c>
    </row>
    <row r="350" spans="1:16">
      <c r="A350" s="149">
        <v>8.9449751274147768E-2</v>
      </c>
      <c r="B350" s="150">
        <f t="shared" si="42"/>
        <v>20.502720428442938</v>
      </c>
      <c r="C350" s="24">
        <f t="shared" si="40"/>
        <v>-5850.3717072712852</v>
      </c>
      <c r="H350" s="66"/>
      <c r="I350" s="66"/>
      <c r="J350" s="66"/>
      <c r="K350" s="66"/>
      <c r="L350" s="66"/>
      <c r="N350" s="5">
        <v>2.3569093125057408E-2</v>
      </c>
      <c r="O350" s="19">
        <f t="shared" si="43"/>
        <v>2.3849039232537228E-2</v>
      </c>
      <c r="P350" s="12">
        <f t="shared" si="41"/>
        <v>-6949.3450727794298</v>
      </c>
    </row>
    <row r="351" spans="1:16">
      <c r="A351" s="149">
        <v>9.1555528427991577E-4</v>
      </c>
      <c r="B351" s="150">
        <f t="shared" si="42"/>
        <v>0.80604161445916245</v>
      </c>
      <c r="C351" s="24">
        <f t="shared" si="40"/>
        <v>191852.5535364009</v>
      </c>
      <c r="H351" s="66"/>
      <c r="I351" s="66"/>
      <c r="J351" s="66"/>
      <c r="K351" s="66"/>
      <c r="L351" s="66"/>
      <c r="N351" s="5">
        <v>6.8926342302926061E-2</v>
      </c>
      <c r="O351" s="19">
        <f t="shared" si="43"/>
        <v>7.1357292531062599E-2</v>
      </c>
      <c r="P351" s="12">
        <f t="shared" si="41"/>
        <v>188760.29300315984</v>
      </c>
    </row>
    <row r="352" spans="1:16">
      <c r="A352" s="149">
        <v>0.11661122470778527</v>
      </c>
      <c r="B352" s="150">
        <f t="shared" si="42"/>
        <v>22.692881015885732</v>
      </c>
      <c r="C352" s="24">
        <f t="shared" si="40"/>
        <v>-5850.3717072712852</v>
      </c>
      <c r="H352" s="66"/>
      <c r="I352" s="66"/>
      <c r="J352" s="66"/>
      <c r="K352" s="66"/>
      <c r="L352" s="66"/>
      <c r="N352" s="5">
        <v>6.4726860338974804E-2</v>
      </c>
      <c r="O352" s="19">
        <f t="shared" si="43"/>
        <v>6.6867580734234267E-2</v>
      </c>
      <c r="P352" s="12">
        <f t="shared" si="41"/>
        <v>-5278.9907326561543</v>
      </c>
    </row>
    <row r="353" spans="1:16">
      <c r="A353" s="149">
        <v>0.31061738944669942</v>
      </c>
      <c r="B353" s="150">
        <f t="shared" si="42"/>
        <v>31.619914773582373</v>
      </c>
      <c r="C353" s="24">
        <f t="shared" si="40"/>
        <v>-5850.3717072712852</v>
      </c>
      <c r="H353" s="66"/>
      <c r="I353" s="66"/>
      <c r="J353" s="66"/>
      <c r="K353" s="66"/>
      <c r="L353" s="66"/>
      <c r="N353" s="5">
        <v>3.9025945236186091E-2</v>
      </c>
      <c r="O353" s="19">
        <f t="shared" si="43"/>
        <v>3.9797461090901987E-2</v>
      </c>
      <c r="P353" s="12">
        <f t="shared" si="41"/>
        <v>-6244.8455465510851</v>
      </c>
    </row>
    <row r="354" spans="1:16">
      <c r="A354" s="149">
        <v>0.33140049439985353</v>
      </c>
      <c r="B354" s="150">
        <f t="shared" si="42"/>
        <v>32.275776138422508</v>
      </c>
      <c r="C354" s="24">
        <f t="shared" si="40"/>
        <v>-5850.3717072712852</v>
      </c>
      <c r="H354" s="66"/>
      <c r="I354" s="66"/>
      <c r="J354" s="66"/>
      <c r="K354" s="66"/>
      <c r="L354" s="66"/>
      <c r="N354" s="5">
        <v>3.5323362974064368E-2</v>
      </c>
      <c r="O354" s="19">
        <f t="shared" si="43"/>
        <v>3.5954644018566073E-2</v>
      </c>
      <c r="P354" s="12">
        <f t="shared" si="41"/>
        <v>-6404.2273451571318</v>
      </c>
    </row>
    <row r="355" spans="1:16">
      <c r="A355" s="149">
        <v>0.28241828669087804</v>
      </c>
      <c r="B355" s="150">
        <f t="shared" si="42"/>
        <v>30.676367816779663</v>
      </c>
      <c r="C355" s="24">
        <f t="shared" si="40"/>
        <v>-5850.3717072712852</v>
      </c>
      <c r="H355" s="66"/>
      <c r="I355" s="66"/>
      <c r="J355" s="66"/>
      <c r="K355" s="66"/>
      <c r="L355" s="66"/>
      <c r="N355" s="5">
        <v>5.2001312676235104E-2</v>
      </c>
      <c r="O355" s="19">
        <f t="shared" si="43"/>
        <v>5.3377125255576141E-2</v>
      </c>
      <c r="P355" s="12">
        <f t="shared" si="41"/>
        <v>-5728.3488194226366</v>
      </c>
    </row>
    <row r="356" spans="1:16">
      <c r="A356" s="149">
        <v>0.42384105960264901</v>
      </c>
      <c r="B356" s="150">
        <f t="shared" si="42"/>
        <v>34.894946374796071</v>
      </c>
      <c r="C356" s="24">
        <f t="shared" si="40"/>
        <v>-5850.3717072712852</v>
      </c>
      <c r="H356" s="66"/>
      <c r="I356" s="66"/>
      <c r="J356" s="66"/>
      <c r="K356" s="66"/>
      <c r="L356" s="66"/>
      <c r="N356" s="5">
        <v>-2.8058257638476775E-3</v>
      </c>
      <c r="O356" s="19">
        <f t="shared" si="43"/>
        <v>-2.801893113709375E-3</v>
      </c>
      <c r="P356" s="12">
        <f t="shared" si="41"/>
        <v>-8426.0719170593293</v>
      </c>
    </row>
    <row r="357" spans="1:16">
      <c r="A357" s="149">
        <v>0.4119998779259621</v>
      </c>
      <c r="B357" s="150">
        <f t="shared" si="42"/>
        <v>34.581099290813256</v>
      </c>
      <c r="C357" s="24">
        <f t="shared" si="40"/>
        <v>-5850.3717072712852</v>
      </c>
      <c r="H357" s="66"/>
      <c r="I357" s="66"/>
      <c r="J357" s="66"/>
      <c r="K357" s="66"/>
      <c r="L357" s="66"/>
      <c r="N357" s="5">
        <v>6.1112884916052282E-2</v>
      </c>
      <c r="O357" s="19">
        <f t="shared" si="43"/>
        <v>6.3018906214412862E-2</v>
      </c>
      <c r="P357" s="12">
        <f t="shared" si="41"/>
        <v>-5401.2920817284466</v>
      </c>
    </row>
    <row r="358" spans="1:16">
      <c r="A358" s="149">
        <v>0.52238532670064397</v>
      </c>
      <c r="B358" s="150">
        <f t="shared" si="42"/>
        <v>37.34562867373895</v>
      </c>
      <c r="C358" s="24">
        <f t="shared" si="40"/>
        <v>-5850.3717072712852</v>
      </c>
      <c r="H358" s="66"/>
      <c r="I358" s="66"/>
      <c r="J358" s="66"/>
      <c r="K358" s="66"/>
      <c r="L358" s="66"/>
      <c r="N358" s="5">
        <v>4.8170888882974397E-2</v>
      </c>
      <c r="O358" s="19">
        <f t="shared" si="43"/>
        <v>4.9349962246151957E-2</v>
      </c>
      <c r="P358" s="12">
        <f t="shared" si="41"/>
        <v>-5874.3283866312786</v>
      </c>
    </row>
    <row r="359" spans="1:16">
      <c r="A359" s="149">
        <v>0.53071687978759119</v>
      </c>
      <c r="B359" s="150">
        <f t="shared" si="42"/>
        <v>37.54302323491796</v>
      </c>
      <c r="C359" s="24">
        <f t="shared" si="40"/>
        <v>-5850.3717072712852</v>
      </c>
      <c r="H359" s="66"/>
      <c r="I359" s="66"/>
      <c r="J359" s="66"/>
      <c r="K359" s="66"/>
      <c r="L359" s="66"/>
      <c r="N359" s="5">
        <v>-8.1811977478209869E-3</v>
      </c>
      <c r="O359" s="19">
        <f t="shared" si="43"/>
        <v>-8.1478228271526509E-3</v>
      </c>
      <c r="P359" s="12">
        <f t="shared" si="41"/>
        <v>-8777.569896682875</v>
      </c>
    </row>
    <row r="360" spans="1:16">
      <c r="A360" s="149">
        <v>0.2954496902371288</v>
      </c>
      <c r="B360" s="150">
        <f t="shared" si="42"/>
        <v>31.120750611413918</v>
      </c>
      <c r="C360" s="24">
        <f t="shared" si="40"/>
        <v>-5850.3717072712852</v>
      </c>
      <c r="H360" s="66"/>
      <c r="I360" s="66"/>
      <c r="J360" s="66"/>
      <c r="K360" s="66"/>
      <c r="L360" s="66"/>
      <c r="N360" s="5">
        <v>9.4886146095755977E-2</v>
      </c>
      <c r="O360" s="19">
        <f t="shared" si="43"/>
        <v>9.9533661799120043E-2</v>
      </c>
      <c r="P360" s="12">
        <f t="shared" si="41"/>
        <v>-4399.9494243652425</v>
      </c>
    </row>
    <row r="361" spans="1:16">
      <c r="A361" s="149">
        <v>0.70763267921994688</v>
      </c>
      <c r="B361" s="150">
        <f t="shared" si="42"/>
        <v>41.628176646061284</v>
      </c>
      <c r="C361" s="24">
        <f t="shared" si="40"/>
        <v>-5850.3717072712852</v>
      </c>
      <c r="H361" s="66"/>
      <c r="I361" s="66"/>
      <c r="J361" s="66"/>
      <c r="K361" s="66"/>
      <c r="L361" s="66"/>
      <c r="N361" s="5">
        <v>4.4797335542294606E-2</v>
      </c>
      <c r="O361" s="19">
        <f t="shared" si="43"/>
        <v>4.5815888719982434E-2</v>
      </c>
      <c r="P361" s="12">
        <f t="shared" si="41"/>
        <v>-6007.3075748190968</v>
      </c>
    </row>
    <row r="362" spans="1:16">
      <c r="A362" s="149">
        <v>0.62480544450209052</v>
      </c>
      <c r="B362" s="150">
        <f t="shared" si="42"/>
        <v>39.719539971505291</v>
      </c>
      <c r="C362" s="24">
        <f t="shared" si="40"/>
        <v>-5850.3717072712852</v>
      </c>
      <c r="H362" s="66"/>
      <c r="I362" s="66"/>
      <c r="J362" s="66"/>
      <c r="K362" s="66"/>
      <c r="L362" s="66"/>
      <c r="N362" s="5">
        <v>7.1490707520875732E-2</v>
      </c>
      <c r="O362" s="19">
        <f t="shared" si="43"/>
        <v>7.4108169527196566E-2</v>
      </c>
      <c r="P362" s="12">
        <f t="shared" si="41"/>
        <v>-5060.6595375303759</v>
      </c>
    </row>
    <row r="363" spans="1:16">
      <c r="A363" s="149">
        <v>9.3356120487075409E-2</v>
      </c>
      <c r="B363" s="150">
        <f t="shared" si="42"/>
        <v>20.850233372931971</v>
      </c>
      <c r="C363" s="24">
        <f t="shared" si="40"/>
        <v>-5850.3717072712852</v>
      </c>
      <c r="H363" s="66"/>
      <c r="I363" s="66"/>
      <c r="J363" s="66"/>
      <c r="K363" s="66"/>
      <c r="L363" s="66"/>
      <c r="N363" s="5">
        <v>2.9263493567792467E-2</v>
      </c>
      <c r="O363" s="19">
        <f t="shared" si="43"/>
        <v>2.9695876973329538E-2</v>
      </c>
      <c r="P363" s="12">
        <f t="shared" si="41"/>
        <v>-6677.5586398620271</v>
      </c>
    </row>
    <row r="364" spans="1:16">
      <c r="A364" s="149">
        <v>0.48396252327036349</v>
      </c>
      <c r="B364" s="150">
        <f t="shared" si="42"/>
        <v>36.41875375441046</v>
      </c>
      <c r="C364" s="24">
        <f t="shared" si="40"/>
        <v>-5850.3717072712852</v>
      </c>
      <c r="H364" s="66"/>
      <c r="I364" s="66"/>
      <c r="J364" s="66"/>
      <c r="K364" s="66"/>
      <c r="L364" s="66"/>
      <c r="N364" s="5">
        <v>2.1208435961976649E-2</v>
      </c>
      <c r="O364" s="19">
        <f t="shared" si="43"/>
        <v>2.1434933223571928E-2</v>
      </c>
      <c r="P364" s="12">
        <f t="shared" si="41"/>
        <v>-7066.485344790256</v>
      </c>
    </row>
    <row r="365" spans="1:16">
      <c r="A365" s="149">
        <v>5.3712576677755058E-2</v>
      </c>
      <c r="B365" s="150">
        <f t="shared" si="42"/>
        <v>16.524382147359944</v>
      </c>
      <c r="C365" s="24">
        <f t="shared" si="40"/>
        <v>-5850.3717072712852</v>
      </c>
      <c r="H365" s="66"/>
      <c r="I365" s="66"/>
      <c r="J365" s="66"/>
      <c r="K365" s="66"/>
      <c r="L365" s="66"/>
      <c r="N365" s="5">
        <v>4.8423503310128582E-2</v>
      </c>
      <c r="O365" s="19">
        <f t="shared" si="43"/>
        <v>4.9615076670203262E-2</v>
      </c>
      <c r="P365" s="12">
        <f t="shared" si="41"/>
        <v>-5864.5392068263691</v>
      </c>
    </row>
    <row r="366" spans="1:16">
      <c r="A366" s="149">
        <v>0.22870571001312295</v>
      </c>
      <c r="B366" s="150">
        <f t="shared" si="42"/>
        <v>28.657397677692074</v>
      </c>
      <c r="C366" s="24">
        <f t="shared" si="40"/>
        <v>-5850.3717072712852</v>
      </c>
      <c r="H366" s="66"/>
      <c r="I366" s="66"/>
      <c r="J366" s="66"/>
      <c r="K366" s="66"/>
      <c r="L366" s="66"/>
      <c r="N366" s="5">
        <v>5.4694807156134631E-2</v>
      </c>
      <c r="O366" s="19">
        <f t="shared" si="43"/>
        <v>5.621821524014492E-2</v>
      </c>
      <c r="P366" s="12">
        <f t="shared" si="41"/>
        <v>-5628.7760144189833</v>
      </c>
    </row>
    <row r="367" spans="1:16">
      <c r="A367" s="149">
        <v>0.22428052613910338</v>
      </c>
      <c r="B367" s="150">
        <f t="shared" si="42"/>
        <v>28.47480454124479</v>
      </c>
      <c r="C367" s="24">
        <f t="shared" si="40"/>
        <v>-5850.3717072712852</v>
      </c>
      <c r="H367" s="66"/>
      <c r="I367" s="66"/>
      <c r="J367" s="66"/>
      <c r="K367" s="66"/>
      <c r="L367" s="66"/>
      <c r="N367" s="5">
        <v>4.5223958020083957E-2</v>
      </c>
      <c r="O367" s="19">
        <f t="shared" si="43"/>
        <v>4.6262152472044793E-2</v>
      </c>
      <c r="P367" s="12">
        <f t="shared" si="41"/>
        <v>-5990.2570864207546</v>
      </c>
    </row>
    <row r="368" spans="1:16">
      <c r="A368" s="149">
        <v>0.65590380565813167</v>
      </c>
      <c r="B368" s="150">
        <f t="shared" si="42"/>
        <v>40.431247938529509</v>
      </c>
      <c r="C368" s="24">
        <f t="shared" si="40"/>
        <v>-5850.3717072712852</v>
      </c>
      <c r="H368" s="66"/>
      <c r="I368" s="66"/>
      <c r="J368" s="66"/>
      <c r="K368" s="66"/>
      <c r="L368" s="66"/>
      <c r="N368" s="5">
        <v>5.3542890848017125E-2</v>
      </c>
      <c r="O368" s="19">
        <f t="shared" si="43"/>
        <v>5.5002240737966224E-2</v>
      </c>
      <c r="P368" s="12">
        <f t="shared" si="41"/>
        <v>-5671.0548765849353</v>
      </c>
    </row>
    <row r="369" spans="1:16">
      <c r="A369" s="149">
        <v>0.66597491378521068</v>
      </c>
      <c r="B369" s="150">
        <f t="shared" si="42"/>
        <v>40.662453000930931</v>
      </c>
      <c r="C369" s="24">
        <f t="shared" si="40"/>
        <v>-5850.3717072712852</v>
      </c>
      <c r="H369" s="66"/>
      <c r="I369" s="66"/>
      <c r="J369" s="66"/>
      <c r="K369" s="66"/>
      <c r="L369" s="66"/>
      <c r="N369" s="5">
        <v>3.411177267220046E-2</v>
      </c>
      <c r="O369" s="19">
        <f t="shared" si="43"/>
        <v>3.4700251477070232E-2</v>
      </c>
      <c r="P369" s="12">
        <f t="shared" si="41"/>
        <v>-6457.6151333909784</v>
      </c>
    </row>
    <row r="370" spans="1:16">
      <c r="A370" s="149">
        <v>0.54106265449995428</v>
      </c>
      <c r="B370" s="150">
        <f t="shared" si="42"/>
        <v>37.786661713813125</v>
      </c>
      <c r="C370" s="24">
        <f t="shared" si="40"/>
        <v>-5850.3717072712852</v>
      </c>
      <c r="H370" s="66"/>
      <c r="I370" s="66"/>
      <c r="J370" s="66"/>
      <c r="K370" s="66"/>
      <c r="L370" s="66"/>
      <c r="N370" s="5">
        <v>7.4964590995805352E-3</v>
      </c>
      <c r="O370" s="19">
        <f t="shared" si="43"/>
        <v>7.524627893840341E-3</v>
      </c>
      <c r="P370" s="12">
        <f t="shared" si="41"/>
        <v>-7803.0645497366695</v>
      </c>
    </row>
    <row r="371" spans="1:16">
      <c r="A371" s="149">
        <v>0.24051637318033386</v>
      </c>
      <c r="B371" s="150">
        <f t="shared" si="42"/>
        <v>29.131182517066566</v>
      </c>
      <c r="C371" s="24">
        <f t="shared" si="40"/>
        <v>-5850.3717072712852</v>
      </c>
      <c r="H371" s="66"/>
      <c r="I371" s="66"/>
      <c r="J371" s="66"/>
      <c r="K371" s="66"/>
      <c r="L371" s="66"/>
      <c r="N371" s="5">
        <v>3.075090484993416E-2</v>
      </c>
      <c r="O371" s="19">
        <f t="shared" si="43"/>
        <v>3.1228597848493855E-2</v>
      </c>
      <c r="P371" s="12">
        <f t="shared" si="41"/>
        <v>-6608.9904979571265</v>
      </c>
    </row>
    <row r="372" spans="1:16">
      <c r="A372" s="149">
        <v>0.54631183812982576</v>
      </c>
      <c r="B372" s="150">
        <f t="shared" si="42"/>
        <v>37.909703537315771</v>
      </c>
      <c r="C372" s="24">
        <f t="shared" si="40"/>
        <v>-5850.3717072712852</v>
      </c>
      <c r="H372" s="66"/>
      <c r="I372" s="66"/>
      <c r="J372" s="66"/>
      <c r="K372" s="66"/>
      <c r="L372" s="66"/>
      <c r="N372" s="5">
        <v>5.4122945081995569E-2</v>
      </c>
      <c r="O372" s="19">
        <f t="shared" si="43"/>
        <v>5.5614376773449159E-2</v>
      </c>
      <c r="P372" s="12">
        <f t="shared" si="41"/>
        <v>-5649.7085566232445</v>
      </c>
    </row>
    <row r="373" spans="1:16">
      <c r="A373" s="149">
        <v>0.78118228705710013</v>
      </c>
      <c r="B373" s="150">
        <f t="shared" si="42"/>
        <v>43.412551379704844</v>
      </c>
      <c r="C373" s="24">
        <f t="shared" si="40"/>
        <v>-5850.3717072712852</v>
      </c>
      <c r="H373" s="66"/>
      <c r="I373" s="66"/>
      <c r="J373" s="66"/>
      <c r="K373" s="66"/>
      <c r="L373" s="66"/>
      <c r="N373" s="5">
        <v>6.6066645077953595E-3</v>
      </c>
      <c r="O373" s="19">
        <f t="shared" si="43"/>
        <v>6.6285366565403958E-3</v>
      </c>
      <c r="P373" s="12">
        <f t="shared" si="41"/>
        <v>-7854.3882096274829</v>
      </c>
    </row>
    <row r="374" spans="1:16">
      <c r="A374" s="149">
        <v>2.5605029450361645E-2</v>
      </c>
      <c r="B374" s="150">
        <f t="shared" si="42"/>
        <v>11.379436333333828</v>
      </c>
      <c r="C374" s="24">
        <f t="shared" si="40"/>
        <v>109988.26088849033</v>
      </c>
      <c r="H374" s="66"/>
      <c r="I374" s="66"/>
      <c r="J374" s="66"/>
      <c r="K374" s="66"/>
      <c r="L374" s="66"/>
      <c r="N374" s="5">
        <v>6.1901989917838365E-2</v>
      </c>
      <c r="O374" s="19">
        <f t="shared" si="43"/>
        <v>6.3858070801241507E-2</v>
      </c>
      <c r="P374" s="12">
        <f t="shared" si="41"/>
        <v>94387.801300088104</v>
      </c>
    </row>
    <row r="375" spans="1:16">
      <c r="A375" s="149">
        <v>0.727835932493057</v>
      </c>
      <c r="B375" s="150">
        <f t="shared" si="42"/>
        <v>42.105219083142785</v>
      </c>
      <c r="C375" s="24">
        <f t="shared" si="40"/>
        <v>-5850.3717072712852</v>
      </c>
      <c r="H375" s="66"/>
      <c r="I375" s="66"/>
      <c r="J375" s="66"/>
      <c r="K375" s="66"/>
      <c r="L375" s="66"/>
      <c r="N375" s="5">
        <v>3.6001120358501795E-2</v>
      </c>
      <c r="O375" s="19">
        <f t="shared" si="43"/>
        <v>3.6657007917765494E-2</v>
      </c>
      <c r="P375" s="12">
        <f t="shared" si="41"/>
        <v>-6374.6307109651243</v>
      </c>
    </row>
    <row r="376" spans="1:16">
      <c r="A376" s="149">
        <v>0.96655171361430703</v>
      </c>
      <c r="B376" s="150">
        <f t="shared" si="42"/>
        <v>50.216514703740451</v>
      </c>
      <c r="C376" s="24">
        <f t="shared" si="40"/>
        <v>-5850.3717072712852</v>
      </c>
      <c r="H376" s="66"/>
      <c r="I376" s="66"/>
      <c r="J376" s="66"/>
      <c r="K376" s="66"/>
      <c r="L376" s="66"/>
      <c r="N376" s="5">
        <v>3.4263505719660317E-2</v>
      </c>
      <c r="O376" s="19">
        <f t="shared" si="43"/>
        <v>3.4857261610946155E-2</v>
      </c>
      <c r="P376" s="12">
        <f t="shared" si="41"/>
        <v>-6450.8952354787434</v>
      </c>
    </row>
    <row r="377" spans="1:16">
      <c r="A377" s="149">
        <v>0.75865962706381418</v>
      </c>
      <c r="B377" s="150">
        <f t="shared" si="42"/>
        <v>42.850231329916483</v>
      </c>
      <c r="C377" s="24">
        <f t="shared" si="40"/>
        <v>-5850.3717072712852</v>
      </c>
      <c r="H377" s="66"/>
      <c r="I377" s="66"/>
      <c r="J377" s="66"/>
      <c r="K377" s="66"/>
      <c r="L377" s="66"/>
      <c r="N377" s="5">
        <v>8.9247090679360555E-2</v>
      </c>
      <c r="O377" s="19">
        <f t="shared" si="43"/>
        <v>9.3350779739412193E-2</v>
      </c>
      <c r="P377" s="12">
        <f t="shared" si="41"/>
        <v>-4546.9096521292777</v>
      </c>
    </row>
    <row r="378" spans="1:16">
      <c r="A378" s="149">
        <v>0.72426526688436532</v>
      </c>
      <c r="B378" s="150">
        <f t="shared" si="42"/>
        <v>42.020356137444281</v>
      </c>
      <c r="C378" s="24">
        <f t="shared" si="40"/>
        <v>-5850.3717072712852</v>
      </c>
      <c r="H378" s="66"/>
      <c r="I378" s="66"/>
      <c r="J378" s="66"/>
      <c r="K378" s="66"/>
      <c r="L378" s="66"/>
      <c r="N378" s="5">
        <v>1.2201224714895945E-2</v>
      </c>
      <c r="O378" s="19">
        <f t="shared" si="43"/>
        <v>1.2275963315338201E-2</v>
      </c>
      <c r="P378" s="12">
        <f t="shared" si="41"/>
        <v>-7539.073381660126</v>
      </c>
    </row>
    <row r="379" spans="1:16">
      <c r="A379" s="149">
        <v>0.70162053285317549</v>
      </c>
      <c r="B379" s="150">
        <f t="shared" si="42"/>
        <v>41.487529210283846</v>
      </c>
      <c r="C379" s="24">
        <f t="shared" si="40"/>
        <v>-5850.3717072712852</v>
      </c>
      <c r="H379" s="66"/>
      <c r="I379" s="66"/>
      <c r="J379" s="66"/>
      <c r="K379" s="66"/>
      <c r="L379" s="66"/>
      <c r="N379" s="5">
        <v>8.6925449019996451E-2</v>
      </c>
      <c r="O379" s="19">
        <f t="shared" si="43"/>
        <v>9.0815355333166092E-2</v>
      </c>
      <c r="P379" s="12">
        <f t="shared" si="41"/>
        <v>-4609.5617967239932</v>
      </c>
    </row>
    <row r="380" spans="1:16">
      <c r="A380" s="149">
        <v>0.94717246009704881</v>
      </c>
      <c r="B380" s="150">
        <f t="shared" si="42"/>
        <v>48.993587969403464</v>
      </c>
      <c r="C380" s="24">
        <f t="shared" si="40"/>
        <v>-5850.3717072712852</v>
      </c>
      <c r="H380" s="66"/>
      <c r="I380" s="66"/>
      <c r="J380" s="66"/>
      <c r="K380" s="66"/>
      <c r="L380" s="66"/>
      <c r="N380" s="5">
        <v>3.1765362743622974E-2</v>
      </c>
      <c r="O380" s="19">
        <f t="shared" si="43"/>
        <v>3.2275266650730439E-2</v>
      </c>
      <c r="P380" s="12">
        <f t="shared" si="41"/>
        <v>-6562.7838509707808</v>
      </c>
    </row>
    <row r="381" spans="1:16">
      <c r="A381" s="149">
        <v>0.77684865871150854</v>
      </c>
      <c r="B381" s="150">
        <f t="shared" si="42"/>
        <v>43.302929935431088</v>
      </c>
      <c r="C381" s="24">
        <f t="shared" si="40"/>
        <v>-5850.3717072712852</v>
      </c>
      <c r="H381" s="66"/>
      <c r="I381" s="66"/>
      <c r="J381" s="66"/>
      <c r="K381" s="66"/>
      <c r="L381" s="66"/>
      <c r="N381" s="5">
        <v>3.7285124969581376E-2</v>
      </c>
      <c r="O381" s="19">
        <f t="shared" si="43"/>
        <v>3.7988935213442154E-2</v>
      </c>
      <c r="P381" s="12">
        <f t="shared" si="41"/>
        <v>-6319.0817307782718</v>
      </c>
    </row>
    <row r="382" spans="1:16">
      <c r="A382" s="149">
        <v>0.79143650624103523</v>
      </c>
      <c r="B382" s="150">
        <f t="shared" si="42"/>
        <v>43.6750104751547</v>
      </c>
      <c r="C382" s="24">
        <f t="shared" si="40"/>
        <v>-5850.3717072712852</v>
      </c>
      <c r="H382" s="66"/>
      <c r="I382" s="66"/>
      <c r="J382" s="66"/>
      <c r="K382" s="66"/>
      <c r="L382" s="66"/>
      <c r="N382" s="5">
        <v>3.783895881236822E-2</v>
      </c>
      <c r="O382" s="19">
        <f t="shared" si="43"/>
        <v>3.8563967835766766E-2</v>
      </c>
      <c r="P382" s="12">
        <f t="shared" si="41"/>
        <v>-6295.3304383487584</v>
      </c>
    </row>
    <row r="383" spans="1:16">
      <c r="A383" s="149">
        <v>0.12894070253608814</v>
      </c>
      <c r="B383" s="150">
        <f t="shared" si="42"/>
        <v>23.544662736093546</v>
      </c>
      <c r="C383" s="24">
        <f t="shared" si="40"/>
        <v>-5850.3717072712852</v>
      </c>
      <c r="H383" s="66"/>
      <c r="I383" s="66"/>
      <c r="J383" s="66"/>
      <c r="K383" s="66"/>
      <c r="L383" s="66"/>
      <c r="N383" s="5">
        <v>5.4263225544797025E-2</v>
      </c>
      <c r="O383" s="19">
        <f t="shared" si="43"/>
        <v>5.5762469233759271E-2</v>
      </c>
      <c r="P383" s="12">
        <f t="shared" si="41"/>
        <v>-5644.5634107005471</v>
      </c>
    </row>
    <row r="384" spans="1:16">
      <c r="A384" s="149">
        <v>0.79644154179509874</v>
      </c>
      <c r="B384" s="150">
        <f t="shared" si="42"/>
        <v>43.804810390833914</v>
      </c>
      <c r="C384" s="24">
        <f t="shared" si="40"/>
        <v>-5850.3717072712852</v>
      </c>
      <c r="H384" s="66"/>
      <c r="I384" s="66"/>
      <c r="J384" s="66"/>
      <c r="K384" s="66"/>
      <c r="L384" s="66"/>
      <c r="N384" s="5">
        <v>4.2396621731437337E-2</v>
      </c>
      <c r="O384" s="19">
        <f t="shared" si="43"/>
        <v>4.3308195403715999E-2</v>
      </c>
      <c r="P384" s="12">
        <f t="shared" si="41"/>
        <v>-6104.5440508636293</v>
      </c>
    </row>
    <row r="385" spans="1:16">
      <c r="A385" s="149">
        <v>0.78249458296456798</v>
      </c>
      <c r="B385" s="150">
        <f t="shared" si="42"/>
        <v>43.445893476831564</v>
      </c>
      <c r="C385" s="24">
        <f t="shared" si="40"/>
        <v>-5850.3717072712852</v>
      </c>
      <c r="H385" s="66"/>
      <c r="I385" s="66"/>
      <c r="J385" s="66"/>
      <c r="K385" s="66"/>
      <c r="L385" s="66"/>
      <c r="N385" s="5">
        <v>3.313928932324052E-2</v>
      </c>
      <c r="O385" s="19">
        <f t="shared" si="43"/>
        <v>3.3694511823140205E-2</v>
      </c>
      <c r="P385" s="12">
        <f t="shared" si="41"/>
        <v>-6500.916421506332</v>
      </c>
    </row>
    <row r="386" spans="1:16">
      <c r="A386" s="149">
        <v>0.27231666005432292</v>
      </c>
      <c r="B386" s="150">
        <f t="shared" si="42"/>
        <v>30.321050892505387</v>
      </c>
      <c r="C386" s="24">
        <f t="shared" si="40"/>
        <v>-5850.3717072712852</v>
      </c>
      <c r="H386" s="66"/>
      <c r="I386" s="66"/>
      <c r="J386" s="66"/>
      <c r="K386" s="66"/>
      <c r="L386" s="66"/>
      <c r="N386" s="5">
        <v>1.619669724017149E-2</v>
      </c>
      <c r="O386" s="19">
        <f t="shared" si="43"/>
        <v>1.6328574772372262E-2</v>
      </c>
      <c r="P386" s="12">
        <f t="shared" si="41"/>
        <v>-7324.2893590275571</v>
      </c>
    </row>
    <row r="387" spans="1:16">
      <c r="A387" s="149">
        <v>0.71822260200811794</v>
      </c>
      <c r="B387" s="150">
        <f t="shared" si="42"/>
        <v>41.877308699308202</v>
      </c>
      <c r="C387" s="24">
        <f t="shared" si="40"/>
        <v>-5850.3717072712852</v>
      </c>
      <c r="H387" s="66"/>
      <c r="I387" s="66"/>
      <c r="J387" s="66"/>
      <c r="K387" s="66"/>
      <c r="L387" s="66"/>
      <c r="N387" s="5">
        <v>1.9634883708145937E-2</v>
      </c>
      <c r="O387" s="19">
        <f t="shared" si="43"/>
        <v>1.9828915889738008E-2</v>
      </c>
      <c r="P387" s="12">
        <f t="shared" si="41"/>
        <v>-7146.0752836406728</v>
      </c>
    </row>
    <row r="388" spans="1:16">
      <c r="A388" s="149">
        <v>0.35648670918912323</v>
      </c>
      <c r="B388" s="150">
        <f t="shared" si="42"/>
        <v>33.029798714272644</v>
      </c>
      <c r="C388" s="24">
        <f t="shared" si="40"/>
        <v>-5850.3717072712852</v>
      </c>
      <c r="H388" s="66"/>
      <c r="I388" s="66"/>
      <c r="J388" s="66"/>
      <c r="K388" s="66"/>
      <c r="L388" s="66"/>
      <c r="N388" s="5">
        <v>6.5166688907207573E-2</v>
      </c>
      <c r="O388" s="19">
        <f t="shared" si="43"/>
        <v>6.7336922782216702E-2</v>
      </c>
      <c r="P388" s="12">
        <f t="shared" si="41"/>
        <v>-5264.3808064512959</v>
      </c>
    </row>
    <row r="389" spans="1:16">
      <c r="A389" s="149">
        <v>0.84737693411053805</v>
      </c>
      <c r="B389" s="150">
        <f t="shared" si="42"/>
        <v>45.209169351366377</v>
      </c>
      <c r="C389" s="24">
        <f t="shared" si="40"/>
        <v>-5850.3717072712852</v>
      </c>
      <c r="H389" s="66"/>
      <c r="I389" s="66"/>
      <c r="J389" s="66"/>
      <c r="K389" s="66"/>
      <c r="L389" s="66"/>
      <c r="N389" s="5">
        <v>4.5491723833161815E-2</v>
      </c>
      <c r="O389" s="19">
        <f t="shared" si="43"/>
        <v>4.6542343219071469E-2</v>
      </c>
      <c r="P389" s="12">
        <f t="shared" si="41"/>
        <v>-5979.5904147353876</v>
      </c>
    </row>
    <row r="390" spans="1:16">
      <c r="A390" s="149">
        <v>0.65703299050874353</v>
      </c>
      <c r="B390" s="150">
        <f t="shared" si="42"/>
        <v>40.45714369246231</v>
      </c>
      <c r="C390" s="24">
        <f t="shared" si="40"/>
        <v>-5850.3717072712852</v>
      </c>
      <c r="H390" s="66"/>
      <c r="I390" s="66"/>
      <c r="J390" s="66"/>
      <c r="K390" s="66"/>
      <c r="L390" s="66"/>
      <c r="N390" s="5">
        <v>6.3433951206330677E-2</v>
      </c>
      <c r="O390" s="19">
        <f t="shared" si="43"/>
        <v>6.5489109207016893E-2</v>
      </c>
      <c r="P390" s="12">
        <f t="shared" si="41"/>
        <v>-5322.2796511558254</v>
      </c>
    </row>
    <row r="391" spans="1:16">
      <c r="A391" s="149">
        <v>0.3826410718100528</v>
      </c>
      <c r="B391" s="150">
        <f t="shared" si="42"/>
        <v>33.77860263457913</v>
      </c>
      <c r="C391" s="24">
        <f t="shared" si="40"/>
        <v>-5850.3717072712852</v>
      </c>
      <c r="H391" s="66"/>
      <c r="I391" s="66"/>
      <c r="J391" s="66"/>
      <c r="K391" s="66"/>
      <c r="L391" s="66"/>
      <c r="N391" s="5">
        <v>5.810564989327395E-2</v>
      </c>
      <c r="O391" s="19">
        <f t="shared" si="43"/>
        <v>5.9826960400909845E-2</v>
      </c>
      <c r="P391" s="12">
        <f t="shared" si="41"/>
        <v>-5506.203309778065</v>
      </c>
    </row>
    <row r="392" spans="1:16">
      <c r="A392" s="149">
        <v>0.23767815179906612</v>
      </c>
      <c r="B392" s="150">
        <f t="shared" si="42"/>
        <v>29.019057801419404</v>
      </c>
      <c r="C392" s="24">
        <f t="shared" si="40"/>
        <v>-5850.3717072712852</v>
      </c>
      <c r="H392" s="66"/>
      <c r="I392" s="66"/>
      <c r="J392" s="66"/>
      <c r="K392" s="66"/>
      <c r="L392" s="66"/>
      <c r="N392" s="5">
        <v>4.7045439552799509E-2</v>
      </c>
      <c r="O392" s="19">
        <f t="shared" si="43"/>
        <v>4.8169636357100476E-2</v>
      </c>
      <c r="P392" s="12">
        <f t="shared" si="41"/>
        <v>-5918.2240254064827</v>
      </c>
    </row>
    <row r="393" spans="1:16">
      <c r="A393" s="149">
        <v>0.59007538071840571</v>
      </c>
      <c r="B393" s="150">
        <f t="shared" si="42"/>
        <v>38.923793467176743</v>
      </c>
      <c r="C393" s="24">
        <f t="shared" si="40"/>
        <v>-5850.3717072712852</v>
      </c>
      <c r="H393" s="66"/>
      <c r="I393" s="66"/>
      <c r="J393" s="66"/>
      <c r="K393" s="66"/>
      <c r="L393" s="66"/>
      <c r="N393" s="5">
        <v>1.1783123179280666E-2</v>
      </c>
      <c r="O393" s="19">
        <f t="shared" si="43"/>
        <v>1.1852817645700897E-2</v>
      </c>
      <c r="P393" s="12">
        <f t="shared" si="41"/>
        <v>-7562.0406535694201</v>
      </c>
    </row>
    <row r="394" spans="1:16">
      <c r="A394" s="149">
        <v>0.24073000274666587</v>
      </c>
      <c r="B394" s="150">
        <f t="shared" si="42"/>
        <v>29.139579212712423</v>
      </c>
      <c r="C394" s="24">
        <f t="shared" si="40"/>
        <v>-5850.3717072712852</v>
      </c>
      <c r="H394" s="66"/>
      <c r="I394" s="66"/>
      <c r="J394" s="66"/>
      <c r="K394" s="66"/>
      <c r="L394" s="66"/>
      <c r="N394" s="5">
        <v>2.7642651454822045E-2</v>
      </c>
      <c r="O394" s="19">
        <f t="shared" si="43"/>
        <v>2.8028254373936301E-2</v>
      </c>
      <c r="P394" s="12">
        <f t="shared" si="41"/>
        <v>-6753.403959941611</v>
      </c>
    </row>
    <row r="395" spans="1:16">
      <c r="A395" s="149">
        <v>0.28388317514572586</v>
      </c>
      <c r="B395" s="150">
        <f t="shared" si="42"/>
        <v>30.727085345018015</v>
      </c>
      <c r="C395" s="24">
        <f t="shared" si="40"/>
        <v>-5850.3717072712852</v>
      </c>
      <c r="H395" s="66"/>
      <c r="I395" s="66"/>
      <c r="J395" s="66"/>
      <c r="K395" s="66"/>
      <c r="L395" s="66"/>
      <c r="N395" s="5">
        <v>4.764346722107439E-2</v>
      </c>
      <c r="O395" s="19">
        <f t="shared" si="43"/>
        <v>4.8796658270226834E-2</v>
      </c>
      <c r="P395" s="12">
        <f t="shared" si="41"/>
        <v>-5894.8416114039255</v>
      </c>
    </row>
    <row r="396" spans="1:16">
      <c r="A396" s="149">
        <v>0.31296731467635119</v>
      </c>
      <c r="B396" s="150">
        <f t="shared" si="42"/>
        <v>31.695634862972607</v>
      </c>
      <c r="C396" s="24">
        <f t="shared" si="40"/>
        <v>-5850.3717072712852</v>
      </c>
      <c r="H396" s="66"/>
      <c r="I396" s="66"/>
      <c r="J396" s="66"/>
      <c r="K396" s="66"/>
      <c r="L396" s="66"/>
      <c r="N396" s="5">
        <v>9.9421369620482439E-2</v>
      </c>
      <c r="O396" s="19">
        <f t="shared" si="43"/>
        <v>0.10453161758506968</v>
      </c>
      <c r="P396" s="12">
        <f t="shared" si="41"/>
        <v>-4286.8914506678157</v>
      </c>
    </row>
    <row r="397" spans="1:16">
      <c r="A397" s="149">
        <v>0.81804864650410469</v>
      </c>
      <c r="B397" s="150">
        <f t="shared" si="42"/>
        <v>44.3799581445735</v>
      </c>
      <c r="C397" s="24">
        <f t="shared" si="40"/>
        <v>-5850.3717072712852</v>
      </c>
      <c r="H397" s="66"/>
      <c r="I397" s="66"/>
      <c r="J397" s="66"/>
      <c r="K397" s="66"/>
      <c r="L397" s="66"/>
      <c r="N397" s="5">
        <v>5.5687401024566499E-2</v>
      </c>
      <c r="O397" s="19">
        <f t="shared" si="43"/>
        <v>5.7267131452098718E-2</v>
      </c>
      <c r="P397" s="12">
        <f t="shared" si="41"/>
        <v>-5592.705636085504</v>
      </c>
    </row>
    <row r="398" spans="1:16">
      <c r="A398" s="149">
        <v>0.8223212378307444</v>
      </c>
      <c r="B398" s="150">
        <f t="shared" si="42"/>
        <v>44.496907274358321</v>
      </c>
      <c r="C398" s="24">
        <f t="shared" si="40"/>
        <v>-5850.3717072712852</v>
      </c>
      <c r="H398" s="66"/>
      <c r="I398" s="66"/>
      <c r="J398" s="66"/>
      <c r="K398" s="66"/>
      <c r="L398" s="66"/>
      <c r="N398" s="5">
        <v>1.6993775213573828E-2</v>
      </c>
      <c r="O398" s="19">
        <f t="shared" si="43"/>
        <v>1.7138990832550993E-2</v>
      </c>
      <c r="P398" s="12">
        <f t="shared" si="41"/>
        <v>-7282.4388499974402</v>
      </c>
    </row>
    <row r="399" spans="1:16">
      <c r="A399" s="149">
        <v>0.86196478164006474</v>
      </c>
      <c r="B399" s="150">
        <f t="shared" si="42"/>
        <v>45.649108436152638</v>
      </c>
      <c r="C399" s="24">
        <f t="shared" si="40"/>
        <v>-5850.3717072712852</v>
      </c>
      <c r="H399" s="66"/>
      <c r="I399" s="66"/>
      <c r="J399" s="66"/>
      <c r="K399" s="66"/>
      <c r="L399" s="66"/>
      <c r="N399" s="5">
        <v>6.4194260355303415E-2</v>
      </c>
      <c r="O399" s="19">
        <f t="shared" si="43"/>
        <v>6.629951836658754E-2</v>
      </c>
      <c r="P399" s="12">
        <f t="shared" si="41"/>
        <v>-5296.7611145143755</v>
      </c>
    </row>
    <row r="400" spans="1:16">
      <c r="A400" s="149">
        <v>0.25312051759392074</v>
      </c>
      <c r="B400" s="150">
        <f t="shared" si="42"/>
        <v>29.616766520494096</v>
      </c>
      <c r="C400" s="24">
        <f t="shared" ref="C400:C463" si="44">IF($B400&lt;15,B$8*(B$10^$B400)-B$7*(1-B$10^$B400)/B$11, -B$7*(1-B$10^15)/B$11)</f>
        <v>-5850.3717072712852</v>
      </c>
      <c r="H400" s="66"/>
      <c r="I400" s="66"/>
      <c r="J400" s="66"/>
      <c r="K400" s="66"/>
      <c r="L400" s="66"/>
      <c r="N400" s="5">
        <v>4.0600072859102512E-2</v>
      </c>
      <c r="O400" s="19">
        <f t="shared" si="43"/>
        <v>4.1435523918372574E-2</v>
      </c>
      <c r="P400" s="12">
        <f t="shared" ref="P400:P463" si="45">IF($B400&lt;15,B$8*((1+O400)^-$B400)-B$7*(1-(1+O400)^-$B400)/LN(1+O400), -B$7*(1-(1+O400)^-15)/LN(1+O400))</f>
        <v>-6178.7661652320648</v>
      </c>
    </row>
    <row r="401" spans="1:16">
      <c r="A401" s="149">
        <v>4.6815393536179695E-2</v>
      </c>
      <c r="B401" s="150">
        <f t="shared" ref="B401:B464" si="46">LN(1-LN(B$4)*(LN(1-A401)/(B$3*B$4^50)))/LN(B$4)</f>
        <v>15.508649952323122</v>
      </c>
      <c r="C401" s="24">
        <f t="shared" si="44"/>
        <v>-5850.3717072712852</v>
      </c>
      <c r="H401" s="66"/>
      <c r="I401" s="66"/>
      <c r="J401" s="66"/>
      <c r="K401" s="66"/>
      <c r="L401" s="66"/>
      <c r="N401" s="5">
        <v>7.1230531100023656E-2</v>
      </c>
      <c r="O401" s="19">
        <f t="shared" ref="O401:O464" si="47">EXP(N401)-1</f>
        <v>7.3828748259029853E-2</v>
      </c>
      <c r="P401" s="12">
        <f t="shared" si="45"/>
        <v>-5068.8121173206246</v>
      </c>
    </row>
    <row r="402" spans="1:16">
      <c r="A402" s="149">
        <v>0.77159947508163707</v>
      </c>
      <c r="B402" s="150">
        <f t="shared" si="46"/>
        <v>43.171104427810143</v>
      </c>
      <c r="C402" s="24">
        <f t="shared" si="44"/>
        <v>-5850.3717072712852</v>
      </c>
      <c r="H402" s="66"/>
      <c r="I402" s="66"/>
      <c r="J402" s="66"/>
      <c r="K402" s="66"/>
      <c r="L402" s="66"/>
      <c r="N402" s="5">
        <v>6.675843378355785E-2</v>
      </c>
      <c r="O402" s="19">
        <f t="shared" si="47"/>
        <v>6.9037203708127715E-2</v>
      </c>
      <c r="P402" s="12">
        <f t="shared" si="45"/>
        <v>-5211.9950953027628</v>
      </c>
    </row>
    <row r="403" spans="1:16">
      <c r="A403" s="149">
        <v>0.7576525162511063</v>
      </c>
      <c r="B403" s="150">
        <f t="shared" si="46"/>
        <v>42.825483866294547</v>
      </c>
      <c r="C403" s="24">
        <f t="shared" si="44"/>
        <v>-5850.3717072712852</v>
      </c>
      <c r="H403" s="66"/>
      <c r="I403" s="66"/>
      <c r="J403" s="66"/>
      <c r="K403" s="66"/>
      <c r="L403" s="66"/>
      <c r="N403" s="5">
        <v>4.5716419160395164E-2</v>
      </c>
      <c r="O403" s="19">
        <f t="shared" si="47"/>
        <v>4.6777522814233308E-2</v>
      </c>
      <c r="P403" s="12">
        <f t="shared" si="45"/>
        <v>-5970.6602018277581</v>
      </c>
    </row>
    <row r="404" spans="1:16">
      <c r="A404" s="149">
        <v>0.38425855281228066</v>
      </c>
      <c r="B404" s="150">
        <f t="shared" si="46"/>
        <v>33.823799302914836</v>
      </c>
      <c r="C404" s="24">
        <f t="shared" si="44"/>
        <v>-5850.3717072712852</v>
      </c>
      <c r="H404" s="66"/>
      <c r="I404" s="66"/>
      <c r="J404" s="66"/>
      <c r="K404" s="66"/>
      <c r="L404" s="66"/>
      <c r="N404" s="5">
        <v>8.5346855437033811E-2</v>
      </c>
      <c r="O404" s="19">
        <f t="shared" si="47"/>
        <v>8.9094759631011433E-2</v>
      </c>
      <c r="P404" s="12">
        <f t="shared" si="45"/>
        <v>-4652.9013480090607</v>
      </c>
    </row>
    <row r="405" spans="1:16">
      <c r="A405" s="149">
        <v>5.2369762260811185E-2</v>
      </c>
      <c r="B405" s="150">
        <f t="shared" si="46"/>
        <v>16.335365905495731</v>
      </c>
      <c r="C405" s="24">
        <f t="shared" si="44"/>
        <v>-5850.3717072712852</v>
      </c>
      <c r="H405" s="66"/>
      <c r="I405" s="66"/>
      <c r="J405" s="66"/>
      <c r="K405" s="66"/>
      <c r="L405" s="66"/>
      <c r="N405" s="5">
        <v>2.5169934312667466E-2</v>
      </c>
      <c r="O405" s="19">
        <f t="shared" si="47"/>
        <v>2.548937154989761E-2</v>
      </c>
      <c r="P405" s="12">
        <f t="shared" si="45"/>
        <v>-6871.4212069095465</v>
      </c>
    </row>
    <row r="406" spans="1:16">
      <c r="A406" s="149">
        <v>0.99749748222296819</v>
      </c>
      <c r="B406" s="150">
        <f t="shared" si="46"/>
        <v>55.020975183080367</v>
      </c>
      <c r="C406" s="24">
        <f t="shared" si="44"/>
        <v>-5850.3717072712852</v>
      </c>
      <c r="H406" s="66"/>
      <c r="I406" s="66"/>
      <c r="J406" s="66"/>
      <c r="K406" s="66"/>
      <c r="L406" s="66"/>
      <c r="N406" s="5">
        <v>3.2038800051974251E-2</v>
      </c>
      <c r="O406" s="19">
        <f t="shared" si="47"/>
        <v>3.2557567815197253E-2</v>
      </c>
      <c r="P406" s="12">
        <f t="shared" si="45"/>
        <v>-6550.4060503865267</v>
      </c>
    </row>
    <row r="407" spans="1:16">
      <c r="A407" s="149">
        <v>3.3875545518356885E-2</v>
      </c>
      <c r="B407" s="150">
        <f t="shared" si="46"/>
        <v>13.223574389468682</v>
      </c>
      <c r="C407" s="24">
        <f t="shared" si="44"/>
        <v>99554.150358494444</v>
      </c>
      <c r="H407" s="66"/>
      <c r="I407" s="66"/>
      <c r="J407" s="66"/>
      <c r="K407" s="66"/>
      <c r="L407" s="66"/>
      <c r="N407" s="5">
        <v>6.7353584606404185E-2</v>
      </c>
      <c r="O407" s="19">
        <f t="shared" si="47"/>
        <v>6.967363144602845E-2</v>
      </c>
      <c r="P407" s="12">
        <f t="shared" si="45"/>
        <v>77262.661756269619</v>
      </c>
    </row>
    <row r="408" spans="1:16">
      <c r="A408" s="149">
        <v>0.64894558549760428</v>
      </c>
      <c r="B408" s="150">
        <f t="shared" si="46"/>
        <v>40.271796718033343</v>
      </c>
      <c r="C408" s="24">
        <f t="shared" si="44"/>
        <v>-5850.3717072712852</v>
      </c>
      <c r="H408" s="66"/>
      <c r="I408" s="66"/>
      <c r="J408" s="66"/>
      <c r="K408" s="66"/>
      <c r="L408" s="66"/>
      <c r="N408" s="5">
        <v>1.4611199228180341E-2</v>
      </c>
      <c r="O408" s="19">
        <f t="shared" si="47"/>
        <v>1.4718464588080682E-2</v>
      </c>
      <c r="P408" s="12">
        <f t="shared" si="45"/>
        <v>-7408.5137641867286</v>
      </c>
    </row>
    <row r="409" spans="1:16">
      <c r="A409" s="149">
        <v>0.1129490035706656</v>
      </c>
      <c r="B409" s="150">
        <f t="shared" si="46"/>
        <v>22.424974943080503</v>
      </c>
      <c r="C409" s="24">
        <f t="shared" si="44"/>
        <v>-5850.3717072712852</v>
      </c>
      <c r="H409" s="66"/>
      <c r="I409" s="66"/>
      <c r="J409" s="66"/>
      <c r="K409" s="66"/>
      <c r="L409" s="66"/>
      <c r="N409" s="5">
        <v>3.331280420037365E-2</v>
      </c>
      <c r="O409" s="19">
        <f t="shared" si="47"/>
        <v>3.3873888761186022E-2</v>
      </c>
      <c r="P409" s="12">
        <f t="shared" si="45"/>
        <v>-6493.1608508042527</v>
      </c>
    </row>
    <row r="410" spans="1:16">
      <c r="A410" s="149">
        <v>0.84737693411053805</v>
      </c>
      <c r="B410" s="150">
        <f t="shared" si="46"/>
        <v>45.209169351366377</v>
      </c>
      <c r="C410" s="24">
        <f t="shared" si="44"/>
        <v>-5850.3717072712852</v>
      </c>
      <c r="H410" s="66"/>
      <c r="I410" s="66"/>
      <c r="J410" s="66"/>
      <c r="K410" s="66"/>
      <c r="L410" s="66"/>
      <c r="N410" s="5">
        <v>5.6234768814771088E-2</v>
      </c>
      <c r="O410" s="19">
        <f t="shared" si="47"/>
        <v>5.7846003839094218E-2</v>
      </c>
      <c r="P410" s="12">
        <f t="shared" si="45"/>
        <v>-5572.9560831692515</v>
      </c>
    </row>
    <row r="411" spans="1:16">
      <c r="A411" s="149">
        <v>0.6020691549424726</v>
      </c>
      <c r="B411" s="150">
        <f t="shared" si="46"/>
        <v>39.199106024095094</v>
      </c>
      <c r="C411" s="24">
        <f t="shared" si="44"/>
        <v>-5850.3717072712852</v>
      </c>
      <c r="H411" s="66"/>
      <c r="I411" s="66"/>
      <c r="J411" s="66"/>
      <c r="K411" s="66"/>
      <c r="L411" s="66"/>
      <c r="N411" s="5">
        <v>7.6330438284581761E-2</v>
      </c>
      <c r="O411" s="19">
        <f t="shared" si="47"/>
        <v>7.9319163611575538E-2</v>
      </c>
      <c r="P411" s="12">
        <f t="shared" si="45"/>
        <v>-4912.4471569750322</v>
      </c>
    </row>
    <row r="412" spans="1:16">
      <c r="A412" s="149">
        <v>0.95205542161320844</v>
      </c>
      <c r="B412" s="150">
        <f t="shared" si="46"/>
        <v>49.268236170200318</v>
      </c>
      <c r="C412" s="24">
        <f t="shared" si="44"/>
        <v>-5850.3717072712852</v>
      </c>
      <c r="H412" s="66"/>
      <c r="I412" s="66"/>
      <c r="J412" s="66"/>
      <c r="K412" s="66"/>
      <c r="L412" s="66"/>
      <c r="N412" s="5">
        <v>4.1312598975433504E-2</v>
      </c>
      <c r="O412" s="19">
        <f t="shared" si="47"/>
        <v>4.2177838355445196E-2</v>
      </c>
      <c r="P412" s="12">
        <f t="shared" si="45"/>
        <v>-6149.1780078900802</v>
      </c>
    </row>
    <row r="413" spans="1:16">
      <c r="A413" s="149">
        <v>9.6621601001007112E-2</v>
      </c>
      <c r="B413" s="150">
        <f t="shared" si="46"/>
        <v>21.131291398885487</v>
      </c>
      <c r="C413" s="24">
        <f t="shared" si="44"/>
        <v>-5850.3717072712852</v>
      </c>
      <c r="H413" s="66"/>
      <c r="I413" s="66"/>
      <c r="J413" s="66"/>
      <c r="K413" s="66"/>
      <c r="L413" s="66"/>
      <c r="N413" s="5">
        <v>6.9451325495843777E-2</v>
      </c>
      <c r="O413" s="19">
        <f t="shared" si="47"/>
        <v>7.1919884766063813E-2</v>
      </c>
      <c r="P413" s="12">
        <f t="shared" si="45"/>
        <v>-5125.0812473655924</v>
      </c>
    </row>
    <row r="414" spans="1:16">
      <c r="A414" s="149">
        <v>0.46958830530716877</v>
      </c>
      <c r="B414" s="150">
        <f t="shared" si="46"/>
        <v>36.063683221770091</v>
      </c>
      <c r="C414" s="24">
        <f t="shared" si="44"/>
        <v>-5850.3717072712852</v>
      </c>
      <c r="H414" s="66"/>
      <c r="I414" s="66"/>
      <c r="J414" s="66"/>
      <c r="K414" s="66"/>
      <c r="L414" s="66"/>
      <c r="N414" s="5">
        <v>8.267015297984473E-3</v>
      </c>
      <c r="O414" s="19">
        <f t="shared" si="47"/>
        <v>8.3012814300780224E-3</v>
      </c>
      <c r="P414" s="12">
        <f t="shared" si="45"/>
        <v>-7758.9826533859377</v>
      </c>
    </row>
    <row r="415" spans="1:16">
      <c r="A415" s="149">
        <v>0.25995666371654408</v>
      </c>
      <c r="B415" s="150">
        <f t="shared" si="46"/>
        <v>29.872205239696349</v>
      </c>
      <c r="C415" s="24">
        <f t="shared" si="44"/>
        <v>-5850.3717072712852</v>
      </c>
      <c r="H415" s="66"/>
      <c r="I415" s="66"/>
      <c r="J415" s="66"/>
      <c r="K415" s="66"/>
      <c r="L415" s="66"/>
      <c r="N415" s="5">
        <v>3.0777481421988342E-2</v>
      </c>
      <c r="O415" s="19">
        <f t="shared" si="47"/>
        <v>3.1256004733817733E-2</v>
      </c>
      <c r="P415" s="12">
        <f t="shared" si="45"/>
        <v>-6607.7742364382084</v>
      </c>
    </row>
    <row r="416" spans="1:16">
      <c r="A416" s="149">
        <v>0.67244483779412212</v>
      </c>
      <c r="B416" s="150">
        <f t="shared" si="46"/>
        <v>40.811324966136496</v>
      </c>
      <c r="C416" s="24">
        <f t="shared" si="44"/>
        <v>-5850.3717072712852</v>
      </c>
      <c r="H416" s="66"/>
      <c r="I416" s="66"/>
      <c r="J416" s="66"/>
      <c r="K416" s="66"/>
      <c r="L416" s="66"/>
      <c r="N416" s="5">
        <v>2.1427843373327052E-2</v>
      </c>
      <c r="O416" s="19">
        <f t="shared" si="47"/>
        <v>2.1659068205672316E-2</v>
      </c>
      <c r="P416" s="12">
        <f t="shared" si="45"/>
        <v>-7055.4843027996212</v>
      </c>
    </row>
    <row r="417" spans="1:16">
      <c r="A417" s="149">
        <v>5.0660725730155343E-2</v>
      </c>
      <c r="B417" s="150">
        <f t="shared" si="46"/>
        <v>16.088951740180732</v>
      </c>
      <c r="C417" s="24">
        <f t="shared" si="44"/>
        <v>-5850.3717072712852</v>
      </c>
      <c r="H417" s="66"/>
      <c r="I417" s="66"/>
      <c r="J417" s="66"/>
      <c r="K417" s="66"/>
      <c r="L417" s="66"/>
      <c r="N417" s="5">
        <v>1.7911077927361477E-2</v>
      </c>
      <c r="O417" s="19">
        <f t="shared" si="47"/>
        <v>1.8072443252906023E-2</v>
      </c>
      <c r="P417" s="12">
        <f t="shared" si="45"/>
        <v>-7234.678134459612</v>
      </c>
    </row>
    <row r="418" spans="1:16">
      <c r="A418" s="149">
        <v>0.66997283852656642</v>
      </c>
      <c r="B418" s="150">
        <f t="shared" si="46"/>
        <v>40.754408812325188</v>
      </c>
      <c r="C418" s="24">
        <f t="shared" si="44"/>
        <v>-5850.3717072712852</v>
      </c>
      <c r="H418" s="66"/>
      <c r="I418" s="66"/>
      <c r="J418" s="66"/>
      <c r="K418" s="66"/>
      <c r="L418" s="66"/>
      <c r="N418" s="5">
        <v>5.5462185125303223E-2</v>
      </c>
      <c r="O418" s="19">
        <f t="shared" si="47"/>
        <v>5.7029044895772651E-2</v>
      </c>
      <c r="P418" s="12">
        <f t="shared" si="45"/>
        <v>-5600.8607747059095</v>
      </c>
    </row>
    <row r="419" spans="1:16">
      <c r="A419" s="149">
        <v>0.24668111209448532</v>
      </c>
      <c r="B419" s="150">
        <f t="shared" si="46"/>
        <v>29.371138931113229</v>
      </c>
      <c r="C419" s="24">
        <f t="shared" si="44"/>
        <v>-5850.3717072712852</v>
      </c>
      <c r="H419" s="66"/>
      <c r="I419" s="66"/>
      <c r="J419" s="66"/>
      <c r="K419" s="66"/>
      <c r="L419" s="66"/>
      <c r="N419" s="5">
        <v>0.10463892608380411</v>
      </c>
      <c r="O419" s="19">
        <f t="shared" si="47"/>
        <v>0.11030963412124972</v>
      </c>
      <c r="P419" s="12">
        <f t="shared" si="45"/>
        <v>-4162.1941558030494</v>
      </c>
    </row>
    <row r="420" spans="1:16">
      <c r="A420" s="149">
        <v>0.62227240821558272</v>
      </c>
      <c r="B420" s="150">
        <f t="shared" si="46"/>
        <v>39.661610212688053</v>
      </c>
      <c r="C420" s="24">
        <f t="shared" si="44"/>
        <v>-5850.3717072712852</v>
      </c>
      <c r="H420" s="66"/>
      <c r="I420" s="66"/>
      <c r="J420" s="66"/>
      <c r="K420" s="66"/>
      <c r="L420" s="66"/>
      <c r="N420" s="5">
        <v>1.1317348205135205E-2</v>
      </c>
      <c r="O420" s="19">
        <f t="shared" si="47"/>
        <v>1.1381631667559899E-2</v>
      </c>
      <c r="P420" s="12">
        <f t="shared" si="45"/>
        <v>-7587.7383757247908</v>
      </c>
    </row>
    <row r="421" spans="1:16">
      <c r="A421" s="149">
        <v>0.44932401501510666</v>
      </c>
      <c r="B421" s="150">
        <f t="shared" si="46"/>
        <v>35.553847761565692</v>
      </c>
      <c r="C421" s="24">
        <f t="shared" si="44"/>
        <v>-5850.3717072712852</v>
      </c>
      <c r="H421" s="66"/>
      <c r="I421" s="66"/>
      <c r="J421" s="66"/>
      <c r="K421" s="66"/>
      <c r="L421" s="66"/>
      <c r="N421" s="5">
        <v>8.7331714391562856E-2</v>
      </c>
      <c r="O421" s="19">
        <f t="shared" si="47"/>
        <v>9.1258605871386678E-2</v>
      </c>
      <c r="P421" s="12">
        <f t="shared" si="45"/>
        <v>-4598.5054565016553</v>
      </c>
    </row>
    <row r="422" spans="1:16">
      <c r="A422" s="149">
        <v>0.79384746848963894</v>
      </c>
      <c r="B422" s="150">
        <f t="shared" si="46"/>
        <v>43.737390239849177</v>
      </c>
      <c r="C422" s="24">
        <f t="shared" si="44"/>
        <v>-5850.3717072712852</v>
      </c>
      <c r="H422" s="66"/>
      <c r="I422" s="66"/>
      <c r="J422" s="66"/>
      <c r="K422" s="66"/>
      <c r="L422" s="66"/>
      <c r="N422" s="5">
        <v>4.1898406900269039E-2</v>
      </c>
      <c r="O422" s="19">
        <f t="shared" si="47"/>
        <v>4.2788533249731753E-2</v>
      </c>
      <c r="P422" s="12">
        <f t="shared" si="45"/>
        <v>-6125.0009249978202</v>
      </c>
    </row>
    <row r="423" spans="1:16">
      <c r="A423" s="149">
        <v>0.72222052674947357</v>
      </c>
      <c r="B423" s="150">
        <f t="shared" si="46"/>
        <v>41.971873510026533</v>
      </c>
      <c r="C423" s="24">
        <f t="shared" si="44"/>
        <v>-5850.3717072712852</v>
      </c>
      <c r="H423" s="66"/>
      <c r="I423" s="66"/>
      <c r="J423" s="66"/>
      <c r="K423" s="66"/>
      <c r="L423" s="66"/>
      <c r="N423" s="5">
        <v>1.0918316044932E-2</v>
      </c>
      <c r="O423" s="19">
        <f t="shared" si="47"/>
        <v>1.0978138379038826E-2</v>
      </c>
      <c r="P423" s="12">
        <f t="shared" si="45"/>
        <v>-7609.8477914579744</v>
      </c>
    </row>
    <row r="424" spans="1:16">
      <c r="A424" s="149">
        <v>0.23450422681356242</v>
      </c>
      <c r="B424" s="150">
        <f t="shared" si="46"/>
        <v>28.8923959328142</v>
      </c>
      <c r="C424" s="24">
        <f t="shared" si="44"/>
        <v>-5850.3717072712852</v>
      </c>
      <c r="H424" s="66"/>
      <c r="I424" s="66"/>
      <c r="J424" s="66"/>
      <c r="K424" s="66"/>
      <c r="L424" s="66"/>
      <c r="N424" s="5">
        <v>5.6225042337369815E-2</v>
      </c>
      <c r="O424" s="19">
        <f t="shared" si="47"/>
        <v>5.7835714773882163E-2</v>
      </c>
      <c r="P424" s="12">
        <f t="shared" si="45"/>
        <v>-5573.306150568922</v>
      </c>
    </row>
    <row r="425" spans="1:16">
      <c r="A425" s="149">
        <v>0.7559739982299265</v>
      </c>
      <c r="B425" s="150">
        <f t="shared" si="46"/>
        <v>42.784306204738833</v>
      </c>
      <c r="C425" s="24">
        <f t="shared" si="44"/>
        <v>-5850.3717072712852</v>
      </c>
      <c r="H425" s="66"/>
      <c r="I425" s="66"/>
      <c r="J425" s="66"/>
      <c r="K425" s="66"/>
      <c r="L425" s="66"/>
      <c r="N425" s="5">
        <v>9.6692476242547856E-2</v>
      </c>
      <c r="O425" s="19">
        <f t="shared" si="47"/>
        <v>0.10152157747532886</v>
      </c>
      <c r="P425" s="12">
        <f t="shared" si="45"/>
        <v>-4354.3851089543805</v>
      </c>
    </row>
    <row r="426" spans="1:16">
      <c r="A426" s="149">
        <v>0.66454054383983885</v>
      </c>
      <c r="B426" s="150">
        <f t="shared" si="46"/>
        <v>40.629487496361733</v>
      </c>
      <c r="C426" s="24">
        <f t="shared" si="44"/>
        <v>-5850.3717072712852</v>
      </c>
      <c r="H426" s="66"/>
      <c r="I426" s="66"/>
      <c r="J426" s="66"/>
      <c r="K426" s="66"/>
      <c r="L426" s="66"/>
      <c r="N426" s="5">
        <v>-1.2287908296333624E-2</v>
      </c>
      <c r="O426" s="19">
        <f t="shared" si="47"/>
        <v>-1.2212720234286212E-2</v>
      </c>
      <c r="P426" s="12">
        <f t="shared" si="45"/>
        <v>-9059.262078934722</v>
      </c>
    </row>
    <row r="427" spans="1:16">
      <c r="A427" s="149">
        <v>7.6235236671040985E-2</v>
      </c>
      <c r="B427" s="150">
        <f t="shared" si="46"/>
        <v>19.222026806340441</v>
      </c>
      <c r="C427" s="24">
        <f t="shared" si="44"/>
        <v>-5850.3717072712852</v>
      </c>
      <c r="H427" s="66"/>
      <c r="I427" s="66"/>
      <c r="J427" s="66"/>
      <c r="K427" s="66"/>
      <c r="L427" s="66"/>
      <c r="N427" s="5">
        <v>4.662037879109994E-2</v>
      </c>
      <c r="O427" s="19">
        <f t="shared" si="47"/>
        <v>4.7724195249555068E-2</v>
      </c>
      <c r="P427" s="12">
        <f t="shared" si="45"/>
        <v>-5934.9235407677415</v>
      </c>
    </row>
    <row r="428" spans="1:16">
      <c r="A428" s="149">
        <v>0.26035340433973203</v>
      </c>
      <c r="B428" s="150">
        <f t="shared" si="46"/>
        <v>29.886867633143904</v>
      </c>
      <c r="C428" s="24">
        <f t="shared" si="44"/>
        <v>-5850.3717072712852</v>
      </c>
      <c r="H428" s="66"/>
      <c r="I428" s="66"/>
      <c r="J428" s="66"/>
      <c r="K428" s="66"/>
      <c r="L428" s="66"/>
      <c r="N428" s="5">
        <v>5.0784872834934505E-2</v>
      </c>
      <c r="O428" s="19">
        <f t="shared" si="47"/>
        <v>5.2096534391284699E-2</v>
      </c>
      <c r="P428" s="12">
        <f t="shared" si="45"/>
        <v>-5774.1432320903205</v>
      </c>
    </row>
    <row r="429" spans="1:16">
      <c r="A429" s="149">
        <v>0.45579393902401805</v>
      </c>
      <c r="B429" s="150">
        <f t="shared" si="46"/>
        <v>35.717887192165378</v>
      </c>
      <c r="C429" s="24">
        <f t="shared" si="44"/>
        <v>-5850.3717072712852</v>
      </c>
      <c r="H429" s="66"/>
      <c r="I429" s="66"/>
      <c r="J429" s="66"/>
      <c r="K429" s="66"/>
      <c r="L429" s="66"/>
      <c r="N429" s="5">
        <v>2.2683353515400087E-2</v>
      </c>
      <c r="O429" s="19">
        <f t="shared" si="47"/>
        <v>2.2942577088154836E-2</v>
      </c>
      <c r="P429" s="12">
        <f t="shared" si="45"/>
        <v>-6992.982631130596</v>
      </c>
    </row>
    <row r="430" spans="1:16">
      <c r="A430" s="149">
        <v>0.11001922666096987</v>
      </c>
      <c r="B430" s="150">
        <f t="shared" si="46"/>
        <v>22.205220988485983</v>
      </c>
      <c r="C430" s="24">
        <f t="shared" si="44"/>
        <v>-5850.3717072712852</v>
      </c>
      <c r="H430" s="66"/>
      <c r="I430" s="66"/>
      <c r="J430" s="66"/>
      <c r="K430" s="66"/>
      <c r="L430" s="66"/>
      <c r="N430" s="5">
        <v>7.2617225393638365E-2</v>
      </c>
      <c r="O430" s="19">
        <f t="shared" si="47"/>
        <v>7.531885337791322E-2</v>
      </c>
      <c r="P430" s="12">
        <f t="shared" si="45"/>
        <v>-5025.5808605087695</v>
      </c>
    </row>
    <row r="431" spans="1:16">
      <c r="A431" s="149">
        <v>0.47392193365276042</v>
      </c>
      <c r="B431" s="150">
        <f t="shared" si="46"/>
        <v>36.171272359248228</v>
      </c>
      <c r="C431" s="24">
        <f t="shared" si="44"/>
        <v>-5850.3717072712852</v>
      </c>
      <c r="H431" s="66"/>
      <c r="I431" s="66"/>
      <c r="J431" s="66"/>
      <c r="K431" s="66"/>
      <c r="L431" s="66"/>
      <c r="N431" s="5">
        <v>7.5847621426088155E-2</v>
      </c>
      <c r="O431" s="19">
        <f t="shared" si="47"/>
        <v>7.8798175904633228E-2</v>
      </c>
      <c r="P431" s="12">
        <f t="shared" si="45"/>
        <v>-4926.9445662304597</v>
      </c>
    </row>
    <row r="432" spans="1:16">
      <c r="A432" s="149">
        <v>0.75753044221320232</v>
      </c>
      <c r="B432" s="150">
        <f t="shared" si="46"/>
        <v>42.822486269600354</v>
      </c>
      <c r="C432" s="24">
        <f t="shared" si="44"/>
        <v>-5850.3717072712852</v>
      </c>
      <c r="H432" s="66"/>
      <c r="I432" s="66"/>
      <c r="J432" s="66"/>
      <c r="K432" s="66"/>
      <c r="L432" s="66"/>
      <c r="N432" s="5">
        <v>7.920892762480071E-2</v>
      </c>
      <c r="O432" s="19">
        <f t="shared" si="47"/>
        <v>8.24304480700353E-2</v>
      </c>
      <c r="P432" s="12">
        <f t="shared" si="45"/>
        <v>-4827.3065689306741</v>
      </c>
    </row>
    <row r="433" spans="1:16">
      <c r="A433" s="149">
        <v>0.21582689901425214</v>
      </c>
      <c r="B433" s="150">
        <f t="shared" si="46"/>
        <v>28.117714106587613</v>
      </c>
      <c r="C433" s="24">
        <f t="shared" si="44"/>
        <v>-5850.3717072712852</v>
      </c>
      <c r="H433" s="66"/>
      <c r="I433" s="66"/>
      <c r="J433" s="66"/>
      <c r="K433" s="66"/>
      <c r="L433" s="66"/>
      <c r="N433" s="5">
        <v>4.5747982264525491E-2</v>
      </c>
      <c r="O433" s="19">
        <f t="shared" si="47"/>
        <v>4.6810562883607965E-2</v>
      </c>
      <c r="P433" s="12">
        <f t="shared" si="45"/>
        <v>-5969.4072797823928</v>
      </c>
    </row>
    <row r="434" spans="1:16">
      <c r="A434" s="149">
        <v>0.10837122714926603</v>
      </c>
      <c r="B434" s="150">
        <f t="shared" si="46"/>
        <v>22.079389729074382</v>
      </c>
      <c r="C434" s="24">
        <f t="shared" si="44"/>
        <v>-5850.3717072712852</v>
      </c>
      <c r="H434" s="66"/>
      <c r="I434" s="66"/>
      <c r="J434" s="66"/>
      <c r="K434" s="66"/>
      <c r="L434" s="66"/>
      <c r="N434" s="5">
        <v>4.286760242588207E-2</v>
      </c>
      <c r="O434" s="19">
        <f t="shared" si="47"/>
        <v>4.3799689155055832E-2</v>
      </c>
      <c r="P434" s="12">
        <f t="shared" si="45"/>
        <v>-6085.2937708539666</v>
      </c>
    </row>
    <row r="435" spans="1:16">
      <c r="A435" s="149">
        <v>0.54390087588122193</v>
      </c>
      <c r="B435" s="150">
        <f t="shared" si="46"/>
        <v>37.853235765011867</v>
      </c>
      <c r="C435" s="24">
        <f t="shared" si="44"/>
        <v>-5850.3717072712852</v>
      </c>
      <c r="H435" s="66"/>
      <c r="I435" s="66"/>
      <c r="J435" s="66"/>
      <c r="K435" s="66"/>
      <c r="L435" s="66"/>
      <c r="N435" s="5">
        <v>5.4253745654146771E-2</v>
      </c>
      <c r="O435" s="19">
        <f t="shared" si="47"/>
        <v>5.5752460768438095E-2</v>
      </c>
      <c r="P435" s="12">
        <f t="shared" si="45"/>
        <v>-5644.9108988359612</v>
      </c>
    </row>
    <row r="436" spans="1:16">
      <c r="A436" s="149">
        <v>0.65117343668935213</v>
      </c>
      <c r="B436" s="150">
        <f t="shared" si="46"/>
        <v>40.32282797273637</v>
      </c>
      <c r="C436" s="24">
        <f t="shared" si="44"/>
        <v>-5850.3717072712852</v>
      </c>
      <c r="H436" s="66"/>
      <c r="I436" s="66"/>
      <c r="J436" s="66"/>
      <c r="K436" s="66"/>
      <c r="L436" s="66"/>
      <c r="N436" s="5">
        <v>5.9309678201439966E-2</v>
      </c>
      <c r="O436" s="19">
        <f t="shared" si="47"/>
        <v>6.1103790578579398E-2</v>
      </c>
      <c r="P436" s="12">
        <f t="shared" si="45"/>
        <v>-5463.8499168510598</v>
      </c>
    </row>
    <row r="437" spans="1:16">
      <c r="A437" s="149">
        <v>0.32770775475325786</v>
      </c>
      <c r="B437" s="150">
        <f t="shared" si="46"/>
        <v>32.161442965298242</v>
      </c>
      <c r="C437" s="24">
        <f t="shared" si="44"/>
        <v>-5850.3717072712852</v>
      </c>
      <c r="H437" s="66"/>
      <c r="I437" s="66"/>
      <c r="J437" s="66"/>
      <c r="K437" s="66"/>
      <c r="L437" s="66"/>
      <c r="N437" s="5">
        <v>6.040367402159609E-2</v>
      </c>
      <c r="O437" s="19">
        <f t="shared" si="47"/>
        <v>6.2265268900598247E-2</v>
      </c>
      <c r="P437" s="12">
        <f t="shared" si="45"/>
        <v>-5425.7725986430078</v>
      </c>
    </row>
    <row r="438" spans="1:16">
      <c r="A438" s="149">
        <v>8.3956419568468277E-2</v>
      </c>
      <c r="B438" s="150">
        <f t="shared" si="46"/>
        <v>19.991362636177829</v>
      </c>
      <c r="C438" s="24">
        <f t="shared" si="44"/>
        <v>-5850.3717072712852</v>
      </c>
      <c r="H438" s="66"/>
      <c r="I438" s="66"/>
      <c r="J438" s="66"/>
      <c r="K438" s="66"/>
      <c r="L438" s="66"/>
      <c r="N438" s="5">
        <v>7.620867922663456E-2</v>
      </c>
      <c r="O438" s="19">
        <f t="shared" si="47"/>
        <v>7.9187754727263027E-2</v>
      </c>
      <c r="P438" s="12">
        <f t="shared" si="45"/>
        <v>-4916.09725484919</v>
      </c>
    </row>
    <row r="439" spans="1:16">
      <c r="A439" s="149">
        <v>0.61531418805505544</v>
      </c>
      <c r="B439" s="150">
        <f t="shared" si="46"/>
        <v>39.502434918273131</v>
      </c>
      <c r="C439" s="24">
        <f t="shared" si="44"/>
        <v>-5850.3717072712852</v>
      </c>
      <c r="H439" s="66"/>
      <c r="I439" s="66"/>
      <c r="J439" s="66"/>
      <c r="K439" s="66"/>
      <c r="L439" s="66"/>
      <c r="N439" s="5">
        <v>2.2545484123053031E-2</v>
      </c>
      <c r="O439" s="19">
        <f t="shared" si="47"/>
        <v>2.2801554338229613E-2</v>
      </c>
      <c r="P439" s="12">
        <f t="shared" si="45"/>
        <v>-6999.8088237533657</v>
      </c>
    </row>
    <row r="440" spans="1:16">
      <c r="A440" s="149">
        <v>0.64778588213751642</v>
      </c>
      <c r="B440" s="150">
        <f t="shared" si="46"/>
        <v>40.24523942437083</v>
      </c>
      <c r="C440" s="24">
        <f t="shared" si="44"/>
        <v>-5850.3717072712852</v>
      </c>
      <c r="H440" s="66"/>
      <c r="I440" s="66"/>
      <c r="J440" s="66"/>
      <c r="K440" s="66"/>
      <c r="L440" s="66"/>
      <c r="N440" s="5">
        <v>6.8834091459517369E-2</v>
      </c>
      <c r="O440" s="19">
        <f t="shared" si="47"/>
        <v>7.125846347583642E-2</v>
      </c>
      <c r="P440" s="12">
        <f t="shared" si="45"/>
        <v>-5144.8150615604782</v>
      </c>
    </row>
    <row r="441" spans="1:16">
      <c r="A441" s="149">
        <v>9.0212714011047704E-2</v>
      </c>
      <c r="B441" s="150">
        <f t="shared" si="46"/>
        <v>20.571602348961392</v>
      </c>
      <c r="C441" s="24">
        <f t="shared" si="44"/>
        <v>-5850.3717072712852</v>
      </c>
      <c r="H441" s="66"/>
      <c r="I441" s="66"/>
      <c r="J441" s="66"/>
      <c r="K441" s="66"/>
      <c r="L441" s="66"/>
      <c r="N441" s="5">
        <v>2.5760865762218602E-2</v>
      </c>
      <c r="O441" s="19">
        <f t="shared" si="47"/>
        <v>2.6095544556433925E-2</v>
      </c>
      <c r="P441" s="12">
        <f t="shared" si="45"/>
        <v>-6842.9603813188287</v>
      </c>
    </row>
    <row r="442" spans="1:16">
      <c r="A442" s="149">
        <v>0.38489944151127659</v>
      </c>
      <c r="B442" s="150">
        <f t="shared" si="46"/>
        <v>33.841673768533923</v>
      </c>
      <c r="C442" s="24">
        <f t="shared" si="44"/>
        <v>-5850.3717072712852</v>
      </c>
      <c r="H442" s="66"/>
      <c r="I442" s="66"/>
      <c r="J442" s="66"/>
      <c r="K442" s="66"/>
      <c r="L442" s="66"/>
      <c r="N442" s="5">
        <v>3.7843013794496075E-2</v>
      </c>
      <c r="O442" s="19">
        <f t="shared" si="47"/>
        <v>3.8568179202633557E-2</v>
      </c>
      <c r="P442" s="12">
        <f t="shared" si="45"/>
        <v>-6295.1570005260373</v>
      </c>
    </row>
    <row r="443" spans="1:16">
      <c r="A443" s="149">
        <v>0.40964995269631033</v>
      </c>
      <c r="B443" s="150">
        <f t="shared" si="46"/>
        <v>34.518183367789639</v>
      </c>
      <c r="C443" s="24">
        <f t="shared" si="44"/>
        <v>-5850.3717072712852</v>
      </c>
      <c r="H443" s="66"/>
      <c r="I443" s="66"/>
      <c r="J443" s="66"/>
      <c r="K443" s="66"/>
      <c r="L443" s="66"/>
      <c r="N443" s="5">
        <v>5.2046027073753068E-2</v>
      </c>
      <c r="O443" s="19">
        <f t="shared" si="47"/>
        <v>5.3424227432156135E-2</v>
      </c>
      <c r="P443" s="12">
        <f t="shared" si="45"/>
        <v>-5726.6753666927034</v>
      </c>
    </row>
    <row r="444" spans="1:16">
      <c r="A444" s="149">
        <v>0.78435621204260386</v>
      </c>
      <c r="B444" s="150">
        <f t="shared" si="46"/>
        <v>43.493313361757657</v>
      </c>
      <c r="C444" s="24">
        <f t="shared" si="44"/>
        <v>-5850.3717072712852</v>
      </c>
      <c r="H444" s="66"/>
      <c r="I444" s="66"/>
      <c r="J444" s="66"/>
      <c r="K444" s="66"/>
      <c r="L444" s="66"/>
      <c r="N444" s="5">
        <v>6.2769427310864559E-2</v>
      </c>
      <c r="O444" s="19">
        <f t="shared" si="47"/>
        <v>6.4781301437224936E-2</v>
      </c>
      <c r="P444" s="12">
        <f t="shared" si="45"/>
        <v>-5344.7293445621963</v>
      </c>
    </row>
    <row r="445" spans="1:16">
      <c r="A445" s="149">
        <v>0.28754539628284553</v>
      </c>
      <c r="B445" s="150">
        <f t="shared" si="46"/>
        <v>30.853016568002452</v>
      </c>
      <c r="C445" s="24">
        <f t="shared" si="44"/>
        <v>-5850.3717072712852</v>
      </c>
      <c r="H445" s="66"/>
      <c r="I445" s="66"/>
      <c r="J445" s="66"/>
      <c r="K445" s="66"/>
      <c r="L445" s="66"/>
      <c r="N445" s="5">
        <v>3.7590344570286108E-2</v>
      </c>
      <c r="O445" s="19">
        <f t="shared" si="47"/>
        <v>3.8305798135711555E-2</v>
      </c>
      <c r="P445" s="12">
        <f t="shared" si="45"/>
        <v>-6305.9768392821534</v>
      </c>
    </row>
    <row r="446" spans="1:16">
      <c r="A446" s="149">
        <v>0.47386089663380843</v>
      </c>
      <c r="B446" s="150">
        <f t="shared" si="46"/>
        <v>36.16976033972324</v>
      </c>
      <c r="C446" s="24">
        <f t="shared" si="44"/>
        <v>-5850.3717072712852</v>
      </c>
      <c r="H446" s="66"/>
      <c r="I446" s="66"/>
      <c r="J446" s="66"/>
      <c r="K446" s="66"/>
      <c r="L446" s="66"/>
      <c r="N446" s="5">
        <v>6.621046322573966E-2</v>
      </c>
      <c r="O446" s="19">
        <f t="shared" si="47"/>
        <v>6.8451563266797244E-2</v>
      </c>
      <c r="P446" s="12">
        <f t="shared" si="45"/>
        <v>-5229.9434618466576</v>
      </c>
    </row>
    <row r="447" spans="1:16">
      <c r="A447" s="149">
        <v>0.5943784905545213</v>
      </c>
      <c r="B447" s="150">
        <f t="shared" si="46"/>
        <v>39.022657722413882</v>
      </c>
      <c r="C447" s="24">
        <f t="shared" si="44"/>
        <v>-5850.3717072712852</v>
      </c>
      <c r="H447" s="66"/>
      <c r="I447" s="66"/>
      <c r="J447" s="66"/>
      <c r="K447" s="66"/>
      <c r="L447" s="66"/>
      <c r="N447" s="5">
        <v>5.2870147394183734E-2</v>
      </c>
      <c r="O447" s="19">
        <f t="shared" si="47"/>
        <v>5.4292733571640328E-2</v>
      </c>
      <c r="P447" s="12">
        <f t="shared" si="45"/>
        <v>-5695.9568383239994</v>
      </c>
    </row>
    <row r="448" spans="1:16">
      <c r="A448" s="149">
        <v>0.3932309945982238</v>
      </c>
      <c r="B448" s="150">
        <f t="shared" si="46"/>
        <v>34.07234342390997</v>
      </c>
      <c r="C448" s="24">
        <f t="shared" si="44"/>
        <v>-5850.3717072712852</v>
      </c>
      <c r="H448" s="66"/>
      <c r="I448" s="66"/>
      <c r="J448" s="66"/>
      <c r="K448" s="66"/>
      <c r="L448" s="66"/>
      <c r="N448" s="5">
        <v>5.5214584628753074E-2</v>
      </c>
      <c r="O448" s="19">
        <f t="shared" si="47"/>
        <v>5.6767356377828815E-2</v>
      </c>
      <c r="P448" s="12">
        <f t="shared" si="45"/>
        <v>-5609.8461402028233</v>
      </c>
    </row>
    <row r="449" spans="1:16">
      <c r="A449" s="149">
        <v>0.41914120914334546</v>
      </c>
      <c r="B449" s="150">
        <f t="shared" si="46"/>
        <v>34.771000890089859</v>
      </c>
      <c r="C449" s="24">
        <f t="shared" si="44"/>
        <v>-5850.3717072712852</v>
      </c>
      <c r="H449" s="66"/>
      <c r="I449" s="66"/>
      <c r="J449" s="66"/>
      <c r="K449" s="66"/>
      <c r="L449" s="66"/>
      <c r="N449" s="5">
        <v>1.9338102854031605E-2</v>
      </c>
      <c r="O449" s="19">
        <f t="shared" si="47"/>
        <v>1.9526295101278901E-2</v>
      </c>
      <c r="P449" s="12">
        <f t="shared" si="45"/>
        <v>-7161.2236684816644</v>
      </c>
    </row>
    <row r="450" spans="1:16">
      <c r="A450" s="149">
        <v>0.86248359630115667</v>
      </c>
      <c r="B450" s="150">
        <f t="shared" si="46"/>
        <v>45.665163596984314</v>
      </c>
      <c r="C450" s="24">
        <f t="shared" si="44"/>
        <v>-5850.3717072712852</v>
      </c>
      <c r="H450" s="66"/>
      <c r="I450" s="66"/>
      <c r="J450" s="66"/>
      <c r="K450" s="66"/>
      <c r="L450" s="66"/>
      <c r="N450" s="5">
        <v>4.0947486192759244E-2</v>
      </c>
      <c r="O450" s="19">
        <f t="shared" si="47"/>
        <v>4.1797395361368173E-2</v>
      </c>
      <c r="P450" s="12">
        <f t="shared" si="45"/>
        <v>-6164.314640570864</v>
      </c>
    </row>
    <row r="451" spans="1:16">
      <c r="A451" s="149">
        <v>0.10351878414258248</v>
      </c>
      <c r="B451" s="150">
        <f t="shared" si="46"/>
        <v>21.699092021627362</v>
      </c>
      <c r="C451" s="24">
        <f t="shared" si="44"/>
        <v>-5850.3717072712852</v>
      </c>
      <c r="H451" s="66"/>
      <c r="I451" s="66"/>
      <c r="J451" s="66"/>
      <c r="K451" s="66"/>
      <c r="L451" s="66"/>
      <c r="N451" s="5">
        <v>7.8009968044294511E-2</v>
      </c>
      <c r="O451" s="19">
        <f t="shared" si="47"/>
        <v>8.1133435402343856E-2</v>
      </c>
      <c r="P451" s="12">
        <f t="shared" si="45"/>
        <v>-4862.5030025618516</v>
      </c>
    </row>
    <row r="452" spans="1:16">
      <c r="A452" s="149">
        <v>0.76442762535477771</v>
      </c>
      <c r="B452" s="150">
        <f t="shared" si="46"/>
        <v>42.992577828748423</v>
      </c>
      <c r="C452" s="24">
        <f t="shared" si="44"/>
        <v>-5850.3717072712852</v>
      </c>
      <c r="H452" s="66"/>
      <c r="I452" s="66"/>
      <c r="J452" s="66"/>
      <c r="K452" s="66"/>
      <c r="L452" s="66"/>
      <c r="N452" s="5">
        <v>1.1036020120751347E-2</v>
      </c>
      <c r="O452" s="19">
        <f t="shared" si="47"/>
        <v>1.1097141629936802E-2</v>
      </c>
      <c r="P452" s="12">
        <f t="shared" si="45"/>
        <v>-7603.3170431385261</v>
      </c>
    </row>
    <row r="453" spans="1:16">
      <c r="A453" s="149">
        <v>0.83828241828669092</v>
      </c>
      <c r="B453" s="150">
        <f t="shared" si="46"/>
        <v>44.944952827160328</v>
      </c>
      <c r="C453" s="24">
        <f t="shared" si="44"/>
        <v>-5850.3717072712852</v>
      </c>
      <c r="H453" s="66"/>
      <c r="I453" s="66"/>
      <c r="J453" s="66"/>
      <c r="K453" s="66"/>
      <c r="L453" s="66"/>
      <c r="N453" s="5">
        <v>1.1450176268350334E-2</v>
      </c>
      <c r="O453" s="19">
        <f t="shared" si="47"/>
        <v>1.151598045331248E-2</v>
      </c>
      <c r="P453" s="12">
        <f t="shared" si="45"/>
        <v>-7580.3979638759592</v>
      </c>
    </row>
    <row r="454" spans="1:16">
      <c r="A454" s="149">
        <v>0.32172612689596242</v>
      </c>
      <c r="B454" s="150">
        <f t="shared" si="46"/>
        <v>31.97427639082256</v>
      </c>
      <c r="C454" s="24">
        <f t="shared" si="44"/>
        <v>-5850.3717072712852</v>
      </c>
      <c r="H454" s="66"/>
      <c r="I454" s="66"/>
      <c r="J454" s="66"/>
      <c r="K454" s="66"/>
      <c r="L454" s="66"/>
      <c r="N454" s="5">
        <v>1.7778578646481039E-2</v>
      </c>
      <c r="O454" s="19">
        <f t="shared" si="47"/>
        <v>1.7937558322566494E-2</v>
      </c>
      <c r="P454" s="12">
        <f t="shared" si="45"/>
        <v>-7241.5504661740497</v>
      </c>
    </row>
    <row r="455" spans="1:16">
      <c r="A455" s="149">
        <v>0.63270973845637379</v>
      </c>
      <c r="B455" s="150">
        <f t="shared" si="46"/>
        <v>39.900294276777586</v>
      </c>
      <c r="C455" s="24">
        <f t="shared" si="44"/>
        <v>-5850.3717072712852</v>
      </c>
      <c r="H455" s="66"/>
      <c r="I455" s="66"/>
      <c r="J455" s="66"/>
      <c r="K455" s="66"/>
      <c r="L455" s="66"/>
      <c r="N455" s="5">
        <v>5.4075573027272186E-2</v>
      </c>
      <c r="O455" s="19">
        <f t="shared" si="47"/>
        <v>5.5564371335865337E-2</v>
      </c>
      <c r="P455" s="12">
        <f t="shared" si="45"/>
        <v>-5651.4475632105814</v>
      </c>
    </row>
    <row r="456" spans="1:16">
      <c r="A456" s="149">
        <v>0.2862025818659017</v>
      </c>
      <c r="B456" s="150">
        <f t="shared" si="46"/>
        <v>30.806983526806501</v>
      </c>
      <c r="C456" s="24">
        <f t="shared" si="44"/>
        <v>-5850.3717072712852</v>
      </c>
      <c r="H456" s="66"/>
      <c r="I456" s="66"/>
      <c r="J456" s="66"/>
      <c r="K456" s="66"/>
      <c r="L456" s="66"/>
      <c r="N456" s="5">
        <v>5.2563146889166093E-2</v>
      </c>
      <c r="O456" s="19">
        <f t="shared" si="47"/>
        <v>5.3969114848094746E-2</v>
      </c>
      <c r="P456" s="12">
        <f t="shared" si="45"/>
        <v>-5707.372531613838</v>
      </c>
    </row>
    <row r="457" spans="1:16">
      <c r="A457" s="149">
        <v>0.45457319864497819</v>
      </c>
      <c r="B457" s="150">
        <f t="shared" si="46"/>
        <v>35.687030109699165</v>
      </c>
      <c r="C457" s="24">
        <f t="shared" si="44"/>
        <v>-5850.3717072712852</v>
      </c>
      <c r="H457" s="66"/>
      <c r="I457" s="66"/>
      <c r="J457" s="66"/>
      <c r="K457" s="66"/>
      <c r="L457" s="66"/>
      <c r="N457" s="5">
        <v>0.11017079845909029</v>
      </c>
      <c r="O457" s="19">
        <f t="shared" si="47"/>
        <v>0.11646874531624429</v>
      </c>
      <c r="P457" s="12">
        <f t="shared" si="45"/>
        <v>-4035.9407865193184</v>
      </c>
    </row>
    <row r="458" spans="1:16">
      <c r="A458" s="149">
        <v>0.39838862269966735</v>
      </c>
      <c r="B458" s="150">
        <f t="shared" si="46"/>
        <v>34.213606064993364</v>
      </c>
      <c r="C458" s="24">
        <f t="shared" si="44"/>
        <v>-5850.3717072712852</v>
      </c>
      <c r="H458" s="66"/>
      <c r="I458" s="66"/>
      <c r="J458" s="66"/>
      <c r="K458" s="66"/>
      <c r="L458" s="66"/>
      <c r="N458" s="5">
        <v>1.2978904530551519E-2</v>
      </c>
      <c r="O458" s="19">
        <f t="shared" si="47"/>
        <v>1.3063496084360304E-2</v>
      </c>
      <c r="P458" s="12">
        <f t="shared" si="45"/>
        <v>-7496.6042775491178</v>
      </c>
    </row>
    <row r="459" spans="1:16">
      <c r="A459" s="149">
        <v>0.21381267738883633</v>
      </c>
      <c r="B459" s="150">
        <f t="shared" si="46"/>
        <v>28.030954843308063</v>
      </c>
      <c r="C459" s="24">
        <f t="shared" si="44"/>
        <v>-5850.3717072712852</v>
      </c>
      <c r="H459" s="66"/>
      <c r="I459" s="66"/>
      <c r="J459" s="66"/>
      <c r="K459" s="66"/>
      <c r="L459" s="66"/>
      <c r="N459" s="5">
        <v>-1.8590884840581565E-2</v>
      </c>
      <c r="O459" s="19">
        <f t="shared" si="47"/>
        <v>-1.8419140282240232E-2</v>
      </c>
      <c r="P459" s="12">
        <f t="shared" si="45"/>
        <v>-9515.1278404299483</v>
      </c>
    </row>
    <row r="460" spans="1:16">
      <c r="A460" s="149">
        <v>0.34583574938200018</v>
      </c>
      <c r="B460" s="150">
        <f t="shared" si="46"/>
        <v>32.714297406363428</v>
      </c>
      <c r="C460" s="24">
        <f t="shared" si="44"/>
        <v>-5850.3717072712852</v>
      </c>
      <c r="H460" s="66"/>
      <c r="I460" s="66"/>
      <c r="J460" s="66"/>
      <c r="K460" s="66"/>
      <c r="L460" s="66"/>
      <c r="N460" s="5">
        <v>4.9756989662579146E-2</v>
      </c>
      <c r="O460" s="19">
        <f t="shared" si="47"/>
        <v>5.1015657670552939E-2</v>
      </c>
      <c r="P460" s="12">
        <f t="shared" si="45"/>
        <v>-5813.2465953208775</v>
      </c>
    </row>
    <row r="461" spans="1:16">
      <c r="A461" s="149">
        <v>0.15768913846247748</v>
      </c>
      <c r="B461" s="150">
        <f t="shared" si="46"/>
        <v>25.287946870816263</v>
      </c>
      <c r="C461" s="24">
        <f t="shared" si="44"/>
        <v>-5850.3717072712852</v>
      </c>
      <c r="H461" s="66"/>
      <c r="I461" s="66"/>
      <c r="J461" s="66"/>
      <c r="K461" s="66"/>
      <c r="L461" s="66"/>
      <c r="N461" s="5">
        <v>2.276176810222387E-2</v>
      </c>
      <c r="O461" s="19">
        <f t="shared" si="47"/>
        <v>2.3022793852722767E-2</v>
      </c>
      <c r="P461" s="12">
        <f t="shared" si="45"/>
        <v>-6989.1042413230934</v>
      </c>
    </row>
    <row r="462" spans="1:16">
      <c r="A462" s="149">
        <v>0.76985992004150516</v>
      </c>
      <c r="B462" s="150">
        <f t="shared" si="46"/>
        <v>43.127638855607209</v>
      </c>
      <c r="C462" s="24">
        <f t="shared" si="44"/>
        <v>-5850.3717072712852</v>
      </c>
      <c r="H462" s="66"/>
      <c r="I462" s="66"/>
      <c r="J462" s="66"/>
      <c r="K462" s="66"/>
      <c r="L462" s="66"/>
      <c r="N462" s="5">
        <v>7.6872545557431296E-2</v>
      </c>
      <c r="O462" s="19">
        <f t="shared" si="47"/>
        <v>7.9904429003874844E-2</v>
      </c>
      <c r="P462" s="12">
        <f t="shared" si="45"/>
        <v>-4896.2441969801703</v>
      </c>
    </row>
    <row r="463" spans="1:16">
      <c r="A463" s="149">
        <v>0.27622302926725056</v>
      </c>
      <c r="B463" s="150">
        <f t="shared" si="46"/>
        <v>30.45963210096404</v>
      </c>
      <c r="C463" s="24">
        <f t="shared" si="44"/>
        <v>-5850.3717072712852</v>
      </c>
      <c r="H463" s="66"/>
      <c r="I463" s="66"/>
      <c r="J463" s="66"/>
      <c r="K463" s="66"/>
      <c r="L463" s="66"/>
      <c r="N463" s="5">
        <v>9.0620743273699192E-2</v>
      </c>
      <c r="O463" s="19">
        <f t="shared" si="47"/>
        <v>9.4853695880527944E-2</v>
      </c>
      <c r="P463" s="12">
        <f t="shared" si="45"/>
        <v>-4510.4386022088038</v>
      </c>
    </row>
    <row r="464" spans="1:16">
      <c r="A464" s="149">
        <v>0.77095858638264103</v>
      </c>
      <c r="B464" s="150">
        <f t="shared" si="46"/>
        <v>43.155078304745139</v>
      </c>
      <c r="C464" s="24">
        <f t="shared" ref="C464:C527" si="48">IF($B464&lt;15,B$8*(B$10^$B464)-B$7*(1-B$10^$B464)/B$11, -B$7*(1-B$10^15)/B$11)</f>
        <v>-5850.3717072712852</v>
      </c>
      <c r="H464" s="66"/>
      <c r="I464" s="66"/>
      <c r="J464" s="66"/>
      <c r="K464" s="66"/>
      <c r="L464" s="66"/>
      <c r="N464" s="5">
        <v>5.0608395641902476E-3</v>
      </c>
      <c r="O464" s="19">
        <f t="shared" si="47"/>
        <v>5.073667243216784E-3</v>
      </c>
      <c r="P464" s="12">
        <f t="shared" ref="P464:P527" si="49">IF($B464&lt;15,B$8*((1+O464)^-$B464)-B$7*(1-(1+O464)^-$B464)/LN(1+O464), -B$7*(1-(1+O464)^-15)/LN(1+O464))</f>
        <v>-7944.6361710830743</v>
      </c>
    </row>
    <row r="465" spans="1:16">
      <c r="A465" s="149">
        <v>0.61757255775627917</v>
      </c>
      <c r="B465" s="150">
        <f t="shared" ref="B465:B528" si="50">LN(1-LN(B$4)*(LN(1-A465)/(B$3*B$4^50)))/LN(B$4)</f>
        <v>39.554106054510058</v>
      </c>
      <c r="C465" s="24">
        <f t="shared" si="48"/>
        <v>-5850.3717072712852</v>
      </c>
      <c r="H465" s="66"/>
      <c r="I465" s="66"/>
      <c r="J465" s="66"/>
      <c r="K465" s="66"/>
      <c r="L465" s="66"/>
      <c r="N465" s="5">
        <v>6.8211816094059033E-2</v>
      </c>
      <c r="O465" s="19">
        <f t="shared" ref="O465:O528" si="51">EXP(N465)-1</f>
        <v>7.0592053090863915E-2</v>
      </c>
      <c r="P465" s="12">
        <f t="shared" si="49"/>
        <v>-5164.822409688838</v>
      </c>
    </row>
    <row r="466" spans="1:16">
      <c r="A466" s="149">
        <v>0.46769615771965695</v>
      </c>
      <c r="B466" s="150">
        <f t="shared" si="50"/>
        <v>36.016555387061842</v>
      </c>
      <c r="C466" s="24">
        <f t="shared" si="48"/>
        <v>-5850.3717072712852</v>
      </c>
      <c r="H466" s="66"/>
      <c r="I466" s="66"/>
      <c r="J466" s="66"/>
      <c r="K466" s="66"/>
      <c r="L466" s="66"/>
      <c r="N466" s="5">
        <v>3.4619768777825813E-2</v>
      </c>
      <c r="O466" s="19">
        <f t="shared" si="51"/>
        <v>3.5226008705316003E-2</v>
      </c>
      <c r="P466" s="12">
        <f t="shared" si="49"/>
        <v>-6435.1554342099516</v>
      </c>
    </row>
    <row r="467" spans="1:16">
      <c r="A467" s="149">
        <v>0.10049745170445876</v>
      </c>
      <c r="B467" s="150">
        <f t="shared" si="50"/>
        <v>21.454491835780818</v>
      </c>
      <c r="C467" s="24">
        <f t="shared" si="48"/>
        <v>-5850.3717072712852</v>
      </c>
      <c r="H467" s="66"/>
      <c r="I467" s="66"/>
      <c r="J467" s="66"/>
      <c r="K467" s="66"/>
      <c r="L467" s="66"/>
      <c r="N467" s="5">
        <v>7.6283805990111433E-2</v>
      </c>
      <c r="O467" s="19">
        <f t="shared" si="51"/>
        <v>7.9268833656020332E-2</v>
      </c>
      <c r="P467" s="12">
        <f t="shared" si="49"/>
        <v>-4913.8446300781106</v>
      </c>
    </row>
    <row r="468" spans="1:16">
      <c r="A468" s="149">
        <v>9.3356120487075409E-2</v>
      </c>
      <c r="B468" s="150">
        <f t="shared" si="50"/>
        <v>20.850233372931971</v>
      </c>
      <c r="C468" s="24">
        <f t="shared" si="48"/>
        <v>-5850.3717072712852</v>
      </c>
      <c r="H468" s="66"/>
      <c r="I468" s="66"/>
      <c r="J468" s="66"/>
      <c r="K468" s="66"/>
      <c r="L468" s="66"/>
      <c r="N468" s="5">
        <v>4.1100315181334737E-2</v>
      </c>
      <c r="O468" s="19">
        <f t="shared" si="51"/>
        <v>4.1956624370696138E-2</v>
      </c>
      <c r="P468" s="12">
        <f t="shared" si="49"/>
        <v>-6157.9723789560057</v>
      </c>
    </row>
    <row r="469" spans="1:16">
      <c r="A469" s="149">
        <v>0.61812189092684711</v>
      </c>
      <c r="B469" s="150">
        <f t="shared" si="50"/>
        <v>39.56667323187434</v>
      </c>
      <c r="C469" s="24">
        <f t="shared" si="48"/>
        <v>-5850.3717072712852</v>
      </c>
      <c r="H469" s="66"/>
      <c r="I469" s="66"/>
      <c r="J469" s="66"/>
      <c r="K469" s="66"/>
      <c r="L469" s="66"/>
      <c r="N469" s="5">
        <v>2.0694658766966315E-2</v>
      </c>
      <c r="O469" s="19">
        <f t="shared" si="51"/>
        <v>2.0910278038170471E-2</v>
      </c>
      <c r="P469" s="12">
        <f t="shared" si="49"/>
        <v>-7092.338106234467</v>
      </c>
    </row>
    <row r="470" spans="1:16">
      <c r="A470" s="149">
        <v>0.50205999938962986</v>
      </c>
      <c r="B470" s="150">
        <f t="shared" si="50"/>
        <v>36.859003118353577</v>
      </c>
      <c r="C470" s="24">
        <f t="shared" si="48"/>
        <v>-5850.3717072712852</v>
      </c>
      <c r="H470" s="66"/>
      <c r="I470" s="66"/>
      <c r="J470" s="66"/>
      <c r="K470" s="66"/>
      <c r="L470" s="66"/>
      <c r="N470" s="5">
        <v>3.5787631029175829E-2</v>
      </c>
      <c r="O470" s="19">
        <f t="shared" si="51"/>
        <v>3.6435716330940782E-2</v>
      </c>
      <c r="P470" s="12">
        <f t="shared" si="49"/>
        <v>-6383.9328308447348</v>
      </c>
    </row>
    <row r="471" spans="1:16">
      <c r="A471" s="149">
        <v>7.0955534531693468E-2</v>
      </c>
      <c r="B471" s="150">
        <f t="shared" si="50"/>
        <v>18.656852762520995</v>
      </c>
      <c r="C471" s="24">
        <f t="shared" si="48"/>
        <v>-5850.3717072712852</v>
      </c>
      <c r="H471" s="66"/>
      <c r="I471" s="66"/>
      <c r="J471" s="66"/>
      <c r="K471" s="66"/>
      <c r="L471" s="66"/>
      <c r="N471" s="5">
        <v>4.9070656538911864E-2</v>
      </c>
      <c r="O471" s="19">
        <f t="shared" si="51"/>
        <v>5.0294558296699821E-2</v>
      </c>
      <c r="P471" s="12">
        <f t="shared" si="49"/>
        <v>-5839.5664807737467</v>
      </c>
    </row>
    <row r="472" spans="1:16">
      <c r="A472" s="149">
        <v>0.41642506179998168</v>
      </c>
      <c r="B472" s="150">
        <f t="shared" si="50"/>
        <v>34.699000016931187</v>
      </c>
      <c r="C472" s="24">
        <f t="shared" si="48"/>
        <v>-5850.3717072712852</v>
      </c>
      <c r="H472" s="66"/>
      <c r="I472" s="66"/>
      <c r="J472" s="66"/>
      <c r="K472" s="66"/>
      <c r="L472" s="66"/>
      <c r="N472" s="5">
        <v>3.4990279070494582E-2</v>
      </c>
      <c r="O472" s="19">
        <f t="shared" si="51"/>
        <v>3.5609641662370572E-2</v>
      </c>
      <c r="P472" s="12">
        <f t="shared" si="49"/>
        <v>-6418.8429113646289</v>
      </c>
    </row>
    <row r="473" spans="1:16">
      <c r="A473" s="149">
        <v>0.58030945768608666</v>
      </c>
      <c r="B473" s="150">
        <f t="shared" si="50"/>
        <v>38.698977925578248</v>
      </c>
      <c r="C473" s="24">
        <f t="shared" si="48"/>
        <v>-5850.3717072712852</v>
      </c>
      <c r="H473" s="66"/>
      <c r="I473" s="66"/>
      <c r="J473" s="66"/>
      <c r="K473" s="66"/>
      <c r="L473" s="66"/>
      <c r="N473" s="5">
        <v>4.1522416902022088E-2</v>
      </c>
      <c r="O473" s="19">
        <f t="shared" si="51"/>
        <v>4.2396528890420448E-2</v>
      </c>
      <c r="P473" s="12">
        <f t="shared" si="49"/>
        <v>-6140.5031349251822</v>
      </c>
    </row>
    <row r="474" spans="1:16">
      <c r="A474" s="149">
        <v>0.91720328379161964</v>
      </c>
      <c r="B474" s="150">
        <f t="shared" si="50"/>
        <v>47.590485685366197</v>
      </c>
      <c r="C474" s="24">
        <f t="shared" si="48"/>
        <v>-5850.3717072712852</v>
      </c>
      <c r="H474" s="66"/>
      <c r="I474" s="66"/>
      <c r="J474" s="66"/>
      <c r="K474" s="66"/>
      <c r="L474" s="66"/>
      <c r="N474" s="5">
        <v>3.6345739042313654E-2</v>
      </c>
      <c r="O474" s="19">
        <f t="shared" si="51"/>
        <v>3.7014320856219252E-2</v>
      </c>
      <c r="P474" s="12">
        <f t="shared" si="49"/>
        <v>-6359.6549377395813</v>
      </c>
    </row>
    <row r="475" spans="1:16">
      <c r="A475" s="149">
        <v>0.63341166417432171</v>
      </c>
      <c r="B475" s="150">
        <f t="shared" si="50"/>
        <v>39.916346617207395</v>
      </c>
      <c r="C475" s="24">
        <f t="shared" si="48"/>
        <v>-5850.3717072712852</v>
      </c>
      <c r="H475" s="66"/>
      <c r="I475" s="66"/>
      <c r="J475" s="66"/>
      <c r="K475" s="66"/>
      <c r="L475" s="66"/>
      <c r="N475" s="5">
        <v>7.338378140697023E-2</v>
      </c>
      <c r="O475" s="19">
        <f t="shared" si="51"/>
        <v>7.6143461525007172E-2</v>
      </c>
      <c r="P475" s="12">
        <f t="shared" si="49"/>
        <v>-5001.9143786201985</v>
      </c>
    </row>
    <row r="476" spans="1:16">
      <c r="A476" s="149">
        <v>0.16702780236213263</v>
      </c>
      <c r="B476" s="150">
        <f t="shared" si="50"/>
        <v>25.795969761993941</v>
      </c>
      <c r="C476" s="24">
        <f t="shared" si="48"/>
        <v>-5850.3717072712852</v>
      </c>
      <c r="H476" s="66"/>
      <c r="I476" s="66"/>
      <c r="J476" s="66"/>
      <c r="K476" s="66"/>
      <c r="L476" s="66"/>
      <c r="N476" s="5">
        <v>8.6938600313384087E-2</v>
      </c>
      <c r="O476" s="19">
        <f t="shared" si="51"/>
        <v>9.0829701060268109E-2</v>
      </c>
      <c r="P476" s="12">
        <f t="shared" si="49"/>
        <v>-4609.2032682807303</v>
      </c>
    </row>
    <row r="477" spans="1:16">
      <c r="A477" s="149">
        <v>0.43089083529160438</v>
      </c>
      <c r="B477" s="150">
        <f t="shared" si="50"/>
        <v>35.079390899388827</v>
      </c>
      <c r="C477" s="24">
        <f t="shared" si="48"/>
        <v>-5850.3717072712852</v>
      </c>
      <c r="H477" s="66"/>
      <c r="I477" s="66"/>
      <c r="J477" s="66"/>
      <c r="K477" s="66"/>
      <c r="L477" s="66"/>
      <c r="N477" s="5">
        <v>1.5319944347662387E-2</v>
      </c>
      <c r="O477" s="19">
        <f t="shared" si="51"/>
        <v>1.5437896264234974E-2</v>
      </c>
      <c r="P477" s="12">
        <f t="shared" si="49"/>
        <v>-7370.7021223558231</v>
      </c>
    </row>
    <row r="478" spans="1:16">
      <c r="A478" s="149">
        <v>0.8102969450972014</v>
      </c>
      <c r="B478" s="150">
        <f t="shared" si="50"/>
        <v>44.170643782247112</v>
      </c>
      <c r="C478" s="24">
        <f t="shared" si="48"/>
        <v>-5850.3717072712852</v>
      </c>
      <c r="H478" s="66"/>
      <c r="I478" s="66"/>
      <c r="J478" s="66"/>
      <c r="K478" s="66"/>
      <c r="L478" s="66"/>
      <c r="N478" s="5">
        <v>1.9230426639420331E-2</v>
      </c>
      <c r="O478" s="19">
        <f t="shared" si="51"/>
        <v>1.9416522279192883E-2</v>
      </c>
      <c r="P478" s="12">
        <f t="shared" si="49"/>
        <v>-7166.7305617940392</v>
      </c>
    </row>
    <row r="479" spans="1:16">
      <c r="A479" s="149">
        <v>0.3639027069917905</v>
      </c>
      <c r="B479" s="150">
        <f t="shared" si="50"/>
        <v>33.245716126343865</v>
      </c>
      <c r="C479" s="24">
        <f t="shared" si="48"/>
        <v>-5850.3717072712852</v>
      </c>
      <c r="H479" s="66"/>
      <c r="I479" s="66"/>
      <c r="J479" s="66"/>
      <c r="K479" s="66"/>
      <c r="L479" s="66"/>
      <c r="N479" s="5">
        <v>-8.5691609027562649E-3</v>
      </c>
      <c r="O479" s="19">
        <f t="shared" si="51"/>
        <v>-8.5325502921718144E-3</v>
      </c>
      <c r="P479" s="12">
        <f t="shared" si="49"/>
        <v>-8803.6835882319701</v>
      </c>
    </row>
    <row r="480" spans="1:16">
      <c r="A480" s="149">
        <v>0.51380962553788878</v>
      </c>
      <c r="B480" s="150">
        <f t="shared" si="50"/>
        <v>37.14123447504366</v>
      </c>
      <c r="C480" s="24">
        <f t="shared" si="48"/>
        <v>-5850.3717072712852</v>
      </c>
      <c r="H480" s="66"/>
      <c r="I480" s="66"/>
      <c r="J480" s="66"/>
      <c r="K480" s="66"/>
      <c r="L480" s="66"/>
      <c r="N480" s="5">
        <v>8.1063150398345898E-2</v>
      </c>
      <c r="O480" s="19">
        <f t="shared" si="51"/>
        <v>8.4439377183099573E-2</v>
      </c>
      <c r="P480" s="12">
        <f t="shared" si="49"/>
        <v>-4773.6116870437754</v>
      </c>
    </row>
    <row r="481" spans="1:16">
      <c r="A481" s="149">
        <v>0.47309793389690846</v>
      </c>
      <c r="B481" s="150">
        <f t="shared" si="50"/>
        <v>36.150852160742886</v>
      </c>
      <c r="C481" s="24">
        <f t="shared" si="48"/>
        <v>-5850.3717072712852</v>
      </c>
      <c r="H481" s="66"/>
      <c r="I481" s="66"/>
      <c r="J481" s="66"/>
      <c r="K481" s="66"/>
      <c r="L481" s="66"/>
      <c r="N481" s="5">
        <v>3.7328250252481668E-2</v>
      </c>
      <c r="O481" s="19">
        <f t="shared" si="51"/>
        <v>3.8033699745155358E-2</v>
      </c>
      <c r="P481" s="12">
        <f t="shared" si="49"/>
        <v>-6317.2277962306334</v>
      </c>
    </row>
    <row r="482" spans="1:16">
      <c r="A482" s="149">
        <v>0.34421826837977232</v>
      </c>
      <c r="B482" s="150">
        <f t="shared" si="50"/>
        <v>32.665803237846461</v>
      </c>
      <c r="C482" s="24">
        <f t="shared" si="48"/>
        <v>-5850.3717072712852</v>
      </c>
      <c r="H482" s="66"/>
      <c r="I482" s="66"/>
      <c r="J482" s="66"/>
      <c r="K482" s="66"/>
      <c r="L482" s="66"/>
      <c r="N482" s="5">
        <v>5.1538003569599825E-2</v>
      </c>
      <c r="O482" s="19">
        <f t="shared" si="51"/>
        <v>5.2889199079772187E-2</v>
      </c>
      <c r="P482" s="12">
        <f t="shared" si="49"/>
        <v>-5745.7294471290215</v>
      </c>
    </row>
    <row r="483" spans="1:16">
      <c r="A483" s="149">
        <v>5.551316873683889E-2</v>
      </c>
      <c r="B483" s="150">
        <f t="shared" si="50"/>
        <v>16.771811312518388</v>
      </c>
      <c r="C483" s="24">
        <f t="shared" si="48"/>
        <v>-5850.3717072712852</v>
      </c>
      <c r="H483" s="66"/>
      <c r="I483" s="66"/>
      <c r="J483" s="66"/>
      <c r="K483" s="66"/>
      <c r="L483" s="66"/>
      <c r="N483" s="5">
        <v>5.1751821681260482E-2</v>
      </c>
      <c r="O483" s="19">
        <f t="shared" si="51"/>
        <v>5.3114349929914484E-2</v>
      </c>
      <c r="P483" s="12">
        <f t="shared" si="49"/>
        <v>-5737.6989232603491</v>
      </c>
    </row>
    <row r="484" spans="1:16">
      <c r="A484" s="149">
        <v>0.73235267189550457</v>
      </c>
      <c r="B484" s="150">
        <f t="shared" si="50"/>
        <v>42.212947276774322</v>
      </c>
      <c r="C484" s="24">
        <f t="shared" si="48"/>
        <v>-5850.3717072712852</v>
      </c>
      <c r="H484" s="66"/>
      <c r="I484" s="66"/>
      <c r="J484" s="66"/>
      <c r="K484" s="66"/>
      <c r="L484" s="66"/>
      <c r="N484" s="5">
        <v>6.7328542351911894E-2</v>
      </c>
      <c r="O484" s="19">
        <f t="shared" si="51"/>
        <v>6.9646844742127234E-2</v>
      </c>
      <c r="P484" s="12">
        <f t="shared" si="49"/>
        <v>-5193.416529326244</v>
      </c>
    </row>
    <row r="485" spans="1:16">
      <c r="A485" s="149">
        <v>0.41575365459150976</v>
      </c>
      <c r="B485" s="150">
        <f t="shared" si="50"/>
        <v>34.681159513049373</v>
      </c>
      <c r="C485" s="24">
        <f t="shared" si="48"/>
        <v>-5850.3717072712852</v>
      </c>
      <c r="H485" s="66"/>
      <c r="I485" s="66"/>
      <c r="J485" s="66"/>
      <c r="K485" s="66"/>
      <c r="L485" s="66"/>
      <c r="N485" s="5">
        <v>8.8852332689508332E-2</v>
      </c>
      <c r="O485" s="19">
        <f t="shared" si="51"/>
        <v>9.2919255962732095E-2</v>
      </c>
      <c r="P485" s="12">
        <f t="shared" si="49"/>
        <v>-4557.4724047784175</v>
      </c>
    </row>
    <row r="486" spans="1:16">
      <c r="A486" s="149">
        <v>0.28583635975218968</v>
      </c>
      <c r="B486" s="150">
        <f t="shared" si="50"/>
        <v>30.794400715205143</v>
      </c>
      <c r="C486" s="24">
        <f t="shared" si="48"/>
        <v>-5850.3717072712852</v>
      </c>
      <c r="H486" s="66"/>
      <c r="I486" s="66"/>
      <c r="J486" s="66"/>
      <c r="K486" s="66"/>
      <c r="L486" s="66"/>
      <c r="N486" s="5">
        <v>5.7339915835778812E-2</v>
      </c>
      <c r="O486" s="19">
        <f t="shared" si="51"/>
        <v>5.901572543703848E-2</v>
      </c>
      <c r="P486" s="12">
        <f t="shared" si="49"/>
        <v>-5533.3850609298015</v>
      </c>
    </row>
    <row r="487" spans="1:16">
      <c r="A487" s="149">
        <v>0.22861415448469496</v>
      </c>
      <c r="B487" s="150">
        <f t="shared" si="50"/>
        <v>28.6536489058999</v>
      </c>
      <c r="C487" s="24">
        <f t="shared" si="48"/>
        <v>-5850.3717072712852</v>
      </c>
      <c r="H487" s="66"/>
      <c r="I487" s="66"/>
      <c r="J487" s="66"/>
      <c r="K487" s="66"/>
      <c r="L487" s="66"/>
      <c r="N487" s="5">
        <v>2.358481988006679E-2</v>
      </c>
      <c r="O487" s="19">
        <f t="shared" si="51"/>
        <v>2.38651411821591E-2</v>
      </c>
      <c r="P487" s="12">
        <f t="shared" si="49"/>
        <v>-6948.573649221732</v>
      </c>
    </row>
    <row r="488" spans="1:16">
      <c r="A488" s="149">
        <v>0.29923398541215246</v>
      </c>
      <c r="B488" s="150">
        <f t="shared" si="50"/>
        <v>31.247036770778312</v>
      </c>
      <c r="C488" s="24">
        <f t="shared" si="48"/>
        <v>-5850.3717072712852</v>
      </c>
      <c r="H488" s="66"/>
      <c r="I488" s="66"/>
      <c r="J488" s="66"/>
      <c r="K488" s="66"/>
      <c r="L488" s="66"/>
      <c r="N488" s="5">
        <v>7.3544555968634087E-2</v>
      </c>
      <c r="O488" s="19">
        <f t="shared" si="51"/>
        <v>7.6316491927392205E-2</v>
      </c>
      <c r="P488" s="12">
        <f t="shared" si="49"/>
        <v>-4996.971399502916</v>
      </c>
    </row>
    <row r="489" spans="1:16">
      <c r="A489" s="149">
        <v>0.2164067506942961</v>
      </c>
      <c r="B489" s="150">
        <f t="shared" si="50"/>
        <v>28.142567769205584</v>
      </c>
      <c r="C489" s="24">
        <f t="shared" si="48"/>
        <v>-5850.3717072712852</v>
      </c>
      <c r="H489" s="66"/>
      <c r="I489" s="66"/>
      <c r="J489" s="66"/>
      <c r="K489" s="66"/>
      <c r="L489" s="66"/>
      <c r="N489" s="5">
        <v>6.2074491049439531E-2</v>
      </c>
      <c r="O489" s="19">
        <f t="shared" si="51"/>
        <v>6.4041603351648879E-2</v>
      </c>
      <c r="P489" s="12">
        <f t="shared" si="49"/>
        <v>-5368.3532750103022</v>
      </c>
    </row>
    <row r="490" spans="1:16">
      <c r="A490" s="149">
        <v>0.10074159978026673</v>
      </c>
      <c r="B490" s="150">
        <f t="shared" si="50"/>
        <v>21.474490431994958</v>
      </c>
      <c r="C490" s="24">
        <f t="shared" si="48"/>
        <v>-5850.3717072712852</v>
      </c>
      <c r="H490" s="66"/>
      <c r="I490" s="66"/>
      <c r="J490" s="66"/>
      <c r="K490" s="66"/>
      <c r="L490" s="66"/>
      <c r="N490" s="5">
        <v>7.3059273242630299E-2</v>
      </c>
      <c r="O490" s="19">
        <f t="shared" si="51"/>
        <v>7.5794300841551587E-2</v>
      </c>
      <c r="P490" s="12">
        <f t="shared" si="49"/>
        <v>-5011.9131838272597</v>
      </c>
    </row>
    <row r="491" spans="1:16">
      <c r="A491" s="149">
        <v>0.97131260109256268</v>
      </c>
      <c r="B491" s="150">
        <f t="shared" si="50"/>
        <v>50.590774154590932</v>
      </c>
      <c r="C491" s="24">
        <f t="shared" si="48"/>
        <v>-5850.3717072712852</v>
      </c>
      <c r="H491" s="66"/>
      <c r="I491" s="66"/>
      <c r="J491" s="66"/>
      <c r="K491" s="66"/>
      <c r="L491" s="66"/>
      <c r="N491" s="5">
        <v>9.05613432652317E-2</v>
      </c>
      <c r="O491" s="19">
        <f t="shared" si="51"/>
        <v>9.478866349320314E-2</v>
      </c>
      <c r="P491" s="12">
        <f t="shared" si="49"/>
        <v>-4512.0066078766522</v>
      </c>
    </row>
    <row r="492" spans="1:16">
      <c r="A492" s="149">
        <v>0.99551377910702843</v>
      </c>
      <c r="B492" s="150">
        <f t="shared" si="50"/>
        <v>54.151960412365518</v>
      </c>
      <c r="C492" s="24">
        <f t="shared" si="48"/>
        <v>-5850.3717072712852</v>
      </c>
      <c r="H492" s="66"/>
      <c r="I492" s="66"/>
      <c r="J492" s="66"/>
      <c r="K492" s="66"/>
      <c r="L492" s="66"/>
      <c r="N492" s="5">
        <v>5.2436017719752273E-2</v>
      </c>
      <c r="O492" s="19">
        <f t="shared" si="51"/>
        <v>5.3835133146608039E-2</v>
      </c>
      <c r="P492" s="12">
        <f t="shared" si="49"/>
        <v>-5712.1093416865751</v>
      </c>
    </row>
    <row r="493" spans="1:16">
      <c r="A493" s="149">
        <v>0.89562669759208957</v>
      </c>
      <c r="B493" s="150">
        <f t="shared" si="50"/>
        <v>46.765353505764111</v>
      </c>
      <c r="C493" s="24">
        <f t="shared" si="48"/>
        <v>-5850.3717072712852</v>
      </c>
      <c r="H493" s="66"/>
      <c r="I493" s="66"/>
      <c r="J493" s="66"/>
      <c r="K493" s="66"/>
      <c r="L493" s="66"/>
      <c r="N493" s="5">
        <v>9.3903086915030146E-2</v>
      </c>
      <c r="O493" s="19">
        <f t="shared" si="51"/>
        <v>9.8453286261923401E-2</v>
      </c>
      <c r="P493" s="12">
        <f t="shared" si="49"/>
        <v>-4425.0499676543186</v>
      </c>
    </row>
    <row r="494" spans="1:16">
      <c r="A494" s="149">
        <v>0.13595995971556749</v>
      </c>
      <c r="B494" s="150">
        <f t="shared" si="50"/>
        <v>23.998829390899743</v>
      </c>
      <c r="C494" s="24">
        <f t="shared" si="48"/>
        <v>-5850.3717072712852</v>
      </c>
      <c r="H494" s="66"/>
      <c r="I494" s="66"/>
      <c r="J494" s="66"/>
      <c r="K494" s="66"/>
      <c r="L494" s="66"/>
      <c r="N494" s="5">
        <v>4.3011472095837236E-2</v>
      </c>
      <c r="O494" s="19">
        <f t="shared" si="51"/>
        <v>4.394987107488646E-2</v>
      </c>
      <c r="P494" s="12">
        <f t="shared" si="49"/>
        <v>-6079.4304729435653</v>
      </c>
    </row>
    <row r="495" spans="1:16">
      <c r="A495" s="149">
        <v>0.51622058778649249</v>
      </c>
      <c r="B495" s="150">
        <f t="shared" si="50"/>
        <v>37.198828048438507</v>
      </c>
      <c r="C495" s="24">
        <f t="shared" si="48"/>
        <v>-5850.3717072712852</v>
      </c>
      <c r="H495" s="66"/>
      <c r="I495" s="66"/>
      <c r="J495" s="66"/>
      <c r="K495" s="66"/>
      <c r="L495" s="66"/>
      <c r="N495" s="5">
        <v>5.8707513355453558E-2</v>
      </c>
      <c r="O495" s="19">
        <f t="shared" si="51"/>
        <v>6.0465023518785577E-2</v>
      </c>
      <c r="P495" s="12">
        <f t="shared" si="49"/>
        <v>-5484.9730989132722</v>
      </c>
    </row>
    <row r="496" spans="1:16">
      <c r="A496" s="149">
        <v>0.80147709585863824</v>
      </c>
      <c r="B496" s="150">
        <f t="shared" si="50"/>
        <v>43.936616828324524</v>
      </c>
      <c r="C496" s="24">
        <f t="shared" si="48"/>
        <v>-5850.3717072712852</v>
      </c>
      <c r="H496" s="66"/>
      <c r="I496" s="66"/>
      <c r="J496" s="66"/>
      <c r="K496" s="66"/>
      <c r="L496" s="66"/>
      <c r="N496" s="5">
        <v>1.1079090606595857E-2</v>
      </c>
      <c r="O496" s="19">
        <f t="shared" si="51"/>
        <v>1.1140691012902604E-2</v>
      </c>
      <c r="P496" s="12">
        <f t="shared" si="49"/>
        <v>-7600.9291937252638</v>
      </c>
    </row>
    <row r="497" spans="1:16">
      <c r="A497" s="149">
        <v>0.977874080629902</v>
      </c>
      <c r="B497" s="150">
        <f t="shared" si="50"/>
        <v>51.188517669584044</v>
      </c>
      <c r="C497" s="24">
        <f t="shared" si="48"/>
        <v>-5850.3717072712852</v>
      </c>
      <c r="H497" s="66"/>
      <c r="I497" s="66"/>
      <c r="J497" s="66"/>
      <c r="K497" s="66"/>
      <c r="L497" s="66"/>
      <c r="N497" s="5">
        <v>3.3044271228514846E-2</v>
      </c>
      <c r="O497" s="19">
        <f t="shared" si="51"/>
        <v>3.3596296806274184E-2</v>
      </c>
      <c r="P497" s="12">
        <f t="shared" si="49"/>
        <v>-6505.1688938771676</v>
      </c>
    </row>
    <row r="498" spans="1:16">
      <c r="A498" s="149">
        <v>0.92205572679830317</v>
      </c>
      <c r="B498" s="150">
        <f t="shared" si="50"/>
        <v>47.793105748119871</v>
      </c>
      <c r="C498" s="24">
        <f t="shared" si="48"/>
        <v>-5850.3717072712852</v>
      </c>
      <c r="H498" s="66"/>
      <c r="I498" s="66"/>
      <c r="J498" s="66"/>
      <c r="K498" s="66"/>
      <c r="L498" s="66"/>
      <c r="N498" s="5">
        <v>4.227469828232279E-2</v>
      </c>
      <c r="O498" s="19">
        <f t="shared" si="51"/>
        <v>4.3180999424286659E-2</v>
      </c>
      <c r="P498" s="12">
        <f t="shared" si="49"/>
        <v>-6109.5413710641387</v>
      </c>
    </row>
    <row r="499" spans="1:16">
      <c r="A499" s="149">
        <v>0.45991393780327766</v>
      </c>
      <c r="B499" s="150">
        <f t="shared" si="50"/>
        <v>35.821715843253273</v>
      </c>
      <c r="C499" s="24">
        <f t="shared" si="48"/>
        <v>-5850.3717072712852</v>
      </c>
      <c r="H499" s="66"/>
      <c r="I499" s="66"/>
      <c r="J499" s="66"/>
      <c r="K499" s="66"/>
      <c r="L499" s="66"/>
      <c r="N499" s="5">
        <v>5.1688585878888263E-2</v>
      </c>
      <c r="O499" s="19">
        <f t="shared" si="51"/>
        <v>5.3047757504541826E-2</v>
      </c>
      <c r="P499" s="12">
        <f t="shared" si="49"/>
        <v>-5740.0722497814013</v>
      </c>
    </row>
    <row r="500" spans="1:16">
      <c r="A500" s="149">
        <v>0.86349070711386455</v>
      </c>
      <c r="B500" s="150">
        <f t="shared" si="50"/>
        <v>45.696415946516602</v>
      </c>
      <c r="C500" s="24">
        <f t="shared" si="48"/>
        <v>-5850.3717072712852</v>
      </c>
      <c r="H500" s="66"/>
      <c r="I500" s="66"/>
      <c r="J500" s="66"/>
      <c r="K500" s="66"/>
      <c r="L500" s="66"/>
      <c r="N500" s="5">
        <v>5.0940496473354871E-2</v>
      </c>
      <c r="O500" s="19">
        <f t="shared" si="51"/>
        <v>5.2260278222810985E-2</v>
      </c>
      <c r="P500" s="12">
        <f t="shared" si="49"/>
        <v>-5768.2555530342888</v>
      </c>
    </row>
    <row r="501" spans="1:16">
      <c r="A501" s="149">
        <v>0.71590319528794211</v>
      </c>
      <c r="B501" s="150">
        <f t="shared" si="50"/>
        <v>41.822580509516257</v>
      </c>
      <c r="C501" s="24">
        <f t="shared" si="48"/>
        <v>-5850.3717072712852</v>
      </c>
      <c r="H501" s="66"/>
      <c r="I501" s="66"/>
      <c r="J501" s="66"/>
      <c r="K501" s="66"/>
      <c r="L501" s="66"/>
      <c r="N501" s="5">
        <v>3.3561582833623108E-2</v>
      </c>
      <c r="O501" s="19">
        <f t="shared" si="51"/>
        <v>3.413112649048311E-2</v>
      </c>
      <c r="P501" s="12">
        <f t="shared" si="49"/>
        <v>-6482.0636714853663</v>
      </c>
    </row>
    <row r="502" spans="1:16">
      <c r="A502" s="149">
        <v>0.12506485183263649</v>
      </c>
      <c r="B502" s="150">
        <f t="shared" si="50"/>
        <v>23.284724655846944</v>
      </c>
      <c r="C502" s="24">
        <f t="shared" si="48"/>
        <v>-5850.3717072712852</v>
      </c>
      <c r="H502" s="66"/>
      <c r="I502" s="66"/>
      <c r="J502" s="66"/>
      <c r="K502" s="66"/>
      <c r="L502" s="66"/>
      <c r="N502" s="5">
        <v>4.1206539273967793E-2</v>
      </c>
      <c r="O502" s="19">
        <f t="shared" si="51"/>
        <v>4.2067311146380071E-2</v>
      </c>
      <c r="P502" s="12">
        <f t="shared" si="49"/>
        <v>-6153.5695795068305</v>
      </c>
    </row>
    <row r="503" spans="1:16">
      <c r="A503" s="149">
        <v>3.1037324137089144E-2</v>
      </c>
      <c r="B503" s="150">
        <f t="shared" si="50"/>
        <v>12.633067579207408</v>
      </c>
      <c r="C503" s="24">
        <f t="shared" si="48"/>
        <v>102793.61813700921</v>
      </c>
      <c r="H503" s="66"/>
      <c r="I503" s="66"/>
      <c r="J503" s="66"/>
      <c r="K503" s="66"/>
      <c r="L503" s="66"/>
      <c r="N503" s="5">
        <v>5.1789056280664228E-2</v>
      </c>
      <c r="O503" s="19">
        <f t="shared" si="51"/>
        <v>5.3153562950896349E-2</v>
      </c>
      <c r="P503" s="12">
        <f t="shared" si="49"/>
        <v>98866.460725628989</v>
      </c>
    </row>
    <row r="504" spans="1:16">
      <c r="A504" s="149">
        <v>0.31452375865962706</v>
      </c>
      <c r="B504" s="150">
        <f t="shared" si="50"/>
        <v>31.745559158533311</v>
      </c>
      <c r="C504" s="24">
        <f t="shared" si="48"/>
        <v>-5850.3717072712852</v>
      </c>
      <c r="H504" s="66"/>
      <c r="I504" s="66"/>
      <c r="J504" s="66"/>
      <c r="K504" s="66"/>
      <c r="L504" s="66"/>
      <c r="N504" s="5">
        <v>6.8340917957480998E-2</v>
      </c>
      <c r="O504" s="19">
        <f t="shared" si="51"/>
        <v>7.0730277442201395E-2</v>
      </c>
      <c r="P504" s="12">
        <f t="shared" si="49"/>
        <v>-5160.6622257232557</v>
      </c>
    </row>
    <row r="505" spans="1:16">
      <c r="A505" s="149">
        <v>0.75435651722769859</v>
      </c>
      <c r="B505" s="150">
        <f t="shared" si="50"/>
        <v>42.744705071134405</v>
      </c>
      <c r="C505" s="24">
        <f t="shared" si="48"/>
        <v>-5850.3717072712852</v>
      </c>
      <c r="H505" s="66"/>
      <c r="I505" s="66"/>
      <c r="J505" s="66"/>
      <c r="K505" s="66"/>
      <c r="L505" s="66"/>
      <c r="N505" s="5">
        <v>4.1892680607939839E-2</v>
      </c>
      <c r="O505" s="19">
        <f t="shared" si="51"/>
        <v>4.2782561954849418E-2</v>
      </c>
      <c r="P505" s="12">
        <f t="shared" si="49"/>
        <v>-6125.2366090625474</v>
      </c>
    </row>
    <row r="506" spans="1:16">
      <c r="A506" s="149">
        <v>0.18076113162633137</v>
      </c>
      <c r="B506" s="150">
        <f t="shared" si="50"/>
        <v>26.501170519196819</v>
      </c>
      <c r="C506" s="24">
        <f t="shared" si="48"/>
        <v>-5850.3717072712852</v>
      </c>
      <c r="H506" s="66"/>
      <c r="I506" s="66"/>
      <c r="J506" s="66"/>
      <c r="K506" s="66"/>
      <c r="L506" s="66"/>
      <c r="N506" s="5">
        <v>3.9004026413873363E-2</v>
      </c>
      <c r="O506" s="19">
        <f t="shared" si="51"/>
        <v>3.9774670204886675E-2</v>
      </c>
      <c r="P506" s="12">
        <f t="shared" si="49"/>
        <v>-6245.7726480434048</v>
      </c>
    </row>
    <row r="507" spans="1:16">
      <c r="A507" s="149">
        <v>0.31357768486587118</v>
      </c>
      <c r="B507" s="150">
        <f t="shared" si="50"/>
        <v>31.71523451994938</v>
      </c>
      <c r="C507" s="24">
        <f t="shared" si="48"/>
        <v>-5850.3717072712852</v>
      </c>
      <c r="H507" s="66"/>
      <c r="I507" s="66"/>
      <c r="J507" s="66"/>
      <c r="K507" s="66"/>
      <c r="L507" s="66"/>
      <c r="N507" s="5">
        <v>5.6850715120286624E-2</v>
      </c>
      <c r="O507" s="19">
        <f t="shared" si="51"/>
        <v>5.8497780886189066E-2</v>
      </c>
      <c r="P507" s="12">
        <f t="shared" si="49"/>
        <v>-5550.8515322869607</v>
      </c>
    </row>
    <row r="508" spans="1:16">
      <c r="A508" s="149">
        <v>0.22922452467421492</v>
      </c>
      <c r="B508" s="150">
        <f t="shared" si="50"/>
        <v>28.678617895053176</v>
      </c>
      <c r="C508" s="24">
        <f t="shared" si="48"/>
        <v>-5850.3717072712852</v>
      </c>
      <c r="H508" s="66"/>
      <c r="I508" s="66"/>
      <c r="J508" s="66"/>
      <c r="K508" s="66"/>
      <c r="L508" s="66"/>
      <c r="N508" s="5">
        <v>5.6723585950872804E-2</v>
      </c>
      <c r="O508" s="19">
        <f t="shared" si="51"/>
        <v>5.8363223495744299E-2</v>
      </c>
      <c r="P508" s="12">
        <f t="shared" si="49"/>
        <v>-5555.4035194201688</v>
      </c>
    </row>
    <row r="509" spans="1:16">
      <c r="A509" s="149">
        <v>0.38917203283791618</v>
      </c>
      <c r="B509" s="150">
        <f t="shared" si="50"/>
        <v>33.960355706034598</v>
      </c>
      <c r="C509" s="24">
        <f t="shared" si="48"/>
        <v>-5850.3717072712852</v>
      </c>
      <c r="H509" s="66"/>
      <c r="I509" s="66"/>
      <c r="J509" s="66"/>
      <c r="K509" s="66"/>
      <c r="L509" s="66"/>
      <c r="N509" s="5">
        <v>5.3106514494298609E-2</v>
      </c>
      <c r="O509" s="19">
        <f t="shared" si="51"/>
        <v>5.4541963141421679E-2</v>
      </c>
      <c r="P509" s="12">
        <f t="shared" si="49"/>
        <v>-5687.1898182793147</v>
      </c>
    </row>
    <row r="510" spans="1:16">
      <c r="A510" s="149">
        <v>0.14123966185491502</v>
      </c>
      <c r="B510" s="150">
        <f t="shared" si="50"/>
        <v>24.32739878342155</v>
      </c>
      <c r="C510" s="24">
        <f t="shared" si="48"/>
        <v>-5850.3717072712852</v>
      </c>
      <c r="H510" s="66"/>
      <c r="I510" s="66"/>
      <c r="J510" s="66"/>
      <c r="K510" s="66"/>
      <c r="L510" s="66"/>
      <c r="N510" s="5">
        <v>7.3863091253893801E-2</v>
      </c>
      <c r="O510" s="19">
        <f t="shared" si="51"/>
        <v>7.6659391318056214E-2</v>
      </c>
      <c r="P510" s="12">
        <f t="shared" si="49"/>
        <v>-4987.1992461559448</v>
      </c>
    </row>
    <row r="511" spans="1:16">
      <c r="A511" s="149">
        <v>0.83147679067354352</v>
      </c>
      <c r="B511" s="150">
        <f t="shared" si="50"/>
        <v>44.751636382886552</v>
      </c>
      <c r="C511" s="24">
        <f t="shared" si="48"/>
        <v>-5850.3717072712852</v>
      </c>
      <c r="H511" s="66"/>
      <c r="I511" s="66"/>
      <c r="J511" s="66"/>
      <c r="K511" s="66"/>
      <c r="L511" s="66"/>
      <c r="N511" s="5">
        <v>4.6396532818231209E-2</v>
      </c>
      <c r="O511" s="19">
        <f t="shared" si="51"/>
        <v>4.7489692654981264E-2</v>
      </c>
      <c r="P511" s="12">
        <f t="shared" si="49"/>
        <v>-5943.7446906388504</v>
      </c>
    </row>
    <row r="512" spans="1:16">
      <c r="A512" s="149">
        <v>0.49531540879543445</v>
      </c>
      <c r="B512" s="150">
        <f t="shared" si="50"/>
        <v>36.695756583621261</v>
      </c>
      <c r="C512" s="24">
        <f t="shared" si="48"/>
        <v>-5850.3717072712852</v>
      </c>
      <c r="H512" s="66"/>
      <c r="I512" s="66"/>
      <c r="J512" s="66"/>
      <c r="K512" s="66"/>
      <c r="L512" s="66"/>
      <c r="N512" s="5">
        <v>4.9539198764374306E-2</v>
      </c>
      <c r="O512" s="19">
        <f t="shared" si="51"/>
        <v>5.0786780950979438E-2</v>
      </c>
      <c r="P512" s="12">
        <f t="shared" si="49"/>
        <v>-5821.5802681330761</v>
      </c>
    </row>
    <row r="513" spans="1:16">
      <c r="A513" s="149">
        <v>7.9012421033356733E-2</v>
      </c>
      <c r="B513" s="150">
        <f t="shared" si="50"/>
        <v>19.506086097598512</v>
      </c>
      <c r="C513" s="24">
        <f t="shared" si="48"/>
        <v>-5850.3717072712852</v>
      </c>
      <c r="H513" s="66"/>
      <c r="I513" s="66"/>
      <c r="J513" s="66"/>
      <c r="K513" s="66"/>
      <c r="L513" s="66"/>
      <c r="N513" s="5">
        <v>5.0618262386829885E-2</v>
      </c>
      <c r="O513" s="19">
        <f t="shared" si="51"/>
        <v>5.192125871802511E-2</v>
      </c>
      <c r="P513" s="12">
        <f t="shared" si="49"/>
        <v>-5780.4560610316557</v>
      </c>
    </row>
    <row r="514" spans="1:16">
      <c r="A514" s="149">
        <v>0.76586199530014953</v>
      </c>
      <c r="B514" s="150">
        <f t="shared" si="50"/>
        <v>43.028143109504079</v>
      </c>
      <c r="C514" s="24">
        <f t="shared" si="48"/>
        <v>-5850.3717072712852</v>
      </c>
      <c r="H514" s="66"/>
      <c r="I514" s="66"/>
      <c r="J514" s="66"/>
      <c r="K514" s="66"/>
      <c r="L514" s="66"/>
      <c r="N514" s="5">
        <v>9.0595317439816428E-2</v>
      </c>
      <c r="O514" s="19">
        <f t="shared" si="51"/>
        <v>9.4825858666224283E-2</v>
      </c>
      <c r="P514" s="12">
        <f t="shared" si="49"/>
        <v>-4511.1096779608442</v>
      </c>
    </row>
    <row r="515" spans="1:16">
      <c r="A515" s="149">
        <v>0.40076906643879512</v>
      </c>
      <c r="B515" s="150">
        <f t="shared" si="50"/>
        <v>34.278422339114471</v>
      </c>
      <c r="C515" s="24">
        <f t="shared" si="48"/>
        <v>-5850.3717072712852</v>
      </c>
      <c r="H515" s="66"/>
      <c r="I515" s="66"/>
      <c r="J515" s="66"/>
      <c r="K515" s="66"/>
      <c r="L515" s="66"/>
      <c r="N515" s="5">
        <v>6.4982159821862298E-2</v>
      </c>
      <c r="O515" s="19">
        <f t="shared" si="51"/>
        <v>6.7139986246918637E-2</v>
      </c>
      <c r="P515" s="12">
        <f t="shared" si="49"/>
        <v>-5270.5032169670194</v>
      </c>
    </row>
    <row r="516" spans="1:16">
      <c r="A516" s="149">
        <v>0.8818323313089389</v>
      </c>
      <c r="B516" s="150">
        <f t="shared" si="50"/>
        <v>46.287686316478911</v>
      </c>
      <c r="C516" s="24">
        <f t="shared" si="48"/>
        <v>-5850.3717072712852</v>
      </c>
      <c r="H516" s="66"/>
      <c r="I516" s="66"/>
      <c r="J516" s="66"/>
      <c r="K516" s="66"/>
      <c r="L516" s="66"/>
      <c r="N516" s="5">
        <v>2.5222868268552703E-2</v>
      </c>
      <c r="O516" s="19">
        <f t="shared" si="51"/>
        <v>2.5543656195789799E-2</v>
      </c>
      <c r="P516" s="12">
        <f t="shared" si="49"/>
        <v>-6868.8651270194614</v>
      </c>
    </row>
    <row r="517" spans="1:16">
      <c r="A517" s="149">
        <v>0.36466566972869047</v>
      </c>
      <c r="B517" s="150">
        <f t="shared" si="50"/>
        <v>33.267761972701202</v>
      </c>
      <c r="C517" s="24">
        <f t="shared" si="48"/>
        <v>-5850.3717072712852</v>
      </c>
      <c r="H517" s="66"/>
      <c r="I517" s="66"/>
      <c r="J517" s="66"/>
      <c r="K517" s="66"/>
      <c r="L517" s="66"/>
      <c r="N517" s="5">
        <v>1.0133622206136353E-2</v>
      </c>
      <c r="O517" s="19">
        <f t="shared" si="51"/>
        <v>1.0185141233373107E-2</v>
      </c>
      <c r="P517" s="12">
        <f t="shared" si="49"/>
        <v>-7653.5804425774695</v>
      </c>
    </row>
    <row r="518" spans="1:16">
      <c r="A518" s="149">
        <v>0.38764610736411631</v>
      </c>
      <c r="B518" s="150">
        <f t="shared" si="50"/>
        <v>33.918064655272843</v>
      </c>
      <c r="C518" s="24">
        <f t="shared" si="48"/>
        <v>-5850.3717072712852</v>
      </c>
      <c r="H518" s="66"/>
      <c r="I518" s="66"/>
      <c r="J518" s="66"/>
      <c r="K518" s="66"/>
      <c r="L518" s="66"/>
      <c r="N518" s="5">
        <v>9.0006139496050311E-2</v>
      </c>
      <c r="O518" s="19">
        <f t="shared" si="51"/>
        <v>9.4181001404525233E-2</v>
      </c>
      <c r="P518" s="12">
        <f t="shared" si="49"/>
        <v>-4526.702167862959</v>
      </c>
    </row>
    <row r="519" spans="1:16">
      <c r="A519" s="149">
        <v>0.65569017609179969</v>
      </c>
      <c r="B519" s="150">
        <f t="shared" si="50"/>
        <v>40.426349425192029</v>
      </c>
      <c r="C519" s="24">
        <f t="shared" si="48"/>
        <v>-5850.3717072712852</v>
      </c>
      <c r="H519" s="66"/>
      <c r="I519" s="66"/>
      <c r="J519" s="66"/>
      <c r="K519" s="66"/>
      <c r="L519" s="66"/>
      <c r="N519" s="5">
        <v>2.5293337282288123E-2</v>
      </c>
      <c r="O519" s="19">
        <f t="shared" si="51"/>
        <v>2.5615927792208559E-2</v>
      </c>
      <c r="P519" s="12">
        <f t="shared" si="49"/>
        <v>-6865.4643437167279</v>
      </c>
    </row>
    <row r="520" spans="1:16">
      <c r="A520" s="149">
        <v>8.633686330759606E-2</v>
      </c>
      <c r="B520" s="150">
        <f t="shared" si="50"/>
        <v>20.216363040663492</v>
      </c>
      <c r="C520" s="24">
        <f t="shared" si="48"/>
        <v>-5850.3717072712852</v>
      </c>
      <c r="H520" s="66"/>
      <c r="I520" s="66"/>
      <c r="J520" s="66"/>
      <c r="K520" s="66"/>
      <c r="L520" s="66"/>
      <c r="N520" s="5">
        <v>4.450041769554082E-2</v>
      </c>
      <c r="O520" s="19">
        <f t="shared" si="51"/>
        <v>4.5505413413313489E-2</v>
      </c>
      <c r="P520" s="12">
        <f t="shared" si="49"/>
        <v>-6019.2147469966712</v>
      </c>
    </row>
    <row r="521" spans="1:16">
      <c r="A521" s="149">
        <v>0.85326700643940545</v>
      </c>
      <c r="B521" s="150">
        <f t="shared" si="50"/>
        <v>45.384243793856989</v>
      </c>
      <c r="C521" s="24">
        <f t="shared" si="48"/>
        <v>-5850.3717072712852</v>
      </c>
      <c r="H521" s="66"/>
      <c r="I521" s="66"/>
      <c r="J521" s="66"/>
      <c r="K521" s="66"/>
      <c r="L521" s="66"/>
      <c r="N521" s="5">
        <v>4.9177620391797974E-2</v>
      </c>
      <c r="O521" s="19">
        <f t="shared" si="51"/>
        <v>5.0406907857884597E-2</v>
      </c>
      <c r="P521" s="12">
        <f t="shared" si="49"/>
        <v>-5835.453446812422</v>
      </c>
    </row>
    <row r="522" spans="1:16">
      <c r="A522" s="149">
        <v>0.58629108554338205</v>
      </c>
      <c r="B522" s="150">
        <f t="shared" si="50"/>
        <v>38.836755116440443</v>
      </c>
      <c r="C522" s="24">
        <f t="shared" si="48"/>
        <v>-5850.3717072712852</v>
      </c>
      <c r="H522" s="66"/>
      <c r="I522" s="66"/>
      <c r="J522" s="66"/>
      <c r="K522" s="66"/>
      <c r="L522" s="66"/>
      <c r="N522" s="5">
        <v>4.5361608224207886E-2</v>
      </c>
      <c r="O522" s="19">
        <f t="shared" si="51"/>
        <v>4.6406180583421719E-2</v>
      </c>
      <c r="P522" s="12">
        <f t="shared" si="49"/>
        <v>-5984.7703206677324</v>
      </c>
    </row>
    <row r="523" spans="1:16">
      <c r="A523" s="149">
        <v>0.15454573198644977</v>
      </c>
      <c r="B523" s="150">
        <f t="shared" si="50"/>
        <v>25.11120397550566</v>
      </c>
      <c r="C523" s="24">
        <f t="shared" si="48"/>
        <v>-5850.3717072712852</v>
      </c>
      <c r="H523" s="66"/>
      <c r="I523" s="66"/>
      <c r="J523" s="66"/>
      <c r="K523" s="66"/>
      <c r="L523" s="66"/>
      <c r="N523" s="5">
        <v>3.1704318823482028E-2</v>
      </c>
      <c r="O523" s="19">
        <f t="shared" si="51"/>
        <v>3.2212254445065147E-2</v>
      </c>
      <c r="P523" s="12">
        <f t="shared" si="49"/>
        <v>-6565.5515862020484</v>
      </c>
    </row>
    <row r="524" spans="1:16">
      <c r="A524" s="149">
        <v>4.159672841578417E-2</v>
      </c>
      <c r="B524" s="150">
        <f t="shared" si="50"/>
        <v>14.656006964102534</v>
      </c>
      <c r="C524" s="24">
        <f t="shared" si="48"/>
        <v>92073.076004945644</v>
      </c>
      <c r="H524" s="66"/>
      <c r="I524" s="66"/>
      <c r="J524" s="66"/>
      <c r="K524" s="66"/>
      <c r="L524" s="66"/>
      <c r="N524" s="5">
        <v>2.9001207460292791E-2</v>
      </c>
      <c r="O524" s="19">
        <f t="shared" si="51"/>
        <v>2.9425837465203442E-2</v>
      </c>
      <c r="P524" s="12">
        <f t="shared" si="49"/>
        <v>124181.7975576512</v>
      </c>
    </row>
    <row r="525" spans="1:16">
      <c r="A525" s="149">
        <v>0.42274239326151308</v>
      </c>
      <c r="B525" s="150">
        <f t="shared" si="50"/>
        <v>34.86604377729693</v>
      </c>
      <c r="C525" s="24">
        <f t="shared" si="48"/>
        <v>-5850.3717072712852</v>
      </c>
      <c r="H525" s="66"/>
      <c r="I525" s="66"/>
      <c r="J525" s="66"/>
      <c r="K525" s="66"/>
      <c r="L525" s="66"/>
      <c r="N525" s="5">
        <v>3.2730448490052369E-2</v>
      </c>
      <c r="O525" s="19">
        <f t="shared" si="51"/>
        <v>3.3271981677338358E-2</v>
      </c>
      <c r="P525" s="12">
        <f t="shared" si="49"/>
        <v>-6519.2413461815222</v>
      </c>
    </row>
    <row r="526" spans="1:16">
      <c r="A526" s="149">
        <v>0.19891964476454971</v>
      </c>
      <c r="B526" s="150">
        <f t="shared" si="50"/>
        <v>27.367784170982723</v>
      </c>
      <c r="C526" s="24">
        <f t="shared" si="48"/>
        <v>-5850.3717072712852</v>
      </c>
      <c r="H526" s="66"/>
      <c r="I526" s="66"/>
      <c r="J526" s="66"/>
      <c r="K526" s="66"/>
      <c r="L526" s="66"/>
      <c r="N526" s="5">
        <v>6.7413751773652622E-2</v>
      </c>
      <c r="O526" s="19">
        <f t="shared" si="51"/>
        <v>6.9737992614508082E-2</v>
      </c>
      <c r="P526" s="12">
        <f t="shared" si="49"/>
        <v>-5190.6480236320085</v>
      </c>
    </row>
    <row r="527" spans="1:16">
      <c r="A527" s="149">
        <v>0.47242652668843654</v>
      </c>
      <c r="B527" s="150">
        <f t="shared" si="50"/>
        <v>36.134200762746502</v>
      </c>
      <c r="C527" s="24">
        <f t="shared" si="48"/>
        <v>-5850.3717072712852</v>
      </c>
      <c r="H527" s="66"/>
      <c r="I527" s="66"/>
      <c r="J527" s="66"/>
      <c r="K527" s="66"/>
      <c r="L527" s="66"/>
      <c r="N527" s="5">
        <v>2.5821197320634384E-2</v>
      </c>
      <c r="O527" s="19">
        <f t="shared" si="51"/>
        <v>2.6157452367199019E-2</v>
      </c>
      <c r="P527" s="12">
        <f t="shared" si="49"/>
        <v>-6840.0637948893227</v>
      </c>
    </row>
    <row r="528" spans="1:16">
      <c r="A528" s="149">
        <v>0.26334421826837978</v>
      </c>
      <c r="B528" s="150">
        <f t="shared" si="50"/>
        <v>29.996842347461953</v>
      </c>
      <c r="C528" s="24">
        <f t="shared" ref="C528:C591" si="52">IF($B528&lt;15,B$8*(B$10^$B528)-B$7*(1-B$10^$B528)/B$11, -B$7*(1-B$10^15)/B$11)</f>
        <v>-5850.3717072712852</v>
      </c>
      <c r="H528" s="66"/>
      <c r="I528" s="66"/>
      <c r="J528" s="66"/>
      <c r="K528" s="66"/>
      <c r="L528" s="66"/>
      <c r="N528" s="5">
        <v>5.8183543908067806E-2</v>
      </c>
      <c r="O528" s="19">
        <f t="shared" si="51"/>
        <v>5.9909517793163891E-2</v>
      </c>
      <c r="P528" s="12">
        <f t="shared" ref="P528:P591" si="53">IF($B528&lt;15,B$8*((1+O528)^-$B528)-B$7*(1-(1+O528)^-$B528)/LN(1+O528), -B$7*(1-(1+O528)^-15)/LN(1+O528))</f>
        <v>-5503.449015892751</v>
      </c>
    </row>
    <row r="529" spans="1:16">
      <c r="A529" s="149">
        <v>0.30381176183355207</v>
      </c>
      <c r="B529" s="150">
        <f t="shared" ref="B529:B592" si="54">LN(1-LN(B$4)*(LN(1-A529)/(B$3*B$4^50)))/LN(B$4)</f>
        <v>31.398225437805863</v>
      </c>
      <c r="C529" s="24">
        <f t="shared" si="52"/>
        <v>-5850.3717072712852</v>
      </c>
      <c r="H529" s="66"/>
      <c r="I529" s="66"/>
      <c r="J529" s="66"/>
      <c r="K529" s="66"/>
      <c r="L529" s="66"/>
      <c r="N529" s="5">
        <v>1.0015370159759188E-2</v>
      </c>
      <c r="O529" s="19">
        <f t="shared" ref="O529:O592" si="55">EXP(N529)-1</f>
        <v>1.0065691835909663E-2</v>
      </c>
      <c r="P529" s="12">
        <f t="shared" si="53"/>
        <v>-7660.2002941115716</v>
      </c>
    </row>
    <row r="530" spans="1:16">
      <c r="A530" s="149">
        <v>0.70015564439832756</v>
      </c>
      <c r="B530" s="150">
        <f t="shared" si="54"/>
        <v>41.453338608546474</v>
      </c>
      <c r="C530" s="24">
        <f t="shared" si="52"/>
        <v>-5850.3717072712852</v>
      </c>
      <c r="H530" s="66"/>
      <c r="I530" s="66"/>
      <c r="J530" s="66"/>
      <c r="K530" s="66"/>
      <c r="L530" s="66"/>
      <c r="N530" s="5">
        <v>4.2981224121045672E-2</v>
      </c>
      <c r="O530" s="19">
        <f t="shared" si="55"/>
        <v>4.3918294183073581E-2</v>
      </c>
      <c r="P530" s="12">
        <f t="shared" si="53"/>
        <v>-6080.6625448040404</v>
      </c>
    </row>
    <row r="531" spans="1:16">
      <c r="A531" s="149">
        <v>0.18585772270882289</v>
      </c>
      <c r="B531" s="150">
        <f t="shared" si="54"/>
        <v>26.751468386538093</v>
      </c>
      <c r="C531" s="24">
        <f t="shared" si="52"/>
        <v>-5850.3717072712852</v>
      </c>
      <c r="H531" s="66"/>
      <c r="I531" s="66"/>
      <c r="J531" s="66"/>
      <c r="K531" s="66"/>
      <c r="L531" s="66"/>
      <c r="N531" s="5">
        <v>8.1136797641316663E-2</v>
      </c>
      <c r="O531" s="19">
        <f t="shared" si="55"/>
        <v>8.4519246094424405E-2</v>
      </c>
      <c r="P531" s="12">
        <f t="shared" si="53"/>
        <v>-4771.4972887074027</v>
      </c>
    </row>
    <row r="532" spans="1:16">
      <c r="A532" s="149">
        <v>0.52031006805627611</v>
      </c>
      <c r="B532" s="150">
        <f t="shared" si="54"/>
        <v>37.296283608866212</v>
      </c>
      <c r="C532" s="24">
        <f t="shared" si="52"/>
        <v>-5850.3717072712852</v>
      </c>
      <c r="H532" s="66"/>
      <c r="I532" s="66"/>
      <c r="J532" s="66"/>
      <c r="K532" s="66"/>
      <c r="L532" s="66"/>
      <c r="N532" s="5">
        <v>5.132999394585204E-2</v>
      </c>
      <c r="O532" s="19">
        <f t="shared" si="55"/>
        <v>5.2670210770251025E-2</v>
      </c>
      <c r="P532" s="12">
        <f t="shared" si="53"/>
        <v>-5753.5571976790234</v>
      </c>
    </row>
    <row r="533" spans="1:16">
      <c r="A533" s="149">
        <v>0.1944944608905301</v>
      </c>
      <c r="B533" s="150">
        <f t="shared" si="54"/>
        <v>27.162851708984686</v>
      </c>
      <c r="C533" s="24">
        <f t="shared" si="52"/>
        <v>-5850.3717072712852</v>
      </c>
      <c r="H533" s="66"/>
      <c r="I533" s="66"/>
      <c r="J533" s="66"/>
      <c r="K533" s="66"/>
      <c r="L533" s="66"/>
      <c r="N533" s="5">
        <v>2.794135020588874E-2</v>
      </c>
      <c r="O533" s="19">
        <f t="shared" si="55"/>
        <v>2.8335370994971187E-2</v>
      </c>
      <c r="P533" s="12">
        <f t="shared" si="53"/>
        <v>-6739.337527647177</v>
      </c>
    </row>
    <row r="534" spans="1:16">
      <c r="A534" s="149">
        <v>0.4825586718344676</v>
      </c>
      <c r="B534" s="150">
        <f t="shared" si="54"/>
        <v>36.384297162785387</v>
      </c>
      <c r="C534" s="24">
        <f t="shared" si="52"/>
        <v>-5850.3717072712852</v>
      </c>
      <c r="H534" s="66"/>
      <c r="I534" s="66"/>
      <c r="J534" s="66"/>
      <c r="K534" s="66"/>
      <c r="L534" s="66"/>
      <c r="N534" s="5">
        <v>2.2367010112371646E-2</v>
      </c>
      <c r="O534" s="19">
        <f t="shared" si="55"/>
        <v>2.2619027131361547E-2</v>
      </c>
      <c r="P534" s="12">
        <f t="shared" si="53"/>
        <v>-7008.6590188347764</v>
      </c>
    </row>
    <row r="535" spans="1:16">
      <c r="A535" s="149">
        <v>0.15686513870662558</v>
      </c>
      <c r="B535" s="150">
        <f t="shared" si="54"/>
        <v>25.241907468326936</v>
      </c>
      <c r="C535" s="24">
        <f t="shared" si="52"/>
        <v>-5850.3717072712852</v>
      </c>
      <c r="H535" s="66"/>
      <c r="I535" s="66"/>
      <c r="J535" s="66"/>
      <c r="K535" s="66"/>
      <c r="L535" s="66"/>
      <c r="N535" s="5">
        <v>4.6796003354880669E-2</v>
      </c>
      <c r="O535" s="19">
        <f t="shared" si="55"/>
        <v>4.790821751325014E-2</v>
      </c>
      <c r="P535" s="12">
        <f t="shared" si="53"/>
        <v>-5928.0156345669493</v>
      </c>
    </row>
    <row r="536" spans="1:16">
      <c r="A536" s="149">
        <v>0.60789819025238812</v>
      </c>
      <c r="B536" s="150">
        <f t="shared" si="54"/>
        <v>39.332669727873785</v>
      </c>
      <c r="C536" s="24">
        <f t="shared" si="52"/>
        <v>-5850.3717072712852</v>
      </c>
      <c r="H536" s="66"/>
      <c r="I536" s="66"/>
      <c r="J536" s="66"/>
      <c r="K536" s="66"/>
      <c r="L536" s="66"/>
      <c r="N536" s="5">
        <v>9.9507510592171458E-2</v>
      </c>
      <c r="O536" s="19">
        <f t="shared" si="55"/>
        <v>0.10462676710994723</v>
      </c>
      <c r="P536" s="12">
        <f t="shared" si="53"/>
        <v>-4284.7868091106475</v>
      </c>
    </row>
    <row r="537" spans="1:16">
      <c r="A537" s="149">
        <v>6.4729758598590051E-2</v>
      </c>
      <c r="B537" s="150">
        <f t="shared" si="54"/>
        <v>17.942769259675114</v>
      </c>
      <c r="C537" s="24">
        <f t="shared" si="52"/>
        <v>-5850.3717072712852</v>
      </c>
      <c r="H537" s="66"/>
      <c r="I537" s="66"/>
      <c r="J537" s="66"/>
      <c r="K537" s="66"/>
      <c r="L537" s="66"/>
      <c r="N537" s="5">
        <v>4.6029858319467168E-2</v>
      </c>
      <c r="O537" s="19">
        <f t="shared" si="55"/>
        <v>4.7105675305953554E-2</v>
      </c>
      <c r="P537" s="12">
        <f t="shared" si="53"/>
        <v>-5958.234462698264</v>
      </c>
    </row>
    <row r="538" spans="1:16">
      <c r="A538" s="149">
        <v>6.8514053773613692E-2</v>
      </c>
      <c r="B538" s="150">
        <f t="shared" si="54"/>
        <v>18.38336983778472</v>
      </c>
      <c r="C538" s="24">
        <f t="shared" si="52"/>
        <v>-5850.3717072712852</v>
      </c>
      <c r="H538" s="66"/>
      <c r="I538" s="66"/>
      <c r="J538" s="66"/>
      <c r="K538" s="66"/>
      <c r="L538" s="66"/>
      <c r="N538" s="5">
        <v>7.8332558311682079E-2</v>
      </c>
      <c r="O538" s="19">
        <f t="shared" si="55"/>
        <v>8.1482254786196195E-2</v>
      </c>
      <c r="P538" s="12">
        <f t="shared" si="53"/>
        <v>-4852.9959289853159</v>
      </c>
    </row>
    <row r="539" spans="1:16">
      <c r="A539" s="149">
        <v>2.1729178746910001E-2</v>
      </c>
      <c r="B539" s="150">
        <f t="shared" si="54"/>
        <v>10.361525560529424</v>
      </c>
      <c r="C539" s="24">
        <f t="shared" si="52"/>
        <v>116162.62538853733</v>
      </c>
      <c r="H539" s="66"/>
      <c r="I539" s="66"/>
      <c r="J539" s="66"/>
      <c r="K539" s="66"/>
      <c r="L539" s="66"/>
      <c r="N539" s="5">
        <v>7.2180109279666796E-2</v>
      </c>
      <c r="O539" s="19">
        <f t="shared" si="55"/>
        <v>7.4848916895331463E-2</v>
      </c>
      <c r="P539" s="12">
        <f t="shared" si="53"/>
        <v>90659.392026338421</v>
      </c>
    </row>
    <row r="540" spans="1:16">
      <c r="A540" s="149">
        <v>0.50636310922574546</v>
      </c>
      <c r="B540" s="150">
        <f t="shared" si="54"/>
        <v>36.962673855622675</v>
      </c>
      <c r="C540" s="24">
        <f t="shared" si="52"/>
        <v>-5850.3717072712852</v>
      </c>
      <c r="H540" s="66"/>
      <c r="I540" s="66"/>
      <c r="J540" s="66"/>
      <c r="K540" s="66"/>
      <c r="L540" s="66"/>
      <c r="N540" s="5">
        <v>3.4615412411891158E-2</v>
      </c>
      <c r="O540" s="19">
        <f t="shared" si="55"/>
        <v>3.5221498891820247E-2</v>
      </c>
      <c r="P540" s="12">
        <f t="shared" si="53"/>
        <v>-6435.347576285043</v>
      </c>
    </row>
    <row r="541" spans="1:16">
      <c r="A541" s="149">
        <v>0.80626850184636978</v>
      </c>
      <c r="B541" s="150">
        <f t="shared" si="54"/>
        <v>44.063232715025094</v>
      </c>
      <c r="C541" s="24">
        <f t="shared" si="52"/>
        <v>-5850.3717072712852</v>
      </c>
      <c r="H541" s="66"/>
      <c r="I541" s="66"/>
      <c r="J541" s="66"/>
      <c r="K541" s="66"/>
      <c r="L541" s="66"/>
      <c r="N541" s="5">
        <v>5.2911382178659552E-2</v>
      </c>
      <c r="O541" s="19">
        <f t="shared" si="55"/>
        <v>5.4336208001606767E-2</v>
      </c>
      <c r="P541" s="12">
        <f t="shared" si="53"/>
        <v>-5694.4260225800545</v>
      </c>
    </row>
    <row r="542" spans="1:16">
      <c r="A542" s="149">
        <v>0.78536332285531174</v>
      </c>
      <c r="B542" s="150">
        <f t="shared" si="54"/>
        <v>43.519026704326663</v>
      </c>
      <c r="C542" s="24">
        <f t="shared" si="52"/>
        <v>-5850.3717072712852</v>
      </c>
      <c r="H542" s="66"/>
      <c r="I542" s="66"/>
      <c r="J542" s="66"/>
      <c r="K542" s="66"/>
      <c r="L542" s="66"/>
      <c r="N542" s="5">
        <v>8.3169439628487454E-2</v>
      </c>
      <c r="O542" s="19">
        <f t="shared" si="55"/>
        <v>8.6725927386687829E-2</v>
      </c>
      <c r="P542" s="12">
        <f t="shared" si="53"/>
        <v>-4713.684463464213</v>
      </c>
    </row>
    <row r="543" spans="1:16">
      <c r="A543" s="149">
        <v>0.2912686544389172</v>
      </c>
      <c r="B543" s="150">
        <f t="shared" si="54"/>
        <v>30.979810735741104</v>
      </c>
      <c r="C543" s="24">
        <f t="shared" si="52"/>
        <v>-5850.3717072712852</v>
      </c>
      <c r="H543" s="66"/>
      <c r="I543" s="66"/>
      <c r="J543" s="66"/>
      <c r="K543" s="66"/>
      <c r="L543" s="66"/>
      <c r="N543" s="5">
        <v>4.2085785432514969E-2</v>
      </c>
      <c r="O543" s="19">
        <f t="shared" si="55"/>
        <v>4.2983947742203599E-2</v>
      </c>
      <c r="P543" s="12">
        <f t="shared" si="53"/>
        <v>-6117.2957921283678</v>
      </c>
    </row>
    <row r="544" spans="1:16">
      <c r="A544" s="149">
        <v>0.70519119846186717</v>
      </c>
      <c r="B544" s="150">
        <f t="shared" si="54"/>
        <v>41.570996477069926</v>
      </c>
      <c r="C544" s="24">
        <f t="shared" si="52"/>
        <v>-5850.3717072712852</v>
      </c>
      <c r="H544" s="66"/>
      <c r="I544" s="66"/>
      <c r="J544" s="66"/>
      <c r="K544" s="66"/>
      <c r="L544" s="66"/>
      <c r="N544" s="5">
        <v>3.6775128771419988E-2</v>
      </c>
      <c r="O544" s="19">
        <f t="shared" si="55"/>
        <v>3.7459699768253252E-2</v>
      </c>
      <c r="P544" s="12">
        <f t="shared" si="53"/>
        <v>-6341.0640335309054</v>
      </c>
    </row>
    <row r="545" spans="1:16">
      <c r="A545" s="149">
        <v>0.38456373790704063</v>
      </c>
      <c r="B545" s="150">
        <f t="shared" si="54"/>
        <v>33.832313325036885</v>
      </c>
      <c r="C545" s="24">
        <f t="shared" si="52"/>
        <v>-5850.3717072712852</v>
      </c>
      <c r="H545" s="66"/>
      <c r="I545" s="66"/>
      <c r="J545" s="66"/>
      <c r="K545" s="66"/>
      <c r="L545" s="66"/>
      <c r="N545" s="5">
        <v>3.8750453038242996E-2</v>
      </c>
      <c r="O545" s="19">
        <f t="shared" si="55"/>
        <v>3.9511044457515743E-2</v>
      </c>
      <c r="P545" s="12">
        <f t="shared" si="53"/>
        <v>-6256.5120937086685</v>
      </c>
    </row>
    <row r="546" spans="1:16">
      <c r="A546" s="149">
        <v>0.93423261207922603</v>
      </c>
      <c r="B546" s="150">
        <f t="shared" si="54"/>
        <v>48.338374865735659</v>
      </c>
      <c r="C546" s="24">
        <f t="shared" si="52"/>
        <v>-5850.3717072712852</v>
      </c>
      <c r="H546" s="66"/>
      <c r="I546" s="66"/>
      <c r="J546" s="66"/>
      <c r="K546" s="66"/>
      <c r="L546" s="66"/>
      <c r="N546" s="5">
        <v>1.5900025980168722E-2</v>
      </c>
      <c r="O546" s="19">
        <f t="shared" si="55"/>
        <v>1.6027104014583626E-2</v>
      </c>
      <c r="P546" s="12">
        <f t="shared" si="53"/>
        <v>-7339.9496617283448</v>
      </c>
    </row>
    <row r="547" spans="1:16">
      <c r="A547" s="149">
        <v>0.96865749076815089</v>
      </c>
      <c r="B547" s="150">
        <f t="shared" si="54"/>
        <v>50.377031843347197</v>
      </c>
      <c r="C547" s="24">
        <f t="shared" si="52"/>
        <v>-5850.3717072712852</v>
      </c>
      <c r="H547" s="66"/>
      <c r="I547" s="66"/>
      <c r="J547" s="66"/>
      <c r="K547" s="66"/>
      <c r="L547" s="66"/>
      <c r="N547" s="5">
        <v>3.513242263319262E-2</v>
      </c>
      <c r="O547" s="19">
        <f t="shared" si="55"/>
        <v>3.5756857369035666E-2</v>
      </c>
      <c r="P547" s="12">
        <f t="shared" si="53"/>
        <v>-6412.6000334498676</v>
      </c>
    </row>
    <row r="548" spans="1:16">
      <c r="A548" s="149">
        <v>0.97482222968230237</v>
      </c>
      <c r="B548" s="150">
        <f t="shared" si="54"/>
        <v>50.896383028791043</v>
      </c>
      <c r="C548" s="24">
        <f t="shared" si="52"/>
        <v>-5850.3717072712852</v>
      </c>
      <c r="H548" s="66"/>
      <c r="I548" s="66"/>
      <c r="J548" s="66"/>
      <c r="K548" s="66"/>
      <c r="L548" s="66"/>
      <c r="N548" s="5">
        <v>1.0463829264277594E-2</v>
      </c>
      <c r="O548" s="19">
        <f t="shared" si="55"/>
        <v>1.05187665767279E-2</v>
      </c>
      <c r="P548" s="12">
        <f t="shared" si="53"/>
        <v>-7635.1360297613637</v>
      </c>
    </row>
    <row r="549" spans="1:16">
      <c r="A549" s="149">
        <v>0.64915921506393626</v>
      </c>
      <c r="B549" s="150">
        <f t="shared" si="54"/>
        <v>40.276689350488731</v>
      </c>
      <c r="C549" s="24">
        <f t="shared" si="52"/>
        <v>-5850.3717072712852</v>
      </c>
      <c r="H549" s="66"/>
      <c r="I549" s="66"/>
      <c r="J549" s="66"/>
      <c r="K549" s="66"/>
      <c r="L549" s="66"/>
      <c r="N549" s="5">
        <v>1.5950548865599559E-2</v>
      </c>
      <c r="O549" s="19">
        <f t="shared" si="55"/>
        <v>1.6078437932312228E-2</v>
      </c>
      <c r="P549" s="12">
        <f t="shared" si="53"/>
        <v>-7337.2795077297988</v>
      </c>
    </row>
    <row r="550" spans="1:16">
      <c r="A550" s="149">
        <v>0.98477126377147739</v>
      </c>
      <c r="B550" s="150">
        <f t="shared" si="54"/>
        <v>51.980619739135172</v>
      </c>
      <c r="C550" s="24">
        <f t="shared" si="52"/>
        <v>-5850.3717072712852</v>
      </c>
      <c r="H550" s="66"/>
      <c r="I550" s="66"/>
      <c r="J550" s="66"/>
      <c r="K550" s="66"/>
      <c r="L550" s="66"/>
      <c r="N550" s="5">
        <v>2.2486193708697103E-2</v>
      </c>
      <c r="O550" s="19">
        <f t="shared" si="55"/>
        <v>2.2740913807987928E-2</v>
      </c>
      <c r="P550" s="12">
        <f t="shared" si="53"/>
        <v>-7002.7472237848133</v>
      </c>
    </row>
    <row r="551" spans="1:16">
      <c r="A551" s="149">
        <v>9.0914639728995633E-2</v>
      </c>
      <c r="B551" s="150">
        <f t="shared" si="54"/>
        <v>20.634534357461948</v>
      </c>
      <c r="C551" s="24">
        <f t="shared" si="52"/>
        <v>-5850.3717072712852</v>
      </c>
      <c r="H551" s="66"/>
      <c r="I551" s="66"/>
      <c r="J551" s="66"/>
      <c r="K551" s="66"/>
      <c r="L551" s="66"/>
      <c r="N551" s="5">
        <v>5.4927585049095798E-2</v>
      </c>
      <c r="O551" s="19">
        <f t="shared" si="55"/>
        <v>5.6464108108897237E-2</v>
      </c>
      <c r="P551" s="12">
        <f t="shared" si="53"/>
        <v>-5620.2871436746627</v>
      </c>
    </row>
    <row r="552" spans="1:16">
      <c r="A552" s="149">
        <v>0.3665272988067263</v>
      </c>
      <c r="B552" s="150">
        <f t="shared" si="54"/>
        <v>33.321425267879512</v>
      </c>
      <c r="C552" s="24">
        <f t="shared" si="52"/>
        <v>-5850.3717072712852</v>
      </c>
      <c r="H552" s="66"/>
      <c r="I552" s="66"/>
      <c r="J552" s="66"/>
      <c r="K552" s="66"/>
      <c r="L552" s="66"/>
      <c r="N552" s="5">
        <v>5.9828003552080192E-2</v>
      </c>
      <c r="O552" s="19">
        <f t="shared" si="55"/>
        <v>6.1653930136219337E-2</v>
      </c>
      <c r="P552" s="12">
        <f t="shared" si="53"/>
        <v>-5445.7613914321701</v>
      </c>
    </row>
    <row r="553" spans="1:16">
      <c r="A553" s="149">
        <v>0.45811334574419388</v>
      </c>
      <c r="B553" s="150">
        <f t="shared" si="54"/>
        <v>35.776397976019233</v>
      </c>
      <c r="C553" s="24">
        <f t="shared" si="52"/>
        <v>-5850.3717072712852</v>
      </c>
      <c r="H553" s="66"/>
      <c r="I553" s="66"/>
      <c r="J553" s="66"/>
      <c r="K553" s="66"/>
      <c r="L553" s="66"/>
      <c r="N553" s="5">
        <v>5.1393120154112695E-2</v>
      </c>
      <c r="O553" s="19">
        <f t="shared" si="55"/>
        <v>5.273666394665244E-2</v>
      </c>
      <c r="P553" s="12">
        <f t="shared" si="53"/>
        <v>-5751.1800475048485</v>
      </c>
    </row>
    <row r="554" spans="1:16">
      <c r="A554" s="149">
        <v>0.82598345896786396</v>
      </c>
      <c r="B554" s="150">
        <f t="shared" si="54"/>
        <v>44.598101683578953</v>
      </c>
      <c r="C554" s="24">
        <f t="shared" si="52"/>
        <v>-5850.3717072712852</v>
      </c>
      <c r="H554" s="66"/>
      <c r="I554" s="66"/>
      <c r="J554" s="66"/>
      <c r="K554" s="66"/>
      <c r="L554" s="66"/>
      <c r="N554" s="5">
        <v>5.7717659339810781E-2</v>
      </c>
      <c r="O554" s="19">
        <f t="shared" si="55"/>
        <v>5.9415837313063324E-2</v>
      </c>
      <c r="P554" s="12">
        <f t="shared" si="53"/>
        <v>-5519.9520209733419</v>
      </c>
    </row>
    <row r="555" spans="1:16">
      <c r="A555" s="149">
        <v>0.10077211828974272</v>
      </c>
      <c r="B555" s="150">
        <f t="shared" si="54"/>
        <v>21.476987328785953</v>
      </c>
      <c r="C555" s="24">
        <f t="shared" si="52"/>
        <v>-5850.3717072712852</v>
      </c>
      <c r="H555" s="66"/>
      <c r="I555" s="66"/>
      <c r="J555" s="66"/>
      <c r="K555" s="66"/>
      <c r="L555" s="66"/>
      <c r="N555" s="5">
        <v>6.7746643887527172E-2</v>
      </c>
      <c r="O555" s="19">
        <f t="shared" si="55"/>
        <v>7.0094159235401854E-2</v>
      </c>
      <c r="P555" s="12">
        <f t="shared" si="53"/>
        <v>-5179.8527215691438</v>
      </c>
    </row>
    <row r="556" spans="1:16">
      <c r="A556" s="149">
        <v>0.72264778588213752</v>
      </c>
      <c r="B556" s="150">
        <f t="shared" si="54"/>
        <v>41.98199750403392</v>
      </c>
      <c r="C556" s="24">
        <f t="shared" si="52"/>
        <v>-5850.3717072712852</v>
      </c>
      <c r="H556" s="66"/>
      <c r="I556" s="66"/>
      <c r="J556" s="66"/>
      <c r="K556" s="66"/>
      <c r="L556" s="66"/>
      <c r="N556" s="5">
        <v>7.9317206607025584E-2</v>
      </c>
      <c r="O556" s="19">
        <f t="shared" si="55"/>
        <v>8.2547658882900832E-2</v>
      </c>
      <c r="P556" s="12">
        <f t="shared" si="53"/>
        <v>-4824.1464994527114</v>
      </c>
    </row>
    <row r="557" spans="1:16">
      <c r="A557" s="149">
        <v>0.27353740043336283</v>
      </c>
      <c r="B557" s="150">
        <f t="shared" si="54"/>
        <v>30.364520681330394</v>
      </c>
      <c r="C557" s="24">
        <f t="shared" si="52"/>
        <v>-5850.3717072712852</v>
      </c>
      <c r="H557" s="66"/>
      <c r="I557" s="66"/>
      <c r="J557" s="66"/>
      <c r="K557" s="66"/>
      <c r="L557" s="66"/>
      <c r="N557" s="5">
        <v>8.1542734230548378E-2</v>
      </c>
      <c r="O557" s="19">
        <f t="shared" si="55"/>
        <v>8.4959581506221182E-2</v>
      </c>
      <c r="P557" s="12">
        <f t="shared" si="53"/>
        <v>-4759.8678012396058</v>
      </c>
    </row>
    <row r="558" spans="1:16">
      <c r="A558" s="149">
        <v>0.60539567247535631</v>
      </c>
      <c r="B558" s="150">
        <f t="shared" si="54"/>
        <v>39.275344103257417</v>
      </c>
      <c r="C558" s="24">
        <f t="shared" si="52"/>
        <v>-5850.3717072712852</v>
      </c>
      <c r="H558" s="66"/>
      <c r="I558" s="66"/>
      <c r="J558" s="66"/>
      <c r="K558" s="66"/>
      <c r="L558" s="66"/>
      <c r="N558" s="5">
        <v>4.9210827407601757E-2</v>
      </c>
      <c r="O558" s="19">
        <f t="shared" si="55"/>
        <v>5.0441789315825547E-2</v>
      </c>
      <c r="P558" s="12">
        <f t="shared" si="53"/>
        <v>-5834.1773892461788</v>
      </c>
    </row>
    <row r="559" spans="1:16">
      <c r="A559" s="149">
        <v>0.45469527268288218</v>
      </c>
      <c r="B559" s="150">
        <f t="shared" si="54"/>
        <v>35.690117755553338</v>
      </c>
      <c r="C559" s="24">
        <f t="shared" si="52"/>
        <v>-5850.3717072712852</v>
      </c>
      <c r="H559" s="66"/>
      <c r="I559" s="66"/>
      <c r="J559" s="66"/>
      <c r="K559" s="66"/>
      <c r="L559" s="66"/>
      <c r="N559" s="5">
        <v>2.8865338160481771E-2</v>
      </c>
      <c r="O559" s="19">
        <f t="shared" si="55"/>
        <v>2.9285979598870027E-2</v>
      </c>
      <c r="P559" s="12">
        <f t="shared" si="53"/>
        <v>-6696.0802615470811</v>
      </c>
    </row>
    <row r="560" spans="1:16">
      <c r="A560" s="149">
        <v>0.47715689565721608</v>
      </c>
      <c r="B560" s="150">
        <f t="shared" si="54"/>
        <v>36.25127617519513</v>
      </c>
      <c r="C560" s="24">
        <f t="shared" si="52"/>
        <v>-5850.3717072712852</v>
      </c>
      <c r="H560" s="66"/>
      <c r="I560" s="66"/>
      <c r="J560" s="66"/>
      <c r="K560" s="66"/>
      <c r="L560" s="66"/>
      <c r="N560" s="5">
        <v>8.1303654676172302E-2</v>
      </c>
      <c r="O560" s="19">
        <f t="shared" si="55"/>
        <v>8.4700220858108022E-2</v>
      </c>
      <c r="P560" s="12">
        <f t="shared" si="53"/>
        <v>-4766.7119867452193</v>
      </c>
    </row>
    <row r="561" spans="1:16">
      <c r="A561" s="149">
        <v>0.88372447889645067</v>
      </c>
      <c r="B561" s="150">
        <f t="shared" si="54"/>
        <v>46.351343641979355</v>
      </c>
      <c r="C561" s="24">
        <f t="shared" si="52"/>
        <v>-5850.3717072712852</v>
      </c>
      <c r="H561" s="66"/>
      <c r="I561" s="66"/>
      <c r="J561" s="66"/>
      <c r="K561" s="66"/>
      <c r="L561" s="66"/>
      <c r="N561" s="5">
        <v>2.4184244873264107E-2</v>
      </c>
      <c r="O561" s="19">
        <f t="shared" si="55"/>
        <v>2.4479055516863024E-2</v>
      </c>
      <c r="P561" s="12">
        <f t="shared" si="53"/>
        <v>-6919.2583678229594</v>
      </c>
    </row>
    <row r="562" spans="1:16">
      <c r="A562" s="149">
        <v>0.1870784630878628</v>
      </c>
      <c r="B562" s="150">
        <f t="shared" si="54"/>
        <v>26.810567901307532</v>
      </c>
      <c r="C562" s="24">
        <f t="shared" si="52"/>
        <v>-5850.3717072712852</v>
      </c>
      <c r="H562" s="66"/>
      <c r="I562" s="66"/>
      <c r="J562" s="66"/>
      <c r="K562" s="66"/>
      <c r="L562" s="66"/>
      <c r="N562" s="5">
        <v>5.631827952778258E-2</v>
      </c>
      <c r="O562" s="19">
        <f t="shared" si="55"/>
        <v>5.7934349001963703E-2</v>
      </c>
      <c r="P562" s="12">
        <f t="shared" si="53"/>
        <v>-5569.9517312826611</v>
      </c>
    </row>
    <row r="563" spans="1:16">
      <c r="A563" s="149">
        <v>0.37330240791039765</v>
      </c>
      <c r="B563" s="150">
        <f t="shared" si="54"/>
        <v>33.515216013849098</v>
      </c>
      <c r="C563" s="24">
        <f t="shared" si="52"/>
        <v>-5850.3717072712852</v>
      </c>
      <c r="H563" s="66"/>
      <c r="I563" s="66"/>
      <c r="J563" s="66"/>
      <c r="K563" s="66"/>
      <c r="L563" s="66"/>
      <c r="N563" s="5">
        <v>3.384874680444773E-2</v>
      </c>
      <c r="O563" s="19">
        <f t="shared" si="55"/>
        <v>3.4428134334054228E-2</v>
      </c>
      <c r="P563" s="12">
        <f t="shared" si="53"/>
        <v>-6469.2870470169355</v>
      </c>
    </row>
    <row r="564" spans="1:16">
      <c r="A564" s="149">
        <v>2.8962065492721335E-2</v>
      </c>
      <c r="B564" s="150">
        <f t="shared" si="54"/>
        <v>12.17492055167895</v>
      </c>
      <c r="C564" s="24">
        <f t="shared" si="52"/>
        <v>105372.06251997132</v>
      </c>
      <c r="H564" s="66"/>
      <c r="I564" s="66"/>
      <c r="J564" s="66"/>
      <c r="K564" s="66"/>
      <c r="L564" s="66"/>
      <c r="N564" s="5">
        <v>6.0845173900030206E-2</v>
      </c>
      <c r="O564" s="19">
        <f t="shared" si="55"/>
        <v>6.2734362432431467E-2</v>
      </c>
      <c r="P564" s="12">
        <f t="shared" si="53"/>
        <v>90617.962376399635</v>
      </c>
    </row>
    <row r="565" spans="1:16">
      <c r="A565" s="149">
        <v>0.40867336039307839</v>
      </c>
      <c r="B565" s="150">
        <f t="shared" si="54"/>
        <v>34.491972862595098</v>
      </c>
      <c r="C565" s="24">
        <f t="shared" si="52"/>
        <v>-5850.3717072712852</v>
      </c>
      <c r="H565" s="66"/>
      <c r="I565" s="66"/>
      <c r="J565" s="66"/>
      <c r="K565" s="66"/>
      <c r="L565" s="66"/>
      <c r="N565" s="5">
        <v>3.3759920777025401E-2</v>
      </c>
      <c r="O565" s="19">
        <f t="shared" si="55"/>
        <v>3.4336254272958167E-2</v>
      </c>
      <c r="P565" s="12">
        <f t="shared" si="53"/>
        <v>-6473.2353852512806</v>
      </c>
    </row>
    <row r="566" spans="1:16">
      <c r="A566" s="149">
        <v>0.7602771080660421</v>
      </c>
      <c r="B566" s="150">
        <f t="shared" si="54"/>
        <v>42.890042524547866</v>
      </c>
      <c r="C566" s="24">
        <f t="shared" si="52"/>
        <v>-5850.3717072712852</v>
      </c>
      <c r="H566" s="66"/>
      <c r="I566" s="66"/>
      <c r="J566" s="66"/>
      <c r="K566" s="66"/>
      <c r="L566" s="66"/>
      <c r="N566" s="5">
        <v>6.4540029777286692E-2</v>
      </c>
      <c r="O566" s="19">
        <f t="shared" si="55"/>
        <v>6.6668275883577044E-2</v>
      </c>
      <c r="P566" s="12">
        <f t="shared" si="53"/>
        <v>-5285.2145432202942</v>
      </c>
    </row>
    <row r="567" spans="1:16">
      <c r="A567" s="149">
        <v>0.14105655079805901</v>
      </c>
      <c r="B567" s="150">
        <f t="shared" si="54"/>
        <v>24.316180459002258</v>
      </c>
      <c r="C567" s="24">
        <f t="shared" si="52"/>
        <v>-5850.3717072712852</v>
      </c>
      <c r="H567" s="66"/>
      <c r="I567" s="66"/>
      <c r="J567" s="66"/>
      <c r="K567" s="66"/>
      <c r="L567" s="66"/>
      <c r="N567" s="5">
        <v>0.10441886110778432</v>
      </c>
      <c r="O567" s="19">
        <f t="shared" si="55"/>
        <v>0.11006532074163733</v>
      </c>
      <c r="P567" s="12">
        <f t="shared" si="53"/>
        <v>-4167.3412916947045</v>
      </c>
    </row>
    <row r="568" spans="1:16">
      <c r="A568" s="149">
        <v>0.46873378704184088</v>
      </c>
      <c r="B568" s="150">
        <f t="shared" si="54"/>
        <v>36.04241129351491</v>
      </c>
      <c r="C568" s="24">
        <f t="shared" si="52"/>
        <v>-5850.3717072712852</v>
      </c>
      <c r="H568" s="66"/>
      <c r="I568" s="66"/>
      <c r="J568" s="66"/>
      <c r="K568" s="66"/>
      <c r="L568" s="66"/>
      <c r="N568" s="5">
        <v>8.2079416594875512E-2</v>
      </c>
      <c r="O568" s="19">
        <f t="shared" si="55"/>
        <v>8.5542016456926717E-2</v>
      </c>
      <c r="P568" s="12">
        <f t="shared" si="53"/>
        <v>-4744.5570482944067</v>
      </c>
    </row>
    <row r="569" spans="1:16">
      <c r="A569" s="149">
        <v>0.24512466811120945</v>
      </c>
      <c r="B569" s="150">
        <f t="shared" si="54"/>
        <v>29.311009356104389</v>
      </c>
      <c r="C569" s="24">
        <f t="shared" si="52"/>
        <v>-5850.3717072712852</v>
      </c>
      <c r="H569" s="66"/>
      <c r="I569" s="66"/>
      <c r="J569" s="66"/>
      <c r="K569" s="66"/>
      <c r="L569" s="66"/>
      <c r="N569" s="5">
        <v>5.6993762834405062E-2</v>
      </c>
      <c r="O569" s="19">
        <f t="shared" si="55"/>
        <v>5.8649207404494641E-2</v>
      </c>
      <c r="P569" s="12">
        <f t="shared" si="53"/>
        <v>-5545.7359635202911</v>
      </c>
    </row>
    <row r="570" spans="1:16">
      <c r="A570" s="149">
        <v>0.62947477645191807</v>
      </c>
      <c r="B570" s="150">
        <f t="shared" si="54"/>
        <v>39.826317261877549</v>
      </c>
      <c r="C570" s="24">
        <f t="shared" si="52"/>
        <v>-5850.3717072712852</v>
      </c>
      <c r="H570" s="66"/>
      <c r="I570" s="66"/>
      <c r="J570" s="66"/>
      <c r="K570" s="66"/>
      <c r="L570" s="66"/>
      <c r="N570" s="5">
        <v>7.0506302537396565E-3</v>
      </c>
      <c r="O570" s="19">
        <f t="shared" si="55"/>
        <v>7.0755444664416522E-3</v>
      </c>
      <c r="P570" s="12">
        <f t="shared" si="53"/>
        <v>-7828.7235342289532</v>
      </c>
    </row>
    <row r="571" spans="1:16">
      <c r="A571" s="149">
        <v>0.86065248573259678</v>
      </c>
      <c r="B571" s="150">
        <f t="shared" si="54"/>
        <v>45.608631652037253</v>
      </c>
      <c r="C571" s="24">
        <f t="shared" si="52"/>
        <v>-5850.3717072712852</v>
      </c>
      <c r="H571" s="66"/>
      <c r="I571" s="66"/>
      <c r="J571" s="66"/>
      <c r="K571" s="66"/>
      <c r="L571" s="66"/>
      <c r="N571" s="5">
        <v>4.2651373243767013E-2</v>
      </c>
      <c r="O571" s="19">
        <f t="shared" si="55"/>
        <v>4.3574013601677342E-2</v>
      </c>
      <c r="P571" s="12">
        <f t="shared" si="53"/>
        <v>-6094.1210212510096</v>
      </c>
    </row>
    <row r="572" spans="1:16">
      <c r="A572" s="149">
        <v>0.94006164738914155</v>
      </c>
      <c r="B572" s="150">
        <f t="shared" si="54"/>
        <v>48.622120116683305</v>
      </c>
      <c r="C572" s="24">
        <f t="shared" si="52"/>
        <v>-5850.3717072712852</v>
      </c>
      <c r="H572" s="66"/>
      <c r="I572" s="66"/>
      <c r="J572" s="66"/>
      <c r="K572" s="66"/>
      <c r="L572" s="66"/>
      <c r="N572" s="5">
        <v>3.5128093665785856E-2</v>
      </c>
      <c r="O572" s="19">
        <f t="shared" si="55"/>
        <v>3.5752373621063649E-2</v>
      </c>
      <c r="P572" s="12">
        <f t="shared" si="53"/>
        <v>-6412.7900345997441</v>
      </c>
    </row>
    <row r="573" spans="1:16">
      <c r="A573" s="149">
        <v>0.10715048677022614</v>
      </c>
      <c r="B573" s="150">
        <f t="shared" si="54"/>
        <v>21.985116763516157</v>
      </c>
      <c r="C573" s="24">
        <f t="shared" si="52"/>
        <v>-5850.3717072712852</v>
      </c>
      <c r="H573" s="66"/>
      <c r="I573" s="66"/>
      <c r="J573" s="66"/>
      <c r="K573" s="66"/>
      <c r="L573" s="66"/>
      <c r="N573" s="5">
        <v>2.1201421938836576E-2</v>
      </c>
      <c r="O573" s="19">
        <f t="shared" si="55"/>
        <v>2.1427768880439624E-2</v>
      </c>
      <c r="P573" s="12">
        <f t="shared" si="53"/>
        <v>-7066.8374139311354</v>
      </c>
    </row>
    <row r="574" spans="1:16">
      <c r="A574" s="149">
        <v>0.71742912076174203</v>
      </c>
      <c r="B574" s="150">
        <f t="shared" si="54"/>
        <v>41.858575090710495</v>
      </c>
      <c r="C574" s="24">
        <f t="shared" si="52"/>
        <v>-5850.3717072712852</v>
      </c>
      <c r="H574" s="66"/>
      <c r="I574" s="66"/>
      <c r="J574" s="66"/>
      <c r="K574" s="66"/>
      <c r="L574" s="66"/>
      <c r="N574" s="5">
        <v>4.3257182093962912E-2</v>
      </c>
      <c r="O574" s="19">
        <f t="shared" si="55"/>
        <v>4.4206411511735988E-2</v>
      </c>
      <c r="P574" s="12">
        <f t="shared" si="53"/>
        <v>-6069.4351460772978</v>
      </c>
    </row>
    <row r="575" spans="1:16">
      <c r="A575" s="149">
        <v>6.8758201849421677E-2</v>
      </c>
      <c r="B575" s="150">
        <f t="shared" si="54"/>
        <v>18.411085276355724</v>
      </c>
      <c r="C575" s="24">
        <f t="shared" si="52"/>
        <v>-5850.3717072712852</v>
      </c>
      <c r="H575" s="66"/>
      <c r="I575" s="66"/>
      <c r="J575" s="66"/>
      <c r="K575" s="66"/>
      <c r="L575" s="66"/>
      <c r="N575" s="5">
        <v>6.7446356021842804E-2</v>
      </c>
      <c r="O575" s="19">
        <f t="shared" si="55"/>
        <v>6.977287118610942E-2</v>
      </c>
      <c r="P575" s="12">
        <f t="shared" si="53"/>
        <v>-5189.5892600161842</v>
      </c>
    </row>
    <row r="576" spans="1:16">
      <c r="A576" s="149">
        <v>0.41712698751792965</v>
      </c>
      <c r="B576" s="150">
        <f t="shared" si="54"/>
        <v>34.717633344814409</v>
      </c>
      <c r="C576" s="24">
        <f t="shared" si="52"/>
        <v>-5850.3717072712852</v>
      </c>
      <c r="H576" s="66"/>
      <c r="I576" s="66"/>
      <c r="J576" s="66"/>
      <c r="K576" s="66"/>
      <c r="L576" s="66"/>
      <c r="N576" s="5">
        <v>5.4181687525793679E-2</v>
      </c>
      <c r="O576" s="19">
        <f t="shared" si="55"/>
        <v>5.5676387962975804E-2</v>
      </c>
      <c r="P576" s="12">
        <f t="shared" si="53"/>
        <v>-5647.5532108211264</v>
      </c>
    </row>
    <row r="577" spans="1:16">
      <c r="A577" s="149">
        <v>0.81872005371257672</v>
      </c>
      <c r="B577" s="150">
        <f t="shared" si="54"/>
        <v>44.398258979001874</v>
      </c>
      <c r="C577" s="24">
        <f t="shared" si="52"/>
        <v>-5850.3717072712852</v>
      </c>
      <c r="H577" s="66"/>
      <c r="I577" s="66"/>
      <c r="J577" s="66"/>
      <c r="K577" s="66"/>
      <c r="L577" s="66"/>
      <c r="N577" s="5">
        <v>1.9631102711296991E-2</v>
      </c>
      <c r="O577" s="19">
        <f t="shared" si="55"/>
        <v>1.9825059927110145E-2</v>
      </c>
      <c r="P577" s="12">
        <f t="shared" si="53"/>
        <v>-7146.2679989443413</v>
      </c>
    </row>
    <row r="578" spans="1:16">
      <c r="A578" s="149">
        <v>0.81252479628894925</v>
      </c>
      <c r="B578" s="150">
        <f t="shared" si="54"/>
        <v>44.230437718852464</v>
      </c>
      <c r="C578" s="24">
        <f t="shared" si="52"/>
        <v>-5850.3717072712852</v>
      </c>
      <c r="H578" s="66"/>
      <c r="I578" s="66"/>
      <c r="J578" s="66"/>
      <c r="K578" s="66"/>
      <c r="L578" s="66"/>
      <c r="N578" s="5">
        <v>1.3700252972863383E-2</v>
      </c>
      <c r="O578" s="19">
        <f t="shared" si="55"/>
        <v>1.3794531493151352E-2</v>
      </c>
      <c r="P578" s="12">
        <f t="shared" si="53"/>
        <v>-7457.5007868511757</v>
      </c>
    </row>
    <row r="579" spans="1:16">
      <c r="A579" s="149">
        <v>0.11972411267433698</v>
      </c>
      <c r="B579" s="150">
        <f t="shared" si="54"/>
        <v>22.914976478989185</v>
      </c>
      <c r="C579" s="24">
        <f t="shared" si="52"/>
        <v>-5850.3717072712852</v>
      </c>
      <c r="H579" s="66"/>
      <c r="I579" s="66"/>
      <c r="J579" s="66"/>
      <c r="K579" s="66"/>
      <c r="L579" s="66"/>
      <c r="N579" s="5">
        <v>0.11397415250679478</v>
      </c>
      <c r="O579" s="19">
        <f t="shared" si="55"/>
        <v>0.1207231566256004</v>
      </c>
      <c r="P579" s="12">
        <f t="shared" si="53"/>
        <v>-3952.5210631022915</v>
      </c>
    </row>
    <row r="580" spans="1:16">
      <c r="A580" s="149">
        <v>0.1794488357188635</v>
      </c>
      <c r="B580" s="150">
        <f t="shared" si="54"/>
        <v>26.435767739256306</v>
      </c>
      <c r="C580" s="24">
        <f t="shared" si="52"/>
        <v>-5850.3717072712852</v>
      </c>
      <c r="H580" s="66"/>
      <c r="I580" s="66"/>
      <c r="J580" s="66"/>
      <c r="K580" s="66"/>
      <c r="L580" s="66"/>
      <c r="N580" s="5">
        <v>2.8513815047641403E-2</v>
      </c>
      <c r="O580" s="19">
        <f t="shared" si="55"/>
        <v>2.8924225373529344E-2</v>
      </c>
      <c r="P580" s="12">
        <f t="shared" si="53"/>
        <v>-6712.4917406944169</v>
      </c>
    </row>
    <row r="581" spans="1:16">
      <c r="A581" s="149">
        <v>1.4496292001098667E-2</v>
      </c>
      <c r="B581" s="150">
        <f t="shared" si="54"/>
        <v>8.0721008122043152</v>
      </c>
      <c r="C581" s="24">
        <f t="shared" si="52"/>
        <v>131222.80371668789</v>
      </c>
      <c r="H581" s="66"/>
      <c r="I581" s="66"/>
      <c r="J581" s="66"/>
      <c r="K581" s="66"/>
      <c r="L581" s="66"/>
      <c r="N581" s="5">
        <v>8.927648602490082E-3</v>
      </c>
      <c r="O581" s="19">
        <f t="shared" si="55"/>
        <v>8.9676189156995267E-3</v>
      </c>
      <c r="P581" s="12">
        <f t="shared" si="53"/>
        <v>181810.64671019049</v>
      </c>
    </row>
    <row r="582" spans="1:16">
      <c r="A582" s="149">
        <v>9.1097750785851625E-2</v>
      </c>
      <c r="B582" s="150">
        <f t="shared" si="54"/>
        <v>20.65088292049905</v>
      </c>
      <c r="C582" s="24">
        <f t="shared" si="52"/>
        <v>-5850.3717072712852</v>
      </c>
      <c r="H582" s="66"/>
      <c r="I582" s="66"/>
      <c r="J582" s="66"/>
      <c r="K582" s="66"/>
      <c r="L582" s="66"/>
      <c r="N582" s="5">
        <v>4.5078773220790028E-2</v>
      </c>
      <c r="O582" s="19">
        <f t="shared" si="55"/>
        <v>4.6110262137780023E-2</v>
      </c>
      <c r="P582" s="12">
        <f t="shared" si="53"/>
        <v>-5996.0518896830272</v>
      </c>
    </row>
    <row r="583" spans="1:16">
      <c r="A583" s="149">
        <v>0.74257637256996367</v>
      </c>
      <c r="B583" s="150">
        <f t="shared" si="54"/>
        <v>42.458493700404233</v>
      </c>
      <c r="C583" s="24">
        <f t="shared" si="52"/>
        <v>-5850.3717072712852</v>
      </c>
      <c r="H583" s="66"/>
      <c r="I583" s="66"/>
      <c r="J583" s="66"/>
      <c r="K583" s="66"/>
      <c r="L583" s="66"/>
      <c r="N583" s="5">
        <v>8.9645355680782815E-2</v>
      </c>
      <c r="O583" s="19">
        <f t="shared" si="55"/>
        <v>9.3786309811695778E-2</v>
      </c>
      <c r="P583" s="12">
        <f t="shared" si="53"/>
        <v>-4536.2901771404622</v>
      </c>
    </row>
    <row r="584" spans="1:16">
      <c r="A584" s="149">
        <v>0.76506851405377363</v>
      </c>
      <c r="B584" s="150">
        <f t="shared" si="54"/>
        <v>43.00846026900183</v>
      </c>
      <c r="C584" s="24">
        <f t="shared" si="52"/>
        <v>-5850.3717072712852</v>
      </c>
      <c r="H584" s="66"/>
      <c r="I584" s="66"/>
      <c r="J584" s="66"/>
      <c r="K584" s="66"/>
      <c r="L584" s="66"/>
      <c r="N584" s="5">
        <v>3.9900204862657121E-2</v>
      </c>
      <c r="O584" s="19">
        <f t="shared" si="55"/>
        <v>4.070691152081074E-2</v>
      </c>
      <c r="P584" s="12">
        <f t="shared" si="53"/>
        <v>-6208.0237582956452</v>
      </c>
    </row>
    <row r="585" spans="1:16">
      <c r="A585" s="149">
        <v>0.40525528733176669</v>
      </c>
      <c r="B585" s="150">
        <f t="shared" si="54"/>
        <v>34.399937500776211</v>
      </c>
      <c r="C585" s="24">
        <f t="shared" si="52"/>
        <v>-5850.3717072712852</v>
      </c>
      <c r="H585" s="66"/>
      <c r="I585" s="66"/>
      <c r="J585" s="66"/>
      <c r="K585" s="66"/>
      <c r="L585" s="66"/>
      <c r="N585" s="5">
        <v>6.5809567965639873E-2</v>
      </c>
      <c r="O585" s="19">
        <f t="shared" si="55"/>
        <v>6.8023311947135179E-2</v>
      </c>
      <c r="P585" s="12">
        <f t="shared" si="53"/>
        <v>-5243.1314347891539</v>
      </c>
    </row>
    <row r="586" spans="1:16">
      <c r="A586" s="149">
        <v>0.94701986754966883</v>
      </c>
      <c r="B586" s="150">
        <f t="shared" si="54"/>
        <v>48.985282467533835</v>
      </c>
      <c r="C586" s="24">
        <f t="shared" si="52"/>
        <v>-5850.3717072712852</v>
      </c>
      <c r="H586" s="66"/>
      <c r="I586" s="66"/>
      <c r="J586" s="66"/>
      <c r="K586" s="66"/>
      <c r="L586" s="66"/>
      <c r="N586" s="5">
        <v>7.6348411718878198E-2</v>
      </c>
      <c r="O586" s="19">
        <f t="shared" si="55"/>
        <v>7.9338562857982575E-2</v>
      </c>
      <c r="P586" s="12">
        <f t="shared" si="53"/>
        <v>-4911.9086867040714</v>
      </c>
    </row>
    <row r="587" spans="1:16">
      <c r="A587" s="149">
        <v>0.67839594714194162</v>
      </c>
      <c r="B587" s="150">
        <f t="shared" si="54"/>
        <v>40.948547334423232</v>
      </c>
      <c r="C587" s="24">
        <f t="shared" si="52"/>
        <v>-5850.3717072712852</v>
      </c>
      <c r="H587" s="66"/>
      <c r="I587" s="66"/>
      <c r="J587" s="66"/>
      <c r="K587" s="66"/>
      <c r="L587" s="66"/>
      <c r="N587" s="5">
        <v>5.213737376574136E-2</v>
      </c>
      <c r="O587" s="19">
        <f t="shared" si="55"/>
        <v>5.3520458645726965E-2</v>
      </c>
      <c r="P587" s="12">
        <f t="shared" si="53"/>
        <v>-5723.258849595014</v>
      </c>
    </row>
    <row r="588" spans="1:16">
      <c r="A588" s="149">
        <v>0.68343150120548113</v>
      </c>
      <c r="B588" s="150">
        <f t="shared" si="54"/>
        <v>41.064906302556778</v>
      </c>
      <c r="C588" s="24">
        <f t="shared" si="52"/>
        <v>-5850.3717072712852</v>
      </c>
      <c r="H588" s="66"/>
      <c r="I588" s="66"/>
      <c r="J588" s="66"/>
      <c r="K588" s="66"/>
      <c r="L588" s="66"/>
      <c r="N588" s="5">
        <v>0.10248562097980175</v>
      </c>
      <c r="O588" s="19">
        <f t="shared" si="55"/>
        <v>0.10792137097149812</v>
      </c>
      <c r="P588" s="12">
        <f t="shared" si="53"/>
        <v>-4212.9788503147201</v>
      </c>
    </row>
    <row r="589" spans="1:16">
      <c r="A589" s="149">
        <v>0.76363414410840169</v>
      </c>
      <c r="B589" s="150">
        <f t="shared" si="54"/>
        <v>42.972932554856385</v>
      </c>
      <c r="C589" s="24">
        <f t="shared" si="52"/>
        <v>-5850.3717072712852</v>
      </c>
      <c r="H589" s="66"/>
      <c r="I589" s="66"/>
      <c r="J589" s="66"/>
      <c r="K589" s="66"/>
      <c r="L589" s="66"/>
      <c r="N589" s="5">
        <v>2.2453096287004884E-2</v>
      </c>
      <c r="O589" s="19">
        <f t="shared" si="55"/>
        <v>2.2707064280850675E-2</v>
      </c>
      <c r="P589" s="12">
        <f t="shared" si="53"/>
        <v>-7004.3882497290761</v>
      </c>
    </row>
    <row r="590" spans="1:16">
      <c r="A590" s="149">
        <v>0.65837580492568748</v>
      </c>
      <c r="B590" s="150">
        <f t="shared" si="54"/>
        <v>40.487946821686307</v>
      </c>
      <c r="C590" s="24">
        <f t="shared" si="52"/>
        <v>-5850.3717072712852</v>
      </c>
      <c r="H590" s="66"/>
      <c r="I590" s="66"/>
      <c r="J590" s="66"/>
      <c r="K590" s="66"/>
      <c r="L590" s="66"/>
      <c r="N590" s="5">
        <v>3.3026160801578955E-2</v>
      </c>
      <c r="O590" s="19">
        <f t="shared" si="55"/>
        <v>3.3577578105562056E-2</v>
      </c>
      <c r="P590" s="12">
        <f t="shared" si="53"/>
        <v>-6505.9798531373081</v>
      </c>
    </row>
    <row r="591" spans="1:16">
      <c r="A591" s="149">
        <v>0.80407116916409804</v>
      </c>
      <c r="B591" s="150">
        <f t="shared" si="54"/>
        <v>44.005017107940169</v>
      </c>
      <c r="C591" s="24">
        <f t="shared" si="52"/>
        <v>-5850.3717072712852</v>
      </c>
      <c r="H591" s="66"/>
      <c r="I591" s="66"/>
      <c r="J591" s="66"/>
      <c r="K591" s="66"/>
      <c r="L591" s="66"/>
      <c r="N591" s="5">
        <v>-1.9663348692702115E-3</v>
      </c>
      <c r="O591" s="19">
        <f t="shared" si="55"/>
        <v>-1.9644028993686113E-3</v>
      </c>
      <c r="P591" s="12">
        <f t="shared" si="53"/>
        <v>-8372.8720327657666</v>
      </c>
    </row>
    <row r="592" spans="1:16">
      <c r="A592" s="149">
        <v>0.66969817194128234</v>
      </c>
      <c r="B592" s="150">
        <f t="shared" si="54"/>
        <v>40.748087620659902</v>
      </c>
      <c r="C592" s="24">
        <f t="shared" ref="C592:C655" si="56">IF($B592&lt;15,B$8*(B$10^$B592)-B$7*(1-B$10^$B592)/B$11, -B$7*(1-B$10^15)/B$11)</f>
        <v>-5850.3717072712852</v>
      </c>
      <c r="H592" s="66"/>
      <c r="I592" s="66"/>
      <c r="J592" s="66"/>
      <c r="K592" s="66"/>
      <c r="L592" s="66"/>
      <c r="N592" s="5">
        <v>3.7775887401163347E-2</v>
      </c>
      <c r="O592" s="19">
        <f t="shared" si="55"/>
        <v>3.8498466206350779E-2</v>
      </c>
      <c r="P592" s="12">
        <f t="shared" ref="P592:P655" si="57">IF($B592&lt;15,B$8*((1+O592)^-$B592)-B$7*(1-(1+O592)^-$B592)/LN(1+O592), -B$7*(1-(1+O592)^-15)/LN(1+O592))</f>
        <v>-6298.0289608824369</v>
      </c>
    </row>
    <row r="593" spans="1:16">
      <c r="A593" s="149">
        <v>0.28714865565965758</v>
      </c>
      <c r="B593" s="150">
        <f t="shared" ref="B593:B656" si="58">LN(1-LN(B$4)*(LN(1-A593)/(B$3*B$4^50)))/LN(B$4)</f>
        <v>30.839432840665332</v>
      </c>
      <c r="C593" s="24">
        <f t="shared" si="56"/>
        <v>-5850.3717072712852</v>
      </c>
      <c r="H593" s="66"/>
      <c r="I593" s="66"/>
      <c r="J593" s="66"/>
      <c r="K593" s="66"/>
      <c r="L593" s="66"/>
      <c r="N593" s="5">
        <v>3.7610729075036944E-2</v>
      </c>
      <c r="O593" s="19">
        <f t="shared" ref="O593:O656" si="59">EXP(N593)-1</f>
        <v>3.8326963700910488E-2</v>
      </c>
      <c r="P593" s="12">
        <f t="shared" si="57"/>
        <v>-6305.1029663310601</v>
      </c>
    </row>
    <row r="594" spans="1:16">
      <c r="A594" s="149">
        <v>0.92406994842371903</v>
      </c>
      <c r="B594" s="150">
        <f t="shared" si="58"/>
        <v>47.879463242177692</v>
      </c>
      <c r="C594" s="24">
        <f t="shared" si="56"/>
        <v>-5850.3717072712852</v>
      </c>
      <c r="H594" s="66"/>
      <c r="I594" s="66"/>
      <c r="J594" s="66"/>
      <c r="K594" s="66"/>
      <c r="L594" s="66"/>
      <c r="N594" s="5">
        <v>-1.851480240351519E-3</v>
      </c>
      <c r="O594" s="19">
        <f t="shared" si="59"/>
        <v>-1.8497673081278032E-3</v>
      </c>
      <c r="P594" s="12">
        <f t="shared" si="57"/>
        <v>-8365.6282753099204</v>
      </c>
    </row>
    <row r="595" spans="1:16">
      <c r="A595" s="149">
        <v>0.64848780785546434</v>
      </c>
      <c r="B595" s="150">
        <f t="shared" si="58"/>
        <v>40.261313035179633</v>
      </c>
      <c r="C595" s="24">
        <f t="shared" si="56"/>
        <v>-5850.3717072712852</v>
      </c>
      <c r="H595" s="66"/>
      <c r="I595" s="66"/>
      <c r="J595" s="66"/>
      <c r="K595" s="66"/>
      <c r="L595" s="66"/>
      <c r="N595" s="5">
        <v>9.8000591558171438E-2</v>
      </c>
      <c r="O595" s="19">
        <f t="shared" si="59"/>
        <v>0.10296343757534898</v>
      </c>
      <c r="P595" s="12">
        <f t="shared" si="57"/>
        <v>-4321.8321290324866</v>
      </c>
    </row>
    <row r="596" spans="1:16">
      <c r="A596" s="149">
        <v>0.76079592272713403</v>
      </c>
      <c r="B596" s="150">
        <f t="shared" si="58"/>
        <v>42.902829410459859</v>
      </c>
      <c r="C596" s="24">
        <f t="shared" si="56"/>
        <v>-5850.3717072712852</v>
      </c>
      <c r="H596" s="66"/>
      <c r="I596" s="66"/>
      <c r="J596" s="66"/>
      <c r="K596" s="66"/>
      <c r="L596" s="66"/>
      <c r="N596" s="5">
        <v>2.741113389414386E-2</v>
      </c>
      <c r="O596" s="19">
        <f t="shared" si="59"/>
        <v>2.7790275329402148E-2</v>
      </c>
      <c r="P596" s="12">
        <f t="shared" si="57"/>
        <v>-6764.3345827194216</v>
      </c>
    </row>
    <row r="597" spans="1:16">
      <c r="A597" s="149">
        <v>0.49439985351115451</v>
      </c>
      <c r="B597" s="150">
        <f t="shared" si="58"/>
        <v>36.673522894083739</v>
      </c>
      <c r="C597" s="24">
        <f t="shared" si="56"/>
        <v>-5850.3717072712852</v>
      </c>
      <c r="H597" s="66"/>
      <c r="I597" s="66"/>
      <c r="J597" s="66"/>
      <c r="K597" s="66"/>
      <c r="L597" s="66"/>
      <c r="N597" s="5">
        <v>2.1152378573911848E-2</v>
      </c>
      <c r="O597" s="19">
        <f t="shared" si="59"/>
        <v>2.137767585400141E-2</v>
      </c>
      <c r="P597" s="12">
        <f t="shared" si="57"/>
        <v>-7069.2998188334486</v>
      </c>
    </row>
    <row r="598" spans="1:16">
      <c r="A598" s="149">
        <v>0.80031739249855038</v>
      </c>
      <c r="B598" s="150">
        <f t="shared" si="58"/>
        <v>43.906149545605864</v>
      </c>
      <c r="C598" s="24">
        <f t="shared" si="56"/>
        <v>-5850.3717072712852</v>
      </c>
      <c r="H598" s="66"/>
      <c r="I598" s="66"/>
      <c r="J598" s="66"/>
      <c r="K598" s="66"/>
      <c r="L598" s="66"/>
      <c r="N598" s="5">
        <v>5.0644181394214685E-2</v>
      </c>
      <c r="O598" s="19">
        <f t="shared" si="59"/>
        <v>5.1948523826238935E-2</v>
      </c>
      <c r="P598" s="12">
        <f t="shared" si="57"/>
        <v>-5779.4733510737697</v>
      </c>
    </row>
    <row r="599" spans="1:16">
      <c r="A599" s="149">
        <v>0.70754112369151889</v>
      </c>
      <c r="B599" s="150">
        <f t="shared" si="58"/>
        <v>41.626030748334038</v>
      </c>
      <c r="C599" s="24">
        <f t="shared" si="56"/>
        <v>-5850.3717072712852</v>
      </c>
      <c r="H599" s="66"/>
      <c r="I599" s="66"/>
      <c r="J599" s="66"/>
      <c r="K599" s="66"/>
      <c r="L599" s="66"/>
      <c r="N599" s="5">
        <v>4.03330742048056E-2</v>
      </c>
      <c r="O599" s="19">
        <f t="shared" si="59"/>
        <v>4.1157499152720156E-2</v>
      </c>
      <c r="P599" s="12">
        <f t="shared" si="57"/>
        <v>-6189.9050063627847</v>
      </c>
    </row>
    <row r="600" spans="1:16">
      <c r="A600" s="149">
        <v>0.9753410443433943</v>
      </c>
      <c r="B600" s="150">
        <f t="shared" si="58"/>
        <v>50.944142618255192</v>
      </c>
      <c r="C600" s="24">
        <f t="shared" si="56"/>
        <v>-5850.3717072712852</v>
      </c>
      <c r="H600" s="66"/>
      <c r="I600" s="66"/>
      <c r="J600" s="66"/>
      <c r="K600" s="66"/>
      <c r="L600" s="66"/>
      <c r="N600" s="5">
        <v>1.36164134775172E-2</v>
      </c>
      <c r="O600" s="19">
        <f t="shared" si="59"/>
        <v>1.3709539034158613E-2</v>
      </c>
      <c r="P600" s="12">
        <f t="shared" si="57"/>
        <v>-7462.0314044078823</v>
      </c>
    </row>
    <row r="601" spans="1:16">
      <c r="A601" s="149">
        <v>0.31043427838984344</v>
      </c>
      <c r="B601" s="150">
        <f t="shared" si="58"/>
        <v>31.613996948240459</v>
      </c>
      <c r="C601" s="24">
        <f t="shared" si="56"/>
        <v>-5850.3717072712852</v>
      </c>
      <c r="H601" s="66"/>
      <c r="I601" s="66"/>
      <c r="J601" s="66"/>
      <c r="K601" s="66"/>
      <c r="L601" s="66"/>
      <c r="N601" s="5">
        <v>6.5441715330176523E-2</v>
      </c>
      <c r="O601" s="19">
        <f t="shared" si="59"/>
        <v>6.7630509008326456E-2</v>
      </c>
      <c r="P601" s="12">
        <f t="shared" si="57"/>
        <v>-5255.2749607996484</v>
      </c>
    </row>
    <row r="602" spans="1:16">
      <c r="A602" s="149">
        <v>6.8941312906277655E-2</v>
      </c>
      <c r="B602" s="150">
        <f t="shared" si="58"/>
        <v>18.431817391967723</v>
      </c>
      <c r="C602" s="24">
        <f t="shared" si="56"/>
        <v>-5850.3717072712852</v>
      </c>
      <c r="H602" s="66"/>
      <c r="I602" s="66"/>
      <c r="J602" s="66"/>
      <c r="K602" s="66"/>
      <c r="L602" s="66"/>
      <c r="N602" s="5">
        <v>5.1826263481540083E-2</v>
      </c>
      <c r="O602" s="19">
        <f t="shared" si="59"/>
        <v>5.3192748576055493E-2</v>
      </c>
      <c r="P602" s="12">
        <f t="shared" si="57"/>
        <v>-5734.9068125717286</v>
      </c>
    </row>
    <row r="603" spans="1:16">
      <c r="A603" s="149">
        <v>0.4643391216772973</v>
      </c>
      <c r="B603" s="150">
        <f t="shared" si="58"/>
        <v>35.932708253525568</v>
      </c>
      <c r="C603" s="24">
        <f t="shared" si="56"/>
        <v>-5850.3717072712852</v>
      </c>
      <c r="H603" s="66"/>
      <c r="I603" s="66"/>
      <c r="J603" s="66"/>
      <c r="K603" s="66"/>
      <c r="L603" s="66"/>
      <c r="N603" s="5">
        <v>3.712254210507672E-2</v>
      </c>
      <c r="O603" s="19">
        <f t="shared" si="59"/>
        <v>3.782018971696588E-2</v>
      </c>
      <c r="P603" s="12">
        <f t="shared" si="57"/>
        <v>-6326.077933921174</v>
      </c>
    </row>
    <row r="604" spans="1:16">
      <c r="A604" s="149">
        <v>0.87820062868129523</v>
      </c>
      <c r="B604" s="150">
        <f t="shared" si="58"/>
        <v>46.16700907661582</v>
      </c>
      <c r="C604" s="24">
        <f t="shared" si="56"/>
        <v>-5850.3717072712852</v>
      </c>
      <c r="H604" s="66"/>
      <c r="I604" s="66"/>
      <c r="J604" s="66"/>
      <c r="K604" s="66"/>
      <c r="L604" s="66"/>
      <c r="N604" s="5">
        <v>9.0740091261191994E-2</v>
      </c>
      <c r="O604" s="19">
        <f t="shared" si="59"/>
        <v>9.4984372263556827E-2</v>
      </c>
      <c r="P604" s="12">
        <f t="shared" si="57"/>
        <v>-4507.2905968798814</v>
      </c>
    </row>
    <row r="605" spans="1:16">
      <c r="A605" s="149">
        <v>0.49818414868617816</v>
      </c>
      <c r="B605" s="150">
        <f t="shared" si="58"/>
        <v>36.765307111045438</v>
      </c>
      <c r="C605" s="24">
        <f t="shared" si="56"/>
        <v>-5850.3717072712852</v>
      </c>
      <c r="H605" s="66"/>
      <c r="I605" s="66"/>
      <c r="J605" s="66"/>
      <c r="K605" s="66"/>
      <c r="L605" s="66"/>
      <c r="N605" s="5">
        <v>5.3318853085453158E-2</v>
      </c>
      <c r="O605" s="19">
        <f t="shared" si="59"/>
        <v>5.4765906871295122E-2</v>
      </c>
      <c r="P605" s="12">
        <f t="shared" si="57"/>
        <v>-5679.3304549021104</v>
      </c>
    </row>
    <row r="606" spans="1:16">
      <c r="A606" s="149">
        <v>0.56862086855677973</v>
      </c>
      <c r="B606" s="150">
        <f t="shared" si="58"/>
        <v>38.428927326957641</v>
      </c>
      <c r="C606" s="24">
        <f t="shared" si="56"/>
        <v>-5850.3717072712852</v>
      </c>
      <c r="H606" s="66"/>
      <c r="I606" s="66"/>
      <c r="J606" s="66"/>
      <c r="K606" s="66"/>
      <c r="L606" s="66"/>
      <c r="N606" s="5">
        <v>5.246032021399151E-2</v>
      </c>
      <c r="O606" s="19">
        <f t="shared" si="59"/>
        <v>5.3860744280066486E-2</v>
      </c>
      <c r="P606" s="12">
        <f t="shared" si="57"/>
        <v>-5711.2034015241488</v>
      </c>
    </row>
    <row r="607" spans="1:16">
      <c r="A607" s="149">
        <v>0.52061525315103607</v>
      </c>
      <c r="B607" s="150">
        <f t="shared" si="58"/>
        <v>37.303544815818469</v>
      </c>
      <c r="C607" s="24">
        <f t="shared" si="56"/>
        <v>-5850.3717072712852</v>
      </c>
      <c r="H607" s="66"/>
      <c r="I607" s="66"/>
      <c r="J607" s="66"/>
      <c r="K607" s="66"/>
      <c r="L607" s="66"/>
      <c r="N607" s="5">
        <v>2.3433306020830061E-2</v>
      </c>
      <c r="O607" s="19">
        <f t="shared" si="59"/>
        <v>2.3710023174841499E-2</v>
      </c>
      <c r="P607" s="12">
        <f t="shared" si="57"/>
        <v>-6956.010553009899</v>
      </c>
    </row>
    <row r="608" spans="1:16">
      <c r="A608" s="149">
        <v>0.81105990783410142</v>
      </c>
      <c r="B608" s="150">
        <f t="shared" si="58"/>
        <v>44.191089085936653</v>
      </c>
      <c r="C608" s="24">
        <f t="shared" si="56"/>
        <v>-5850.3717072712852</v>
      </c>
      <c r="H608" s="66"/>
      <c r="I608" s="66"/>
      <c r="J608" s="66"/>
      <c r="K608" s="66"/>
      <c r="L608" s="66"/>
      <c r="N608" s="5">
        <v>1.0257573146314827E-2</v>
      </c>
      <c r="O608" s="19">
        <f t="shared" si="59"/>
        <v>1.0310362391863226E-2</v>
      </c>
      <c r="P608" s="12">
        <f t="shared" si="57"/>
        <v>-7646.649852619249</v>
      </c>
    </row>
    <row r="609" spans="1:16">
      <c r="A609" s="149">
        <v>9.1677602465895569E-2</v>
      </c>
      <c r="B609" s="150">
        <f t="shared" si="58"/>
        <v>20.702468243569609</v>
      </c>
      <c r="C609" s="24">
        <f t="shared" si="56"/>
        <v>-5850.3717072712852</v>
      </c>
      <c r="H609" s="66"/>
      <c r="I609" s="66"/>
      <c r="J609" s="66"/>
      <c r="K609" s="66"/>
      <c r="L609" s="66"/>
      <c r="N609" s="5">
        <v>-1.4702485762303694E-2</v>
      </c>
      <c r="O609" s="19">
        <f t="shared" si="59"/>
        <v>-1.4594931966402158E-2</v>
      </c>
      <c r="P609" s="12">
        <f t="shared" si="57"/>
        <v>-9230.4476959920958</v>
      </c>
    </row>
    <row r="610" spans="1:16">
      <c r="A610" s="149">
        <v>0.52006591998046814</v>
      </c>
      <c r="B610" s="150">
        <f t="shared" si="58"/>
        <v>37.290473497789044</v>
      </c>
      <c r="C610" s="24">
        <f t="shared" si="56"/>
        <v>-5850.3717072712852</v>
      </c>
      <c r="H610" s="66"/>
      <c r="I610" s="66"/>
      <c r="J610" s="66"/>
      <c r="K610" s="66"/>
      <c r="L610" s="66"/>
      <c r="N610" s="5">
        <v>6.2100437455352223E-2</v>
      </c>
      <c r="O610" s="19">
        <f t="shared" si="59"/>
        <v>6.4069211765165557E-2</v>
      </c>
      <c r="P610" s="12">
        <f t="shared" si="57"/>
        <v>-5367.4685326687913</v>
      </c>
    </row>
    <row r="611" spans="1:16">
      <c r="A611" s="149">
        <v>0.74587237159337139</v>
      </c>
      <c r="B611" s="150">
        <f t="shared" si="58"/>
        <v>42.538199025320282</v>
      </c>
      <c r="C611" s="24">
        <f t="shared" si="56"/>
        <v>-5850.3717072712852</v>
      </c>
      <c r="H611" s="66"/>
      <c r="I611" s="66"/>
      <c r="J611" s="66"/>
      <c r="K611" s="66"/>
      <c r="L611" s="66"/>
      <c r="N611" s="5">
        <v>6.391726123832632E-2</v>
      </c>
      <c r="O611" s="19">
        <f t="shared" si="59"/>
        <v>6.6004195245577213E-2</v>
      </c>
      <c r="P611" s="12">
        <f t="shared" si="57"/>
        <v>-5306.0375742686101</v>
      </c>
    </row>
    <row r="612" spans="1:16">
      <c r="A612" s="149">
        <v>7.0284127323221535E-2</v>
      </c>
      <c r="B612" s="150">
        <f t="shared" si="58"/>
        <v>18.582447822520759</v>
      </c>
      <c r="C612" s="24">
        <f t="shared" si="56"/>
        <v>-5850.3717072712852</v>
      </c>
      <c r="H612" s="66"/>
      <c r="I612" s="66"/>
      <c r="J612" s="66"/>
      <c r="K612" s="66"/>
      <c r="L612" s="66"/>
      <c r="N612" s="5">
        <v>3.3157317554592738E-2</v>
      </c>
      <c r="O612" s="19">
        <f t="shared" si="59"/>
        <v>3.3713147674932165E-2</v>
      </c>
      <c r="P612" s="12">
        <f t="shared" si="57"/>
        <v>-6500.1100163507526</v>
      </c>
    </row>
    <row r="613" spans="1:16">
      <c r="A613" s="149">
        <v>0.98742637409588918</v>
      </c>
      <c r="B613" s="150">
        <f t="shared" si="58"/>
        <v>52.359876321105951</v>
      </c>
      <c r="C613" s="24">
        <f t="shared" si="56"/>
        <v>-5850.3717072712852</v>
      </c>
      <c r="H613" s="66"/>
      <c r="I613" s="66"/>
      <c r="J613" s="66"/>
      <c r="K613" s="66"/>
      <c r="L613" s="66"/>
      <c r="N613" s="5">
        <v>3.0044406409739169E-2</v>
      </c>
      <c r="O613" s="19">
        <f t="shared" si="59"/>
        <v>3.0500293755775898E-2</v>
      </c>
      <c r="P613" s="12">
        <f t="shared" si="57"/>
        <v>-6641.4371119527532</v>
      </c>
    </row>
    <row r="614" spans="1:16">
      <c r="A614" s="149">
        <v>0.37687307351908933</v>
      </c>
      <c r="B614" s="150">
        <f t="shared" si="58"/>
        <v>33.616421735460904</v>
      </c>
      <c r="C614" s="24">
        <f t="shared" si="56"/>
        <v>-5850.3717072712852</v>
      </c>
      <c r="H614" s="66"/>
      <c r="I614" s="66"/>
      <c r="J614" s="66"/>
      <c r="K614" s="66"/>
      <c r="L614" s="66"/>
      <c r="N614" s="5">
        <v>3.4162405151742861E-2</v>
      </c>
      <c r="O614" s="19">
        <f t="shared" si="59"/>
        <v>3.4752642242711795E-2</v>
      </c>
      <c r="P614" s="12">
        <f t="shared" si="57"/>
        <v>-6455.3716569703338</v>
      </c>
    </row>
    <row r="615" spans="1:16">
      <c r="A615" s="149">
        <v>0.85015411847285383</v>
      </c>
      <c r="B615" s="150">
        <f t="shared" si="58"/>
        <v>45.291309062072472</v>
      </c>
      <c r="C615" s="24">
        <f t="shared" si="56"/>
        <v>-5850.3717072712852</v>
      </c>
      <c r="H615" s="66"/>
      <c r="I615" s="66"/>
      <c r="J615" s="66"/>
      <c r="K615" s="66"/>
      <c r="L615" s="66"/>
      <c r="N615" s="5">
        <v>3.1884820325227339E-2</v>
      </c>
      <c r="O615" s="19">
        <f t="shared" si="59"/>
        <v>3.2398587123270595E-2</v>
      </c>
      <c r="P615" s="12">
        <f t="shared" si="57"/>
        <v>-6557.3723224193882</v>
      </c>
    </row>
    <row r="616" spans="1:16">
      <c r="A616" s="149">
        <v>0.81340983306375314</v>
      </c>
      <c r="B616" s="150">
        <f t="shared" si="58"/>
        <v>44.254271287024558</v>
      </c>
      <c r="C616" s="24">
        <f t="shared" si="56"/>
        <v>-5850.3717072712852</v>
      </c>
      <c r="H616" s="66"/>
      <c r="I616" s="66"/>
      <c r="J616" s="66"/>
      <c r="K616" s="66"/>
      <c r="L616" s="66"/>
      <c r="N616" s="5">
        <v>5.7751386927644491E-2</v>
      </c>
      <c r="O616" s="19">
        <f t="shared" si="59"/>
        <v>5.9451569456344888E-2</v>
      </c>
      <c r="P616" s="12">
        <f t="shared" si="57"/>
        <v>-5518.7549040050435</v>
      </c>
    </row>
    <row r="617" spans="1:16">
      <c r="A617" s="149">
        <v>0.35019989623706776</v>
      </c>
      <c r="B617" s="150">
        <f t="shared" si="58"/>
        <v>32.844364717446197</v>
      </c>
      <c r="C617" s="24">
        <f t="shared" si="56"/>
        <v>-5850.3717072712852</v>
      </c>
      <c r="H617" s="66"/>
      <c r="I617" s="66"/>
      <c r="J617" s="66"/>
      <c r="K617" s="66"/>
      <c r="L617" s="66"/>
      <c r="N617" s="5">
        <v>7.6920547778296169E-2</v>
      </c>
      <c r="O617" s="19">
        <f t="shared" si="59"/>
        <v>7.9956268058973823E-2</v>
      </c>
      <c r="P617" s="12">
        <f t="shared" si="57"/>
        <v>-4894.8132624309255</v>
      </c>
    </row>
    <row r="618" spans="1:16">
      <c r="A618" s="149">
        <v>0.23282570879238257</v>
      </c>
      <c r="B618" s="150">
        <f t="shared" si="58"/>
        <v>28.824854931455512</v>
      </c>
      <c r="C618" s="24">
        <f t="shared" si="56"/>
        <v>-5850.3717072712852</v>
      </c>
      <c r="H618" s="66"/>
      <c r="I618" s="66"/>
      <c r="J618" s="66"/>
      <c r="K618" s="66"/>
      <c r="L618" s="66"/>
      <c r="N618" s="5">
        <v>2.9379882514273051E-2</v>
      </c>
      <c r="O618" s="19">
        <f t="shared" si="59"/>
        <v>2.9815729166245752E-2</v>
      </c>
      <c r="P618" s="12">
        <f t="shared" si="57"/>
        <v>-6672.1577857498241</v>
      </c>
    </row>
    <row r="619" spans="1:16">
      <c r="A619" s="149">
        <v>0.2869960631122776</v>
      </c>
      <c r="B619" s="150">
        <f t="shared" si="58"/>
        <v>30.834204553571269</v>
      </c>
      <c r="C619" s="24">
        <f t="shared" si="56"/>
        <v>-5850.3717072712852</v>
      </c>
      <c r="H619" s="66"/>
      <c r="I619" s="66"/>
      <c r="J619" s="66"/>
      <c r="K619" s="66"/>
      <c r="L619" s="66"/>
      <c r="N619" s="5">
        <v>5.1958461378613721E-2</v>
      </c>
      <c r="O619" s="19">
        <f t="shared" si="59"/>
        <v>5.3331987645983681E-2</v>
      </c>
      <c r="P619" s="12">
        <f t="shared" si="57"/>
        <v>-5729.9531994122017</v>
      </c>
    </row>
    <row r="620" spans="1:16">
      <c r="A620" s="149">
        <v>0.97500534073915834</v>
      </c>
      <c r="B620" s="150">
        <f t="shared" si="58"/>
        <v>50.91315663843131</v>
      </c>
      <c r="C620" s="24">
        <f t="shared" si="56"/>
        <v>-5850.3717072712852</v>
      </c>
      <c r="H620" s="66"/>
      <c r="I620" s="66"/>
      <c r="J620" s="66"/>
      <c r="K620" s="66"/>
      <c r="L620" s="66"/>
      <c r="N620" s="5">
        <v>6.3351372043267476E-2</v>
      </c>
      <c r="O620" s="19">
        <f t="shared" si="59"/>
        <v>6.5401125640980329E-2</v>
      </c>
      <c r="P620" s="12">
        <f t="shared" si="57"/>
        <v>-5325.0619991966369</v>
      </c>
    </row>
    <row r="621" spans="1:16">
      <c r="A621" s="149">
        <v>0.98998992889187287</v>
      </c>
      <c r="B621" s="150">
        <f t="shared" si="58"/>
        <v>52.790217849835727</v>
      </c>
      <c r="C621" s="24">
        <f t="shared" si="56"/>
        <v>-5850.3717072712852</v>
      </c>
      <c r="H621" s="66"/>
      <c r="I621" s="66"/>
      <c r="J621" s="66"/>
      <c r="K621" s="66"/>
      <c r="L621" s="66"/>
      <c r="N621" s="5">
        <v>4.2863794030505234E-2</v>
      </c>
      <c r="O621" s="19">
        <f t="shared" si="59"/>
        <v>4.3795713960715021E-2</v>
      </c>
      <c r="P621" s="12">
        <f t="shared" si="57"/>
        <v>-6085.4490873176246</v>
      </c>
    </row>
    <row r="622" spans="1:16">
      <c r="A622" s="149">
        <v>0.31708731345561081</v>
      </c>
      <c r="B622" s="150">
        <f t="shared" si="58"/>
        <v>31.827397337425278</v>
      </c>
      <c r="C622" s="24">
        <f t="shared" si="56"/>
        <v>-5850.3717072712852</v>
      </c>
      <c r="H622" s="66"/>
      <c r="I622" s="66"/>
      <c r="J622" s="66"/>
      <c r="K622" s="66"/>
      <c r="L622" s="66"/>
      <c r="N622" s="5">
        <v>7.3700070012942889E-2</v>
      </c>
      <c r="O622" s="19">
        <f t="shared" si="59"/>
        <v>7.6483887273834261E-2</v>
      </c>
      <c r="P622" s="12">
        <f t="shared" si="57"/>
        <v>-4992.1969699876745</v>
      </c>
    </row>
    <row r="623" spans="1:16">
      <c r="A623" s="149">
        <v>0.8928800317392499</v>
      </c>
      <c r="B623" s="150">
        <f t="shared" si="58"/>
        <v>46.667596390111441</v>
      </c>
      <c r="C623" s="24">
        <f t="shared" si="56"/>
        <v>-5850.3717072712852</v>
      </c>
      <c r="H623" s="66"/>
      <c r="I623" s="66"/>
      <c r="J623" s="66"/>
      <c r="K623" s="66"/>
      <c r="L623" s="66"/>
      <c r="N623" s="5">
        <v>4.1597379274331617E-2</v>
      </c>
      <c r="O623" s="19">
        <f t="shared" si="59"/>
        <v>4.2474672335985675E-2</v>
      </c>
      <c r="P623" s="12">
        <f t="shared" si="57"/>
        <v>-6137.4080062251851</v>
      </c>
    </row>
    <row r="624" spans="1:16">
      <c r="A624" s="149">
        <v>0.97405926694540235</v>
      </c>
      <c r="B624" s="150">
        <f t="shared" si="58"/>
        <v>50.827434668833597</v>
      </c>
      <c r="C624" s="24">
        <f t="shared" si="56"/>
        <v>-5850.3717072712852</v>
      </c>
      <c r="H624" s="66"/>
      <c r="I624" s="66"/>
      <c r="J624" s="66"/>
      <c r="K624" s="66"/>
      <c r="L624" s="66"/>
      <c r="N624" s="5">
        <v>6.9079911051754608E-2</v>
      </c>
      <c r="O624" s="19">
        <f t="shared" si="59"/>
        <v>7.1521832163774279E-2</v>
      </c>
      <c r="P624" s="12">
        <f t="shared" si="57"/>
        <v>-5136.9426150908075</v>
      </c>
    </row>
    <row r="625" spans="1:16">
      <c r="A625" s="149">
        <v>0.36500137333292643</v>
      </c>
      <c r="B625" s="150">
        <f t="shared" si="58"/>
        <v>33.277452407361572</v>
      </c>
      <c r="C625" s="24">
        <f t="shared" si="56"/>
        <v>-5850.3717072712852</v>
      </c>
      <c r="H625" s="66"/>
      <c r="I625" s="66"/>
      <c r="J625" s="66"/>
      <c r="K625" s="66"/>
      <c r="L625" s="66"/>
      <c r="N625" s="5">
        <v>1.8286876135913191E-2</v>
      </c>
      <c r="O625" s="19">
        <f t="shared" si="59"/>
        <v>1.8455104950543255E-2</v>
      </c>
      <c r="P625" s="12">
        <f t="shared" si="57"/>
        <v>-7215.2349669677651</v>
      </c>
    </row>
    <row r="626" spans="1:16">
      <c r="A626" s="149">
        <v>0.60860011597033603</v>
      </c>
      <c r="B626" s="150">
        <f t="shared" si="58"/>
        <v>39.348744968015204</v>
      </c>
      <c r="C626" s="24">
        <f t="shared" si="56"/>
        <v>-5850.3717072712852</v>
      </c>
      <c r="H626" s="66"/>
      <c r="I626" s="66"/>
      <c r="J626" s="66"/>
      <c r="K626" s="66"/>
      <c r="L626" s="66"/>
      <c r="N626" s="5">
        <v>2.874692172293726E-2</v>
      </c>
      <c r="O626" s="19">
        <f t="shared" si="59"/>
        <v>2.9164102436223693E-2</v>
      </c>
      <c r="P626" s="12">
        <f t="shared" si="57"/>
        <v>-6701.6025378006962</v>
      </c>
    </row>
    <row r="627" spans="1:16">
      <c r="A627" s="149">
        <v>0.16885891293069247</v>
      </c>
      <c r="B627" s="150">
        <f t="shared" si="58"/>
        <v>25.892754706329637</v>
      </c>
      <c r="C627" s="24">
        <f t="shared" si="56"/>
        <v>-5850.3717072712852</v>
      </c>
      <c r="H627" s="66"/>
      <c r="I627" s="66"/>
      <c r="J627" s="66"/>
      <c r="K627" s="66"/>
      <c r="L627" s="66"/>
      <c r="N627" s="5">
        <v>4.3468424744001824E-2</v>
      </c>
      <c r="O627" s="19">
        <f t="shared" si="59"/>
        <v>4.4427015740982068E-2</v>
      </c>
      <c r="P627" s="12">
        <f t="shared" si="57"/>
        <v>-6060.8604387110554</v>
      </c>
    </row>
    <row r="628" spans="1:16">
      <c r="A628" s="149">
        <v>0.49333170567949464</v>
      </c>
      <c r="B628" s="150">
        <f t="shared" si="58"/>
        <v>36.647560837875162</v>
      </c>
      <c r="C628" s="24">
        <f t="shared" si="56"/>
        <v>-5850.3717072712852</v>
      </c>
      <c r="H628" s="66"/>
      <c r="I628" s="66"/>
      <c r="J628" s="66"/>
      <c r="K628" s="66"/>
      <c r="L628" s="66"/>
      <c r="N628" s="5">
        <v>2.2614528413338122E-2</v>
      </c>
      <c r="O628" s="19">
        <f t="shared" si="59"/>
        <v>2.2872175383613191E-2</v>
      </c>
      <c r="P628" s="12">
        <f t="shared" si="57"/>
        <v>-6996.3891587990074</v>
      </c>
    </row>
    <row r="629" spans="1:16">
      <c r="A629" s="149">
        <v>0.36890774254585407</v>
      </c>
      <c r="B629" s="150">
        <f t="shared" si="58"/>
        <v>33.389781087734853</v>
      </c>
      <c r="C629" s="24">
        <f t="shared" si="56"/>
        <v>-5850.3717072712852</v>
      </c>
      <c r="H629" s="66"/>
      <c r="I629" s="66"/>
      <c r="J629" s="66"/>
      <c r="K629" s="66"/>
      <c r="L629" s="66"/>
      <c r="N629" s="5">
        <v>6.0558037327733474E-2</v>
      </c>
      <c r="O629" s="19">
        <f t="shared" si="59"/>
        <v>6.2429256335996275E-2</v>
      </c>
      <c r="P629" s="12">
        <f t="shared" si="57"/>
        <v>-5420.4306843048089</v>
      </c>
    </row>
    <row r="630" spans="1:16">
      <c r="A630" s="149">
        <v>0.10089419232764672</v>
      </c>
      <c r="B630" s="150">
        <f t="shared" si="58"/>
        <v>21.486968425609309</v>
      </c>
      <c r="C630" s="24">
        <f t="shared" si="56"/>
        <v>-5850.3717072712852</v>
      </c>
      <c r="H630" s="66"/>
      <c r="I630" s="66"/>
      <c r="J630" s="66"/>
      <c r="K630" s="66"/>
      <c r="L630" s="66"/>
      <c r="N630" s="5">
        <v>0.10515182652592193</v>
      </c>
      <c r="O630" s="19">
        <f t="shared" si="59"/>
        <v>0.11087925849128655</v>
      </c>
      <c r="P630" s="12">
        <f t="shared" si="57"/>
        <v>-4150.2354892243629</v>
      </c>
    </row>
    <row r="631" spans="1:16">
      <c r="A631" s="149">
        <v>0.6114078188421278</v>
      </c>
      <c r="B631" s="150">
        <f t="shared" si="58"/>
        <v>39.413030416310619</v>
      </c>
      <c r="C631" s="24">
        <f t="shared" si="56"/>
        <v>-5850.3717072712852</v>
      </c>
      <c r="H631" s="66"/>
      <c r="I631" s="66"/>
      <c r="J631" s="66"/>
      <c r="K631" s="66"/>
      <c r="L631" s="66"/>
      <c r="N631" s="5">
        <v>4.2062880263198169E-2</v>
      </c>
      <c r="O631" s="19">
        <f t="shared" si="59"/>
        <v>4.2960058291882763E-2</v>
      </c>
      <c r="P631" s="12">
        <f t="shared" si="57"/>
        <v>-6118.2369361730389</v>
      </c>
    </row>
    <row r="632" spans="1:16">
      <c r="A632" s="149">
        <v>0.11233863338114566</v>
      </c>
      <c r="B632" s="150">
        <f t="shared" si="58"/>
        <v>22.379600224955343</v>
      </c>
      <c r="C632" s="24">
        <f t="shared" si="56"/>
        <v>-5850.3717072712852</v>
      </c>
      <c r="H632" s="66"/>
      <c r="I632" s="66"/>
      <c r="J632" s="66"/>
      <c r="K632" s="66"/>
      <c r="L632" s="66"/>
      <c r="N632" s="5">
        <v>3.7832821542120657E-2</v>
      </c>
      <c r="O632" s="19">
        <f t="shared" si="59"/>
        <v>3.8557593907586174E-2</v>
      </c>
      <c r="P632" s="12">
        <f t="shared" si="57"/>
        <v>-6295.5929515594917</v>
      </c>
    </row>
    <row r="633" spans="1:16">
      <c r="A633" s="149">
        <v>0.55674916837061683</v>
      </c>
      <c r="B633" s="150">
        <f t="shared" si="58"/>
        <v>38.153319696586628</v>
      </c>
      <c r="C633" s="24">
        <f t="shared" si="56"/>
        <v>-5850.3717072712852</v>
      </c>
      <c r="H633" s="66"/>
      <c r="I633" s="66"/>
      <c r="J633" s="66"/>
      <c r="K633" s="66"/>
      <c r="L633" s="66"/>
      <c r="N633" s="5">
        <v>4.4580777577844857E-2</v>
      </c>
      <c r="O633" s="19">
        <f t="shared" si="59"/>
        <v>4.5589433481159736E-2</v>
      </c>
      <c r="P633" s="12">
        <f t="shared" si="57"/>
        <v>-6015.9888208919547</v>
      </c>
    </row>
    <row r="634" spans="1:16">
      <c r="A634" s="149">
        <v>0.74852748191778318</v>
      </c>
      <c r="B634" s="150">
        <f t="shared" si="58"/>
        <v>42.602612586610242</v>
      </c>
      <c r="C634" s="24">
        <f t="shared" si="56"/>
        <v>-5850.3717072712852</v>
      </c>
      <c r="H634" s="66"/>
      <c r="I634" s="66"/>
      <c r="J634" s="66"/>
      <c r="K634" s="66"/>
      <c r="L634" s="66"/>
      <c r="N634" s="5">
        <v>7.2553386823652546E-2</v>
      </c>
      <c r="O634" s="19">
        <f t="shared" si="59"/>
        <v>7.525020875114552E-2</v>
      </c>
      <c r="P634" s="12">
        <f t="shared" si="57"/>
        <v>-5027.5591984399689</v>
      </c>
    </row>
    <row r="635" spans="1:16">
      <c r="A635" s="149">
        <v>0.99810785241248823</v>
      </c>
      <c r="B635" s="150">
        <f t="shared" si="58"/>
        <v>55.40767740891927</v>
      </c>
      <c r="C635" s="24">
        <f t="shared" si="56"/>
        <v>-5850.3717072712852</v>
      </c>
      <c r="H635" s="66"/>
      <c r="I635" s="66"/>
      <c r="J635" s="66"/>
      <c r="K635" s="66"/>
      <c r="L635" s="66"/>
      <c r="N635" s="5">
        <v>5.4162727744493169E-2</v>
      </c>
      <c r="O635" s="19">
        <f t="shared" si="59"/>
        <v>5.5656372759278483E-2</v>
      </c>
      <c r="P635" s="12">
        <f t="shared" si="57"/>
        <v>-5648.2487442671809</v>
      </c>
    </row>
    <row r="636" spans="1:16">
      <c r="A636" s="149">
        <v>7.4922940763573101E-2</v>
      </c>
      <c r="B636" s="150">
        <f t="shared" si="58"/>
        <v>19.084728112245863</v>
      </c>
      <c r="C636" s="24">
        <f t="shared" si="56"/>
        <v>-5850.3717072712852</v>
      </c>
      <c r="H636" s="66"/>
      <c r="I636" s="66"/>
      <c r="J636" s="66"/>
      <c r="K636" s="66"/>
      <c r="L636" s="66"/>
      <c r="N636" s="5">
        <v>4.8827248017129024E-2</v>
      </c>
      <c r="O636" s="19">
        <f t="shared" si="59"/>
        <v>5.003893876207699E-2</v>
      </c>
      <c r="P636" s="12">
        <f t="shared" si="57"/>
        <v>-5848.9415220918409</v>
      </c>
    </row>
    <row r="637" spans="1:16">
      <c r="A637" s="149">
        <v>0.9668874172185431</v>
      </c>
      <c r="B637" s="150">
        <f t="shared" si="58"/>
        <v>50.241615054688531</v>
      </c>
      <c r="C637" s="24">
        <f t="shared" si="56"/>
        <v>-5850.3717072712852</v>
      </c>
      <c r="H637" s="66"/>
      <c r="I637" s="66"/>
      <c r="J637" s="66"/>
      <c r="K637" s="66"/>
      <c r="L637" s="66"/>
      <c r="N637" s="5">
        <v>5.0964607177898871E-2</v>
      </c>
      <c r="O637" s="19">
        <f t="shared" si="59"/>
        <v>5.2285649265338296E-2</v>
      </c>
      <c r="P637" s="12">
        <f t="shared" si="57"/>
        <v>-5767.344142301803</v>
      </c>
    </row>
    <row r="638" spans="1:16">
      <c r="A638" s="149">
        <v>0.62623981444746235</v>
      </c>
      <c r="B638" s="150">
        <f t="shared" si="58"/>
        <v>39.752341560301055</v>
      </c>
      <c r="C638" s="24">
        <f t="shared" si="56"/>
        <v>-5850.3717072712852</v>
      </c>
      <c r="H638" s="66"/>
      <c r="I638" s="66"/>
      <c r="J638" s="66"/>
      <c r="K638" s="66"/>
      <c r="L638" s="66"/>
      <c r="N638" s="5">
        <v>6.7071982536741417E-2</v>
      </c>
      <c r="O638" s="19">
        <f t="shared" si="59"/>
        <v>6.9372451545981262E-2</v>
      </c>
      <c r="P638" s="12">
        <f t="shared" si="57"/>
        <v>-5201.7652993886577</v>
      </c>
    </row>
    <row r="639" spans="1:16">
      <c r="A639" s="149">
        <v>3.4760582293160799E-2</v>
      </c>
      <c r="B639" s="150">
        <f t="shared" si="58"/>
        <v>13.399951329803063</v>
      </c>
      <c r="C639" s="24">
        <f t="shared" si="56"/>
        <v>98604.525634060439</v>
      </c>
      <c r="H639" s="66"/>
      <c r="I639" s="66"/>
      <c r="J639" s="66"/>
      <c r="K639" s="66"/>
      <c r="L639" s="66"/>
      <c r="N639" s="5">
        <v>5.0820079943274324E-2</v>
      </c>
      <c r="O639" s="19">
        <f t="shared" si="59"/>
        <v>5.2133576320020802E-2</v>
      </c>
      <c r="P639" s="12">
        <f t="shared" si="57"/>
        <v>95878.441076474628</v>
      </c>
    </row>
    <row r="640" spans="1:16">
      <c r="A640" s="149">
        <v>0.97314371166112246</v>
      </c>
      <c r="B640" s="150">
        <f t="shared" si="58"/>
        <v>50.746615341399817</v>
      </c>
      <c r="C640" s="24">
        <f t="shared" si="56"/>
        <v>-5850.3717072712852</v>
      </c>
      <c r="H640" s="66"/>
      <c r="I640" s="66"/>
      <c r="J640" s="66"/>
      <c r="K640" s="66"/>
      <c r="L640" s="66"/>
      <c r="N640" s="5">
        <v>6.9513300965933014E-2</v>
      </c>
      <c r="O640" s="19">
        <f t="shared" si="59"/>
        <v>7.1986319563462908E-2</v>
      </c>
      <c r="P640" s="12">
        <f t="shared" si="57"/>
        <v>-5123.1059106231614</v>
      </c>
    </row>
    <row r="641" spans="1:16">
      <c r="A641" s="149">
        <v>0.19489120151371808</v>
      </c>
      <c r="B641" s="150">
        <f t="shared" si="58"/>
        <v>27.181381705671882</v>
      </c>
      <c r="C641" s="24">
        <f t="shared" si="56"/>
        <v>-5850.3717072712852</v>
      </c>
      <c r="H641" s="66"/>
      <c r="I641" s="66"/>
      <c r="J641" s="66"/>
      <c r="K641" s="66"/>
      <c r="L641" s="66"/>
      <c r="N641" s="5">
        <v>8.6465811316098554E-2</v>
      </c>
      <c r="O641" s="19">
        <f t="shared" si="59"/>
        <v>9.0314090676756997E-2</v>
      </c>
      <c r="P641" s="12">
        <f t="shared" si="57"/>
        <v>-4622.1185708958265</v>
      </c>
    </row>
    <row r="642" spans="1:16">
      <c r="A642" s="149">
        <v>0.33252967925046539</v>
      </c>
      <c r="B642" s="150">
        <f t="shared" si="58"/>
        <v>32.310557083229135</v>
      </c>
      <c r="C642" s="24">
        <f t="shared" si="56"/>
        <v>-5850.3717072712852</v>
      </c>
      <c r="H642" s="66"/>
      <c r="I642" s="66"/>
      <c r="J642" s="66"/>
      <c r="K642" s="66"/>
      <c r="L642" s="66"/>
      <c r="N642" s="5">
        <v>4.5929744098553785E-2</v>
      </c>
      <c r="O642" s="19">
        <f t="shared" si="59"/>
        <v>4.7000850384376625E-2</v>
      </c>
      <c r="P642" s="12">
        <f t="shared" si="57"/>
        <v>-5962.1993339659302</v>
      </c>
    </row>
    <row r="643" spans="1:16">
      <c r="A643" s="149">
        <v>0.27014984588152713</v>
      </c>
      <c r="B643" s="150">
        <f t="shared" si="58"/>
        <v>30.243520989226631</v>
      </c>
      <c r="C643" s="24">
        <f t="shared" si="56"/>
        <v>-5850.3717072712852</v>
      </c>
      <c r="H643" s="66"/>
      <c r="I643" s="66"/>
      <c r="J643" s="66"/>
      <c r="K643" s="66"/>
      <c r="L643" s="66"/>
      <c r="N643" s="5">
        <v>4.3121175801512437E-2</v>
      </c>
      <c r="O643" s="19">
        <f t="shared" si="59"/>
        <v>4.4064402526430069E-2</v>
      </c>
      <c r="P643" s="12">
        <f t="shared" si="57"/>
        <v>-6074.9649311332387</v>
      </c>
    </row>
    <row r="644" spans="1:16">
      <c r="A644" s="149">
        <v>0.62804040650654624</v>
      </c>
      <c r="B644" s="150">
        <f t="shared" si="58"/>
        <v>39.79351688668212</v>
      </c>
      <c r="C644" s="24">
        <f t="shared" si="56"/>
        <v>-5850.3717072712852</v>
      </c>
      <c r="H644" s="66"/>
      <c r="I644" s="66"/>
      <c r="J644" s="66"/>
      <c r="K644" s="66"/>
      <c r="L644" s="66"/>
      <c r="N644" s="5">
        <v>6.8457580889240491E-2</v>
      </c>
      <c r="O644" s="19">
        <f t="shared" si="59"/>
        <v>7.0855199262222612E-2</v>
      </c>
      <c r="P644" s="12">
        <f t="shared" si="57"/>
        <v>-5156.9070729820314</v>
      </c>
    </row>
    <row r="645" spans="1:16">
      <c r="A645" s="149">
        <v>0.87566759239478742</v>
      </c>
      <c r="B645" s="150">
        <f t="shared" si="58"/>
        <v>46.083959952042335</v>
      </c>
      <c r="C645" s="24">
        <f t="shared" si="56"/>
        <v>-5850.3717072712852</v>
      </c>
      <c r="H645" s="66"/>
      <c r="I645" s="66"/>
      <c r="J645" s="66"/>
      <c r="K645" s="66"/>
      <c r="L645" s="66"/>
      <c r="N645" s="5">
        <v>2.5025160491291901E-2</v>
      </c>
      <c r="O645" s="19">
        <f t="shared" si="59"/>
        <v>2.5340918281131053E-2</v>
      </c>
      <c r="P645" s="12">
        <f t="shared" si="57"/>
        <v>-6878.4187509377653</v>
      </c>
    </row>
    <row r="646" spans="1:16">
      <c r="A646" s="149">
        <v>0.16846217230750452</v>
      </c>
      <c r="B646" s="150">
        <f t="shared" si="58"/>
        <v>25.871860037593809</v>
      </c>
      <c r="C646" s="24">
        <f t="shared" si="56"/>
        <v>-5850.3717072712852</v>
      </c>
      <c r="H646" s="66"/>
      <c r="I646" s="66"/>
      <c r="J646" s="66"/>
      <c r="K646" s="66"/>
      <c r="L646" s="66"/>
      <c r="N646" s="5">
        <v>2.8396604145324092E-2</v>
      </c>
      <c r="O646" s="19">
        <f t="shared" si="59"/>
        <v>2.8803631304264998E-2</v>
      </c>
      <c r="P646" s="12">
        <f t="shared" si="57"/>
        <v>-6717.9763049763569</v>
      </c>
    </row>
    <row r="647" spans="1:16">
      <c r="A647" s="149">
        <v>0.68437757499923701</v>
      </c>
      <c r="B647" s="150">
        <f t="shared" si="58"/>
        <v>41.086795316510965</v>
      </c>
      <c r="C647" s="24">
        <f t="shared" si="56"/>
        <v>-5850.3717072712852</v>
      </c>
      <c r="H647" s="66"/>
      <c r="I647" s="66"/>
      <c r="J647" s="66"/>
      <c r="K647" s="66"/>
      <c r="L647" s="66"/>
      <c r="N647" s="5">
        <v>2.676948449457997E-3</v>
      </c>
      <c r="O647" s="19">
        <f t="shared" si="59"/>
        <v>2.6805346752918346E-3</v>
      </c>
      <c r="P647" s="12">
        <f t="shared" si="57"/>
        <v>-8086.5587344212208</v>
      </c>
    </row>
    <row r="648" spans="1:16">
      <c r="A648" s="149">
        <v>0.94933927426984466</v>
      </c>
      <c r="B648" s="150">
        <f t="shared" si="58"/>
        <v>49.113280256904929</v>
      </c>
      <c r="C648" s="24">
        <f t="shared" si="56"/>
        <v>-5850.3717072712852</v>
      </c>
      <c r="H648" s="66"/>
      <c r="I648" s="66"/>
      <c r="J648" s="66"/>
      <c r="K648" s="66"/>
      <c r="L648" s="66"/>
      <c r="N648" s="5">
        <v>2.1316714944201523E-2</v>
      </c>
      <c r="O648" s="19">
        <f t="shared" si="59"/>
        <v>2.1545539146590631E-2</v>
      </c>
      <c r="P648" s="12">
        <f t="shared" si="57"/>
        <v>-7061.0533245392353</v>
      </c>
    </row>
    <row r="649" spans="1:16">
      <c r="A649" s="149">
        <v>0.22974333933530686</v>
      </c>
      <c r="B649" s="150">
        <f t="shared" si="58"/>
        <v>28.699799442103615</v>
      </c>
      <c r="C649" s="24">
        <f t="shared" si="56"/>
        <v>-5850.3717072712852</v>
      </c>
      <c r="H649" s="66"/>
      <c r="I649" s="66"/>
      <c r="J649" s="66"/>
      <c r="K649" s="66"/>
      <c r="L649" s="66"/>
      <c r="N649" s="5">
        <v>4.2548793155343448E-2</v>
      </c>
      <c r="O649" s="19">
        <f t="shared" si="59"/>
        <v>4.3466969177492709E-2</v>
      </c>
      <c r="P649" s="12">
        <f t="shared" si="57"/>
        <v>-6098.3150172823871</v>
      </c>
    </row>
    <row r="650" spans="1:16">
      <c r="A650" s="149">
        <v>0.12314218573564867</v>
      </c>
      <c r="B650" s="150">
        <f t="shared" si="58"/>
        <v>23.153204921151424</v>
      </c>
      <c r="C650" s="24">
        <f t="shared" si="56"/>
        <v>-5850.3717072712852</v>
      </c>
      <c r="H650" s="66"/>
      <c r="I650" s="66"/>
      <c r="J650" s="66"/>
      <c r="K650" s="66"/>
      <c r="L650" s="66"/>
      <c r="N650" s="5">
        <v>4.2558300444521593E-2</v>
      </c>
      <c r="O650" s="19">
        <f t="shared" si="59"/>
        <v>4.347688976687536E-2</v>
      </c>
      <c r="P650" s="12">
        <f t="shared" si="57"/>
        <v>-6097.9261400212035</v>
      </c>
    </row>
    <row r="651" spans="1:16">
      <c r="A651" s="149">
        <v>0.85753959776604516</v>
      </c>
      <c r="B651" s="150">
        <f t="shared" si="58"/>
        <v>45.513363364528772</v>
      </c>
      <c r="C651" s="24">
        <f t="shared" si="56"/>
        <v>-5850.3717072712852</v>
      </c>
      <c r="H651" s="66"/>
      <c r="I651" s="66"/>
      <c r="J651" s="66"/>
      <c r="K651" s="66"/>
      <c r="L651" s="66"/>
      <c r="N651" s="5">
        <v>6.9429845049977304E-2</v>
      </c>
      <c r="O651" s="19">
        <f t="shared" si="59"/>
        <v>7.1896859696301219E-2</v>
      </c>
      <c r="P651" s="12">
        <f t="shared" si="57"/>
        <v>-5125.7661504320213</v>
      </c>
    </row>
    <row r="652" spans="1:16">
      <c r="A652" s="149">
        <v>5.453657643360698E-2</v>
      </c>
      <c r="B652" s="150">
        <f t="shared" si="58"/>
        <v>16.638449478684127</v>
      </c>
      <c r="C652" s="24">
        <f t="shared" si="56"/>
        <v>-5850.3717072712852</v>
      </c>
      <c r="H652" s="66"/>
      <c r="I652" s="66"/>
      <c r="J652" s="66"/>
      <c r="K652" s="66"/>
      <c r="L652" s="66"/>
      <c r="N652" s="5">
        <v>3.5502823331749825E-2</v>
      </c>
      <c r="O652" s="19">
        <f t="shared" si="59"/>
        <v>3.6140573492513539E-2</v>
      </c>
      <c r="P652" s="12">
        <f t="shared" si="57"/>
        <v>-6396.371948156414</v>
      </c>
    </row>
    <row r="653" spans="1:16">
      <c r="A653" s="149">
        <v>0.83071382793664361</v>
      </c>
      <c r="B653" s="150">
        <f t="shared" si="58"/>
        <v>44.730182570104596</v>
      </c>
      <c r="C653" s="24">
        <f t="shared" si="56"/>
        <v>-5850.3717072712852</v>
      </c>
      <c r="H653" s="66"/>
      <c r="I653" s="66"/>
      <c r="J653" s="66"/>
      <c r="K653" s="66"/>
      <c r="L653" s="66"/>
      <c r="N653" s="5">
        <v>4.697708022571169E-2</v>
      </c>
      <c r="O653" s="19">
        <f t="shared" si="59"/>
        <v>4.8097986635076584E-2</v>
      </c>
      <c r="P653" s="12">
        <f t="shared" si="57"/>
        <v>-5920.9051880231164</v>
      </c>
    </row>
    <row r="654" spans="1:16">
      <c r="A654" s="149">
        <v>0.19699697866756188</v>
      </c>
      <c r="B654" s="150">
        <f t="shared" si="58"/>
        <v>27.279213097138985</v>
      </c>
      <c r="C654" s="24">
        <f t="shared" si="56"/>
        <v>-5850.3717072712852</v>
      </c>
      <c r="H654" s="66"/>
      <c r="I654" s="66"/>
      <c r="J654" s="66"/>
      <c r="K654" s="66"/>
      <c r="L654" s="66"/>
      <c r="N654" s="5">
        <v>3.3413877369763215E-2</v>
      </c>
      <c r="O654" s="19">
        <f t="shared" si="59"/>
        <v>3.3978390952967175E-2</v>
      </c>
      <c r="P654" s="12">
        <f t="shared" si="57"/>
        <v>-6488.6491298243727</v>
      </c>
    </row>
    <row r="655" spans="1:16">
      <c r="A655" s="149">
        <v>0.12466811120944853</v>
      </c>
      <c r="B655" s="150">
        <f t="shared" si="58"/>
        <v>23.2577284418518</v>
      </c>
      <c r="C655" s="24">
        <f t="shared" si="56"/>
        <v>-5850.3717072712852</v>
      </c>
      <c r="H655" s="66"/>
      <c r="I655" s="66"/>
      <c r="J655" s="66"/>
      <c r="K655" s="66"/>
      <c r="L655" s="66"/>
      <c r="N655" s="5">
        <v>5.64252159821408E-2</v>
      </c>
      <c r="O655" s="19">
        <f t="shared" si="59"/>
        <v>5.8047486799359449E-2</v>
      </c>
      <c r="P655" s="12">
        <f t="shared" si="57"/>
        <v>-5566.1080137766357</v>
      </c>
    </row>
    <row r="656" spans="1:16">
      <c r="A656" s="149">
        <v>0.42948698385570849</v>
      </c>
      <c r="B656" s="150">
        <f t="shared" si="58"/>
        <v>35.042799476260178</v>
      </c>
      <c r="C656" s="24">
        <f t="shared" ref="C656:C719" si="60">IF($B656&lt;15,B$8*(B$10^$B656)-B$7*(1-B$10^$B656)/B$11, -B$7*(1-B$10^15)/B$11)</f>
        <v>-5850.3717072712852</v>
      </c>
      <c r="H656" s="66"/>
      <c r="I656" s="66"/>
      <c r="J656" s="66"/>
      <c r="K656" s="66"/>
      <c r="L656" s="66"/>
      <c r="N656" s="5">
        <v>5.7642340786638671E-2</v>
      </c>
      <c r="O656" s="19">
        <f t="shared" si="59"/>
        <v>5.9336046649885565E-2</v>
      </c>
      <c r="P656" s="12">
        <f t="shared" ref="P656:P719" si="61">IF($B656&lt;15,B$8*((1+O656)^-$B656)-B$7*(1-(1+O656)^-$B656)/LN(1+O656), -B$7*(1-(1+O656)^-15)/LN(1+O656))</f>
        <v>-5522.6267025834586</v>
      </c>
    </row>
    <row r="657" spans="1:16">
      <c r="A657" s="149">
        <v>0.24927518539994506</v>
      </c>
      <c r="B657" s="150">
        <f t="shared" ref="B657:B720" si="62">LN(1-LN(B$4)*(LN(1-A657)/(B$3*B$4^50)))/LN(B$4)</f>
        <v>29.470690554960388</v>
      </c>
      <c r="C657" s="24">
        <f t="shared" si="60"/>
        <v>-5850.3717072712852</v>
      </c>
      <c r="H657" s="66"/>
      <c r="I657" s="66"/>
      <c r="J657" s="66"/>
      <c r="K657" s="66"/>
      <c r="L657" s="66"/>
      <c r="N657" s="5">
        <v>7.0362216954104953E-2</v>
      </c>
      <c r="O657" s="19">
        <f t="shared" ref="O657:O720" si="63">EXP(N657)-1</f>
        <v>7.2896732266516828E-2</v>
      </c>
      <c r="P657" s="12">
        <f t="shared" si="61"/>
        <v>-5096.1600310728691</v>
      </c>
    </row>
    <row r="658" spans="1:16">
      <c r="A658" s="149">
        <v>9.4454786828211304E-2</v>
      </c>
      <c r="B658" s="150">
        <f t="shared" si="62"/>
        <v>20.945723479865947</v>
      </c>
      <c r="C658" s="24">
        <f t="shared" si="60"/>
        <v>-5850.3717072712852</v>
      </c>
      <c r="H658" s="66"/>
      <c r="I658" s="66"/>
      <c r="J658" s="66"/>
      <c r="K658" s="66"/>
      <c r="L658" s="66"/>
      <c r="N658" s="5">
        <v>4.6709122622938595E-2</v>
      </c>
      <c r="O658" s="19">
        <f t="shared" si="63"/>
        <v>4.7817178435132668E-2</v>
      </c>
      <c r="P658" s="12">
        <f t="shared" si="61"/>
        <v>-5931.4315227298875</v>
      </c>
    </row>
    <row r="659" spans="1:16">
      <c r="A659" s="149">
        <v>0.62315744499038672</v>
      </c>
      <c r="B659" s="150">
        <f t="shared" si="62"/>
        <v>39.681851368719897</v>
      </c>
      <c r="C659" s="24">
        <f t="shared" si="60"/>
        <v>-5850.3717072712852</v>
      </c>
      <c r="H659" s="66"/>
      <c r="I659" s="66"/>
      <c r="J659" s="66"/>
      <c r="K659" s="66"/>
      <c r="L659" s="66"/>
      <c r="N659" s="5">
        <v>0.11067142436071299</v>
      </c>
      <c r="O659" s="19">
        <f t="shared" si="63"/>
        <v>0.11702781842006371</v>
      </c>
      <c r="P659" s="12">
        <f t="shared" si="61"/>
        <v>-4024.8060995997234</v>
      </c>
    </row>
    <row r="660" spans="1:16">
      <c r="A660" s="149">
        <v>0.41044343394268623</v>
      </c>
      <c r="B660" s="150">
        <f t="shared" si="62"/>
        <v>34.539451800396108</v>
      </c>
      <c r="C660" s="24">
        <f t="shared" si="60"/>
        <v>-5850.3717072712852</v>
      </c>
      <c r="H660" s="66"/>
      <c r="I660" s="66"/>
      <c r="J660" s="66"/>
      <c r="K660" s="66"/>
      <c r="L660" s="66"/>
      <c r="N660" s="5">
        <v>5.2351986434710854E-2</v>
      </c>
      <c r="O660" s="19">
        <f t="shared" si="63"/>
        <v>5.374658174674396E-2</v>
      </c>
      <c r="P660" s="12">
        <f t="shared" si="61"/>
        <v>-5715.2434122125487</v>
      </c>
    </row>
    <row r="661" spans="1:16">
      <c r="A661" s="149">
        <v>0.73070467238380077</v>
      </c>
      <c r="B661" s="150">
        <f t="shared" si="62"/>
        <v>42.173590399343539</v>
      </c>
      <c r="C661" s="24">
        <f t="shared" si="60"/>
        <v>-5850.3717072712852</v>
      </c>
      <c r="H661" s="66"/>
      <c r="I661" s="66"/>
      <c r="J661" s="66"/>
      <c r="K661" s="66"/>
      <c r="L661" s="66"/>
      <c r="N661" s="5">
        <v>2.4798958245024552E-2</v>
      </c>
      <c r="O661" s="19">
        <f t="shared" si="63"/>
        <v>2.5109010092291495E-2</v>
      </c>
      <c r="P661" s="12">
        <f t="shared" si="61"/>
        <v>-6889.3717323555711</v>
      </c>
    </row>
    <row r="662" spans="1:16">
      <c r="A662" s="149">
        <v>0.81664479506820886</v>
      </c>
      <c r="B662" s="150">
        <f t="shared" si="62"/>
        <v>44.341783268372438</v>
      </c>
      <c r="C662" s="24">
        <f t="shared" si="60"/>
        <v>-5850.3717072712852</v>
      </c>
      <c r="H662" s="66"/>
      <c r="I662" s="66"/>
      <c r="J662" s="66"/>
      <c r="K662" s="66"/>
      <c r="L662" s="66"/>
      <c r="N662" s="5">
        <v>6.5173702930347646E-2</v>
      </c>
      <c r="O662" s="19">
        <f t="shared" si="63"/>
        <v>6.7344409134346028E-2</v>
      </c>
      <c r="P662" s="12">
        <f t="shared" si="61"/>
        <v>-5264.1482948307821</v>
      </c>
    </row>
    <row r="663" spans="1:16">
      <c r="A663" s="149">
        <v>0.63902706991790525</v>
      </c>
      <c r="B663" s="150">
        <f t="shared" si="62"/>
        <v>40.044784135456815</v>
      </c>
      <c r="C663" s="24">
        <f t="shared" si="60"/>
        <v>-5850.3717072712852</v>
      </c>
      <c r="H663" s="66"/>
      <c r="I663" s="66"/>
      <c r="J663" s="66"/>
      <c r="K663" s="66"/>
      <c r="L663" s="66"/>
      <c r="N663" s="5">
        <v>4.1978766782573076E-2</v>
      </c>
      <c r="O663" s="19">
        <f t="shared" si="63"/>
        <v>4.2872334980635252E-2</v>
      </c>
      <c r="P663" s="12">
        <f t="shared" si="61"/>
        <v>-6121.6948001078617</v>
      </c>
    </row>
    <row r="664" spans="1:16">
      <c r="A664" s="149">
        <v>0.77065340128788107</v>
      </c>
      <c r="B664" s="150">
        <f t="shared" si="62"/>
        <v>43.147451955718452</v>
      </c>
      <c r="C664" s="24">
        <f t="shared" si="60"/>
        <v>-5850.3717072712852</v>
      </c>
      <c r="H664" s="66"/>
      <c r="I664" s="66"/>
      <c r="J664" s="66"/>
      <c r="K664" s="66"/>
      <c r="L664" s="66"/>
      <c r="N664" s="5">
        <v>9.3475450691708831E-2</v>
      </c>
      <c r="O664" s="19">
        <f t="shared" si="63"/>
        <v>9.7983648271356749E-2</v>
      </c>
      <c r="P664" s="12">
        <f t="shared" si="61"/>
        <v>-4436.0362630803775</v>
      </c>
    </row>
    <row r="665" spans="1:16">
      <c r="A665" s="149">
        <v>0.56147953733939637</v>
      </c>
      <c r="B665" s="150">
        <f t="shared" si="62"/>
        <v>38.26331420866633</v>
      </c>
      <c r="C665" s="24">
        <f t="shared" si="60"/>
        <v>-5850.3717072712852</v>
      </c>
      <c r="H665" s="66"/>
      <c r="I665" s="66"/>
      <c r="J665" s="66"/>
      <c r="K665" s="66"/>
      <c r="L665" s="66"/>
      <c r="N665" s="5">
        <v>1.1195698741299567E-2</v>
      </c>
      <c r="O665" s="19">
        <f t="shared" si="63"/>
        <v>1.1258605117542952E-2</v>
      </c>
      <c r="P665" s="12">
        <f t="shared" si="61"/>
        <v>-7594.4694667768954</v>
      </c>
    </row>
    <row r="666" spans="1:16">
      <c r="A666" s="149">
        <v>0.1860408337656789</v>
      </c>
      <c r="B666" s="150">
        <f t="shared" si="62"/>
        <v>26.760353917052992</v>
      </c>
      <c r="C666" s="24">
        <f t="shared" si="60"/>
        <v>-5850.3717072712852</v>
      </c>
      <c r="H666" s="66"/>
      <c r="I666" s="66"/>
      <c r="J666" s="66"/>
      <c r="K666" s="66"/>
      <c r="L666" s="66"/>
      <c r="N666" s="5">
        <v>9.3570359192322941E-2</v>
      </c>
      <c r="O666" s="19">
        <f t="shared" si="63"/>
        <v>9.8087861198381088E-2</v>
      </c>
      <c r="P666" s="12">
        <f t="shared" si="61"/>
        <v>-4433.594447278203</v>
      </c>
    </row>
    <row r="667" spans="1:16">
      <c r="A667" s="149">
        <v>0.15845210119937742</v>
      </c>
      <c r="B667" s="150">
        <f t="shared" si="62"/>
        <v>25.330394353999282</v>
      </c>
      <c r="C667" s="24">
        <f t="shared" si="60"/>
        <v>-5850.3717072712852</v>
      </c>
      <c r="H667" s="66"/>
      <c r="I667" s="66"/>
      <c r="J667" s="66"/>
      <c r="K667" s="66"/>
      <c r="L667" s="66"/>
      <c r="N667" s="5">
        <v>3.3850938686679002E-2</v>
      </c>
      <c r="O667" s="19">
        <f t="shared" si="63"/>
        <v>3.4430401681186273E-2</v>
      </c>
      <c r="P667" s="12">
        <f t="shared" si="61"/>
        <v>-6469.1896597238738</v>
      </c>
    </row>
    <row r="668" spans="1:16">
      <c r="A668" s="149">
        <v>0.69072542497024447</v>
      </c>
      <c r="B668" s="150">
        <f t="shared" si="62"/>
        <v>41.233909480616063</v>
      </c>
      <c r="C668" s="24">
        <f t="shared" si="60"/>
        <v>-5850.3717072712852</v>
      </c>
      <c r="H668" s="66"/>
      <c r="I668" s="66"/>
      <c r="J668" s="66"/>
      <c r="K668" s="66"/>
      <c r="L668" s="66"/>
      <c r="N668" s="5">
        <v>7.0506302537396565E-3</v>
      </c>
      <c r="O668" s="19">
        <f t="shared" si="63"/>
        <v>7.0755444664416522E-3</v>
      </c>
      <c r="P668" s="12">
        <f t="shared" si="61"/>
        <v>-7828.7235342289532</v>
      </c>
    </row>
    <row r="669" spans="1:16">
      <c r="A669" s="149">
        <v>0.28202154606769003</v>
      </c>
      <c r="B669" s="150">
        <f t="shared" si="62"/>
        <v>30.662597419950838</v>
      </c>
      <c r="C669" s="24">
        <f t="shared" si="60"/>
        <v>-5850.3717072712852</v>
      </c>
      <c r="H669" s="66"/>
      <c r="I669" s="66"/>
      <c r="J669" s="66"/>
      <c r="K669" s="66"/>
      <c r="L669" s="66"/>
      <c r="N669" s="5">
        <v>8.0939637834613679E-2</v>
      </c>
      <c r="O669" s="19">
        <f t="shared" si="63"/>
        <v>8.4305443566824012E-2</v>
      </c>
      <c r="P669" s="12">
        <f t="shared" si="61"/>
        <v>-4777.1608272987696</v>
      </c>
    </row>
    <row r="670" spans="1:16">
      <c r="A670" s="149">
        <v>0.83391827143162323</v>
      </c>
      <c r="B670" s="150">
        <f t="shared" si="62"/>
        <v>44.820578991854127</v>
      </c>
      <c r="C670" s="24">
        <f t="shared" si="60"/>
        <v>-5850.3717072712852</v>
      </c>
      <c r="H670" s="66"/>
      <c r="I670" s="66"/>
      <c r="J670" s="66"/>
      <c r="K670" s="66"/>
      <c r="L670" s="66"/>
      <c r="N670" s="5">
        <v>5.5458349331398496E-2</v>
      </c>
      <c r="O670" s="19">
        <f t="shared" si="63"/>
        <v>5.7024990357981364E-2</v>
      </c>
      <c r="P670" s="12">
        <f t="shared" si="61"/>
        <v>-5600.999817529967</v>
      </c>
    </row>
    <row r="671" spans="1:16">
      <c r="A671" s="149">
        <v>3.0396435438093204E-2</v>
      </c>
      <c r="B671" s="150">
        <f t="shared" si="62"/>
        <v>12.494097657595992</v>
      </c>
      <c r="C671" s="24">
        <f t="shared" si="60"/>
        <v>103569.65781751214</v>
      </c>
      <c r="H671" s="66"/>
      <c r="I671" s="66"/>
      <c r="J671" s="66"/>
      <c r="K671" s="66"/>
      <c r="L671" s="66"/>
      <c r="N671" s="5">
        <v>5.0375922407634791E-2</v>
      </c>
      <c r="O671" s="19">
        <f t="shared" si="63"/>
        <v>5.1666367028543325E-2</v>
      </c>
      <c r="P671" s="12">
        <f t="shared" si="61"/>
        <v>101482.46726688508</v>
      </c>
    </row>
    <row r="672" spans="1:16">
      <c r="A672" s="149">
        <v>0.89584032715842155</v>
      </c>
      <c r="B672" s="150">
        <f t="shared" si="62"/>
        <v>46.773016660327848</v>
      </c>
      <c r="C672" s="24">
        <f t="shared" si="60"/>
        <v>-5850.3717072712852</v>
      </c>
      <c r="H672" s="66"/>
      <c r="I672" s="66"/>
      <c r="J672" s="66"/>
      <c r="K672" s="66"/>
      <c r="L672" s="66"/>
      <c r="N672" s="5">
        <v>3.9945385035149231E-2</v>
      </c>
      <c r="O672" s="19">
        <f t="shared" si="63"/>
        <v>4.0753931900773477E-2</v>
      </c>
      <c r="P672" s="12">
        <f t="shared" si="61"/>
        <v>-6206.1291599970673</v>
      </c>
    </row>
    <row r="673" spans="1:16">
      <c r="A673" s="149">
        <v>0.40110477004303108</v>
      </c>
      <c r="B673" s="150">
        <f t="shared" si="62"/>
        <v>34.287544022512854</v>
      </c>
      <c r="C673" s="24">
        <f t="shared" si="60"/>
        <v>-5850.3717072712852</v>
      </c>
      <c r="H673" s="66"/>
      <c r="I673" s="66"/>
      <c r="J673" s="66"/>
      <c r="K673" s="66"/>
      <c r="L673" s="66"/>
      <c r="N673" s="5">
        <v>5.7379369715941722E-2</v>
      </c>
      <c r="O673" s="19">
        <f t="shared" si="63"/>
        <v>5.9057508540807824E-2</v>
      </c>
      <c r="P673" s="12">
        <f t="shared" si="61"/>
        <v>-5531.9798360156701</v>
      </c>
    </row>
    <row r="674" spans="1:16">
      <c r="A674" s="149">
        <v>0.68181402020325332</v>
      </c>
      <c r="B674" s="150">
        <f t="shared" si="62"/>
        <v>41.027503883247086</v>
      </c>
      <c r="C674" s="24">
        <f t="shared" si="60"/>
        <v>-5850.3717072712852</v>
      </c>
      <c r="H674" s="66"/>
      <c r="I674" s="66"/>
      <c r="J674" s="66"/>
      <c r="K674" s="66"/>
      <c r="L674" s="66"/>
      <c r="N674" s="5">
        <v>4.3230742514548184E-2</v>
      </c>
      <c r="O674" s="19">
        <f t="shared" si="63"/>
        <v>4.4178803498367225E-2</v>
      </c>
      <c r="P674" s="12">
        <f t="shared" si="61"/>
        <v>-6070.5095787597675</v>
      </c>
    </row>
    <row r="675" spans="1:16">
      <c r="A675" s="149">
        <v>0.64693136387218853</v>
      </c>
      <c r="B675" s="150">
        <f t="shared" si="62"/>
        <v>40.225673709260064</v>
      </c>
      <c r="C675" s="24">
        <f t="shared" si="60"/>
        <v>-5850.3717072712852</v>
      </c>
      <c r="H675" s="66"/>
      <c r="I675" s="66"/>
      <c r="J675" s="66"/>
      <c r="K675" s="66"/>
      <c r="L675" s="66"/>
      <c r="N675" s="5">
        <v>8.6459454857627863E-2</v>
      </c>
      <c r="O675" s="19">
        <f t="shared" si="63"/>
        <v>9.0307160162546474E-2</v>
      </c>
      <c r="P675" s="12">
        <f t="shared" si="61"/>
        <v>-4622.2925798259348</v>
      </c>
    </row>
    <row r="676" spans="1:16">
      <c r="A676" s="149">
        <v>0.23957029938657795</v>
      </c>
      <c r="B676" s="150">
        <f t="shared" si="62"/>
        <v>29.09392551181465</v>
      </c>
      <c r="C676" s="24">
        <f t="shared" si="60"/>
        <v>-5850.3717072712852</v>
      </c>
      <c r="H676" s="66"/>
      <c r="I676" s="66"/>
      <c r="J676" s="66"/>
      <c r="K676" s="66"/>
      <c r="L676" s="66"/>
      <c r="N676" s="5">
        <v>3.4052263069621405E-2</v>
      </c>
      <c r="O676" s="19">
        <f t="shared" si="63"/>
        <v>3.4638678708420079E-2</v>
      </c>
      <c r="P676" s="12">
        <f t="shared" si="61"/>
        <v>-6460.2533351590482</v>
      </c>
    </row>
    <row r="677" spans="1:16">
      <c r="A677" s="149">
        <v>0.76842555009613334</v>
      </c>
      <c r="B677" s="150">
        <f t="shared" si="62"/>
        <v>43.091878780348893</v>
      </c>
      <c r="C677" s="24">
        <f t="shared" si="60"/>
        <v>-5850.3717072712852</v>
      </c>
      <c r="H677" s="66"/>
      <c r="I677" s="66"/>
      <c r="J677" s="66"/>
      <c r="K677" s="66"/>
      <c r="L677" s="66"/>
      <c r="N677" s="5">
        <v>6.2736494280339686E-2</v>
      </c>
      <c r="O677" s="19">
        <f t="shared" si="63"/>
        <v>6.4746235539538732E-2</v>
      </c>
      <c r="P677" s="12">
        <f t="shared" si="61"/>
        <v>-5345.845486256173</v>
      </c>
    </row>
    <row r="678" spans="1:16">
      <c r="A678" s="149">
        <v>0.44853053376873075</v>
      </c>
      <c r="B678" s="150">
        <f t="shared" si="62"/>
        <v>35.533644193205994</v>
      </c>
      <c r="C678" s="24">
        <f t="shared" si="60"/>
        <v>-5850.3717072712852</v>
      </c>
      <c r="H678" s="66"/>
      <c r="I678" s="66"/>
      <c r="J678" s="66"/>
      <c r="K678" s="66"/>
      <c r="L678" s="66"/>
      <c r="N678" s="5">
        <v>8.6580994727351937E-2</v>
      </c>
      <c r="O678" s="19">
        <f t="shared" si="63"/>
        <v>9.0439684006054177E-2</v>
      </c>
      <c r="P678" s="12">
        <f t="shared" si="61"/>
        <v>-4618.9671020711276</v>
      </c>
    </row>
    <row r="679" spans="1:16">
      <c r="A679" s="149">
        <v>0.54728843043305764</v>
      </c>
      <c r="B679" s="150">
        <f t="shared" si="62"/>
        <v>37.932555040178983</v>
      </c>
      <c r="C679" s="24">
        <f t="shared" si="60"/>
        <v>-5850.3717072712852</v>
      </c>
      <c r="H679" s="66"/>
      <c r="I679" s="66"/>
      <c r="J679" s="66"/>
      <c r="K679" s="66"/>
      <c r="L679" s="66"/>
      <c r="N679" s="5">
        <v>4.1976848885620713E-2</v>
      </c>
      <c r="O679" s="19">
        <f t="shared" si="63"/>
        <v>4.2870334860880099E-2</v>
      </c>
      <c r="P679" s="12">
        <f t="shared" si="61"/>
        <v>-6121.7736759795007</v>
      </c>
    </row>
    <row r="680" spans="1:16">
      <c r="A680" s="149">
        <v>0.51676992095706042</v>
      </c>
      <c r="B680" s="150">
        <f t="shared" si="62"/>
        <v>37.21193611286683</v>
      </c>
      <c r="C680" s="24">
        <f t="shared" si="60"/>
        <v>-5850.3717072712852</v>
      </c>
      <c r="H680" s="66"/>
      <c r="I680" s="66"/>
      <c r="J680" s="66"/>
      <c r="K680" s="66"/>
      <c r="L680" s="66"/>
      <c r="N680" s="5">
        <v>6.7919638192630374E-2</v>
      </c>
      <c r="O680" s="19">
        <f t="shared" si="63"/>
        <v>7.0279295444167111E-2</v>
      </c>
      <c r="P680" s="12">
        <f t="shared" si="61"/>
        <v>-5174.2556218541531</v>
      </c>
    </row>
    <row r="681" spans="1:16">
      <c r="A681" s="149">
        <v>0.26184881130405591</v>
      </c>
      <c r="B681" s="150">
        <f t="shared" si="62"/>
        <v>29.941977355626207</v>
      </c>
      <c r="C681" s="24">
        <f t="shared" si="60"/>
        <v>-5850.3717072712852</v>
      </c>
      <c r="H681" s="66"/>
      <c r="I681" s="66"/>
      <c r="J681" s="66"/>
      <c r="K681" s="66"/>
      <c r="L681" s="66"/>
      <c r="N681" s="5">
        <v>5.541990919676755E-2</v>
      </c>
      <c r="O681" s="19">
        <f t="shared" si="63"/>
        <v>5.6984358955986858E-2</v>
      </c>
      <c r="P681" s="12">
        <f t="shared" si="61"/>
        <v>-5602.3934983797017</v>
      </c>
    </row>
    <row r="682" spans="1:16">
      <c r="A682" s="149">
        <v>0.21387371440778832</v>
      </c>
      <c r="B682" s="150">
        <f t="shared" si="62"/>
        <v>28.033593696438341</v>
      </c>
      <c r="C682" s="24">
        <f t="shared" si="60"/>
        <v>-5850.3717072712852</v>
      </c>
      <c r="H682" s="66"/>
      <c r="I682" s="66"/>
      <c r="J682" s="66"/>
      <c r="K682" s="66"/>
      <c r="L682" s="66"/>
      <c r="N682" s="5">
        <v>7.2399187908682508E-2</v>
      </c>
      <c r="O682" s="19">
        <f t="shared" si="63"/>
        <v>7.5084419118254031E-2</v>
      </c>
      <c r="P682" s="12">
        <f t="shared" si="61"/>
        <v>-5032.3424856365791</v>
      </c>
    </row>
    <row r="683" spans="1:16">
      <c r="A683" s="149">
        <v>0.85219885860774558</v>
      </c>
      <c r="B683" s="150">
        <f t="shared" si="62"/>
        <v>45.35224896783982</v>
      </c>
      <c r="C683" s="24">
        <f t="shared" si="60"/>
        <v>-5850.3717072712852</v>
      </c>
      <c r="H683" s="66"/>
      <c r="I683" s="66"/>
      <c r="J683" s="66"/>
      <c r="K683" s="66"/>
      <c r="L683" s="66"/>
      <c r="N683" s="5">
        <v>4.056505754045793E-2</v>
      </c>
      <c r="O683" s="19">
        <f t="shared" si="63"/>
        <v>4.1399058360085172E-2</v>
      </c>
      <c r="P683" s="12">
        <f t="shared" si="61"/>
        <v>-6180.2253545296016</v>
      </c>
    </row>
    <row r="684" spans="1:16">
      <c r="A684" s="149">
        <v>0.7856990264595477</v>
      </c>
      <c r="B684" s="150">
        <f t="shared" si="62"/>
        <v>43.527607292811865</v>
      </c>
      <c r="C684" s="24">
        <f t="shared" si="60"/>
        <v>-5850.3717072712852</v>
      </c>
      <c r="H684" s="66"/>
      <c r="I684" s="66"/>
      <c r="J684" s="66"/>
      <c r="K684" s="66"/>
      <c r="L684" s="66"/>
      <c r="N684" s="5">
        <v>6.4692201201192803E-2</v>
      </c>
      <c r="O684" s="19">
        <f t="shared" si="63"/>
        <v>6.6830604664541493E-2</v>
      </c>
      <c r="P684" s="12">
        <f t="shared" si="61"/>
        <v>-5280.1445152242541</v>
      </c>
    </row>
    <row r="685" spans="1:16">
      <c r="A685" s="149">
        <v>0.94531083101901303</v>
      </c>
      <c r="B685" s="150">
        <f t="shared" si="62"/>
        <v>48.893320616714298</v>
      </c>
      <c r="C685" s="24">
        <f t="shared" si="60"/>
        <v>-5850.3717072712852</v>
      </c>
      <c r="H685" s="66"/>
      <c r="I685" s="66"/>
      <c r="J685" s="66"/>
      <c r="K685" s="66"/>
      <c r="L685" s="66"/>
      <c r="N685" s="5">
        <v>4.1137029208708556E-2</v>
      </c>
      <c r="O685" s="19">
        <f t="shared" si="63"/>
        <v>4.1994879496971116E-2</v>
      </c>
      <c r="P685" s="12">
        <f t="shared" si="61"/>
        <v>-6156.4501472630263</v>
      </c>
    </row>
    <row r="686" spans="1:16">
      <c r="A686" s="149">
        <v>0.56990264595477158</v>
      </c>
      <c r="B686" s="150">
        <f t="shared" si="62"/>
        <v>38.458599982587671</v>
      </c>
      <c r="C686" s="24">
        <f t="shared" si="60"/>
        <v>-5850.3717072712852</v>
      </c>
      <c r="H686" s="66"/>
      <c r="I686" s="66"/>
      <c r="J686" s="66"/>
      <c r="K686" s="66"/>
      <c r="L686" s="66"/>
      <c r="N686" s="5">
        <v>5.6885977025682224E-2</v>
      </c>
      <c r="O686" s="19">
        <f t="shared" si="63"/>
        <v>5.853510619287694E-2</v>
      </c>
      <c r="P686" s="12">
        <f t="shared" si="61"/>
        <v>-5549.5898927558273</v>
      </c>
    </row>
    <row r="687" spans="1:16">
      <c r="A687" s="149">
        <v>0.93429364909817803</v>
      </c>
      <c r="B687" s="150">
        <f t="shared" si="62"/>
        <v>48.341261111602158</v>
      </c>
      <c r="C687" s="24">
        <f t="shared" si="60"/>
        <v>-5850.3717072712852</v>
      </c>
      <c r="H687" s="66"/>
      <c r="I687" s="66"/>
      <c r="J687" s="66"/>
      <c r="K687" s="66"/>
      <c r="L687" s="66"/>
      <c r="N687" s="5">
        <v>5.3844795226847056E-2</v>
      </c>
      <c r="O687" s="19">
        <f t="shared" si="63"/>
        <v>5.532079861871031E-2</v>
      </c>
      <c r="P687" s="12">
        <f t="shared" si="61"/>
        <v>-5659.9302670187972</v>
      </c>
    </row>
    <row r="688" spans="1:16">
      <c r="A688" s="149">
        <v>0.98159733878597366</v>
      </c>
      <c r="B688" s="150">
        <f t="shared" si="62"/>
        <v>51.588444053443254</v>
      </c>
      <c r="C688" s="24">
        <f t="shared" si="60"/>
        <v>-5850.3717072712852</v>
      </c>
      <c r="H688" s="66"/>
      <c r="I688" s="66"/>
      <c r="J688" s="66"/>
      <c r="K688" s="66"/>
      <c r="L688" s="66"/>
      <c r="N688" s="5">
        <v>5.3145968374461519E-2</v>
      </c>
      <c r="O688" s="19">
        <f t="shared" si="63"/>
        <v>5.4583569734427684E-2</v>
      </c>
      <c r="P688" s="12">
        <f t="shared" si="61"/>
        <v>-5685.7283233215903</v>
      </c>
    </row>
    <row r="689" spans="1:16">
      <c r="A689" s="149">
        <v>0.35337382122257149</v>
      </c>
      <c r="B689" s="150">
        <f t="shared" si="62"/>
        <v>32.938262738702157</v>
      </c>
      <c r="C689" s="24">
        <f t="shared" si="60"/>
        <v>-5850.3717072712852</v>
      </c>
      <c r="H689" s="66"/>
      <c r="I689" s="66"/>
      <c r="J689" s="66"/>
      <c r="K689" s="66"/>
      <c r="L689" s="66"/>
      <c r="N689" s="5">
        <v>5.2686604655842531E-2</v>
      </c>
      <c r="O689" s="19">
        <f t="shared" si="63"/>
        <v>5.4099243553694221E-2</v>
      </c>
      <c r="P689" s="12">
        <f t="shared" si="61"/>
        <v>-5702.7778807239501</v>
      </c>
    </row>
    <row r="690" spans="1:16">
      <c r="A690" s="149">
        <v>0.39167455061494799</v>
      </c>
      <c r="B690" s="150">
        <f t="shared" si="62"/>
        <v>34.02948702798102</v>
      </c>
      <c r="C690" s="24">
        <f t="shared" si="60"/>
        <v>-5850.3717072712852</v>
      </c>
      <c r="H690" s="66"/>
      <c r="I690" s="66"/>
      <c r="J690" s="66"/>
      <c r="K690" s="66"/>
      <c r="L690" s="66"/>
      <c r="N690" s="5">
        <v>6.4496329125300692E-2</v>
      </c>
      <c r="O690" s="19">
        <f t="shared" si="63"/>
        <v>6.6621662802986537E-2</v>
      </c>
      <c r="P690" s="12">
        <f t="shared" si="61"/>
        <v>-5286.6718605792594</v>
      </c>
    </row>
    <row r="691" spans="1:16">
      <c r="A691" s="149">
        <v>0.23129978331858272</v>
      </c>
      <c r="B691" s="150">
        <f t="shared" si="62"/>
        <v>28.763113817127568</v>
      </c>
      <c r="C691" s="24">
        <f t="shared" si="60"/>
        <v>-5850.3717072712852</v>
      </c>
      <c r="H691" s="66"/>
      <c r="I691" s="66"/>
      <c r="J691" s="66"/>
      <c r="K691" s="66"/>
      <c r="L691" s="66"/>
      <c r="N691" s="5">
        <v>2.4107474198113779E-2</v>
      </c>
      <c r="O691" s="19">
        <f t="shared" si="63"/>
        <v>2.4400408587021305E-2</v>
      </c>
      <c r="P691" s="12">
        <f t="shared" si="61"/>
        <v>-6923.0033851139742</v>
      </c>
    </row>
    <row r="692" spans="1:16">
      <c r="A692" s="149">
        <v>0.10223700674459059</v>
      </c>
      <c r="B692" s="150">
        <f t="shared" si="62"/>
        <v>21.596081301789116</v>
      </c>
      <c r="C692" s="24">
        <f t="shared" si="60"/>
        <v>-5850.3717072712852</v>
      </c>
      <c r="H692" s="66"/>
      <c r="I692" s="66"/>
      <c r="J692" s="66"/>
      <c r="K692" s="66"/>
      <c r="L692" s="66"/>
      <c r="N692" s="5">
        <v>4.1086780308556628E-2</v>
      </c>
      <c r="O692" s="19">
        <f t="shared" si="63"/>
        <v>4.1942521715784054E-2</v>
      </c>
      <c r="P692" s="12">
        <f t="shared" si="61"/>
        <v>-6158.5336933753715</v>
      </c>
    </row>
    <row r="693" spans="1:16">
      <c r="A693" s="149">
        <v>5.948057496871853E-2</v>
      </c>
      <c r="B693" s="150">
        <f t="shared" si="62"/>
        <v>17.294355953144969</v>
      </c>
      <c r="C693" s="24">
        <f t="shared" si="60"/>
        <v>-5850.3717072712852</v>
      </c>
      <c r="H693" s="66"/>
      <c r="I693" s="66"/>
      <c r="J693" s="66"/>
      <c r="K693" s="66"/>
      <c r="L693" s="66"/>
      <c r="N693" s="5">
        <v>1.4003962379647433E-3</v>
      </c>
      <c r="O693" s="19">
        <f t="shared" si="63"/>
        <v>1.4013772506584754E-3</v>
      </c>
      <c r="P693" s="12">
        <f t="shared" si="61"/>
        <v>-8163.954028232276</v>
      </c>
    </row>
    <row r="694" spans="1:16">
      <c r="A694" s="149">
        <v>0.75829340495010222</v>
      </c>
      <c r="B694" s="150">
        <f t="shared" si="62"/>
        <v>42.841228672577977</v>
      </c>
      <c r="C694" s="24">
        <f t="shared" si="60"/>
        <v>-5850.3717072712852</v>
      </c>
      <c r="H694" s="66"/>
      <c r="I694" s="66"/>
      <c r="J694" s="66"/>
      <c r="K694" s="66"/>
      <c r="L694" s="66"/>
      <c r="N694" s="5">
        <v>5.6438833050502582E-2</v>
      </c>
      <c r="O694" s="19">
        <f t="shared" si="63"/>
        <v>5.8061894402411607E-2</v>
      </c>
      <c r="P694" s="12">
        <f t="shared" si="61"/>
        <v>-5565.6188357856045</v>
      </c>
    </row>
    <row r="695" spans="1:16">
      <c r="A695" s="149">
        <v>0.6080507827997681</v>
      </c>
      <c r="B695" s="150">
        <f t="shared" si="62"/>
        <v>39.336164484702877</v>
      </c>
      <c r="C695" s="24">
        <f t="shared" si="60"/>
        <v>-5850.3717072712852</v>
      </c>
      <c r="H695" s="66"/>
      <c r="I695" s="66"/>
      <c r="J695" s="66"/>
      <c r="K695" s="66"/>
      <c r="L695" s="66"/>
      <c r="N695" s="5">
        <v>2.9573699700573344E-2</v>
      </c>
      <c r="O695" s="19">
        <f t="shared" si="63"/>
        <v>3.001534449709653E-2</v>
      </c>
      <c r="P695" s="12">
        <f t="shared" si="61"/>
        <v>-6663.1774021496485</v>
      </c>
    </row>
    <row r="696" spans="1:16">
      <c r="A696" s="149">
        <v>0.74733726004821921</v>
      </c>
      <c r="B696" s="150">
        <f t="shared" si="62"/>
        <v>42.573714300725094</v>
      </c>
      <c r="C696" s="24">
        <f t="shared" si="60"/>
        <v>-5850.3717072712852</v>
      </c>
      <c r="H696" s="66"/>
      <c r="I696" s="66"/>
      <c r="J696" s="66"/>
      <c r="K696" s="66"/>
      <c r="L696" s="66"/>
      <c r="N696" s="5">
        <v>6.0137798706942705E-2</v>
      </c>
      <c r="O696" s="19">
        <f t="shared" si="63"/>
        <v>6.1982876330254122E-2</v>
      </c>
      <c r="P696" s="12">
        <f t="shared" si="61"/>
        <v>-5434.991323196652</v>
      </c>
    </row>
    <row r="697" spans="1:16">
      <c r="A697" s="149">
        <v>0.18329416791283915</v>
      </c>
      <c r="B697" s="150">
        <f t="shared" si="62"/>
        <v>26.626297174373288</v>
      </c>
      <c r="C697" s="24">
        <f t="shared" si="60"/>
        <v>-5850.3717072712852</v>
      </c>
      <c r="H697" s="66"/>
      <c r="I697" s="66"/>
      <c r="J697" s="66"/>
      <c r="K697" s="66"/>
      <c r="L697" s="66"/>
      <c r="N697" s="5">
        <v>6.9689089920881089E-2</v>
      </c>
      <c r="O697" s="19">
        <f t="shared" si="63"/>
        <v>7.2174779482398366E-2</v>
      </c>
      <c r="P697" s="12">
        <f t="shared" si="61"/>
        <v>-5117.5090523648787</v>
      </c>
    </row>
    <row r="698" spans="1:16">
      <c r="A698" s="149">
        <v>5.5543687246314893E-2</v>
      </c>
      <c r="B698" s="150">
        <f t="shared" si="62"/>
        <v>16.775947505601764</v>
      </c>
      <c r="C698" s="24">
        <f t="shared" si="60"/>
        <v>-5850.3717072712852</v>
      </c>
      <c r="H698" s="66"/>
      <c r="I698" s="66"/>
      <c r="J698" s="66"/>
      <c r="K698" s="66"/>
      <c r="L698" s="66"/>
      <c r="N698" s="5">
        <v>5.876600921250065E-2</v>
      </c>
      <c r="O698" s="19">
        <f t="shared" si="63"/>
        <v>6.0527058143571288E-2</v>
      </c>
      <c r="P698" s="12">
        <f t="shared" si="61"/>
        <v>-5482.9159892982334</v>
      </c>
    </row>
    <row r="699" spans="1:16">
      <c r="A699" s="149">
        <v>0.17319254127628406</v>
      </c>
      <c r="B699" s="150">
        <f t="shared" si="62"/>
        <v>26.118335550423399</v>
      </c>
      <c r="C699" s="24">
        <f t="shared" si="60"/>
        <v>-5850.3717072712852</v>
      </c>
      <c r="H699" s="66"/>
      <c r="I699" s="66"/>
      <c r="J699" s="66"/>
      <c r="K699" s="66"/>
      <c r="L699" s="66"/>
      <c r="N699" s="5">
        <v>4.4262845060198744E-2</v>
      </c>
      <c r="O699" s="19">
        <f t="shared" si="63"/>
        <v>4.5257059439206548E-2</v>
      </c>
      <c r="P699" s="12">
        <f t="shared" si="61"/>
        <v>-6028.7660373452645</v>
      </c>
    </row>
    <row r="700" spans="1:16">
      <c r="A700" s="149">
        <v>0.29215369121372115</v>
      </c>
      <c r="B700" s="150">
        <f t="shared" si="62"/>
        <v>31.009770724849208</v>
      </c>
      <c r="C700" s="24">
        <f t="shared" si="60"/>
        <v>-5850.3717072712852</v>
      </c>
      <c r="H700" s="66"/>
      <c r="I700" s="66"/>
      <c r="J700" s="66"/>
      <c r="K700" s="66"/>
      <c r="L700" s="66"/>
      <c r="N700" s="5">
        <v>5.4344818360856154E-2</v>
      </c>
      <c r="O700" s="19">
        <f t="shared" si="63"/>
        <v>5.5848615381119293E-2</v>
      </c>
      <c r="P700" s="12">
        <f t="shared" si="61"/>
        <v>-5641.5738669520078</v>
      </c>
    </row>
    <row r="701" spans="1:16">
      <c r="A701" s="149">
        <v>0.99374370555742053</v>
      </c>
      <c r="B701" s="150">
        <f t="shared" si="62"/>
        <v>53.613907885788791</v>
      </c>
      <c r="C701" s="24">
        <f t="shared" si="60"/>
        <v>-5850.3717072712852</v>
      </c>
      <c r="H701" s="66"/>
      <c r="I701" s="66"/>
      <c r="J701" s="66"/>
      <c r="K701" s="66"/>
      <c r="L701" s="66"/>
      <c r="N701" s="5">
        <v>7.5482234658134986E-2</v>
      </c>
      <c r="O701" s="19">
        <f t="shared" si="63"/>
        <v>7.8404069330914039E-2</v>
      </c>
      <c r="P701" s="12">
        <f t="shared" si="61"/>
        <v>-4937.9578318696931</v>
      </c>
    </row>
    <row r="702" spans="1:16">
      <c r="A702" s="149">
        <v>0.79149754325998722</v>
      </c>
      <c r="B702" s="150">
        <f t="shared" si="62"/>
        <v>43.676586430616005</v>
      </c>
      <c r="C702" s="24">
        <f t="shared" si="60"/>
        <v>-5850.3717072712852</v>
      </c>
      <c r="H702" s="66"/>
      <c r="I702" s="66"/>
      <c r="J702" s="66"/>
      <c r="K702" s="66"/>
      <c r="L702" s="66"/>
      <c r="N702" s="5">
        <v>6.7161411331777346E-2</v>
      </c>
      <c r="O702" s="19">
        <f t="shared" si="63"/>
        <v>6.9468088512053328E-2</v>
      </c>
      <c r="P702" s="12">
        <f t="shared" si="61"/>
        <v>-5198.8529614740064</v>
      </c>
    </row>
    <row r="703" spans="1:16">
      <c r="A703" s="149">
        <v>0.95800653096102784</v>
      </c>
      <c r="B703" s="150">
        <f t="shared" si="62"/>
        <v>49.629728547899738</v>
      </c>
      <c r="C703" s="24">
        <f t="shared" si="60"/>
        <v>-5850.3717072712852</v>
      </c>
      <c r="H703" s="66"/>
      <c r="I703" s="66"/>
      <c r="J703" s="66"/>
      <c r="K703" s="66"/>
      <c r="L703" s="66"/>
      <c r="N703" s="5">
        <v>3.1302382419322386E-2</v>
      </c>
      <c r="O703" s="19">
        <f t="shared" si="63"/>
        <v>3.1797454130441771E-2</v>
      </c>
      <c r="P703" s="12">
        <f t="shared" si="61"/>
        <v>-6583.81593459141</v>
      </c>
    </row>
    <row r="704" spans="1:16">
      <c r="A704" s="149">
        <v>0.47779778435621206</v>
      </c>
      <c r="B704" s="150">
        <f t="shared" si="62"/>
        <v>36.267095257579051</v>
      </c>
      <c r="C704" s="24">
        <f t="shared" si="60"/>
        <v>-5850.3717072712852</v>
      </c>
      <c r="H704" s="66"/>
      <c r="I704" s="66"/>
      <c r="J704" s="66"/>
      <c r="K704" s="66"/>
      <c r="L704" s="66"/>
      <c r="N704" s="5">
        <v>5.6717722665904149E-2</v>
      </c>
      <c r="O704" s="19">
        <f t="shared" si="63"/>
        <v>5.8357018028756924E-2</v>
      </c>
      <c r="P704" s="12">
        <f t="shared" si="61"/>
        <v>-5555.6135894165636</v>
      </c>
    </row>
    <row r="705" spans="1:16">
      <c r="A705" s="149">
        <v>0.26422925504318368</v>
      </c>
      <c r="B705" s="150">
        <f t="shared" si="62"/>
        <v>30.029199356410988</v>
      </c>
      <c r="C705" s="24">
        <f t="shared" si="60"/>
        <v>-5850.3717072712852</v>
      </c>
      <c r="H705" s="66"/>
      <c r="I705" s="66"/>
      <c r="J705" s="66"/>
      <c r="K705" s="66"/>
      <c r="L705" s="66"/>
      <c r="N705" s="5">
        <v>5.4835909574772815E-2</v>
      </c>
      <c r="O705" s="19">
        <f t="shared" si="63"/>
        <v>5.6367260700015187E-2</v>
      </c>
      <c r="P705" s="12">
        <f t="shared" si="61"/>
        <v>-5623.6281472083556</v>
      </c>
    </row>
    <row r="706" spans="1:16">
      <c r="A706" s="149">
        <v>0.15598010193182166</v>
      </c>
      <c r="B706" s="150">
        <f t="shared" si="62"/>
        <v>25.19222858836757</v>
      </c>
      <c r="C706" s="24">
        <f t="shared" si="60"/>
        <v>-5850.3717072712852</v>
      </c>
      <c r="H706" s="66"/>
      <c r="I706" s="66"/>
      <c r="J706" s="66"/>
      <c r="K706" s="66"/>
      <c r="L706" s="66"/>
      <c r="N706" s="5">
        <v>3.8916296327566671E-2</v>
      </c>
      <c r="O706" s="19">
        <f t="shared" si="63"/>
        <v>3.968345468456147E-2</v>
      </c>
      <c r="P706" s="12">
        <f t="shared" si="61"/>
        <v>-6249.4853039734053</v>
      </c>
    </row>
    <row r="707" spans="1:16">
      <c r="A707" s="149">
        <v>0.3617969298379467</v>
      </c>
      <c r="B707" s="150">
        <f t="shared" si="62"/>
        <v>33.184708970758869</v>
      </c>
      <c r="C707" s="24">
        <f t="shared" si="60"/>
        <v>-5850.3717072712852</v>
      </c>
      <c r="H707" s="66"/>
      <c r="I707" s="66"/>
      <c r="J707" s="66"/>
      <c r="K707" s="66"/>
      <c r="L707" s="66"/>
      <c r="N707" s="5">
        <v>3.5098010082161638E-2</v>
      </c>
      <c r="O707" s="19">
        <f t="shared" si="63"/>
        <v>3.5721214946602631E-2</v>
      </c>
      <c r="P707" s="12">
        <f t="shared" si="61"/>
        <v>-6414.1106392428283</v>
      </c>
    </row>
    <row r="708" spans="1:16">
      <c r="A708" s="149">
        <v>0.69820245979186379</v>
      </c>
      <c r="B708" s="150">
        <f t="shared" si="62"/>
        <v>41.407796744518159</v>
      </c>
      <c r="C708" s="24">
        <f t="shared" si="60"/>
        <v>-5850.3717072712852</v>
      </c>
      <c r="H708" s="66"/>
      <c r="I708" s="66"/>
      <c r="J708" s="66"/>
      <c r="K708" s="66"/>
      <c r="L708" s="66"/>
      <c r="N708" s="5">
        <v>1.3314152917824687E-2</v>
      </c>
      <c r="O708" s="19">
        <f t="shared" si="63"/>
        <v>1.3403180923843738E-2</v>
      </c>
      <c r="P708" s="12">
        <f t="shared" si="61"/>
        <v>-7478.3963437810426</v>
      </c>
    </row>
    <row r="709" spans="1:16">
      <c r="A709" s="149">
        <v>0.53602710043641466</v>
      </c>
      <c r="B709" s="150">
        <f t="shared" si="62"/>
        <v>37.668271412624648</v>
      </c>
      <c r="C709" s="24">
        <f t="shared" si="60"/>
        <v>-5850.3717072712852</v>
      </c>
      <c r="H709" s="66"/>
      <c r="I709" s="66"/>
      <c r="J709" s="66"/>
      <c r="K709" s="66"/>
      <c r="L709" s="66"/>
      <c r="N709" s="5">
        <v>-1.5130536238430053E-3</v>
      </c>
      <c r="O709" s="19">
        <f t="shared" si="63"/>
        <v>-1.5119095353038903E-3</v>
      </c>
      <c r="P709" s="12">
        <f t="shared" si="61"/>
        <v>-8344.3324917901937</v>
      </c>
    </row>
    <row r="710" spans="1:16">
      <c r="A710" s="149">
        <v>0.85604419080172123</v>
      </c>
      <c r="B710" s="150">
        <f t="shared" si="62"/>
        <v>45.467960238895479</v>
      </c>
      <c r="C710" s="24">
        <f t="shared" si="60"/>
        <v>-5850.3717072712852</v>
      </c>
      <c r="H710" s="66"/>
      <c r="I710" s="66"/>
      <c r="J710" s="66"/>
      <c r="K710" s="66"/>
      <c r="L710" s="66"/>
      <c r="N710" s="5">
        <v>4.0864167269442989E-2</v>
      </c>
      <c r="O710" s="19">
        <f t="shared" si="63"/>
        <v>4.1710597540073779E-2</v>
      </c>
      <c r="P710" s="12">
        <f t="shared" si="61"/>
        <v>-6167.7761661908189</v>
      </c>
    </row>
    <row r="711" spans="1:16">
      <c r="A711" s="149">
        <v>0.772118289742729</v>
      </c>
      <c r="B711" s="150">
        <f t="shared" si="62"/>
        <v>43.184088725536796</v>
      </c>
      <c r="C711" s="24">
        <f t="shared" si="60"/>
        <v>-5850.3717072712852</v>
      </c>
      <c r="H711" s="66"/>
      <c r="I711" s="66"/>
      <c r="J711" s="66"/>
      <c r="K711" s="66"/>
      <c r="L711" s="66"/>
      <c r="N711" s="5">
        <v>9.0071238398319112E-2</v>
      </c>
      <c r="O711" s="19">
        <f t="shared" si="63"/>
        <v>9.4252233705147015E-2</v>
      </c>
      <c r="P711" s="12">
        <f t="shared" si="61"/>
        <v>-4524.975368054199</v>
      </c>
    </row>
    <row r="712" spans="1:16">
      <c r="A712" s="149">
        <v>0.76604510635700551</v>
      </c>
      <c r="B712" s="150">
        <f t="shared" si="62"/>
        <v>43.032688286998265</v>
      </c>
      <c r="C712" s="24">
        <f t="shared" si="60"/>
        <v>-5850.3717072712852</v>
      </c>
      <c r="H712" s="66"/>
      <c r="I712" s="66"/>
      <c r="J712" s="66"/>
      <c r="K712" s="66"/>
      <c r="L712" s="66"/>
      <c r="N712" s="5">
        <v>1.0724906561663389E-3</v>
      </c>
      <c r="O712" s="19">
        <f t="shared" si="63"/>
        <v>1.0730659799282893E-3</v>
      </c>
      <c r="P712" s="12">
        <f t="shared" si="61"/>
        <v>-8183.9940683799496</v>
      </c>
    </row>
    <row r="713" spans="1:16">
      <c r="A713" s="149">
        <v>0.94582964568010497</v>
      </c>
      <c r="B713" s="150">
        <f t="shared" si="62"/>
        <v>48.921035050740748</v>
      </c>
      <c r="C713" s="24">
        <f t="shared" si="60"/>
        <v>-5850.3717072712852</v>
      </c>
      <c r="H713" s="66"/>
      <c r="I713" s="66"/>
      <c r="J713" s="66"/>
      <c r="K713" s="66"/>
      <c r="L713" s="66"/>
      <c r="N713" s="5">
        <v>5.3245534624817084E-2</v>
      </c>
      <c r="O713" s="19">
        <f t="shared" si="63"/>
        <v>5.4688575893600655E-2</v>
      </c>
      <c r="P713" s="12">
        <f t="shared" si="61"/>
        <v>-5682.0424625071246</v>
      </c>
    </row>
    <row r="714" spans="1:16">
      <c r="A714" s="149">
        <v>0.25724051637318035</v>
      </c>
      <c r="B714" s="150">
        <f t="shared" si="62"/>
        <v>29.771351668436161</v>
      </c>
      <c r="C714" s="24">
        <f t="shared" si="60"/>
        <v>-5850.3717072712852</v>
      </c>
      <c r="H714" s="66"/>
      <c r="I714" s="66"/>
      <c r="J714" s="66"/>
      <c r="K714" s="66"/>
      <c r="L714" s="66"/>
      <c r="N714" s="5">
        <v>5.3166626864491265E-2</v>
      </c>
      <c r="O714" s="19">
        <f t="shared" si="63"/>
        <v>5.4605356063624155E-2</v>
      </c>
      <c r="P714" s="12">
        <f t="shared" si="61"/>
        <v>-5684.9632822767016</v>
      </c>
    </row>
    <row r="715" spans="1:16">
      <c r="A715" s="149">
        <v>0.26429029206213567</v>
      </c>
      <c r="B715" s="150">
        <f t="shared" si="62"/>
        <v>30.03142776665489</v>
      </c>
      <c r="C715" s="24">
        <f t="shared" si="60"/>
        <v>-5850.3717072712852</v>
      </c>
      <c r="H715" s="66"/>
      <c r="I715" s="66"/>
      <c r="J715" s="66"/>
      <c r="K715" s="66"/>
      <c r="L715" s="66"/>
      <c r="N715" s="5">
        <v>3.8477728091616883E-2</v>
      </c>
      <c r="O715" s="19">
        <f t="shared" si="63"/>
        <v>3.9227582518726933E-2</v>
      </c>
      <c r="P715" s="12">
        <f t="shared" si="61"/>
        <v>-6268.091560540287</v>
      </c>
    </row>
    <row r="716" spans="1:16">
      <c r="A716" s="149">
        <v>0.43818475905636767</v>
      </c>
      <c r="B716" s="150">
        <f t="shared" si="62"/>
        <v>35.268439223700021</v>
      </c>
      <c r="C716" s="24">
        <f t="shared" si="60"/>
        <v>-5850.3717072712852</v>
      </c>
      <c r="H716" s="66"/>
      <c r="I716" s="66"/>
      <c r="J716" s="66"/>
      <c r="K716" s="66"/>
      <c r="L716" s="66"/>
      <c r="N716" s="5">
        <v>1.3093211188912393E-2</v>
      </c>
      <c r="O716" s="19">
        <f t="shared" si="63"/>
        <v>1.3179302605907273E-2</v>
      </c>
      <c r="P716" s="12">
        <f t="shared" si="61"/>
        <v>-7490.3893350281214</v>
      </c>
    </row>
    <row r="717" spans="1:16">
      <c r="A717" s="149">
        <v>0.77440717795342873</v>
      </c>
      <c r="B717" s="150">
        <f t="shared" si="62"/>
        <v>43.241489005136415</v>
      </c>
      <c r="C717" s="24">
        <f t="shared" si="60"/>
        <v>-5850.3717072712852</v>
      </c>
      <c r="H717" s="66"/>
      <c r="I717" s="66"/>
      <c r="J717" s="66"/>
      <c r="K717" s="66"/>
      <c r="L717" s="66"/>
      <c r="N717" s="5">
        <v>4.5028496922110209E-2</v>
      </c>
      <c r="O717" s="19">
        <f t="shared" si="63"/>
        <v>4.6057668907896199E-2</v>
      </c>
      <c r="P717" s="12">
        <f t="shared" si="61"/>
        <v>-5998.0604288798386</v>
      </c>
    </row>
    <row r="718" spans="1:16">
      <c r="A718" s="149">
        <v>0.36368907742545853</v>
      </c>
      <c r="B718" s="150">
        <f t="shared" si="62"/>
        <v>33.239537765259783</v>
      </c>
      <c r="C718" s="24">
        <f t="shared" si="60"/>
        <v>-5850.3717072712852</v>
      </c>
      <c r="H718" s="66"/>
      <c r="I718" s="66"/>
      <c r="J718" s="66"/>
      <c r="K718" s="66"/>
      <c r="L718" s="66"/>
      <c r="N718" s="5">
        <v>3.258857891263324E-2</v>
      </c>
      <c r="O718" s="19">
        <f t="shared" si="63"/>
        <v>3.3125402215767874E-2</v>
      </c>
      <c r="P718" s="12">
        <f t="shared" si="61"/>
        <v>-6525.6169632087185</v>
      </c>
    </row>
    <row r="719" spans="1:16">
      <c r="A719" s="149">
        <v>0.78774376659443957</v>
      </c>
      <c r="B719" s="150">
        <f t="shared" si="62"/>
        <v>43.579974549847307</v>
      </c>
      <c r="C719" s="24">
        <f t="shared" si="60"/>
        <v>-5850.3717072712852</v>
      </c>
      <c r="H719" s="66"/>
      <c r="I719" s="66"/>
      <c r="J719" s="66"/>
      <c r="K719" s="66"/>
      <c r="L719" s="66"/>
      <c r="N719" s="5">
        <v>5.7156784075355974E-2</v>
      </c>
      <c r="O719" s="19">
        <f t="shared" si="63"/>
        <v>5.8821803780072734E-2</v>
      </c>
      <c r="P719" s="12">
        <f t="shared" si="61"/>
        <v>-5539.914362857935</v>
      </c>
    </row>
    <row r="720" spans="1:16">
      <c r="A720" s="149">
        <v>0.48216193121127965</v>
      </c>
      <c r="B720" s="150">
        <f t="shared" si="62"/>
        <v>36.374551028111085</v>
      </c>
      <c r="C720" s="24">
        <f t="shared" ref="C720:C783" si="64">IF($B720&lt;15,B$8*(B$10^$B720)-B$7*(1-B$10^$B720)/B$11, -B$7*(1-B$10^15)/B$11)</f>
        <v>-5850.3717072712852</v>
      </c>
      <c r="H720" s="66"/>
      <c r="I720" s="66"/>
      <c r="J720" s="66"/>
      <c r="K720" s="66"/>
      <c r="L720" s="66"/>
      <c r="N720" s="5">
        <v>6.1880509471971892E-2</v>
      </c>
      <c r="O720" s="19">
        <f t="shared" si="63"/>
        <v>6.3835218900977431E-2</v>
      </c>
      <c r="P720" s="12">
        <f t="shared" ref="P720:P783" si="65">IF($B720&lt;15,B$8*((1+O720)^-$B720)-B$7*(1-(1+O720)^-$B720)/LN(1+O720), -B$7*(1-(1+O720)^-15)/LN(1+O720))</f>
        <v>-5374.9745040801618</v>
      </c>
    </row>
    <row r="721" spans="1:16">
      <c r="A721" s="149">
        <v>0.37183751945554977</v>
      </c>
      <c r="B721" s="150">
        <f t="shared" ref="B721:B784" si="66">LN(1-LN(B$4)*(LN(1-A721)/(B$3*B$4^50)))/LN(B$4)</f>
        <v>33.473512715080368</v>
      </c>
      <c r="C721" s="24">
        <f t="shared" si="64"/>
        <v>-5850.3717072712852</v>
      </c>
      <c r="H721" s="66"/>
      <c r="I721" s="66"/>
      <c r="J721" s="66"/>
      <c r="K721" s="66"/>
      <c r="L721" s="66"/>
      <c r="N721" s="5">
        <v>3.1816926773113666E-2</v>
      </c>
      <c r="O721" s="19">
        <f t="shared" ref="O721:O784" si="67">EXP(N721)-1</f>
        <v>3.232849629537804E-2</v>
      </c>
      <c r="P721" s="12">
        <f t="shared" si="65"/>
        <v>-6560.4471967457112</v>
      </c>
    </row>
    <row r="722" spans="1:16">
      <c r="A722" s="149">
        <v>0.66646320993682673</v>
      </c>
      <c r="B722" s="150">
        <f t="shared" si="66"/>
        <v>40.673678361416833</v>
      </c>
      <c r="C722" s="24">
        <f t="shared" si="64"/>
        <v>-5850.3717072712852</v>
      </c>
      <c r="H722" s="66"/>
      <c r="I722" s="66"/>
      <c r="J722" s="66"/>
      <c r="K722" s="66"/>
      <c r="L722" s="66"/>
      <c r="N722" s="5">
        <v>5.6296908676027671E-2</v>
      </c>
      <c r="O722" s="19">
        <f t="shared" si="67"/>
        <v>5.7911740285409241E-2</v>
      </c>
      <c r="P722" s="12">
        <f t="shared" si="65"/>
        <v>-5570.7203403006652</v>
      </c>
    </row>
    <row r="723" spans="1:16">
      <c r="A723" s="149">
        <v>0.74459059419537954</v>
      </c>
      <c r="B723" s="150">
        <f t="shared" si="66"/>
        <v>42.507169324338392</v>
      </c>
      <c r="C723" s="24">
        <f t="shared" si="64"/>
        <v>-5850.3717072712852</v>
      </c>
      <c r="H723" s="66"/>
      <c r="I723" s="66"/>
      <c r="J723" s="66"/>
      <c r="K723" s="66"/>
      <c r="L723" s="66"/>
      <c r="N723" s="5">
        <v>4.0712817801373605E-2</v>
      </c>
      <c r="O723" s="19">
        <f t="shared" si="67"/>
        <v>4.1552947125707895E-2</v>
      </c>
      <c r="P723" s="12">
        <f t="shared" si="65"/>
        <v>-6174.0710451946516</v>
      </c>
    </row>
    <row r="724" spans="1:16">
      <c r="A724" s="149">
        <v>0.56505020294808805</v>
      </c>
      <c r="B724" s="150">
        <f t="shared" si="66"/>
        <v>38.346184681347573</v>
      </c>
      <c r="C724" s="24">
        <f t="shared" si="64"/>
        <v>-5850.3717072712852</v>
      </c>
      <c r="H724" s="66"/>
      <c r="I724" s="66"/>
      <c r="J724" s="66"/>
      <c r="K724" s="66"/>
      <c r="L724" s="66"/>
      <c r="N724" s="5">
        <v>4.3440149463218405E-2</v>
      </c>
      <c r="O724" s="19">
        <f t="shared" si="67"/>
        <v>4.4397484691355515E-2</v>
      </c>
      <c r="P724" s="12">
        <f t="shared" si="65"/>
        <v>-6062.0071911496088</v>
      </c>
    </row>
    <row r="725" spans="1:16">
      <c r="A725" s="149">
        <v>0.61632129886776332</v>
      </c>
      <c r="B725" s="150">
        <f t="shared" si="66"/>
        <v>39.525478720050693</v>
      </c>
      <c r="C725" s="24">
        <f t="shared" si="64"/>
        <v>-5850.3717072712852</v>
      </c>
      <c r="H725" s="66"/>
      <c r="I725" s="66"/>
      <c r="J725" s="66"/>
      <c r="K725" s="66"/>
      <c r="L725" s="66"/>
      <c r="N725" s="5">
        <v>7.4730059597059167E-3</v>
      </c>
      <c r="O725" s="19">
        <f t="shared" si="67"/>
        <v>7.5009985549072677E-3</v>
      </c>
      <c r="P725" s="12">
        <f t="shared" si="65"/>
        <v>-7804.41153622825</v>
      </c>
    </row>
    <row r="726" spans="1:16">
      <c r="A726" s="149">
        <v>0.39289529099398784</v>
      </c>
      <c r="B726" s="150">
        <f t="shared" si="66"/>
        <v>34.063108890048852</v>
      </c>
      <c r="C726" s="24">
        <f t="shared" si="64"/>
        <v>-5850.3717072712852</v>
      </c>
      <c r="H726" s="66"/>
      <c r="I726" s="66"/>
      <c r="J726" s="66"/>
      <c r="K726" s="66"/>
      <c r="L726" s="66"/>
      <c r="N726" s="5">
        <v>5.2553776592627402E-2</v>
      </c>
      <c r="O726" s="19">
        <f t="shared" si="67"/>
        <v>5.3959238891216454E-2</v>
      </c>
      <c r="P726" s="12">
        <f t="shared" si="65"/>
        <v>-5707.7214757955098</v>
      </c>
    </row>
    <row r="727" spans="1:16">
      <c r="A727" s="149">
        <v>0.3673207800531022</v>
      </c>
      <c r="B727" s="150">
        <f t="shared" si="66"/>
        <v>33.344243124340935</v>
      </c>
      <c r="C727" s="24">
        <f t="shared" si="64"/>
        <v>-5850.3717072712852</v>
      </c>
      <c r="H727" s="66"/>
      <c r="I727" s="66"/>
      <c r="J727" s="66"/>
      <c r="K727" s="66"/>
      <c r="L727" s="66"/>
      <c r="N727" s="5">
        <v>3.2020169053008432E-2</v>
      </c>
      <c r="O727" s="19">
        <f t="shared" si="67"/>
        <v>3.2538330415425643E-2</v>
      </c>
      <c r="P727" s="12">
        <f t="shared" si="65"/>
        <v>-6551.2483976906551</v>
      </c>
    </row>
    <row r="728" spans="1:16">
      <c r="A728" s="149">
        <v>0.74581133457441939</v>
      </c>
      <c r="B728" s="150">
        <f t="shared" si="66"/>
        <v>42.536720449704958</v>
      </c>
      <c r="C728" s="24">
        <f t="shared" si="64"/>
        <v>-5850.3717072712852</v>
      </c>
      <c r="H728" s="66"/>
      <c r="I728" s="66"/>
      <c r="J728" s="66"/>
      <c r="K728" s="66"/>
      <c r="L728" s="66"/>
      <c r="N728" s="5">
        <v>5.3134680180970464E-2</v>
      </c>
      <c r="O728" s="19">
        <f t="shared" si="67"/>
        <v>5.4571665458229113E-2</v>
      </c>
      <c r="P728" s="12">
        <f t="shared" si="65"/>
        <v>-5686.1464184840243</v>
      </c>
    </row>
    <row r="729" spans="1:16">
      <c r="A729" s="149">
        <v>0.5620593890194403</v>
      </c>
      <c r="B729" s="150">
        <f t="shared" si="66"/>
        <v>38.276780793145811</v>
      </c>
      <c r="C729" s="24">
        <f t="shared" si="64"/>
        <v>-5850.3717072712852</v>
      </c>
      <c r="H729" s="66"/>
      <c r="I729" s="66"/>
      <c r="J729" s="66"/>
      <c r="K729" s="66"/>
      <c r="L729" s="66"/>
      <c r="N729" s="5">
        <v>5.7150893391859428E-2</v>
      </c>
      <c r="O729" s="19">
        <f t="shared" si="67"/>
        <v>5.8815566614318193E-2</v>
      </c>
      <c r="P729" s="12">
        <f t="shared" si="65"/>
        <v>-5540.1245703954446</v>
      </c>
    </row>
    <row r="730" spans="1:16">
      <c r="A730" s="149">
        <v>0.18738364818262276</v>
      </c>
      <c r="B730" s="150">
        <f t="shared" si="66"/>
        <v>26.825292518549929</v>
      </c>
      <c r="C730" s="24">
        <f t="shared" si="64"/>
        <v>-5850.3717072712852</v>
      </c>
      <c r="H730" s="66"/>
      <c r="I730" s="66"/>
      <c r="J730" s="66"/>
      <c r="K730" s="66"/>
      <c r="L730" s="66"/>
      <c r="N730" s="5">
        <v>3.6481635740652565E-2</v>
      </c>
      <c r="O730" s="19">
        <f t="shared" si="67"/>
        <v>3.7155257254732676E-2</v>
      </c>
      <c r="P730" s="12">
        <f t="shared" si="65"/>
        <v>-6353.7629112165141</v>
      </c>
    </row>
    <row r="731" spans="1:16">
      <c r="A731" s="149">
        <v>0.80138554033021026</v>
      </c>
      <c r="B731" s="150">
        <f t="shared" si="66"/>
        <v>43.934209034736824</v>
      </c>
      <c r="C731" s="24">
        <f t="shared" si="64"/>
        <v>-5850.3717072712852</v>
      </c>
      <c r="H731" s="66"/>
      <c r="I731" s="66"/>
      <c r="J731" s="66"/>
      <c r="K731" s="66"/>
      <c r="L731" s="66"/>
      <c r="N731" s="5">
        <v>2.6001424837100787E-2</v>
      </c>
      <c r="O731" s="19">
        <f t="shared" si="67"/>
        <v>2.634241084314537E-2</v>
      </c>
      <c r="P731" s="12">
        <f t="shared" si="65"/>
        <v>-6831.4209238057256</v>
      </c>
    </row>
    <row r="732" spans="1:16">
      <c r="A732" s="149">
        <v>0.85219885860774558</v>
      </c>
      <c r="B732" s="150">
        <f t="shared" si="66"/>
        <v>45.35224896783982</v>
      </c>
      <c r="C732" s="24">
        <f t="shared" si="64"/>
        <v>-5850.3717072712852</v>
      </c>
      <c r="H732" s="66"/>
      <c r="I732" s="66"/>
      <c r="J732" s="66"/>
      <c r="K732" s="66"/>
      <c r="L732" s="66"/>
      <c r="N732" s="5">
        <v>1.6841494195556153E-2</v>
      </c>
      <c r="O732" s="19">
        <f t="shared" si="67"/>
        <v>1.6984111664439583E-2</v>
      </c>
      <c r="P732" s="12">
        <f t="shared" si="65"/>
        <v>-7290.4091405312074</v>
      </c>
    </row>
    <row r="733" spans="1:16">
      <c r="A733" s="149">
        <v>0.43321024201178016</v>
      </c>
      <c r="B733" s="150">
        <f t="shared" si="66"/>
        <v>35.139699289996457</v>
      </c>
      <c r="C733" s="24">
        <f t="shared" si="64"/>
        <v>-5850.3717072712852</v>
      </c>
      <c r="H733" s="66"/>
      <c r="I733" s="66"/>
      <c r="J733" s="66"/>
      <c r="K733" s="66"/>
      <c r="L733" s="66"/>
      <c r="N733" s="5">
        <v>7.6112510393737468E-2</v>
      </c>
      <c r="O733" s="19">
        <f t="shared" si="67"/>
        <v>7.9083975490658265E-2</v>
      </c>
      <c r="P733" s="12">
        <f t="shared" si="65"/>
        <v>-4918.9830313094408</v>
      </c>
    </row>
    <row r="734" spans="1:16">
      <c r="A734" s="149">
        <v>0.7550889614551225</v>
      </c>
      <c r="B734" s="150">
        <f t="shared" si="66"/>
        <v>42.762628134811905</v>
      </c>
      <c r="C734" s="24">
        <f t="shared" si="64"/>
        <v>-5850.3717072712852</v>
      </c>
      <c r="H734" s="66"/>
      <c r="I734" s="66"/>
      <c r="J734" s="66"/>
      <c r="K734" s="66"/>
      <c r="L734" s="66"/>
      <c r="N734" s="5">
        <v>2.3515501604502789E-2</v>
      </c>
      <c r="O734" s="19">
        <f t="shared" si="67"/>
        <v>2.3794171075953496E-2</v>
      </c>
      <c r="P734" s="12">
        <f t="shared" si="65"/>
        <v>-6951.9747100661343</v>
      </c>
    </row>
    <row r="735" spans="1:16">
      <c r="A735" s="149">
        <v>0.29917294839320047</v>
      </c>
      <c r="B735" s="150">
        <f t="shared" si="66"/>
        <v>31.245009363059214</v>
      </c>
      <c r="C735" s="24">
        <f t="shared" si="64"/>
        <v>-5850.3717072712852</v>
      </c>
      <c r="H735" s="66"/>
      <c r="I735" s="66"/>
      <c r="J735" s="66"/>
      <c r="K735" s="66"/>
      <c r="L735" s="66"/>
      <c r="N735" s="5">
        <v>3.5887115083947721E-2</v>
      </c>
      <c r="O735" s="19">
        <f t="shared" si="67"/>
        <v>3.6538830287523805E-2</v>
      </c>
      <c r="P735" s="12">
        <f t="shared" si="65"/>
        <v>-6379.5957726201468</v>
      </c>
    </row>
    <row r="736" spans="1:16">
      <c r="A736" s="149">
        <v>0.52397228919339578</v>
      </c>
      <c r="B736" s="150">
        <f t="shared" si="66"/>
        <v>37.383314393281594</v>
      </c>
      <c r="C736" s="24">
        <f t="shared" si="64"/>
        <v>-5850.3717072712852</v>
      </c>
      <c r="H736" s="66"/>
      <c r="I736" s="66"/>
      <c r="J736" s="66"/>
      <c r="K736" s="66"/>
      <c r="L736" s="66"/>
      <c r="N736" s="5">
        <v>8.7938098610844465E-2</v>
      </c>
      <c r="O736" s="19">
        <f t="shared" si="67"/>
        <v>9.1920528538589563E-2</v>
      </c>
      <c r="P736" s="12">
        <f t="shared" si="65"/>
        <v>-4582.0765350517631</v>
      </c>
    </row>
    <row r="737" spans="1:16">
      <c r="A737" s="149">
        <v>0.61946470534379106</v>
      </c>
      <c r="B737" s="150">
        <f t="shared" si="66"/>
        <v>39.597390848849727</v>
      </c>
      <c r="C737" s="24">
        <f t="shared" si="64"/>
        <v>-5850.3717072712852</v>
      </c>
      <c r="H737" s="66"/>
      <c r="I737" s="66"/>
      <c r="J737" s="66"/>
      <c r="K737" s="66"/>
      <c r="L737" s="66"/>
      <c r="N737" s="5">
        <v>1.7460152955332889E-2</v>
      </c>
      <c r="O737" s="19">
        <f t="shared" si="67"/>
        <v>1.7613472453383627E-2</v>
      </c>
      <c r="P737" s="12">
        <f t="shared" si="65"/>
        <v>-7258.1026747141541</v>
      </c>
    </row>
    <row r="738" spans="1:16">
      <c r="A738" s="149">
        <v>0.49949644459364606</v>
      </c>
      <c r="B738" s="150">
        <f t="shared" si="66"/>
        <v>36.797065450901499</v>
      </c>
      <c r="C738" s="24">
        <f t="shared" si="64"/>
        <v>-5850.3717072712852</v>
      </c>
      <c r="H738" s="66"/>
      <c r="I738" s="66"/>
      <c r="J738" s="66"/>
      <c r="K738" s="66"/>
      <c r="L738" s="66"/>
      <c r="N738" s="5">
        <v>5.934230984815804E-2</v>
      </c>
      <c r="O738" s="19">
        <f t="shared" si="67"/>
        <v>6.1138416707555487E-2</v>
      </c>
      <c r="P738" s="12">
        <f t="shared" si="65"/>
        <v>-5462.7085867119886</v>
      </c>
    </row>
    <row r="739" spans="1:16">
      <c r="A739" s="149">
        <v>0.43159276100955229</v>
      </c>
      <c r="B739" s="150">
        <f t="shared" si="66"/>
        <v>35.097661358308414</v>
      </c>
      <c r="C739" s="24">
        <f t="shared" si="64"/>
        <v>-5850.3717072712852</v>
      </c>
      <c r="H739" s="66"/>
      <c r="I739" s="66"/>
      <c r="J739" s="66"/>
      <c r="K739" s="66"/>
      <c r="L739" s="66"/>
      <c r="N739" s="5">
        <v>4.4940903828442971E-2</v>
      </c>
      <c r="O739" s="19">
        <f t="shared" si="67"/>
        <v>4.5966045493369911E-2</v>
      </c>
      <c r="P739" s="12">
        <f t="shared" si="65"/>
        <v>-6001.5620464438307</v>
      </c>
    </row>
    <row r="740" spans="1:16">
      <c r="A740" s="149">
        <v>0.20331431012909329</v>
      </c>
      <c r="B740" s="150">
        <f t="shared" si="66"/>
        <v>27.567606679527302</v>
      </c>
      <c r="C740" s="24">
        <f t="shared" si="64"/>
        <v>-5850.3717072712852</v>
      </c>
      <c r="H740" s="66"/>
      <c r="I740" s="66"/>
      <c r="J740" s="66"/>
      <c r="K740" s="66"/>
      <c r="L740" s="66"/>
      <c r="N740" s="5">
        <v>4.6740548734429468E-2</v>
      </c>
      <c r="O740" s="19">
        <f t="shared" si="67"/>
        <v>4.7850107772022143E-2</v>
      </c>
      <c r="P740" s="12">
        <f t="shared" si="65"/>
        <v>-5930.1956211606503</v>
      </c>
    </row>
    <row r="741" spans="1:16">
      <c r="A741" s="149">
        <v>0.83007293923764758</v>
      </c>
      <c r="B741" s="150">
        <f t="shared" si="66"/>
        <v>44.712194221784685</v>
      </c>
      <c r="C741" s="24">
        <f t="shared" si="64"/>
        <v>-5850.3717072712852</v>
      </c>
      <c r="H741" s="66"/>
      <c r="I741" s="66"/>
      <c r="J741" s="66"/>
      <c r="K741" s="66"/>
      <c r="L741" s="66"/>
      <c r="N741" s="5">
        <v>4.6059503526645132E-2</v>
      </c>
      <c r="O741" s="19">
        <f t="shared" si="67"/>
        <v>4.7136717430757979E-2</v>
      </c>
      <c r="P741" s="12">
        <f t="shared" si="65"/>
        <v>-5957.0611252690933</v>
      </c>
    </row>
    <row r="742" spans="1:16">
      <c r="A742" s="149">
        <v>0.68608661152989292</v>
      </c>
      <c r="B742" s="150">
        <f t="shared" si="66"/>
        <v>41.12636012402713</v>
      </c>
      <c r="C742" s="24">
        <f t="shared" si="64"/>
        <v>-5850.3717072712852</v>
      </c>
      <c r="H742" s="66"/>
      <c r="I742" s="66"/>
      <c r="J742" s="66"/>
      <c r="K742" s="66"/>
      <c r="L742" s="66"/>
      <c r="N742" s="5">
        <v>5.0540532763203375E-2</v>
      </c>
      <c r="O742" s="19">
        <f t="shared" si="67"/>
        <v>5.1839496452216416E-2</v>
      </c>
      <c r="P742" s="12">
        <f t="shared" si="65"/>
        <v>-5783.4045786846091</v>
      </c>
    </row>
    <row r="743" spans="1:16">
      <c r="A743" s="149">
        <v>0.72338023010956143</v>
      </c>
      <c r="B743" s="150">
        <f t="shared" si="66"/>
        <v>41.999361128658727</v>
      </c>
      <c r="C743" s="24">
        <f t="shared" si="64"/>
        <v>-5850.3717072712852</v>
      </c>
      <c r="H743" s="66"/>
      <c r="I743" s="66"/>
      <c r="J743" s="66"/>
      <c r="K743" s="66"/>
      <c r="L743" s="66"/>
      <c r="N743" s="5">
        <v>7.5816058321957827E-2</v>
      </c>
      <c r="O743" s="19">
        <f t="shared" si="67"/>
        <v>7.8764126222831354E-2</v>
      </c>
      <c r="P743" s="12">
        <f t="shared" si="65"/>
        <v>-4927.8944951343929</v>
      </c>
    </row>
    <row r="744" spans="1:16">
      <c r="A744" s="149">
        <v>0.85363322855311752</v>
      </c>
      <c r="B744" s="150">
        <f t="shared" si="66"/>
        <v>45.395239221818457</v>
      </c>
      <c r="C744" s="24">
        <f t="shared" si="64"/>
        <v>-5850.3717072712852</v>
      </c>
      <c r="H744" s="66"/>
      <c r="I744" s="66"/>
      <c r="J744" s="66"/>
      <c r="K744" s="66"/>
      <c r="L744" s="66"/>
      <c r="N744" s="5">
        <v>5.6817425908899169E-2</v>
      </c>
      <c r="O744" s="19">
        <f t="shared" si="67"/>
        <v>5.8462544916299874E-2</v>
      </c>
      <c r="P744" s="12">
        <f t="shared" si="65"/>
        <v>-5552.042968366929</v>
      </c>
    </row>
    <row r="745" spans="1:16">
      <c r="A745" s="149">
        <v>6.2166203802606283E-2</v>
      </c>
      <c r="B745" s="150">
        <f t="shared" si="66"/>
        <v>17.631831079264025</v>
      </c>
      <c r="C745" s="24">
        <f t="shared" si="64"/>
        <v>-5850.3717072712852</v>
      </c>
      <c r="H745" s="66"/>
      <c r="I745" s="66"/>
      <c r="J745" s="66"/>
      <c r="K745" s="66"/>
      <c r="L745" s="66"/>
      <c r="N745" s="5">
        <v>2.2953338609237109E-2</v>
      </c>
      <c r="O745" s="19">
        <f t="shared" si="67"/>
        <v>2.3218793621315292E-2</v>
      </c>
      <c r="P745" s="12">
        <f t="shared" si="65"/>
        <v>-6979.6415622483255</v>
      </c>
    </row>
    <row r="746" spans="1:16">
      <c r="A746" s="149">
        <v>0.16168706320383314</v>
      </c>
      <c r="B746" s="150">
        <f t="shared" si="66"/>
        <v>25.508469379334848</v>
      </c>
      <c r="C746" s="24">
        <f t="shared" si="64"/>
        <v>-5850.3717072712852</v>
      </c>
      <c r="H746" s="66"/>
      <c r="I746" s="66"/>
      <c r="J746" s="66"/>
      <c r="K746" s="66"/>
      <c r="L746" s="66"/>
      <c r="N746" s="5">
        <v>3.7516752124371125E-2</v>
      </c>
      <c r="O746" s="19">
        <f t="shared" si="67"/>
        <v>3.8229389484003118E-2</v>
      </c>
      <c r="P746" s="12">
        <f t="shared" si="65"/>
        <v>-6309.1331192652606</v>
      </c>
    </row>
    <row r="747" spans="1:16">
      <c r="A747" s="149">
        <v>0.61861018707846305</v>
      </c>
      <c r="B747" s="150">
        <f t="shared" si="66"/>
        <v>39.577843615801271</v>
      </c>
      <c r="C747" s="24">
        <f t="shared" si="64"/>
        <v>-5850.3717072712852</v>
      </c>
      <c r="H747" s="66"/>
      <c r="I747" s="66"/>
      <c r="J747" s="66"/>
      <c r="K747" s="66"/>
      <c r="L747" s="66"/>
      <c r="N747" s="5">
        <v>7.1788858301384609E-2</v>
      </c>
      <c r="O747" s="19">
        <f t="shared" si="67"/>
        <v>7.4428463461862604E-2</v>
      </c>
      <c r="P747" s="12">
        <f t="shared" si="65"/>
        <v>-5051.3406095260734</v>
      </c>
    </row>
    <row r="748" spans="1:16">
      <c r="A748" s="149">
        <v>0.68800927762688069</v>
      </c>
      <c r="B748" s="150">
        <f t="shared" si="66"/>
        <v>41.170907603193477</v>
      </c>
      <c r="C748" s="24">
        <f t="shared" si="64"/>
        <v>-5850.3717072712852</v>
      </c>
      <c r="H748" s="66"/>
      <c r="I748" s="66"/>
      <c r="J748" s="66"/>
      <c r="K748" s="66"/>
      <c r="L748" s="66"/>
      <c r="N748" s="5">
        <v>2.2800838402996307E-2</v>
      </c>
      <c r="O748" s="19">
        <f t="shared" si="67"/>
        <v>2.3062764441801997E-2</v>
      </c>
      <c r="P748" s="12">
        <f t="shared" si="65"/>
        <v>-6987.1729239633323</v>
      </c>
    </row>
    <row r="749" spans="1:16">
      <c r="A749" s="149">
        <v>0.53990295113986631</v>
      </c>
      <c r="B749" s="150">
        <f t="shared" si="66"/>
        <v>37.759427722437444</v>
      </c>
      <c r="C749" s="24">
        <f t="shared" si="64"/>
        <v>-5850.3717072712852</v>
      </c>
      <c r="H749" s="66"/>
      <c r="I749" s="66"/>
      <c r="J749" s="66"/>
      <c r="K749" s="66"/>
      <c r="L749" s="66"/>
      <c r="N749" s="5">
        <v>3.327907661253994E-2</v>
      </c>
      <c r="O749" s="19">
        <f t="shared" si="67"/>
        <v>3.3839019276828974E-2</v>
      </c>
      <c r="P749" s="12">
        <f t="shared" si="65"/>
        <v>-6494.6673598631296</v>
      </c>
    </row>
    <row r="750" spans="1:16">
      <c r="A750" s="149">
        <v>0.16263313699758905</v>
      </c>
      <c r="B750" s="150">
        <f t="shared" si="66"/>
        <v>25.559977539610447</v>
      </c>
      <c r="C750" s="24">
        <f t="shared" si="64"/>
        <v>-5850.3717072712852</v>
      </c>
      <c r="H750" s="66"/>
      <c r="I750" s="66"/>
      <c r="J750" s="66"/>
      <c r="K750" s="66"/>
      <c r="L750" s="66"/>
      <c r="N750" s="5">
        <v>5.266789146129304E-2</v>
      </c>
      <c r="O750" s="19">
        <f t="shared" si="67"/>
        <v>5.4079518174038332E-2</v>
      </c>
      <c r="P750" s="12">
        <f t="shared" si="65"/>
        <v>-5703.4739785119573</v>
      </c>
    </row>
    <row r="751" spans="1:16">
      <c r="A751" s="149">
        <v>0.18240913113803522</v>
      </c>
      <c r="B751" s="150">
        <f t="shared" si="66"/>
        <v>26.582743552886541</v>
      </c>
      <c r="C751" s="24">
        <f t="shared" si="64"/>
        <v>-5850.3717072712852</v>
      </c>
      <c r="H751" s="66"/>
      <c r="I751" s="66"/>
      <c r="J751" s="66"/>
      <c r="K751" s="66"/>
      <c r="L751" s="66"/>
      <c r="N751" s="5">
        <v>6.0712893807372895E-2</v>
      </c>
      <c r="O751" s="19">
        <f t="shared" si="67"/>
        <v>6.2593793129963826E-2</v>
      </c>
      <c r="P751" s="12">
        <f t="shared" si="65"/>
        <v>-5415.0793215552312</v>
      </c>
    </row>
    <row r="752" spans="1:16">
      <c r="A752" s="149">
        <v>0.68926053651539654</v>
      </c>
      <c r="B752" s="150">
        <f t="shared" si="66"/>
        <v>41.199920589315852</v>
      </c>
      <c r="C752" s="24">
        <f t="shared" si="64"/>
        <v>-5850.3717072712852</v>
      </c>
      <c r="H752" s="66"/>
      <c r="I752" s="66"/>
      <c r="J752" s="66"/>
      <c r="K752" s="66"/>
      <c r="L752" s="66"/>
      <c r="N752" s="5">
        <v>5.3239890528071557E-2</v>
      </c>
      <c r="O752" s="19">
        <f t="shared" si="67"/>
        <v>5.4682623146040887E-2</v>
      </c>
      <c r="P752" s="12">
        <f t="shared" si="65"/>
        <v>-5682.2513110713426</v>
      </c>
    </row>
    <row r="753" spans="1:16">
      <c r="A753" s="149">
        <v>0.28046510208441422</v>
      </c>
      <c r="B753" s="150">
        <f t="shared" si="66"/>
        <v>30.608432288895838</v>
      </c>
      <c r="C753" s="24">
        <f t="shared" si="64"/>
        <v>-5850.3717072712852</v>
      </c>
      <c r="H753" s="66"/>
      <c r="I753" s="66"/>
      <c r="J753" s="66"/>
      <c r="K753" s="66"/>
      <c r="L753" s="66"/>
      <c r="N753" s="5">
        <v>4.918682629716932E-2</v>
      </c>
      <c r="O753" s="19">
        <f t="shared" si="67"/>
        <v>5.0416577848990007E-2</v>
      </c>
      <c r="P753" s="12">
        <f t="shared" si="65"/>
        <v>-5835.0996485548621</v>
      </c>
    </row>
    <row r="754" spans="1:16">
      <c r="A754" s="149">
        <v>0.24134037293618579</v>
      </c>
      <c r="B754" s="150">
        <f t="shared" si="66"/>
        <v>29.163537095878926</v>
      </c>
      <c r="C754" s="24">
        <f t="shared" si="64"/>
        <v>-5850.3717072712852</v>
      </c>
      <c r="H754" s="66"/>
      <c r="I754" s="66"/>
      <c r="J754" s="66"/>
      <c r="K754" s="66"/>
      <c r="L754" s="66"/>
      <c r="N754" s="5">
        <v>3.9829434465114902E-2</v>
      </c>
      <c r="O754" s="19">
        <f t="shared" si="67"/>
        <v>4.0633262885059862E-2</v>
      </c>
      <c r="P754" s="12">
        <f t="shared" si="65"/>
        <v>-6210.9930964200275</v>
      </c>
    </row>
    <row r="755" spans="1:16">
      <c r="A755" s="149">
        <v>0.44544816431165501</v>
      </c>
      <c r="B755" s="150">
        <f t="shared" si="66"/>
        <v>35.454979508397209</v>
      </c>
      <c r="C755" s="24">
        <f t="shared" si="64"/>
        <v>-5850.3717072712852</v>
      </c>
      <c r="H755" s="66"/>
      <c r="I755" s="66"/>
      <c r="J755" s="66"/>
      <c r="K755" s="66"/>
      <c r="L755" s="66"/>
      <c r="N755" s="5">
        <v>2.3816447034856539E-2</v>
      </c>
      <c r="O755" s="19">
        <f t="shared" si="67"/>
        <v>2.4102323619585642E-2</v>
      </c>
      <c r="P755" s="12">
        <f t="shared" si="65"/>
        <v>-6937.2255672578749</v>
      </c>
    </row>
    <row r="756" spans="1:16">
      <c r="A756" s="149">
        <v>0.20145268105105746</v>
      </c>
      <c r="B756" s="150">
        <f t="shared" si="66"/>
        <v>27.483399105184347</v>
      </c>
      <c r="C756" s="24">
        <f t="shared" si="64"/>
        <v>-5850.3717072712852</v>
      </c>
      <c r="H756" s="66"/>
      <c r="I756" s="66"/>
      <c r="J756" s="66"/>
      <c r="K756" s="66"/>
      <c r="L756" s="66"/>
      <c r="N756" s="5">
        <v>4.3083365833022982E-2</v>
      </c>
      <c r="O756" s="19">
        <f t="shared" si="67"/>
        <v>4.4024927230554178E-2</v>
      </c>
      <c r="P756" s="12">
        <f t="shared" si="65"/>
        <v>-6076.5034817546702</v>
      </c>
    </row>
    <row r="757" spans="1:16">
      <c r="A757" s="149">
        <v>0.44334238715781121</v>
      </c>
      <c r="B757" s="150">
        <f t="shared" si="66"/>
        <v>35.401069914083607</v>
      </c>
      <c r="C757" s="24">
        <f t="shared" si="64"/>
        <v>-5850.3717072712852</v>
      </c>
      <c r="H757" s="66"/>
      <c r="I757" s="66"/>
      <c r="J757" s="66"/>
      <c r="K757" s="66"/>
      <c r="L757" s="66"/>
      <c r="N757" s="5">
        <v>3.342730264842976E-2</v>
      </c>
      <c r="O757" s="19">
        <f t="shared" si="67"/>
        <v>3.3992272494182574E-2</v>
      </c>
      <c r="P757" s="12">
        <f t="shared" si="65"/>
        <v>-6488.0501782411056</v>
      </c>
    </row>
    <row r="758" spans="1:16">
      <c r="A758" s="149">
        <v>0.84377574999237037</v>
      </c>
      <c r="B758" s="150">
        <f t="shared" si="66"/>
        <v>45.10369775414722</v>
      </c>
      <c r="C758" s="24">
        <f t="shared" si="64"/>
        <v>-5850.3717072712852</v>
      </c>
      <c r="H758" s="66"/>
      <c r="I758" s="66"/>
      <c r="J758" s="66"/>
      <c r="K758" s="66"/>
      <c r="L758" s="66"/>
      <c r="N758" s="5">
        <v>5.9780686294412591E-2</v>
      </c>
      <c r="O758" s="19">
        <f t="shared" si="67"/>
        <v>6.1603696772115191E-2</v>
      </c>
      <c r="P758" s="12">
        <f t="shared" si="65"/>
        <v>-5447.4090889019517</v>
      </c>
    </row>
    <row r="759" spans="1:16">
      <c r="A759" s="149">
        <v>0.79702139347514267</v>
      </c>
      <c r="B759" s="150">
        <f t="shared" si="66"/>
        <v>43.819924637846846</v>
      </c>
      <c r="C759" s="24">
        <f t="shared" si="64"/>
        <v>-5850.3717072712852</v>
      </c>
      <c r="H759" s="66"/>
      <c r="I759" s="66"/>
      <c r="J759" s="66"/>
      <c r="K759" s="66"/>
      <c r="L759" s="66"/>
      <c r="N759" s="5">
        <v>4.2482242131096429E-2</v>
      </c>
      <c r="O759" s="19">
        <f t="shared" si="67"/>
        <v>4.3397527692652593E-2</v>
      </c>
      <c r="P759" s="12">
        <f t="shared" si="65"/>
        <v>-6101.038136306327</v>
      </c>
    </row>
    <row r="760" spans="1:16">
      <c r="A760" s="149">
        <v>0.37565233314004942</v>
      </c>
      <c r="B760" s="150">
        <f t="shared" si="66"/>
        <v>33.581892065193465</v>
      </c>
      <c r="C760" s="24">
        <f t="shared" si="64"/>
        <v>-5850.3717072712852</v>
      </c>
      <c r="H760" s="66"/>
      <c r="I760" s="66"/>
      <c r="J760" s="66"/>
      <c r="K760" s="66"/>
      <c r="L760" s="66"/>
      <c r="N760" s="5">
        <v>2.306304231491231E-2</v>
      </c>
      <c r="O760" s="19">
        <f t="shared" si="67"/>
        <v>2.3331050672086739E-2</v>
      </c>
      <c r="P760" s="12">
        <f t="shared" si="65"/>
        <v>-6974.2306352546611</v>
      </c>
    </row>
    <row r="761" spans="1:16">
      <c r="A761" s="149">
        <v>0.11893063142796106</v>
      </c>
      <c r="B761" s="150">
        <f t="shared" si="66"/>
        <v>22.858839251303792</v>
      </c>
      <c r="C761" s="24">
        <f t="shared" si="64"/>
        <v>-5850.3717072712852</v>
      </c>
      <c r="H761" s="66"/>
      <c r="I761" s="66"/>
      <c r="J761" s="66"/>
      <c r="K761" s="66"/>
      <c r="L761" s="66"/>
      <c r="N761" s="5">
        <v>3.5018307764526982E-2</v>
      </c>
      <c r="O761" s="19">
        <f t="shared" si="67"/>
        <v>3.563866885494904E-2</v>
      </c>
      <c r="P761" s="12">
        <f t="shared" si="65"/>
        <v>-6417.6112337278128</v>
      </c>
    </row>
    <row r="762" spans="1:16">
      <c r="A762" s="149">
        <v>0.56813257240516368</v>
      </c>
      <c r="B762" s="150">
        <f t="shared" si="66"/>
        <v>38.417619380963352</v>
      </c>
      <c r="C762" s="24">
        <f t="shared" si="64"/>
        <v>-5850.3717072712852</v>
      </c>
      <c r="H762" s="66"/>
      <c r="I762" s="66"/>
      <c r="J762" s="66"/>
      <c r="K762" s="66"/>
      <c r="L762" s="66"/>
      <c r="N762" s="5">
        <v>8.5737339256535053E-2</v>
      </c>
      <c r="O762" s="19">
        <f t="shared" si="67"/>
        <v>8.9520116554644202E-2</v>
      </c>
      <c r="P762" s="12">
        <f t="shared" si="65"/>
        <v>-4642.1243975665666</v>
      </c>
    </row>
    <row r="763" spans="1:16">
      <c r="A763" s="149">
        <v>0.33326212347788936</v>
      </c>
      <c r="B763" s="150">
        <f t="shared" si="66"/>
        <v>32.333073076981556</v>
      </c>
      <c r="C763" s="24">
        <f t="shared" si="64"/>
        <v>-5850.3717072712852</v>
      </c>
      <c r="H763" s="66"/>
      <c r="I763" s="66"/>
      <c r="J763" s="66"/>
      <c r="K763" s="66"/>
      <c r="L763" s="66"/>
      <c r="N763" s="5">
        <v>5.7444523415266305E-2</v>
      </c>
      <c r="O763" s="19">
        <f t="shared" si="67"/>
        <v>5.912651230318744E-2</v>
      </c>
      <c r="P763" s="12">
        <f t="shared" si="65"/>
        <v>-5529.6603850268339</v>
      </c>
    </row>
    <row r="764" spans="1:16">
      <c r="A764" s="149">
        <v>0.74990081484420301</v>
      </c>
      <c r="B764" s="150">
        <f t="shared" si="66"/>
        <v>42.636004483662504</v>
      </c>
      <c r="C764" s="24">
        <f t="shared" si="64"/>
        <v>-5850.3717072712852</v>
      </c>
      <c r="H764" s="66"/>
      <c r="I764" s="66"/>
      <c r="J764" s="66"/>
      <c r="K764" s="66"/>
      <c r="L764" s="66"/>
      <c r="N764" s="5">
        <v>4.0823453056997097E-2</v>
      </c>
      <c r="O764" s="19">
        <f t="shared" si="67"/>
        <v>4.1668185976880823E-2</v>
      </c>
      <c r="P764" s="12">
        <f t="shared" si="65"/>
        <v>-6169.4686517563659</v>
      </c>
    </row>
    <row r="765" spans="1:16">
      <c r="A765" s="149">
        <v>0.71306497390667445</v>
      </c>
      <c r="B765" s="150">
        <f t="shared" si="66"/>
        <v>41.755738406427945</v>
      </c>
      <c r="C765" s="24">
        <f t="shared" si="64"/>
        <v>-5850.3717072712852</v>
      </c>
      <c r="H765" s="66"/>
      <c r="I765" s="66"/>
      <c r="J765" s="66"/>
      <c r="K765" s="66"/>
      <c r="L765" s="66"/>
      <c r="N765" s="5">
        <v>5.9020952514525563E-2</v>
      </c>
      <c r="O765" s="19">
        <f t="shared" si="67"/>
        <v>6.079746688164489E-2</v>
      </c>
      <c r="P765" s="12">
        <f t="shared" si="65"/>
        <v>-5473.9634107902475</v>
      </c>
    </row>
    <row r="766" spans="1:16">
      <c r="A766" s="149">
        <v>0.63701284829248939</v>
      </c>
      <c r="B766" s="150">
        <f t="shared" si="66"/>
        <v>39.998709432982494</v>
      </c>
      <c r="C766" s="24">
        <f t="shared" si="64"/>
        <v>-5850.3717072712852</v>
      </c>
      <c r="H766" s="66"/>
      <c r="I766" s="66"/>
      <c r="J766" s="66"/>
      <c r="K766" s="66"/>
      <c r="L766" s="66"/>
      <c r="N766" s="5">
        <v>6.4549235682658038E-2</v>
      </c>
      <c r="O766" s="19">
        <f t="shared" si="67"/>
        <v>6.6678095575986918E-2</v>
      </c>
      <c r="P766" s="12">
        <f t="shared" si="65"/>
        <v>-5284.9076214845572</v>
      </c>
    </row>
    <row r="767" spans="1:16">
      <c r="A767" s="149">
        <v>0.56694235053559983</v>
      </c>
      <c r="B767" s="150">
        <f t="shared" si="66"/>
        <v>38.390046686556722</v>
      </c>
      <c r="C767" s="24">
        <f t="shared" si="64"/>
        <v>-5850.3717072712852</v>
      </c>
      <c r="H767" s="66"/>
      <c r="I767" s="66"/>
      <c r="J767" s="66"/>
      <c r="K767" s="66"/>
      <c r="L767" s="66"/>
      <c r="N767" s="5">
        <v>7.8324612738593716E-2</v>
      </c>
      <c r="O767" s="19">
        <f t="shared" si="67"/>
        <v>8.1473661824035037E-2</v>
      </c>
      <c r="P767" s="12">
        <f t="shared" si="65"/>
        <v>-4853.2297636042813</v>
      </c>
    </row>
    <row r="768" spans="1:16">
      <c r="A768" s="149">
        <v>0.74556718649861142</v>
      </c>
      <c r="B768" s="150">
        <f t="shared" si="66"/>
        <v>42.530807122021535</v>
      </c>
      <c r="C768" s="24">
        <f t="shared" si="64"/>
        <v>-5850.3717072712852</v>
      </c>
      <c r="H768" s="66"/>
      <c r="I768" s="66"/>
      <c r="J768" s="66"/>
      <c r="K768" s="66"/>
      <c r="L768" s="66"/>
      <c r="N768" s="5">
        <v>6.0527758679527338E-3</v>
      </c>
      <c r="O768" s="19">
        <f t="shared" si="67"/>
        <v>6.0711309301455518E-3</v>
      </c>
      <c r="P768" s="12">
        <f t="shared" si="65"/>
        <v>-7886.566122258524</v>
      </c>
    </row>
    <row r="769" spans="1:16">
      <c r="A769" s="149">
        <v>0.5833002716147343</v>
      </c>
      <c r="B769" s="150">
        <f t="shared" si="66"/>
        <v>38.767898775556688</v>
      </c>
      <c r="C769" s="24">
        <f t="shared" si="64"/>
        <v>-5850.3717072712852</v>
      </c>
      <c r="H769" s="66"/>
      <c r="I769" s="66"/>
      <c r="J769" s="66"/>
      <c r="K769" s="66"/>
      <c r="L769" s="66"/>
      <c r="N769" s="5">
        <v>2.7092927391218838E-2</v>
      </c>
      <c r="O769" s="19">
        <f t="shared" si="67"/>
        <v>2.7463277809277153E-2</v>
      </c>
      <c r="P769" s="12">
        <f t="shared" si="65"/>
        <v>-6779.397943422603</v>
      </c>
    </row>
    <row r="770" spans="1:16">
      <c r="A770" s="149">
        <v>0.61299478133487961</v>
      </c>
      <c r="B770" s="150">
        <f t="shared" si="66"/>
        <v>39.449355633957239</v>
      </c>
      <c r="C770" s="24">
        <f t="shared" si="64"/>
        <v>-5850.3717072712852</v>
      </c>
      <c r="H770" s="66"/>
      <c r="I770" s="66"/>
      <c r="J770" s="66"/>
      <c r="K770" s="66"/>
      <c r="L770" s="66"/>
      <c r="N770" s="5">
        <v>4.6951216015382671E-2</v>
      </c>
      <c r="O770" s="19">
        <f t="shared" si="67"/>
        <v>4.8070878758868174E-2</v>
      </c>
      <c r="P770" s="12">
        <f t="shared" si="65"/>
        <v>-5921.9200726006793</v>
      </c>
    </row>
    <row r="771" spans="1:16">
      <c r="A771" s="149">
        <v>0.40443128757591479</v>
      </c>
      <c r="B771" s="150">
        <f t="shared" si="66"/>
        <v>34.377680122852688</v>
      </c>
      <c r="C771" s="24">
        <f t="shared" si="64"/>
        <v>-5850.3717072712852</v>
      </c>
      <c r="H771" s="66"/>
      <c r="I771" s="66"/>
      <c r="J771" s="66"/>
      <c r="K771" s="66"/>
      <c r="L771" s="66"/>
      <c r="N771" s="5">
        <v>4.3622815448667099E-2</v>
      </c>
      <c r="O771" s="19">
        <f t="shared" si="67"/>
        <v>4.458827801229126E-2</v>
      </c>
      <c r="P771" s="12">
        <f t="shared" si="65"/>
        <v>-6054.6042515693589</v>
      </c>
    </row>
    <row r="772" spans="1:16">
      <c r="A772" s="149">
        <v>0.36069826349681083</v>
      </c>
      <c r="B772" s="150">
        <f t="shared" si="66"/>
        <v>33.152784722536822</v>
      </c>
      <c r="C772" s="24">
        <f t="shared" si="64"/>
        <v>-5850.3717072712852</v>
      </c>
      <c r="H772" s="66"/>
      <c r="I772" s="66"/>
      <c r="J772" s="66"/>
      <c r="K772" s="66"/>
      <c r="L772" s="66"/>
      <c r="N772" s="5">
        <v>5.8333633043854208E-2</v>
      </c>
      <c r="O772" s="19">
        <f t="shared" si="67"/>
        <v>6.006861063545621E-2</v>
      </c>
      <c r="P772" s="12">
        <f t="shared" si="65"/>
        <v>-5498.1475210250319</v>
      </c>
    </row>
    <row r="773" spans="1:16">
      <c r="A773" s="149">
        <v>8.3437604907376325E-2</v>
      </c>
      <c r="B773" s="150">
        <f t="shared" si="66"/>
        <v>19.941601621762885</v>
      </c>
      <c r="C773" s="24">
        <f t="shared" si="64"/>
        <v>-5850.3717072712852</v>
      </c>
      <c r="H773" s="66"/>
      <c r="I773" s="66"/>
      <c r="J773" s="66"/>
      <c r="K773" s="66"/>
      <c r="L773" s="66"/>
      <c r="N773" s="5">
        <v>6.3371427765683622E-2</v>
      </c>
      <c r="O773" s="19">
        <f t="shared" si="67"/>
        <v>6.5422493244488678E-2</v>
      </c>
      <c r="P773" s="12">
        <f t="shared" si="65"/>
        <v>-5324.386066160786</v>
      </c>
    </row>
    <row r="774" spans="1:16">
      <c r="A774" s="149">
        <v>0.89013336588641012</v>
      </c>
      <c r="B774" s="150">
        <f t="shared" si="66"/>
        <v>46.571218791816051</v>
      </c>
      <c r="C774" s="24">
        <f t="shared" si="64"/>
        <v>-5850.3717072712852</v>
      </c>
      <c r="H774" s="66"/>
      <c r="I774" s="66"/>
      <c r="J774" s="66"/>
      <c r="K774" s="66"/>
      <c r="L774" s="66"/>
      <c r="N774" s="5">
        <v>5.5032713200613217E-2</v>
      </c>
      <c r="O774" s="19">
        <f t="shared" si="67"/>
        <v>5.6575178065914722E-2</v>
      </c>
      <c r="P774" s="12">
        <f t="shared" si="65"/>
        <v>-5616.4593698175477</v>
      </c>
    </row>
    <row r="775" spans="1:16">
      <c r="A775" s="149">
        <v>0.79683828241828669</v>
      </c>
      <c r="B775" s="150">
        <f t="shared" si="66"/>
        <v>43.815149965876387</v>
      </c>
      <c r="C775" s="24">
        <f t="shared" si="64"/>
        <v>-5850.3717072712852</v>
      </c>
      <c r="H775" s="66"/>
      <c r="I775" s="66"/>
      <c r="J775" s="66"/>
      <c r="K775" s="66"/>
      <c r="L775" s="66"/>
      <c r="N775" s="5">
        <v>7.0154371721524514E-2</v>
      </c>
      <c r="O775" s="19">
        <f t="shared" si="67"/>
        <v>7.267375896843542E-2</v>
      </c>
      <c r="P775" s="12">
        <f t="shared" si="65"/>
        <v>-5102.7381854815785</v>
      </c>
    </row>
    <row r="776" spans="1:16">
      <c r="A776" s="149">
        <v>0.84221930600909456</v>
      </c>
      <c r="B776" s="150">
        <f t="shared" si="66"/>
        <v>45.058463056351989</v>
      </c>
      <c r="C776" s="24">
        <f t="shared" si="64"/>
        <v>-5850.3717072712852</v>
      </c>
      <c r="H776" s="66"/>
      <c r="I776" s="66"/>
      <c r="J776" s="66"/>
      <c r="K776" s="66"/>
      <c r="L776" s="66"/>
      <c r="N776" s="5">
        <v>7.1342919861432166E-2</v>
      </c>
      <c r="O776" s="19">
        <f t="shared" si="67"/>
        <v>7.3949441324156595E-2</v>
      </c>
      <c r="P776" s="12">
        <f t="shared" si="65"/>
        <v>-5065.2880807615593</v>
      </c>
    </row>
    <row r="777" spans="1:16">
      <c r="A777" s="149">
        <v>0.67265846736045409</v>
      </c>
      <c r="B777" s="150">
        <f t="shared" si="66"/>
        <v>40.816245849982067</v>
      </c>
      <c r="C777" s="24">
        <f t="shared" si="64"/>
        <v>-5850.3717072712852</v>
      </c>
      <c r="H777" s="66"/>
      <c r="I777" s="66"/>
      <c r="J777" s="66"/>
      <c r="K777" s="66"/>
      <c r="L777" s="66"/>
      <c r="N777" s="5">
        <v>8.6125302411470331E-2</v>
      </c>
      <c r="O777" s="19">
        <f t="shared" si="67"/>
        <v>8.9942892221816173E-2</v>
      </c>
      <c r="P777" s="12">
        <f t="shared" si="65"/>
        <v>-4631.4538311734041</v>
      </c>
    </row>
    <row r="778" spans="1:16">
      <c r="A778" s="149">
        <v>0.99194311349833675</v>
      </c>
      <c r="B778" s="150">
        <f t="shared" si="66"/>
        <v>53.180578834368234</v>
      </c>
      <c r="C778" s="24">
        <f t="shared" si="64"/>
        <v>-5850.3717072712852</v>
      </c>
      <c r="H778" s="66"/>
      <c r="I778" s="66"/>
      <c r="J778" s="66"/>
      <c r="K778" s="66"/>
      <c r="L778" s="66"/>
      <c r="N778" s="5">
        <v>4.5307687921318576E-2</v>
      </c>
      <c r="O778" s="19">
        <f t="shared" si="67"/>
        <v>4.6349759566352233E-2</v>
      </c>
      <c r="P778" s="12">
        <f t="shared" si="65"/>
        <v>-5986.9187485018329</v>
      </c>
    </row>
    <row r="779" spans="1:16">
      <c r="A779" s="149">
        <v>0.97097689748832672</v>
      </c>
      <c r="B779" s="150">
        <f t="shared" si="66"/>
        <v>50.562986398640177</v>
      </c>
      <c r="C779" s="24">
        <f t="shared" si="64"/>
        <v>-5850.3717072712852</v>
      </c>
      <c r="H779" s="66"/>
      <c r="I779" s="66"/>
      <c r="J779" s="66"/>
      <c r="K779" s="66"/>
      <c r="L779" s="66"/>
      <c r="N779" s="5">
        <v>-1.0182824601419269E-2</v>
      </c>
      <c r="O779" s="19">
        <f t="shared" si="67"/>
        <v>-1.0131155171954509E-2</v>
      </c>
      <c r="P779" s="12">
        <f t="shared" si="65"/>
        <v>-8913.4046928667267</v>
      </c>
    </row>
    <row r="780" spans="1:16">
      <c r="A780" s="149">
        <v>0.61748100222785118</v>
      </c>
      <c r="B780" s="150">
        <f t="shared" si="66"/>
        <v>39.552011472162789</v>
      </c>
      <c r="C780" s="24">
        <f t="shared" si="64"/>
        <v>-5850.3717072712852</v>
      </c>
      <c r="H780" s="66"/>
      <c r="I780" s="66"/>
      <c r="J780" s="66"/>
      <c r="K780" s="66"/>
      <c r="L780" s="66"/>
      <c r="N780" s="5">
        <v>6.5145592040731573E-2</v>
      </c>
      <c r="O780" s="19">
        <f t="shared" si="67"/>
        <v>6.731440555519419E-2</v>
      </c>
      <c r="P780" s="12">
        <f t="shared" si="65"/>
        <v>-5265.0802476375839</v>
      </c>
    </row>
    <row r="781" spans="1:16">
      <c r="A781" s="149">
        <v>0.24503311258278146</v>
      </c>
      <c r="B781" s="150">
        <f t="shared" si="66"/>
        <v>29.307462902642325</v>
      </c>
      <c r="C781" s="24">
        <f t="shared" si="64"/>
        <v>-5850.3717072712852</v>
      </c>
      <c r="H781" s="66"/>
      <c r="I781" s="66"/>
      <c r="J781" s="66"/>
      <c r="K781" s="66"/>
      <c r="L781" s="66"/>
      <c r="N781" s="5">
        <v>6.2934530839935179E-2</v>
      </c>
      <c r="O781" s="19">
        <f t="shared" si="67"/>
        <v>6.4957115101109464E-2</v>
      </c>
      <c r="P781" s="12">
        <f t="shared" si="65"/>
        <v>-5339.1388570428035</v>
      </c>
    </row>
    <row r="782" spans="1:16">
      <c r="A782" s="149">
        <v>0.20722067934202093</v>
      </c>
      <c r="B782" s="150">
        <f t="shared" si="66"/>
        <v>27.742260679317578</v>
      </c>
      <c r="C782" s="24">
        <f t="shared" si="64"/>
        <v>-5850.3717072712852</v>
      </c>
      <c r="H782" s="66"/>
      <c r="I782" s="66"/>
      <c r="J782" s="66"/>
      <c r="K782" s="66"/>
      <c r="L782" s="66"/>
      <c r="N782" s="5">
        <v>2.6635043193105959E-2</v>
      </c>
      <c r="O782" s="19">
        <f t="shared" si="67"/>
        <v>2.6992926301706133E-2</v>
      </c>
      <c r="P782" s="12">
        <f t="shared" si="65"/>
        <v>-6801.154765717014</v>
      </c>
    </row>
    <row r="783" spans="1:16">
      <c r="A783" s="149">
        <v>0.64680928983428454</v>
      </c>
      <c r="B783" s="150">
        <f t="shared" si="66"/>
        <v>40.222878794745235</v>
      </c>
      <c r="C783" s="24">
        <f t="shared" si="64"/>
        <v>-5850.3717072712852</v>
      </c>
      <c r="H783" s="66"/>
      <c r="I783" s="66"/>
      <c r="J783" s="66"/>
      <c r="K783" s="66"/>
      <c r="L783" s="66"/>
      <c r="N783" s="5">
        <v>2.7087447685640656E-2</v>
      </c>
      <c r="O783" s="19">
        <f t="shared" si="67"/>
        <v>2.7457647628448267E-2</v>
      </c>
      <c r="P783" s="12">
        <f t="shared" si="65"/>
        <v>-6779.6577488586654</v>
      </c>
    </row>
    <row r="784" spans="1:16">
      <c r="A784" s="149">
        <v>0.26715903195287943</v>
      </c>
      <c r="B784" s="150">
        <f t="shared" si="66"/>
        <v>30.135715231280411</v>
      </c>
      <c r="C784" s="24">
        <f t="shared" ref="C784:C847" si="68">IF($B784&lt;15,B$8*(B$10^$B784)-B$7*(1-B$10^$B784)/B$11, -B$7*(1-B$10^15)/B$11)</f>
        <v>-5850.3717072712852</v>
      </c>
      <c r="H784" s="66"/>
      <c r="I784" s="66"/>
      <c r="J784" s="66"/>
      <c r="K784" s="66"/>
      <c r="L784" s="66"/>
      <c r="N784" s="5">
        <v>1.923431723038084E-2</v>
      </c>
      <c r="O784" s="19">
        <f t="shared" si="67"/>
        <v>1.9420488419614745E-2</v>
      </c>
      <c r="P784" s="12">
        <f t="shared" ref="P784:P847" si="69">IF($B784&lt;15,B$8*((1+O784)^-$B784)-B$7*(1-(1+O784)^-$B784)/LN(1+O784), -B$7*(1-(1+O784)^-15)/LN(1+O784))</f>
        <v>-7166.5314842498128</v>
      </c>
    </row>
    <row r="785" spans="1:16">
      <c r="A785" s="149">
        <v>0.33640552995391704</v>
      </c>
      <c r="B785" s="150">
        <f t="shared" ref="B785:B848" si="70">LN(1-LN(B$4)*(LN(1-A785)/(B$3*B$4^50)))/LN(B$4)</f>
        <v>32.429310030529834</v>
      </c>
      <c r="C785" s="24">
        <f t="shared" si="68"/>
        <v>-5850.3717072712852</v>
      </c>
      <c r="H785" s="66"/>
      <c r="I785" s="66"/>
      <c r="J785" s="66"/>
      <c r="K785" s="66"/>
      <c r="L785" s="66"/>
      <c r="N785" s="5">
        <v>7.0406766960455572E-2</v>
      </c>
      <c r="O785" s="19">
        <f t="shared" ref="O785:O848" si="71">EXP(N785)-1</f>
        <v>7.2944530887459447E-2</v>
      </c>
      <c r="P785" s="12">
        <f t="shared" si="69"/>
        <v>-5094.7516673894852</v>
      </c>
    </row>
    <row r="786" spans="1:16">
      <c r="A786" s="149">
        <v>0.59511093478194521</v>
      </c>
      <c r="B786" s="150">
        <f t="shared" si="70"/>
        <v>39.039475206967211</v>
      </c>
      <c r="C786" s="24">
        <f t="shared" si="68"/>
        <v>-5850.3717072712852</v>
      </c>
      <c r="H786" s="66"/>
      <c r="I786" s="66"/>
      <c r="J786" s="66"/>
      <c r="K786" s="66"/>
      <c r="L786" s="66"/>
      <c r="N786" s="5">
        <v>7.338378140697023E-2</v>
      </c>
      <c r="O786" s="19">
        <f t="shared" si="71"/>
        <v>7.6143461525007172E-2</v>
      </c>
      <c r="P786" s="12">
        <f t="shared" si="69"/>
        <v>-5001.9143786201985</v>
      </c>
    </row>
    <row r="787" spans="1:16">
      <c r="A787" s="149">
        <v>0.14758751182592242</v>
      </c>
      <c r="B787" s="150">
        <f t="shared" si="70"/>
        <v>24.708831062357429</v>
      </c>
      <c r="C787" s="24">
        <f t="shared" si="68"/>
        <v>-5850.3717072712852</v>
      </c>
      <c r="H787" s="66"/>
      <c r="I787" s="66"/>
      <c r="J787" s="66"/>
      <c r="K787" s="66"/>
      <c r="L787" s="66"/>
      <c r="N787" s="5">
        <v>3.4614231000305168E-3</v>
      </c>
      <c r="O787" s="19">
        <f t="shared" si="71"/>
        <v>3.4674207430993587E-3</v>
      </c>
      <c r="P787" s="12">
        <f t="shared" si="69"/>
        <v>-8039.4835870824536</v>
      </c>
    </row>
    <row r="788" spans="1:16">
      <c r="A788" s="149">
        <v>0.82027649769585254</v>
      </c>
      <c r="B788" s="150">
        <f t="shared" si="70"/>
        <v>44.440792976385836</v>
      </c>
      <c r="C788" s="24">
        <f t="shared" si="68"/>
        <v>-5850.3717072712852</v>
      </c>
      <c r="H788" s="66"/>
      <c r="I788" s="66"/>
      <c r="J788" s="66"/>
      <c r="K788" s="66"/>
      <c r="L788" s="66"/>
      <c r="N788" s="5">
        <v>-1.8415534262079744E-2</v>
      </c>
      <c r="O788" s="19">
        <f t="shared" si="71"/>
        <v>-1.8247004419021939E-2</v>
      </c>
      <c r="P788" s="12">
        <f t="shared" si="69"/>
        <v>-9502.0451052201297</v>
      </c>
    </row>
    <row r="789" spans="1:16">
      <c r="A789" s="149">
        <v>0.36408581804864648</v>
      </c>
      <c r="B789" s="150">
        <f t="shared" si="70"/>
        <v>33.251009938395192</v>
      </c>
      <c r="C789" s="24">
        <f t="shared" si="68"/>
        <v>-5850.3717072712852</v>
      </c>
      <c r="H789" s="66"/>
      <c r="I789" s="66"/>
      <c r="J789" s="66"/>
      <c r="K789" s="66"/>
      <c r="L789" s="66"/>
      <c r="N789" s="5">
        <v>-2.4384663018863634E-3</v>
      </c>
      <c r="O789" s="19">
        <f t="shared" si="71"/>
        <v>-2.4354956580292519E-3</v>
      </c>
      <c r="P789" s="12">
        <f t="shared" si="69"/>
        <v>-8402.7366280459282</v>
      </c>
    </row>
    <row r="790" spans="1:16">
      <c r="A790" s="149">
        <v>0.89040803247169409</v>
      </c>
      <c r="B790" s="150">
        <f t="shared" si="70"/>
        <v>46.580796371405967</v>
      </c>
      <c r="C790" s="24">
        <f t="shared" si="68"/>
        <v>-5850.3717072712852</v>
      </c>
      <c r="H790" s="66"/>
      <c r="I790" s="66"/>
      <c r="J790" s="66"/>
      <c r="K790" s="66"/>
      <c r="L790" s="66"/>
      <c r="N790" s="5">
        <v>3.1240516543344712E-2</v>
      </c>
      <c r="O790" s="19">
        <f t="shared" si="71"/>
        <v>3.1733623051613646E-2</v>
      </c>
      <c r="P790" s="12">
        <f t="shared" si="69"/>
        <v>-6586.6334359846805</v>
      </c>
    </row>
    <row r="791" spans="1:16">
      <c r="A791" s="149">
        <v>0.80846583452864162</v>
      </c>
      <c r="B791" s="150">
        <f t="shared" si="70"/>
        <v>44.121709147689927</v>
      </c>
      <c r="C791" s="24">
        <f t="shared" si="68"/>
        <v>-5850.3717072712852</v>
      </c>
      <c r="H791" s="66"/>
      <c r="I791" s="66"/>
      <c r="J791" s="66"/>
      <c r="K791" s="66"/>
      <c r="L791" s="66"/>
      <c r="N791" s="5">
        <v>2.0859049934311771E-2</v>
      </c>
      <c r="O791" s="19">
        <f t="shared" si="71"/>
        <v>2.107812046606039E-2</v>
      </c>
      <c r="P791" s="12">
        <f t="shared" si="69"/>
        <v>-7084.0520356753486</v>
      </c>
    </row>
    <row r="792" spans="1:16">
      <c r="A792" s="149">
        <v>0.15274513992736594</v>
      </c>
      <c r="B792" s="150">
        <f t="shared" si="70"/>
        <v>25.008582945288111</v>
      </c>
      <c r="C792" s="24">
        <f t="shared" si="68"/>
        <v>-5850.3717072712852</v>
      </c>
      <c r="H792" s="66"/>
      <c r="I792" s="66"/>
      <c r="J792" s="66"/>
      <c r="K792" s="66"/>
      <c r="L792" s="66"/>
      <c r="N792" s="5">
        <v>3.613170174242987E-2</v>
      </c>
      <c r="O792" s="19">
        <f t="shared" si="71"/>
        <v>3.679238486318015E-2</v>
      </c>
      <c r="P792" s="12">
        <f t="shared" si="69"/>
        <v>-6368.950367674197</v>
      </c>
    </row>
    <row r="793" spans="1:16">
      <c r="A793" s="149">
        <v>0.55629139072847678</v>
      </c>
      <c r="B793" s="150">
        <f t="shared" si="70"/>
        <v>38.142661898451763</v>
      </c>
      <c r="C793" s="24">
        <f t="shared" si="68"/>
        <v>-5850.3717072712852</v>
      </c>
      <c r="H793" s="66"/>
      <c r="I793" s="66"/>
      <c r="J793" s="66"/>
      <c r="K793" s="66"/>
      <c r="L793" s="66"/>
      <c r="N793" s="5">
        <v>3.3904146627843149E-2</v>
      </c>
      <c r="O793" s="19">
        <f t="shared" si="71"/>
        <v>3.4485443057443499E-2</v>
      </c>
      <c r="P793" s="12">
        <f t="shared" si="69"/>
        <v>-6466.8262093065041</v>
      </c>
    </row>
    <row r="794" spans="1:16">
      <c r="A794" s="149">
        <v>0.34058656575212864</v>
      </c>
      <c r="B794" s="150">
        <f t="shared" si="70"/>
        <v>32.556341540428427</v>
      </c>
      <c r="C794" s="24">
        <f t="shared" si="68"/>
        <v>-5850.3717072712852</v>
      </c>
      <c r="H794" s="66"/>
      <c r="I794" s="66"/>
      <c r="J794" s="66"/>
      <c r="K794" s="66"/>
      <c r="L794" s="66"/>
      <c r="N794" s="5">
        <v>3.2089980502074469E-2</v>
      </c>
      <c r="O794" s="19">
        <f t="shared" si="71"/>
        <v>3.2610415928655989E-2</v>
      </c>
      <c r="P794" s="12">
        <f t="shared" si="69"/>
        <v>-6548.0928470038789</v>
      </c>
    </row>
    <row r="795" spans="1:16">
      <c r="A795" s="149">
        <v>0.59038056581316567</v>
      </c>
      <c r="B795" s="150">
        <f t="shared" si="70"/>
        <v>38.930808730842237</v>
      </c>
      <c r="C795" s="24">
        <f t="shared" si="68"/>
        <v>-5850.3717072712852</v>
      </c>
      <c r="H795" s="66"/>
      <c r="I795" s="66"/>
      <c r="J795" s="66"/>
      <c r="K795" s="66"/>
      <c r="L795" s="66"/>
      <c r="N795" s="5">
        <v>-9.7970533287152634E-3</v>
      </c>
      <c r="O795" s="19">
        <f t="shared" si="71"/>
        <v>-9.7492185425219757E-3</v>
      </c>
      <c r="P795" s="12">
        <f t="shared" si="69"/>
        <v>-8887.0109959056208</v>
      </c>
    </row>
    <row r="796" spans="1:16">
      <c r="A796" s="149">
        <v>0.77074495681630906</v>
      </c>
      <c r="B796" s="150">
        <f t="shared" si="70"/>
        <v>43.14973951353533</v>
      </c>
      <c r="C796" s="24">
        <f t="shared" si="68"/>
        <v>-5850.3717072712852</v>
      </c>
      <c r="H796" s="66"/>
      <c r="I796" s="66"/>
      <c r="J796" s="66"/>
      <c r="K796" s="66"/>
      <c r="L796" s="66"/>
      <c r="N796" s="5">
        <v>2.6425499251796283E-2</v>
      </c>
      <c r="O796" s="19">
        <f t="shared" si="71"/>
        <v>2.6777748701600323E-2</v>
      </c>
      <c r="P796" s="12">
        <f t="shared" si="69"/>
        <v>-6811.1435880912377</v>
      </c>
    </row>
    <row r="797" spans="1:16">
      <c r="A797" s="149">
        <v>0.72710348826563309</v>
      </c>
      <c r="B797" s="150">
        <f t="shared" si="70"/>
        <v>42.087790174522411</v>
      </c>
      <c r="C797" s="24">
        <f t="shared" si="68"/>
        <v>-5850.3717072712852</v>
      </c>
      <c r="H797" s="66"/>
      <c r="I797" s="66"/>
      <c r="J797" s="66"/>
      <c r="K797" s="66"/>
      <c r="L797" s="66"/>
      <c r="N797" s="5">
        <v>3.4127198043403043E-2</v>
      </c>
      <c r="O797" s="19">
        <f t="shared" si="71"/>
        <v>3.4716212235632815E-2</v>
      </c>
      <c r="P797" s="12">
        <f t="shared" si="69"/>
        <v>-6456.9315350236702</v>
      </c>
    </row>
    <row r="798" spans="1:16">
      <c r="A798" s="149">
        <v>5.8900723288674581E-3</v>
      </c>
      <c r="B798" s="150">
        <f t="shared" si="70"/>
        <v>4.2119640349067202</v>
      </c>
      <c r="C798" s="24">
        <f t="shared" si="68"/>
        <v>160753.57561920283</v>
      </c>
      <c r="H798" s="66"/>
      <c r="I798" s="66"/>
      <c r="J798" s="66"/>
      <c r="K798" s="66"/>
      <c r="L798" s="66"/>
      <c r="N798" s="5">
        <v>6.5091836129009609E-2</v>
      </c>
      <c r="O798" s="19">
        <f t="shared" si="71"/>
        <v>6.7257032638310177E-2</v>
      </c>
      <c r="P798" s="12">
        <f t="shared" si="69"/>
        <v>150015.25158427199</v>
      </c>
    </row>
    <row r="799" spans="1:16">
      <c r="A799" s="149">
        <v>0.30545976134525588</v>
      </c>
      <c r="B799" s="150">
        <f t="shared" si="70"/>
        <v>31.452240748619328</v>
      </c>
      <c r="C799" s="24">
        <f t="shared" si="68"/>
        <v>-5850.3717072712852</v>
      </c>
      <c r="H799" s="66"/>
      <c r="I799" s="66"/>
      <c r="J799" s="66"/>
      <c r="K799" s="66"/>
      <c r="L799" s="66"/>
      <c r="N799" s="5">
        <v>6.2334557876180044E-2</v>
      </c>
      <c r="O799" s="19">
        <f t="shared" si="71"/>
        <v>6.4318361261168411E-2</v>
      </c>
      <c r="P799" s="12">
        <f t="shared" si="69"/>
        <v>-5359.4948194725739</v>
      </c>
    </row>
    <row r="800" spans="1:16">
      <c r="A800" s="149">
        <v>0.75997192297128213</v>
      </c>
      <c r="B800" s="150">
        <f t="shared" si="70"/>
        <v>42.882524763206668</v>
      </c>
      <c r="C800" s="24">
        <f t="shared" si="68"/>
        <v>-5850.3717072712852</v>
      </c>
      <c r="H800" s="66"/>
      <c r="I800" s="66"/>
      <c r="J800" s="66"/>
      <c r="K800" s="66"/>
      <c r="L800" s="66"/>
      <c r="N800" s="5">
        <v>6.404682560183575E-3</v>
      </c>
      <c r="O800" s="19">
        <f t="shared" si="71"/>
        <v>6.4252363963674952E-3</v>
      </c>
      <c r="P800" s="12">
        <f t="shared" si="69"/>
        <v>-7866.1017841429048</v>
      </c>
    </row>
    <row r="801" spans="1:16">
      <c r="A801" s="149">
        <v>0.55342265083773312</v>
      </c>
      <c r="B801" s="150">
        <f t="shared" si="70"/>
        <v>38.075818135050945</v>
      </c>
      <c r="C801" s="24">
        <f t="shared" si="68"/>
        <v>-5850.3717072712852</v>
      </c>
      <c r="H801" s="66"/>
      <c r="I801" s="66"/>
      <c r="J801" s="66"/>
      <c r="K801" s="66"/>
      <c r="L801" s="66"/>
      <c r="N801" s="5">
        <v>6.1680938594814508E-2</v>
      </c>
      <c r="O801" s="19">
        <f t="shared" si="71"/>
        <v>6.3622929557280328E-2</v>
      </c>
      <c r="P801" s="12">
        <f t="shared" si="69"/>
        <v>-5381.7988350100777</v>
      </c>
    </row>
    <row r="802" spans="1:16">
      <c r="A802" s="149">
        <v>0.55330057679982914</v>
      </c>
      <c r="B802" s="150">
        <f t="shared" si="70"/>
        <v>38.07297158679642</v>
      </c>
      <c r="C802" s="24">
        <f t="shared" si="68"/>
        <v>-5850.3717072712852</v>
      </c>
      <c r="H802" s="66"/>
      <c r="I802" s="66"/>
      <c r="J802" s="66"/>
      <c r="K802" s="66"/>
      <c r="L802" s="66"/>
      <c r="N802" s="5">
        <v>4.7318685071455549E-2</v>
      </c>
      <c r="O802" s="19">
        <f t="shared" si="71"/>
        <v>4.8456083146394935E-2</v>
      </c>
      <c r="P802" s="12">
        <f t="shared" si="69"/>
        <v>-5907.5240605188928</v>
      </c>
    </row>
    <row r="803" spans="1:16">
      <c r="A803" s="149">
        <v>0.3596606341746269</v>
      </c>
      <c r="B803" s="150">
        <f t="shared" si="70"/>
        <v>33.122574032078994</v>
      </c>
      <c r="C803" s="24">
        <f t="shared" si="68"/>
        <v>-5850.3717072712852</v>
      </c>
      <c r="H803" s="66"/>
      <c r="I803" s="66"/>
      <c r="J803" s="66"/>
      <c r="K803" s="66"/>
      <c r="L803" s="66"/>
      <c r="N803" s="5">
        <v>3.4210790951998207E-2</v>
      </c>
      <c r="O803" s="19">
        <f t="shared" si="71"/>
        <v>3.4802710788666591E-2</v>
      </c>
      <c r="P803" s="12">
        <f t="shared" si="69"/>
        <v>-6453.2287431481145</v>
      </c>
    </row>
    <row r="804" spans="1:16">
      <c r="A804" s="149">
        <v>0.18225653859065524</v>
      </c>
      <c r="B804" s="150">
        <f t="shared" si="70"/>
        <v>26.575216456044814</v>
      </c>
      <c r="C804" s="24">
        <f t="shared" si="68"/>
        <v>-5850.3717072712852</v>
      </c>
      <c r="H804" s="66"/>
      <c r="I804" s="66"/>
      <c r="J804" s="66"/>
      <c r="K804" s="66"/>
      <c r="L804" s="66"/>
      <c r="N804" s="5">
        <v>6.3164568880107255E-2</v>
      </c>
      <c r="O804" s="19">
        <f t="shared" si="71"/>
        <v>6.5202123928329581E-2</v>
      </c>
      <c r="P804" s="12">
        <f t="shared" si="69"/>
        <v>-5331.3637504752232</v>
      </c>
    </row>
    <row r="805" spans="1:16">
      <c r="A805" s="149">
        <v>0.5102694784386731</v>
      </c>
      <c r="B805" s="150">
        <f t="shared" si="70"/>
        <v>37.056474773832264</v>
      </c>
      <c r="C805" s="24">
        <f t="shared" si="68"/>
        <v>-5850.3717072712852</v>
      </c>
      <c r="H805" s="66"/>
      <c r="I805" s="66"/>
      <c r="J805" s="66"/>
      <c r="K805" s="66"/>
      <c r="L805" s="66"/>
      <c r="N805" s="5">
        <v>6.8973933545872571E-2</v>
      </c>
      <c r="O805" s="19">
        <f t="shared" si="71"/>
        <v>7.1408280969545768E-2</v>
      </c>
      <c r="P805" s="12">
        <f t="shared" si="69"/>
        <v>-5140.3344208127783</v>
      </c>
    </row>
    <row r="806" spans="1:16">
      <c r="A806" s="149">
        <v>7.5807977538377022E-2</v>
      </c>
      <c r="B806" s="150">
        <f t="shared" si="70"/>
        <v>19.177546871144308</v>
      </c>
      <c r="C806" s="24">
        <f t="shared" si="68"/>
        <v>-5850.3717072712852</v>
      </c>
      <c r="H806" s="66"/>
      <c r="I806" s="66"/>
      <c r="J806" s="66"/>
      <c r="K806" s="66"/>
      <c r="L806" s="66"/>
      <c r="N806" s="5">
        <v>8.6156536733265968E-2</v>
      </c>
      <c r="O806" s="19">
        <f t="shared" si="71"/>
        <v>8.9976936380521177E-2</v>
      </c>
      <c r="P806" s="12">
        <f t="shared" si="69"/>
        <v>-4630.596351795808</v>
      </c>
    </row>
    <row r="807" spans="1:16">
      <c r="A807" s="149">
        <v>0.41944639423810542</v>
      </c>
      <c r="B807" s="150">
        <f t="shared" si="70"/>
        <v>34.779073771933668</v>
      </c>
      <c r="C807" s="24">
        <f t="shared" si="68"/>
        <v>-5850.3717072712852</v>
      </c>
      <c r="H807" s="66"/>
      <c r="I807" s="66"/>
      <c r="J807" s="66"/>
      <c r="K807" s="66"/>
      <c r="L807" s="66"/>
      <c r="N807" s="5">
        <v>-2.0695091782603411E-2</v>
      </c>
      <c r="O807" s="19">
        <f t="shared" si="71"/>
        <v>-2.0482417998471725E-2</v>
      </c>
      <c r="P807" s="12">
        <f t="shared" si="69"/>
        <v>-9673.9659849587115</v>
      </c>
    </row>
    <row r="808" spans="1:16">
      <c r="A808" s="149">
        <v>0.70085757011627547</v>
      </c>
      <c r="B808" s="150">
        <f t="shared" si="70"/>
        <v>41.46971789238949</v>
      </c>
      <c r="C808" s="24">
        <f t="shared" si="68"/>
        <v>-5850.3717072712852</v>
      </c>
      <c r="H808" s="66"/>
      <c r="I808" s="66"/>
      <c r="J808" s="66"/>
      <c r="K808" s="66"/>
      <c r="L808" s="66"/>
      <c r="N808" s="5">
        <v>2.9746392621869747E-2</v>
      </c>
      <c r="O808" s="19">
        <f t="shared" si="71"/>
        <v>3.0193236215795949E-2</v>
      </c>
      <c r="P808" s="12">
        <f t="shared" si="69"/>
        <v>-6655.1898904333048</v>
      </c>
    </row>
    <row r="809" spans="1:16">
      <c r="A809" s="149">
        <v>0.12030396435438093</v>
      </c>
      <c r="B809" s="150">
        <f t="shared" si="70"/>
        <v>22.955798122194846</v>
      </c>
      <c r="C809" s="24">
        <f t="shared" si="68"/>
        <v>-5850.3717072712852</v>
      </c>
      <c r="H809" s="66"/>
      <c r="I809" s="66"/>
      <c r="J809" s="66"/>
      <c r="K809" s="66"/>
      <c r="L809" s="66"/>
      <c r="N809" s="5">
        <v>4.0885510722670007E-2</v>
      </c>
      <c r="O809" s="19">
        <f t="shared" si="71"/>
        <v>4.1732831478761945E-2</v>
      </c>
      <c r="P809" s="12">
        <f t="shared" si="69"/>
        <v>-6166.8891817323465</v>
      </c>
    </row>
    <row r="810" spans="1:16">
      <c r="A810" s="149">
        <v>0.96890163884395886</v>
      </c>
      <c r="B810" s="150">
        <f t="shared" si="70"/>
        <v>50.396133379720069</v>
      </c>
      <c r="C810" s="24">
        <f t="shared" si="68"/>
        <v>-5850.3717072712852</v>
      </c>
      <c r="H810" s="66"/>
      <c r="I810" s="66"/>
      <c r="J810" s="66"/>
      <c r="K810" s="66"/>
      <c r="L810" s="66"/>
      <c r="N810" s="5">
        <v>9.3000360218080461E-2</v>
      </c>
      <c r="O810" s="19">
        <f t="shared" si="71"/>
        <v>9.7462130593712892E-2</v>
      </c>
      <c r="P810" s="12">
        <f t="shared" si="69"/>
        <v>-4448.2899371137846</v>
      </c>
    </row>
    <row r="811" spans="1:16">
      <c r="A811" s="149">
        <v>0.90853602710043646</v>
      </c>
      <c r="B811" s="150">
        <f t="shared" si="70"/>
        <v>47.245546646530208</v>
      </c>
      <c r="C811" s="24">
        <f t="shared" si="68"/>
        <v>-5850.3717072712852</v>
      </c>
      <c r="H811" s="66"/>
      <c r="I811" s="66"/>
      <c r="J811" s="66"/>
      <c r="K811" s="66"/>
      <c r="L811" s="66"/>
      <c r="N811" s="5">
        <v>8.0876097373547978E-3</v>
      </c>
      <c r="O811" s="19">
        <f t="shared" si="71"/>
        <v>8.1204027992007877E-3</v>
      </c>
      <c r="P811" s="12">
        <f t="shared" si="69"/>
        <v>-7769.2160556130748</v>
      </c>
    </row>
    <row r="812" spans="1:16">
      <c r="A812" s="149">
        <v>0.7151097140415662</v>
      </c>
      <c r="B812" s="150">
        <f t="shared" si="70"/>
        <v>41.803879507397632</v>
      </c>
      <c r="C812" s="24">
        <f t="shared" si="68"/>
        <v>-5850.3717072712852</v>
      </c>
      <c r="H812" s="66"/>
      <c r="I812" s="66"/>
      <c r="J812" s="66"/>
      <c r="K812" s="66"/>
      <c r="L812" s="66"/>
      <c r="N812" s="5">
        <v>5.4757714176172159E-2</v>
      </c>
      <c r="O812" s="19">
        <f t="shared" si="71"/>
        <v>5.6284660870501435E-2</v>
      </c>
      <c r="P812" s="12">
        <f t="shared" si="69"/>
        <v>-5626.4801324520677</v>
      </c>
    </row>
    <row r="813" spans="1:16">
      <c r="A813" s="149">
        <v>0.67421491134373002</v>
      </c>
      <c r="B813" s="150">
        <f t="shared" si="70"/>
        <v>40.852108968411763</v>
      </c>
      <c r="C813" s="24">
        <f t="shared" si="68"/>
        <v>-5850.3717072712852</v>
      </c>
      <c r="H813" s="66"/>
      <c r="I813" s="66"/>
      <c r="J813" s="66"/>
      <c r="K813" s="66"/>
      <c r="L813" s="66"/>
      <c r="N813" s="5">
        <v>0.10526931141351815</v>
      </c>
      <c r="O813" s="19">
        <f t="shared" si="71"/>
        <v>0.11100977768296949</v>
      </c>
      <c r="P813" s="12">
        <f t="shared" si="69"/>
        <v>-4147.5036339636708</v>
      </c>
    </row>
    <row r="814" spans="1:16">
      <c r="A814" s="149">
        <v>0.39417706839197975</v>
      </c>
      <c r="B814" s="150">
        <f t="shared" si="70"/>
        <v>34.098341524965875</v>
      </c>
      <c r="C814" s="24">
        <f t="shared" si="68"/>
        <v>-5850.3717072712852</v>
      </c>
      <c r="H814" s="66"/>
      <c r="I814" s="66"/>
      <c r="J814" s="66"/>
      <c r="K814" s="66"/>
      <c r="L814" s="66"/>
      <c r="N814" s="5">
        <v>7.4001453819742893E-2</v>
      </c>
      <c r="O814" s="19">
        <f t="shared" si="71"/>
        <v>7.6808370980350871E-2</v>
      </c>
      <c r="P814" s="12">
        <f t="shared" si="69"/>
        <v>-4982.9632401301942</v>
      </c>
    </row>
    <row r="815" spans="1:16">
      <c r="A815" s="149">
        <v>0.74080629902035589</v>
      </c>
      <c r="B815" s="150">
        <f t="shared" si="70"/>
        <v>42.415802434336193</v>
      </c>
      <c r="C815" s="24">
        <f t="shared" si="68"/>
        <v>-5850.3717072712852</v>
      </c>
      <c r="H815" s="66"/>
      <c r="I815" s="66"/>
      <c r="J815" s="66"/>
      <c r="K815" s="66"/>
      <c r="L815" s="66"/>
      <c r="N815" s="5">
        <v>1.6219328424209381E-2</v>
      </c>
      <c r="O815" s="19">
        <f t="shared" si="71"/>
        <v>1.6351575751659464E-2</v>
      </c>
      <c r="P815" s="12">
        <f t="shared" si="69"/>
        <v>-7323.0966002461255</v>
      </c>
    </row>
    <row r="816" spans="1:16">
      <c r="A816" s="149">
        <v>0.78646198919644761</v>
      </c>
      <c r="B816" s="150">
        <f t="shared" si="70"/>
        <v>43.547126394269057</v>
      </c>
      <c r="C816" s="24">
        <f t="shared" si="68"/>
        <v>-5850.3717072712852</v>
      </c>
      <c r="H816" s="66"/>
      <c r="I816" s="66"/>
      <c r="J816" s="66"/>
      <c r="K816" s="66"/>
      <c r="L816" s="66"/>
      <c r="N816" s="5">
        <v>5.8033838351671876E-2</v>
      </c>
      <c r="O816" s="19">
        <f t="shared" si="71"/>
        <v>5.9750855325696017E-2</v>
      </c>
      <c r="P816" s="12">
        <f t="shared" si="69"/>
        <v>-5508.744286317552</v>
      </c>
    </row>
    <row r="817" spans="1:16">
      <c r="A817" s="149">
        <v>7.7944273201696834E-2</v>
      </c>
      <c r="B817" s="150">
        <f t="shared" si="70"/>
        <v>19.39785346330693</v>
      </c>
      <c r="C817" s="24">
        <f t="shared" si="68"/>
        <v>-5850.3717072712852</v>
      </c>
      <c r="H817" s="66"/>
      <c r="I817" s="66"/>
      <c r="J817" s="66"/>
      <c r="K817" s="66"/>
      <c r="L817" s="66"/>
      <c r="N817" s="5">
        <v>4.2083894934090496E-2</v>
      </c>
      <c r="O817" s="19">
        <f t="shared" si="71"/>
        <v>4.298197598455733E-2</v>
      </c>
      <c r="P817" s="12">
        <f t="shared" si="69"/>
        <v>-6117.3734625697634</v>
      </c>
    </row>
    <row r="818" spans="1:16">
      <c r="A818" s="149">
        <v>0.36274300363170264</v>
      </c>
      <c r="B818" s="150">
        <f t="shared" si="70"/>
        <v>33.212147278091685</v>
      </c>
      <c r="C818" s="24">
        <f t="shared" si="68"/>
        <v>-5850.3717072712852</v>
      </c>
      <c r="H818" s="66"/>
      <c r="I818" s="66"/>
      <c r="J818" s="66"/>
      <c r="K818" s="66"/>
      <c r="L818" s="66"/>
      <c r="N818" s="5">
        <v>5.820354483342817E-2</v>
      </c>
      <c r="O818" s="19">
        <f t="shared" si="71"/>
        <v>5.9930717176320814E-2</v>
      </c>
      <c r="P818" s="12">
        <f t="shared" si="69"/>
        <v>-5502.7421126579602</v>
      </c>
    </row>
    <row r="819" spans="1:16">
      <c r="A819" s="149">
        <v>0.19602038636432997</v>
      </c>
      <c r="B819" s="150">
        <f t="shared" si="70"/>
        <v>27.233950302606271</v>
      </c>
      <c r="C819" s="24">
        <f t="shared" si="68"/>
        <v>-5850.3717072712852</v>
      </c>
      <c r="H819" s="66"/>
      <c r="I819" s="66"/>
      <c r="J819" s="66"/>
      <c r="K819" s="66"/>
      <c r="L819" s="66"/>
      <c r="N819" s="5">
        <v>5.3044566422737263E-2</v>
      </c>
      <c r="O819" s="19">
        <f t="shared" si="71"/>
        <v>5.447663832381866E-2</v>
      </c>
      <c r="P819" s="12">
        <f t="shared" si="69"/>
        <v>-5689.4856510830268</v>
      </c>
    </row>
    <row r="820" spans="1:16">
      <c r="A820" s="149">
        <v>0.63661610766930143</v>
      </c>
      <c r="B820" s="150">
        <f t="shared" si="70"/>
        <v>39.989634822311331</v>
      </c>
      <c r="C820" s="24">
        <f t="shared" si="68"/>
        <v>-5850.3717072712852</v>
      </c>
      <c r="H820" s="66"/>
      <c r="I820" s="66"/>
      <c r="J820" s="66"/>
      <c r="K820" s="66"/>
      <c r="L820" s="66"/>
      <c r="N820" s="5">
        <v>6.3933097587447266E-2</v>
      </c>
      <c r="O820" s="19">
        <f t="shared" si="71"/>
        <v>6.6021076993849626E-2</v>
      </c>
      <c r="P820" s="12">
        <f t="shared" si="69"/>
        <v>-5305.5065945409906</v>
      </c>
    </row>
    <row r="821" spans="1:16">
      <c r="A821" s="149">
        <v>0.98333689382610556</v>
      </c>
      <c r="B821" s="150">
        <f t="shared" si="70"/>
        <v>51.796406675707438</v>
      </c>
      <c r="C821" s="24">
        <f t="shared" si="68"/>
        <v>-5850.3717072712852</v>
      </c>
      <c r="H821" s="66"/>
      <c r="I821" s="66"/>
      <c r="J821" s="66"/>
      <c r="K821" s="66"/>
      <c r="L821" s="66"/>
      <c r="N821" s="5">
        <v>8.0413695693219781E-2</v>
      </c>
      <c r="O821" s="19">
        <f t="shared" si="71"/>
        <v>8.3735311581270233E-2</v>
      </c>
      <c r="P821" s="12">
        <f t="shared" si="69"/>
        <v>-4792.3176503425093</v>
      </c>
    </row>
    <row r="822" spans="1:16">
      <c r="A822" s="149">
        <v>0.96862697225867489</v>
      </c>
      <c r="B822" s="150">
        <f t="shared" si="70"/>
        <v>50.374651610465357</v>
      </c>
      <c r="C822" s="24">
        <f t="shared" si="68"/>
        <v>-5850.3717072712852</v>
      </c>
      <c r="H822" s="66"/>
      <c r="I822" s="66"/>
      <c r="J822" s="66"/>
      <c r="K822" s="66"/>
      <c r="L822" s="66"/>
      <c r="N822" s="5">
        <v>5.852829958451912E-2</v>
      </c>
      <c r="O822" s="19">
        <f t="shared" si="71"/>
        <v>6.0274990611742352E-2</v>
      </c>
      <c r="P822" s="12">
        <f t="shared" si="69"/>
        <v>-5491.2823825302221</v>
      </c>
    </row>
    <row r="823" spans="1:16">
      <c r="A823" s="149">
        <v>0.34430982390820031</v>
      </c>
      <c r="B823" s="150">
        <f t="shared" si="70"/>
        <v>32.668552395541049</v>
      </c>
      <c r="C823" s="24">
        <f t="shared" si="68"/>
        <v>-5850.3717072712852</v>
      </c>
      <c r="H823" s="66"/>
      <c r="I823" s="66"/>
      <c r="J823" s="66"/>
      <c r="K823" s="66"/>
      <c r="L823" s="66"/>
      <c r="N823" s="5">
        <v>4.2255628906910717E-2</v>
      </c>
      <c r="O823" s="19">
        <f t="shared" si="71"/>
        <v>4.3161106803856431E-2</v>
      </c>
      <c r="P823" s="12">
        <f t="shared" si="69"/>
        <v>-6110.3234952386592</v>
      </c>
    </row>
    <row r="824" spans="1:16">
      <c r="A824" s="149">
        <v>0.49925229651783809</v>
      </c>
      <c r="B824" s="150">
        <f t="shared" si="70"/>
        <v>36.79115961763501</v>
      </c>
      <c r="C824" s="24">
        <f t="shared" si="68"/>
        <v>-5850.3717072712852</v>
      </c>
      <c r="H824" s="66"/>
      <c r="I824" s="66"/>
      <c r="J824" s="66"/>
      <c r="K824" s="66"/>
      <c r="L824" s="66"/>
      <c r="N824" s="5">
        <v>4.0362363231120982E-2</v>
      </c>
      <c r="O824" s="19">
        <f t="shared" si="71"/>
        <v>4.1187994088692781E-2</v>
      </c>
      <c r="P824" s="12">
        <f t="shared" si="69"/>
        <v>-6188.6817292348751</v>
      </c>
    </row>
    <row r="825" spans="1:16">
      <c r="A825" s="149">
        <v>0.85781426435132913</v>
      </c>
      <c r="B825" s="150">
        <f t="shared" si="70"/>
        <v>45.521727980209327</v>
      </c>
      <c r="C825" s="24">
        <f t="shared" si="68"/>
        <v>-5850.3717072712852</v>
      </c>
      <c r="H825" s="66"/>
      <c r="I825" s="66"/>
      <c r="J825" s="66"/>
      <c r="K825" s="66"/>
      <c r="L825" s="66"/>
      <c r="N825" s="5">
        <v>7.8527909815544264E-2</v>
      </c>
      <c r="O825" s="19">
        <f t="shared" si="71"/>
        <v>8.1693544608289148E-2</v>
      </c>
      <c r="P825" s="12">
        <f t="shared" si="69"/>
        <v>-4847.2520514898715</v>
      </c>
    </row>
    <row r="826" spans="1:16">
      <c r="A826" s="149">
        <v>0.80385753959776607</v>
      </c>
      <c r="B826" s="150">
        <f t="shared" si="70"/>
        <v>43.999370914507359</v>
      </c>
      <c r="C826" s="24">
        <f t="shared" si="68"/>
        <v>-5850.3717072712852</v>
      </c>
      <c r="H826" s="66"/>
      <c r="I826" s="66"/>
      <c r="J826" s="66"/>
      <c r="K826" s="66"/>
      <c r="L826" s="66"/>
      <c r="N826" s="5">
        <v>5.3757941893432873E-2</v>
      </c>
      <c r="O826" s="19">
        <f t="shared" si="71"/>
        <v>5.5229144469820746E-2</v>
      </c>
      <c r="P826" s="12">
        <f t="shared" si="69"/>
        <v>-5663.1274511817674</v>
      </c>
    </row>
    <row r="827" spans="1:16">
      <c r="A827" s="149">
        <v>0.92553483687856686</v>
      </c>
      <c r="B827" s="150">
        <f t="shared" si="70"/>
        <v>47.943154754952083</v>
      </c>
      <c r="C827" s="24">
        <f t="shared" si="68"/>
        <v>-5850.3717072712852</v>
      </c>
      <c r="H827" s="66"/>
      <c r="I827" s="66"/>
      <c r="J827" s="66"/>
      <c r="K827" s="66"/>
      <c r="L827" s="66"/>
      <c r="N827" s="5">
        <v>4.6376175712008263E-2</v>
      </c>
      <c r="O827" s="19">
        <f t="shared" si="71"/>
        <v>4.7468369013085043E-2</v>
      </c>
      <c r="P827" s="12">
        <f t="shared" si="69"/>
        <v>-5944.5478283633665</v>
      </c>
    </row>
    <row r="828" spans="1:16">
      <c r="A828" s="149">
        <v>0.10635700552385022</v>
      </c>
      <c r="B828" s="150">
        <f t="shared" si="70"/>
        <v>21.923343162914001</v>
      </c>
      <c r="C828" s="24">
        <f t="shared" si="68"/>
        <v>-5850.3717072712852</v>
      </c>
      <c r="H828" s="66"/>
      <c r="I828" s="66"/>
      <c r="J828" s="66"/>
      <c r="K828" s="66"/>
      <c r="L828" s="66"/>
      <c r="N828" s="5">
        <v>2.4294441752441345E-2</v>
      </c>
      <c r="O828" s="19">
        <f t="shared" si="71"/>
        <v>2.4591956132096859E-2</v>
      </c>
      <c r="P828" s="12">
        <f t="shared" si="69"/>
        <v>-6913.8876251505508</v>
      </c>
    </row>
    <row r="829" spans="1:16">
      <c r="A829" s="149">
        <v>0.15030365916928617</v>
      </c>
      <c r="B829" s="150">
        <f t="shared" si="70"/>
        <v>24.867780239733808</v>
      </c>
      <c r="C829" s="24">
        <f t="shared" si="68"/>
        <v>-5850.3717072712852</v>
      </c>
      <c r="H829" s="66"/>
      <c r="I829" s="66"/>
      <c r="J829" s="66"/>
      <c r="K829" s="66"/>
      <c r="L829" s="66"/>
      <c r="N829" s="5">
        <v>0.11816327782720328</v>
      </c>
      <c r="O829" s="19">
        <f t="shared" si="71"/>
        <v>0.12542785378104249</v>
      </c>
      <c r="P829" s="12">
        <f t="shared" si="69"/>
        <v>-3863.6878520757064</v>
      </c>
    </row>
    <row r="830" spans="1:16">
      <c r="A830" s="149">
        <v>8.6642048402356023E-2</v>
      </c>
      <c r="B830" s="150">
        <f t="shared" si="70"/>
        <v>20.244824441874108</v>
      </c>
      <c r="C830" s="24">
        <f t="shared" si="68"/>
        <v>-5850.3717072712852</v>
      </c>
      <c r="H830" s="66"/>
      <c r="I830" s="66"/>
      <c r="J830" s="66"/>
      <c r="K830" s="66"/>
      <c r="L830" s="66"/>
      <c r="N830" s="5">
        <v>4.9076191041545827E-2</v>
      </c>
      <c r="O830" s="19">
        <f t="shared" si="71"/>
        <v>5.0300371170785008E-2</v>
      </c>
      <c r="P830" s="12">
        <f t="shared" si="69"/>
        <v>-5839.3535639628135</v>
      </c>
    </row>
    <row r="831" spans="1:16">
      <c r="A831" s="149">
        <v>9.0151676992095711E-2</v>
      </c>
      <c r="B831" s="150">
        <f t="shared" si="70"/>
        <v>20.566110196098816</v>
      </c>
      <c r="C831" s="24">
        <f t="shared" si="68"/>
        <v>-5850.3717072712852</v>
      </c>
      <c r="H831" s="66"/>
      <c r="I831" s="66"/>
      <c r="J831" s="66"/>
      <c r="K831" s="66"/>
      <c r="L831" s="66"/>
      <c r="N831" s="5">
        <v>-6.7091296412982032E-3</v>
      </c>
      <c r="O831" s="19">
        <f t="shared" si="71"/>
        <v>-6.686673679078714E-3</v>
      </c>
      <c r="P831" s="12">
        <f t="shared" si="69"/>
        <v>-8679.4106464206579</v>
      </c>
    </row>
    <row r="832" spans="1:16">
      <c r="A832" s="149">
        <v>9.0853602710043641E-2</v>
      </c>
      <c r="B832" s="150">
        <f t="shared" si="70"/>
        <v>20.629078566228166</v>
      </c>
      <c r="C832" s="24">
        <f t="shared" si="68"/>
        <v>-5850.3717072712852</v>
      </c>
      <c r="H832" s="66"/>
      <c r="I832" s="66"/>
      <c r="J832" s="66"/>
      <c r="K832" s="66"/>
      <c r="L832" s="66"/>
      <c r="N832" s="5">
        <v>4.8263084929327307E-2</v>
      </c>
      <c r="O832" s="19">
        <f t="shared" si="71"/>
        <v>4.9446712623844036E-2</v>
      </c>
      <c r="P832" s="12">
        <f t="shared" si="69"/>
        <v>-5870.7529693015658</v>
      </c>
    </row>
    <row r="833" spans="1:16">
      <c r="A833" s="149">
        <v>0.2087771233252968</v>
      </c>
      <c r="B833" s="150">
        <f t="shared" si="70"/>
        <v>27.811096123417343</v>
      </c>
      <c r="C833" s="24">
        <f t="shared" si="68"/>
        <v>-5850.3717072712852</v>
      </c>
      <c r="H833" s="66"/>
      <c r="I833" s="66"/>
      <c r="J833" s="66"/>
      <c r="K833" s="66"/>
      <c r="L833" s="66"/>
      <c r="N833" s="5">
        <v>3.4517380479097484E-2</v>
      </c>
      <c r="O833" s="19">
        <f t="shared" si="71"/>
        <v>3.5120019101625655E-2</v>
      </c>
      <c r="P833" s="12">
        <f t="shared" si="69"/>
        <v>-6439.6734925630426</v>
      </c>
    </row>
    <row r="834" spans="1:16">
      <c r="A834" s="149">
        <v>0.53355510116885896</v>
      </c>
      <c r="B834" s="150">
        <f t="shared" si="70"/>
        <v>37.610018733569582</v>
      </c>
      <c r="C834" s="24">
        <f t="shared" si="68"/>
        <v>-5850.3717072712852</v>
      </c>
      <c r="H834" s="66"/>
      <c r="I834" s="66"/>
      <c r="J834" s="66"/>
      <c r="K834" s="66"/>
      <c r="L834" s="66"/>
      <c r="N834" s="5">
        <v>1.4754329137882452E-2</v>
      </c>
      <c r="O834" s="19">
        <f t="shared" si="71"/>
        <v>1.4863711544634173E-2</v>
      </c>
      <c r="P834" s="12">
        <f t="shared" si="69"/>
        <v>-7400.856563528132</v>
      </c>
    </row>
    <row r="835" spans="1:16">
      <c r="A835" s="149">
        <v>0.90786461989196443</v>
      </c>
      <c r="B835" s="150">
        <f t="shared" si="70"/>
        <v>47.219644674530024</v>
      </c>
      <c r="C835" s="24">
        <f t="shared" si="68"/>
        <v>-5850.3717072712852</v>
      </c>
      <c r="H835" s="66"/>
      <c r="I835" s="66"/>
      <c r="J835" s="66"/>
      <c r="K835" s="66"/>
      <c r="L835" s="66"/>
      <c r="N835" s="5">
        <v>1.6906921880159645E-2</v>
      </c>
      <c r="O835" s="19">
        <f t="shared" si="71"/>
        <v>1.7050652756935403E-2</v>
      </c>
      <c r="P835" s="12">
        <f t="shared" si="69"/>
        <v>-7286.9832423923508</v>
      </c>
    </row>
    <row r="836" spans="1:16">
      <c r="A836" s="149">
        <v>8.6214789269692074E-2</v>
      </c>
      <c r="B836" s="150">
        <f t="shared" si="70"/>
        <v>20.204954381312348</v>
      </c>
      <c r="C836" s="24">
        <f t="shared" si="68"/>
        <v>-5850.3717072712852</v>
      </c>
      <c r="H836" s="66"/>
      <c r="I836" s="66"/>
      <c r="J836" s="66"/>
      <c r="K836" s="66"/>
      <c r="L836" s="66"/>
      <c r="N836" s="5">
        <v>5.9887759741410265E-2</v>
      </c>
      <c r="O836" s="19">
        <f t="shared" si="71"/>
        <v>6.1717372424987538E-2</v>
      </c>
      <c r="P836" s="12">
        <f t="shared" si="69"/>
        <v>-5443.6815672034272</v>
      </c>
    </row>
    <row r="837" spans="1:16">
      <c r="A837" s="149">
        <v>0.10586870937223426</v>
      </c>
      <c r="B837" s="150">
        <f t="shared" si="70"/>
        <v>21.885131504549747</v>
      </c>
      <c r="C837" s="24">
        <f t="shared" si="68"/>
        <v>-5850.3717072712852</v>
      </c>
      <c r="H837" s="66"/>
      <c r="I837" s="66"/>
      <c r="J837" s="66"/>
      <c r="K837" s="66"/>
      <c r="L837" s="66"/>
      <c r="N837" s="5">
        <v>8.2583111131621992E-2</v>
      </c>
      <c r="O837" s="19">
        <f t="shared" si="71"/>
        <v>8.6088935768596331E-2</v>
      </c>
      <c r="P837" s="12">
        <f t="shared" si="69"/>
        <v>-4730.2537720006712</v>
      </c>
    </row>
    <row r="838" spans="1:16">
      <c r="A838" s="149">
        <v>0.50706503494369337</v>
      </c>
      <c r="B838" s="150">
        <f t="shared" si="70"/>
        <v>36.979550240228562</v>
      </c>
      <c r="C838" s="24">
        <f t="shared" si="68"/>
        <v>-5850.3717072712852</v>
      </c>
      <c r="H838" s="66"/>
      <c r="I838" s="66"/>
      <c r="J838" s="66"/>
      <c r="K838" s="66"/>
      <c r="L838" s="66"/>
      <c r="N838" s="5">
        <v>5.7805440948286574E-3</v>
      </c>
      <c r="O838" s="19">
        <f t="shared" si="71"/>
        <v>5.7972836789359494E-3</v>
      </c>
      <c r="P838" s="12">
        <f t="shared" si="69"/>
        <v>-7902.4462443940938</v>
      </c>
    </row>
    <row r="839" spans="1:16">
      <c r="A839" s="149">
        <v>4.9501022370067448E-2</v>
      </c>
      <c r="B839" s="150">
        <f t="shared" si="70"/>
        <v>15.917835329172179</v>
      </c>
      <c r="C839" s="24">
        <f t="shared" si="68"/>
        <v>-5850.3717072712852</v>
      </c>
      <c r="H839" s="66"/>
      <c r="I839" s="66"/>
      <c r="J839" s="66"/>
      <c r="K839" s="66"/>
      <c r="L839" s="66"/>
      <c r="N839" s="5">
        <v>2.5921475932715113E-2</v>
      </c>
      <c r="O839" s="19">
        <f t="shared" si="71"/>
        <v>2.6260359171888181E-2</v>
      </c>
      <c r="P839" s="12">
        <f t="shared" si="69"/>
        <v>-6835.2530419263758</v>
      </c>
    </row>
    <row r="840" spans="1:16">
      <c r="A840" s="149">
        <v>0.30478835413678396</v>
      </c>
      <c r="B840" s="150">
        <f t="shared" si="70"/>
        <v>31.43026053140083</v>
      </c>
      <c r="C840" s="24">
        <f t="shared" si="68"/>
        <v>-5850.3717072712852</v>
      </c>
      <c r="H840" s="66"/>
      <c r="I840" s="66"/>
      <c r="J840" s="66"/>
      <c r="K840" s="66"/>
      <c r="L840" s="66"/>
      <c r="N840" s="5">
        <v>7.0967231246992016E-2</v>
      </c>
      <c r="O840" s="19">
        <f t="shared" si="71"/>
        <v>7.3546046526727693E-2</v>
      </c>
      <c r="P840" s="12">
        <f t="shared" si="69"/>
        <v>-5077.0821426774792</v>
      </c>
    </row>
    <row r="841" spans="1:16">
      <c r="A841" s="149">
        <v>2.9389324625385297E-2</v>
      </c>
      <c r="B841" s="150">
        <f t="shared" si="70"/>
        <v>12.271205964973982</v>
      </c>
      <c r="C841" s="24">
        <f t="shared" si="68"/>
        <v>104825.37576934618</v>
      </c>
      <c r="H841" s="66"/>
      <c r="I841" s="66"/>
      <c r="J841" s="66"/>
      <c r="K841" s="66"/>
      <c r="L841" s="66"/>
      <c r="N841" s="5">
        <v>5.7204019137439902E-2</v>
      </c>
      <c r="O841" s="19">
        <f t="shared" si="71"/>
        <v>5.8871818474924398E-2</v>
      </c>
      <c r="P841" s="12">
        <f t="shared" si="69"/>
        <v>94272.816200180998</v>
      </c>
    </row>
    <row r="842" spans="1:16">
      <c r="A842" s="149">
        <v>0.46974089785454881</v>
      </c>
      <c r="B842" s="150">
        <f t="shared" si="70"/>
        <v>36.067479778224588</v>
      </c>
      <c r="C842" s="24">
        <f t="shared" si="68"/>
        <v>-5850.3717072712852</v>
      </c>
      <c r="H842" s="66"/>
      <c r="I842" s="66"/>
      <c r="J842" s="66"/>
      <c r="K842" s="66"/>
      <c r="L842" s="66"/>
      <c r="N842" s="5">
        <v>5.2325820840575035E-2</v>
      </c>
      <c r="O842" s="19">
        <f t="shared" si="71"/>
        <v>5.3719010202078588E-2</v>
      </c>
      <c r="P842" s="12">
        <f t="shared" si="69"/>
        <v>-5716.2197974820365</v>
      </c>
    </row>
    <row r="843" spans="1:16">
      <c r="A843" s="149">
        <v>0.54972991119113745</v>
      </c>
      <c r="B843" s="150">
        <f t="shared" si="70"/>
        <v>37.989630783835665</v>
      </c>
      <c r="C843" s="24">
        <f t="shared" si="68"/>
        <v>-5850.3717072712852</v>
      </c>
      <c r="H843" s="66"/>
      <c r="I843" s="66"/>
      <c r="J843" s="66"/>
      <c r="K843" s="66"/>
      <c r="L843" s="66"/>
      <c r="N843" s="5">
        <v>2.5225827309564922E-2</v>
      </c>
      <c r="O843" s="19">
        <f t="shared" si="71"/>
        <v>2.5546690826018015E-2</v>
      </c>
      <c r="P843" s="12">
        <f t="shared" si="69"/>
        <v>-6868.7222792052971</v>
      </c>
    </row>
    <row r="844" spans="1:16">
      <c r="A844" s="149">
        <v>0.87569811090426342</v>
      </c>
      <c r="B844" s="150">
        <f t="shared" si="70"/>
        <v>46.08495523977799</v>
      </c>
      <c r="C844" s="24">
        <f t="shared" si="68"/>
        <v>-5850.3717072712852</v>
      </c>
      <c r="H844" s="66"/>
      <c r="I844" s="66"/>
      <c r="J844" s="66"/>
      <c r="K844" s="66"/>
      <c r="L844" s="66"/>
      <c r="N844" s="5">
        <v>3.4942770023131745E-2</v>
      </c>
      <c r="O844" s="19">
        <f t="shared" si="71"/>
        <v>3.5560442003579107E-2</v>
      </c>
      <c r="P844" s="12">
        <f t="shared" si="69"/>
        <v>-6420.9313760433251</v>
      </c>
    </row>
    <row r="845" spans="1:16">
      <c r="A845" s="149">
        <v>0.39307840205084382</v>
      </c>
      <c r="B845" s="150">
        <f t="shared" si="70"/>
        <v>34.068146520450334</v>
      </c>
      <c r="C845" s="24">
        <f t="shared" si="68"/>
        <v>-5850.3717072712852</v>
      </c>
      <c r="H845" s="66"/>
      <c r="I845" s="66"/>
      <c r="J845" s="66"/>
      <c r="K845" s="66"/>
      <c r="L845" s="66"/>
      <c r="N845" s="5">
        <v>4.8766423285211205E-2</v>
      </c>
      <c r="O845" s="19">
        <f t="shared" si="71"/>
        <v>4.9975072367471451E-2</v>
      </c>
      <c r="P845" s="12">
        <f t="shared" si="69"/>
        <v>-5851.2875650357191</v>
      </c>
    </row>
    <row r="846" spans="1:16">
      <c r="A846" s="149">
        <v>0.27643665883358259</v>
      </c>
      <c r="B846" s="150">
        <f t="shared" si="70"/>
        <v>30.467167279927544</v>
      </c>
      <c r="C846" s="24">
        <f t="shared" si="68"/>
        <v>-5850.3717072712852</v>
      </c>
      <c r="H846" s="66"/>
      <c r="I846" s="66"/>
      <c r="J846" s="66"/>
      <c r="K846" s="66"/>
      <c r="L846" s="66"/>
      <c r="N846" s="5">
        <v>4.8711078258871568E-2</v>
      </c>
      <c r="O846" s="19">
        <f t="shared" si="71"/>
        <v>4.9916963077480059E-2</v>
      </c>
      <c r="P846" s="12">
        <f t="shared" si="69"/>
        <v>-5853.4234139919035</v>
      </c>
    </row>
    <row r="847" spans="1:16">
      <c r="A847" s="149">
        <v>5.5391094698934905E-2</v>
      </c>
      <c r="B847" s="150">
        <f t="shared" si="70"/>
        <v>16.755247699580568</v>
      </c>
      <c r="C847" s="24">
        <f t="shared" si="68"/>
        <v>-5850.3717072712852</v>
      </c>
      <c r="H847" s="66"/>
      <c r="I847" s="66"/>
      <c r="J847" s="66"/>
      <c r="K847" s="66"/>
      <c r="L847" s="66"/>
      <c r="N847" s="5">
        <v>7.9984525152336575E-2</v>
      </c>
      <c r="O847" s="19">
        <f t="shared" si="71"/>
        <v>8.3270304102317727E-2</v>
      </c>
      <c r="P847" s="12">
        <f t="shared" si="69"/>
        <v>-4804.7384858899168</v>
      </c>
    </row>
    <row r="848" spans="1:16">
      <c r="A848" s="149">
        <v>0.72396008178960536</v>
      </c>
      <c r="B848" s="150">
        <f t="shared" si="70"/>
        <v>42.013114742727943</v>
      </c>
      <c r="C848" s="24">
        <f t="shared" ref="C848:C911" si="72">IF($B848&lt;15,B$8*(B$10^$B848)-B$7*(1-B$10^$B848)/B$11, -B$7*(1-B$10^15)/B$11)</f>
        <v>-5850.3717072712852</v>
      </c>
      <c r="H848" s="66"/>
      <c r="I848" s="66"/>
      <c r="J848" s="66"/>
      <c r="K848" s="66"/>
      <c r="L848" s="66"/>
      <c r="N848" s="5">
        <v>8.7832888263743372E-2</v>
      </c>
      <c r="O848" s="19">
        <f t="shared" si="71"/>
        <v>9.1805653243915986E-2</v>
      </c>
      <c r="P848" s="12">
        <f t="shared" ref="P848:P911" si="73">IF($B848&lt;15,B$8*((1+O848)^-$B848)-B$7*(1-(1+O848)^-$B848)/LN(1+O848), -B$7*(1-(1+O848)^-15)/LN(1+O848))</f>
        <v>-4584.9207282732496</v>
      </c>
    </row>
    <row r="849" spans="1:16">
      <c r="A849" s="149">
        <v>0.32468642231513412</v>
      </c>
      <c r="B849" s="150">
        <f t="shared" ref="B849:B912" si="74">LN(1-LN(B$4)*(LN(1-A849)/(B$3*B$4^50)))/LN(B$4)</f>
        <v>32.067213253613708</v>
      </c>
      <c r="C849" s="24">
        <f t="shared" si="72"/>
        <v>-5850.3717072712852</v>
      </c>
      <c r="H849" s="66"/>
      <c r="I849" s="66"/>
      <c r="J849" s="66"/>
      <c r="K849" s="66"/>
      <c r="L849" s="66"/>
      <c r="N849" s="5">
        <v>3.2432352506599274E-2</v>
      </c>
      <c r="O849" s="19">
        <f t="shared" ref="O849:O912" si="75">EXP(N849)-1</f>
        <v>3.2964013354126465E-2</v>
      </c>
      <c r="P849" s="12">
        <f t="shared" si="73"/>
        <v>-6532.6478081221376</v>
      </c>
    </row>
    <row r="850" spans="1:16">
      <c r="A850" s="149">
        <v>0.33552049317911314</v>
      </c>
      <c r="B850" s="150">
        <f t="shared" si="74"/>
        <v>32.402278420874367</v>
      </c>
      <c r="C850" s="24">
        <f t="shared" si="72"/>
        <v>-5850.3717072712852</v>
      </c>
      <c r="H850" s="66"/>
      <c r="I850" s="66"/>
      <c r="J850" s="66"/>
      <c r="K850" s="66"/>
      <c r="L850" s="66"/>
      <c r="N850" s="5">
        <v>0.11974844705685973</v>
      </c>
      <c r="O850" s="19">
        <f t="shared" si="75"/>
        <v>0.12721326209835926</v>
      </c>
      <c r="P850" s="12">
        <f t="shared" si="73"/>
        <v>-3830.8798819519893</v>
      </c>
    </row>
    <row r="851" spans="1:16">
      <c r="A851" s="149">
        <v>0.46696371349223303</v>
      </c>
      <c r="B851" s="150">
        <f t="shared" si="74"/>
        <v>35.998287073603144</v>
      </c>
      <c r="C851" s="24">
        <f t="shared" si="72"/>
        <v>-5850.3717072712852</v>
      </c>
      <c r="H851" s="66"/>
      <c r="I851" s="66"/>
      <c r="J851" s="66"/>
      <c r="K851" s="66"/>
      <c r="L851" s="66"/>
      <c r="N851" s="5">
        <v>4.1366574075378595E-2</v>
      </c>
      <c r="O851" s="19">
        <f t="shared" si="75"/>
        <v>4.2234091526552442E-2</v>
      </c>
      <c r="P851" s="12">
        <f t="shared" si="73"/>
        <v>-6146.9447743856927</v>
      </c>
    </row>
    <row r="852" spans="1:16">
      <c r="A852" s="149">
        <v>0.27182836390270698</v>
      </c>
      <c r="B852" s="150">
        <f t="shared" si="74"/>
        <v>30.303620976245405</v>
      </c>
      <c r="C852" s="24">
        <f t="shared" si="72"/>
        <v>-5850.3717072712852</v>
      </c>
      <c r="H852" s="66"/>
      <c r="I852" s="66"/>
      <c r="J852" s="66"/>
      <c r="K852" s="66"/>
      <c r="L852" s="66"/>
      <c r="N852" s="5">
        <v>1.3505723424837926E-2</v>
      </c>
      <c r="O852" s="19">
        <f t="shared" si="75"/>
        <v>1.3597337681782617E-2</v>
      </c>
      <c r="P852" s="12">
        <f t="shared" si="73"/>
        <v>-7468.0187246240757</v>
      </c>
    </row>
    <row r="853" spans="1:16">
      <c r="A853" s="149">
        <v>0.68697164830469681</v>
      </c>
      <c r="B853" s="150">
        <f t="shared" si="74"/>
        <v>41.146861147097539</v>
      </c>
      <c r="C853" s="24">
        <f t="shared" si="72"/>
        <v>-5850.3717072712852</v>
      </c>
      <c r="H853" s="66"/>
      <c r="I853" s="66"/>
      <c r="J853" s="66"/>
      <c r="K853" s="66"/>
      <c r="L853" s="66"/>
      <c r="N853" s="5">
        <v>7.108997665194329E-2</v>
      </c>
      <c r="O853" s="19">
        <f t="shared" si="75"/>
        <v>7.36778274585288E-2</v>
      </c>
      <c r="P853" s="12">
        <f t="shared" si="73"/>
        <v>-5073.2243599963267</v>
      </c>
    </row>
    <row r="854" spans="1:16">
      <c r="A854" s="149">
        <v>0.17044587542344433</v>
      </c>
      <c r="B854" s="150">
        <f t="shared" si="74"/>
        <v>25.975921685425149</v>
      </c>
      <c r="C854" s="24">
        <f t="shared" si="72"/>
        <v>-5850.3717072712852</v>
      </c>
      <c r="H854" s="66"/>
      <c r="I854" s="66"/>
      <c r="J854" s="66"/>
      <c r="K854" s="66"/>
      <c r="L854" s="66"/>
      <c r="N854" s="5">
        <v>5.0529463757935447E-2</v>
      </c>
      <c r="O854" s="19">
        <f t="shared" si="75"/>
        <v>5.1827853699726312E-2</v>
      </c>
      <c r="P854" s="12">
        <f t="shared" si="73"/>
        <v>-5783.8246333558</v>
      </c>
    </row>
    <row r="855" spans="1:16">
      <c r="A855" s="149">
        <v>0.37846003601184119</v>
      </c>
      <c r="B855" s="150">
        <f t="shared" si="74"/>
        <v>33.661201911765751</v>
      </c>
      <c r="C855" s="24">
        <f t="shared" si="72"/>
        <v>-5850.3717072712852</v>
      </c>
      <c r="H855" s="66"/>
      <c r="I855" s="66"/>
      <c r="J855" s="66"/>
      <c r="K855" s="66"/>
      <c r="L855" s="66"/>
      <c r="N855" s="5">
        <v>6.3025055576086744E-2</v>
      </c>
      <c r="O855" s="19">
        <f t="shared" si="75"/>
        <v>6.5053524426615272E-2</v>
      </c>
      <c r="P855" s="12">
        <f t="shared" si="73"/>
        <v>-5336.0772347782986</v>
      </c>
    </row>
    <row r="856" spans="1:16">
      <c r="A856" s="149">
        <v>0.74349192785424356</v>
      </c>
      <c r="B856" s="150">
        <f t="shared" si="74"/>
        <v>42.480606183610128</v>
      </c>
      <c r="C856" s="24">
        <f t="shared" si="72"/>
        <v>-5850.3717072712852</v>
      </c>
      <c r="H856" s="66"/>
      <c r="I856" s="66"/>
      <c r="J856" s="66"/>
      <c r="K856" s="66"/>
      <c r="L856" s="66"/>
      <c r="N856" s="5">
        <v>1.1066816066100729E-2</v>
      </c>
      <c r="O856" s="19">
        <f t="shared" si="75"/>
        <v>1.1128279801715601E-2</v>
      </c>
      <c r="P856" s="12">
        <f t="shared" si="73"/>
        <v>-7601.6095971117475</v>
      </c>
    </row>
    <row r="857" spans="1:16">
      <c r="A857" s="149">
        <v>0.28833887752922149</v>
      </c>
      <c r="B857" s="150">
        <f t="shared" si="74"/>
        <v>30.880141614013574</v>
      </c>
      <c r="C857" s="24">
        <f t="shared" si="72"/>
        <v>-5850.3717072712852</v>
      </c>
      <c r="H857" s="66"/>
      <c r="I857" s="66"/>
      <c r="J857" s="66"/>
      <c r="K857" s="66"/>
      <c r="L857" s="66"/>
      <c r="N857" s="5">
        <v>3.0919707180270053E-2</v>
      </c>
      <c r="O857" s="19">
        <f t="shared" si="75"/>
        <v>3.1402686331777119E-2</v>
      </c>
      <c r="P857" s="12">
        <f t="shared" si="73"/>
        <v>-6601.2706295855232</v>
      </c>
    </row>
    <row r="858" spans="1:16">
      <c r="A858" s="149">
        <v>0.41319009979552601</v>
      </c>
      <c r="B858" s="150">
        <f t="shared" si="74"/>
        <v>34.612884084930883</v>
      </c>
      <c r="C858" s="24">
        <f t="shared" si="72"/>
        <v>-5850.3717072712852</v>
      </c>
      <c r="H858" s="66"/>
      <c r="I858" s="66"/>
      <c r="J858" s="66"/>
      <c r="K858" s="66"/>
      <c r="L858" s="66"/>
      <c r="N858" s="5">
        <v>9.0697349557682175E-2</v>
      </c>
      <c r="O858" s="19">
        <f t="shared" si="75"/>
        <v>9.4937571766343209E-2</v>
      </c>
      <c r="P858" s="12">
        <f t="shared" si="73"/>
        <v>-4508.4176026304322</v>
      </c>
    </row>
    <row r="859" spans="1:16">
      <c r="A859" s="149">
        <v>0.22269356364635151</v>
      </c>
      <c r="B859" s="150">
        <f t="shared" si="74"/>
        <v>28.408612695360343</v>
      </c>
      <c r="C859" s="24">
        <f t="shared" si="72"/>
        <v>-5850.3717072712852</v>
      </c>
      <c r="H859" s="66"/>
      <c r="I859" s="66"/>
      <c r="J859" s="66"/>
      <c r="K859" s="66"/>
      <c r="L859" s="66"/>
      <c r="N859" s="5">
        <v>3.2071349503108651E-2</v>
      </c>
      <c r="O859" s="19">
        <f t="shared" si="75"/>
        <v>3.2591177544280425E-2</v>
      </c>
      <c r="P859" s="12">
        <f t="shared" si="73"/>
        <v>-6548.9347810956269</v>
      </c>
    </row>
    <row r="860" spans="1:16">
      <c r="A860" s="149">
        <v>0.3546250801110874</v>
      </c>
      <c r="B860" s="150">
        <f t="shared" si="74"/>
        <v>32.975122180595378</v>
      </c>
      <c r="C860" s="24">
        <f t="shared" si="72"/>
        <v>-5850.3717072712852</v>
      </c>
      <c r="H860" s="66"/>
      <c r="I860" s="66"/>
      <c r="J860" s="66"/>
      <c r="K860" s="66"/>
      <c r="L860" s="66"/>
      <c r="N860" s="5">
        <v>7.489338549670356E-2</v>
      </c>
      <c r="O860" s="19">
        <f t="shared" si="75"/>
        <v>7.7769238927023254E-2</v>
      </c>
      <c r="P860" s="12">
        <f t="shared" si="73"/>
        <v>-4955.7829116675366</v>
      </c>
    </row>
    <row r="861" spans="1:16">
      <c r="A861" s="149">
        <v>0.43906979583117162</v>
      </c>
      <c r="B861" s="150">
        <f t="shared" si="74"/>
        <v>35.291258891711365</v>
      </c>
      <c r="C861" s="24">
        <f t="shared" si="72"/>
        <v>-5850.3717072712852</v>
      </c>
      <c r="H861" s="66"/>
      <c r="I861" s="66"/>
      <c r="J861" s="66"/>
      <c r="K861" s="66"/>
      <c r="L861" s="66"/>
      <c r="N861" s="5">
        <v>4.3743177181691864E-2</v>
      </c>
      <c r="O861" s="19">
        <f t="shared" si="75"/>
        <v>4.4714014034481275E-2</v>
      </c>
      <c r="P861" s="12">
        <f t="shared" si="73"/>
        <v>-6049.7332952491724</v>
      </c>
    </row>
    <row r="862" spans="1:16">
      <c r="A862" s="149">
        <v>0.7602771080660421</v>
      </c>
      <c r="B862" s="150">
        <f t="shared" si="74"/>
        <v>42.890042524547866</v>
      </c>
      <c r="C862" s="24">
        <f t="shared" si="72"/>
        <v>-5850.3717072712852</v>
      </c>
      <c r="H862" s="66"/>
      <c r="I862" s="66"/>
      <c r="J862" s="66"/>
      <c r="K862" s="66"/>
      <c r="L862" s="66"/>
      <c r="N862" s="5">
        <v>4.8924978566115898E-2</v>
      </c>
      <c r="O862" s="19">
        <f t="shared" si="75"/>
        <v>5.0141564658780613E-2</v>
      </c>
      <c r="P862" s="12">
        <f t="shared" si="73"/>
        <v>-5845.1747982974039</v>
      </c>
    </row>
    <row r="863" spans="1:16">
      <c r="A863" s="149">
        <v>0.52775658436841943</v>
      </c>
      <c r="B863" s="150">
        <f t="shared" si="74"/>
        <v>37.473013965697987</v>
      </c>
      <c r="C863" s="24">
        <f t="shared" si="72"/>
        <v>-5850.3717072712852</v>
      </c>
      <c r="H863" s="66"/>
      <c r="I863" s="66"/>
      <c r="J863" s="66"/>
      <c r="K863" s="66"/>
      <c r="L863" s="66"/>
      <c r="N863" s="5">
        <v>5.0966442879267562E-2</v>
      </c>
      <c r="O863" s="19">
        <f t="shared" si="75"/>
        <v>5.2287580949317958E-2</v>
      </c>
      <c r="P863" s="12">
        <f t="shared" si="73"/>
        <v>-5767.2747592043506</v>
      </c>
    </row>
    <row r="864" spans="1:16">
      <c r="A864" s="149">
        <v>0.16818750572222052</v>
      </c>
      <c r="B864" s="150">
        <f t="shared" si="74"/>
        <v>25.857370171674461</v>
      </c>
      <c r="C864" s="24">
        <f t="shared" si="72"/>
        <v>-5850.3717072712852</v>
      </c>
      <c r="H864" s="66"/>
      <c r="I864" s="66"/>
      <c r="J864" s="66"/>
      <c r="K864" s="66"/>
      <c r="L864" s="66"/>
      <c r="N864" s="5">
        <v>3.9587067087391917E-2</v>
      </c>
      <c r="O864" s="19">
        <f t="shared" si="75"/>
        <v>4.038107789190537E-2</v>
      </c>
      <c r="P864" s="12">
        <f t="shared" si="73"/>
        <v>-6221.1773022391617</v>
      </c>
    </row>
    <row r="865" spans="1:16">
      <c r="A865" s="149">
        <v>0.50959807123020107</v>
      </c>
      <c r="B865" s="150">
        <f t="shared" si="74"/>
        <v>37.040373378664071</v>
      </c>
      <c r="C865" s="24">
        <f t="shared" si="72"/>
        <v>-5850.3717072712852</v>
      </c>
      <c r="H865" s="66"/>
      <c r="I865" s="66"/>
      <c r="J865" s="66"/>
      <c r="K865" s="66"/>
      <c r="L865" s="66"/>
      <c r="N865" s="5">
        <v>3.6427331858372783E-2</v>
      </c>
      <c r="O865" s="19">
        <f t="shared" si="75"/>
        <v>3.7098937226948792E-2</v>
      </c>
      <c r="P865" s="12">
        <f t="shared" si="73"/>
        <v>-6356.1164307597401</v>
      </c>
    </row>
    <row r="866" spans="1:16">
      <c r="A866" s="149">
        <v>0.92321543015839103</v>
      </c>
      <c r="B866" s="150">
        <f t="shared" si="74"/>
        <v>47.842657670128894</v>
      </c>
      <c r="C866" s="24">
        <f t="shared" si="72"/>
        <v>-5850.3717072712852</v>
      </c>
      <c r="H866" s="66"/>
      <c r="I866" s="66"/>
      <c r="J866" s="66"/>
      <c r="K866" s="66"/>
      <c r="L866" s="66"/>
      <c r="N866" s="5">
        <v>3.7254274227176212E-2</v>
      </c>
      <c r="O866" s="19">
        <f t="shared" si="75"/>
        <v>3.7956912978140078E-2</v>
      </c>
      <c r="P866" s="12">
        <f t="shared" si="73"/>
        <v>-6320.4084558717923</v>
      </c>
    </row>
    <row r="867" spans="1:16">
      <c r="A867" s="149">
        <v>0.19086275826288643</v>
      </c>
      <c r="B867" s="150">
        <f t="shared" si="74"/>
        <v>26.991756670050911</v>
      </c>
      <c r="C867" s="24">
        <f t="shared" si="72"/>
        <v>-5850.3717072712852</v>
      </c>
      <c r="H867" s="66"/>
      <c r="I867" s="66"/>
      <c r="J867" s="66"/>
      <c r="K867" s="66"/>
      <c r="L867" s="66"/>
      <c r="N867" s="5">
        <v>0.10396645661524963</v>
      </c>
      <c r="O867" s="19">
        <f t="shared" si="75"/>
        <v>0.10956323578483551</v>
      </c>
      <c r="P867" s="12">
        <f t="shared" si="73"/>
        <v>-4177.9532435699857</v>
      </c>
    </row>
    <row r="868" spans="1:16">
      <c r="A868" s="149">
        <v>0.89709158604693751</v>
      </c>
      <c r="B868" s="150">
        <f t="shared" si="74"/>
        <v>46.818078725968995</v>
      </c>
      <c r="C868" s="24">
        <f t="shared" si="72"/>
        <v>-5850.3717072712852</v>
      </c>
      <c r="H868" s="66"/>
      <c r="I868" s="66"/>
      <c r="J868" s="66"/>
      <c r="K868" s="66"/>
      <c r="L868" s="66"/>
      <c r="N868" s="5">
        <v>4.3902855802240084E-2</v>
      </c>
      <c r="O868" s="19">
        <f t="shared" si="75"/>
        <v>4.488084584649199E-2</v>
      </c>
      <c r="P868" s="12">
        <f t="shared" si="73"/>
        <v>-6043.2797387533774</v>
      </c>
    </row>
    <row r="869" spans="1:16">
      <c r="A869" s="149">
        <v>0.64690084536271253</v>
      </c>
      <c r="B869" s="150">
        <f t="shared" si="74"/>
        <v>40.224974976305916</v>
      </c>
      <c r="C869" s="24">
        <f t="shared" si="72"/>
        <v>-5850.3717072712852</v>
      </c>
      <c r="H869" s="66"/>
      <c r="I869" s="66"/>
      <c r="J869" s="66"/>
      <c r="K869" s="66"/>
      <c r="L869" s="66"/>
      <c r="N869" s="5">
        <v>5.5820503073060537E-2</v>
      </c>
      <c r="O869" s="19">
        <f t="shared" si="75"/>
        <v>5.7407865238870315E-2</v>
      </c>
      <c r="P869" s="12">
        <f t="shared" si="73"/>
        <v>-5587.8939664119644</v>
      </c>
    </row>
    <row r="870" spans="1:16">
      <c r="A870" s="149">
        <v>0.10406811731315042</v>
      </c>
      <c r="B870" s="150">
        <f t="shared" si="74"/>
        <v>21.742904318200249</v>
      </c>
      <c r="C870" s="24">
        <f t="shared" si="72"/>
        <v>-5850.3717072712852</v>
      </c>
      <c r="H870" s="66"/>
      <c r="I870" s="66"/>
      <c r="J870" s="66"/>
      <c r="K870" s="66"/>
      <c r="L870" s="66"/>
      <c r="N870" s="5">
        <v>5.1956598278717139E-2</v>
      </c>
      <c r="O870" s="19">
        <f t="shared" si="75"/>
        <v>5.3330025185094554E-2</v>
      </c>
      <c r="P870" s="12">
        <f t="shared" si="73"/>
        <v>-5730.0229695986245</v>
      </c>
    </row>
    <row r="871" spans="1:16">
      <c r="A871" s="149">
        <v>0.17648854029969177</v>
      </c>
      <c r="B871" s="150">
        <f t="shared" si="74"/>
        <v>26.286746069803581</v>
      </c>
      <c r="C871" s="24">
        <f t="shared" si="72"/>
        <v>-5850.3717072712852</v>
      </c>
      <c r="H871" s="66"/>
      <c r="I871" s="66"/>
      <c r="J871" s="66"/>
      <c r="K871" s="66"/>
      <c r="L871" s="66"/>
      <c r="N871" s="5">
        <v>5.5063317356267363E-2</v>
      </c>
      <c r="O871" s="19">
        <f t="shared" si="75"/>
        <v>5.6607514151931326E-2</v>
      </c>
      <c r="P871" s="12">
        <f t="shared" si="73"/>
        <v>-5615.3457571036506</v>
      </c>
    </row>
    <row r="872" spans="1:16">
      <c r="A872" s="149">
        <v>0.43546861171300394</v>
      </c>
      <c r="B872" s="150">
        <f t="shared" si="74"/>
        <v>35.198246982179327</v>
      </c>
      <c r="C872" s="24">
        <f t="shared" si="72"/>
        <v>-5850.3717072712852</v>
      </c>
      <c r="H872" s="66"/>
      <c r="I872" s="66"/>
      <c r="J872" s="66"/>
      <c r="K872" s="66"/>
      <c r="L872" s="66"/>
      <c r="N872" s="5">
        <v>1.3426158099842725E-2</v>
      </c>
      <c r="O872" s="19">
        <f t="shared" si="75"/>
        <v>1.3516693688471193E-2</v>
      </c>
      <c r="P872" s="12">
        <f t="shared" si="73"/>
        <v>-7472.3265072874919</v>
      </c>
    </row>
    <row r="873" spans="1:16">
      <c r="A873" s="149">
        <v>0.30539872432630388</v>
      </c>
      <c r="B873" s="150">
        <f t="shared" si="74"/>
        <v>31.450244019920913</v>
      </c>
      <c r="C873" s="24">
        <f t="shared" si="72"/>
        <v>-5850.3717072712852</v>
      </c>
      <c r="H873" s="66"/>
      <c r="I873" s="66"/>
      <c r="J873" s="66"/>
      <c r="K873" s="66"/>
      <c r="L873" s="66"/>
      <c r="N873" s="5">
        <v>6.1672335457056762E-2</v>
      </c>
      <c r="O873" s="19">
        <f t="shared" si="75"/>
        <v>6.3613779102056345E-2</v>
      </c>
      <c r="P873" s="12">
        <f t="shared" si="73"/>
        <v>-5382.0933008578713</v>
      </c>
    </row>
    <row r="874" spans="1:16">
      <c r="A874" s="149">
        <v>2.7985473189489424E-2</v>
      </c>
      <c r="B874" s="150">
        <f t="shared" si="74"/>
        <v>11.95081495396232</v>
      </c>
      <c r="C874" s="24">
        <f t="shared" si="72"/>
        <v>106654.47267583264</v>
      </c>
      <c r="H874" s="66"/>
      <c r="I874" s="66"/>
      <c r="J874" s="66"/>
      <c r="K874" s="66"/>
      <c r="L874" s="66"/>
      <c r="N874" s="5">
        <v>5.2626738872400894E-2</v>
      </c>
      <c r="O874" s="19">
        <f t="shared" si="75"/>
        <v>5.4036140965515456E-2</v>
      </c>
      <c r="P874" s="12">
        <f t="shared" si="73"/>
        <v>101753.21855853729</v>
      </c>
    </row>
    <row r="875" spans="1:16">
      <c r="A875" s="149">
        <v>0.54423657948545789</v>
      </c>
      <c r="B875" s="150">
        <f t="shared" si="74"/>
        <v>37.861102953294328</v>
      </c>
      <c r="C875" s="24">
        <f t="shared" si="72"/>
        <v>-5850.3717072712852</v>
      </c>
      <c r="H875" s="66"/>
      <c r="I875" s="66"/>
      <c r="J875" s="66"/>
      <c r="K875" s="66"/>
      <c r="L875" s="66"/>
      <c r="N875" s="5">
        <v>5.5589149903549698E-2</v>
      </c>
      <c r="O875" s="19">
        <f t="shared" si="75"/>
        <v>5.7163258874101563E-2</v>
      </c>
      <c r="P875" s="12">
        <f t="shared" si="73"/>
        <v>-5596.2612465935908</v>
      </c>
    </row>
    <row r="876" spans="1:16">
      <c r="A876" s="149">
        <v>0.40021973326822718</v>
      </c>
      <c r="B876" s="150">
        <f t="shared" si="74"/>
        <v>34.263485818963744</v>
      </c>
      <c r="C876" s="24">
        <f t="shared" si="72"/>
        <v>-5850.3717072712852</v>
      </c>
      <c r="H876" s="66"/>
      <c r="I876" s="66"/>
      <c r="J876" s="66"/>
      <c r="K876" s="66"/>
      <c r="L876" s="66"/>
      <c r="N876" s="5">
        <v>3.6992563488762245E-2</v>
      </c>
      <c r="O876" s="19">
        <f t="shared" si="75"/>
        <v>3.7685304051039203E-2</v>
      </c>
      <c r="P876" s="12">
        <f t="shared" si="73"/>
        <v>-6331.6789174777268</v>
      </c>
    </row>
    <row r="877" spans="1:16">
      <c r="A877" s="149">
        <v>0.74858851893673517</v>
      </c>
      <c r="B877" s="150">
        <f t="shared" si="74"/>
        <v>42.604095579576594</v>
      </c>
      <c r="C877" s="24">
        <f t="shared" si="72"/>
        <v>-5850.3717072712852</v>
      </c>
      <c r="H877" s="66"/>
      <c r="I877" s="66"/>
      <c r="J877" s="66"/>
      <c r="K877" s="66"/>
      <c r="L877" s="66"/>
      <c r="N877" s="5">
        <v>0.10686631680722349</v>
      </c>
      <c r="O877" s="19">
        <f t="shared" si="75"/>
        <v>0.11278548381912645</v>
      </c>
      <c r="P877" s="12">
        <f t="shared" si="73"/>
        <v>-4110.6400715344862</v>
      </c>
    </row>
    <row r="878" spans="1:16">
      <c r="A878" s="149">
        <v>6.3295388653218182E-2</v>
      </c>
      <c r="B878" s="150">
        <f t="shared" si="74"/>
        <v>17.770092093108623</v>
      </c>
      <c r="C878" s="24">
        <f t="shared" si="72"/>
        <v>-5850.3717072712852</v>
      </c>
      <c r="H878" s="66"/>
      <c r="I878" s="66"/>
      <c r="J878" s="66"/>
      <c r="K878" s="66"/>
      <c r="L878" s="66"/>
      <c r="N878" s="5">
        <v>2.822903474874329E-2</v>
      </c>
      <c r="O878" s="19">
        <f t="shared" si="75"/>
        <v>2.8631249743907627E-2</v>
      </c>
      <c r="P878" s="12">
        <f t="shared" si="73"/>
        <v>-6725.828023254302</v>
      </c>
    </row>
    <row r="879" spans="1:16">
      <c r="A879" s="149">
        <v>0.21292764061403241</v>
      </c>
      <c r="B879" s="150">
        <f t="shared" si="74"/>
        <v>27.992622130110789</v>
      </c>
      <c r="C879" s="24">
        <f t="shared" si="72"/>
        <v>-5850.3717072712852</v>
      </c>
      <c r="H879" s="66"/>
      <c r="I879" s="66"/>
      <c r="J879" s="66"/>
      <c r="K879" s="66"/>
      <c r="L879" s="66"/>
      <c r="N879" s="5">
        <v>5.8556465271190974E-2</v>
      </c>
      <c r="O879" s="19">
        <f t="shared" si="75"/>
        <v>6.0304854405478947E-2</v>
      </c>
      <c r="P879" s="12">
        <f t="shared" si="73"/>
        <v>-5490.2901084285077</v>
      </c>
    </row>
    <row r="880" spans="1:16">
      <c r="A880" s="149">
        <v>0.46269112216559344</v>
      </c>
      <c r="B880" s="150">
        <f t="shared" si="74"/>
        <v>35.891435916905635</v>
      </c>
      <c r="C880" s="24">
        <f t="shared" si="72"/>
        <v>-5850.3717072712852</v>
      </c>
      <c r="H880" s="66"/>
      <c r="I880" s="66"/>
      <c r="J880" s="66"/>
      <c r="K880" s="66"/>
      <c r="L880" s="66"/>
      <c r="N880" s="5">
        <v>2.3474403812666425E-2</v>
      </c>
      <c r="O880" s="19">
        <f t="shared" si="75"/>
        <v>2.3752096260824196E-2</v>
      </c>
      <c r="P880" s="12">
        <f t="shared" si="73"/>
        <v>-6953.9922293213704</v>
      </c>
    </row>
    <row r="881" spans="1:16">
      <c r="A881" s="149">
        <v>0.17743461409344768</v>
      </c>
      <c r="B881" s="150">
        <f t="shared" si="74"/>
        <v>26.334598032506623</v>
      </c>
      <c r="C881" s="24">
        <f t="shared" si="72"/>
        <v>-5850.3717072712852</v>
      </c>
      <c r="H881" s="66"/>
      <c r="I881" s="66"/>
      <c r="J881" s="66"/>
      <c r="K881" s="66"/>
      <c r="L881" s="66"/>
      <c r="N881" s="5">
        <v>2.6701731209992433E-2</v>
      </c>
      <c r="O881" s="19">
        <f t="shared" si="75"/>
        <v>2.70614167070371E-2</v>
      </c>
      <c r="P881" s="12">
        <f t="shared" si="73"/>
        <v>-6797.9800303220363</v>
      </c>
    </row>
    <row r="882" spans="1:16">
      <c r="A882" s="149">
        <v>0.4609210486159856</v>
      </c>
      <c r="B882" s="150">
        <f t="shared" si="74"/>
        <v>35.847023596070663</v>
      </c>
      <c r="C882" s="24">
        <f t="shared" si="72"/>
        <v>-5850.3717072712852</v>
      </c>
      <c r="H882" s="66"/>
      <c r="I882" s="66"/>
      <c r="J882" s="66"/>
      <c r="K882" s="66"/>
      <c r="L882" s="66"/>
      <c r="N882" s="5">
        <v>6.4643705806825894E-2</v>
      </c>
      <c r="O882" s="19">
        <f t="shared" si="75"/>
        <v>6.6778869548113073E-2</v>
      </c>
      <c r="P882" s="12">
        <f t="shared" si="73"/>
        <v>-5281.7595126419974</v>
      </c>
    </row>
    <row r="883" spans="1:16">
      <c r="A883" s="149">
        <v>0.36780907620471814</v>
      </c>
      <c r="B883" s="150">
        <f t="shared" si="74"/>
        <v>33.358268648009073</v>
      </c>
      <c r="C883" s="24">
        <f t="shared" si="72"/>
        <v>-5850.3717072712852</v>
      </c>
      <c r="H883" s="66"/>
      <c r="I883" s="66"/>
      <c r="J883" s="66"/>
      <c r="K883" s="66"/>
      <c r="L883" s="66"/>
      <c r="N883" s="5">
        <v>1.5803144785546466E-2</v>
      </c>
      <c r="O883" s="19">
        <f t="shared" si="75"/>
        <v>1.5928674863021852E-2</v>
      </c>
      <c r="P883" s="12">
        <f t="shared" si="73"/>
        <v>-7345.073569342504</v>
      </c>
    </row>
    <row r="884" spans="1:16">
      <c r="A884" s="149">
        <v>0.75347148045289469</v>
      </c>
      <c r="B884" s="150">
        <f t="shared" si="74"/>
        <v>42.723068857104273</v>
      </c>
      <c r="C884" s="24">
        <f t="shared" si="72"/>
        <v>-5850.3717072712852</v>
      </c>
      <c r="H884" s="66"/>
      <c r="I884" s="66"/>
      <c r="J884" s="66"/>
      <c r="K884" s="66"/>
      <c r="L884" s="66"/>
      <c r="N884" s="5">
        <v>4.0182574091100834E-2</v>
      </c>
      <c r="O884" s="19">
        <f t="shared" si="75"/>
        <v>4.1000816621378444E-2</v>
      </c>
      <c r="P884" s="12">
        <f t="shared" si="73"/>
        <v>-6196.1961091678277</v>
      </c>
    </row>
    <row r="885" spans="1:16">
      <c r="A885" s="149">
        <v>0.64232306894131286</v>
      </c>
      <c r="B885" s="150">
        <f t="shared" si="74"/>
        <v>40.120194930391563</v>
      </c>
      <c r="C885" s="24">
        <f t="shared" si="72"/>
        <v>-5850.3717072712852</v>
      </c>
      <c r="H885" s="66"/>
      <c r="I885" s="66"/>
      <c r="J885" s="66"/>
      <c r="K885" s="66"/>
      <c r="L885" s="66"/>
      <c r="N885" s="5">
        <v>8.6742426853685176E-2</v>
      </c>
      <c r="O885" s="19">
        <f t="shared" si="75"/>
        <v>9.0615730212255663E-2</v>
      </c>
      <c r="P885" s="12">
        <f t="shared" si="73"/>
        <v>-4614.5556429781209</v>
      </c>
    </row>
    <row r="886" spans="1:16">
      <c r="A886" s="149">
        <v>0.24420911282692953</v>
      </c>
      <c r="B886" s="150">
        <f t="shared" si="74"/>
        <v>29.275497398788982</v>
      </c>
      <c r="C886" s="24">
        <f t="shared" si="72"/>
        <v>-5850.3717072712852</v>
      </c>
      <c r="H886" s="66"/>
      <c r="I886" s="66"/>
      <c r="J886" s="66"/>
      <c r="K886" s="66"/>
      <c r="L886" s="66"/>
      <c r="N886" s="5">
        <v>5.3999870894709603E-2</v>
      </c>
      <c r="O886" s="19">
        <f t="shared" si="75"/>
        <v>5.5484465886442846E-2</v>
      </c>
      <c r="P886" s="12">
        <f t="shared" si="73"/>
        <v>-5654.2281433531316</v>
      </c>
    </row>
    <row r="887" spans="1:16">
      <c r="A887" s="149">
        <v>0.91601306192205567</v>
      </c>
      <c r="B887" s="150">
        <f t="shared" si="74"/>
        <v>47.54188600086529</v>
      </c>
      <c r="C887" s="24">
        <f t="shared" si="72"/>
        <v>-5850.3717072712852</v>
      </c>
      <c r="H887" s="66"/>
      <c r="I887" s="66"/>
      <c r="J887" s="66"/>
      <c r="K887" s="66"/>
      <c r="L887" s="66"/>
      <c r="N887" s="5">
        <v>2.378214407793712E-2</v>
      </c>
      <c r="O887" s="19">
        <f t="shared" si="75"/>
        <v>2.406719448421768E-2</v>
      </c>
      <c r="P887" s="12">
        <f t="shared" si="73"/>
        <v>-6938.9045606098252</v>
      </c>
    </row>
    <row r="888" spans="1:16">
      <c r="A888" s="149">
        <v>0.12005981627857296</v>
      </c>
      <c r="B888" s="150">
        <f t="shared" si="74"/>
        <v>22.938630701088197</v>
      </c>
      <c r="C888" s="24">
        <f t="shared" si="72"/>
        <v>-5850.3717072712852</v>
      </c>
      <c r="H888" s="66"/>
      <c r="I888" s="66"/>
      <c r="J888" s="66"/>
      <c r="K888" s="66"/>
      <c r="L888" s="66"/>
      <c r="N888" s="5">
        <v>4.9116740862824373E-2</v>
      </c>
      <c r="O888" s="19">
        <f t="shared" si="75"/>
        <v>5.0342961526634422E-2</v>
      </c>
      <c r="P888" s="12">
        <f t="shared" si="73"/>
        <v>-5837.7939157555511</v>
      </c>
    </row>
    <row r="889" spans="1:16">
      <c r="A889" s="149">
        <v>0.39402447584459976</v>
      </c>
      <c r="B889" s="150">
        <f t="shared" si="74"/>
        <v>34.094150921724065</v>
      </c>
      <c r="C889" s="24">
        <f t="shared" si="72"/>
        <v>-5850.3717072712852</v>
      </c>
      <c r="H889" s="66"/>
      <c r="I889" s="66"/>
      <c r="J889" s="66"/>
      <c r="K889" s="66"/>
      <c r="L889" s="66"/>
      <c r="N889" s="5">
        <v>2.3800884671014502E-2</v>
      </c>
      <c r="O889" s="19">
        <f t="shared" si="75"/>
        <v>2.4086386290625761E-2</v>
      </c>
      <c r="P889" s="12">
        <f t="shared" si="73"/>
        <v>-6937.9872138892661</v>
      </c>
    </row>
    <row r="890" spans="1:16">
      <c r="A890" s="149">
        <v>0.78023621326334425</v>
      </c>
      <c r="B890" s="150">
        <f t="shared" si="74"/>
        <v>43.388556972197058</v>
      </c>
      <c r="C890" s="24">
        <f t="shared" si="72"/>
        <v>-5850.3717072712852</v>
      </c>
      <c r="H890" s="66"/>
      <c r="I890" s="66"/>
      <c r="J890" s="66"/>
      <c r="K890" s="66"/>
      <c r="L890" s="66"/>
      <c r="N890" s="5">
        <v>3.62932127894601E-3</v>
      </c>
      <c r="O890" s="19">
        <f t="shared" si="75"/>
        <v>3.6359152402070105E-3</v>
      </c>
      <c r="P890" s="12">
        <f t="shared" si="73"/>
        <v>-8029.4559617800851</v>
      </c>
    </row>
    <row r="891" spans="1:16">
      <c r="A891" s="149">
        <v>0.89724417859431749</v>
      </c>
      <c r="B891" s="150">
        <f t="shared" si="74"/>
        <v>46.823595095201327</v>
      </c>
      <c r="C891" s="24">
        <f t="shared" si="72"/>
        <v>-5850.3717072712852</v>
      </c>
      <c r="H891" s="66"/>
      <c r="I891" s="66"/>
      <c r="J891" s="66"/>
      <c r="K891" s="66"/>
      <c r="L891" s="66"/>
      <c r="N891" s="5">
        <v>5.5814694585147664E-2</v>
      </c>
      <c r="O891" s="19">
        <f t="shared" si="75"/>
        <v>5.7401723315903874E-2</v>
      </c>
      <c r="P891" s="12">
        <f t="shared" si="73"/>
        <v>-5588.1038207588063</v>
      </c>
    </row>
    <row r="892" spans="1:16">
      <c r="A892" s="149">
        <v>0.51973021637623218</v>
      </c>
      <c r="B892" s="150">
        <f t="shared" si="74"/>
        <v>37.282482927771795</v>
      </c>
      <c r="C892" s="24">
        <f t="shared" si="72"/>
        <v>-5850.3717072712852</v>
      </c>
      <c r="H892" s="66"/>
      <c r="I892" s="66"/>
      <c r="J892" s="66"/>
      <c r="K892" s="66"/>
      <c r="L892" s="66"/>
      <c r="N892" s="5">
        <v>6.5366259784364958E-2</v>
      </c>
      <c r="O892" s="19">
        <f t="shared" si="75"/>
        <v>6.7549953404765883E-2</v>
      </c>
      <c r="P892" s="12">
        <f t="shared" si="73"/>
        <v>-5257.7709403726494</v>
      </c>
    </row>
    <row r="893" spans="1:16">
      <c r="A893" s="149">
        <v>0.83086642048402359</v>
      </c>
      <c r="B893" s="150">
        <f t="shared" si="74"/>
        <v>44.734469920134892</v>
      </c>
      <c r="C893" s="24">
        <f t="shared" si="72"/>
        <v>-5850.3717072712852</v>
      </c>
      <c r="H893" s="66"/>
      <c r="I893" s="66"/>
      <c r="J893" s="66"/>
      <c r="K893" s="66"/>
      <c r="L893" s="66"/>
      <c r="N893" s="5">
        <v>4.3204302935133457E-2</v>
      </c>
      <c r="O893" s="19">
        <f t="shared" si="75"/>
        <v>4.4151196214933019E-2</v>
      </c>
      <c r="P893" s="12">
        <f t="shared" si="73"/>
        <v>-6071.5842795779381</v>
      </c>
    </row>
    <row r="894" spans="1:16">
      <c r="A894" s="149">
        <v>0.56419568468276005</v>
      </c>
      <c r="B894" s="150">
        <f t="shared" si="74"/>
        <v>38.326364330713652</v>
      </c>
      <c r="C894" s="24">
        <f t="shared" si="72"/>
        <v>-5850.3717072712852</v>
      </c>
      <c r="H894" s="66"/>
      <c r="I894" s="66"/>
      <c r="J894" s="66"/>
      <c r="K894" s="66"/>
      <c r="L894" s="66"/>
      <c r="N894" s="5">
        <v>4.224036792687548E-2</v>
      </c>
      <c r="O894" s="19">
        <f t="shared" si="75"/>
        <v>4.3145187264506113E-2</v>
      </c>
      <c r="P894" s="12">
        <f t="shared" si="73"/>
        <v>-6110.9495208751187</v>
      </c>
    </row>
    <row r="895" spans="1:16">
      <c r="A895" s="149">
        <v>0.25614185003204443</v>
      </c>
      <c r="B895" s="150">
        <f t="shared" si="74"/>
        <v>29.730320062487777</v>
      </c>
      <c r="C895" s="24">
        <f t="shared" si="72"/>
        <v>-5850.3717072712852</v>
      </c>
      <c r="H895" s="66"/>
      <c r="I895" s="66"/>
      <c r="J895" s="66"/>
      <c r="K895" s="66"/>
      <c r="L895" s="66"/>
      <c r="N895" s="5">
        <v>5.4879829414981943E-2</v>
      </c>
      <c r="O895" s="19">
        <f t="shared" si="75"/>
        <v>5.6413657200163225E-2</v>
      </c>
      <c r="P895" s="12">
        <f t="shared" si="73"/>
        <v>-5622.0271862607005</v>
      </c>
    </row>
    <row r="896" spans="1:16">
      <c r="A896" s="149">
        <v>0.32816553239539781</v>
      </c>
      <c r="B896" s="150">
        <f t="shared" si="74"/>
        <v>32.175666064637767</v>
      </c>
      <c r="C896" s="24">
        <f t="shared" si="72"/>
        <v>-5850.3717072712852</v>
      </c>
      <c r="H896" s="66"/>
      <c r="I896" s="66"/>
      <c r="J896" s="66"/>
      <c r="K896" s="66"/>
      <c r="L896" s="66"/>
      <c r="N896" s="5">
        <v>9.5775173528760207E-2</v>
      </c>
      <c r="O896" s="19">
        <f t="shared" si="75"/>
        <v>0.10051161203585357</v>
      </c>
      <c r="P896" s="12">
        <f t="shared" si="73"/>
        <v>-4377.4343336323636</v>
      </c>
    </row>
    <row r="897" spans="1:16">
      <c r="A897" s="149">
        <v>0.6973174230170599</v>
      </c>
      <c r="B897" s="150">
        <f t="shared" si="74"/>
        <v>41.387177334559311</v>
      </c>
      <c r="C897" s="24">
        <f t="shared" si="72"/>
        <v>-5850.3717072712852</v>
      </c>
      <c r="H897" s="66"/>
      <c r="I897" s="66"/>
      <c r="J897" s="66"/>
      <c r="K897" s="66"/>
      <c r="L897" s="66"/>
      <c r="N897" s="5">
        <v>9.4780935748654885E-2</v>
      </c>
      <c r="O897" s="19">
        <f t="shared" si="75"/>
        <v>9.9417985566187861E-2</v>
      </c>
      <c r="P897" s="12">
        <f t="shared" si="73"/>
        <v>-4402.6254948296946</v>
      </c>
    </row>
    <row r="898" spans="1:16">
      <c r="A898" s="149">
        <v>0.24781029694509721</v>
      </c>
      <c r="B898" s="150">
        <f t="shared" si="74"/>
        <v>29.41457447549319</v>
      </c>
      <c r="C898" s="24">
        <f t="shared" si="72"/>
        <v>-5850.3717072712852</v>
      </c>
      <c r="H898" s="66"/>
      <c r="I898" s="66"/>
      <c r="J898" s="66"/>
      <c r="K898" s="66"/>
      <c r="L898" s="66"/>
      <c r="N898" s="5">
        <v>7.9497598514659332E-2</v>
      </c>
      <c r="O898" s="19">
        <f t="shared" si="75"/>
        <v>8.2742959334972221E-2</v>
      </c>
      <c r="P898" s="12">
        <f t="shared" si="73"/>
        <v>-4818.8886374739468</v>
      </c>
    </row>
    <row r="899" spans="1:16">
      <c r="A899" s="149">
        <v>0.8818018127994629</v>
      </c>
      <c r="B899" s="150">
        <f t="shared" si="74"/>
        <v>46.286664070453803</v>
      </c>
      <c r="C899" s="24">
        <f t="shared" si="72"/>
        <v>-5850.3717072712852</v>
      </c>
      <c r="H899" s="66"/>
      <c r="I899" s="66"/>
      <c r="J899" s="66"/>
      <c r="K899" s="66"/>
      <c r="L899" s="66"/>
      <c r="N899" s="5">
        <v>1.8347481679607883E-2</v>
      </c>
      <c r="O899" s="19">
        <f t="shared" si="75"/>
        <v>1.8516830846354138E-2</v>
      </c>
      <c r="P899" s="12">
        <f t="shared" si="73"/>
        <v>-7212.1060163670472</v>
      </c>
    </row>
    <row r="900" spans="1:16">
      <c r="A900" s="149">
        <v>0.84548478652302617</v>
      </c>
      <c r="B900" s="150">
        <f t="shared" si="74"/>
        <v>45.153608821366596</v>
      </c>
      <c r="C900" s="24">
        <f t="shared" si="72"/>
        <v>-5850.3717072712852</v>
      </c>
      <c r="H900" s="66"/>
      <c r="I900" s="66"/>
      <c r="J900" s="66"/>
      <c r="K900" s="66"/>
      <c r="L900" s="66"/>
      <c r="N900" s="5">
        <v>6.6244273009157043E-2</v>
      </c>
      <c r="O900" s="19">
        <f t="shared" si="75"/>
        <v>6.8487687993424418E-2</v>
      </c>
      <c r="P900" s="12">
        <f t="shared" si="73"/>
        <v>-5228.8334491860569</v>
      </c>
    </row>
    <row r="901" spans="1:16">
      <c r="A901" s="149">
        <v>0.69118320261238442</v>
      </c>
      <c r="B901" s="150">
        <f t="shared" si="74"/>
        <v>41.244536079724647</v>
      </c>
      <c r="C901" s="24">
        <f t="shared" si="72"/>
        <v>-5850.3717072712852</v>
      </c>
      <c r="H901" s="66"/>
      <c r="I901" s="66"/>
      <c r="J901" s="66"/>
      <c r="K901" s="66"/>
      <c r="L901" s="66"/>
      <c r="N901" s="5">
        <v>6.1693761105867453E-2</v>
      </c>
      <c r="O901" s="19">
        <f t="shared" si="75"/>
        <v>6.3636567961489865E-2</v>
      </c>
      <c r="P901" s="12">
        <f t="shared" si="73"/>
        <v>-5381.3599927933783</v>
      </c>
    </row>
    <row r="902" spans="1:16">
      <c r="A902" s="149">
        <v>0.44322031311990723</v>
      </c>
      <c r="B902" s="150">
        <f t="shared" si="74"/>
        <v>35.397940477336057</v>
      </c>
      <c r="C902" s="24">
        <f t="shared" si="72"/>
        <v>-5850.3717072712852</v>
      </c>
      <c r="H902" s="66"/>
      <c r="I902" s="66"/>
      <c r="J902" s="66"/>
      <c r="K902" s="66"/>
      <c r="L902" s="66"/>
      <c r="N902" s="5">
        <v>3.6702440476925405E-2</v>
      </c>
      <c r="O902" s="19">
        <f t="shared" si="75"/>
        <v>3.738429133275889E-2</v>
      </c>
      <c r="P902" s="12">
        <f t="shared" si="73"/>
        <v>-6344.2058090623095</v>
      </c>
    </row>
    <row r="903" spans="1:16">
      <c r="A903" s="149">
        <v>0.32117679372539443</v>
      </c>
      <c r="B903" s="150">
        <f t="shared" si="74"/>
        <v>31.956962869765825</v>
      </c>
      <c r="C903" s="24">
        <f t="shared" si="72"/>
        <v>-5850.3717072712852</v>
      </c>
      <c r="H903" s="66"/>
      <c r="I903" s="66"/>
      <c r="J903" s="66"/>
      <c r="K903" s="66"/>
      <c r="L903" s="66"/>
      <c r="N903" s="5">
        <v>1.850014627701603E-2</v>
      </c>
      <c r="O903" s="19">
        <f t="shared" si="75"/>
        <v>1.8672334177913585E-2</v>
      </c>
      <c r="P903" s="12">
        <f t="shared" si="73"/>
        <v>-7204.2324327315437</v>
      </c>
    </row>
    <row r="904" spans="1:16">
      <c r="A904" s="149">
        <v>0.78069399090548419</v>
      </c>
      <c r="B904" s="150">
        <f t="shared" si="74"/>
        <v>43.400162710987168</v>
      </c>
      <c r="C904" s="24">
        <f t="shared" si="72"/>
        <v>-5850.3717072712852</v>
      </c>
      <c r="H904" s="66"/>
      <c r="I904" s="66"/>
      <c r="J904" s="66"/>
      <c r="K904" s="66"/>
      <c r="L904" s="66"/>
      <c r="N904" s="5">
        <v>6.842382590287889E-2</v>
      </c>
      <c r="O904" s="19">
        <f t="shared" si="75"/>
        <v>7.0819053169635104E-2</v>
      </c>
      <c r="P904" s="12">
        <f t="shared" si="73"/>
        <v>-5157.9931708024205</v>
      </c>
    </row>
    <row r="905" spans="1:16">
      <c r="A905" s="149">
        <v>0.13513595995971556</v>
      </c>
      <c r="B905" s="150">
        <f t="shared" si="74"/>
        <v>23.946568823527507</v>
      </c>
      <c r="C905" s="24">
        <f t="shared" si="72"/>
        <v>-5850.3717072712852</v>
      </c>
      <c r="H905" s="66"/>
      <c r="I905" s="66"/>
      <c r="J905" s="66"/>
      <c r="K905" s="66"/>
      <c r="L905" s="66"/>
      <c r="N905" s="5">
        <v>3.7840986303432148E-2</v>
      </c>
      <c r="O905" s="19">
        <f t="shared" si="75"/>
        <v>3.8566073517065647E-2</v>
      </c>
      <c r="P905" s="12">
        <f t="shared" si="73"/>
        <v>-6295.2437186013649</v>
      </c>
    </row>
    <row r="906" spans="1:16">
      <c r="A906" s="149">
        <v>0.33329264198736536</v>
      </c>
      <c r="B906" s="150">
        <f t="shared" si="74"/>
        <v>32.334010484714689</v>
      </c>
      <c r="C906" s="24">
        <f t="shared" si="72"/>
        <v>-5850.3717072712852</v>
      </c>
      <c r="H906" s="66"/>
      <c r="I906" s="66"/>
      <c r="J906" s="66"/>
      <c r="K906" s="66"/>
      <c r="L906" s="66"/>
      <c r="N906" s="5">
        <v>9.4886146095755977E-2</v>
      </c>
      <c r="O906" s="19">
        <f t="shared" si="75"/>
        <v>9.9533661799120043E-2</v>
      </c>
      <c r="P906" s="12">
        <f t="shared" si="73"/>
        <v>-4399.9494243652425</v>
      </c>
    </row>
    <row r="907" spans="1:16">
      <c r="A907" s="149">
        <v>7.2908719138157288E-2</v>
      </c>
      <c r="B907" s="150">
        <f t="shared" si="74"/>
        <v>18.869965413368806</v>
      </c>
      <c r="C907" s="24">
        <f t="shared" si="72"/>
        <v>-5850.3717072712852</v>
      </c>
      <c r="H907" s="66"/>
      <c r="I907" s="66"/>
      <c r="J907" s="66"/>
      <c r="K907" s="66"/>
      <c r="L907" s="66"/>
      <c r="N907" s="5">
        <v>5.917934340426291E-2</v>
      </c>
      <c r="O907" s="19">
        <f t="shared" si="75"/>
        <v>6.0965500843428444E-2</v>
      </c>
      <c r="P907" s="12">
        <f t="shared" si="73"/>
        <v>-5468.4119553025221</v>
      </c>
    </row>
    <row r="908" spans="1:16">
      <c r="A908" s="149">
        <v>0.99600207525864437</v>
      </c>
      <c r="B908" s="150">
        <f t="shared" si="74"/>
        <v>54.33071156241445</v>
      </c>
      <c r="C908" s="24">
        <f t="shared" si="72"/>
        <v>-5850.3717072712852</v>
      </c>
      <c r="H908" s="66"/>
      <c r="I908" s="66"/>
      <c r="J908" s="66"/>
      <c r="K908" s="66"/>
      <c r="L908" s="66"/>
      <c r="N908" s="5">
        <v>1.8375702163335519E-2</v>
      </c>
      <c r="O908" s="19">
        <f t="shared" si="75"/>
        <v>1.8545574289580591E-2</v>
      </c>
      <c r="P908" s="12">
        <f t="shared" si="73"/>
        <v>-7210.6496775656688</v>
      </c>
    </row>
    <row r="909" spans="1:16">
      <c r="A909" s="149">
        <v>0.86889248329111601</v>
      </c>
      <c r="B909" s="150">
        <f t="shared" si="74"/>
        <v>45.866057345894788</v>
      </c>
      <c r="C909" s="24">
        <f t="shared" si="72"/>
        <v>-5850.3717072712852</v>
      </c>
      <c r="H909" s="66"/>
      <c r="I909" s="66"/>
      <c r="J909" s="66"/>
      <c r="K909" s="66"/>
      <c r="L909" s="66"/>
      <c r="N909" s="5">
        <v>4.6163234353240115E-2</v>
      </c>
      <c r="O909" s="19">
        <f t="shared" si="75"/>
        <v>4.7245343421849606E-2</v>
      </c>
      <c r="P909" s="12">
        <f t="shared" si="73"/>
        <v>-5952.9581011669452</v>
      </c>
    </row>
    <row r="910" spans="1:16">
      <c r="A910" s="149">
        <v>0.62019714957121497</v>
      </c>
      <c r="B910" s="150">
        <f t="shared" si="74"/>
        <v>39.614144734156909</v>
      </c>
      <c r="C910" s="24">
        <f t="shared" si="72"/>
        <v>-5850.3717072712852</v>
      </c>
      <c r="H910" s="66"/>
      <c r="I910" s="66"/>
      <c r="J910" s="66"/>
      <c r="K910" s="66"/>
      <c r="L910" s="66"/>
      <c r="N910" s="5">
        <v>2.5852760424764712E-2</v>
      </c>
      <c r="O910" s="19">
        <f t="shared" si="75"/>
        <v>2.6189841592871854E-2</v>
      </c>
      <c r="P910" s="12">
        <f t="shared" si="73"/>
        <v>-6838.5490876413778</v>
      </c>
    </row>
    <row r="911" spans="1:16">
      <c r="A911" s="149">
        <v>0.86700033570360424</v>
      </c>
      <c r="B911" s="150">
        <f t="shared" si="74"/>
        <v>45.806239697814974</v>
      </c>
      <c r="C911" s="24">
        <f t="shared" si="72"/>
        <v>-5850.3717072712852</v>
      </c>
      <c r="H911" s="66"/>
      <c r="I911" s="66"/>
      <c r="J911" s="66"/>
      <c r="K911" s="66"/>
      <c r="L911" s="66"/>
      <c r="N911" s="5">
        <v>8.3436191696033349E-2</v>
      </c>
      <c r="O911" s="19">
        <f t="shared" si="75"/>
        <v>8.7015852442008823E-2</v>
      </c>
      <c r="P911" s="12">
        <f t="shared" si="73"/>
        <v>-4706.1747301207442</v>
      </c>
    </row>
    <row r="912" spans="1:16">
      <c r="A912" s="149">
        <v>0.29200109866634116</v>
      </c>
      <c r="B912" s="150">
        <f t="shared" si="74"/>
        <v>31.004610077796091</v>
      </c>
      <c r="C912" s="24">
        <f t="shared" ref="C912:C975" si="76">IF($B912&lt;15,B$8*(B$10^$B912)-B$7*(1-B$10^$B912)/B$11, -B$7*(1-B$10^15)/B$11)</f>
        <v>-5850.3717072712852</v>
      </c>
      <c r="H912" s="66"/>
      <c r="I912" s="66"/>
      <c r="J912" s="66"/>
      <c r="K912" s="66"/>
      <c r="L912" s="66"/>
      <c r="N912" s="5">
        <v>7.0132288508044441E-2</v>
      </c>
      <c r="O912" s="19">
        <f t="shared" si="75"/>
        <v>7.2650071146374229E-2</v>
      </c>
      <c r="P912" s="12">
        <f t="shared" ref="P912:P975" si="77">IF($B912&lt;15,B$8*((1+O912)^-$B912)-B$7*(1-(1+O912)^-$B912)/LN(1+O912), -B$7*(1-(1+O912)^-15)/LN(1+O912))</f>
        <v>-5103.4378323979026</v>
      </c>
    </row>
    <row r="913" spans="1:16">
      <c r="A913" s="149">
        <v>1.8280587176122319E-2</v>
      </c>
      <c r="B913" s="150">
        <f t="shared" ref="B913:B976" si="78">LN(1-LN(B$4)*(LN(1-A913)/(B$3*B$4^50)))/LN(B$4)</f>
        <v>9.3443184493279361</v>
      </c>
      <c r="C913" s="24">
        <f t="shared" si="76"/>
        <v>122646.7781850709</v>
      </c>
      <c r="H913" s="66"/>
      <c r="I913" s="66"/>
      <c r="J913" s="66"/>
      <c r="K913" s="66"/>
      <c r="L913" s="66"/>
      <c r="N913" s="5">
        <v>6.5503142829707942E-2</v>
      </c>
      <c r="O913" s="19">
        <f t="shared" ref="O913:O976" si="79">EXP(N913)-1</f>
        <v>6.7696092895224824E-2</v>
      </c>
      <c r="P913" s="12">
        <f t="shared" si="77"/>
        <v>104600.3691981771</v>
      </c>
    </row>
    <row r="914" spans="1:16">
      <c r="A914" s="149">
        <v>0.84276863917966249</v>
      </c>
      <c r="B914" s="150">
        <f t="shared" si="78"/>
        <v>45.074404581838301</v>
      </c>
      <c r="C914" s="24">
        <f t="shared" si="76"/>
        <v>-5850.3717072712852</v>
      </c>
      <c r="H914" s="66"/>
      <c r="I914" s="66"/>
      <c r="J914" s="66"/>
      <c r="K914" s="66"/>
      <c r="L914" s="66"/>
      <c r="N914" s="5">
        <v>4.462935516779544E-2</v>
      </c>
      <c r="O914" s="19">
        <f t="shared" si="79"/>
        <v>4.5640226929617667E-2</v>
      </c>
      <c r="P914" s="12">
        <f t="shared" si="77"/>
        <v>-6014.0399308083097</v>
      </c>
    </row>
    <row r="915" spans="1:16">
      <c r="A915" s="149">
        <v>0.83739738151188692</v>
      </c>
      <c r="B915" s="150">
        <f t="shared" si="78"/>
        <v>44.919609049879298</v>
      </c>
      <c r="C915" s="24">
        <f t="shared" si="76"/>
        <v>-5850.3717072712852</v>
      </c>
      <c r="H915" s="66"/>
      <c r="I915" s="66"/>
      <c r="J915" s="66"/>
      <c r="K915" s="66"/>
      <c r="L915" s="66"/>
      <c r="N915" s="5">
        <v>3.90617825106674E-2</v>
      </c>
      <c r="O915" s="19">
        <f t="shared" si="79"/>
        <v>3.9834725265639248E-2</v>
      </c>
      <c r="P915" s="12">
        <f t="shared" si="77"/>
        <v>-6243.3301511425934</v>
      </c>
    </row>
    <row r="916" spans="1:16">
      <c r="A916" s="149">
        <v>0.51539658803064059</v>
      </c>
      <c r="B916" s="150">
        <f t="shared" si="78"/>
        <v>37.179155895836629</v>
      </c>
      <c r="C916" s="24">
        <f t="shared" si="76"/>
        <v>-5850.3717072712852</v>
      </c>
      <c r="H916" s="66"/>
      <c r="I916" s="66"/>
      <c r="J916" s="66"/>
      <c r="K916" s="66"/>
      <c r="L916" s="66"/>
      <c r="N916" s="5">
        <v>7.6843119538476459E-2</v>
      </c>
      <c r="O916" s="19">
        <f t="shared" si="79"/>
        <v>7.9872652183212489E-2</v>
      </c>
      <c r="P916" s="12">
        <f t="shared" si="77"/>
        <v>-4897.1216842659433</v>
      </c>
    </row>
    <row r="917" spans="1:16">
      <c r="A917" s="149">
        <v>0.79781487472151857</v>
      </c>
      <c r="B917" s="150">
        <f t="shared" si="78"/>
        <v>43.840633671413826</v>
      </c>
      <c r="C917" s="24">
        <f t="shared" si="76"/>
        <v>-5850.3717072712852</v>
      </c>
      <c r="H917" s="66"/>
      <c r="I917" s="66"/>
      <c r="J917" s="66"/>
      <c r="K917" s="66"/>
      <c r="L917" s="66"/>
      <c r="N917" s="5">
        <v>6.2098272971648841E-2</v>
      </c>
      <c r="O917" s="19">
        <f t="shared" si="79"/>
        <v>6.4066908607189887E-2</v>
      </c>
      <c r="P917" s="12">
        <f t="shared" si="77"/>
        <v>-5367.5423309955167</v>
      </c>
    </row>
    <row r="918" spans="1:16">
      <c r="A918" s="149">
        <v>0.59443952757347329</v>
      </c>
      <c r="B918" s="150">
        <f t="shared" si="78"/>
        <v>39.024059291196991</v>
      </c>
      <c r="C918" s="24">
        <f t="shared" si="76"/>
        <v>-5850.3717072712852</v>
      </c>
      <c r="H918" s="66"/>
      <c r="I918" s="66"/>
      <c r="J918" s="66"/>
      <c r="K918" s="66"/>
      <c r="L918" s="66"/>
      <c r="N918" s="5">
        <v>6.2848581657941396E-2</v>
      </c>
      <c r="O918" s="19">
        <f t="shared" si="79"/>
        <v>6.4865586841653888E-2</v>
      </c>
      <c r="P918" s="12">
        <f t="shared" si="77"/>
        <v>-5342.0480828584168</v>
      </c>
    </row>
    <row r="919" spans="1:16">
      <c r="A919" s="149">
        <v>0.99331644642475658</v>
      </c>
      <c r="B919" s="150">
        <f t="shared" si="78"/>
        <v>53.502848964583421</v>
      </c>
      <c r="C919" s="24">
        <f t="shared" si="76"/>
        <v>-5850.3717072712852</v>
      </c>
      <c r="H919" s="66"/>
      <c r="I919" s="66"/>
      <c r="J919" s="66"/>
      <c r="K919" s="66"/>
      <c r="L919" s="66"/>
      <c r="N919" s="5">
        <v>3.2020169053008432E-2</v>
      </c>
      <c r="O919" s="19">
        <f t="shared" si="79"/>
        <v>3.2538330415425643E-2</v>
      </c>
      <c r="P919" s="12">
        <f t="shared" si="77"/>
        <v>-6551.2483976906551</v>
      </c>
    </row>
    <row r="920" spans="1:16">
      <c r="A920" s="149">
        <v>0.76989043855098116</v>
      </c>
      <c r="B920" s="150">
        <f t="shared" si="78"/>
        <v>43.128400488136975</v>
      </c>
      <c r="C920" s="24">
        <f t="shared" si="76"/>
        <v>-5850.3717072712852</v>
      </c>
      <c r="H920" s="66"/>
      <c r="I920" s="66"/>
      <c r="J920" s="66"/>
      <c r="K920" s="66"/>
      <c r="L920" s="66"/>
      <c r="N920" s="5">
        <v>3.249219089151302E-2</v>
      </c>
      <c r="O920" s="19">
        <f t="shared" si="79"/>
        <v>3.3025826101728661E-2</v>
      </c>
      <c r="P920" s="12">
        <f t="shared" si="77"/>
        <v>-6529.9535857334586</v>
      </c>
    </row>
    <row r="921" spans="1:16">
      <c r="A921" s="149">
        <v>2.2888882106997894E-3</v>
      </c>
      <c r="B921" s="150">
        <f t="shared" si="78"/>
        <v>1.8887417675818881</v>
      </c>
      <c r="C921" s="24">
        <f t="shared" si="76"/>
        <v>181400.91935828252</v>
      </c>
      <c r="H921" s="66"/>
      <c r="I921" s="66"/>
      <c r="J921" s="66"/>
      <c r="K921" s="66"/>
      <c r="L921" s="66"/>
      <c r="N921" s="5">
        <v>3.5651843924948481E-2</v>
      </c>
      <c r="O921" s="19">
        <f t="shared" si="79"/>
        <v>3.6294991280842126E-2</v>
      </c>
      <c r="P921" s="12">
        <f t="shared" si="77"/>
        <v>185971.39023529005</v>
      </c>
    </row>
    <row r="922" spans="1:16">
      <c r="A922" s="149">
        <v>0.67278054139835808</v>
      </c>
      <c r="B922" s="150">
        <f t="shared" si="78"/>
        <v>40.81905794478029</v>
      </c>
      <c r="C922" s="24">
        <f t="shared" si="76"/>
        <v>-5850.3717072712852</v>
      </c>
      <c r="H922" s="66"/>
      <c r="I922" s="66"/>
      <c r="J922" s="66"/>
      <c r="K922" s="66"/>
      <c r="L922" s="66"/>
      <c r="N922" s="5">
        <v>2.0049861811581651E-2</v>
      </c>
      <c r="O922" s="19">
        <f t="shared" si="79"/>
        <v>2.0252210381981106E-2</v>
      </c>
      <c r="P922" s="12">
        <f t="shared" si="77"/>
        <v>-7124.9671930955756</v>
      </c>
    </row>
    <row r="923" spans="1:16">
      <c r="A923" s="149">
        <v>0.89562669759208957</v>
      </c>
      <c r="B923" s="150">
        <f t="shared" si="78"/>
        <v>46.765353505764111</v>
      </c>
      <c r="C923" s="24">
        <f t="shared" si="76"/>
        <v>-5850.3717072712852</v>
      </c>
      <c r="H923" s="66"/>
      <c r="I923" s="66"/>
      <c r="J923" s="66"/>
      <c r="K923" s="66"/>
      <c r="L923" s="66"/>
      <c r="N923" s="5">
        <v>7.6062809464143358E-2</v>
      </c>
      <c r="O923" s="19">
        <f t="shared" si="79"/>
        <v>7.9030345346711162E-2</v>
      </c>
      <c r="P923" s="12">
        <f t="shared" si="77"/>
        <v>-4920.4754044878282</v>
      </c>
    </row>
    <row r="924" spans="1:16">
      <c r="A924" s="149">
        <v>1.2054811243018892E-2</v>
      </c>
      <c r="B924" s="150">
        <f t="shared" si="78"/>
        <v>7.1400893095340461</v>
      </c>
      <c r="C924" s="24">
        <f t="shared" si="76"/>
        <v>137852.0882541468</v>
      </c>
      <c r="H924" s="66"/>
      <c r="I924" s="66"/>
      <c r="J924" s="66"/>
      <c r="K924" s="66"/>
      <c r="L924" s="66"/>
      <c r="N924" s="5">
        <v>2.8998659397198936E-2</v>
      </c>
      <c r="O924" s="19">
        <f t="shared" si="79"/>
        <v>2.9423214426560929E-2</v>
      </c>
      <c r="P924" s="12">
        <f t="shared" si="77"/>
        <v>159048.14878951956</v>
      </c>
    </row>
    <row r="925" spans="1:16">
      <c r="A925" s="149">
        <v>0.34452345347453228</v>
      </c>
      <c r="B925" s="150">
        <f t="shared" si="78"/>
        <v>32.674965128852975</v>
      </c>
      <c r="C925" s="24">
        <f t="shared" si="76"/>
        <v>-5850.3717072712852</v>
      </c>
      <c r="H925" s="66"/>
      <c r="I925" s="66"/>
      <c r="J925" s="66"/>
      <c r="K925" s="66"/>
      <c r="L925" s="66"/>
      <c r="N925" s="5">
        <v>2.0134797248043471E-2</v>
      </c>
      <c r="O925" s="19">
        <f t="shared" si="79"/>
        <v>2.0338869628939271E-2</v>
      </c>
      <c r="P925" s="12">
        <f t="shared" si="77"/>
        <v>-7120.6574196604824</v>
      </c>
    </row>
    <row r="926" spans="1:16">
      <c r="A926" s="149">
        <v>0.69200720236823632</v>
      </c>
      <c r="B926" s="150">
        <f t="shared" si="78"/>
        <v>41.263670147657791</v>
      </c>
      <c r="C926" s="24">
        <f t="shared" si="76"/>
        <v>-5850.3717072712852</v>
      </c>
      <c r="H926" s="66"/>
      <c r="I926" s="66"/>
      <c r="J926" s="66"/>
      <c r="K926" s="66"/>
      <c r="L926" s="66"/>
      <c r="N926" s="5">
        <v>0.10283106161945034</v>
      </c>
      <c r="O926" s="19">
        <f t="shared" si="79"/>
        <v>0.10830415814988426</v>
      </c>
      <c r="P926" s="12">
        <f t="shared" si="77"/>
        <v>-4204.7683391577739</v>
      </c>
    </row>
    <row r="927" spans="1:16">
      <c r="A927" s="149">
        <v>0.94457838679158912</v>
      </c>
      <c r="B927" s="150">
        <f t="shared" si="78"/>
        <v>48.854486815648656</v>
      </c>
      <c r="C927" s="24">
        <f t="shared" si="76"/>
        <v>-5850.3717072712852</v>
      </c>
      <c r="H927" s="66"/>
      <c r="I927" s="66"/>
      <c r="J927" s="66"/>
      <c r="K927" s="66"/>
      <c r="L927" s="66"/>
      <c r="N927" s="5">
        <v>3.6084983977489188E-3</v>
      </c>
      <c r="O927" s="19">
        <f t="shared" si="79"/>
        <v>3.6150168663617865E-3</v>
      </c>
      <c r="P927" s="12">
        <f t="shared" si="77"/>
        <v>-8030.6986865143926</v>
      </c>
    </row>
    <row r="928" spans="1:16">
      <c r="A928" s="149">
        <v>0.81319620349742117</v>
      </c>
      <c r="B928" s="150">
        <f t="shared" si="78"/>
        <v>44.24851415267252</v>
      </c>
      <c r="C928" s="24">
        <f t="shared" si="76"/>
        <v>-5850.3717072712852</v>
      </c>
      <c r="H928" s="66"/>
      <c r="I928" s="66"/>
      <c r="J928" s="66"/>
      <c r="K928" s="66"/>
      <c r="L928" s="66"/>
      <c r="N928" s="5">
        <v>1.9698996263410665E-2</v>
      </c>
      <c r="O928" s="19">
        <f t="shared" si="79"/>
        <v>1.9894301823475846E-2</v>
      </c>
      <c r="P928" s="12">
        <f t="shared" si="77"/>
        <v>-7142.8085837031294</v>
      </c>
    </row>
    <row r="929" spans="1:16">
      <c r="A929" s="149">
        <v>0.2946256904812769</v>
      </c>
      <c r="B929" s="150">
        <f t="shared" si="78"/>
        <v>31.093092905687822</v>
      </c>
      <c r="C929" s="24">
        <f t="shared" si="76"/>
        <v>-5850.3717072712852</v>
      </c>
      <c r="H929" s="66"/>
      <c r="I929" s="66"/>
      <c r="J929" s="66"/>
      <c r="K929" s="66"/>
      <c r="L929" s="66"/>
      <c r="N929" s="5">
        <v>3.1333287958783332E-2</v>
      </c>
      <c r="O929" s="19">
        <f t="shared" si="79"/>
        <v>3.1829342880143052E-2</v>
      </c>
      <c r="P929" s="12">
        <f t="shared" si="77"/>
        <v>-6582.4090581354722</v>
      </c>
    </row>
    <row r="930" spans="1:16">
      <c r="A930" s="149">
        <v>0.18933683278908658</v>
      </c>
      <c r="B930" s="150">
        <f t="shared" si="78"/>
        <v>26.919059732478125</v>
      </c>
      <c r="C930" s="24">
        <f t="shared" si="76"/>
        <v>-5850.3717072712852</v>
      </c>
      <c r="H930" s="66"/>
      <c r="I930" s="66"/>
      <c r="J930" s="66"/>
      <c r="K930" s="66"/>
      <c r="L930" s="66"/>
      <c r="N930" s="5">
        <v>2.6408676555671265E-2</v>
      </c>
      <c r="O930" s="19">
        <f t="shared" si="79"/>
        <v>2.6760475676835815E-2</v>
      </c>
      <c r="P930" s="12">
        <f t="shared" si="77"/>
        <v>-6811.9463921614852</v>
      </c>
    </row>
    <row r="931" spans="1:16">
      <c r="A931" s="149">
        <v>0.18497268593401897</v>
      </c>
      <c r="B931" s="150">
        <f t="shared" si="78"/>
        <v>26.708418383299581</v>
      </c>
      <c r="C931" s="24">
        <f t="shared" si="76"/>
        <v>-5850.3717072712852</v>
      </c>
      <c r="H931" s="66"/>
      <c r="I931" s="66"/>
      <c r="J931" s="66"/>
      <c r="K931" s="66"/>
      <c r="L931" s="66"/>
      <c r="N931" s="5">
        <v>5.5888095241367411E-2</v>
      </c>
      <c r="O931" s="19">
        <f t="shared" si="79"/>
        <v>5.7479340144811264E-2</v>
      </c>
      <c r="P931" s="12">
        <f t="shared" si="77"/>
        <v>-5585.4527652256493</v>
      </c>
    </row>
    <row r="932" spans="1:16">
      <c r="A932" s="149">
        <v>0.56843775749992376</v>
      </c>
      <c r="B932" s="150">
        <f t="shared" si="78"/>
        <v>38.424687112923905</v>
      </c>
      <c r="C932" s="24">
        <f t="shared" si="76"/>
        <v>-5850.3717072712852</v>
      </c>
      <c r="H932" s="66"/>
      <c r="I932" s="66"/>
      <c r="J932" s="66"/>
      <c r="K932" s="66"/>
      <c r="L932" s="66"/>
      <c r="N932" s="5">
        <v>4.4573297779730639E-2</v>
      </c>
      <c r="O932" s="19">
        <f t="shared" si="79"/>
        <v>4.5581612712535913E-2</v>
      </c>
      <c r="P932" s="12">
        <f t="shared" si="77"/>
        <v>-6016.2889830313616</v>
      </c>
    </row>
    <row r="933" spans="1:16">
      <c r="A933" s="149">
        <v>0.57783745841853085</v>
      </c>
      <c r="B933" s="150">
        <f t="shared" si="78"/>
        <v>38.641961101680536</v>
      </c>
      <c r="C933" s="24">
        <f t="shared" si="76"/>
        <v>-5850.3717072712852</v>
      </c>
      <c r="H933" s="66"/>
      <c r="I933" s="66"/>
      <c r="J933" s="66"/>
      <c r="K933" s="66"/>
      <c r="L933" s="66"/>
      <c r="N933" s="5">
        <v>3.4469323461176829E-2</v>
      </c>
      <c r="O933" s="19">
        <f t="shared" si="79"/>
        <v>3.5070275515591387E-2</v>
      </c>
      <c r="P933" s="12">
        <f t="shared" si="77"/>
        <v>-6441.7956149893671</v>
      </c>
    </row>
    <row r="934" spans="1:16">
      <c r="A934" s="149">
        <v>0.75719473860896636</v>
      </c>
      <c r="B934" s="150">
        <f t="shared" si="78"/>
        <v>42.814245201481533</v>
      </c>
      <c r="C934" s="24">
        <f t="shared" si="76"/>
        <v>-5850.3717072712852</v>
      </c>
      <c r="H934" s="66"/>
      <c r="I934" s="66"/>
      <c r="J934" s="66"/>
      <c r="K934" s="66"/>
      <c r="L934" s="66"/>
      <c r="N934" s="5">
        <v>3.4072099603814424E-2</v>
      </c>
      <c r="O934" s="19">
        <f t="shared" si="79"/>
        <v>3.4659202557508095E-2</v>
      </c>
      <c r="P934" s="12">
        <f t="shared" si="77"/>
        <v>-6459.3737677939316</v>
      </c>
    </row>
    <row r="935" spans="1:16">
      <c r="A935" s="149">
        <v>3.5554063539536732E-2</v>
      </c>
      <c r="B935" s="150">
        <f t="shared" si="78"/>
        <v>13.555159934539738</v>
      </c>
      <c r="C935" s="24">
        <f t="shared" si="76"/>
        <v>97775.605537920899</v>
      </c>
      <c r="H935" s="66"/>
      <c r="I935" s="66"/>
      <c r="J935" s="66"/>
      <c r="K935" s="66"/>
      <c r="L935" s="66"/>
      <c r="N935" s="5">
        <v>-8.0356567676644758E-3</v>
      </c>
      <c r="O935" s="19">
        <f t="shared" si="79"/>
        <v>-8.0034571838127899E-3</v>
      </c>
      <c r="P935" s="12">
        <f t="shared" si="77"/>
        <v>215139.13125699884</v>
      </c>
    </row>
    <row r="936" spans="1:16">
      <c r="A936" s="149">
        <v>0.93441572313608201</v>
      </c>
      <c r="B936" s="150">
        <f t="shared" si="78"/>
        <v>48.347038706761225</v>
      </c>
      <c r="C936" s="24">
        <f t="shared" si="76"/>
        <v>-5850.3717072712852</v>
      </c>
      <c r="H936" s="66"/>
      <c r="I936" s="66"/>
      <c r="J936" s="66"/>
      <c r="K936" s="66"/>
      <c r="L936" s="66"/>
      <c r="N936" s="5">
        <v>3.0837812980404125E-2</v>
      </c>
      <c r="O936" s="19">
        <f t="shared" si="79"/>
        <v>3.1318223892579544E-2</v>
      </c>
      <c r="P936" s="12">
        <f t="shared" si="77"/>
        <v>-6605.0143493789328</v>
      </c>
    </row>
    <row r="937" spans="1:16">
      <c r="A937" s="149">
        <v>0.98663289284951328</v>
      </c>
      <c r="B937" s="150">
        <f t="shared" si="78"/>
        <v>52.240565247866151</v>
      </c>
      <c r="C937" s="24">
        <f t="shared" si="76"/>
        <v>-5850.3717072712852</v>
      </c>
      <c r="H937" s="66"/>
      <c r="I937" s="66"/>
      <c r="J937" s="66"/>
      <c r="K937" s="66"/>
      <c r="L937" s="66"/>
      <c r="N937" s="5">
        <v>6.2856633550254642E-3</v>
      </c>
      <c r="O937" s="19">
        <f t="shared" si="79"/>
        <v>6.3054595926919088E-3</v>
      </c>
      <c r="P937" s="12">
        <f t="shared" si="77"/>
        <v>-7873.0150823727226</v>
      </c>
    </row>
    <row r="938" spans="1:16">
      <c r="A938" s="149">
        <v>0.23160496841334269</v>
      </c>
      <c r="B938" s="150">
        <f t="shared" si="78"/>
        <v>28.775488178924309</v>
      </c>
      <c r="C938" s="24">
        <f t="shared" si="76"/>
        <v>-5850.3717072712852</v>
      </c>
      <c r="H938" s="66"/>
      <c r="I938" s="66"/>
      <c r="J938" s="66"/>
      <c r="K938" s="66"/>
      <c r="L938" s="66"/>
      <c r="N938" s="5">
        <v>4.3902855802240084E-2</v>
      </c>
      <c r="O938" s="19">
        <f t="shared" si="79"/>
        <v>4.488084584649199E-2</v>
      </c>
      <c r="P938" s="12">
        <f t="shared" si="77"/>
        <v>-6043.2797387533774</v>
      </c>
    </row>
    <row r="939" spans="1:16">
      <c r="A939" s="149">
        <v>0.84795678579058198</v>
      </c>
      <c r="B939" s="150">
        <f t="shared" si="78"/>
        <v>45.226260663967373</v>
      </c>
      <c r="C939" s="24">
        <f t="shared" si="76"/>
        <v>-5850.3717072712852</v>
      </c>
      <c r="H939" s="66"/>
      <c r="I939" s="66"/>
      <c r="J939" s="66"/>
      <c r="K939" s="66"/>
      <c r="L939" s="66"/>
      <c r="N939" s="5">
        <v>5.734977930581954E-2</v>
      </c>
      <c r="O939" s="19">
        <f t="shared" si="79"/>
        <v>5.9026171058433885E-2</v>
      </c>
      <c r="P939" s="12">
        <f t="shared" si="77"/>
        <v>-5533.033706645102</v>
      </c>
    </row>
    <row r="940" spans="1:16">
      <c r="A940" s="149">
        <v>0.77651295510727258</v>
      </c>
      <c r="B940" s="150">
        <f t="shared" si="78"/>
        <v>43.294468482214889</v>
      </c>
      <c r="C940" s="24">
        <f t="shared" si="76"/>
        <v>-5850.3717072712852</v>
      </c>
      <c r="H940" s="66"/>
      <c r="I940" s="66"/>
      <c r="J940" s="66"/>
      <c r="K940" s="66"/>
      <c r="L940" s="66"/>
      <c r="N940" s="5">
        <v>9.5687059863063043E-2</v>
      </c>
      <c r="O940" s="19">
        <f t="shared" si="79"/>
        <v>0.10041464619564522</v>
      </c>
      <c r="P940" s="12">
        <f t="shared" si="77"/>
        <v>-4379.6580824548173</v>
      </c>
    </row>
    <row r="941" spans="1:16">
      <c r="A941" s="149">
        <v>0.66344187749870298</v>
      </c>
      <c r="B941" s="150">
        <f t="shared" si="78"/>
        <v>40.604246131168679</v>
      </c>
      <c r="C941" s="24">
        <f t="shared" si="76"/>
        <v>-5850.3717072712852</v>
      </c>
      <c r="H941" s="66"/>
      <c r="I941" s="66"/>
      <c r="J941" s="66"/>
      <c r="K941" s="66"/>
      <c r="L941" s="66"/>
      <c r="N941" s="5">
        <v>2.8226404490065762E-2</v>
      </c>
      <c r="O941" s="19">
        <f t="shared" si="79"/>
        <v>2.8628544181195315E-2</v>
      </c>
      <c r="P941" s="12">
        <f t="shared" si="77"/>
        <v>-6725.9513691149778</v>
      </c>
    </row>
    <row r="942" spans="1:16">
      <c r="A942" s="149">
        <v>0.46885586107974486</v>
      </c>
      <c r="B942" s="150">
        <f t="shared" si="78"/>
        <v>36.045451307837261</v>
      </c>
      <c r="C942" s="24">
        <f t="shared" si="76"/>
        <v>-5850.3717072712852</v>
      </c>
      <c r="H942" s="66"/>
      <c r="I942" s="66"/>
      <c r="J942" s="66"/>
      <c r="K942" s="66"/>
      <c r="L942" s="66"/>
      <c r="N942" s="5">
        <v>6.9586181050122833E-2</v>
      </c>
      <c r="O942" s="19">
        <f t="shared" si="79"/>
        <v>7.2064448863683461E-2</v>
      </c>
      <c r="P942" s="12">
        <f t="shared" si="77"/>
        <v>-5120.7844337111201</v>
      </c>
    </row>
    <row r="943" spans="1:16">
      <c r="A943" s="149">
        <v>0.7023834955900754</v>
      </c>
      <c r="B943" s="150">
        <f t="shared" si="78"/>
        <v>41.50534869962754</v>
      </c>
      <c r="C943" s="24">
        <f t="shared" si="76"/>
        <v>-5850.3717072712852</v>
      </c>
      <c r="H943" s="66"/>
      <c r="I943" s="66"/>
      <c r="J943" s="66"/>
      <c r="K943" s="66"/>
      <c r="L943" s="66"/>
      <c r="N943" s="5">
        <v>6.8201514247572051E-2</v>
      </c>
      <c r="O943" s="19">
        <f t="shared" si="79"/>
        <v>7.0581024072692511E-2</v>
      </c>
      <c r="P943" s="12">
        <f t="shared" si="77"/>
        <v>-5165.1545873201258</v>
      </c>
    </row>
    <row r="944" spans="1:16">
      <c r="A944" s="149">
        <v>0.40742210150456254</v>
      </c>
      <c r="B944" s="150">
        <f t="shared" si="78"/>
        <v>34.458335503751208</v>
      </c>
      <c r="C944" s="24">
        <f t="shared" si="76"/>
        <v>-5850.3717072712852</v>
      </c>
      <c r="H944" s="66"/>
      <c r="I944" s="66"/>
      <c r="J944" s="66"/>
      <c r="K944" s="66"/>
      <c r="L944" s="66"/>
      <c r="N944" s="5">
        <v>8.0962433409818915E-2</v>
      </c>
      <c r="O944" s="19">
        <f t="shared" si="79"/>
        <v>8.4330161214833721E-2</v>
      </c>
      <c r="P944" s="12">
        <f t="shared" si="77"/>
        <v>-4776.5055010504948</v>
      </c>
    </row>
    <row r="945" spans="1:16">
      <c r="A945" s="149">
        <v>0.51057466353343306</v>
      </c>
      <c r="B945" s="150">
        <f t="shared" si="78"/>
        <v>37.063790793046877</v>
      </c>
      <c r="C945" s="24">
        <f t="shared" si="76"/>
        <v>-5850.3717072712852</v>
      </c>
      <c r="H945" s="66"/>
      <c r="I945" s="66"/>
      <c r="J945" s="66"/>
      <c r="K945" s="66"/>
      <c r="L945" s="66"/>
      <c r="N945" s="5">
        <v>3.8415369042137174E-2</v>
      </c>
      <c r="O945" s="19">
        <f t="shared" si="79"/>
        <v>3.9162779295042638E-2</v>
      </c>
      <c r="P945" s="12">
        <f t="shared" si="77"/>
        <v>-6270.7434435263949</v>
      </c>
    </row>
    <row r="946" spans="1:16">
      <c r="A946" s="149">
        <v>0.74098941007721186</v>
      </c>
      <c r="B946" s="150">
        <f t="shared" si="78"/>
        <v>42.420215171382885</v>
      </c>
      <c r="C946" s="24">
        <f t="shared" si="76"/>
        <v>-5850.3717072712852</v>
      </c>
      <c r="H946" s="66"/>
      <c r="I946" s="66"/>
      <c r="J946" s="66"/>
      <c r="K946" s="66"/>
      <c r="L946" s="66"/>
      <c r="N946" s="5">
        <v>3.2036471177103523E-2</v>
      </c>
      <c r="O946" s="19">
        <f t="shared" si="79"/>
        <v>3.2555163120625119E-2</v>
      </c>
      <c r="P946" s="12">
        <f t="shared" si="77"/>
        <v>-6550.5113355713511</v>
      </c>
    </row>
    <row r="947" spans="1:16">
      <c r="A947" s="149">
        <v>0.34559160130619221</v>
      </c>
      <c r="B947" s="150">
        <f t="shared" si="78"/>
        <v>32.706987594448634</v>
      </c>
      <c r="C947" s="24">
        <f t="shared" si="76"/>
        <v>-5850.3717072712852</v>
      </c>
      <c r="H947" s="66"/>
      <c r="I947" s="66"/>
      <c r="J947" s="66"/>
      <c r="K947" s="66"/>
      <c r="L947" s="66"/>
      <c r="N947" s="5">
        <v>7.4205627649585951E-2</v>
      </c>
      <c r="O947" s="19">
        <f t="shared" si="79"/>
        <v>7.7028249515418645E-2</v>
      </c>
      <c r="P947" s="12">
        <f t="shared" si="77"/>
        <v>-4976.7220475093727</v>
      </c>
    </row>
    <row r="948" spans="1:16">
      <c r="A948" s="149">
        <v>0.39771721549119543</v>
      </c>
      <c r="B948" s="150">
        <f t="shared" si="78"/>
        <v>34.195281372499991</v>
      </c>
      <c r="C948" s="24">
        <f t="shared" si="76"/>
        <v>-5850.3717072712852</v>
      </c>
      <c r="H948" s="66"/>
      <c r="I948" s="66"/>
      <c r="J948" s="66"/>
      <c r="K948" s="66"/>
      <c r="L948" s="66"/>
      <c r="N948" s="5">
        <v>6.8014163113854012E-2</v>
      </c>
      <c r="O948" s="19">
        <f t="shared" si="79"/>
        <v>7.0380468291858511E-2</v>
      </c>
      <c r="P948" s="12">
        <f t="shared" si="77"/>
        <v>-5171.2010600658577</v>
      </c>
    </row>
    <row r="949" spans="1:16">
      <c r="A949" s="149">
        <v>0.88323618274483473</v>
      </c>
      <c r="B949" s="150">
        <f t="shared" si="78"/>
        <v>46.334863133288565</v>
      </c>
      <c r="C949" s="24">
        <f t="shared" si="76"/>
        <v>-5850.3717072712852</v>
      </c>
      <c r="H949" s="66"/>
      <c r="I949" s="66"/>
      <c r="J949" s="66"/>
      <c r="K949" s="66"/>
      <c r="L949" s="66"/>
      <c r="N949" s="5">
        <v>7.5568649615102915E-2</v>
      </c>
      <c r="O949" s="19">
        <f t="shared" si="79"/>
        <v>7.8497263598790612E-2</v>
      </c>
      <c r="P949" s="12">
        <f t="shared" si="77"/>
        <v>-4935.3498970798191</v>
      </c>
    </row>
    <row r="950" spans="1:16">
      <c r="A950" s="149">
        <v>0.28186895352031005</v>
      </c>
      <c r="B950" s="150">
        <f t="shared" si="78"/>
        <v>30.657297189676996</v>
      </c>
      <c r="C950" s="24">
        <f t="shared" si="76"/>
        <v>-5850.3717072712852</v>
      </c>
      <c r="H950" s="66"/>
      <c r="I950" s="66"/>
      <c r="J950" s="66"/>
      <c r="K950" s="66"/>
      <c r="L950" s="66"/>
      <c r="N950" s="5">
        <v>0.10048333656153409</v>
      </c>
      <c r="O950" s="19">
        <f t="shared" si="79"/>
        <v>0.1057052166997261</v>
      </c>
      <c r="P950" s="12">
        <f t="shared" si="77"/>
        <v>-4261.0540860469064</v>
      </c>
    </row>
    <row r="951" spans="1:16">
      <c r="A951" s="149">
        <v>0.67806024353770566</v>
      </c>
      <c r="B951" s="150">
        <f t="shared" si="78"/>
        <v>40.940798484853623</v>
      </c>
      <c r="C951" s="24">
        <f t="shared" si="76"/>
        <v>-5850.3717072712852</v>
      </c>
      <c r="H951" s="66"/>
      <c r="I951" s="66"/>
      <c r="J951" s="66"/>
      <c r="K951" s="66"/>
      <c r="L951" s="66"/>
      <c r="N951" s="5">
        <v>1.9311252296698514E-2</v>
      </c>
      <c r="O951" s="19">
        <f t="shared" si="79"/>
        <v>1.9498920619551496E-2</v>
      </c>
      <c r="P951" s="12">
        <f t="shared" si="77"/>
        <v>-7162.5963474225664</v>
      </c>
    </row>
    <row r="952" spans="1:16">
      <c r="A952" s="149">
        <v>0.74007385479293186</v>
      </c>
      <c r="B952" s="150">
        <f t="shared" si="78"/>
        <v>42.398159707678445</v>
      </c>
      <c r="C952" s="24">
        <f t="shared" si="76"/>
        <v>-5850.3717072712852</v>
      </c>
      <c r="H952" s="66"/>
      <c r="I952" s="66"/>
      <c r="J952" s="66"/>
      <c r="K952" s="66"/>
      <c r="L952" s="66"/>
      <c r="N952" s="5">
        <v>3.0775070351533942E-2</v>
      </c>
      <c r="O952" s="19">
        <f t="shared" si="79"/>
        <v>3.125351830593126E-2</v>
      </c>
      <c r="P952" s="12">
        <f t="shared" si="77"/>
        <v>-6607.884564885464</v>
      </c>
    </row>
    <row r="953" spans="1:16">
      <c r="A953" s="149">
        <v>0.22177800836207159</v>
      </c>
      <c r="B953" s="150">
        <f t="shared" si="78"/>
        <v>28.370250993059642</v>
      </c>
      <c r="C953" s="24">
        <f t="shared" si="76"/>
        <v>-5850.3717072712852</v>
      </c>
      <c r="H953" s="66"/>
      <c r="I953" s="66"/>
      <c r="J953" s="66"/>
      <c r="K953" s="66"/>
      <c r="L953" s="66"/>
      <c r="N953" s="5">
        <v>1.6287002788099927E-2</v>
      </c>
      <c r="O953" s="19">
        <f t="shared" si="79"/>
        <v>1.6420359025443476E-2</v>
      </c>
      <c r="P953" s="12">
        <f t="shared" si="77"/>
        <v>-7319.53145291287</v>
      </c>
    </row>
    <row r="954" spans="1:16">
      <c r="A954" s="149">
        <v>1.489303262428663E-2</v>
      </c>
      <c r="B954" s="150">
        <f t="shared" si="78"/>
        <v>8.2145408139857317</v>
      </c>
      <c r="C954" s="24">
        <f t="shared" si="76"/>
        <v>130235.9395554462</v>
      </c>
      <c r="H954" s="66"/>
      <c r="I954" s="66"/>
      <c r="J954" s="66"/>
      <c r="K954" s="66"/>
      <c r="L954" s="66"/>
      <c r="N954" s="5">
        <v>2.8007572447801068E-2</v>
      </c>
      <c r="O954" s="19">
        <f t="shared" si="79"/>
        <v>2.8403471923549306E-2</v>
      </c>
      <c r="P954" s="12">
        <f t="shared" si="77"/>
        <v>154859.76333199703</v>
      </c>
    </row>
    <row r="955" spans="1:16">
      <c r="A955" s="149">
        <v>0.69566942350535599</v>
      </c>
      <c r="B955" s="150">
        <f t="shared" si="78"/>
        <v>41.348809695495923</v>
      </c>
      <c r="C955" s="24">
        <f t="shared" si="76"/>
        <v>-5850.3717072712852</v>
      </c>
      <c r="H955" s="66"/>
      <c r="I955" s="66"/>
      <c r="J955" s="66"/>
      <c r="K955" s="66"/>
      <c r="L955" s="66"/>
      <c r="N955" s="5">
        <v>3.8312651961074154E-2</v>
      </c>
      <c r="O955" s="19">
        <f t="shared" si="79"/>
        <v>3.9056045009415064E-2</v>
      </c>
      <c r="P955" s="12">
        <f t="shared" si="77"/>
        <v>-6275.1150209784</v>
      </c>
    </row>
    <row r="956" spans="1:16">
      <c r="A956" s="149">
        <v>0.64824365977965637</v>
      </c>
      <c r="B956" s="150">
        <f t="shared" si="78"/>
        <v>40.255722028297143</v>
      </c>
      <c r="C956" s="24">
        <f t="shared" si="76"/>
        <v>-5850.3717072712852</v>
      </c>
      <c r="H956" s="66"/>
      <c r="I956" s="66"/>
      <c r="J956" s="66"/>
      <c r="K956" s="66"/>
      <c r="L956" s="66"/>
      <c r="N956" s="5">
        <v>4.7931206560984721E-2</v>
      </c>
      <c r="O956" s="19">
        <f t="shared" si="79"/>
        <v>4.9098481749539458E-2</v>
      </c>
      <c r="P956" s="12">
        <f t="shared" si="77"/>
        <v>-5883.6378768616396</v>
      </c>
    </row>
    <row r="957" spans="1:16">
      <c r="A957" s="149">
        <v>0.78011413922544026</v>
      </c>
      <c r="B957" s="150">
        <f t="shared" si="78"/>
        <v>43.385463514418845</v>
      </c>
      <c r="C957" s="24">
        <f t="shared" si="76"/>
        <v>-5850.3717072712852</v>
      </c>
      <c r="H957" s="66"/>
      <c r="I957" s="66"/>
      <c r="J957" s="66"/>
      <c r="K957" s="66"/>
      <c r="L957" s="66"/>
      <c r="N957" s="5">
        <v>9.3968405005522074E-2</v>
      </c>
      <c r="O957" s="19">
        <f t="shared" si="79"/>
        <v>9.8525037476377086E-2</v>
      </c>
      <c r="P957" s="12">
        <f t="shared" si="77"/>
        <v>-4423.3755067682796</v>
      </c>
    </row>
    <row r="958" spans="1:16">
      <c r="A958" s="149">
        <v>0.99353007599108856</v>
      </c>
      <c r="B958" s="150">
        <f t="shared" si="78"/>
        <v>53.557643054052072</v>
      </c>
      <c r="C958" s="24">
        <f t="shared" si="76"/>
        <v>-5850.3717072712852</v>
      </c>
      <c r="H958" s="66"/>
      <c r="I958" s="66"/>
      <c r="J958" s="66"/>
      <c r="K958" s="66"/>
      <c r="L958" s="66"/>
      <c r="N958" s="5">
        <v>3.1577134857012426E-2</v>
      </c>
      <c r="O958" s="19">
        <f t="shared" si="79"/>
        <v>3.208098194436193E-2</v>
      </c>
      <c r="P958" s="12">
        <f t="shared" si="77"/>
        <v>-6571.3233236465985</v>
      </c>
    </row>
    <row r="959" spans="1:16">
      <c r="A959" s="149">
        <v>0.29340495010223699</v>
      </c>
      <c r="B959" s="150">
        <f t="shared" si="78"/>
        <v>31.052011915189567</v>
      </c>
      <c r="C959" s="24">
        <f t="shared" si="76"/>
        <v>-5850.3717072712852</v>
      </c>
      <c r="H959" s="66"/>
      <c r="I959" s="66"/>
      <c r="J959" s="66"/>
      <c r="K959" s="66"/>
      <c r="L959" s="66"/>
      <c r="N959" s="5">
        <v>2.6621124740937377E-2</v>
      </c>
      <c r="O959" s="19">
        <f t="shared" si="79"/>
        <v>2.6978632249259782E-2</v>
      </c>
      <c r="P959" s="12">
        <f t="shared" si="77"/>
        <v>-6801.8176225212619</v>
      </c>
    </row>
    <row r="960" spans="1:16">
      <c r="A960" s="149">
        <v>0.77196569719534902</v>
      </c>
      <c r="B960" s="150">
        <f t="shared" si="78"/>
        <v>43.180268810182618</v>
      </c>
      <c r="C960" s="24">
        <f t="shared" si="76"/>
        <v>-5850.3717072712852</v>
      </c>
      <c r="H960" s="66"/>
      <c r="I960" s="66"/>
      <c r="J960" s="66"/>
      <c r="K960" s="66"/>
      <c r="L960" s="66"/>
      <c r="N960" s="5">
        <v>8.7412923628231512E-2</v>
      </c>
      <c r="O960" s="19">
        <f t="shared" si="79"/>
        <v>9.1347229748267589E-2</v>
      </c>
      <c r="P960" s="12">
        <f t="shared" si="77"/>
        <v>-4596.3001330265924</v>
      </c>
    </row>
    <row r="961" spans="1:16">
      <c r="A961" s="149">
        <v>0.10550248725852229</v>
      </c>
      <c r="B961" s="150">
        <f t="shared" si="78"/>
        <v>21.85637324427276</v>
      </c>
      <c r="C961" s="24">
        <f t="shared" si="76"/>
        <v>-5850.3717072712852</v>
      </c>
      <c r="H961" s="66"/>
      <c r="I961" s="66"/>
      <c r="J961" s="66"/>
      <c r="K961" s="66"/>
      <c r="L961" s="66"/>
      <c r="N961" s="5">
        <v>7.3500279947562377E-2</v>
      </c>
      <c r="O961" s="19">
        <f t="shared" si="79"/>
        <v>7.6268837970687287E-2</v>
      </c>
      <c r="P961" s="12">
        <f t="shared" si="77"/>
        <v>-4998.331940906306</v>
      </c>
    </row>
    <row r="962" spans="1:16">
      <c r="A962" s="149">
        <v>0.5858638264107181</v>
      </c>
      <c r="B962" s="150">
        <f t="shared" si="78"/>
        <v>38.826922289168543</v>
      </c>
      <c r="C962" s="24">
        <f t="shared" si="76"/>
        <v>-5850.3717072712852</v>
      </c>
      <c r="H962" s="66"/>
      <c r="I962" s="66"/>
      <c r="J962" s="66"/>
      <c r="K962" s="66"/>
      <c r="L962" s="66"/>
      <c r="N962" s="5">
        <v>2.5590556512848708E-2</v>
      </c>
      <c r="O962" s="19">
        <f t="shared" si="79"/>
        <v>2.5920805874687813E-2</v>
      </c>
      <c r="P962" s="12">
        <f t="shared" si="77"/>
        <v>-6851.1462458253782</v>
      </c>
    </row>
    <row r="963" spans="1:16">
      <c r="A963" s="149">
        <v>0.83602404858546708</v>
      </c>
      <c r="B963" s="150">
        <f t="shared" si="78"/>
        <v>44.880405597868105</v>
      </c>
      <c r="C963" s="24">
        <f t="shared" si="76"/>
        <v>-5850.3717072712852</v>
      </c>
      <c r="H963" s="66"/>
      <c r="I963" s="66"/>
      <c r="J963" s="66"/>
      <c r="K963" s="66"/>
      <c r="L963" s="66"/>
      <c r="N963" s="5">
        <v>6.4182862567700796E-2</v>
      </c>
      <c r="O963" s="19">
        <f t="shared" si="79"/>
        <v>6.6287364980417429E-2</v>
      </c>
      <c r="P963" s="12">
        <f t="shared" si="77"/>
        <v>-5297.1423527570087</v>
      </c>
    </row>
    <row r="964" spans="1:16">
      <c r="A964" s="149">
        <v>0.10916470839564196</v>
      </c>
      <c r="B964" s="150">
        <f t="shared" si="78"/>
        <v>22.140178920182535</v>
      </c>
      <c r="C964" s="24">
        <f t="shared" si="76"/>
        <v>-5850.3717072712852</v>
      </c>
      <c r="H964" s="66"/>
      <c r="I964" s="66"/>
      <c r="J964" s="66"/>
      <c r="K964" s="66"/>
      <c r="L964" s="66"/>
      <c r="N964" s="5">
        <v>8.3263057123404011E-3</v>
      </c>
      <c r="O964" s="19">
        <f t="shared" si="79"/>
        <v>8.3610658031523233E-3</v>
      </c>
      <c r="P964" s="12">
        <f t="shared" si="77"/>
        <v>-7755.6046846061545</v>
      </c>
    </row>
    <row r="965" spans="1:16">
      <c r="A965" s="149">
        <v>0.42725913266396071</v>
      </c>
      <c r="B965" s="150">
        <f t="shared" si="78"/>
        <v>34.984590899266429</v>
      </c>
      <c r="C965" s="24">
        <f t="shared" si="76"/>
        <v>-5850.3717072712852</v>
      </c>
      <c r="H965" s="66"/>
      <c r="I965" s="66"/>
      <c r="J965" s="66"/>
      <c r="K965" s="66"/>
      <c r="L965" s="66"/>
      <c r="N965" s="5">
        <v>6.1865440281631892E-2</v>
      </c>
      <c r="O965" s="19">
        <f t="shared" si="79"/>
        <v>6.3819187886360984E-2</v>
      </c>
      <c r="P965" s="12">
        <f t="shared" si="77"/>
        <v>-5375.4893589410085</v>
      </c>
    </row>
    <row r="966" spans="1:16">
      <c r="A966" s="149">
        <v>0.93490401928769795</v>
      </c>
      <c r="B966" s="150">
        <f t="shared" si="78"/>
        <v>48.370217563614858</v>
      </c>
      <c r="C966" s="24">
        <f t="shared" si="76"/>
        <v>-5850.3717072712852</v>
      </c>
      <c r="H966" s="66"/>
      <c r="I966" s="66"/>
      <c r="J966" s="66"/>
      <c r="K966" s="66"/>
      <c r="L966" s="66"/>
      <c r="N966" s="5">
        <v>5.2851406801106351E-2</v>
      </c>
      <c r="O966" s="19">
        <f t="shared" si="79"/>
        <v>5.4272975685673686E-2</v>
      </c>
      <c r="P966" s="12">
        <f t="shared" si="77"/>
        <v>-5696.6527653895537</v>
      </c>
    </row>
    <row r="967" spans="1:16">
      <c r="A967" s="149">
        <v>0.90289010284737692</v>
      </c>
      <c r="B967" s="150">
        <f t="shared" si="78"/>
        <v>47.031054476035919</v>
      </c>
      <c r="C967" s="24">
        <f t="shared" si="76"/>
        <v>-5850.3717072712852</v>
      </c>
      <c r="H967" s="66"/>
      <c r="I967" s="66"/>
      <c r="J967" s="66"/>
      <c r="K967" s="66"/>
      <c r="L967" s="66"/>
      <c r="N967" s="5">
        <v>2.6840093775841525E-2</v>
      </c>
      <c r="O967" s="19">
        <f t="shared" si="79"/>
        <v>2.7203533391525037E-2</v>
      </c>
      <c r="P967" s="12">
        <f t="shared" si="77"/>
        <v>-6791.3996899377189</v>
      </c>
    </row>
    <row r="968" spans="1:16">
      <c r="A968" s="149">
        <v>0.39689321573534347</v>
      </c>
      <c r="B968" s="150">
        <f t="shared" si="78"/>
        <v>34.172765790389825</v>
      </c>
      <c r="C968" s="24">
        <f t="shared" si="76"/>
        <v>-5850.3717072712852</v>
      </c>
      <c r="H968" s="66"/>
      <c r="I968" s="66"/>
      <c r="J968" s="66"/>
      <c r="K968" s="66"/>
      <c r="L968" s="66"/>
      <c r="N968" s="5">
        <v>1.5610612055170364E-3</v>
      </c>
      <c r="O968" s="19">
        <f t="shared" si="79"/>
        <v>1.5622802958363824E-3</v>
      </c>
      <c r="P968" s="12">
        <f t="shared" si="77"/>
        <v>-8154.1588647439166</v>
      </c>
    </row>
    <row r="969" spans="1:16">
      <c r="A969" s="149">
        <v>0.60908841212195197</v>
      </c>
      <c r="B969" s="150">
        <f t="shared" si="78"/>
        <v>39.359926793160263</v>
      </c>
      <c r="C969" s="24">
        <f t="shared" si="76"/>
        <v>-5850.3717072712852</v>
      </c>
      <c r="H969" s="66"/>
      <c r="I969" s="66"/>
      <c r="J969" s="66"/>
      <c r="K969" s="66"/>
      <c r="L969" s="66"/>
      <c r="N969" s="5">
        <v>2.409514486056287E-2</v>
      </c>
      <c r="O969" s="19">
        <f t="shared" si="79"/>
        <v>2.4387778486457012E-2</v>
      </c>
      <c r="P969" s="12">
        <f t="shared" si="77"/>
        <v>-6923.6050930046358</v>
      </c>
    </row>
    <row r="970" spans="1:16">
      <c r="A970" s="149">
        <v>0.72515030365916933</v>
      </c>
      <c r="B970" s="150">
        <f t="shared" si="78"/>
        <v>42.04136660385759</v>
      </c>
      <c r="C970" s="24">
        <f t="shared" si="76"/>
        <v>-5850.3717072712852</v>
      </c>
      <c r="H970" s="66"/>
      <c r="I970" s="66"/>
      <c r="J970" s="66"/>
      <c r="K970" s="66"/>
      <c r="L970" s="66"/>
      <c r="N970" s="5">
        <v>3.0334776008327027E-2</v>
      </c>
      <c r="O970" s="19">
        <f t="shared" si="79"/>
        <v>3.0799563159684018E-2</v>
      </c>
      <c r="P970" s="12">
        <f t="shared" si="77"/>
        <v>-6628.0749439151241</v>
      </c>
    </row>
    <row r="971" spans="1:16">
      <c r="A971" s="149">
        <v>0.11276589251380963</v>
      </c>
      <c r="B971" s="150">
        <f t="shared" si="78"/>
        <v>22.411384697956461</v>
      </c>
      <c r="C971" s="24">
        <f t="shared" si="76"/>
        <v>-5850.3717072712852</v>
      </c>
      <c r="H971" s="66"/>
      <c r="I971" s="66"/>
      <c r="J971" s="66"/>
      <c r="K971" s="66"/>
      <c r="L971" s="66"/>
      <c r="N971" s="5">
        <v>7.6009711117090775E-2</v>
      </c>
      <c r="O971" s="19">
        <f t="shared" si="79"/>
        <v>7.8973052140054456E-2</v>
      </c>
      <c r="P971" s="12">
        <f t="shared" si="77"/>
        <v>-4922.0705287030705</v>
      </c>
    </row>
    <row r="972" spans="1:16">
      <c r="A972" s="149">
        <v>0.26157414471877194</v>
      </c>
      <c r="B972" s="150">
        <f t="shared" si="78"/>
        <v>29.931873594696018</v>
      </c>
      <c r="C972" s="24">
        <f t="shared" si="76"/>
        <v>-5850.3717072712852</v>
      </c>
      <c r="H972" s="66"/>
      <c r="I972" s="66"/>
      <c r="J972" s="66"/>
      <c r="K972" s="66"/>
      <c r="L972" s="66"/>
      <c r="N972" s="5">
        <v>2.3616218593029772E-2</v>
      </c>
      <c r="O972" s="19">
        <f t="shared" si="79"/>
        <v>2.3897289734548854E-2</v>
      </c>
      <c r="P972" s="12">
        <f t="shared" si="77"/>
        <v>-6947.0338419066748</v>
      </c>
    </row>
    <row r="973" spans="1:16">
      <c r="A973" s="149">
        <v>0.82287057100131233</v>
      </c>
      <c r="B973" s="150">
        <f t="shared" si="78"/>
        <v>44.51202927604654</v>
      </c>
      <c r="C973" s="24">
        <f t="shared" si="76"/>
        <v>-5850.3717072712852</v>
      </c>
      <c r="H973" s="66"/>
      <c r="I973" s="66"/>
      <c r="J973" s="66"/>
      <c r="K973" s="66"/>
      <c r="L973" s="66"/>
      <c r="N973" s="5">
        <v>6.6948141190674507E-2</v>
      </c>
      <c r="O973" s="19">
        <f t="shared" si="79"/>
        <v>6.9240027222107647E-2</v>
      </c>
      <c r="P973" s="12">
        <f t="shared" si="77"/>
        <v>-5205.8022368011361</v>
      </c>
    </row>
    <row r="974" spans="1:16">
      <c r="A974" s="149">
        <v>0.78728598895229962</v>
      </c>
      <c r="B974" s="150">
        <f t="shared" si="78"/>
        <v>43.56823494616166</v>
      </c>
      <c r="C974" s="24">
        <f t="shared" si="76"/>
        <v>-5850.3717072712852</v>
      </c>
      <c r="H974" s="66"/>
      <c r="I974" s="66"/>
      <c r="J974" s="66"/>
      <c r="K974" s="66"/>
      <c r="L974" s="66"/>
      <c r="N974" s="5">
        <v>5.7646286174654962E-2</v>
      </c>
      <c r="O974" s="19">
        <f t="shared" si="79"/>
        <v>5.9340226149874109E-2</v>
      </c>
      <c r="P974" s="12">
        <f t="shared" si="77"/>
        <v>-5522.4865493700981</v>
      </c>
    </row>
    <row r="975" spans="1:16">
      <c r="A975" s="149">
        <v>0.43513290810876798</v>
      </c>
      <c r="B975" s="150">
        <f t="shared" si="78"/>
        <v>35.189554684016308</v>
      </c>
      <c r="C975" s="24">
        <f t="shared" si="76"/>
        <v>-5850.3717072712852</v>
      </c>
      <c r="H975" s="66"/>
      <c r="I975" s="66"/>
      <c r="J975" s="66"/>
      <c r="K975" s="66"/>
      <c r="L975" s="66"/>
      <c r="N975" s="5">
        <v>7.7842946618271527E-2</v>
      </c>
      <c r="O975" s="19">
        <f t="shared" si="79"/>
        <v>8.0952878033136333E-2</v>
      </c>
      <c r="P975" s="12">
        <f t="shared" si="77"/>
        <v>-4867.4361036661339</v>
      </c>
    </row>
    <row r="976" spans="1:16">
      <c r="A976" s="149">
        <v>0.91076387829218419</v>
      </c>
      <c r="B976" s="150">
        <f t="shared" si="78"/>
        <v>47.332299314596916</v>
      </c>
      <c r="C976" s="24">
        <f t="shared" ref="C976:C1015" si="80">IF($B976&lt;15,B$8*(B$10^$B976)-B$7*(1-B$10^$B976)/B$11, -B$7*(1-B$10^15)/B$11)</f>
        <v>-5850.3717072712852</v>
      </c>
      <c r="H976" s="66"/>
      <c r="I976" s="66"/>
      <c r="J976" s="66"/>
      <c r="K976" s="66"/>
      <c r="L976" s="66"/>
      <c r="N976" s="5">
        <v>6.9478285647288432E-2</v>
      </c>
      <c r="O976" s="19">
        <f t="shared" si="79"/>
        <v>7.1948784278059508E-2</v>
      </c>
      <c r="P976" s="12">
        <f t="shared" ref="P976:P1015" si="81">IF($B976&lt;15,B$8*((1+O976)^-$B976)-B$7*(1-(1+O976)^-$B976)/LN(1+O976), -B$7*(1-(1+O976)^-15)/LN(1+O976))</f>
        <v>-5124.2218131157624</v>
      </c>
    </row>
    <row r="977" spans="1:16">
      <c r="A977" s="149">
        <v>0.59886471144749287</v>
      </c>
      <c r="B977" s="150">
        <f t="shared" ref="B977:B1015" si="82">LN(1-LN(B$4)*(LN(1-A977)/(B$3*B$4^50)))/LN(B$4)</f>
        <v>39.125620836030023</v>
      </c>
      <c r="C977" s="24">
        <f t="shared" si="80"/>
        <v>-5850.3717072712852</v>
      </c>
      <c r="H977" s="66"/>
      <c r="I977" s="66"/>
      <c r="J977" s="66"/>
      <c r="K977" s="66"/>
      <c r="L977" s="66"/>
      <c r="N977" s="5">
        <v>9.5531021971837632E-3</v>
      </c>
      <c r="O977" s="19">
        <f t="shared" ref="O977:O1015" si="83">EXP(N977)-1</f>
        <v>9.5988787311616086E-3</v>
      </c>
      <c r="P977" s="12">
        <f t="shared" si="81"/>
        <v>-7686.152756037779</v>
      </c>
    </row>
    <row r="978" spans="1:16">
      <c r="A978" s="149">
        <v>0.57188634907071134</v>
      </c>
      <c r="B978" s="150">
        <f t="shared" si="82"/>
        <v>38.504492017360747</v>
      </c>
      <c r="C978" s="24">
        <f t="shared" si="80"/>
        <v>-5850.3717072712852</v>
      </c>
      <c r="H978" s="66"/>
      <c r="I978" s="66"/>
      <c r="J978" s="66"/>
      <c r="K978" s="66"/>
      <c r="L978" s="66"/>
      <c r="N978" s="5">
        <v>7.222278756089523E-4</v>
      </c>
      <c r="O978" s="19">
        <f t="shared" si="83"/>
        <v>7.2248874495972615E-4</v>
      </c>
      <c r="P978" s="12">
        <f t="shared" si="81"/>
        <v>-8205.4730881378946</v>
      </c>
    </row>
    <row r="979" spans="1:16">
      <c r="A979" s="149">
        <v>0.8937040314951018</v>
      </c>
      <c r="B979" s="150">
        <f t="shared" si="82"/>
        <v>46.696775580138883</v>
      </c>
      <c r="C979" s="24">
        <f t="shared" si="80"/>
        <v>-5850.3717072712852</v>
      </c>
      <c r="H979" s="66"/>
      <c r="I979" s="66"/>
      <c r="J979" s="66"/>
      <c r="K979" s="66"/>
      <c r="L979" s="66"/>
      <c r="N979" s="5">
        <v>3.8495811120024884E-2</v>
      </c>
      <c r="O979" s="19">
        <f t="shared" si="83"/>
        <v>3.9246375070536521E-2</v>
      </c>
      <c r="P979" s="12">
        <f t="shared" si="81"/>
        <v>-6267.3228549226442</v>
      </c>
    </row>
    <row r="980" spans="1:16">
      <c r="A980" s="149">
        <v>0.64671773430585655</v>
      </c>
      <c r="B980" s="150">
        <f t="shared" si="82"/>
        <v>40.220782639032308</v>
      </c>
      <c r="C980" s="24">
        <f t="shared" si="80"/>
        <v>-5850.3717072712852</v>
      </c>
      <c r="H980" s="66"/>
      <c r="I980" s="66"/>
      <c r="J980" s="66"/>
      <c r="K980" s="66"/>
      <c r="L980" s="66"/>
      <c r="N980" s="5">
        <v>2.6029919306107333E-2</v>
      </c>
      <c r="O980" s="19">
        <f t="shared" si="83"/>
        <v>2.637165634182681E-2</v>
      </c>
      <c r="P980" s="12">
        <f t="shared" si="81"/>
        <v>-6830.0558400835735</v>
      </c>
    </row>
    <row r="981" spans="1:16">
      <c r="A981" s="149">
        <v>0.40952787865840634</v>
      </c>
      <c r="B981" s="150">
        <f t="shared" si="82"/>
        <v>34.514909108838964</v>
      </c>
      <c r="C981" s="24">
        <f t="shared" si="80"/>
        <v>-5850.3717072712852</v>
      </c>
      <c r="H981" s="66"/>
      <c r="I981" s="66"/>
      <c r="J981" s="66"/>
      <c r="K981" s="66"/>
      <c r="L981" s="66"/>
      <c r="N981" s="5">
        <v>4.3968557472122485E-2</v>
      </c>
      <c r="O981" s="19">
        <f t="shared" si="83"/>
        <v>4.4949498518165099E-2</v>
      </c>
      <c r="P981" s="12">
        <f t="shared" si="81"/>
        <v>-6040.6271663171783</v>
      </c>
    </row>
    <row r="982" spans="1:16">
      <c r="A982" s="149">
        <v>2.3590807824945829E-2</v>
      </c>
      <c r="B982" s="150">
        <f t="shared" si="82"/>
        <v>10.865184639543411</v>
      </c>
      <c r="C982" s="24">
        <f t="shared" si="80"/>
        <v>113069.24140857694</v>
      </c>
      <c r="H982" s="66"/>
      <c r="I982" s="66"/>
      <c r="J982" s="66"/>
      <c r="K982" s="66"/>
      <c r="L982" s="66"/>
      <c r="N982" s="5">
        <v>5.3145968374461519E-2</v>
      </c>
      <c r="O982" s="19">
        <f t="shared" si="83"/>
        <v>5.4583569734427684E-2</v>
      </c>
      <c r="P982" s="12">
        <f t="shared" si="81"/>
        <v>107726.9226610936</v>
      </c>
    </row>
    <row r="983" spans="1:16">
      <c r="A983" s="149">
        <v>6.9032868434705644E-2</v>
      </c>
      <c r="B983" s="150">
        <f t="shared" si="82"/>
        <v>18.442166021377862</v>
      </c>
      <c r="C983" s="24">
        <f t="shared" si="80"/>
        <v>-5850.3717072712852</v>
      </c>
      <c r="H983" s="66"/>
      <c r="I983" s="66"/>
      <c r="J983" s="66"/>
      <c r="K983" s="66"/>
      <c r="L983" s="66"/>
      <c r="N983" s="5">
        <v>4.1405069007065323E-2</v>
      </c>
      <c r="O983" s="19">
        <f t="shared" si="83"/>
        <v>4.2274213028939744E-2</v>
      </c>
      <c r="P983" s="12">
        <f t="shared" si="81"/>
        <v>-6145.3527334887494</v>
      </c>
    </row>
    <row r="984" spans="1:16">
      <c r="A984" s="149">
        <v>0.98400830103457748</v>
      </c>
      <c r="B984" s="150">
        <f t="shared" si="82"/>
        <v>51.881070657305429</v>
      </c>
      <c r="C984" s="24">
        <f t="shared" si="80"/>
        <v>-5850.3717072712852</v>
      </c>
      <c r="H984" s="66"/>
      <c r="I984" s="66"/>
      <c r="J984" s="66"/>
      <c r="K984" s="66"/>
      <c r="L984" s="66"/>
      <c r="N984" s="5">
        <v>6.8050000388335322E-2</v>
      </c>
      <c r="O984" s="19">
        <f t="shared" si="83"/>
        <v>7.0418828497858632E-2</v>
      </c>
      <c r="P984" s="12">
        <f t="shared" si="81"/>
        <v>-5170.0436693420461</v>
      </c>
    </row>
    <row r="985" spans="1:16">
      <c r="A985" s="149">
        <v>0.44236579485457928</v>
      </c>
      <c r="B985" s="150">
        <f t="shared" si="82"/>
        <v>35.376021308517565</v>
      </c>
      <c r="C985" s="24">
        <f t="shared" si="80"/>
        <v>-5850.3717072712852</v>
      </c>
      <c r="H985" s="66"/>
      <c r="I985" s="66"/>
      <c r="J985" s="66"/>
      <c r="K985" s="66"/>
      <c r="L985" s="66"/>
      <c r="N985" s="5">
        <v>6.4014635606450612E-2</v>
      </c>
      <c r="O985" s="19">
        <f t="shared" si="83"/>
        <v>6.6108001784473069E-2</v>
      </c>
      <c r="P985" s="12">
        <f t="shared" si="81"/>
        <v>-5302.7739101782045</v>
      </c>
    </row>
    <row r="986" spans="1:16">
      <c r="A986" s="149">
        <v>0.88695944090090639</v>
      </c>
      <c r="B986" s="150">
        <f t="shared" si="82"/>
        <v>46.461481845940447</v>
      </c>
      <c r="C986" s="24">
        <f t="shared" si="80"/>
        <v>-5850.3717072712852</v>
      </c>
      <c r="H986" s="66"/>
      <c r="I986" s="66"/>
      <c r="J986" s="66"/>
      <c r="K986" s="66"/>
      <c r="L986" s="66"/>
      <c r="N986" s="5">
        <v>7.9184049761475764E-2</v>
      </c>
      <c r="O986" s="19">
        <f t="shared" si="83"/>
        <v>8.240351984824934E-2</v>
      </c>
      <c r="P986" s="12">
        <f t="shared" si="81"/>
        <v>-4828.0330495844928</v>
      </c>
    </row>
    <row r="987" spans="1:16">
      <c r="A987" s="149">
        <v>0.30640583513901182</v>
      </c>
      <c r="B987" s="150">
        <f t="shared" si="82"/>
        <v>31.48315251925494</v>
      </c>
      <c r="C987" s="24">
        <f t="shared" si="80"/>
        <v>-5850.3717072712852</v>
      </c>
      <c r="H987" s="66"/>
      <c r="I987" s="66"/>
      <c r="J987" s="66"/>
      <c r="K987" s="66"/>
      <c r="L987" s="66"/>
      <c r="N987" s="5">
        <v>4.0114022974317778E-2</v>
      </c>
      <c r="O987" s="19">
        <f t="shared" si="83"/>
        <v>4.0929457298735539E-2</v>
      </c>
      <c r="P987" s="12">
        <f t="shared" si="81"/>
        <v>-6199.0646121715481</v>
      </c>
    </row>
    <row r="988" spans="1:16">
      <c r="A988" s="149">
        <v>0.65120395519882812</v>
      </c>
      <c r="B988" s="150">
        <f t="shared" si="82"/>
        <v>40.323527159415413</v>
      </c>
      <c r="C988" s="24">
        <f t="shared" si="80"/>
        <v>-5850.3717072712852</v>
      </c>
      <c r="H988" s="66"/>
      <c r="I988" s="66"/>
      <c r="J988" s="66"/>
      <c r="K988" s="66"/>
      <c r="L988" s="66"/>
      <c r="N988" s="5">
        <v>6.7281088101604838E-2</v>
      </c>
      <c r="O988" s="19">
        <f t="shared" si="83"/>
        <v>6.9596086657369494E-2</v>
      </c>
      <c r="P988" s="12">
        <f t="shared" si="81"/>
        <v>-5194.959278334125</v>
      </c>
    </row>
    <row r="989" spans="1:16">
      <c r="A989" s="149">
        <v>0.71886349070711386</v>
      </c>
      <c r="B989" s="150">
        <f t="shared" si="82"/>
        <v>41.89244801354797</v>
      </c>
      <c r="C989" s="24">
        <f t="shared" si="80"/>
        <v>-5850.3717072712852</v>
      </c>
      <c r="H989" s="66"/>
      <c r="I989" s="66"/>
      <c r="J989" s="66"/>
      <c r="K989" s="66"/>
      <c r="L989" s="66"/>
      <c r="N989" s="5">
        <v>5.9477110605381314E-2</v>
      </c>
      <c r="O989" s="19">
        <f t="shared" si="83"/>
        <v>6.1281468611182222E-2</v>
      </c>
      <c r="P989" s="12">
        <f t="shared" si="81"/>
        <v>-5457.9974086222619</v>
      </c>
    </row>
    <row r="990" spans="1:16">
      <c r="A990" s="149">
        <v>0.97488326670125436</v>
      </c>
      <c r="B990" s="150">
        <f t="shared" si="82"/>
        <v>50.901964317501452</v>
      </c>
      <c r="C990" s="24">
        <f t="shared" si="80"/>
        <v>-5850.3717072712852</v>
      </c>
      <c r="H990" s="66"/>
      <c r="I990" s="66"/>
      <c r="J990" s="66"/>
      <c r="K990" s="66"/>
      <c r="L990" s="66"/>
      <c r="N990" s="5">
        <v>3.4245970661810135E-2</v>
      </c>
      <c r="O990" s="19">
        <f t="shared" si="83"/>
        <v>3.4839115488094263E-2</v>
      </c>
      <c r="P990" s="12">
        <f t="shared" si="81"/>
        <v>-6451.6713237482463</v>
      </c>
    </row>
    <row r="991" spans="1:16">
      <c r="A991" s="149">
        <v>3.4394360179448837E-2</v>
      </c>
      <c r="B991" s="150">
        <f t="shared" si="82"/>
        <v>13.327392056261276</v>
      </c>
      <c r="C991" s="24">
        <f t="shared" si="80"/>
        <v>98994.200244391192</v>
      </c>
      <c r="H991" s="66"/>
      <c r="I991" s="66"/>
      <c r="J991" s="66"/>
      <c r="K991" s="66"/>
      <c r="L991" s="66"/>
      <c r="N991" s="5">
        <v>8.7770200431928971E-2</v>
      </c>
      <c r="O991" s="19">
        <f t="shared" si="83"/>
        <v>9.1737212459976014E-2</v>
      </c>
      <c r="P991" s="12">
        <f t="shared" si="81"/>
        <v>57768.039501317617</v>
      </c>
    </row>
    <row r="992" spans="1:16">
      <c r="A992" s="149">
        <v>0.25934629352702415</v>
      </c>
      <c r="B992" s="150">
        <f t="shared" si="82"/>
        <v>29.849613546448129</v>
      </c>
      <c r="C992" s="24">
        <f t="shared" si="80"/>
        <v>-5850.3717072712852</v>
      </c>
      <c r="H992" s="66"/>
      <c r="I992" s="66"/>
      <c r="J992" s="66"/>
      <c r="K992" s="66"/>
      <c r="L992" s="66"/>
      <c r="N992" s="5">
        <v>6.8139069727621987E-3</v>
      </c>
      <c r="O992" s="19">
        <f t="shared" si="83"/>
        <v>6.8371744543420654E-3</v>
      </c>
      <c r="P992" s="12">
        <f t="shared" si="81"/>
        <v>-7842.3939233274232</v>
      </c>
    </row>
    <row r="993" spans="1:16">
      <c r="A993" s="149">
        <v>0.2151554918057802</v>
      </c>
      <c r="B993" s="150">
        <f t="shared" si="82"/>
        <v>28.088868054039697</v>
      </c>
      <c r="C993" s="24">
        <f t="shared" si="80"/>
        <v>-5850.3717072712852</v>
      </c>
      <c r="H993" s="66"/>
      <c r="I993" s="66"/>
      <c r="J993" s="66"/>
      <c r="K993" s="66"/>
      <c r="L993" s="66"/>
      <c r="N993" s="5">
        <v>3.8258211086154917E-2</v>
      </c>
      <c r="O993" s="19">
        <f t="shared" si="83"/>
        <v>3.8999479428988515E-2</v>
      </c>
      <c r="P993" s="12">
        <f t="shared" si="81"/>
        <v>-6277.4337228516579</v>
      </c>
    </row>
    <row r="994" spans="1:16">
      <c r="A994" s="149">
        <v>0.43177587206640827</v>
      </c>
      <c r="B994" s="150">
        <f t="shared" si="82"/>
        <v>35.1024248104615</v>
      </c>
      <c r="C994" s="24">
        <f t="shared" si="80"/>
        <v>-5850.3717072712852</v>
      </c>
      <c r="H994" s="66"/>
      <c r="I994" s="66"/>
      <c r="J994" s="66"/>
      <c r="K994" s="66"/>
      <c r="L994" s="66"/>
      <c r="N994" s="5">
        <v>5.1205659426283093E-2</v>
      </c>
      <c r="O994" s="19">
        <f t="shared" si="83"/>
        <v>5.2539335661645925E-2</v>
      </c>
      <c r="P994" s="12">
        <f t="shared" si="81"/>
        <v>-5758.2433712828952</v>
      </c>
    </row>
    <row r="995" spans="1:16">
      <c r="A995" s="149">
        <v>0.10174871059297463</v>
      </c>
      <c r="B995" s="150">
        <f t="shared" si="82"/>
        <v>21.556547110834959</v>
      </c>
      <c r="C995" s="24">
        <f t="shared" si="80"/>
        <v>-5850.3717072712852</v>
      </c>
      <c r="H995" s="66"/>
      <c r="I995" s="66"/>
      <c r="J995" s="66"/>
      <c r="K995" s="66"/>
      <c r="L995" s="66"/>
      <c r="N995" s="5">
        <v>6.1901989917838365E-2</v>
      </c>
      <c r="O995" s="19">
        <f t="shared" si="83"/>
        <v>6.3858070801241507E-2</v>
      </c>
      <c r="P995" s="12">
        <f t="shared" si="81"/>
        <v>-5374.240725030847</v>
      </c>
    </row>
    <row r="996" spans="1:16">
      <c r="A996" s="149">
        <v>0.91714224677266765</v>
      </c>
      <c r="B996" s="150">
        <f t="shared" si="82"/>
        <v>47.587983246889245</v>
      </c>
      <c r="C996" s="24">
        <f t="shared" si="80"/>
        <v>-5850.3717072712852</v>
      </c>
      <c r="H996" s="66"/>
      <c r="I996" s="66"/>
      <c r="J996" s="66"/>
      <c r="K996" s="66"/>
      <c r="L996" s="66"/>
      <c r="N996" s="5">
        <v>2.2273909914598336E-2</v>
      </c>
      <c r="O996" s="19">
        <f t="shared" si="83"/>
        <v>2.2523825529401575E-2</v>
      </c>
      <c r="P996" s="12">
        <f t="shared" si="81"/>
        <v>-7013.281778051638</v>
      </c>
    </row>
    <row r="997" spans="1:16">
      <c r="A997" s="149">
        <v>0.14099551377910702</v>
      </c>
      <c r="B997" s="150">
        <f t="shared" si="82"/>
        <v>24.31243825312264</v>
      </c>
      <c r="C997" s="24">
        <f t="shared" si="80"/>
        <v>-5850.3717072712852</v>
      </c>
      <c r="H997" s="66"/>
      <c r="I997" s="66"/>
      <c r="J997" s="66"/>
      <c r="K997" s="66"/>
      <c r="L997" s="66"/>
      <c r="N997" s="5">
        <v>5.8047784202368349E-2</v>
      </c>
      <c r="O997" s="19">
        <f t="shared" si="83"/>
        <v>5.9765634555954072E-2</v>
      </c>
      <c r="P997" s="12">
        <f t="shared" si="81"/>
        <v>-5508.2506950588722</v>
      </c>
    </row>
    <row r="998" spans="1:16">
      <c r="A998" s="149">
        <v>0.52146977141636397</v>
      </c>
      <c r="B998" s="150">
        <f t="shared" si="82"/>
        <v>37.323867769098754</v>
      </c>
      <c r="C998" s="24">
        <f t="shared" si="80"/>
        <v>-5850.3717072712852</v>
      </c>
      <c r="H998" s="66"/>
      <c r="I998" s="66"/>
      <c r="J998" s="66"/>
      <c r="K998" s="66"/>
      <c r="L998" s="66"/>
      <c r="N998" s="5">
        <v>4.7684044440880827E-2</v>
      </c>
      <c r="O998" s="19">
        <f t="shared" si="83"/>
        <v>4.8839216386200812E-2</v>
      </c>
      <c r="P998" s="12">
        <f t="shared" si="81"/>
        <v>-5893.259820871288</v>
      </c>
    </row>
    <row r="999" spans="1:16">
      <c r="A999" s="149">
        <v>0.53761406292916658</v>
      </c>
      <c r="B999" s="150">
        <f t="shared" si="82"/>
        <v>37.705621166220517</v>
      </c>
      <c r="C999" s="24">
        <f t="shared" si="80"/>
        <v>-5850.3717072712852</v>
      </c>
      <c r="H999" s="66"/>
      <c r="I999" s="66"/>
      <c r="J999" s="66"/>
      <c r="K999" s="66"/>
      <c r="L999" s="66"/>
      <c r="N999" s="5">
        <v>3.4929862041608445E-3</v>
      </c>
      <c r="O999" s="19">
        <f t="shared" si="83"/>
        <v>3.499093789638863E-3</v>
      </c>
      <c r="P999" s="12">
        <f t="shared" si="81"/>
        <v>-8037.5972186984627</v>
      </c>
    </row>
    <row r="1000" spans="1:16">
      <c r="A1000" s="149">
        <v>0.57463301492355112</v>
      </c>
      <c r="B1000" s="150">
        <f t="shared" si="82"/>
        <v>38.567976804315585</v>
      </c>
      <c r="C1000" s="24">
        <f t="shared" si="80"/>
        <v>-5850.3717072712852</v>
      </c>
      <c r="H1000" s="66"/>
      <c r="I1000" s="66"/>
      <c r="J1000" s="66"/>
      <c r="K1000" s="66"/>
      <c r="L1000" s="66"/>
      <c r="N1000" s="5">
        <v>3.0578759899195576E-2</v>
      </c>
      <c r="O1000" s="19">
        <f t="shared" si="83"/>
        <v>3.1051092331094488E-2</v>
      </c>
      <c r="P1000" s="12">
        <f t="shared" si="81"/>
        <v>-6616.8761354936923</v>
      </c>
    </row>
    <row r="1001" spans="1:16">
      <c r="A1001" s="149">
        <v>3.3051545762504957E-2</v>
      </c>
      <c r="B1001" s="150">
        <f t="shared" si="82"/>
        <v>13.056150530691559</v>
      </c>
      <c r="C1001" s="24">
        <f t="shared" si="80"/>
        <v>100463.16289462121</v>
      </c>
      <c r="H1001" s="66"/>
      <c r="I1001" s="66"/>
      <c r="J1001" s="66"/>
      <c r="K1001" s="66"/>
      <c r="L1001" s="66"/>
      <c r="N1001" s="5">
        <v>6.6562534309137847E-2</v>
      </c>
      <c r="O1001" s="19">
        <f t="shared" si="83"/>
        <v>6.8827800393455041E-2</v>
      </c>
      <c r="P1001" s="12">
        <f t="shared" si="81"/>
        <v>79072.04881351997</v>
      </c>
    </row>
    <row r="1002" spans="1:16">
      <c r="A1002" s="149">
        <v>0.97231971190527056</v>
      </c>
      <c r="B1002" s="150">
        <f t="shared" si="82"/>
        <v>50.67556709189013</v>
      </c>
      <c r="C1002" s="24">
        <f t="shared" si="80"/>
        <v>-5850.3717072712852</v>
      </c>
      <c r="H1002" s="66"/>
      <c r="I1002" s="66"/>
      <c r="J1002" s="66"/>
      <c r="K1002" s="66"/>
      <c r="L1002" s="66"/>
      <c r="N1002" s="5">
        <v>3.8264238762290917E-2</v>
      </c>
      <c r="O1002" s="19">
        <f t="shared" si="83"/>
        <v>3.9005742200231008E-2</v>
      </c>
      <c r="P1002" s="12">
        <f t="shared" si="81"/>
        <v>-6277.1769378596255</v>
      </c>
    </row>
    <row r="1003" spans="1:16">
      <c r="A1003" s="149">
        <v>0.6419873653370769</v>
      </c>
      <c r="B1003" s="150">
        <f t="shared" si="82"/>
        <v>40.112513161214878</v>
      </c>
      <c r="C1003" s="24">
        <f t="shared" si="80"/>
        <v>-5850.3717072712852</v>
      </c>
      <c r="H1003" s="66"/>
      <c r="I1003" s="66"/>
      <c r="J1003" s="66"/>
      <c r="K1003" s="66"/>
      <c r="L1003" s="66"/>
      <c r="N1003" s="5">
        <v>6.349428276474646E-2</v>
      </c>
      <c r="O1003" s="19">
        <f t="shared" si="83"/>
        <v>6.5553393764624657E-2</v>
      </c>
      <c r="P1003" s="12">
        <f t="shared" si="81"/>
        <v>-5320.2482242405804</v>
      </c>
    </row>
    <row r="1004" spans="1:16">
      <c r="A1004" s="149">
        <v>0.37720877712332529</v>
      </c>
      <c r="B1004" s="150">
        <f t="shared" si="82"/>
        <v>33.625904649054235</v>
      </c>
      <c r="C1004" s="24">
        <f t="shared" si="80"/>
        <v>-5850.3717072712852</v>
      </c>
      <c r="H1004" s="66"/>
      <c r="I1004" s="66"/>
      <c r="J1004" s="66"/>
      <c r="K1004" s="66"/>
      <c r="L1004" s="66"/>
      <c r="N1004" s="5">
        <v>6.606344272507704E-2</v>
      </c>
      <c r="O1004" s="19">
        <f t="shared" si="83"/>
        <v>6.8294490529771101E-2</v>
      </c>
      <c r="P1004" s="12">
        <f t="shared" si="81"/>
        <v>-5234.7742915720391</v>
      </c>
    </row>
    <row r="1005" spans="1:16">
      <c r="A1005" s="149">
        <v>0.81911679433576468</v>
      </c>
      <c r="B1005" s="150">
        <f t="shared" si="82"/>
        <v>44.409086407106273</v>
      </c>
      <c r="C1005" s="24">
        <f t="shared" si="80"/>
        <v>-5850.3717072712852</v>
      </c>
      <c r="H1005" s="66"/>
      <c r="I1005" s="66"/>
      <c r="J1005" s="66"/>
      <c r="K1005" s="66"/>
      <c r="L1005" s="66"/>
      <c r="N1005" s="5">
        <v>7.8678735436697039E-3</v>
      </c>
      <c r="O1005" s="19">
        <f t="shared" si="83"/>
        <v>7.8989065953709581E-3</v>
      </c>
      <c r="P1005" s="12">
        <f t="shared" si="81"/>
        <v>-7781.7747264716618</v>
      </c>
    </row>
    <row r="1006" spans="1:16">
      <c r="A1006" s="149">
        <v>0.40964995269631033</v>
      </c>
      <c r="B1006" s="150">
        <f t="shared" si="82"/>
        <v>34.518183367789639</v>
      </c>
      <c r="C1006" s="24">
        <f t="shared" si="80"/>
        <v>-5850.3717072712852</v>
      </c>
      <c r="H1006" s="66"/>
      <c r="I1006" s="66"/>
      <c r="J1006" s="66"/>
      <c r="K1006" s="66"/>
      <c r="L1006" s="66"/>
      <c r="N1006" s="5">
        <v>4.1591625583474526E-2</v>
      </c>
      <c r="O1006" s="19">
        <f t="shared" si="83"/>
        <v>4.246867427625034E-2</v>
      </c>
      <c r="P1006" s="12">
        <f t="shared" si="81"/>
        <v>-6137.6454931668659</v>
      </c>
    </row>
    <row r="1007" spans="1:16">
      <c r="A1007" s="149">
        <v>0.81258583330790124</v>
      </c>
      <c r="B1007" s="150">
        <f t="shared" si="82"/>
        <v>44.232079942680976</v>
      </c>
      <c r="C1007" s="24">
        <f t="shared" si="80"/>
        <v>-5850.3717072712852</v>
      </c>
      <c r="H1007" s="66"/>
      <c r="I1007" s="66"/>
      <c r="J1007" s="66"/>
      <c r="K1007" s="66"/>
      <c r="L1007" s="66"/>
      <c r="N1007" s="5">
        <v>4.0454038705443965E-2</v>
      </c>
      <c r="O1007" s="19">
        <f t="shared" si="83"/>
        <v>4.1283449867320243E-2</v>
      </c>
      <c r="P1007" s="12">
        <f t="shared" si="81"/>
        <v>-6184.8550312107691</v>
      </c>
    </row>
    <row r="1008" spans="1:16">
      <c r="A1008" s="149">
        <v>0.81005279702139343</v>
      </c>
      <c r="B1008" s="150">
        <f t="shared" si="82"/>
        <v>44.164108270784183</v>
      </c>
      <c r="C1008" s="24">
        <f t="shared" si="80"/>
        <v>-5850.3717072712852</v>
      </c>
      <c r="H1008" s="66"/>
      <c r="I1008" s="66"/>
      <c r="J1008" s="66"/>
      <c r="K1008" s="66"/>
      <c r="L1008" s="66"/>
      <c r="N1008" s="5">
        <v>3.4724074973506505E-2</v>
      </c>
      <c r="O1008" s="19">
        <f t="shared" si="83"/>
        <v>3.5333994823666393E-2</v>
      </c>
      <c r="P1008" s="12">
        <f t="shared" si="81"/>
        <v>-6430.5572872538323</v>
      </c>
    </row>
    <row r="1009" spans="1:16">
      <c r="A1009" s="149">
        <v>0.50901821955015714</v>
      </c>
      <c r="B1009" s="150">
        <f t="shared" si="82"/>
        <v>37.026460788331534</v>
      </c>
      <c r="C1009" s="24">
        <f t="shared" si="80"/>
        <v>-5850.3717072712852</v>
      </c>
      <c r="H1009" s="66"/>
      <c r="I1009" s="66"/>
      <c r="J1009" s="66"/>
      <c r="K1009" s="66"/>
      <c r="L1009" s="66"/>
      <c r="N1009" s="5">
        <v>7.0811114435069614E-2</v>
      </c>
      <c r="O1009" s="19">
        <f t="shared" si="83"/>
        <v>7.3378461022289621E-2</v>
      </c>
      <c r="P1009" s="12">
        <f t="shared" si="81"/>
        <v>-5081.9949603714585</v>
      </c>
    </row>
    <row r="1010" spans="1:16">
      <c r="A1010" s="149">
        <v>0.90798669392986842</v>
      </c>
      <c r="B1010" s="150">
        <f t="shared" si="82"/>
        <v>47.224345922810755</v>
      </c>
      <c r="C1010" s="24">
        <f t="shared" si="80"/>
        <v>-5850.3717072712852</v>
      </c>
      <c r="H1010" s="66"/>
      <c r="I1010" s="66"/>
      <c r="J1010" s="66"/>
      <c r="K1010" s="66"/>
      <c r="L1010" s="66"/>
      <c r="N1010" s="5">
        <v>3.3283569971114049E-2</v>
      </c>
      <c r="O1010" s="19">
        <f t="shared" si="83"/>
        <v>3.3843664696687314E-2</v>
      </c>
      <c r="P1010" s="12">
        <f t="shared" si="81"/>
        <v>-6494.4666270844336</v>
      </c>
    </row>
    <row r="1011" spans="1:16">
      <c r="A1011" s="149">
        <v>1.4099551377910703E-2</v>
      </c>
      <c r="B1011" s="150">
        <f t="shared" si="82"/>
        <v>7.9272890667033389</v>
      </c>
      <c r="C1011" s="24">
        <f t="shared" si="80"/>
        <v>132233.15536981766</v>
      </c>
      <c r="H1011" s="66"/>
      <c r="I1011" s="66"/>
      <c r="J1011" s="66"/>
      <c r="K1011" s="66"/>
      <c r="L1011" s="66"/>
      <c r="N1011" s="5">
        <v>5.1476685664179969E-2</v>
      </c>
      <c r="O1011" s="19">
        <f t="shared" si="83"/>
        <v>5.282464009877641E-2</v>
      </c>
      <c r="P1011" s="12">
        <f t="shared" si="81"/>
        <v>129406.37362714586</v>
      </c>
    </row>
    <row r="1012" spans="1:16">
      <c r="A1012" s="149">
        <v>0.91503646961882379</v>
      </c>
      <c r="B1012" s="150">
        <f t="shared" si="82"/>
        <v>47.502316040050673</v>
      </c>
      <c r="C1012" s="24">
        <f t="shared" si="80"/>
        <v>-5850.3717072712852</v>
      </c>
      <c r="H1012" s="66"/>
      <c r="I1012" s="66"/>
      <c r="J1012" s="66"/>
      <c r="K1012" s="66"/>
      <c r="L1012" s="66"/>
      <c r="N1012" s="5">
        <v>-1.624839617637916E-3</v>
      </c>
      <c r="O1012" s="19">
        <f t="shared" si="83"/>
        <v>-1.6235202804135707E-3</v>
      </c>
      <c r="P1012" s="12">
        <f t="shared" si="81"/>
        <v>-8351.3587345822853</v>
      </c>
    </row>
    <row r="1013" spans="1:16">
      <c r="A1013" s="149">
        <v>0.66896572771385843</v>
      </c>
      <c r="B1013" s="150">
        <f t="shared" si="82"/>
        <v>40.731233789203692</v>
      </c>
      <c r="C1013" s="24">
        <f t="shared" si="80"/>
        <v>-5850.3717072712852</v>
      </c>
      <c r="H1013" s="66"/>
      <c r="I1013" s="66"/>
      <c r="J1013" s="66"/>
      <c r="K1013" s="66"/>
      <c r="L1013" s="66"/>
      <c r="N1013" s="5">
        <v>5.9653283139719862E-2</v>
      </c>
      <c r="O1013" s="19">
        <f t="shared" si="83"/>
        <v>6.1468453727491212E-2</v>
      </c>
      <c r="P1013" s="12">
        <f t="shared" si="81"/>
        <v>-5451.8491365806703</v>
      </c>
    </row>
    <row r="1014" spans="1:16">
      <c r="A1014" s="149">
        <v>0.19290749839777827</v>
      </c>
      <c r="B1014" s="150">
        <f t="shared" si="82"/>
        <v>27.088416692269764</v>
      </c>
      <c r="C1014" s="24">
        <f t="shared" si="80"/>
        <v>-5850.3717072712852</v>
      </c>
      <c r="H1014" s="66"/>
      <c r="I1014" s="66"/>
      <c r="J1014" s="66"/>
      <c r="K1014" s="66"/>
      <c r="L1014" s="66"/>
      <c r="N1014" s="5">
        <v>7.4712774400846685E-2</v>
      </c>
      <c r="O1014" s="19">
        <f t="shared" si="83"/>
        <v>7.7574599421256218E-2</v>
      </c>
      <c r="P1014" s="12">
        <f t="shared" si="81"/>
        <v>-4961.2691564765209</v>
      </c>
    </row>
    <row r="1015" spans="1:16">
      <c r="A1015" s="149">
        <v>0.29648731955931273</v>
      </c>
      <c r="B1015" s="150">
        <f t="shared" si="82"/>
        <v>31.155496943889112</v>
      </c>
      <c r="C1015" s="24">
        <f t="shared" si="80"/>
        <v>-5850.3717072712852</v>
      </c>
      <c r="H1015" s="66"/>
      <c r="I1015" s="66"/>
      <c r="J1015" s="66"/>
      <c r="K1015" s="66"/>
      <c r="L1015" s="66"/>
      <c r="N1015" s="5">
        <v>3.0391052584614955E-2</v>
      </c>
      <c r="O1015" s="19">
        <f t="shared" si="83"/>
        <v>3.0857574662266796E-2</v>
      </c>
      <c r="P1015" s="12">
        <f t="shared" si="81"/>
        <v>-6625.4895312072658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zoomScale="125" zoomScaleNormal="125" zoomScalePageLayoutView="125" workbookViewId="0">
      <selection sqref="A1:B1"/>
    </sheetView>
  </sheetViews>
  <sheetFormatPr baseColWidth="10" defaultRowHeight="12" x14ac:dyDescent="0"/>
  <cols>
    <col min="1" max="5" width="10.83203125" style="167"/>
    <col min="6" max="6" width="10.83203125" style="169"/>
    <col min="7" max="16384" width="10.83203125" style="167"/>
  </cols>
  <sheetData>
    <row r="1" spans="1:7" ht="15">
      <c r="A1" s="393" t="s">
        <v>600</v>
      </c>
      <c r="B1" s="393"/>
      <c r="F1" s="168"/>
    </row>
    <row r="2" spans="1:7">
      <c r="A2" s="174"/>
      <c r="B2" s="174"/>
      <c r="C2" s="169"/>
      <c r="D2" s="169"/>
      <c r="F2" s="168"/>
    </row>
    <row r="3" spans="1:7">
      <c r="A3" s="175" t="s">
        <v>9</v>
      </c>
      <c r="B3" s="179">
        <v>2.2000000000000001E-4</v>
      </c>
      <c r="C3" s="169"/>
      <c r="D3" s="169"/>
      <c r="F3" s="168"/>
    </row>
    <row r="4" spans="1:7">
      <c r="A4" s="175" t="s">
        <v>10</v>
      </c>
      <c r="B4" s="171">
        <v>2.7E-6</v>
      </c>
      <c r="C4" s="169"/>
      <c r="D4" s="169"/>
      <c r="F4" s="168"/>
    </row>
    <row r="5" spans="1:7">
      <c r="A5" s="175" t="s">
        <v>24</v>
      </c>
      <c r="B5" s="181">
        <v>1.1240000000000001</v>
      </c>
      <c r="C5" s="169"/>
      <c r="D5" s="169"/>
      <c r="F5" s="168"/>
    </row>
    <row r="6" spans="1:7">
      <c r="A6" s="175" t="s">
        <v>387</v>
      </c>
      <c r="B6" s="177">
        <v>200000</v>
      </c>
      <c r="C6"/>
      <c r="D6"/>
      <c r="F6" s="168"/>
    </row>
    <row r="7" spans="1:7">
      <c r="A7" s="175" t="s">
        <v>74</v>
      </c>
      <c r="B7" s="178">
        <v>0.06</v>
      </c>
      <c r="C7"/>
      <c r="D7"/>
      <c r="F7" s="168"/>
    </row>
    <row r="8" spans="1:7">
      <c r="A8" s="175" t="s">
        <v>82</v>
      </c>
      <c r="B8" s="177">
        <v>55</v>
      </c>
      <c r="C8"/>
      <c r="D8"/>
      <c r="F8" s="168"/>
    </row>
    <row r="9" spans="1:7">
      <c r="A9" s="176" t="s">
        <v>27</v>
      </c>
      <c r="B9" s="18">
        <f>EXP(-B3)</f>
        <v>0.99978002419822543</v>
      </c>
      <c r="C9"/>
      <c r="D9"/>
      <c r="F9" s="168"/>
    </row>
    <row r="10" spans="1:7">
      <c r="A10" s="176" t="s">
        <v>25</v>
      </c>
      <c r="B10" s="18">
        <f>EXP(-B$4/LN(B$5))</f>
        <v>0.99997690236831238</v>
      </c>
      <c r="C10"/>
      <c r="D10"/>
      <c r="F10" s="168"/>
    </row>
    <row r="11" spans="1:7">
      <c r="A11"/>
      <c r="B11"/>
      <c r="C11"/>
      <c r="D11"/>
      <c r="F11" s="168"/>
    </row>
    <row r="12" spans="1:7">
      <c r="F12" s="183" t="s">
        <v>383</v>
      </c>
    </row>
    <row r="13" spans="1:7">
      <c r="A13" s="96" t="s">
        <v>0</v>
      </c>
      <c r="B13" s="96" t="s">
        <v>101</v>
      </c>
      <c r="C13" s="96" t="s">
        <v>89</v>
      </c>
      <c r="D13" s="96" t="s">
        <v>388</v>
      </c>
      <c r="E13" s="96" t="s">
        <v>384</v>
      </c>
      <c r="F13" s="184" t="s">
        <v>385</v>
      </c>
      <c r="G13" s="96" t="s">
        <v>389</v>
      </c>
    </row>
    <row r="14" spans="1:7">
      <c r="A14" s="172">
        <v>0</v>
      </c>
      <c r="B14" s="96"/>
      <c r="C14" s="96">
        <v>550</v>
      </c>
      <c r="D14" s="96"/>
      <c r="E14" s="96"/>
      <c r="F14" s="184">
        <f t="shared" ref="F14:F77" si="0">B14-C14+D14-E14</f>
        <v>-550</v>
      </c>
      <c r="G14" s="182">
        <f t="shared" ref="G14:G45" si="1">(B$9^A14)*B$10^((B$5^B$8)*((B$5^A14)-1))</f>
        <v>1</v>
      </c>
    </row>
    <row r="15" spans="1:7">
      <c r="A15" s="172">
        <f>A14+1/12</f>
        <v>8.3333333333333329E-2</v>
      </c>
      <c r="B15" s="96">
        <v>100</v>
      </c>
      <c r="C15" s="96">
        <v>0</v>
      </c>
      <c r="D15" s="173">
        <f>((1+B$7)^(1/12)-1)*(B15-C15)</f>
        <v>0.48675505653430484</v>
      </c>
      <c r="E15" s="173">
        <f t="shared" ref="E15:E46" si="2">(1-G15/G14)*B$6*(1+B$7)^(1/24)</f>
        <v>31.761723605374449</v>
      </c>
      <c r="F15" s="184">
        <f t="shared" si="0"/>
        <v>68.72503145115985</v>
      </c>
      <c r="G15" s="182">
        <f t="shared" si="1"/>
        <v>0.9998415764811639</v>
      </c>
    </row>
    <row r="16" spans="1:7">
      <c r="A16" s="172">
        <f t="shared" ref="A16:A79" si="3">A15+1/12</f>
        <v>0.16666666666666666</v>
      </c>
      <c r="B16" s="96">
        <v>100</v>
      </c>
      <c r="C16" s="96">
        <f>0.05*B16</f>
        <v>5</v>
      </c>
      <c r="D16" s="173">
        <f t="shared" ref="D16:D79" si="4">((1+B$7)^(1/12)-1)*(B16-C16)</f>
        <v>0.4624173037075896</v>
      </c>
      <c r="E16" s="173">
        <f t="shared" si="2"/>
        <v>32.036632598793325</v>
      </c>
      <c r="F16" s="184">
        <f t="shared" si="0"/>
        <v>63.425784704914271</v>
      </c>
      <c r="G16" s="182">
        <f t="shared" si="1"/>
        <v>0.99968180706577447</v>
      </c>
    </row>
    <row r="17" spans="1:7">
      <c r="A17" s="172">
        <f t="shared" si="3"/>
        <v>0.25</v>
      </c>
      <c r="B17" s="96">
        <v>100</v>
      </c>
      <c r="C17" s="96">
        <f t="shared" ref="C17:C80" si="5">0.05*B17</f>
        <v>5</v>
      </c>
      <c r="D17" s="173">
        <f t="shared" si="4"/>
        <v>0.4624173037075896</v>
      </c>
      <c r="E17" s="173">
        <f t="shared" si="2"/>
        <v>32.314232223798754</v>
      </c>
      <c r="F17" s="184">
        <f t="shared" si="0"/>
        <v>63.148185079908842</v>
      </c>
      <c r="G17" s="182">
        <f t="shared" si="1"/>
        <v>0.99952067898894403</v>
      </c>
    </row>
    <row r="18" spans="1:7">
      <c r="A18" s="172">
        <f t="shared" si="3"/>
        <v>0.33333333333333331</v>
      </c>
      <c r="B18" s="96">
        <v>100</v>
      </c>
      <c r="C18" s="96">
        <f t="shared" si="5"/>
        <v>5</v>
      </c>
      <c r="D18" s="173">
        <f t="shared" si="4"/>
        <v>0.4624173037075896</v>
      </c>
      <c r="E18" s="173">
        <f t="shared" si="2"/>
        <v>32.594548810695471</v>
      </c>
      <c r="F18" s="184">
        <f t="shared" si="0"/>
        <v>62.867868493012125</v>
      </c>
      <c r="G18" s="182">
        <f t="shared" si="1"/>
        <v>0.99935817936861426</v>
      </c>
    </row>
    <row r="19" spans="1:7">
      <c r="A19" s="172">
        <f t="shared" si="3"/>
        <v>0.41666666666666663</v>
      </c>
      <c r="B19" s="96">
        <v>100</v>
      </c>
      <c r="C19" s="96">
        <f t="shared" si="5"/>
        <v>5</v>
      </c>
      <c r="D19" s="173">
        <f t="shared" si="4"/>
        <v>0.4624173037075896</v>
      </c>
      <c r="E19" s="173">
        <f t="shared" si="2"/>
        <v>32.877608947518624</v>
      </c>
      <c r="F19" s="184">
        <f t="shared" si="0"/>
        <v>62.584808356188972</v>
      </c>
      <c r="G19" s="182">
        <f t="shared" si="1"/>
        <v>0.99919429520455627</v>
      </c>
    </row>
    <row r="20" spans="1:7">
      <c r="A20" s="172">
        <f t="shared" si="3"/>
        <v>0.49999999999999994</v>
      </c>
      <c r="B20" s="96">
        <v>100</v>
      </c>
      <c r="C20" s="96">
        <f t="shared" si="5"/>
        <v>5</v>
      </c>
      <c r="D20" s="173">
        <f t="shared" si="4"/>
        <v>0.4624173037075896</v>
      </c>
      <c r="E20" s="173">
        <f t="shared" si="2"/>
        <v>33.163439482393187</v>
      </c>
      <c r="F20" s="184">
        <f t="shared" si="0"/>
        <v>62.298977821314409</v>
      </c>
      <c r="G20" s="182">
        <f t="shared" si="1"/>
        <v>0.99902901337736505</v>
      </c>
    </row>
    <row r="21" spans="1:7">
      <c r="A21" s="172">
        <f t="shared" si="3"/>
        <v>0.58333333333333326</v>
      </c>
      <c r="B21" s="96">
        <v>100</v>
      </c>
      <c r="C21" s="96">
        <f t="shared" si="5"/>
        <v>5</v>
      </c>
      <c r="D21" s="173">
        <f t="shared" si="4"/>
        <v>0.4624173037075896</v>
      </c>
      <c r="E21" s="173">
        <f t="shared" si="2"/>
        <v>33.452067525982365</v>
      </c>
      <c r="F21" s="184">
        <f t="shared" si="0"/>
        <v>62.010349777725231</v>
      </c>
      <c r="G21" s="182">
        <f t="shared" si="1"/>
        <v>0.99886232064744684</v>
      </c>
    </row>
    <row r="22" spans="1:7">
      <c r="A22" s="172">
        <f t="shared" si="3"/>
        <v>0.66666666666666663</v>
      </c>
      <c r="B22" s="96">
        <v>100</v>
      </c>
      <c r="C22" s="96">
        <f t="shared" si="5"/>
        <v>5</v>
      </c>
      <c r="D22" s="173">
        <f t="shared" si="4"/>
        <v>0.4624173037075896</v>
      </c>
      <c r="E22" s="173">
        <f t="shared" si="2"/>
        <v>33.74352045424768</v>
      </c>
      <c r="F22" s="184">
        <f t="shared" si="0"/>
        <v>61.718896849459917</v>
      </c>
      <c r="G22" s="182">
        <f t="shared" si="1"/>
        <v>0.99869420365399897</v>
      </c>
    </row>
    <row r="23" spans="1:7">
      <c r="A23" s="172">
        <f t="shared" si="3"/>
        <v>0.75</v>
      </c>
      <c r="B23" s="96">
        <v>100</v>
      </c>
      <c r="C23" s="96">
        <f t="shared" si="5"/>
        <v>5</v>
      </c>
      <c r="D23" s="173">
        <f t="shared" si="4"/>
        <v>0.4624173037075896</v>
      </c>
      <c r="E23" s="173">
        <f t="shared" si="2"/>
        <v>34.037825911075423</v>
      </c>
      <c r="F23" s="184">
        <f t="shared" si="0"/>
        <v>61.424591392632173</v>
      </c>
      <c r="G23" s="182">
        <f t="shared" si="1"/>
        <v>0.99852464891398229</v>
      </c>
    </row>
    <row r="24" spans="1:7">
      <c r="A24" s="172">
        <f t="shared" si="3"/>
        <v>0.83333333333333337</v>
      </c>
      <c r="B24" s="96">
        <v>100</v>
      </c>
      <c r="C24" s="96">
        <f t="shared" si="5"/>
        <v>5</v>
      </c>
      <c r="D24" s="173">
        <f t="shared" si="4"/>
        <v>0.4624173037075896</v>
      </c>
      <c r="E24" s="173">
        <f t="shared" si="2"/>
        <v>34.335011810547051</v>
      </c>
      <c r="F24" s="184">
        <f t="shared" si="0"/>
        <v>61.127405493160545</v>
      </c>
      <c r="G24" s="182">
        <f t="shared" si="1"/>
        <v>0.99835364282108841</v>
      </c>
    </row>
    <row r="25" spans="1:7">
      <c r="A25" s="172">
        <f t="shared" si="3"/>
        <v>0.91666666666666674</v>
      </c>
      <c r="B25" s="96">
        <v>100</v>
      </c>
      <c r="C25" s="96">
        <f t="shared" si="5"/>
        <v>5</v>
      </c>
      <c r="D25" s="173">
        <f t="shared" si="4"/>
        <v>0.4624173037075896</v>
      </c>
      <c r="E25" s="173">
        <f t="shared" si="2"/>
        <v>34.635106340010815</v>
      </c>
      <c r="F25" s="184">
        <f t="shared" si="0"/>
        <v>60.827310963696782</v>
      </c>
      <c r="G25" s="182">
        <f t="shared" si="1"/>
        <v>0.99818117164469766</v>
      </c>
    </row>
    <row r="26" spans="1:7">
      <c r="A26" s="172">
        <f t="shared" si="3"/>
        <v>1</v>
      </c>
      <c r="B26" s="96">
        <v>100</v>
      </c>
      <c r="C26" s="96">
        <f t="shared" si="5"/>
        <v>5</v>
      </c>
      <c r="D26" s="173">
        <f t="shared" si="4"/>
        <v>0.4624173037075896</v>
      </c>
      <c r="E26" s="173">
        <f t="shared" si="2"/>
        <v>34.938137962552489</v>
      </c>
      <c r="F26" s="184">
        <f t="shared" si="0"/>
        <v>60.524279341155108</v>
      </c>
      <c r="G26" s="182">
        <f t="shared" si="1"/>
        <v>0.99800722152883126</v>
      </c>
    </row>
    <row r="27" spans="1:7">
      <c r="A27" s="172">
        <f t="shared" si="3"/>
        <v>1.0833333333333333</v>
      </c>
      <c r="B27" s="96">
        <v>100</v>
      </c>
      <c r="C27" s="96">
        <f t="shared" si="5"/>
        <v>5</v>
      </c>
      <c r="D27" s="173">
        <f t="shared" si="4"/>
        <v>0.4624173037075896</v>
      </c>
      <c r="E27" s="173">
        <f t="shared" si="2"/>
        <v>35.24413541962182</v>
      </c>
      <c r="F27" s="184">
        <f t="shared" si="0"/>
        <v>60.218281884085776</v>
      </c>
      <c r="G27" s="182">
        <f t="shared" si="1"/>
        <v>0.99783177849109661</v>
      </c>
    </row>
    <row r="28" spans="1:7">
      <c r="A28" s="172">
        <f t="shared" si="3"/>
        <v>1.1666666666666665</v>
      </c>
      <c r="B28" s="96">
        <v>100</v>
      </c>
      <c r="C28" s="96">
        <f t="shared" si="5"/>
        <v>5</v>
      </c>
      <c r="D28" s="173">
        <f t="shared" si="4"/>
        <v>0.4624173037075896</v>
      </c>
      <c r="E28" s="173">
        <f t="shared" si="2"/>
        <v>35.55312773383713</v>
      </c>
      <c r="F28" s="184">
        <f t="shared" si="0"/>
        <v>59.909289569870467</v>
      </c>
      <c r="G28" s="182">
        <f t="shared" si="1"/>
        <v>0.99765482842162478</v>
      </c>
    </row>
    <row r="29" spans="1:7">
      <c r="A29" s="172">
        <f t="shared" si="3"/>
        <v>1.2499999999999998</v>
      </c>
      <c r="B29" s="96">
        <v>100</v>
      </c>
      <c r="C29" s="96">
        <f t="shared" si="5"/>
        <v>5</v>
      </c>
      <c r="D29" s="173">
        <f t="shared" si="4"/>
        <v>0.4624173037075896</v>
      </c>
      <c r="E29" s="173">
        <f t="shared" si="2"/>
        <v>35.865144211856631</v>
      </c>
      <c r="F29" s="184">
        <f t="shared" si="0"/>
        <v>59.597273091850965</v>
      </c>
      <c r="G29" s="182">
        <f t="shared" si="1"/>
        <v>0.99747635708200111</v>
      </c>
    </row>
    <row r="30" spans="1:7">
      <c r="A30" s="172">
        <f t="shared" si="3"/>
        <v>1.333333333333333</v>
      </c>
      <c r="B30" s="96">
        <v>100</v>
      </c>
      <c r="C30" s="96">
        <f t="shared" si="5"/>
        <v>5</v>
      </c>
      <c r="D30" s="173">
        <f t="shared" si="4"/>
        <v>0.4624173037075896</v>
      </c>
      <c r="E30" s="173">
        <f t="shared" si="2"/>
        <v>36.180214446915883</v>
      </c>
      <c r="F30" s="184">
        <f t="shared" si="0"/>
        <v>59.282202856791713</v>
      </c>
      <c r="G30" s="182">
        <f t="shared" si="1"/>
        <v>0.99729635010418893</v>
      </c>
    </row>
    <row r="31" spans="1:7">
      <c r="A31" s="172">
        <f t="shared" si="3"/>
        <v>1.4166666666666663</v>
      </c>
      <c r="B31" s="96">
        <v>100</v>
      </c>
      <c r="C31" s="96">
        <f t="shared" si="5"/>
        <v>5</v>
      </c>
      <c r="D31" s="173">
        <f t="shared" si="4"/>
        <v>0.4624173037075896</v>
      </c>
      <c r="E31" s="173">
        <f t="shared" si="2"/>
        <v>36.498368321676892</v>
      </c>
      <c r="F31" s="184">
        <f t="shared" si="0"/>
        <v>58.964048982030704</v>
      </c>
      <c r="G31" s="182">
        <f t="shared" si="1"/>
        <v>0.99711479298944683</v>
      </c>
    </row>
    <row r="32" spans="1:7">
      <c r="A32" s="172">
        <f t="shared" si="3"/>
        <v>1.4999999999999996</v>
      </c>
      <c r="B32" s="96">
        <v>100</v>
      </c>
      <c r="C32" s="96">
        <f t="shared" si="5"/>
        <v>5</v>
      </c>
      <c r="D32" s="173">
        <f t="shared" si="4"/>
        <v>0.4624173037075896</v>
      </c>
      <c r="E32" s="173">
        <f t="shared" si="2"/>
        <v>36.819636011277517</v>
      </c>
      <c r="F32" s="184">
        <f t="shared" si="0"/>
        <v>58.64278129243008</v>
      </c>
      <c r="G32" s="182">
        <f t="shared" si="1"/>
        <v>0.99693167110723724</v>
      </c>
    </row>
    <row r="33" spans="1:7">
      <c r="A33" s="172">
        <f t="shared" si="3"/>
        <v>1.5833333333333328</v>
      </c>
      <c r="B33" s="96">
        <v>100</v>
      </c>
      <c r="C33" s="96">
        <f t="shared" si="5"/>
        <v>5</v>
      </c>
      <c r="D33" s="173">
        <f t="shared" si="4"/>
        <v>0.4624173037075896</v>
      </c>
      <c r="E33" s="173">
        <f t="shared" si="2"/>
        <v>37.144047986091493</v>
      </c>
      <c r="F33" s="184">
        <f t="shared" si="0"/>
        <v>58.318369317616103</v>
      </c>
      <c r="G33" s="182">
        <f t="shared" si="1"/>
        <v>0.99674696969412868</v>
      </c>
    </row>
    <row r="34" spans="1:7">
      <c r="A34" s="172">
        <f t="shared" si="3"/>
        <v>1.6666666666666661</v>
      </c>
      <c r="B34" s="96">
        <v>100</v>
      </c>
      <c r="C34" s="96">
        <f t="shared" si="5"/>
        <v>5</v>
      </c>
      <c r="D34" s="173">
        <f t="shared" si="4"/>
        <v>0.4624173037075896</v>
      </c>
      <c r="E34" s="173">
        <f t="shared" si="2"/>
        <v>37.471635014243645</v>
      </c>
      <c r="F34" s="184">
        <f t="shared" si="0"/>
        <v>57.990782289463951</v>
      </c>
      <c r="G34" s="182">
        <f t="shared" si="1"/>
        <v>0.99656067385269231</v>
      </c>
    </row>
    <row r="35" spans="1:7">
      <c r="A35" s="172">
        <f t="shared" si="3"/>
        <v>1.7499999999999993</v>
      </c>
      <c r="B35" s="96">
        <v>100</v>
      </c>
      <c r="C35" s="96">
        <f t="shared" si="5"/>
        <v>5</v>
      </c>
      <c r="D35" s="173">
        <f t="shared" si="4"/>
        <v>0.4624173037075896</v>
      </c>
      <c r="E35" s="173">
        <f t="shared" si="2"/>
        <v>37.802428165193518</v>
      </c>
      <c r="F35" s="184">
        <f t="shared" si="0"/>
        <v>57.659989138514078</v>
      </c>
      <c r="G35" s="182">
        <f t="shared" si="1"/>
        <v>0.99637276855038881</v>
      </c>
    </row>
    <row r="36" spans="1:7">
      <c r="A36" s="172">
        <f t="shared" si="3"/>
        <v>1.8333333333333326</v>
      </c>
      <c r="B36" s="96">
        <v>100</v>
      </c>
      <c r="C36" s="96">
        <f t="shared" si="5"/>
        <v>5</v>
      </c>
      <c r="D36" s="173">
        <f t="shared" si="4"/>
        <v>0.4624173037075896</v>
      </c>
      <c r="E36" s="173">
        <f t="shared" si="2"/>
        <v>38.136458812139239</v>
      </c>
      <c r="F36" s="184">
        <f t="shared" si="0"/>
        <v>57.325958491568358</v>
      </c>
      <c r="G36" s="182">
        <f t="shared" si="1"/>
        <v>0.99618323861844993</v>
      </c>
    </row>
    <row r="37" spans="1:7">
      <c r="A37" s="172">
        <f t="shared" si="3"/>
        <v>1.9166666666666659</v>
      </c>
      <c r="B37" s="96">
        <v>100</v>
      </c>
      <c r="C37" s="96">
        <f t="shared" si="5"/>
        <v>5</v>
      </c>
      <c r="D37" s="173">
        <f t="shared" si="4"/>
        <v>0.4624173037075896</v>
      </c>
      <c r="E37" s="173">
        <f t="shared" si="2"/>
        <v>38.473758635133755</v>
      </c>
      <c r="F37" s="184">
        <f t="shared" si="0"/>
        <v>56.988658668573841</v>
      </c>
      <c r="G37" s="182">
        <f t="shared" si="1"/>
        <v>0.99599206875075297</v>
      </c>
    </row>
    <row r="38" spans="1:7">
      <c r="A38" s="172">
        <f t="shared" si="3"/>
        <v>1.9999999999999991</v>
      </c>
      <c r="B38" s="96">
        <v>100</v>
      </c>
      <c r="C38" s="96">
        <f t="shared" si="5"/>
        <v>5</v>
      </c>
      <c r="D38" s="173">
        <f t="shared" si="4"/>
        <v>0.4624173037075896</v>
      </c>
      <c r="E38" s="173">
        <f t="shared" si="2"/>
        <v>38.814359624334521</v>
      </c>
      <c r="F38" s="184">
        <f t="shared" si="0"/>
        <v>56.648057679373075</v>
      </c>
      <c r="G38" s="182">
        <f t="shared" si="1"/>
        <v>0.99579924350268667</v>
      </c>
    </row>
    <row r="39" spans="1:7">
      <c r="A39" s="172">
        <f t="shared" si="3"/>
        <v>2.0833333333333326</v>
      </c>
      <c r="B39" s="96">
        <v>100</v>
      </c>
      <c r="C39" s="96">
        <f t="shared" si="5"/>
        <v>5</v>
      </c>
      <c r="D39" s="173">
        <f t="shared" si="4"/>
        <v>0.4624173037075896</v>
      </c>
      <c r="E39" s="173">
        <f t="shared" si="2"/>
        <v>39.158294082518729</v>
      </c>
      <c r="F39" s="184">
        <f t="shared" si="0"/>
        <v>56.304123221188867</v>
      </c>
      <c r="G39" s="182">
        <f t="shared" si="1"/>
        <v>0.99560474729001214</v>
      </c>
    </row>
    <row r="40" spans="1:7">
      <c r="A40" s="172">
        <f t="shared" si="3"/>
        <v>2.1666666666666661</v>
      </c>
      <c r="B40" s="96">
        <v>100</v>
      </c>
      <c r="C40" s="96">
        <f t="shared" si="5"/>
        <v>5</v>
      </c>
      <c r="D40" s="173">
        <f t="shared" si="4"/>
        <v>0.4624173037075896</v>
      </c>
      <c r="E40" s="173">
        <f t="shared" si="2"/>
        <v>39.505594628778191</v>
      </c>
      <c r="F40" s="184">
        <f t="shared" si="0"/>
        <v>55.956822674929406</v>
      </c>
      <c r="G40" s="182">
        <f t="shared" si="1"/>
        <v>0.99540856438771441</v>
      </c>
    </row>
    <row r="41" spans="1:7">
      <c r="A41" s="172">
        <f t="shared" si="3"/>
        <v>2.2499999999999996</v>
      </c>
      <c r="B41" s="96">
        <v>100</v>
      </c>
      <c r="C41" s="96">
        <f t="shared" si="5"/>
        <v>5</v>
      </c>
      <c r="D41" s="173">
        <f t="shared" si="4"/>
        <v>0.4624173037075896</v>
      </c>
      <c r="E41" s="173">
        <f t="shared" si="2"/>
        <v>39.856294200990035</v>
      </c>
      <c r="F41" s="184">
        <f t="shared" si="0"/>
        <v>55.606123102717561</v>
      </c>
      <c r="G41" s="182">
        <f t="shared" si="1"/>
        <v>0.99521067892884918</v>
      </c>
    </row>
    <row r="42" spans="1:7">
      <c r="A42" s="172">
        <f t="shared" si="3"/>
        <v>2.333333333333333</v>
      </c>
      <c r="B42" s="96">
        <v>100</v>
      </c>
      <c r="C42" s="96">
        <f t="shared" si="5"/>
        <v>5</v>
      </c>
      <c r="D42" s="173">
        <f t="shared" si="4"/>
        <v>0.4624173037075896</v>
      </c>
      <c r="E42" s="173">
        <f t="shared" si="2"/>
        <v>40.210426059422581</v>
      </c>
      <c r="F42" s="184">
        <f t="shared" si="0"/>
        <v>55.251991244285016</v>
      </c>
      <c r="G42" s="182">
        <f t="shared" si="1"/>
        <v>0.99501107490338048</v>
      </c>
    </row>
    <row r="43" spans="1:7">
      <c r="A43" s="172">
        <f t="shared" si="3"/>
        <v>2.4166666666666665</v>
      </c>
      <c r="B43" s="96">
        <v>100</v>
      </c>
      <c r="C43" s="96">
        <f t="shared" si="5"/>
        <v>5</v>
      </c>
      <c r="D43" s="173">
        <f t="shared" si="4"/>
        <v>0.4624173037075896</v>
      </c>
      <c r="E43" s="173">
        <f t="shared" si="2"/>
        <v>40.568023789562126</v>
      </c>
      <c r="F43" s="184">
        <f t="shared" si="0"/>
        <v>54.89439351414547</v>
      </c>
      <c r="G43" s="182">
        <f t="shared" si="1"/>
        <v>0.99480973615701285</v>
      </c>
    </row>
    <row r="44" spans="1:7">
      <c r="A44" s="172">
        <f t="shared" si="3"/>
        <v>2.5</v>
      </c>
      <c r="B44" s="185">
        <v>100</v>
      </c>
      <c r="C44" s="185">
        <f t="shared" si="5"/>
        <v>5</v>
      </c>
      <c r="D44" s="173">
        <f t="shared" si="4"/>
        <v>0.4624173037075896</v>
      </c>
      <c r="E44" s="173">
        <f t="shared" si="2"/>
        <v>40.929121305451758</v>
      </c>
      <c r="F44" s="184">
        <f t="shared" si="0"/>
        <v>54.533295998255838</v>
      </c>
      <c r="G44" s="182">
        <f t="shared" si="1"/>
        <v>0.99460664639001528</v>
      </c>
    </row>
    <row r="45" spans="1:7">
      <c r="A45" s="172">
        <f t="shared" si="3"/>
        <v>2.5833333333333335</v>
      </c>
      <c r="B45" s="96">
        <v>100</v>
      </c>
      <c r="C45" s="96">
        <f t="shared" si="5"/>
        <v>5</v>
      </c>
      <c r="D45" s="173">
        <f t="shared" si="4"/>
        <v>0.4624173037075896</v>
      </c>
      <c r="E45" s="173">
        <f t="shared" si="2"/>
        <v>41.293752852896532</v>
      </c>
      <c r="F45" s="184">
        <f t="shared" si="0"/>
        <v>54.168664450811065</v>
      </c>
      <c r="G45" s="182">
        <f t="shared" si="1"/>
        <v>0.99440178915603905</v>
      </c>
    </row>
    <row r="46" spans="1:7">
      <c r="A46" s="172">
        <f t="shared" si="3"/>
        <v>2.666666666666667</v>
      </c>
      <c r="B46" s="96">
        <v>100</v>
      </c>
      <c r="C46" s="96">
        <f t="shared" si="5"/>
        <v>5</v>
      </c>
      <c r="D46" s="173">
        <f t="shared" si="4"/>
        <v>0.4624173037075896</v>
      </c>
      <c r="E46" s="173">
        <f t="shared" si="2"/>
        <v>41.661953012601941</v>
      </c>
      <c r="F46" s="184">
        <f t="shared" si="0"/>
        <v>53.800464291105655</v>
      </c>
      <c r="G46" s="182">
        <f t="shared" ref="G46:G77" si="6">(B$9^A46)*B$10^((B$5^B$8)*((B$5^A46)-1))</f>
        <v>0.99419514786092777</v>
      </c>
    </row>
    <row r="47" spans="1:7">
      <c r="A47" s="172">
        <f t="shared" si="3"/>
        <v>2.7500000000000004</v>
      </c>
      <c r="B47" s="96">
        <v>100</v>
      </c>
      <c r="C47" s="96">
        <f t="shared" si="5"/>
        <v>5</v>
      </c>
      <c r="D47" s="173">
        <f t="shared" si="4"/>
        <v>0.4624173037075896</v>
      </c>
      <c r="E47" s="173">
        <f t="shared" ref="E47:E78" si="7">(1-G47/G46)*B$6*(1+B$7)^(1/24)</f>
        <v>42.033756703646198</v>
      </c>
      <c r="F47" s="184">
        <f t="shared" si="0"/>
        <v>53.428660600061399</v>
      </c>
      <c r="G47" s="182">
        <f t="shared" si="6"/>
        <v>0.99398670576152082</v>
      </c>
    </row>
    <row r="48" spans="1:7">
      <c r="A48" s="172">
        <f t="shared" si="3"/>
        <v>2.8333333333333339</v>
      </c>
      <c r="B48" s="96">
        <v>100</v>
      </c>
      <c r="C48" s="96">
        <f t="shared" si="5"/>
        <v>5</v>
      </c>
      <c r="D48" s="173">
        <f t="shared" si="4"/>
        <v>0.4624173037075896</v>
      </c>
      <c r="E48" s="173">
        <f t="shared" si="7"/>
        <v>42.40919918641837</v>
      </c>
      <c r="F48" s="184">
        <f t="shared" si="0"/>
        <v>53.053218117289227</v>
      </c>
      <c r="G48" s="182">
        <f t="shared" si="6"/>
        <v>0.99377644596445036</v>
      </c>
    </row>
    <row r="49" spans="1:7">
      <c r="A49" s="172">
        <f t="shared" si="3"/>
        <v>2.9166666666666674</v>
      </c>
      <c r="B49" s="96">
        <v>100</v>
      </c>
      <c r="C49" s="96">
        <f t="shared" si="5"/>
        <v>5</v>
      </c>
      <c r="D49" s="173">
        <f t="shared" si="4"/>
        <v>0.4624173037075896</v>
      </c>
      <c r="E49" s="173">
        <f t="shared" si="7"/>
        <v>42.788316066602647</v>
      </c>
      <c r="F49" s="184">
        <f t="shared" si="0"/>
        <v>52.674101237104949</v>
      </c>
      <c r="G49" s="182">
        <f t="shared" si="6"/>
        <v>0.99356435142492927</v>
      </c>
    </row>
    <row r="50" spans="1:7">
      <c r="A50" s="172">
        <f t="shared" si="3"/>
        <v>3.0000000000000009</v>
      </c>
      <c r="B50" s="96">
        <v>100</v>
      </c>
      <c r="C50" s="96">
        <f t="shared" si="5"/>
        <v>5</v>
      </c>
      <c r="D50" s="173">
        <f t="shared" si="4"/>
        <v>0.4624173037075896</v>
      </c>
      <c r="E50" s="173">
        <f t="shared" si="7"/>
        <v>43.171143297693519</v>
      </c>
      <c r="F50" s="184">
        <f t="shared" si="0"/>
        <v>52.291274006014078</v>
      </c>
      <c r="G50" s="182">
        <f t="shared" si="6"/>
        <v>0.99335040494553528</v>
      </c>
    </row>
    <row r="51" spans="1:7">
      <c r="A51" s="172">
        <f t="shared" si="3"/>
        <v>3.0833333333333344</v>
      </c>
      <c r="B51" s="96">
        <v>100</v>
      </c>
      <c r="C51" s="96">
        <f t="shared" si="5"/>
        <v>5</v>
      </c>
      <c r="D51" s="173">
        <f t="shared" si="4"/>
        <v>0.4624173037075896</v>
      </c>
      <c r="E51" s="173">
        <f t="shared" si="7"/>
        <v>43.55771718511361</v>
      </c>
      <c r="F51" s="184">
        <f t="shared" si="0"/>
        <v>51.904700118593986</v>
      </c>
      <c r="G51" s="182">
        <f t="shared" si="6"/>
        <v>0.99313458917498576</v>
      </c>
    </row>
    <row r="52" spans="1:7">
      <c r="A52" s="172">
        <f t="shared" si="3"/>
        <v>3.1666666666666679</v>
      </c>
      <c r="B52" s="96">
        <v>100</v>
      </c>
      <c r="C52" s="96">
        <f t="shared" si="5"/>
        <v>5</v>
      </c>
      <c r="D52" s="173">
        <f t="shared" si="4"/>
        <v>0.4624173037075896</v>
      </c>
      <c r="E52" s="173">
        <f t="shared" si="7"/>
        <v>43.948074389396616</v>
      </c>
      <c r="F52" s="184">
        <f t="shared" si="0"/>
        <v>51.51434291431098</v>
      </c>
      <c r="G52" s="182">
        <f t="shared" si="6"/>
        <v>0.99291688660690591</v>
      </c>
    </row>
    <row r="53" spans="1:7">
      <c r="A53" s="172">
        <f t="shared" si="3"/>
        <v>3.2500000000000013</v>
      </c>
      <c r="B53" s="96">
        <v>100</v>
      </c>
      <c r="C53" s="96">
        <f t="shared" si="5"/>
        <v>5</v>
      </c>
      <c r="D53" s="173">
        <f t="shared" si="4"/>
        <v>0.4624173037075896</v>
      </c>
      <c r="E53" s="173">
        <f t="shared" si="7"/>
        <v>44.342251929503831</v>
      </c>
      <c r="F53" s="184">
        <f t="shared" si="0"/>
        <v>51.120165374203765</v>
      </c>
      <c r="G53" s="182">
        <f t="shared" si="6"/>
        <v>0.99269727957859155</v>
      </c>
    </row>
    <row r="54" spans="1:7">
      <c r="A54" s="172">
        <f t="shared" si="3"/>
        <v>3.3333333333333348</v>
      </c>
      <c r="B54" s="96">
        <v>100</v>
      </c>
      <c r="C54" s="96">
        <f t="shared" si="5"/>
        <v>5</v>
      </c>
      <c r="D54" s="173">
        <f t="shared" si="4"/>
        <v>0.4624173037075896</v>
      </c>
      <c r="E54" s="173">
        <f t="shared" si="7"/>
        <v>44.740287186608057</v>
      </c>
      <c r="F54" s="184">
        <f t="shared" si="0"/>
        <v>50.722130117099539</v>
      </c>
      <c r="G54" s="182">
        <f t="shared" si="6"/>
        <v>0.99247575026976309</v>
      </c>
    </row>
    <row r="55" spans="1:7">
      <c r="A55" s="172">
        <f t="shared" si="3"/>
        <v>3.4166666666666683</v>
      </c>
      <c r="B55" s="96">
        <v>100</v>
      </c>
      <c r="C55" s="96">
        <f t="shared" si="5"/>
        <v>5</v>
      </c>
      <c r="D55" s="173">
        <f t="shared" si="4"/>
        <v>0.4624173037075896</v>
      </c>
      <c r="E55" s="173">
        <f t="shared" si="7"/>
        <v>45.142217907410149</v>
      </c>
      <c r="F55" s="184">
        <f t="shared" si="0"/>
        <v>50.320199396297447</v>
      </c>
      <c r="G55" s="182">
        <f t="shared" si="6"/>
        <v>0.99225228070131422</v>
      </c>
    </row>
    <row r="56" spans="1:7">
      <c r="A56" s="172">
        <f t="shared" si="3"/>
        <v>3.5000000000000018</v>
      </c>
      <c r="B56" s="96">
        <v>100</v>
      </c>
      <c r="C56" s="96">
        <f t="shared" si="5"/>
        <v>5</v>
      </c>
      <c r="D56" s="173">
        <f t="shared" si="4"/>
        <v>0.4624173037075896</v>
      </c>
      <c r="E56" s="173">
        <f t="shared" si="7"/>
        <v>45.548082207856119</v>
      </c>
      <c r="F56" s="184">
        <f t="shared" si="0"/>
        <v>49.914335095851477</v>
      </c>
      <c r="G56" s="182">
        <f t="shared" si="6"/>
        <v>0.99202685273405289</v>
      </c>
    </row>
    <row r="57" spans="1:7">
      <c r="A57" s="172">
        <f t="shared" si="3"/>
        <v>3.5833333333333353</v>
      </c>
      <c r="B57" s="96">
        <v>100</v>
      </c>
      <c r="C57" s="96">
        <f t="shared" si="5"/>
        <v>5</v>
      </c>
      <c r="D57" s="173">
        <f t="shared" si="4"/>
        <v>0.4624173037075896</v>
      </c>
      <c r="E57" s="173">
        <f t="shared" si="7"/>
        <v>45.957918576676278</v>
      </c>
      <c r="F57" s="184">
        <f t="shared" si="0"/>
        <v>49.504498727031319</v>
      </c>
      <c r="G57" s="182">
        <f t="shared" si="6"/>
        <v>0.99179944806743592</v>
      </c>
    </row>
    <row r="58" spans="1:7">
      <c r="A58" s="172">
        <f t="shared" si="3"/>
        <v>3.6666666666666687</v>
      </c>
      <c r="B58" s="96">
        <v>100</v>
      </c>
      <c r="C58" s="96">
        <f t="shared" si="5"/>
        <v>5</v>
      </c>
      <c r="D58" s="173">
        <f t="shared" si="4"/>
        <v>0.4624173037075896</v>
      </c>
      <c r="E58" s="173">
        <f t="shared" si="7"/>
        <v>46.371765878991077</v>
      </c>
      <c r="F58" s="184">
        <f t="shared" si="0"/>
        <v>49.090651424716519</v>
      </c>
      <c r="G58" s="182">
        <f t="shared" si="6"/>
        <v>0.99157004823829731</v>
      </c>
    </row>
    <row r="59" spans="1:7">
      <c r="A59" s="172">
        <f t="shared" si="3"/>
        <v>3.7500000000000022</v>
      </c>
      <c r="B59" s="96">
        <v>100</v>
      </c>
      <c r="C59" s="96">
        <f t="shared" si="5"/>
        <v>5</v>
      </c>
      <c r="D59" s="173">
        <f t="shared" si="4"/>
        <v>0.4624173037075896</v>
      </c>
      <c r="E59" s="173">
        <f t="shared" si="7"/>
        <v>46.789663360117309</v>
      </c>
      <c r="F59" s="184">
        <f t="shared" si="0"/>
        <v>48.672753943590287</v>
      </c>
      <c r="G59" s="182">
        <f t="shared" si="6"/>
        <v>0.99133863461956861</v>
      </c>
    </row>
    <row r="60" spans="1:7">
      <c r="A60" s="172">
        <f t="shared" si="3"/>
        <v>3.8333333333333357</v>
      </c>
      <c r="B60" s="96">
        <v>100</v>
      </c>
      <c r="C60" s="96">
        <f t="shared" si="5"/>
        <v>5</v>
      </c>
      <c r="D60" s="173">
        <f t="shared" si="4"/>
        <v>0.4624173037075896</v>
      </c>
      <c r="E60" s="173">
        <f t="shared" si="7"/>
        <v>47.2116506491517</v>
      </c>
      <c r="F60" s="184">
        <f t="shared" si="0"/>
        <v>48.250766654555896</v>
      </c>
      <c r="G60" s="182">
        <f t="shared" si="6"/>
        <v>0.99110518841899409</v>
      </c>
    </row>
    <row r="61" spans="1:7">
      <c r="A61" s="172">
        <f t="shared" si="3"/>
        <v>3.9166666666666692</v>
      </c>
      <c r="B61" s="96">
        <v>100</v>
      </c>
      <c r="C61" s="96">
        <f t="shared" si="5"/>
        <v>5</v>
      </c>
      <c r="D61" s="173">
        <f t="shared" si="4"/>
        <v>0.4624173037075896</v>
      </c>
      <c r="E61" s="173">
        <f t="shared" si="7"/>
        <v>47.637767762866162</v>
      </c>
      <c r="F61" s="184">
        <f t="shared" si="0"/>
        <v>47.824649540841435</v>
      </c>
      <c r="G61" s="182">
        <f t="shared" si="6"/>
        <v>0.99086969067783814</v>
      </c>
    </row>
    <row r="62" spans="1:7">
      <c r="A62" s="172">
        <f t="shared" si="3"/>
        <v>4.0000000000000027</v>
      </c>
      <c r="B62" s="96">
        <v>100</v>
      </c>
      <c r="C62" s="96">
        <f t="shared" si="5"/>
        <v>5</v>
      </c>
      <c r="D62" s="173">
        <f t="shared" si="4"/>
        <v>0.4624173037075896</v>
      </c>
      <c r="E62" s="173">
        <f t="shared" si="7"/>
        <v>48.068055109157825</v>
      </c>
      <c r="F62" s="184">
        <f t="shared" si="0"/>
        <v>47.394362194549771</v>
      </c>
      <c r="G62" s="182">
        <f t="shared" si="6"/>
        <v>0.99063212226958786</v>
      </c>
    </row>
    <row r="63" spans="1:7">
      <c r="A63" s="172">
        <f t="shared" si="3"/>
        <v>4.0833333333333357</v>
      </c>
      <c r="B63" s="96">
        <v>100</v>
      </c>
      <c r="C63" s="96">
        <f t="shared" si="5"/>
        <v>5</v>
      </c>
      <c r="D63" s="173">
        <f t="shared" si="4"/>
        <v>0.4624173037075896</v>
      </c>
      <c r="E63" s="173">
        <f t="shared" si="7"/>
        <v>48.502553491500755</v>
      </c>
      <c r="F63" s="184">
        <f t="shared" si="0"/>
        <v>46.959863812206841</v>
      </c>
      <c r="G63" s="182">
        <f t="shared" si="6"/>
        <v>0.99039246389864599</v>
      </c>
    </row>
    <row r="64" spans="1:7">
      <c r="A64" s="172">
        <f t="shared" si="3"/>
        <v>4.1666666666666687</v>
      </c>
      <c r="B64" s="96">
        <v>100</v>
      </c>
      <c r="C64" s="96">
        <f t="shared" si="5"/>
        <v>5</v>
      </c>
      <c r="D64" s="173">
        <f t="shared" si="4"/>
        <v>0.4624173037075896</v>
      </c>
      <c r="E64" s="173">
        <f t="shared" si="7"/>
        <v>48.941304111973054</v>
      </c>
      <c r="F64" s="184">
        <f t="shared" si="0"/>
        <v>46.521113191734543</v>
      </c>
      <c r="G64" s="182">
        <f t="shared" si="6"/>
        <v>0.99015069609902184</v>
      </c>
    </row>
    <row r="65" spans="1:7">
      <c r="A65" s="172">
        <f t="shared" si="3"/>
        <v>4.2500000000000018</v>
      </c>
      <c r="B65" s="96">
        <v>100</v>
      </c>
      <c r="C65" s="96">
        <f t="shared" si="5"/>
        <v>5</v>
      </c>
      <c r="D65" s="173">
        <f t="shared" si="4"/>
        <v>0.4624173037075896</v>
      </c>
      <c r="E65" s="173">
        <f t="shared" si="7"/>
        <v>49.384348576064738</v>
      </c>
      <c r="F65" s="184">
        <f t="shared" si="0"/>
        <v>46.078068727642858</v>
      </c>
      <c r="G65" s="182">
        <f t="shared" si="6"/>
        <v>0.98990679923301106</v>
      </c>
    </row>
    <row r="66" spans="1:7">
      <c r="A66" s="172">
        <f t="shared" si="3"/>
        <v>4.3333333333333348</v>
      </c>
      <c r="B66" s="96">
        <v>100</v>
      </c>
      <c r="C66" s="96">
        <f t="shared" si="5"/>
        <v>5</v>
      </c>
      <c r="D66" s="173">
        <f t="shared" si="4"/>
        <v>0.4624173037075896</v>
      </c>
      <c r="E66" s="173">
        <f t="shared" si="7"/>
        <v>49.831728895927419</v>
      </c>
      <c r="F66" s="184">
        <f t="shared" si="0"/>
        <v>45.630688407780177</v>
      </c>
      <c r="G66" s="182">
        <f t="shared" si="6"/>
        <v>0.98966075348987248</v>
      </c>
    </row>
    <row r="67" spans="1:7">
      <c r="A67" s="172">
        <f t="shared" si="3"/>
        <v>4.4166666666666679</v>
      </c>
      <c r="B67" s="96">
        <v>100</v>
      </c>
      <c r="C67" s="96">
        <f t="shared" si="5"/>
        <v>5</v>
      </c>
      <c r="D67" s="173">
        <f t="shared" si="4"/>
        <v>0.4624173037075896</v>
      </c>
      <c r="E67" s="173">
        <f t="shared" si="7"/>
        <v>50.283487494403111</v>
      </c>
      <c r="F67" s="184">
        <f t="shared" si="0"/>
        <v>45.178929809304485</v>
      </c>
      <c r="G67" s="182">
        <f t="shared" si="6"/>
        <v>0.98941253888449843</v>
      </c>
    </row>
    <row r="68" spans="1:7">
      <c r="A68" s="172">
        <f t="shared" si="3"/>
        <v>4.5000000000000009</v>
      </c>
      <c r="B68" s="96">
        <v>100</v>
      </c>
      <c r="C68" s="96">
        <f t="shared" si="5"/>
        <v>5</v>
      </c>
      <c r="D68" s="173">
        <f t="shared" si="4"/>
        <v>0.4624173037075896</v>
      </c>
      <c r="E68" s="173">
        <f t="shared" si="7"/>
        <v>50.739667209676249</v>
      </c>
      <c r="F68" s="184">
        <f t="shared" si="0"/>
        <v>44.722750094031348</v>
      </c>
      <c r="G68" s="182">
        <f t="shared" si="6"/>
        <v>0.98916213525607588</v>
      </c>
    </row>
    <row r="69" spans="1:7">
      <c r="A69" s="172">
        <f t="shared" si="3"/>
        <v>4.5833333333333339</v>
      </c>
      <c r="B69" s="96">
        <v>100</v>
      </c>
      <c r="C69" s="96">
        <f t="shared" si="5"/>
        <v>5</v>
      </c>
      <c r="D69" s="173">
        <f t="shared" si="4"/>
        <v>0.4624173037075896</v>
      </c>
      <c r="E69" s="173">
        <f t="shared" si="7"/>
        <v>51.200311298412089</v>
      </c>
      <c r="F69" s="184">
        <f t="shared" si="0"/>
        <v>44.262106005295507</v>
      </c>
      <c r="G69" s="182">
        <f t="shared" si="6"/>
        <v>0.98890952226674567</v>
      </c>
    </row>
    <row r="70" spans="1:7">
      <c r="A70" s="172">
        <f t="shared" si="3"/>
        <v>4.666666666666667</v>
      </c>
      <c r="B70" s="96">
        <v>100</v>
      </c>
      <c r="C70" s="96">
        <f t="shared" si="5"/>
        <v>5</v>
      </c>
      <c r="D70" s="173">
        <f t="shared" si="4"/>
        <v>0.4624173037075896</v>
      </c>
      <c r="E70" s="173">
        <f t="shared" si="7"/>
        <v>51.665463440564572</v>
      </c>
      <c r="F70" s="184">
        <f t="shared" si="0"/>
        <v>43.796953863143024</v>
      </c>
      <c r="G70" s="182">
        <f t="shared" si="6"/>
        <v>0.98865467940025242</v>
      </c>
    </row>
    <row r="71" spans="1:7">
      <c r="A71" s="172">
        <f t="shared" si="3"/>
        <v>4.75</v>
      </c>
      <c r="B71" s="96">
        <v>100</v>
      </c>
      <c r="C71" s="96">
        <f t="shared" si="5"/>
        <v>5</v>
      </c>
      <c r="D71" s="173">
        <f t="shared" si="4"/>
        <v>0.4624173037075896</v>
      </c>
      <c r="E71" s="173">
        <f t="shared" si="7"/>
        <v>52.135167743249276</v>
      </c>
      <c r="F71" s="184">
        <f t="shared" si="0"/>
        <v>43.32724956045832</v>
      </c>
      <c r="G71" s="182">
        <f t="shared" si="6"/>
        <v>0.98839758596058935</v>
      </c>
    </row>
    <row r="72" spans="1:7">
      <c r="A72" s="172">
        <f t="shared" si="3"/>
        <v>4.833333333333333</v>
      </c>
      <c r="B72" s="96">
        <v>100</v>
      </c>
      <c r="C72" s="96">
        <f t="shared" si="5"/>
        <v>5</v>
      </c>
      <c r="D72" s="173">
        <f t="shared" si="4"/>
        <v>0.4624173037075896</v>
      </c>
      <c r="E72" s="173">
        <f t="shared" si="7"/>
        <v>52.609468744816709</v>
      </c>
      <c r="F72" s="184">
        <f t="shared" si="0"/>
        <v>42.852948558890887</v>
      </c>
      <c r="G72" s="182">
        <f t="shared" si="6"/>
        <v>0.9881382210706382</v>
      </c>
    </row>
    <row r="73" spans="1:7">
      <c r="A73" s="172">
        <f t="shared" si="3"/>
        <v>4.9166666666666661</v>
      </c>
      <c r="B73" s="96">
        <v>100</v>
      </c>
      <c r="C73" s="96">
        <f t="shared" si="5"/>
        <v>5</v>
      </c>
      <c r="D73" s="173">
        <f t="shared" si="4"/>
        <v>0.4624173037075896</v>
      </c>
      <c r="E73" s="173">
        <f t="shared" si="7"/>
        <v>53.088411419125926</v>
      </c>
      <c r="F73" s="184">
        <f t="shared" si="0"/>
        <v>42.374005884581671</v>
      </c>
      <c r="G73" s="182">
        <f t="shared" si="6"/>
        <v>0.98787656367080223</v>
      </c>
    </row>
    <row r="74" spans="1:7">
      <c r="A74" s="172">
        <f>A73+1/12</f>
        <v>4.9999999999999991</v>
      </c>
      <c r="B74" s="96">
        <v>100</v>
      </c>
      <c r="C74" s="96">
        <f t="shared" si="5"/>
        <v>5</v>
      </c>
      <c r="D74" s="173">
        <f t="shared" si="4"/>
        <v>0.4624173037075896</v>
      </c>
      <c r="E74" s="173">
        <f t="shared" si="7"/>
        <v>53.57204118008525</v>
      </c>
      <c r="F74" s="184">
        <f t="shared" si="0"/>
        <v>41.890376123622346</v>
      </c>
      <c r="G74" s="182">
        <f t="shared" si="6"/>
        <v>0.98761259251763289</v>
      </c>
    </row>
    <row r="75" spans="1:7">
      <c r="A75" s="172">
        <f t="shared" si="3"/>
        <v>5.0833333333333321</v>
      </c>
      <c r="B75" s="96">
        <v>100</v>
      </c>
      <c r="C75" s="96">
        <f t="shared" si="5"/>
        <v>5</v>
      </c>
      <c r="D75" s="173">
        <f t="shared" si="4"/>
        <v>0.4624173037075896</v>
      </c>
      <c r="E75" s="173">
        <f t="shared" si="7"/>
        <v>54.060403885413955</v>
      </c>
      <c r="F75" s="184">
        <f t="shared" si="0"/>
        <v>41.402013418293642</v>
      </c>
      <c r="G75" s="182">
        <f t="shared" si="6"/>
        <v>0.98734628618245257</v>
      </c>
    </row>
    <row r="76" spans="1:7">
      <c r="A76" s="172">
        <f t="shared" si="3"/>
        <v>5.1666666666666652</v>
      </c>
      <c r="B76" s="96">
        <v>100</v>
      </c>
      <c r="C76" s="96">
        <f t="shared" si="5"/>
        <v>5</v>
      </c>
      <c r="D76" s="173">
        <f t="shared" si="4"/>
        <v>0.4624173037075896</v>
      </c>
      <c r="E76" s="173">
        <f t="shared" si="7"/>
        <v>54.553545841472349</v>
      </c>
      <c r="F76" s="184">
        <f t="shared" si="0"/>
        <v>40.908871462235247</v>
      </c>
      <c r="G76" s="182">
        <f t="shared" si="6"/>
        <v>0.98707762304997004</v>
      </c>
    </row>
    <row r="77" spans="1:7">
      <c r="A77" s="172">
        <f t="shared" si="3"/>
        <v>5.2499999999999982</v>
      </c>
      <c r="B77" s="96">
        <v>100</v>
      </c>
      <c r="C77" s="96">
        <f t="shared" si="5"/>
        <v>5</v>
      </c>
      <c r="D77" s="173">
        <f t="shared" si="4"/>
        <v>0.4624173037075896</v>
      </c>
      <c r="E77" s="173">
        <f t="shared" si="7"/>
        <v>55.051513807379557</v>
      </c>
      <c r="F77" s="184">
        <f t="shared" si="0"/>
        <v>40.410903496328039</v>
      </c>
      <c r="G77" s="182">
        <f t="shared" si="6"/>
        <v>0.98680658131689125</v>
      </c>
    </row>
    <row r="78" spans="1:7">
      <c r="A78" s="172">
        <f t="shared" si="3"/>
        <v>5.3333333333333313</v>
      </c>
      <c r="B78" s="96">
        <v>100</v>
      </c>
      <c r="C78" s="96">
        <f t="shared" si="5"/>
        <v>5</v>
      </c>
      <c r="D78" s="173">
        <f t="shared" si="4"/>
        <v>0.4624173037075896</v>
      </c>
      <c r="E78" s="173">
        <f t="shared" si="7"/>
        <v>55.554354999442999</v>
      </c>
      <c r="F78" s="184">
        <f t="shared" ref="F78:F134" si="8">B78-C78+D78-E78</f>
        <v>39.908062304264597</v>
      </c>
      <c r="G78" s="182">
        <f t="shared" ref="G78:G109" si="9">(B$9^A78)*B$10^((B$5^B$8)*((B$5^A78)-1))</f>
        <v>0.98653313899052475</v>
      </c>
    </row>
    <row r="79" spans="1:7">
      <c r="A79" s="172">
        <f t="shared" si="3"/>
        <v>5.4166666666666643</v>
      </c>
      <c r="B79" s="96">
        <v>100</v>
      </c>
      <c r="C79" s="96">
        <f t="shared" si="5"/>
        <v>5</v>
      </c>
      <c r="D79" s="173">
        <f t="shared" si="4"/>
        <v>0.4624173037075896</v>
      </c>
      <c r="E79" s="173">
        <f t="shared" ref="E79:E110" si="10">(1-G79/G78)*B$6*(1+B$7)^(1/24)</f>
        <v>56.062117095810343</v>
      </c>
      <c r="F79" s="184">
        <f t="shared" si="8"/>
        <v>39.400300207897253</v>
      </c>
      <c r="G79" s="182">
        <f t="shared" si="9"/>
        <v>0.98625727388738094</v>
      </c>
    </row>
    <row r="80" spans="1:7">
      <c r="A80" s="172">
        <f t="shared" ref="A80:A130" si="11">A79+1/12</f>
        <v>5.4999999999999973</v>
      </c>
      <c r="B80" s="96">
        <v>100</v>
      </c>
      <c r="C80" s="96">
        <f t="shared" si="5"/>
        <v>5</v>
      </c>
      <c r="D80" s="173">
        <f t="shared" ref="D80:D134" si="12">((1+B$7)^(1/12)-1)*(B80-C80)</f>
        <v>0.4624173037075896</v>
      </c>
      <c r="E80" s="173">
        <f t="shared" si="10"/>
        <v>56.574848240743187</v>
      </c>
      <c r="F80" s="184">
        <f t="shared" si="8"/>
        <v>38.88756906296441</v>
      </c>
      <c r="G80" s="182">
        <f t="shared" si="9"/>
        <v>0.98597896363176707</v>
      </c>
    </row>
    <row r="81" spans="1:7">
      <c r="A81" s="172">
        <f t="shared" si="11"/>
        <v>5.5833333333333304</v>
      </c>
      <c r="B81" s="96">
        <v>100</v>
      </c>
      <c r="C81" s="96">
        <f t="shared" ref="C81:C134" si="13">0.05*B81</f>
        <v>5</v>
      </c>
      <c r="D81" s="173">
        <f t="shared" si="12"/>
        <v>0.4624173037075896</v>
      </c>
      <c r="E81" s="173">
        <f t="shared" si="10"/>
        <v>57.092597049335794</v>
      </c>
      <c r="F81" s="184">
        <f t="shared" si="8"/>
        <v>38.369820254371803</v>
      </c>
      <c r="G81" s="182">
        <f t="shared" si="9"/>
        <v>0.9856981856543765</v>
      </c>
    </row>
    <row r="82" spans="1:7">
      <c r="A82" s="172">
        <f t="shared" si="11"/>
        <v>5.6666666666666634</v>
      </c>
      <c r="B82" s="96">
        <v>100</v>
      </c>
      <c r="C82" s="96">
        <f t="shared" si="13"/>
        <v>5</v>
      </c>
      <c r="D82" s="173">
        <f t="shared" si="12"/>
        <v>0.4624173037075896</v>
      </c>
      <c r="E82" s="173">
        <f t="shared" si="10"/>
        <v>57.615412611966811</v>
      </c>
      <c r="F82" s="184">
        <f t="shared" si="8"/>
        <v>37.847004691740786</v>
      </c>
      <c r="G82" s="182">
        <f t="shared" si="9"/>
        <v>0.98541491719087348</v>
      </c>
    </row>
    <row r="83" spans="1:7">
      <c r="A83" s="172">
        <f t="shared" si="11"/>
        <v>5.7499999999999964</v>
      </c>
      <c r="B83" s="96">
        <v>100</v>
      </c>
      <c r="C83" s="96">
        <f t="shared" si="13"/>
        <v>5</v>
      </c>
      <c r="D83" s="173">
        <f t="shared" si="12"/>
        <v>0.4624173037075896</v>
      </c>
      <c r="E83" s="173">
        <f t="shared" si="10"/>
        <v>58.143344499218372</v>
      </c>
      <c r="F83" s="184">
        <f t="shared" si="8"/>
        <v>37.319072804489224</v>
      </c>
      <c r="G83" s="182">
        <f t="shared" si="9"/>
        <v>0.98512913528047186</v>
      </c>
    </row>
    <row r="84" spans="1:7">
      <c r="A84" s="172">
        <f t="shared" si="11"/>
        <v>5.8333333333333295</v>
      </c>
      <c r="B84" s="96">
        <v>100</v>
      </c>
      <c r="C84" s="96">
        <f t="shared" si="13"/>
        <v>5</v>
      </c>
      <c r="D84" s="173">
        <f t="shared" si="12"/>
        <v>0.4624173037075896</v>
      </c>
      <c r="E84" s="173">
        <f t="shared" si="10"/>
        <v>58.676442766194228</v>
      </c>
      <c r="F84" s="184">
        <f t="shared" si="8"/>
        <v>36.785974537513368</v>
      </c>
      <c r="G84" s="182">
        <f t="shared" si="9"/>
        <v>0.98484081676451041</v>
      </c>
    </row>
    <row r="85" spans="1:7">
      <c r="A85" s="172">
        <f t="shared" si="11"/>
        <v>5.9166666666666625</v>
      </c>
      <c r="B85" s="96">
        <v>100</v>
      </c>
      <c r="C85" s="96">
        <f t="shared" si="13"/>
        <v>5</v>
      </c>
      <c r="D85" s="173">
        <f t="shared" si="12"/>
        <v>0.4624173037075896</v>
      </c>
      <c r="E85" s="173">
        <f t="shared" si="10"/>
        <v>59.214757957505668</v>
      </c>
      <c r="F85" s="184">
        <f t="shared" si="8"/>
        <v>36.247659346201928</v>
      </c>
      <c r="G85" s="182">
        <f t="shared" si="9"/>
        <v>0.98454993828502269</v>
      </c>
    </row>
    <row r="86" spans="1:7">
      <c r="A86" s="172">
        <f t="shared" si="11"/>
        <v>5.9999999999999956</v>
      </c>
      <c r="B86" s="96">
        <v>100</v>
      </c>
      <c r="C86" s="96">
        <f t="shared" si="13"/>
        <v>5</v>
      </c>
      <c r="D86" s="173">
        <f t="shared" si="12"/>
        <v>0.4624173037075896</v>
      </c>
      <c r="E86" s="173">
        <f t="shared" si="10"/>
        <v>59.758341112012509</v>
      </c>
      <c r="F86" s="184">
        <f t="shared" si="8"/>
        <v>35.704076191695087</v>
      </c>
      <c r="G86" s="182">
        <f t="shared" si="9"/>
        <v>0.98425647628330226</v>
      </c>
    </row>
    <row r="87" spans="1:7">
      <c r="A87" s="172">
        <f t="shared" si="11"/>
        <v>6.0833333333333286</v>
      </c>
      <c r="B87" s="96">
        <v>100</v>
      </c>
      <c r="C87" s="96">
        <f t="shared" si="13"/>
        <v>5</v>
      </c>
      <c r="D87" s="173">
        <f t="shared" si="12"/>
        <v>0.4624173037075896</v>
      </c>
      <c r="E87" s="173">
        <f t="shared" si="10"/>
        <v>60.307243767675502</v>
      </c>
      <c r="F87" s="184">
        <f t="shared" si="8"/>
        <v>35.155173536032095</v>
      </c>
      <c r="G87" s="182">
        <f t="shared" si="9"/>
        <v>0.98396040699846354</v>
      </c>
    </row>
    <row r="88" spans="1:7">
      <c r="A88" s="172">
        <f t="shared" si="11"/>
        <v>6.1666666666666616</v>
      </c>
      <c r="B88" s="96">
        <v>100</v>
      </c>
      <c r="C88" s="96">
        <f t="shared" si="13"/>
        <v>5</v>
      </c>
      <c r="D88" s="173">
        <f t="shared" si="12"/>
        <v>0.4624173037075896</v>
      </c>
      <c r="E88" s="173">
        <f t="shared" si="10"/>
        <v>60.861517966208289</v>
      </c>
      <c r="F88" s="184">
        <f t="shared" si="8"/>
        <v>34.600899337499307</v>
      </c>
      <c r="G88" s="182">
        <f t="shared" si="9"/>
        <v>0.98366170646599926</v>
      </c>
    </row>
    <row r="89" spans="1:7">
      <c r="A89" s="172">
        <f t="shared" si="11"/>
        <v>6.2499999999999947</v>
      </c>
      <c r="B89" s="96">
        <v>100</v>
      </c>
      <c r="C89" s="96">
        <f t="shared" si="13"/>
        <v>5</v>
      </c>
      <c r="D89" s="173">
        <f t="shared" si="12"/>
        <v>0.4624173037075896</v>
      </c>
      <c r="E89" s="173">
        <f t="shared" si="10"/>
        <v>61.421216258330418</v>
      </c>
      <c r="F89" s="184">
        <f t="shared" si="8"/>
        <v>34.041201045377179</v>
      </c>
      <c r="G89" s="182">
        <f t="shared" si="9"/>
        <v>0.98336035051633186</v>
      </c>
    </row>
    <row r="90" spans="1:7">
      <c r="A90" s="172">
        <f t="shared" si="11"/>
        <v>6.3333333333333277</v>
      </c>
      <c r="B90" s="96">
        <v>100</v>
      </c>
      <c r="C90" s="96">
        <f t="shared" si="13"/>
        <v>5</v>
      </c>
      <c r="D90" s="173">
        <f t="shared" si="12"/>
        <v>0.4624173037075896</v>
      </c>
      <c r="E90" s="173">
        <f t="shared" si="10"/>
        <v>61.98639170844163</v>
      </c>
      <c r="F90" s="184">
        <f t="shared" si="8"/>
        <v>33.476025595265966</v>
      </c>
      <c r="G90" s="182">
        <f t="shared" si="9"/>
        <v>0.98305631477336297</v>
      </c>
    </row>
    <row r="91" spans="1:7">
      <c r="A91" s="172">
        <f t="shared" si="11"/>
        <v>6.4166666666666607</v>
      </c>
      <c r="B91" s="96">
        <v>100</v>
      </c>
      <c r="C91" s="96">
        <f t="shared" si="13"/>
        <v>5</v>
      </c>
      <c r="D91" s="173">
        <f t="shared" si="12"/>
        <v>0.4624173037075896</v>
      </c>
      <c r="E91" s="173">
        <f t="shared" si="10"/>
        <v>62.557097899941596</v>
      </c>
      <c r="F91" s="184">
        <f t="shared" si="8"/>
        <v>32.905319403766001</v>
      </c>
      <c r="G91" s="182">
        <f t="shared" si="9"/>
        <v>0.98274957465301715</v>
      </c>
    </row>
    <row r="92" spans="1:7">
      <c r="A92" s="172">
        <f t="shared" si="11"/>
        <v>6.4999999999999938</v>
      </c>
      <c r="B92" s="96">
        <v>100</v>
      </c>
      <c r="C92" s="96">
        <f t="shared" si="13"/>
        <v>5</v>
      </c>
      <c r="D92" s="173">
        <f t="shared" si="12"/>
        <v>0.4624173037075896</v>
      </c>
      <c r="E92" s="173">
        <f t="shared" si="10"/>
        <v>63.133388939993225</v>
      </c>
      <c r="F92" s="184">
        <f t="shared" si="8"/>
        <v>32.329028363714372</v>
      </c>
      <c r="G92" s="182">
        <f t="shared" si="9"/>
        <v>0.98244010536178306</v>
      </c>
    </row>
    <row r="93" spans="1:7">
      <c r="A93" s="172">
        <f t="shared" si="11"/>
        <v>6.5833333333333268</v>
      </c>
      <c r="B93" s="96">
        <v>100</v>
      </c>
      <c r="C93" s="96">
        <f t="shared" si="13"/>
        <v>5</v>
      </c>
      <c r="D93" s="173">
        <f t="shared" si="12"/>
        <v>0.4624173037075896</v>
      </c>
      <c r="E93" s="173">
        <f t="shared" si="10"/>
        <v>63.715319464864706</v>
      </c>
      <c r="F93" s="184">
        <f t="shared" si="8"/>
        <v>31.74709783884289</v>
      </c>
      <c r="G93" s="182">
        <f t="shared" si="9"/>
        <v>0.98212788189525047</v>
      </c>
    </row>
    <row r="94" spans="1:7">
      <c r="A94" s="172">
        <f t="shared" si="11"/>
        <v>6.6666666666666599</v>
      </c>
      <c r="B94" s="96">
        <v>100</v>
      </c>
      <c r="C94" s="96">
        <f t="shared" si="13"/>
        <v>5</v>
      </c>
      <c r="D94" s="173">
        <f t="shared" si="12"/>
        <v>0.4624173037075896</v>
      </c>
      <c r="E94" s="173">
        <f t="shared" si="10"/>
        <v>64.302944644804114</v>
      </c>
      <c r="F94" s="184">
        <f t="shared" si="8"/>
        <v>31.159472658903482</v>
      </c>
      <c r="G94" s="182">
        <f t="shared" si="9"/>
        <v>0.98181287903664494</v>
      </c>
    </row>
    <row r="95" spans="1:7">
      <c r="A95" s="172">
        <f t="shared" si="11"/>
        <v>6.7499999999999929</v>
      </c>
      <c r="B95" s="96">
        <v>100</v>
      </c>
      <c r="C95" s="96">
        <f t="shared" si="13"/>
        <v>5</v>
      </c>
      <c r="D95" s="173">
        <f t="shared" si="12"/>
        <v>0.4624173037075896</v>
      </c>
      <c r="E95" s="173">
        <f t="shared" si="10"/>
        <v>64.896320189893331</v>
      </c>
      <c r="F95" s="184">
        <f t="shared" si="8"/>
        <v>30.566097113814266</v>
      </c>
      <c r="G95" s="182">
        <f t="shared" si="9"/>
        <v>0.98149507135535641</v>
      </c>
    </row>
    <row r="96" spans="1:7">
      <c r="A96" s="172">
        <f t="shared" si="11"/>
        <v>6.8333333333333259</v>
      </c>
      <c r="B96" s="96">
        <v>100</v>
      </c>
      <c r="C96" s="96">
        <f t="shared" si="13"/>
        <v>5</v>
      </c>
      <c r="D96" s="173">
        <f t="shared" si="12"/>
        <v>0.4624173037075896</v>
      </c>
      <c r="E96" s="173">
        <f t="shared" si="10"/>
        <v>65.495502354321701</v>
      </c>
      <c r="F96" s="184">
        <f t="shared" si="8"/>
        <v>29.966914949385895</v>
      </c>
      <c r="G96" s="182">
        <f t="shared" si="9"/>
        <v>0.98117443320546893</v>
      </c>
    </row>
    <row r="97" spans="1:7">
      <c r="A97" s="172">
        <f t="shared" si="11"/>
        <v>6.916666666666659</v>
      </c>
      <c r="B97" s="96">
        <v>100</v>
      </c>
      <c r="C97" s="96">
        <f t="shared" si="13"/>
        <v>5</v>
      </c>
      <c r="D97" s="173">
        <f t="shared" si="12"/>
        <v>0.4624173037075896</v>
      </c>
      <c r="E97" s="173">
        <f t="shared" si="10"/>
        <v>66.100547942707479</v>
      </c>
      <c r="F97" s="184">
        <f t="shared" si="8"/>
        <v>29.361869361000117</v>
      </c>
      <c r="G97" s="182">
        <f t="shared" si="9"/>
        <v>0.98085093872428342</v>
      </c>
    </row>
    <row r="98" spans="1:7">
      <c r="A98" s="172">
        <f t="shared" si="11"/>
        <v>6.999999999999992</v>
      </c>
      <c r="B98" s="185">
        <v>100</v>
      </c>
      <c r="C98" s="185">
        <f t="shared" si="13"/>
        <v>5</v>
      </c>
      <c r="D98" s="173">
        <f t="shared" si="12"/>
        <v>0.4624173037075896</v>
      </c>
      <c r="E98" s="173">
        <f t="shared" si="10"/>
        <v>66.711514314838695</v>
      </c>
      <c r="F98" s="184">
        <f t="shared" si="8"/>
        <v>28.750902988868901</v>
      </c>
      <c r="G98" s="182">
        <f t="shared" si="9"/>
        <v>0.9805245618308398</v>
      </c>
    </row>
    <row r="99" spans="1:7">
      <c r="A99" s="172">
        <f t="shared" si="11"/>
        <v>7.083333333333325</v>
      </c>
      <c r="B99" s="96">
        <v>100</v>
      </c>
      <c r="C99" s="96">
        <f t="shared" si="13"/>
        <v>5</v>
      </c>
      <c r="D99" s="173">
        <f t="shared" si="12"/>
        <v>0.4624173037075896</v>
      </c>
      <c r="E99" s="173">
        <f t="shared" si="10"/>
        <v>67.328459391260296</v>
      </c>
      <c r="F99" s="184">
        <f t="shared" si="8"/>
        <v>28.1339579124473</v>
      </c>
      <c r="G99" s="182">
        <f t="shared" si="9"/>
        <v>0.98019527622443658</v>
      </c>
    </row>
    <row r="100" spans="1:7">
      <c r="A100" s="172">
        <f t="shared" si="11"/>
        <v>7.1666666666666581</v>
      </c>
      <c r="B100" s="96">
        <v>100</v>
      </c>
      <c r="C100" s="96">
        <f t="shared" si="13"/>
        <v>5</v>
      </c>
      <c r="D100" s="173">
        <f t="shared" si="12"/>
        <v>0.4624173037075896</v>
      </c>
      <c r="E100" s="173">
        <f t="shared" si="10"/>
        <v>67.951441658816236</v>
      </c>
      <c r="F100" s="184">
        <f t="shared" si="8"/>
        <v>27.51097564489136</v>
      </c>
      <c r="G100" s="182">
        <f t="shared" si="9"/>
        <v>0.97986305538314722</v>
      </c>
    </row>
    <row r="101" spans="1:7">
      <c r="A101" s="172">
        <f t="shared" si="11"/>
        <v>7.2499999999999911</v>
      </c>
      <c r="B101" s="96">
        <v>100</v>
      </c>
      <c r="C101" s="96">
        <f t="shared" si="13"/>
        <v>5</v>
      </c>
      <c r="D101" s="173">
        <f t="shared" si="12"/>
        <v>0.4624173037075896</v>
      </c>
      <c r="E101" s="173">
        <f t="shared" si="10"/>
        <v>68.580520176169699</v>
      </c>
      <c r="F101" s="184">
        <f t="shared" si="8"/>
        <v>26.881897127537897</v>
      </c>
      <c r="G101" s="182">
        <f t="shared" si="9"/>
        <v>0.97952787256233453</v>
      </c>
    </row>
    <row r="102" spans="1:7">
      <c r="A102" s="172">
        <f t="shared" si="11"/>
        <v>7.3333333333333242</v>
      </c>
      <c r="B102" s="96">
        <v>100</v>
      </c>
      <c r="C102" s="96">
        <f t="shared" si="13"/>
        <v>5</v>
      </c>
      <c r="D102" s="173">
        <f t="shared" si="12"/>
        <v>0.4624173037075896</v>
      </c>
      <c r="E102" s="173">
        <f t="shared" si="10"/>
        <v>69.215754579256455</v>
      </c>
      <c r="F102" s="184">
        <f t="shared" si="8"/>
        <v>26.246662724451141</v>
      </c>
      <c r="G102" s="182">
        <f t="shared" si="9"/>
        <v>0.9791897007931637</v>
      </c>
    </row>
    <row r="103" spans="1:7">
      <c r="A103" s="172">
        <f t="shared" si="11"/>
        <v>7.4166666666666572</v>
      </c>
      <c r="B103" s="96">
        <v>100</v>
      </c>
      <c r="C103" s="96">
        <f t="shared" si="13"/>
        <v>5</v>
      </c>
      <c r="D103" s="173">
        <f t="shared" si="12"/>
        <v>0.4624173037075896</v>
      </c>
      <c r="E103" s="173">
        <f t="shared" si="10"/>
        <v>69.857205087116441</v>
      </c>
      <c r="F103" s="184">
        <f t="shared" si="8"/>
        <v>25.605212216591156</v>
      </c>
      <c r="G103" s="182">
        <f t="shared" si="9"/>
        <v>0.97884851288111241</v>
      </c>
    </row>
    <row r="104" spans="1:7">
      <c r="A104" s="172">
        <f t="shared" si="11"/>
        <v>7.4999999999999902</v>
      </c>
      <c r="B104" s="96">
        <v>100</v>
      </c>
      <c r="C104" s="96">
        <f t="shared" si="13"/>
        <v>5</v>
      </c>
      <c r="D104" s="173">
        <f t="shared" si="12"/>
        <v>0.4624173037075896</v>
      </c>
      <c r="E104" s="173">
        <f t="shared" si="10"/>
        <v>70.504932507324924</v>
      </c>
      <c r="F104" s="184">
        <f t="shared" si="8"/>
        <v>24.957484796382673</v>
      </c>
      <c r="G104" s="182">
        <f t="shared" si="9"/>
        <v>0.97850428140448087</v>
      </c>
    </row>
    <row r="105" spans="1:7">
      <c r="A105" s="172">
        <f t="shared" si="11"/>
        <v>7.5833333333333233</v>
      </c>
      <c r="B105" s="96">
        <v>100</v>
      </c>
      <c r="C105" s="96">
        <f t="shared" si="13"/>
        <v>5</v>
      </c>
      <c r="D105" s="173">
        <f t="shared" si="12"/>
        <v>0.4624173037075896</v>
      </c>
      <c r="E105" s="173">
        <f t="shared" si="10"/>
        <v>71.15899824215802</v>
      </c>
      <c r="F105" s="184">
        <f t="shared" si="8"/>
        <v>24.303419061549576</v>
      </c>
      <c r="G105" s="182">
        <f t="shared" si="9"/>
        <v>0.97815697871289853</v>
      </c>
    </row>
    <row r="106" spans="1:7">
      <c r="A106" s="172">
        <f t="shared" si="11"/>
        <v>7.6666666666666563</v>
      </c>
      <c r="B106" s="96">
        <v>100</v>
      </c>
      <c r="C106" s="96">
        <f t="shared" si="13"/>
        <v>5</v>
      </c>
      <c r="D106" s="173">
        <f t="shared" si="12"/>
        <v>0.4624173037075896</v>
      </c>
      <c r="E106" s="173">
        <f t="shared" si="10"/>
        <v>71.819464293823515</v>
      </c>
      <c r="F106" s="184">
        <f t="shared" si="8"/>
        <v>23.642953009884081</v>
      </c>
      <c r="G106" s="182">
        <f t="shared" si="9"/>
        <v>0.97780657692583195</v>
      </c>
    </row>
    <row r="107" spans="1:7">
      <c r="A107" s="172">
        <f t="shared" si="11"/>
        <v>7.7499999999999893</v>
      </c>
      <c r="B107" s="96">
        <v>100</v>
      </c>
      <c r="C107" s="96">
        <f t="shared" si="13"/>
        <v>5</v>
      </c>
      <c r="D107" s="173">
        <f t="shared" si="12"/>
        <v>0.4624173037075896</v>
      </c>
      <c r="E107" s="173">
        <f t="shared" si="10"/>
        <v>72.486393270893444</v>
      </c>
      <c r="F107" s="184">
        <f t="shared" si="8"/>
        <v>22.976024032814152</v>
      </c>
      <c r="G107" s="182">
        <f t="shared" si="9"/>
        <v>0.97745304793108956</v>
      </c>
    </row>
    <row r="108" spans="1:7">
      <c r="A108" s="172">
        <f t="shared" si="11"/>
        <v>7.8333333333333224</v>
      </c>
      <c r="B108" s="96">
        <v>100</v>
      </c>
      <c r="C108" s="96">
        <f t="shared" si="13"/>
        <v>5</v>
      </c>
      <c r="D108" s="173">
        <f t="shared" si="12"/>
        <v>0.4624173037075896</v>
      </c>
      <c r="E108" s="173">
        <f t="shared" si="10"/>
        <v>73.159848393846531</v>
      </c>
      <c r="F108" s="184">
        <f t="shared" si="8"/>
        <v>22.302568909861066</v>
      </c>
      <c r="G108" s="182">
        <f t="shared" si="9"/>
        <v>0.97709636338332706</v>
      </c>
    </row>
    <row r="109" spans="1:7">
      <c r="A109" s="172">
        <f t="shared" si="11"/>
        <v>7.9166666666666554</v>
      </c>
      <c r="B109" s="96">
        <v>100</v>
      </c>
      <c r="C109" s="96">
        <f t="shared" si="13"/>
        <v>5</v>
      </c>
      <c r="D109" s="173">
        <f t="shared" si="12"/>
        <v>0.4624173037075896</v>
      </c>
      <c r="E109" s="173">
        <f t="shared" si="10"/>
        <v>73.839893501077867</v>
      </c>
      <c r="F109" s="184">
        <f t="shared" si="8"/>
        <v>21.622523802629729</v>
      </c>
      <c r="G109" s="182">
        <f t="shared" si="9"/>
        <v>0.97673649470255253</v>
      </c>
    </row>
    <row r="110" spans="1:7">
      <c r="A110" s="172">
        <f t="shared" si="11"/>
        <v>7.9999999999999885</v>
      </c>
      <c r="B110" s="96">
        <v>100</v>
      </c>
      <c r="C110" s="96">
        <f t="shared" si="13"/>
        <v>5</v>
      </c>
      <c r="D110" s="173">
        <f t="shared" si="12"/>
        <v>0.4624173037075896</v>
      </c>
      <c r="E110" s="173">
        <f t="shared" si="10"/>
        <v>74.526593055175937</v>
      </c>
      <c r="F110" s="184">
        <f t="shared" si="8"/>
        <v>20.935824248531659</v>
      </c>
      <c r="G110" s="182">
        <f t="shared" ref="G110:G134" si="14">(B$9^A110)*B$10^((B$5^B$8)*((B$5^A110)-1))</f>
        <v>0.97637341307263015</v>
      </c>
    </row>
    <row r="111" spans="1:7">
      <c r="A111" s="172">
        <f t="shared" si="11"/>
        <v>8.0833333333333215</v>
      </c>
      <c r="B111" s="96">
        <v>100</v>
      </c>
      <c r="C111" s="96">
        <f t="shared" si="13"/>
        <v>5</v>
      </c>
      <c r="D111" s="173">
        <f t="shared" si="12"/>
        <v>0.4624173037075896</v>
      </c>
      <c r="E111" s="173">
        <f t="shared" ref="E111:E134" si="15">(1-G111/G110)*B$6*(1+B$7)^(1/24)</f>
        <v>75.220012148776433</v>
      </c>
      <c r="F111" s="184">
        <f t="shared" si="8"/>
        <v>20.242405154931163</v>
      </c>
      <c r="G111" s="182">
        <f t="shared" si="14"/>
        <v>0.97600708943978487</v>
      </c>
    </row>
    <row r="112" spans="1:7">
      <c r="A112" s="172">
        <f t="shared" si="11"/>
        <v>8.1666666666666554</v>
      </c>
      <c r="B112" s="96">
        <v>100</v>
      </c>
      <c r="C112" s="96">
        <f t="shared" si="13"/>
        <v>5</v>
      </c>
      <c r="D112" s="173">
        <f t="shared" si="12"/>
        <v>0.4624173037075896</v>
      </c>
      <c r="E112" s="173">
        <f t="shared" si="15"/>
        <v>75.920216510727968</v>
      </c>
      <c r="F112" s="184">
        <f t="shared" si="8"/>
        <v>19.542200792979628</v>
      </c>
      <c r="G112" s="182">
        <f t="shared" si="14"/>
        <v>0.97563749451110759</v>
      </c>
    </row>
    <row r="113" spans="1:7">
      <c r="A113" s="172">
        <f t="shared" si="11"/>
        <v>8.2499999999999893</v>
      </c>
      <c r="B113" s="96">
        <v>100</v>
      </c>
      <c r="C113" s="96">
        <f t="shared" si="13"/>
        <v>5</v>
      </c>
      <c r="D113" s="173">
        <f t="shared" si="12"/>
        <v>0.4624173037075896</v>
      </c>
      <c r="E113" s="173">
        <f t="shared" si="15"/>
        <v>76.627272512413384</v>
      </c>
      <c r="F113" s="184">
        <f t="shared" si="8"/>
        <v>18.835144791294212</v>
      </c>
      <c r="G113" s="182">
        <f t="shared" si="14"/>
        <v>0.97526459875306037</v>
      </c>
    </row>
    <row r="114" spans="1:7">
      <c r="A114" s="172">
        <f t="shared" si="11"/>
        <v>8.3333333333333233</v>
      </c>
      <c r="B114" s="96">
        <v>100</v>
      </c>
      <c r="C114" s="96">
        <f t="shared" si="13"/>
        <v>5</v>
      </c>
      <c r="D114" s="173">
        <f t="shared" si="12"/>
        <v>0.4624173037075896</v>
      </c>
      <c r="E114" s="173">
        <f t="shared" si="15"/>
        <v>77.34124717402662</v>
      </c>
      <c r="F114" s="184">
        <f t="shared" si="8"/>
        <v>18.121170129680976</v>
      </c>
      <c r="G114" s="182">
        <f t="shared" si="14"/>
        <v>0.97488837238998227</v>
      </c>
    </row>
    <row r="115" spans="1:7">
      <c r="A115" s="172">
        <f t="shared" si="11"/>
        <v>8.4166666666666572</v>
      </c>
      <c r="B115" s="96">
        <v>100</v>
      </c>
      <c r="C115" s="96">
        <f t="shared" si="13"/>
        <v>5</v>
      </c>
      <c r="D115" s="173">
        <f t="shared" si="12"/>
        <v>0.4624173037075896</v>
      </c>
      <c r="E115" s="173">
        <f t="shared" si="15"/>
        <v>78.062208170693921</v>
      </c>
      <c r="F115" s="184">
        <f t="shared" si="8"/>
        <v>17.400209133013675</v>
      </c>
      <c r="G115" s="182">
        <f t="shared" si="14"/>
        <v>0.97450878540259744</v>
      </c>
    </row>
    <row r="116" spans="1:7">
      <c r="A116" s="172">
        <f t="shared" si="11"/>
        <v>8.4999999999999911</v>
      </c>
      <c r="B116" s="96">
        <v>100</v>
      </c>
      <c r="C116" s="96">
        <f t="shared" si="13"/>
        <v>5</v>
      </c>
      <c r="D116" s="173">
        <f t="shared" si="12"/>
        <v>0.4624173037075896</v>
      </c>
      <c r="E116" s="173">
        <f t="shared" si="15"/>
        <v>78.790223839128913</v>
      </c>
      <c r="F116" s="184">
        <f t="shared" si="8"/>
        <v>16.672193464578683</v>
      </c>
      <c r="G116" s="182">
        <f t="shared" si="14"/>
        <v>0.97412580752652367</v>
      </c>
    </row>
    <row r="117" spans="1:7">
      <c r="A117" s="172">
        <f t="shared" si="11"/>
        <v>8.583333333333325</v>
      </c>
      <c r="B117" s="96">
        <v>100</v>
      </c>
      <c r="C117" s="96">
        <f t="shared" si="13"/>
        <v>5</v>
      </c>
      <c r="D117" s="173">
        <f t="shared" si="12"/>
        <v>0.4624173037075896</v>
      </c>
      <c r="E117" s="173">
        <f t="shared" si="15"/>
        <v>79.52536318395417</v>
      </c>
      <c r="F117" s="184">
        <f t="shared" si="8"/>
        <v>15.937054119753427</v>
      </c>
      <c r="G117" s="182">
        <f t="shared" si="14"/>
        <v>0.97373940825078276</v>
      </c>
    </row>
    <row r="118" spans="1:7">
      <c r="A118" s="172">
        <f t="shared" si="11"/>
        <v>8.666666666666659</v>
      </c>
      <c r="B118" s="96">
        <v>100</v>
      </c>
      <c r="C118" s="96">
        <f t="shared" si="13"/>
        <v>5</v>
      </c>
      <c r="D118" s="173">
        <f t="shared" si="12"/>
        <v>0.4624173037075896</v>
      </c>
      <c r="E118" s="173">
        <f t="shared" si="15"/>
        <v>80.267695884289594</v>
      </c>
      <c r="F118" s="184">
        <f t="shared" si="8"/>
        <v>15.194721419418002</v>
      </c>
      <c r="G118" s="182">
        <f t="shared" si="14"/>
        <v>0.97334955681631319</v>
      </c>
    </row>
    <row r="119" spans="1:7">
      <c r="A119" s="172">
        <f t="shared" si="11"/>
        <v>8.7499999999999929</v>
      </c>
      <c r="B119" s="96">
        <v>100</v>
      </c>
      <c r="C119" s="96">
        <f t="shared" si="13"/>
        <v>5</v>
      </c>
      <c r="D119" s="173">
        <f t="shared" si="12"/>
        <v>0.4624173037075896</v>
      </c>
      <c r="E119" s="173">
        <f t="shared" si="15"/>
        <v>81.017292300162907</v>
      </c>
      <c r="F119" s="184">
        <f t="shared" si="8"/>
        <v>14.445125003544689</v>
      </c>
      <c r="G119" s="182">
        <f t="shared" si="14"/>
        <v>0.97295622221448541</v>
      </c>
    </row>
    <row r="120" spans="1:7">
      <c r="A120" s="172">
        <f t="shared" si="11"/>
        <v>8.8333333333333268</v>
      </c>
      <c r="B120" s="96">
        <v>100</v>
      </c>
      <c r="C120" s="96">
        <f t="shared" si="13"/>
        <v>5</v>
      </c>
      <c r="D120" s="173">
        <f t="shared" si="12"/>
        <v>0.4624173037075896</v>
      </c>
      <c r="E120" s="173">
        <f t="shared" si="15"/>
        <v>81.77422347932071</v>
      </c>
      <c r="F120" s="184">
        <f t="shared" si="8"/>
        <v>13.688193824386886</v>
      </c>
      <c r="G120" s="182">
        <f t="shared" si="14"/>
        <v>0.97255937318561936</v>
      </c>
    </row>
    <row r="121" spans="1:7">
      <c r="A121" s="172">
        <f t="shared" si="11"/>
        <v>8.9166666666666607</v>
      </c>
      <c r="B121" s="96">
        <v>100</v>
      </c>
      <c r="C121" s="96">
        <f t="shared" si="13"/>
        <v>5</v>
      </c>
      <c r="D121" s="173">
        <f t="shared" si="12"/>
        <v>0.4624173037075896</v>
      </c>
      <c r="E121" s="173">
        <f t="shared" si="15"/>
        <v>82.538561164061832</v>
      </c>
      <c r="F121" s="184">
        <f t="shared" si="8"/>
        <v>12.923856139645764</v>
      </c>
      <c r="G121" s="182">
        <f t="shared" si="14"/>
        <v>0.9721589782175043</v>
      </c>
    </row>
    <row r="122" spans="1:7">
      <c r="A122" s="172">
        <f t="shared" si="11"/>
        <v>8.9999999999999947</v>
      </c>
      <c r="B122" s="96">
        <v>100</v>
      </c>
      <c r="C122" s="96">
        <f t="shared" si="13"/>
        <v>5</v>
      </c>
      <c r="D122" s="173">
        <f t="shared" si="12"/>
        <v>0.4624173037075896</v>
      </c>
      <c r="E122" s="173">
        <f t="shared" si="15"/>
        <v>83.31037779764776</v>
      </c>
      <c r="F122" s="184">
        <f t="shared" si="8"/>
        <v>12.152039506059836</v>
      </c>
      <c r="G122" s="182">
        <f t="shared" si="14"/>
        <v>0.97175500554392369</v>
      </c>
    </row>
    <row r="123" spans="1:7">
      <c r="A123" s="172">
        <f t="shared" si="11"/>
        <v>9.0833333333333286</v>
      </c>
      <c r="B123" s="96">
        <v>100</v>
      </c>
      <c r="C123" s="96">
        <f t="shared" si="13"/>
        <v>5</v>
      </c>
      <c r="D123" s="173">
        <f t="shared" si="12"/>
        <v>0.4624173037075896</v>
      </c>
      <c r="E123" s="173">
        <f t="shared" si="15"/>
        <v>84.089746531425305</v>
      </c>
      <c r="F123" s="184">
        <f t="shared" si="8"/>
        <v>11.372670772282291</v>
      </c>
      <c r="G123" s="182">
        <f t="shared" si="14"/>
        <v>0.97134742314318234</v>
      </c>
    </row>
    <row r="124" spans="1:7">
      <c r="A124" s="172">
        <f t="shared" si="11"/>
        <v>9.1666666666666625</v>
      </c>
      <c r="B124" s="96">
        <v>100</v>
      </c>
      <c r="C124" s="96">
        <f t="shared" si="13"/>
        <v>5</v>
      </c>
      <c r="D124" s="173">
        <f t="shared" si="12"/>
        <v>0.4624173037075896</v>
      </c>
      <c r="E124" s="173">
        <f t="shared" si="15"/>
        <v>84.876741231637766</v>
      </c>
      <c r="F124" s="184">
        <f t="shared" si="8"/>
        <v>10.58567607206983</v>
      </c>
      <c r="G124" s="182">
        <f t="shared" si="14"/>
        <v>0.97093619873663806</v>
      </c>
    </row>
    <row r="125" spans="1:7">
      <c r="A125" s="172">
        <f t="shared" si="11"/>
        <v>9.2499999999999964</v>
      </c>
      <c r="B125" s="96">
        <v>100</v>
      </c>
      <c r="C125" s="96">
        <f t="shared" si="13"/>
        <v>5</v>
      </c>
      <c r="D125" s="173">
        <f t="shared" si="12"/>
        <v>0.4624173037075896</v>
      </c>
      <c r="E125" s="173">
        <f t="shared" si="15"/>
        <v>85.671436486391698</v>
      </c>
      <c r="F125" s="184">
        <f t="shared" si="8"/>
        <v>9.7909808173158979</v>
      </c>
      <c r="G125" s="182">
        <f t="shared" si="14"/>
        <v>0.97052129978723778</v>
      </c>
    </row>
    <row r="126" spans="1:7">
      <c r="A126" s="172">
        <f t="shared" si="11"/>
        <v>9.3333333333333304</v>
      </c>
      <c r="B126" s="96">
        <v>100</v>
      </c>
      <c r="C126" s="96">
        <f t="shared" si="13"/>
        <v>5</v>
      </c>
      <c r="D126" s="173">
        <f t="shared" si="12"/>
        <v>0.4624173037075896</v>
      </c>
      <c r="E126" s="173">
        <f t="shared" si="15"/>
        <v>86.473907612935534</v>
      </c>
      <c r="F126" s="184">
        <f t="shared" si="8"/>
        <v>8.9885096907720623</v>
      </c>
      <c r="G126" s="182">
        <f t="shared" si="14"/>
        <v>0.97010269349805733</v>
      </c>
    </row>
    <row r="127" spans="1:7">
      <c r="A127" s="172">
        <f t="shared" si="11"/>
        <v>9.4166666666666643</v>
      </c>
      <c r="B127" s="96">
        <v>100</v>
      </c>
      <c r="C127" s="96">
        <f t="shared" si="13"/>
        <v>5</v>
      </c>
      <c r="D127" s="173">
        <f t="shared" si="12"/>
        <v>0.4624173037075896</v>
      </c>
      <c r="E127" s="173">
        <f t="shared" si="15"/>
        <v>87.284230664136729</v>
      </c>
      <c r="F127" s="184">
        <f t="shared" si="8"/>
        <v>8.1781866395708676</v>
      </c>
      <c r="G127" s="182">
        <f t="shared" si="14"/>
        <v>0.96968034681084936</v>
      </c>
    </row>
    <row r="128" spans="1:7">
      <c r="A128" s="172">
        <f t="shared" si="11"/>
        <v>9.4999999999999982</v>
      </c>
      <c r="B128" s="96">
        <v>100</v>
      </c>
      <c r="C128" s="96">
        <f t="shared" si="13"/>
        <v>5</v>
      </c>
      <c r="D128" s="173">
        <f t="shared" si="12"/>
        <v>0.4624173037075896</v>
      </c>
      <c r="E128" s="173">
        <f t="shared" si="15"/>
        <v>88.102482436672886</v>
      </c>
      <c r="F128" s="184">
        <f t="shared" si="8"/>
        <v>7.3599348670347098</v>
      </c>
      <c r="G128" s="182">
        <f t="shared" si="14"/>
        <v>0.9692542264045918</v>
      </c>
    </row>
    <row r="129" spans="1:7">
      <c r="A129" s="172">
        <f t="shared" si="11"/>
        <v>9.5833333333333321</v>
      </c>
      <c r="B129" s="96">
        <v>100</v>
      </c>
      <c r="C129" s="96">
        <f t="shared" si="13"/>
        <v>5</v>
      </c>
      <c r="D129" s="173">
        <f t="shared" si="12"/>
        <v>0.4624173037075896</v>
      </c>
      <c r="E129" s="173">
        <f t="shared" si="15"/>
        <v>88.928740477086009</v>
      </c>
      <c r="F129" s="184">
        <f t="shared" si="8"/>
        <v>6.533676826621587</v>
      </c>
      <c r="G129" s="182">
        <f t="shared" si="14"/>
        <v>0.96882429869404807</v>
      </c>
    </row>
    <row r="130" spans="1:7">
      <c r="A130" s="172">
        <f t="shared" si="11"/>
        <v>9.6666666666666661</v>
      </c>
      <c r="B130" s="96">
        <v>100</v>
      </c>
      <c r="C130" s="96">
        <f t="shared" si="13"/>
        <v>5</v>
      </c>
      <c r="D130" s="173">
        <f t="shared" si="12"/>
        <v>0.4624173037075896</v>
      </c>
      <c r="E130" s="173">
        <f t="shared" si="15"/>
        <v>89.763083090151781</v>
      </c>
      <c r="F130" s="184">
        <f t="shared" si="8"/>
        <v>5.6993342135558152</v>
      </c>
      <c r="G130" s="182">
        <f t="shared" si="14"/>
        <v>0.96839052982832841</v>
      </c>
    </row>
    <row r="131" spans="1:7">
      <c r="A131" s="172">
        <f>A130+1/12</f>
        <v>9.75</v>
      </c>
      <c r="B131" s="96">
        <v>100</v>
      </c>
      <c r="C131" s="96">
        <f t="shared" si="13"/>
        <v>5</v>
      </c>
      <c r="D131" s="173">
        <f t="shared" si="12"/>
        <v>0.4624173037075896</v>
      </c>
      <c r="E131" s="173">
        <f t="shared" si="15"/>
        <v>90.605589345735027</v>
      </c>
      <c r="F131" s="184">
        <f t="shared" si="8"/>
        <v>4.8568279579725697</v>
      </c>
      <c r="G131" s="182">
        <f t="shared" si="14"/>
        <v>0.96795288568946103</v>
      </c>
    </row>
    <row r="132" spans="1:7">
      <c r="A132" s="172">
        <f t="shared" ref="A132" si="16">A131+1/12</f>
        <v>9.8333333333333339</v>
      </c>
      <c r="B132" s="96">
        <v>100</v>
      </c>
      <c r="C132" s="96">
        <f t="shared" si="13"/>
        <v>5</v>
      </c>
      <c r="D132" s="173">
        <f t="shared" si="12"/>
        <v>0.4624173037075896</v>
      </c>
      <c r="E132" s="173">
        <f t="shared" si="15"/>
        <v>91.456339086224119</v>
      </c>
      <c r="F132" s="184">
        <f t="shared" si="8"/>
        <v>4.006078217483477</v>
      </c>
      <c r="G132" s="182">
        <f t="shared" si="14"/>
        <v>0.96751133189096983</v>
      </c>
    </row>
    <row r="133" spans="1:7">
      <c r="A133" s="172">
        <f>A132+1/12</f>
        <v>9.9166666666666679</v>
      </c>
      <c r="B133" s="96">
        <v>100</v>
      </c>
      <c r="C133" s="96">
        <f t="shared" si="13"/>
        <v>5</v>
      </c>
      <c r="D133" s="173">
        <f t="shared" si="12"/>
        <v>0.4624173037075896</v>
      </c>
      <c r="E133" s="173">
        <f t="shared" si="15"/>
        <v>92.315412934343641</v>
      </c>
      <c r="F133" s="184">
        <f t="shared" si="8"/>
        <v>3.1470043693639553</v>
      </c>
      <c r="G133" s="182">
        <f t="shared" si="14"/>
        <v>0.96706583377645883</v>
      </c>
    </row>
    <row r="134" spans="1:7">
      <c r="A134" s="172">
        <f>A133+1/12</f>
        <v>10.000000000000002</v>
      </c>
      <c r="B134" s="96">
        <v>100</v>
      </c>
      <c r="C134" s="96">
        <f t="shared" si="13"/>
        <v>5</v>
      </c>
      <c r="D134" s="173">
        <f t="shared" si="12"/>
        <v>0.4624173037075896</v>
      </c>
      <c r="E134" s="173">
        <f t="shared" si="15"/>
        <v>93.182892300633284</v>
      </c>
      <c r="F134" s="184">
        <f t="shared" si="8"/>
        <v>2.2795250030743119</v>
      </c>
      <c r="G134" s="182">
        <f t="shared" si="14"/>
        <v>0.96661635641820531</v>
      </c>
    </row>
  </sheetData>
  <mergeCells count="1">
    <mergeCell ref="A1:B1"/>
  </mergeCells>
  <pageMargins left="0.75" right="0.75" top="1" bottom="1" header="0.5" footer="0.5"/>
  <pageSetup paperSize="9" orientation="portrait" horizontalDpi="4294967292" verticalDpi="4294967292"/>
  <ignoredErrors>
    <ignoredError sqref="F14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zoomScale="125" zoomScaleNormal="125" zoomScalePageLayoutView="125" workbookViewId="0"/>
  </sheetViews>
  <sheetFormatPr baseColWidth="10" defaultRowHeight="12" x14ac:dyDescent="0"/>
  <cols>
    <col min="1" max="16384" width="10.83203125" style="167"/>
  </cols>
  <sheetData>
    <row r="1" spans="1:15" ht="15">
      <c r="A1" s="198" t="s">
        <v>730</v>
      </c>
      <c r="B1" s="198"/>
    </row>
    <row r="2" spans="1:15" customFormat="1"/>
    <row r="3" spans="1:15">
      <c r="A3" s="175" t="s">
        <v>417</v>
      </c>
      <c r="B3" s="177">
        <v>100000</v>
      </c>
      <c r="C3" s="191" t="s">
        <v>390</v>
      </c>
      <c r="D3" s="192" t="s">
        <v>391</v>
      </c>
      <c r="E3" s="184">
        <f>SUMPRODUCT(I9:I13,J9:J13)</f>
        <v>288.63935887716065</v>
      </c>
      <c r="F3" s="191" t="s">
        <v>392</v>
      </c>
      <c r="G3" s="192" t="s">
        <v>393</v>
      </c>
      <c r="H3" s="193">
        <f>SUMPRODUCT(N9:N13,I9:I13)</f>
        <v>-42.862755354548099</v>
      </c>
      <c r="I3" s="191" t="s">
        <v>394</v>
      </c>
      <c r="J3" s="192" t="s">
        <v>395</v>
      </c>
      <c r="K3" s="202">
        <f>IRR(I9:I13)</f>
        <v>0.41916233750711984</v>
      </c>
      <c r="L3" s="194"/>
      <c r="M3" s="169"/>
    </row>
    <row r="4" spans="1:15">
      <c r="A4" s="175" t="s">
        <v>418</v>
      </c>
      <c r="B4" s="177">
        <v>1100</v>
      </c>
      <c r="C4" s="191" t="s">
        <v>396</v>
      </c>
      <c r="D4" s="192" t="s">
        <v>420</v>
      </c>
      <c r="E4" s="203">
        <f>E3/(SUMPRODUCT(C10:C13,M10:M13,J9:J12))</f>
        <v>7.8045190392001862E-2</v>
      </c>
      <c r="F4" s="169"/>
      <c r="G4" s="192" t="s">
        <v>397</v>
      </c>
      <c r="H4" s="191" t="str">
        <f>IF(H3&lt;0,"No","Yes")</f>
        <v>No</v>
      </c>
      <c r="I4" s="192"/>
      <c r="J4" s="192" t="s">
        <v>398</v>
      </c>
      <c r="K4" s="184">
        <f>SUMPRODUCT(I9:I13,O9:O13)</f>
        <v>9.6349594969069585E-11</v>
      </c>
      <c r="L4" s="186"/>
    </row>
    <row r="5" spans="1:15">
      <c r="A5" s="175" t="s">
        <v>419</v>
      </c>
      <c r="B5" s="178">
        <v>0.12</v>
      </c>
      <c r="C5" s="191" t="s">
        <v>399</v>
      </c>
      <c r="D5" s="192" t="s">
        <v>400</v>
      </c>
      <c r="E5" s="191" t="s">
        <v>401</v>
      </c>
      <c r="F5" s="169"/>
      <c r="G5" s="169"/>
      <c r="H5" s="169"/>
      <c r="I5" s="169"/>
      <c r="J5" s="169"/>
      <c r="K5" s="169"/>
    </row>
    <row r="6" spans="1:15">
      <c r="C6" s="96"/>
    </row>
    <row r="7" spans="1:15">
      <c r="H7" s="191" t="s">
        <v>402</v>
      </c>
      <c r="I7" s="191" t="s">
        <v>403</v>
      </c>
    </row>
    <row r="8" spans="1:15">
      <c r="A8" s="187" t="s">
        <v>0</v>
      </c>
      <c r="B8" s="187" t="s">
        <v>404</v>
      </c>
      <c r="C8" s="187" t="s">
        <v>405</v>
      </c>
      <c r="D8" s="187" t="s">
        <v>406</v>
      </c>
      <c r="E8" s="190" t="s">
        <v>407</v>
      </c>
      <c r="F8" s="187" t="s">
        <v>408</v>
      </c>
      <c r="G8" s="187" t="s">
        <v>409</v>
      </c>
      <c r="H8" s="199" t="s">
        <v>410</v>
      </c>
      <c r="I8" s="200" t="s">
        <v>405</v>
      </c>
      <c r="J8" s="187" t="s">
        <v>411</v>
      </c>
      <c r="K8" s="187" t="s">
        <v>412</v>
      </c>
      <c r="L8" s="187" t="s">
        <v>413</v>
      </c>
      <c r="M8" s="187" t="s">
        <v>414</v>
      </c>
      <c r="N8" s="187" t="s">
        <v>415</v>
      </c>
      <c r="O8" s="187" t="s">
        <v>416</v>
      </c>
    </row>
    <row r="9" spans="1:15">
      <c r="A9" s="96">
        <v>0</v>
      </c>
      <c r="B9" s="173"/>
      <c r="C9" s="173"/>
      <c r="D9" s="173">
        <f>0.3*B$4</f>
        <v>330</v>
      </c>
      <c r="E9" s="173"/>
      <c r="F9" s="173"/>
      <c r="G9" s="173"/>
      <c r="H9" s="184">
        <f>-D9+C9+B9+E9-F9-G9</f>
        <v>-330</v>
      </c>
      <c r="I9" s="184">
        <f>H9*M9</f>
        <v>-330</v>
      </c>
      <c r="J9" s="196">
        <f>(1+B$5)^(-A9)</f>
        <v>1</v>
      </c>
      <c r="K9" s="173">
        <f>SUMPRODUCT(I$9:I9,J$9:J9)</f>
        <v>-330</v>
      </c>
      <c r="L9" s="96"/>
      <c r="M9" s="196">
        <v>1</v>
      </c>
      <c r="N9" s="196">
        <f>(1.5)^(-A9)</f>
        <v>1</v>
      </c>
      <c r="O9" s="196">
        <f>(1+K$3)^(-A9)</f>
        <v>1</v>
      </c>
    </row>
    <row r="10" spans="1:15">
      <c r="A10" s="96">
        <v>1</v>
      </c>
      <c r="B10" s="173"/>
      <c r="C10" s="173">
        <f>B$4</f>
        <v>1100</v>
      </c>
      <c r="D10" s="173">
        <v>0</v>
      </c>
      <c r="E10" s="173">
        <f>0.08*(-D10+C10+B10)</f>
        <v>88</v>
      </c>
      <c r="F10" s="173">
        <f>(B$3+60)*L10</f>
        <v>800.48</v>
      </c>
      <c r="G10" s="173">
        <f>(1-L10)*B11</f>
        <v>327.36</v>
      </c>
      <c r="H10" s="184">
        <f>-D10+C10+B10+E10-F10-G10</f>
        <v>60.159999999999968</v>
      </c>
      <c r="I10" s="184">
        <f t="shared" ref="I10:I13" si="0">H10*M10</f>
        <v>60.159999999999968</v>
      </c>
      <c r="J10" s="196">
        <f t="shared" ref="J10:J13" si="1">(1+B$5)^(-A10)</f>
        <v>0.89285714285714279</v>
      </c>
      <c r="K10" s="173">
        <f>SUMPRODUCT(I$9:I10,J$9:J10)</f>
        <v>-276.28571428571433</v>
      </c>
      <c r="L10" s="201">
        <v>8.0000000000000002E-3</v>
      </c>
      <c r="M10" s="196">
        <v>1</v>
      </c>
      <c r="N10" s="196">
        <f t="shared" ref="N10:N13" si="2">(1.5)^(-A10)</f>
        <v>0.66666666666666663</v>
      </c>
      <c r="O10" s="196">
        <f t="shared" ref="O10:O13" si="3">(1+K$3)^(-A10)</f>
        <v>0.70464102208108592</v>
      </c>
    </row>
    <row r="11" spans="1:15">
      <c r="A11" s="96">
        <v>2</v>
      </c>
      <c r="B11" s="173">
        <f>0.3*C11</f>
        <v>330</v>
      </c>
      <c r="C11" s="173">
        <f t="shared" ref="C11:C13" si="4">B$4</f>
        <v>1100</v>
      </c>
      <c r="D11" s="173">
        <f>0.02*B$4</f>
        <v>22</v>
      </c>
      <c r="E11" s="173">
        <f>0.08*(-D11+C11+B11)</f>
        <v>112.64</v>
      </c>
      <c r="F11" s="173">
        <f t="shared" ref="F11:F13" si="5">(B$3+60)*L11</f>
        <v>900.54</v>
      </c>
      <c r="G11" s="173">
        <f>(1-L11)*B12</f>
        <v>327.02999999999997</v>
      </c>
      <c r="H11" s="184">
        <f>-D11+C11+B11+E11-F11-G11</f>
        <v>293.07000000000016</v>
      </c>
      <c r="I11" s="184">
        <f t="shared" si="0"/>
        <v>290.72544000000016</v>
      </c>
      <c r="J11" s="196">
        <f t="shared" si="1"/>
        <v>0.79719387755102034</v>
      </c>
      <c r="K11" s="173">
        <f>SUMPRODUCT(I$9:I11,J$9:J11)</f>
        <v>-44.521173469387691</v>
      </c>
      <c r="L11" s="201">
        <v>8.9999999999999993E-3</v>
      </c>
      <c r="M11" s="196">
        <f>M10*(1-L10)</f>
        <v>0.99199999999999999</v>
      </c>
      <c r="N11" s="196">
        <f t="shared" si="2"/>
        <v>0.44444444444444442</v>
      </c>
      <c r="O11" s="196">
        <f t="shared" si="3"/>
        <v>0.49651896999947753</v>
      </c>
    </row>
    <row r="12" spans="1:15">
      <c r="A12" s="96">
        <v>3</v>
      </c>
      <c r="B12" s="173">
        <f>0.3*C12</f>
        <v>330</v>
      </c>
      <c r="C12" s="173">
        <f t="shared" si="4"/>
        <v>1100</v>
      </c>
      <c r="D12" s="173">
        <f t="shared" ref="D12:D13" si="6">0.02*B$4</f>
        <v>22</v>
      </c>
      <c r="E12" s="173">
        <f>0.08*(-D12+C12+B12)</f>
        <v>112.64</v>
      </c>
      <c r="F12" s="173">
        <f t="shared" si="5"/>
        <v>1000.6</v>
      </c>
      <c r="G12" s="173">
        <f>(1-L12)*B13</f>
        <v>326.7</v>
      </c>
      <c r="H12" s="184">
        <f>-D12+C12+B12+E12-F12-G12</f>
        <v>193.34000000000009</v>
      </c>
      <c r="I12" s="184">
        <f t="shared" si="0"/>
        <v>190.06714048000006</v>
      </c>
      <c r="J12" s="196">
        <f t="shared" si="1"/>
        <v>0.71178024781341087</v>
      </c>
      <c r="K12" s="173">
        <f>SUMPRODUCT(I$9:I12,J$9:J12)</f>
        <v>90.764862882653119</v>
      </c>
      <c r="L12" s="201">
        <v>0.01</v>
      </c>
      <c r="M12" s="196">
        <f t="shared" ref="M12:M13" si="7">M11*(1-L11)</f>
        <v>0.98307199999999995</v>
      </c>
      <c r="N12" s="196">
        <f t="shared" si="2"/>
        <v>0.29629629629629628</v>
      </c>
      <c r="O12" s="196">
        <f t="shared" si="3"/>
        <v>0.34986763450307989</v>
      </c>
    </row>
    <row r="13" spans="1:15">
      <c r="A13" s="96">
        <v>4</v>
      </c>
      <c r="B13" s="173">
        <f>0.3*C13</f>
        <v>330</v>
      </c>
      <c r="C13" s="173">
        <f t="shared" si="4"/>
        <v>1100</v>
      </c>
      <c r="D13" s="173">
        <f t="shared" si="6"/>
        <v>22</v>
      </c>
      <c r="E13" s="173">
        <f>0.08*(-D13+C13+B13)</f>
        <v>112.64</v>
      </c>
      <c r="F13" s="173">
        <f t="shared" si="5"/>
        <v>1200.72</v>
      </c>
      <c r="G13" s="173">
        <v>0</v>
      </c>
      <c r="H13" s="184">
        <f>-D13+C13+B13+E13-F13-G13</f>
        <v>319.92000000000007</v>
      </c>
      <c r="I13" s="184">
        <f t="shared" si="0"/>
        <v>311.35935029760009</v>
      </c>
      <c r="J13" s="196">
        <f t="shared" si="1"/>
        <v>0.63551807840483121</v>
      </c>
      <c r="K13" s="173">
        <f>SUMPRODUCT(I$9:I13,J$9:J13)</f>
        <v>288.63935887716065</v>
      </c>
      <c r="L13" s="201">
        <v>1.2E-2</v>
      </c>
      <c r="M13" s="196">
        <f t="shared" si="7"/>
        <v>0.97324127999999999</v>
      </c>
      <c r="N13" s="196">
        <f t="shared" si="2"/>
        <v>0.19753086419753085</v>
      </c>
      <c r="O13" s="196">
        <f t="shared" si="3"/>
        <v>0.24653108756934203</v>
      </c>
    </row>
  </sheetData>
  <pageMargins left="0.75" right="0.75" top="1" bottom="1" header="0.5" footer="0.5"/>
  <ignoredErrors>
    <ignoredError sqref="E10 H9:H10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zoomScale="125" zoomScaleNormal="125" zoomScalePageLayoutView="125" workbookViewId="0">
      <selection activeCell="K5" sqref="K5"/>
    </sheetView>
  </sheetViews>
  <sheetFormatPr baseColWidth="10" defaultRowHeight="12" x14ac:dyDescent="0"/>
  <cols>
    <col min="1" max="16384" width="10.83203125" style="167"/>
  </cols>
  <sheetData>
    <row r="1" spans="1:19" ht="15">
      <c r="A1" s="209" t="s">
        <v>729</v>
      </c>
    </row>
    <row r="2" spans="1:19" customFormat="1"/>
    <row r="3" spans="1:19">
      <c r="A3" s="175" t="s">
        <v>9</v>
      </c>
      <c r="B3" s="179">
        <v>2.2000000000000001E-4</v>
      </c>
      <c r="C3" s="210"/>
      <c r="D3" s="175" t="s">
        <v>421</v>
      </c>
      <c r="E3" s="211">
        <v>0.12</v>
      </c>
    </row>
    <row r="4" spans="1:19">
      <c r="A4" s="175" t="s">
        <v>10</v>
      </c>
      <c r="B4" s="171">
        <v>2.7E-6</v>
      </c>
      <c r="C4" s="210"/>
      <c r="D4" s="175" t="s">
        <v>437</v>
      </c>
      <c r="E4" s="211">
        <v>0.15</v>
      </c>
    </row>
    <row r="5" spans="1:19">
      <c r="A5" s="175" t="s">
        <v>24</v>
      </c>
      <c r="B5" s="181">
        <v>1.1240000000000001</v>
      </c>
      <c r="C5" s="169"/>
      <c r="D5" s="169"/>
      <c r="I5" s="192" t="s">
        <v>101</v>
      </c>
      <c r="J5" s="192"/>
      <c r="K5" s="184">
        <v>4553.76</v>
      </c>
      <c r="L5" s="394" t="s">
        <v>422</v>
      </c>
      <c r="M5" s="394"/>
    </row>
    <row r="6" spans="1:19">
      <c r="A6" s="175" t="s">
        <v>82</v>
      </c>
      <c r="B6" s="177">
        <v>55</v>
      </c>
      <c r="C6" s="169"/>
      <c r="D6" s="169"/>
      <c r="H6" s="167" t="s">
        <v>391</v>
      </c>
      <c r="J6" s="173">
        <f>SUMPRODUCT(Q15:Q35,R15:R35)</f>
        <v>4282.0818586576615</v>
      </c>
    </row>
    <row r="7" spans="1:19">
      <c r="A7" s="175" t="s">
        <v>387</v>
      </c>
      <c r="B7" s="177">
        <v>100000</v>
      </c>
      <c r="C7" s="169"/>
      <c r="D7" s="169"/>
      <c r="H7" s="167" t="s">
        <v>423</v>
      </c>
      <c r="J7" s="173">
        <f>SUMPRODUCT(J16:J35,P16:P35,R15:R34)</f>
        <v>28547.03230070433</v>
      </c>
    </row>
    <row r="8" spans="1:19">
      <c r="A8" s="175" t="s">
        <v>74</v>
      </c>
      <c r="B8" s="178">
        <v>0.06</v>
      </c>
      <c r="C8" s="169" t="s">
        <v>438</v>
      </c>
      <c r="D8" s="169"/>
      <c r="H8" s="167" t="s">
        <v>420</v>
      </c>
      <c r="J8" s="212">
        <f>J6/J7</f>
        <v>0.15000094628232202</v>
      </c>
    </row>
    <row r="9" spans="1:19">
      <c r="A9" s="97" t="s">
        <v>216</v>
      </c>
      <c r="B9" s="195">
        <f>(1/(1+B$8))</f>
        <v>0.94339622641509424</v>
      </c>
      <c r="C9" s="169" t="s">
        <v>438</v>
      </c>
      <c r="K9" s="205"/>
    </row>
    <row r="10" spans="1:19">
      <c r="B10" s="195"/>
      <c r="C10" s="169"/>
      <c r="K10" s="205"/>
    </row>
    <row r="11" spans="1:19">
      <c r="A11" s="206" t="s">
        <v>424</v>
      </c>
    </row>
    <row r="12" spans="1:19">
      <c r="C12" s="97" t="s">
        <v>439</v>
      </c>
      <c r="D12" s="173">
        <f>B7*D15/E15</f>
        <v>4306.2348689440305</v>
      </c>
      <c r="H12" s="206" t="s">
        <v>426</v>
      </c>
    </row>
    <row r="13" spans="1:19">
      <c r="C13" s="395"/>
      <c r="D13" s="395"/>
      <c r="E13" s="96" t="s">
        <v>427</v>
      </c>
    </row>
    <row r="14" spans="1:19">
      <c r="A14" s="96" t="s">
        <v>0</v>
      </c>
      <c r="B14" s="96" t="s">
        <v>428</v>
      </c>
      <c r="C14" s="207" t="s">
        <v>429</v>
      </c>
      <c r="D14" s="96" t="s">
        <v>430</v>
      </c>
      <c r="E14" s="207" t="s">
        <v>431</v>
      </c>
      <c r="F14" s="96" t="s">
        <v>432</v>
      </c>
      <c r="G14" s="96"/>
      <c r="H14" s="187" t="s">
        <v>0</v>
      </c>
      <c r="I14" s="187" t="s">
        <v>404</v>
      </c>
      <c r="J14" s="187" t="s">
        <v>405</v>
      </c>
      <c r="K14" s="187" t="s">
        <v>406</v>
      </c>
      <c r="L14" s="187" t="s">
        <v>433</v>
      </c>
      <c r="M14" s="187" t="s">
        <v>434</v>
      </c>
      <c r="N14" s="187" t="s">
        <v>409</v>
      </c>
      <c r="O14" s="187" t="s">
        <v>410</v>
      </c>
      <c r="P14" s="187" t="s">
        <v>435</v>
      </c>
      <c r="Q14" s="208" t="s">
        <v>440</v>
      </c>
      <c r="R14" s="187" t="s">
        <v>436</v>
      </c>
      <c r="S14" s="96"/>
    </row>
    <row r="15" spans="1:19">
      <c r="A15" s="96">
        <v>0</v>
      </c>
      <c r="B15" s="196">
        <f>EXP(-B$3-B$4/LN(B$5)*B$5^(B$6+A15)*(B$5-1))</f>
        <v>0.99800722152882837</v>
      </c>
      <c r="C15" s="196">
        <f>1+B15*B$9*C16</f>
        <v>11.794889833463582</v>
      </c>
      <c r="D15" s="196">
        <f>1-(1-B$9)*C15</f>
        <v>0.33236472640772063</v>
      </c>
      <c r="E15" s="196">
        <f>1+B15*B$9*E16</f>
        <v>7.7182210567446985</v>
      </c>
      <c r="F15" s="173">
        <f>B$7*D15-$D$12*E15</f>
        <v>0</v>
      </c>
      <c r="H15" s="96">
        <v>0</v>
      </c>
      <c r="I15" s="173"/>
      <c r="J15" s="173"/>
      <c r="K15" s="173">
        <v>300</v>
      </c>
      <c r="L15" s="173"/>
      <c r="M15" s="173"/>
      <c r="N15" s="173"/>
      <c r="O15" s="173">
        <f t="shared" ref="O15:O35" si="0">J15+I15-K15+L15-M15-N15</f>
        <v>-300</v>
      </c>
      <c r="P15" s="196">
        <v>1</v>
      </c>
      <c r="Q15" s="173">
        <f>O15*P15</f>
        <v>-300</v>
      </c>
      <c r="R15" s="196">
        <f>(1+E$3)^(-H15)</f>
        <v>1</v>
      </c>
    </row>
    <row r="16" spans="1:19">
      <c r="A16" s="96">
        <v>1</v>
      </c>
      <c r="B16" s="196">
        <f t="shared" ref="B16:B35" si="1">EXP(-B$3-B$4/LN(B$5)*B$5^(B$6+A16)*(B$5-1))</f>
        <v>0.99778761317702136</v>
      </c>
      <c r="C16" s="196">
        <f t="shared" ref="C16:C33" si="2">1+B16*B$9*C17</f>
        <v>11.465431288105032</v>
      </c>
      <c r="D16" s="196">
        <f t="shared" ref="D16:D34" si="3">1-(1-B$9)*C16</f>
        <v>0.35101332331480839</v>
      </c>
      <c r="E16" s="196">
        <f t="shared" ref="E16:E23" si="4">1+B16*B$9*E17</f>
        <v>7.1355338584027228</v>
      </c>
      <c r="F16" s="173">
        <f t="shared" ref="F16:F24" si="5">B$7*D16-$D$12*E16</f>
        <v>4374.047621896294</v>
      </c>
      <c r="H16" s="96">
        <v>1</v>
      </c>
      <c r="I16" s="173">
        <f t="shared" ref="I16:I35" si="6">F15</f>
        <v>0</v>
      </c>
      <c r="J16" s="173">
        <f>K$5</f>
        <v>4553.76</v>
      </c>
      <c r="K16" s="173">
        <v>0</v>
      </c>
      <c r="L16" s="173">
        <f t="shared" ref="L16:L35" si="7">0.075*(J16+I16-K16)</f>
        <v>341.53199999999998</v>
      </c>
      <c r="M16" s="173">
        <f>(1-B15)*B$7</f>
        <v>199.27784711716302</v>
      </c>
      <c r="N16" s="173">
        <f>B15*F16</f>
        <v>4365.3311139634998</v>
      </c>
      <c r="O16" s="173">
        <f t="shared" si="0"/>
        <v>330.68303891933738</v>
      </c>
      <c r="P16" s="196">
        <v>1</v>
      </c>
      <c r="Q16" s="173">
        <f t="shared" ref="Q16:Q35" si="8">O16*P16</f>
        <v>330.68303891933738</v>
      </c>
      <c r="R16" s="196">
        <f t="shared" ref="R16:R35" si="9">(1+E$3)^(-H16)</f>
        <v>0.89285714285714279</v>
      </c>
    </row>
    <row r="17" spans="1:18">
      <c r="A17" s="96">
        <v>2</v>
      </c>
      <c r="B17" s="196">
        <f t="shared" si="1"/>
        <v>0.99754083107299685</v>
      </c>
      <c r="C17" s="196">
        <f t="shared" si="2"/>
        <v>11.117954381162697</v>
      </c>
      <c r="D17" s="196">
        <f t="shared" si="3"/>
        <v>0.3706818274813557</v>
      </c>
      <c r="E17" s="196">
        <f t="shared" si="4"/>
        <v>6.5180864184100127</v>
      </c>
      <c r="F17" s="173">
        <f t="shared" si="5"/>
        <v>8999.7717343878649</v>
      </c>
      <c r="H17" s="96">
        <v>2</v>
      </c>
      <c r="I17" s="173">
        <f t="shared" si="6"/>
        <v>4374.047621896294</v>
      </c>
      <c r="J17" s="173">
        <f t="shared" ref="J17:J25" si="10">K$5</f>
        <v>4553.76</v>
      </c>
      <c r="K17" s="173">
        <f t="shared" ref="K17:K35" si="11">0.025*J17</f>
        <v>113.84400000000001</v>
      </c>
      <c r="L17" s="173">
        <f t="shared" si="7"/>
        <v>661.04727164222209</v>
      </c>
      <c r="M17" s="173">
        <f t="shared" ref="M17:M34" si="12">(1-B16)*B$7</f>
        <v>221.23868229786405</v>
      </c>
      <c r="N17" s="173">
        <f t="shared" ref="N17:N34" si="13">B16*F17</f>
        <v>8979.8607579928903</v>
      </c>
      <c r="O17" s="173">
        <f t="shared" si="0"/>
        <v>273.91145324776335</v>
      </c>
      <c r="P17" s="196">
        <f>P16*B15</f>
        <v>0.99800722152882837</v>
      </c>
      <c r="Q17" s="173">
        <f t="shared" si="8"/>
        <v>273.36560840072389</v>
      </c>
      <c r="R17" s="196">
        <f t="shared" si="9"/>
        <v>0.79719387755102034</v>
      </c>
    </row>
    <row r="18" spans="1:18">
      <c r="A18" s="96">
        <v>3</v>
      </c>
      <c r="B18" s="196">
        <f t="shared" si="1"/>
        <v>0.99726352084579795</v>
      </c>
      <c r="C18" s="196">
        <f t="shared" si="2"/>
        <v>10.751471328242438</v>
      </c>
      <c r="D18" s="196">
        <f t="shared" si="3"/>
        <v>0.39142615123155899</v>
      </c>
      <c r="E18" s="196">
        <f t="shared" si="4"/>
        <v>5.863591164707513</v>
      </c>
      <c r="F18" s="173">
        <f t="shared" si="5"/>
        <v>13892.614392460266</v>
      </c>
      <c r="H18" s="96">
        <v>3</v>
      </c>
      <c r="I18" s="173">
        <f t="shared" si="6"/>
        <v>8999.7717343878649</v>
      </c>
      <c r="J18" s="173">
        <f t="shared" si="10"/>
        <v>4553.76</v>
      </c>
      <c r="K18" s="173">
        <f t="shared" si="11"/>
        <v>113.84400000000001</v>
      </c>
      <c r="L18" s="173">
        <f t="shared" si="7"/>
        <v>1007.9765800790899</v>
      </c>
      <c r="M18" s="173">
        <f t="shared" si="12"/>
        <v>245.91689270031526</v>
      </c>
      <c r="N18" s="173">
        <f t="shared" si="13"/>
        <v>13858.450106831491</v>
      </c>
      <c r="O18" s="173">
        <f t="shared" si="0"/>
        <v>343.29731493514919</v>
      </c>
      <c r="P18" s="196">
        <f t="shared" ref="P18:P35" si="14">P17*B16</f>
        <v>0.99579924350268045</v>
      </c>
      <c r="Q18" s="173">
        <f t="shared" si="8"/>
        <v>341.855206508923</v>
      </c>
      <c r="R18" s="196">
        <f t="shared" si="9"/>
        <v>0.71178024781341087</v>
      </c>
    </row>
    <row r="19" spans="1:18">
      <c r="A19" s="96">
        <v>4</v>
      </c>
      <c r="B19" s="196">
        <f t="shared" si="1"/>
        <v>0.99695191617142243</v>
      </c>
      <c r="C19" s="196">
        <f t="shared" si="2"/>
        <v>10.364923003671441</v>
      </c>
      <c r="D19" s="196">
        <f t="shared" si="3"/>
        <v>0.41330624507520042</v>
      </c>
      <c r="E19" s="196">
        <f t="shared" si="4"/>
        <v>5.1695530086346357</v>
      </c>
      <c r="F19" s="173">
        <f t="shared" si="5"/>
        <v>19069.315084883052</v>
      </c>
      <c r="H19" s="96">
        <v>4</v>
      </c>
      <c r="I19" s="173">
        <f t="shared" si="6"/>
        <v>13892.614392460266</v>
      </c>
      <c r="J19" s="173">
        <f t="shared" si="10"/>
        <v>4553.76</v>
      </c>
      <c r="K19" s="173">
        <f t="shared" si="11"/>
        <v>113.84400000000001</v>
      </c>
      <c r="L19" s="173">
        <f t="shared" si="7"/>
        <v>1374.93977943452</v>
      </c>
      <c r="M19" s="173">
        <f t="shared" si="12"/>
        <v>273.64791542020538</v>
      </c>
      <c r="N19" s="173">
        <f t="shared" si="13"/>
        <v>19017.13230166836</v>
      </c>
      <c r="O19" s="173">
        <f t="shared" si="0"/>
        <v>416.68995480622107</v>
      </c>
      <c r="P19" s="196">
        <f t="shared" si="14"/>
        <v>0.9933504049455254</v>
      </c>
      <c r="Q19" s="173">
        <f t="shared" si="8"/>
        <v>413.91913534349237</v>
      </c>
      <c r="R19" s="196">
        <f t="shared" si="9"/>
        <v>0.63551807840483121</v>
      </c>
    </row>
    <row r="20" spans="1:18">
      <c r="A20" s="96">
        <v>5</v>
      </c>
      <c r="B20" s="196">
        <f t="shared" si="1"/>
        <v>0.99660178873805105</v>
      </c>
      <c r="C20" s="196">
        <f t="shared" si="2"/>
        <v>9.9571686686891798</v>
      </c>
      <c r="D20" s="196">
        <f t="shared" si="3"/>
        <v>0.4363866791308002</v>
      </c>
      <c r="E20" s="196">
        <f t="shared" si="4"/>
        <v>4.4332390734808094</v>
      </c>
      <c r="F20" s="173">
        <f t="shared" si="5"/>
        <v>24548.09923249183</v>
      </c>
      <c r="H20" s="96">
        <v>5</v>
      </c>
      <c r="I20" s="173">
        <f t="shared" si="6"/>
        <v>19069.315084883052</v>
      </c>
      <c r="J20" s="173">
        <f t="shared" si="10"/>
        <v>4553.76</v>
      </c>
      <c r="K20" s="173">
        <f t="shared" si="11"/>
        <v>113.84400000000001</v>
      </c>
      <c r="L20" s="173">
        <f t="shared" si="7"/>
        <v>1763.1923313662287</v>
      </c>
      <c r="M20" s="173">
        <f t="shared" si="12"/>
        <v>304.80838285775746</v>
      </c>
      <c r="N20" s="173">
        <f t="shared" si="13"/>
        <v>24473.274568198955</v>
      </c>
      <c r="O20" s="173">
        <f t="shared" si="0"/>
        <v>494.34046519256663</v>
      </c>
      <c r="P20" s="196">
        <f t="shared" si="14"/>
        <v>0.99063212226957376</v>
      </c>
      <c r="Q20" s="173">
        <f t="shared" si="8"/>
        <v>489.70954415744063</v>
      </c>
      <c r="R20" s="196">
        <f t="shared" si="9"/>
        <v>0.56742685571859919</v>
      </c>
    </row>
    <row r="21" spans="1:18">
      <c r="A21" s="96">
        <v>6</v>
      </c>
      <c r="B21" s="196">
        <f t="shared" si="1"/>
        <v>0.99620839228149105</v>
      </c>
      <c r="C21" s="196">
        <f t="shared" si="2"/>
        <v>9.5269734573054361</v>
      </c>
      <c r="D21" s="196">
        <f t="shared" si="3"/>
        <v>0.46073735147327621</v>
      </c>
      <c r="E21" s="196">
        <f t="shared" si="4"/>
        <v>3.6516424704573769</v>
      </c>
      <c r="F21" s="173">
        <f t="shared" si="5"/>
        <v>30348.905012127143</v>
      </c>
      <c r="H21" s="96">
        <v>6</v>
      </c>
      <c r="I21" s="173">
        <f t="shared" si="6"/>
        <v>24548.09923249183</v>
      </c>
      <c r="J21" s="173">
        <f t="shared" si="10"/>
        <v>4553.76</v>
      </c>
      <c r="K21" s="173">
        <f t="shared" si="11"/>
        <v>113.84400000000001</v>
      </c>
      <c r="L21" s="173">
        <f t="shared" si="7"/>
        <v>2174.1011424368871</v>
      </c>
      <c r="M21" s="173">
        <f t="shared" si="12"/>
        <v>339.8211261948947</v>
      </c>
      <c r="N21" s="173">
        <f t="shared" si="13"/>
        <v>30245.773021327113</v>
      </c>
      <c r="O21" s="173">
        <f t="shared" si="0"/>
        <v>576.5222274067055</v>
      </c>
      <c r="P21" s="196">
        <f t="shared" si="14"/>
        <v>0.98761259251761435</v>
      </c>
      <c r="Q21" s="173">
        <f t="shared" si="8"/>
        <v>569.38061165316606</v>
      </c>
      <c r="R21" s="196">
        <f t="shared" si="9"/>
        <v>0.50663112117732068</v>
      </c>
    </row>
    <row r="22" spans="1:18">
      <c r="A22" s="96">
        <v>7</v>
      </c>
      <c r="B22" s="196">
        <f t="shared" si="1"/>
        <v>0.99576640002728212</v>
      </c>
      <c r="C22" s="196">
        <f t="shared" si="2"/>
        <v>9.0729930953942386</v>
      </c>
      <c r="D22" s="196">
        <f t="shared" si="3"/>
        <v>0.48643435309089122</v>
      </c>
      <c r="E22" s="196">
        <f t="shared" si="4"/>
        <v>2.8214388078459494</v>
      </c>
      <c r="F22" s="173">
        <f t="shared" si="5"/>
        <v>36493.657134151021</v>
      </c>
      <c r="H22" s="96">
        <v>7</v>
      </c>
      <c r="I22" s="173">
        <f t="shared" si="6"/>
        <v>30348.905012127143</v>
      </c>
      <c r="J22" s="173">
        <f t="shared" si="10"/>
        <v>4553.76</v>
      </c>
      <c r="K22" s="173">
        <f t="shared" si="11"/>
        <v>113.84400000000001</v>
      </c>
      <c r="L22" s="173">
        <f t="shared" si="7"/>
        <v>2609.1615759095362</v>
      </c>
      <c r="M22" s="173">
        <f t="shared" si="12"/>
        <v>379.16077185089489</v>
      </c>
      <c r="N22" s="173">
        <f t="shared" si="13"/>
        <v>36355.287502084553</v>
      </c>
      <c r="O22" s="173">
        <f t="shared" si="0"/>
        <v>663.53431410123449</v>
      </c>
      <c r="P22" s="196">
        <f t="shared" si="14"/>
        <v>0.98425647628327839</v>
      </c>
      <c r="Q22" s="173">
        <f t="shared" si="8"/>
        <v>653.08794589032311</v>
      </c>
      <c r="R22" s="196">
        <f t="shared" si="9"/>
        <v>0.45234921533689343</v>
      </c>
    </row>
    <row r="23" spans="1:18">
      <c r="A23" s="96">
        <v>8</v>
      </c>
      <c r="B23" s="196">
        <f t="shared" si="1"/>
        <v>0.99526983481229825</v>
      </c>
      <c r="C23" s="196">
        <f t="shared" si="2"/>
        <v>8.5937552029104793</v>
      </c>
      <c r="D23" s="196">
        <f t="shared" si="3"/>
        <v>0.51356102625034938</v>
      </c>
      <c r="E23" s="196">
        <f t="shared" si="4"/>
        <v>1.9389338064266963</v>
      </c>
      <c r="F23" s="173">
        <f t="shared" si="5"/>
        <v>43006.598259225924</v>
      </c>
      <c r="H23" s="96">
        <v>8</v>
      </c>
      <c r="I23" s="173">
        <f t="shared" si="6"/>
        <v>36493.657134151021</v>
      </c>
      <c r="J23" s="173">
        <f t="shared" si="10"/>
        <v>4553.76</v>
      </c>
      <c r="K23" s="173">
        <f t="shared" si="11"/>
        <v>113.84400000000001</v>
      </c>
      <c r="L23" s="173">
        <f t="shared" si="7"/>
        <v>3070.0179850613267</v>
      </c>
      <c r="M23" s="173">
        <f t="shared" si="12"/>
        <v>423.3599972717883</v>
      </c>
      <c r="N23" s="173">
        <f t="shared" si="13"/>
        <v>42824.525526008976</v>
      </c>
      <c r="O23" s="173">
        <f t="shared" si="0"/>
        <v>755.70559593159123</v>
      </c>
      <c r="P23" s="196">
        <f t="shared" si="14"/>
        <v>0.98052456183081027</v>
      </c>
      <c r="Q23" s="173">
        <f t="shared" si="8"/>
        <v>740.98789832391481</v>
      </c>
      <c r="R23" s="196">
        <f t="shared" si="9"/>
        <v>0.4038832279793691</v>
      </c>
    </row>
    <row r="24" spans="1:18">
      <c r="A24" s="96">
        <v>9</v>
      </c>
      <c r="B24" s="196">
        <f t="shared" si="1"/>
        <v>0.99471199109198305</v>
      </c>
      <c r="C24" s="196">
        <f t="shared" si="2"/>
        <v>8.0876363710984709</v>
      </c>
      <c r="D24" s="196">
        <f t="shared" si="3"/>
        <v>0.54220926201329323</v>
      </c>
      <c r="E24" s="196">
        <v>1</v>
      </c>
      <c r="F24" s="173">
        <f t="shared" si="5"/>
        <v>49914.691332385286</v>
      </c>
      <c r="H24" s="96">
        <v>9</v>
      </c>
      <c r="I24" s="173">
        <f t="shared" si="6"/>
        <v>43006.598259225924</v>
      </c>
      <c r="J24" s="173">
        <f t="shared" si="10"/>
        <v>4553.76</v>
      </c>
      <c r="K24" s="173">
        <f t="shared" si="11"/>
        <v>113.84400000000001</v>
      </c>
      <c r="L24" s="173">
        <f t="shared" si="7"/>
        <v>3558.4885694419445</v>
      </c>
      <c r="M24" s="173">
        <f t="shared" si="12"/>
        <v>473.01651877017514</v>
      </c>
      <c r="N24" s="173">
        <f t="shared" si="13"/>
        <v>49678.586597089961</v>
      </c>
      <c r="O24" s="173">
        <f t="shared" si="0"/>
        <v>853.3997128077317</v>
      </c>
      <c r="P24" s="196">
        <f t="shared" si="14"/>
        <v>0.97637341307259418</v>
      </c>
      <c r="Q24" s="173">
        <f t="shared" si="8"/>
        <v>833.23679030925666</v>
      </c>
      <c r="R24" s="196">
        <f t="shared" si="9"/>
        <v>0.36061002498157957</v>
      </c>
    </row>
    <row r="25" spans="1:18">
      <c r="A25" s="96">
        <v>10</v>
      </c>
      <c r="B25" s="196">
        <f t="shared" si="1"/>
        <v>0.99408534797044545</v>
      </c>
      <c r="C25" s="196">
        <f t="shared" si="2"/>
        <v>7.5528340068734998</v>
      </c>
      <c r="D25" s="196">
        <f t="shared" si="3"/>
        <v>0.5724810939505558</v>
      </c>
      <c r="E25" s="96"/>
      <c r="F25" s="173">
        <f>B$7*D25</f>
        <v>57248.109395055581</v>
      </c>
      <c r="H25" s="96">
        <v>10</v>
      </c>
      <c r="I25" s="173">
        <f t="shared" si="6"/>
        <v>49914.691332385286</v>
      </c>
      <c r="J25" s="173">
        <f t="shared" si="10"/>
        <v>4553.76</v>
      </c>
      <c r="K25" s="173">
        <f t="shared" si="11"/>
        <v>113.84400000000001</v>
      </c>
      <c r="L25" s="173">
        <f t="shared" si="7"/>
        <v>4076.5955499288966</v>
      </c>
      <c r="M25" s="173">
        <f t="shared" si="12"/>
        <v>528.800890801695</v>
      </c>
      <c r="N25" s="173">
        <f t="shared" si="13"/>
        <v>56945.380882607395</v>
      </c>
      <c r="O25" s="173">
        <f t="shared" si="0"/>
        <v>957.02110890510085</v>
      </c>
      <c r="P25" s="196">
        <f t="shared" si="14"/>
        <v>0.97175500554388061</v>
      </c>
      <c r="Q25" s="173">
        <f t="shared" si="8"/>
        <v>929.990052989687</v>
      </c>
      <c r="R25" s="196">
        <f t="shared" si="9"/>
        <v>0.32197323659069599</v>
      </c>
    </row>
    <row r="26" spans="1:18">
      <c r="A26" s="96">
        <v>11</v>
      </c>
      <c r="B26" s="196">
        <f t="shared" si="1"/>
        <v>0.99338147232075569</v>
      </c>
      <c r="C26" s="196">
        <f t="shared" si="2"/>
        <v>6.9873316828047827</v>
      </c>
      <c r="D26" s="196">
        <f t="shared" si="3"/>
        <v>0.60449065946387948</v>
      </c>
      <c r="E26" s="96"/>
      <c r="F26" s="173">
        <f t="shared" ref="F26:F34" si="15">B$7*D26</f>
        <v>60449.065946387949</v>
      </c>
      <c r="H26" s="96">
        <v>11</v>
      </c>
      <c r="I26" s="173">
        <f t="shared" si="6"/>
        <v>57248.109395055581</v>
      </c>
      <c r="J26" s="173">
        <v>0</v>
      </c>
      <c r="K26" s="173">
        <f t="shared" si="11"/>
        <v>0</v>
      </c>
      <c r="L26" s="173">
        <f t="shared" si="7"/>
        <v>4293.6082046291685</v>
      </c>
      <c r="M26" s="173">
        <f t="shared" si="12"/>
        <v>591.46520295545452</v>
      </c>
      <c r="N26" s="173">
        <f t="shared" si="13"/>
        <v>60091.530755803469</v>
      </c>
      <c r="O26" s="173">
        <f t="shared" si="0"/>
        <v>858.72164092582534</v>
      </c>
      <c r="P26" s="196">
        <f t="shared" si="14"/>
        <v>0.96661635641815447</v>
      </c>
      <c r="Q26" s="173">
        <f t="shared" si="8"/>
        <v>830.05438372914</v>
      </c>
      <c r="R26" s="196">
        <f t="shared" si="9"/>
        <v>0.28747610409883567</v>
      </c>
    </row>
    <row r="27" spans="1:18">
      <c r="A27" s="96">
        <v>12</v>
      </c>
      <c r="B27" s="196">
        <f t="shared" si="1"/>
        <v>0.99259091099373209</v>
      </c>
      <c r="C27" s="196">
        <f t="shared" si="2"/>
        <v>6.3888564067397953</v>
      </c>
      <c r="D27" s="196">
        <f t="shared" si="3"/>
        <v>0.63836661848642606</v>
      </c>
      <c r="E27" s="96"/>
      <c r="F27" s="173">
        <f t="shared" si="15"/>
        <v>63836.661848642609</v>
      </c>
      <c r="H27" s="96">
        <v>12</v>
      </c>
      <c r="I27" s="173">
        <f t="shared" si="6"/>
        <v>60449.065946387949</v>
      </c>
      <c r="J27" s="173">
        <v>0</v>
      </c>
      <c r="K27" s="173">
        <f t="shared" si="11"/>
        <v>0</v>
      </c>
      <c r="L27" s="173">
        <f t="shared" si="7"/>
        <v>4533.6799459790964</v>
      </c>
      <c r="M27" s="173">
        <f t="shared" si="12"/>
        <v>661.8527679244313</v>
      </c>
      <c r="N27" s="173">
        <f t="shared" si="13"/>
        <v>63414.157135246809</v>
      </c>
      <c r="O27" s="173">
        <f t="shared" si="0"/>
        <v>906.73598919581127</v>
      </c>
      <c r="P27" s="196">
        <f t="shared" si="14"/>
        <v>0.96089915702386519</v>
      </c>
      <c r="Q27" s="173">
        <f t="shared" si="8"/>
        <v>871.28184766145557</v>
      </c>
      <c r="R27" s="196">
        <f t="shared" si="9"/>
        <v>0.25667509294538904</v>
      </c>
    </row>
    <row r="28" spans="1:18">
      <c r="A28" s="96">
        <v>13</v>
      </c>
      <c r="B28" s="196">
        <f t="shared" si="1"/>
        <v>0.99170307104776678</v>
      </c>
      <c r="C28" s="196">
        <f t="shared" si="2"/>
        <v>5.7548258077695156</v>
      </c>
      <c r="D28" s="196">
        <f t="shared" si="3"/>
        <v>0.67425514295644196</v>
      </c>
      <c r="E28" s="96"/>
      <c r="F28" s="173">
        <f t="shared" si="15"/>
        <v>67425.5142956442</v>
      </c>
      <c r="H28" s="96">
        <v>13</v>
      </c>
      <c r="I28" s="173">
        <f t="shared" si="6"/>
        <v>63836.661848642609</v>
      </c>
      <c r="J28" s="173">
        <v>0</v>
      </c>
      <c r="K28" s="173">
        <f t="shared" si="11"/>
        <v>0</v>
      </c>
      <c r="L28" s="173">
        <f t="shared" si="7"/>
        <v>4787.7496386481953</v>
      </c>
      <c r="M28" s="173">
        <f t="shared" si="12"/>
        <v>740.90890062679102</v>
      </c>
      <c r="N28" s="173">
        <f t="shared" si="13"/>
        <v>66925.952658934388</v>
      </c>
      <c r="O28" s="173">
        <f t="shared" si="0"/>
        <v>957.54992772963305</v>
      </c>
      <c r="P28" s="196">
        <f t="shared" si="14"/>
        <v>0.95453941935614017</v>
      </c>
      <c r="Q28" s="173">
        <f t="shared" si="8"/>
        <v>914.01915201955796</v>
      </c>
      <c r="R28" s="196">
        <f t="shared" si="9"/>
        <v>0.22917419012981158</v>
      </c>
    </row>
    <row r="29" spans="1:18">
      <c r="A29" s="96">
        <v>14</v>
      </c>
      <c r="B29" s="196">
        <f t="shared" si="1"/>
        <v>0.99070608687319361</v>
      </c>
      <c r="C29" s="196">
        <f t="shared" si="2"/>
        <v>5.0822826946685167</v>
      </c>
      <c r="D29" s="196">
        <f t="shared" si="3"/>
        <v>0.71232362105649849</v>
      </c>
      <c r="E29" s="96"/>
      <c r="F29" s="173">
        <f t="shared" si="15"/>
        <v>71232.362105649852</v>
      </c>
      <c r="H29" s="96">
        <v>14</v>
      </c>
      <c r="I29" s="173">
        <f t="shared" si="6"/>
        <v>67425.5142956442</v>
      </c>
      <c r="J29" s="173">
        <v>0</v>
      </c>
      <c r="K29" s="173">
        <f t="shared" si="11"/>
        <v>0</v>
      </c>
      <c r="L29" s="173">
        <f t="shared" si="7"/>
        <v>5056.9135721733146</v>
      </c>
      <c r="M29" s="173">
        <f t="shared" si="12"/>
        <v>829.69289522332178</v>
      </c>
      <c r="N29" s="173">
        <f t="shared" si="13"/>
        <v>70641.352258159532</v>
      </c>
      <c r="O29" s="173">
        <f t="shared" si="0"/>
        <v>1011.3827144346578</v>
      </c>
      <c r="P29" s="196">
        <f t="shared" si="14"/>
        <v>0.94746715183813923</v>
      </c>
      <c r="Q29" s="173">
        <f t="shared" si="8"/>
        <v>958.25189986373141</v>
      </c>
      <c r="R29" s="196">
        <f t="shared" si="9"/>
        <v>0.20461981261590317</v>
      </c>
    </row>
    <row r="30" spans="1:18">
      <c r="A30" s="96">
        <v>15</v>
      </c>
      <c r="B30" s="196">
        <f t="shared" si="1"/>
        <v>0.98958667303685266</v>
      </c>
      <c r="C30" s="196">
        <f t="shared" si="2"/>
        <v>4.3678137377816419</v>
      </c>
      <c r="D30" s="196">
        <f t="shared" si="3"/>
        <v>0.75276526012556699</v>
      </c>
      <c r="E30" s="96"/>
      <c r="F30" s="173">
        <f t="shared" si="15"/>
        <v>75276.5260125567</v>
      </c>
      <c r="H30" s="96">
        <v>15</v>
      </c>
      <c r="I30" s="173">
        <f t="shared" si="6"/>
        <v>71232.362105649852</v>
      </c>
      <c r="J30" s="173">
        <v>0</v>
      </c>
      <c r="K30" s="173">
        <f t="shared" si="11"/>
        <v>0</v>
      </c>
      <c r="L30" s="173">
        <f t="shared" si="7"/>
        <v>5342.4271579237384</v>
      </c>
      <c r="M30" s="173">
        <f t="shared" si="12"/>
        <v>929.39131268063852</v>
      </c>
      <c r="N30" s="173">
        <f t="shared" si="13"/>
        <v>74576.912519308215</v>
      </c>
      <c r="O30" s="173">
        <f t="shared" si="0"/>
        <v>1068.4854315847333</v>
      </c>
      <c r="P30" s="196">
        <f t="shared" si="14"/>
        <v>0.93960608419476344</v>
      </c>
      <c r="Q30" s="173">
        <f t="shared" si="8"/>
        <v>1003.955412390483</v>
      </c>
      <c r="R30" s="196">
        <f t="shared" si="9"/>
        <v>0.18269626126419927</v>
      </c>
    </row>
    <row r="31" spans="1:18">
      <c r="A31" s="96">
        <v>16</v>
      </c>
      <c r="B31" s="196">
        <f t="shared" si="1"/>
        <v>0.98832996164179732</v>
      </c>
      <c r="C31" s="196">
        <f t="shared" si="2"/>
        <v>3.6074480986018655</v>
      </c>
      <c r="D31" s="196">
        <f t="shared" si="3"/>
        <v>0.79580482460744117</v>
      </c>
      <c r="E31" s="96"/>
      <c r="F31" s="173">
        <f t="shared" si="15"/>
        <v>79580.482460744111</v>
      </c>
      <c r="H31" s="96">
        <v>16</v>
      </c>
      <c r="I31" s="173">
        <f t="shared" si="6"/>
        <v>75276.5260125567</v>
      </c>
      <c r="J31" s="173">
        <v>0</v>
      </c>
      <c r="K31" s="173">
        <f t="shared" si="11"/>
        <v>0</v>
      </c>
      <c r="L31" s="173">
        <f t="shared" si="7"/>
        <v>5645.7394509417527</v>
      </c>
      <c r="M31" s="173">
        <f t="shared" si="12"/>
        <v>1041.332696314734</v>
      </c>
      <c r="N31" s="173">
        <f t="shared" si="13"/>
        <v>78751.784876995371</v>
      </c>
      <c r="O31" s="173">
        <f t="shared" si="0"/>
        <v>1129.1478901883384</v>
      </c>
      <c r="P31" s="196">
        <f t="shared" si="14"/>
        <v>0.93087346687483863</v>
      </c>
      <c r="Q31" s="173">
        <f t="shared" si="8"/>
        <v>1051.0938111540281</v>
      </c>
      <c r="R31" s="196">
        <f t="shared" si="9"/>
        <v>0.16312166184303503</v>
      </c>
    </row>
    <row r="32" spans="1:18">
      <c r="A32" s="96">
        <v>17</v>
      </c>
      <c r="B32" s="196">
        <f t="shared" si="1"/>
        <v>0.98691932299126284</v>
      </c>
      <c r="C32" s="196">
        <f t="shared" si="2"/>
        <v>2.7965306039357962</v>
      </c>
      <c r="D32" s="196">
        <f t="shared" si="3"/>
        <v>0.84170581487155838</v>
      </c>
      <c r="E32" s="96"/>
      <c r="F32" s="173">
        <f t="shared" si="15"/>
        <v>84170.58148715584</v>
      </c>
      <c r="H32" s="96">
        <v>17</v>
      </c>
      <c r="I32" s="173">
        <f t="shared" si="6"/>
        <v>79580.482460744111</v>
      </c>
      <c r="J32" s="173">
        <v>0</v>
      </c>
      <c r="K32" s="173">
        <f t="shared" si="11"/>
        <v>0</v>
      </c>
      <c r="L32" s="173">
        <f t="shared" si="7"/>
        <v>5968.5361845558082</v>
      </c>
      <c r="M32" s="173">
        <f t="shared" si="12"/>
        <v>1167.0038358202683</v>
      </c>
      <c r="N32" s="173">
        <f t="shared" si="13"/>
        <v>83188.307572568505</v>
      </c>
      <c r="O32" s="173">
        <f t="shared" si="0"/>
        <v>1193.7072369111411</v>
      </c>
      <c r="P32" s="196">
        <f t="shared" si="14"/>
        <v>0.92117997710295241</v>
      </c>
      <c r="Q32" s="173">
        <f t="shared" si="8"/>
        <v>1099.6192051654334</v>
      </c>
      <c r="R32" s="196">
        <f t="shared" si="9"/>
        <v>0.14564434093128129</v>
      </c>
    </row>
    <row r="33" spans="1:18">
      <c r="A33" s="96">
        <v>18</v>
      </c>
      <c r="B33" s="196">
        <f t="shared" si="1"/>
        <v>0.98533616837506299</v>
      </c>
      <c r="C33" s="196">
        <f t="shared" si="2"/>
        <v>1.9295624229953423</v>
      </c>
      <c r="D33" s="196">
        <f t="shared" si="3"/>
        <v>0.89077948549082953</v>
      </c>
      <c r="E33" s="96"/>
      <c r="F33" s="173">
        <f t="shared" si="15"/>
        <v>89077.948549082954</v>
      </c>
      <c r="H33" s="96">
        <v>18</v>
      </c>
      <c r="I33" s="173">
        <f t="shared" si="6"/>
        <v>84170.58148715584</v>
      </c>
      <c r="J33" s="173">
        <v>0</v>
      </c>
      <c r="K33" s="173">
        <f t="shared" si="11"/>
        <v>0</v>
      </c>
      <c r="L33" s="173">
        <f t="shared" si="7"/>
        <v>6312.7936115366874</v>
      </c>
      <c r="M33" s="173">
        <f t="shared" si="12"/>
        <v>1308.0677008737164</v>
      </c>
      <c r="N33" s="173">
        <f t="shared" si="13"/>
        <v>87912.748675511495</v>
      </c>
      <c r="O33" s="173">
        <f t="shared" si="0"/>
        <v>1262.5587223073235</v>
      </c>
      <c r="P33" s="196">
        <f t="shared" si="14"/>
        <v>0.91042977143535264</v>
      </c>
      <c r="Q33" s="173">
        <f t="shared" si="8"/>
        <v>1149.4710489739673</v>
      </c>
      <c r="R33" s="196">
        <f t="shared" si="9"/>
        <v>0.13003959011721541</v>
      </c>
    </row>
    <row r="34" spans="1:18">
      <c r="A34" s="96">
        <v>19</v>
      </c>
      <c r="B34" s="196">
        <f t="shared" si="1"/>
        <v>0.98355973387328199</v>
      </c>
      <c r="C34" s="196">
        <v>1</v>
      </c>
      <c r="D34" s="196">
        <f t="shared" si="3"/>
        <v>0.94339622641509424</v>
      </c>
      <c r="E34" s="96"/>
      <c r="F34" s="173">
        <f t="shared" si="15"/>
        <v>94339.622641509428</v>
      </c>
      <c r="H34" s="96">
        <v>19</v>
      </c>
      <c r="I34" s="173">
        <f t="shared" si="6"/>
        <v>89077.948549082954</v>
      </c>
      <c r="J34" s="173">
        <v>0</v>
      </c>
      <c r="K34" s="173">
        <f t="shared" si="11"/>
        <v>0</v>
      </c>
      <c r="L34" s="173">
        <f t="shared" si="7"/>
        <v>6680.8461411812214</v>
      </c>
      <c r="M34" s="173">
        <f t="shared" si="12"/>
        <v>1466.3831624937006</v>
      </c>
      <c r="N34" s="173">
        <f t="shared" si="13"/>
        <v>92956.242299534235</v>
      </c>
      <c r="O34" s="173">
        <f t="shared" si="0"/>
        <v>1336.1692282362346</v>
      </c>
      <c r="P34" s="196">
        <f t="shared" si="14"/>
        <v>0.89852073365606844</v>
      </c>
      <c r="Q34" s="173">
        <f t="shared" si="8"/>
        <v>1200.5757552434843</v>
      </c>
      <c r="R34" s="196">
        <f t="shared" si="9"/>
        <v>0.1161067768903709</v>
      </c>
    </row>
    <row r="35" spans="1:18">
      <c r="A35" s="96">
        <v>20</v>
      </c>
      <c r="B35" s="196">
        <f t="shared" si="1"/>
        <v>0.98156684421272111</v>
      </c>
      <c r="C35" s="96"/>
      <c r="D35" s="196">
        <v>1</v>
      </c>
      <c r="E35" s="96"/>
      <c r="F35" s="173"/>
      <c r="H35" s="96">
        <v>20</v>
      </c>
      <c r="I35" s="173">
        <f t="shared" si="6"/>
        <v>94339.622641509428</v>
      </c>
      <c r="J35" s="173">
        <v>0</v>
      </c>
      <c r="K35" s="173">
        <f t="shared" si="11"/>
        <v>0</v>
      </c>
      <c r="L35" s="173">
        <f t="shared" si="7"/>
        <v>7075.4716981132069</v>
      </c>
      <c r="M35" s="173">
        <f>B7</f>
        <v>100000</v>
      </c>
      <c r="N35" s="173">
        <v>0</v>
      </c>
      <c r="O35" s="173">
        <f t="shared" si="0"/>
        <v>1415.0943396226357</v>
      </c>
      <c r="P35" s="196">
        <f t="shared" si="14"/>
        <v>0.88534497690622094</v>
      </c>
      <c r="Q35" s="173">
        <f t="shared" si="8"/>
        <v>1252.8466654333265</v>
      </c>
      <c r="R35" s="196">
        <f t="shared" si="9"/>
        <v>0.1036667650806883</v>
      </c>
    </row>
  </sheetData>
  <mergeCells count="2">
    <mergeCell ref="L5:M5"/>
    <mergeCell ref="C13:D13"/>
  </mergeCells>
  <pageMargins left="0.75" right="0.75" top="1" bottom="1" header="0.5" footer="0.5"/>
  <pageSetup paperSize="9" orientation="portrait" horizontalDpi="4294967292" verticalDpi="4294967292"/>
  <ignoredErrors>
    <ignoredError sqref="O15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6"/>
  <sheetViews>
    <sheetView zoomScale="125" zoomScaleNormal="125" zoomScalePageLayoutView="125" workbookViewId="0">
      <selection activeCell="D13" sqref="D13"/>
    </sheetView>
  </sheetViews>
  <sheetFormatPr baseColWidth="10" defaultRowHeight="12" x14ac:dyDescent="0"/>
  <cols>
    <col min="17" max="17" width="10.83203125" style="8"/>
  </cols>
  <sheetData>
    <row r="1" spans="1:20" ht="15">
      <c r="A1" s="209" t="s">
        <v>728</v>
      </c>
      <c r="B1" s="167"/>
      <c r="C1" s="96"/>
      <c r="D1" s="96"/>
      <c r="E1" s="167"/>
      <c r="F1" s="167"/>
      <c r="G1" s="167"/>
      <c r="H1" s="167"/>
      <c r="I1" s="167"/>
      <c r="J1" s="188"/>
      <c r="K1" s="188"/>
      <c r="L1" s="188"/>
      <c r="M1" s="188"/>
      <c r="N1" s="188"/>
      <c r="O1" s="188"/>
      <c r="P1" s="167"/>
      <c r="Q1" s="189"/>
      <c r="R1" s="188"/>
      <c r="S1" s="167"/>
    </row>
    <row r="2" spans="1:20">
      <c r="A2" s="206"/>
      <c r="B2" s="167"/>
      <c r="C2" s="96"/>
      <c r="D2" s="96"/>
      <c r="E2" s="167"/>
      <c r="F2" s="167"/>
      <c r="G2" s="167"/>
      <c r="H2" s="167"/>
      <c r="I2" s="167"/>
      <c r="J2" s="188"/>
      <c r="K2" s="188"/>
      <c r="L2" s="188"/>
      <c r="M2" s="188"/>
      <c r="N2" s="188"/>
      <c r="O2" s="188"/>
      <c r="P2" s="167"/>
      <c r="Q2" s="189"/>
      <c r="R2" s="188"/>
      <c r="S2" s="167"/>
    </row>
    <row r="3" spans="1:20">
      <c r="A3" s="175" t="s">
        <v>9</v>
      </c>
      <c r="B3" s="179">
        <v>2.2000000000000001E-4</v>
      </c>
      <c r="C3" s="96"/>
      <c r="D3" s="96"/>
      <c r="E3" s="167"/>
      <c r="F3" s="167"/>
      <c r="G3" s="167"/>
      <c r="H3" s="167"/>
      <c r="I3" s="167"/>
      <c r="J3" s="188"/>
      <c r="K3" s="188"/>
      <c r="L3" s="188"/>
      <c r="M3" s="188"/>
      <c r="N3" s="188"/>
      <c r="O3" s="188"/>
      <c r="P3" s="167"/>
      <c r="Q3" s="189"/>
      <c r="R3" s="188"/>
      <c r="S3" s="167"/>
    </row>
    <row r="4" spans="1:20">
      <c r="A4" s="175" t="s">
        <v>10</v>
      </c>
      <c r="B4" s="171">
        <v>2.7E-6</v>
      </c>
      <c r="C4" s="96"/>
      <c r="D4" s="96"/>
      <c r="E4" s="167"/>
      <c r="F4" s="167"/>
      <c r="G4" s="167"/>
      <c r="H4" s="167"/>
      <c r="I4" s="192" t="s">
        <v>101</v>
      </c>
      <c r="J4" s="192"/>
      <c r="K4" s="184">
        <v>4731.22</v>
      </c>
      <c r="L4" s="394" t="s">
        <v>422</v>
      </c>
      <c r="M4" s="394"/>
      <c r="N4" s="188"/>
      <c r="O4" s="188"/>
      <c r="P4" s="188"/>
      <c r="Q4" s="189"/>
      <c r="R4" s="167"/>
      <c r="S4" s="188"/>
      <c r="T4" s="167"/>
    </row>
    <row r="5" spans="1:20">
      <c r="A5" s="175" t="s">
        <v>24</v>
      </c>
      <c r="B5" s="180">
        <v>1.1240000000000001</v>
      </c>
      <c r="C5" s="96"/>
      <c r="D5" s="96"/>
      <c r="E5" s="167"/>
      <c r="F5" s="167"/>
      <c r="G5" s="167"/>
      <c r="H5" s="167"/>
      <c r="I5" s="167" t="s">
        <v>450</v>
      </c>
      <c r="J5" s="167"/>
      <c r="K5" s="227">
        <v>0.12</v>
      </c>
      <c r="L5" s="188"/>
      <c r="M5" s="188"/>
      <c r="N5" s="188"/>
      <c r="O5" s="188"/>
      <c r="P5" s="188"/>
      <c r="Q5" s="189"/>
      <c r="R5" s="167"/>
      <c r="S5" s="188"/>
      <c r="T5" s="167"/>
    </row>
    <row r="6" spans="1:20">
      <c r="A6" s="175" t="s">
        <v>82</v>
      </c>
      <c r="B6" s="219">
        <v>55</v>
      </c>
      <c r="C6" s="96"/>
      <c r="D6" s="96"/>
      <c r="E6" s="167"/>
      <c r="F6" s="167"/>
      <c r="G6" s="167"/>
      <c r="H6" s="167"/>
      <c r="I6" s="167" t="s">
        <v>391</v>
      </c>
      <c r="J6" s="167"/>
      <c r="K6" s="173">
        <f>SUMPRODUCT(R16:R256,S16:S256)</f>
        <v>4220.289977883217</v>
      </c>
      <c r="L6" s="188"/>
      <c r="M6" s="188"/>
      <c r="N6" s="188"/>
      <c r="O6" s="188"/>
      <c r="P6" s="188"/>
      <c r="Q6" s="189"/>
      <c r="R6" s="167"/>
      <c r="S6" s="188"/>
      <c r="T6" s="167"/>
    </row>
    <row r="7" spans="1:20">
      <c r="A7" s="175" t="s">
        <v>387</v>
      </c>
      <c r="B7" s="219">
        <v>100000</v>
      </c>
      <c r="C7" s="96"/>
      <c r="D7" s="96"/>
      <c r="E7" s="167"/>
      <c r="F7" s="167"/>
      <c r="G7" s="167"/>
      <c r="H7" s="167"/>
      <c r="I7" s="167" t="s">
        <v>420</v>
      </c>
      <c r="J7" s="167"/>
      <c r="K7" s="204">
        <f>K6/SUMPRODUCT(K17:K256,Q17:Q256,S16:S255)</f>
        <v>0.14999980289976883</v>
      </c>
      <c r="L7" s="188"/>
      <c r="M7" s="188"/>
      <c r="N7" s="188"/>
      <c r="O7" s="188"/>
      <c r="P7" s="188"/>
      <c r="Q7" s="189"/>
      <c r="R7" s="167"/>
      <c r="S7" s="188"/>
      <c r="T7" s="167"/>
    </row>
    <row r="8" spans="1:20">
      <c r="A8" s="175" t="s">
        <v>74</v>
      </c>
      <c r="B8" s="220">
        <v>0.06</v>
      </c>
      <c r="C8" s="96" t="s">
        <v>438</v>
      </c>
      <c r="D8" s="96"/>
      <c r="E8" s="167"/>
      <c r="F8" s="167"/>
      <c r="G8" s="167"/>
      <c r="H8" s="167"/>
      <c r="I8" s="167"/>
      <c r="J8" s="188"/>
      <c r="K8" s="188"/>
      <c r="L8" s="188"/>
      <c r="M8" s="188"/>
      <c r="N8" s="188"/>
      <c r="O8" s="188"/>
      <c r="P8" s="167"/>
      <c r="Q8" s="189"/>
      <c r="R8" s="188"/>
      <c r="S8" s="167"/>
    </row>
    <row r="9" spans="1:20">
      <c r="A9" s="224" t="s">
        <v>216</v>
      </c>
      <c r="B9" s="229">
        <f>(1/(1+B8))</f>
        <v>0.94339622641509424</v>
      </c>
      <c r="C9" s="96" t="s">
        <v>438</v>
      </c>
      <c r="D9" s="96"/>
      <c r="E9" s="167"/>
      <c r="F9" s="167"/>
      <c r="G9" s="167"/>
      <c r="H9" s="167"/>
      <c r="I9" s="167"/>
      <c r="J9" s="188"/>
      <c r="K9" s="188"/>
      <c r="L9" s="188"/>
      <c r="M9" s="188"/>
      <c r="N9" s="188"/>
      <c r="O9" s="188"/>
      <c r="P9" s="167"/>
      <c r="Q9" s="189"/>
      <c r="R9" s="188"/>
      <c r="S9" s="167"/>
    </row>
    <row r="10" spans="1:20" ht="14" customHeight="1">
      <c r="A10" s="176" t="s">
        <v>452</v>
      </c>
      <c r="B10" s="229">
        <f>12*(1-B9^(1/12))</f>
        <v>5.8127667423686358E-2</v>
      </c>
      <c r="C10" s="96" t="s">
        <v>438</v>
      </c>
      <c r="D10" s="96"/>
      <c r="E10" s="167"/>
      <c r="F10" s="167"/>
      <c r="G10" s="167"/>
      <c r="H10" s="167"/>
      <c r="I10" s="167"/>
      <c r="J10" s="188"/>
      <c r="K10" s="188"/>
      <c r="L10" s="188"/>
      <c r="M10" s="188"/>
      <c r="N10" s="188"/>
      <c r="O10" s="188"/>
      <c r="P10" s="167"/>
      <c r="Q10" s="189"/>
      <c r="R10" s="188"/>
      <c r="S10" s="167"/>
    </row>
    <row r="11" spans="1:20">
      <c r="A11" s="225" t="s">
        <v>451</v>
      </c>
      <c r="B11" s="229">
        <f>-LN(B9)</f>
        <v>5.8268908123975879E-2</v>
      </c>
      <c r="C11" s="96" t="s">
        <v>438</v>
      </c>
      <c r="E11" s="167"/>
      <c r="F11" s="167"/>
      <c r="G11" s="167"/>
      <c r="H11" s="167"/>
      <c r="I11" s="167"/>
      <c r="J11" s="188"/>
      <c r="K11" s="188"/>
      <c r="L11" s="188"/>
      <c r="M11" s="188"/>
      <c r="N11" s="188"/>
      <c r="O11" s="188"/>
      <c r="P11" s="167"/>
      <c r="Q11" s="189"/>
      <c r="R11" s="188"/>
      <c r="S11" s="167"/>
    </row>
    <row r="12" spans="1:20">
      <c r="A12" s="223"/>
      <c r="B12" s="169"/>
      <c r="C12" s="221"/>
      <c r="D12" s="222"/>
      <c r="E12" s="167"/>
      <c r="F12" s="167"/>
      <c r="G12" s="167"/>
      <c r="H12" s="167"/>
      <c r="I12" s="167"/>
      <c r="J12" s="188"/>
      <c r="K12" s="188"/>
      <c r="L12" s="188"/>
      <c r="M12" s="188"/>
      <c r="N12" s="188"/>
      <c r="O12" s="188"/>
      <c r="P12" s="167"/>
      <c r="Q12" s="189"/>
      <c r="R12" s="188"/>
      <c r="S12" s="167"/>
    </row>
    <row r="13" spans="1:20">
      <c r="A13" s="223"/>
      <c r="B13" s="169"/>
      <c r="C13" s="221" t="s">
        <v>425</v>
      </c>
      <c r="D13" s="222">
        <f>B$7*E16/F16</f>
        <v>4452.154962883501</v>
      </c>
      <c r="E13" s="167"/>
      <c r="F13" s="167"/>
      <c r="G13" s="167"/>
      <c r="H13" s="167"/>
      <c r="I13" s="167"/>
      <c r="J13" s="188"/>
      <c r="K13" s="188"/>
      <c r="L13" s="188"/>
      <c r="M13" s="188"/>
      <c r="N13" s="188"/>
      <c r="O13" s="188"/>
      <c r="P13" s="167"/>
      <c r="Q13" s="189"/>
      <c r="R13" s="188"/>
      <c r="S13" s="167"/>
    </row>
    <row r="14" spans="1:20">
      <c r="A14" s="216" t="s">
        <v>442</v>
      </c>
      <c r="B14" s="167"/>
      <c r="C14" s="213"/>
      <c r="D14" s="96"/>
      <c r="E14" s="167"/>
      <c r="F14" s="96"/>
      <c r="G14" s="167"/>
      <c r="H14" s="167"/>
      <c r="I14" s="217" t="s">
        <v>426</v>
      </c>
      <c r="J14" s="188"/>
      <c r="K14" s="188"/>
      <c r="L14" s="188"/>
      <c r="M14" s="188"/>
      <c r="N14" s="188"/>
      <c r="O14" s="188"/>
      <c r="P14" s="167"/>
      <c r="Q14" s="189"/>
      <c r="R14" s="188"/>
      <c r="S14" s="167"/>
    </row>
    <row r="15" spans="1:20" ht="14" customHeight="1">
      <c r="A15" s="96" t="s">
        <v>0</v>
      </c>
      <c r="B15" s="96" t="s">
        <v>443</v>
      </c>
      <c r="C15" s="207" t="s">
        <v>444</v>
      </c>
      <c r="D15" s="96" t="s">
        <v>445</v>
      </c>
      <c r="E15" s="96" t="s">
        <v>446</v>
      </c>
      <c r="F15" s="207" t="s">
        <v>447</v>
      </c>
      <c r="G15" s="96" t="s">
        <v>432</v>
      </c>
      <c r="H15" s="96"/>
      <c r="I15" s="187" t="s">
        <v>0</v>
      </c>
      <c r="J15" s="214" t="s">
        <v>448</v>
      </c>
      <c r="K15" s="214" t="s">
        <v>405</v>
      </c>
      <c r="L15" s="187" t="s">
        <v>406</v>
      </c>
      <c r="M15" s="214" t="s">
        <v>433</v>
      </c>
      <c r="N15" s="214" t="s">
        <v>434</v>
      </c>
      <c r="O15" s="214" t="s">
        <v>409</v>
      </c>
      <c r="P15" s="187" t="s">
        <v>410</v>
      </c>
      <c r="Q15" s="228" t="s">
        <v>449</v>
      </c>
      <c r="R15" s="218" t="s">
        <v>440</v>
      </c>
      <c r="S15" s="187" t="s">
        <v>436</v>
      </c>
    </row>
    <row r="16" spans="1:20">
      <c r="A16" s="197">
        <v>0</v>
      </c>
      <c r="B16" s="196">
        <f>EXP(-(B$3/12)-B$4/LN(B$5)*B$5^(B$6+A16)*(B$5^(1/12)-1))</f>
        <v>0.99984157648116367</v>
      </c>
      <c r="C16" s="196">
        <f>(1/12+B16*B$9^(1/12)*C17)</f>
        <v>11.457726638467298</v>
      </c>
      <c r="D16" s="196">
        <f>D17*B$9^(1/12)*B16</f>
        <v>0.27151633518964047</v>
      </c>
      <c r="E16" s="196">
        <f>((1-B$10*C16)-D16)*B$11/B$10+D16</f>
        <v>0.334140875045074</v>
      </c>
      <c r="F16" s="196">
        <f>(1/12+B$9^(1/12)*B16*F17)</f>
        <v>7.5051492553768373</v>
      </c>
      <c r="G16" s="173">
        <f>B$7*E16-D$13*F16</f>
        <v>0</v>
      </c>
      <c r="H16" s="167"/>
      <c r="I16" s="197">
        <v>0</v>
      </c>
      <c r="J16" s="173"/>
      <c r="K16" s="173"/>
      <c r="L16" s="173">
        <v>300</v>
      </c>
      <c r="M16" s="173"/>
      <c r="N16" s="173"/>
      <c r="O16" s="173"/>
      <c r="P16" s="173">
        <f t="shared" ref="P16:P79" si="0">K16+J16-L16+M16-N16-O16</f>
        <v>-300</v>
      </c>
      <c r="Q16" s="196">
        <v>1</v>
      </c>
      <c r="R16" s="173">
        <f>P16*Q16</f>
        <v>-300</v>
      </c>
      <c r="S16" s="196">
        <f>(1+K$5)^(-I16)</f>
        <v>1</v>
      </c>
    </row>
    <row r="17" spans="1:19">
      <c r="A17" s="197">
        <f>A16+1/12</f>
        <v>8.3333333333333329E-2</v>
      </c>
      <c r="B17" s="196">
        <f t="shared" ref="B17:B80" si="1">EXP(-(B$3/12)-B$4/LN(B$5)*B$5^(B$6+A17)*(B$5^(1/12)-1))</f>
        <v>0.99984020526936679</v>
      </c>
      <c r="C17" s="196">
        <f t="shared" ref="C17:C80" si="2">(1/12+B17*B$9^(1/12)*C18)</f>
        <v>11.431569769205463</v>
      </c>
      <c r="D17" s="196">
        <f t="shared" ref="D17:D80" si="3">D18*B$9^(1/12)*B17</f>
        <v>0.27288118547812035</v>
      </c>
      <c r="E17" s="196">
        <f t="shared" ref="E17:E80" si="4">((1-B$10*C17)-D17)*B$11/B$10+D17</f>
        <v>0.33566169089450454</v>
      </c>
      <c r="F17" s="196">
        <f t="shared" ref="F17:F80" si="5">(1/12+B$9^(1/12)*B17*F18)</f>
        <v>7.4591236869526414</v>
      </c>
      <c r="G17" s="173">
        <f t="shared" ref="G17:G80" si="6">B$7*E17-D$13*F17</f>
        <v>356.99454782237444</v>
      </c>
      <c r="H17" s="167"/>
      <c r="I17" s="197">
        <f>A17</f>
        <v>8.3333333333333329E-2</v>
      </c>
      <c r="J17" s="173">
        <f>G16</f>
        <v>0</v>
      </c>
      <c r="K17" s="173">
        <f>K$4/12</f>
        <v>394.26833333333337</v>
      </c>
      <c r="L17" s="173">
        <v>0</v>
      </c>
      <c r="M17" s="173">
        <f t="shared" ref="M17:M80" si="7">(1.075^(1/12)-1)*(K17+J17-L17)</f>
        <v>2.3833201488424551</v>
      </c>
      <c r="N17" s="173">
        <f>(1-B16)*B$7*(1.075)^(1/24)</f>
        <v>15.890162606652828</v>
      </c>
      <c r="O17" s="173">
        <f t="shared" ref="O17:O80" si="8">B16*G17</f>
        <v>356.93799148990303</v>
      </c>
      <c r="P17" s="173">
        <f t="shared" si="0"/>
        <v>23.823499385619982</v>
      </c>
      <c r="Q17" s="196">
        <v>1</v>
      </c>
      <c r="R17" s="173">
        <f t="shared" ref="R17:R80" si="9">P17*Q17</f>
        <v>23.823499385619982</v>
      </c>
      <c r="S17" s="196">
        <f t="shared" ref="S17:S80" si="10">(1+K$5)^(-I17)</f>
        <v>0.99060039794300325</v>
      </c>
    </row>
    <row r="18" spans="1:19">
      <c r="A18" s="197">
        <f t="shared" ref="A18:A81" si="11">A17+1/12</f>
        <v>0.16666666666666666</v>
      </c>
      <c r="B18" s="196">
        <f t="shared" si="1"/>
        <v>0.999838820637035</v>
      </c>
      <c r="C18" s="196">
        <f t="shared" si="2"/>
        <v>11.405297056922208</v>
      </c>
      <c r="D18" s="196">
        <f t="shared" si="3"/>
        <v>0.27425327267459815</v>
      </c>
      <c r="E18" s="196">
        <f t="shared" si="4"/>
        <v>0.33718923920580729</v>
      </c>
      <c r="F18" s="196">
        <f t="shared" si="5"/>
        <v>7.4128769247963344</v>
      </c>
      <c r="G18" s="173">
        <f t="shared" si="6"/>
        <v>715.64713060414942</v>
      </c>
      <c r="H18" s="167"/>
      <c r="I18" s="197">
        <f t="shared" ref="I18:I81" si="12">A18</f>
        <v>0.16666666666666666</v>
      </c>
      <c r="J18" s="173">
        <f t="shared" ref="J18:J81" si="13">G17</f>
        <v>356.99454782237444</v>
      </c>
      <c r="K18" s="173">
        <f t="shared" ref="K18:K81" si="14">K$4/12</f>
        <v>394.26833333333337</v>
      </c>
      <c r="L18" s="173">
        <f t="shared" ref="L18:L81" si="15">0.025*K18</f>
        <v>9.8567083333333354</v>
      </c>
      <c r="M18" s="173">
        <f t="shared" si="7"/>
        <v>4.4817402788212846</v>
      </c>
      <c r="N18" s="173">
        <f t="shared" ref="N18:N81" si="16">(1-B17)*B$7*(1.075)^(1/24)</f>
        <v>16.027697605122238</v>
      </c>
      <c r="O18" s="173">
        <f t="shared" si="8"/>
        <v>715.53277396368605</v>
      </c>
      <c r="P18" s="173">
        <f t="shared" si="0"/>
        <v>14.327441532387411</v>
      </c>
      <c r="Q18" s="196">
        <f t="shared" ref="Q18:Q81" si="17">Q17*B16</f>
        <v>0.99984157648116367</v>
      </c>
      <c r="R18" s="173">
        <f t="shared" si="9"/>
        <v>14.325171728683928</v>
      </c>
      <c r="S18" s="196">
        <f t="shared" si="10"/>
        <v>0.98128914840483661</v>
      </c>
    </row>
    <row r="19" spans="1:19">
      <c r="A19" s="197">
        <f t="shared" si="11"/>
        <v>0.25</v>
      </c>
      <c r="B19" s="196">
        <f t="shared" si="1"/>
        <v>0.99983742245283569</v>
      </c>
      <c r="C19" s="196">
        <f t="shared" si="2"/>
        <v>11.378907999655045</v>
      </c>
      <c r="D19" s="196">
        <f t="shared" si="3"/>
        <v>0.27563264064048337</v>
      </c>
      <c r="E19" s="196">
        <f t="shared" si="4"/>
        <v>0.33872354912121228</v>
      </c>
      <c r="F19" s="196">
        <f t="shared" si="5"/>
        <v>7.3664078284364614</v>
      </c>
      <c r="G19" s="173">
        <f t="shared" si="6"/>
        <v>1075.9657401239601</v>
      </c>
      <c r="H19" s="167"/>
      <c r="I19" s="197">
        <f t="shared" si="12"/>
        <v>0.25</v>
      </c>
      <c r="J19" s="173">
        <f t="shared" si="13"/>
        <v>715.64713060414942</v>
      </c>
      <c r="K19" s="173">
        <f t="shared" si="14"/>
        <v>394.26833333333337</v>
      </c>
      <c r="L19" s="173">
        <f t="shared" si="15"/>
        <v>9.8567083333333354</v>
      </c>
      <c r="M19" s="173">
        <f t="shared" si="7"/>
        <v>6.649766099590197</v>
      </c>
      <c r="N19" s="173">
        <f t="shared" si="16"/>
        <v>16.166578707273001</v>
      </c>
      <c r="O19" s="173">
        <f t="shared" si="8"/>
        <v>1075.7923166513947</v>
      </c>
      <c r="P19" s="173">
        <f t="shared" si="0"/>
        <v>14.749626345072102</v>
      </c>
      <c r="Q19" s="196">
        <f t="shared" si="17"/>
        <v>0.99968180706577403</v>
      </c>
      <c r="R19" s="173">
        <f t="shared" si="9"/>
        <v>14.744933118186626</v>
      </c>
      <c r="S19" s="196">
        <f t="shared" si="10"/>
        <v>0.972065420906982</v>
      </c>
    </row>
    <row r="20" spans="1:19">
      <c r="A20" s="197">
        <f t="shared" si="11"/>
        <v>0.33333333333333331</v>
      </c>
      <c r="B20" s="196">
        <f t="shared" si="1"/>
        <v>0.99983601058415128</v>
      </c>
      <c r="C20" s="196">
        <f t="shared" si="2"/>
        <v>11.35240209286132</v>
      </c>
      <c r="D20" s="196">
        <f t="shared" si="3"/>
        <v>0.27701933358003045</v>
      </c>
      <c r="E20" s="196">
        <f t="shared" si="4"/>
        <v>0.34026464993245997</v>
      </c>
      <c r="F20" s="196">
        <f t="shared" si="5"/>
        <v>7.3197152498304616</v>
      </c>
      <c r="G20" s="173">
        <f t="shared" si="6"/>
        <v>1437.9584168192596</v>
      </c>
      <c r="H20" s="167"/>
      <c r="I20" s="197">
        <f t="shared" si="12"/>
        <v>0.33333333333333331</v>
      </c>
      <c r="J20" s="173">
        <f t="shared" si="13"/>
        <v>1075.9657401239601</v>
      </c>
      <c r="K20" s="173">
        <f t="shared" si="14"/>
        <v>394.26833333333337</v>
      </c>
      <c r="L20" s="173">
        <f t="shared" si="15"/>
        <v>9.8567083333333354</v>
      </c>
      <c r="M20" s="173">
        <f t="shared" si="7"/>
        <v>8.8278629170828395</v>
      </c>
      <c r="N20" s="173">
        <f t="shared" si="16"/>
        <v>16.306819086001205</v>
      </c>
      <c r="O20" s="173">
        <f t="shared" si="8"/>
        <v>1437.7246370669288</v>
      </c>
      <c r="P20" s="173">
        <f t="shared" si="0"/>
        <v>15.173771888113151</v>
      </c>
      <c r="Q20" s="196">
        <f t="shared" si="17"/>
        <v>0.99952067898894348</v>
      </c>
      <c r="R20" s="173">
        <f t="shared" si="9"/>
        <v>15.166498780430199</v>
      </c>
      <c r="S20" s="196">
        <f t="shared" si="10"/>
        <v>0.96292839277708941</v>
      </c>
    </row>
    <row r="21" spans="1:19">
      <c r="A21" s="197">
        <f t="shared" si="11"/>
        <v>0.41666666666666663</v>
      </c>
      <c r="B21" s="196">
        <f t="shared" si="1"/>
        <v>0.99983458489706689</v>
      </c>
      <c r="C21" s="196">
        <f t="shared" si="2"/>
        <v>11.325778829393581</v>
      </c>
      <c r="D21" s="196">
        <f t="shared" si="3"/>
        <v>0.27841339604399062</v>
      </c>
      <c r="E21" s="196">
        <f t="shared" si="4"/>
        <v>0.34181257108222762</v>
      </c>
      <c r="F21" s="196">
        <f t="shared" si="5"/>
        <v>7.2727980332868771</v>
      </c>
      <c r="G21" s="173">
        <f t="shared" si="6"/>
        <v>1801.633250275223</v>
      </c>
      <c r="H21" s="167"/>
      <c r="I21" s="197">
        <f t="shared" si="12"/>
        <v>0.41666666666666663</v>
      </c>
      <c r="J21" s="173">
        <f t="shared" si="13"/>
        <v>1437.9584168192596</v>
      </c>
      <c r="K21" s="173">
        <f t="shared" si="14"/>
        <v>394.26833333333337</v>
      </c>
      <c r="L21" s="173">
        <f t="shared" si="15"/>
        <v>9.8567083333333354</v>
      </c>
      <c r="M21" s="173">
        <f t="shared" si="7"/>
        <v>11.016079335092536</v>
      </c>
      <c r="N21" s="173">
        <f t="shared" si="16"/>
        <v>16.448432043087941</v>
      </c>
      <c r="O21" s="173">
        <f t="shared" si="8"/>
        <v>1801.3378014909367</v>
      </c>
      <c r="P21" s="173">
        <f t="shared" si="0"/>
        <v>15.599887620327763</v>
      </c>
      <c r="Q21" s="196">
        <f t="shared" si="17"/>
        <v>0.99935817936861349</v>
      </c>
      <c r="R21" s="173">
        <f t="shared" si="9"/>
        <v>15.589875290605725</v>
      </c>
      <c r="S21" s="196">
        <f t="shared" si="10"/>
        <v>0.95387724907560134</v>
      </c>
    </row>
    <row r="22" spans="1:19">
      <c r="A22" s="197">
        <f t="shared" si="11"/>
        <v>0.49999999999999994</v>
      </c>
      <c r="B22" s="196">
        <f t="shared" si="1"/>
        <v>0.99983314525635758</v>
      </c>
      <c r="C22" s="196">
        <f t="shared" si="2"/>
        <v>11.299037699474537</v>
      </c>
      <c r="D22" s="196">
        <f t="shared" si="3"/>
        <v>0.27981487293331214</v>
      </c>
      <c r="E22" s="196">
        <f t="shared" si="4"/>
        <v>0.3433673421655794</v>
      </c>
      <c r="F22" s="196">
        <f t="shared" si="5"/>
        <v>7.2256550153864465</v>
      </c>
      <c r="G22" s="173">
        <f t="shared" si="6"/>
        <v>2166.9983797211135</v>
      </c>
      <c r="H22" s="167"/>
      <c r="I22" s="197">
        <f t="shared" si="12"/>
        <v>0.49999999999999994</v>
      </c>
      <c r="J22" s="173">
        <f>G21</f>
        <v>1801.633250275223</v>
      </c>
      <c r="K22" s="173">
        <f t="shared" si="14"/>
        <v>394.26833333333337</v>
      </c>
      <c r="L22" s="173">
        <f t="shared" si="15"/>
        <v>9.8567083333333354</v>
      </c>
      <c r="M22" s="173">
        <f t="shared" si="7"/>
        <v>13.214464254506611</v>
      </c>
      <c r="N22" s="173">
        <f t="shared" si="16"/>
        <v>16.591431010435375</v>
      </c>
      <c r="O22" s="173">
        <f t="shared" si="8"/>
        <v>2166.639925461076</v>
      </c>
      <c r="P22" s="173">
        <f t="shared" si="0"/>
        <v>16.027983058218524</v>
      </c>
      <c r="Q22" s="196">
        <f t="shared" si="17"/>
        <v>0.99919429520455516</v>
      </c>
      <c r="R22" s="173">
        <f t="shared" si="9"/>
        <v>16.015069235407207</v>
      </c>
      <c r="S22" s="196">
        <f t="shared" si="10"/>
        <v>0.94491118252306794</v>
      </c>
    </row>
    <row r="23" spans="1:19">
      <c r="A23" s="197">
        <f t="shared" si="11"/>
        <v>0.58333333333333326</v>
      </c>
      <c r="B23" s="196">
        <f t="shared" si="1"/>
        <v>0.99983169152547546</v>
      </c>
      <c r="C23" s="196">
        <f t="shared" si="2"/>
        <v>11.27217819067163</v>
      </c>
      <c r="D23" s="196">
        <f t="shared" si="3"/>
        <v>0.28122380950289083</v>
      </c>
      <c r="E23" s="196">
        <f t="shared" si="4"/>
        <v>0.34492899293143897</v>
      </c>
      <c r="F23" s="196">
        <f t="shared" si="5"/>
        <v>7.1782850249020749</v>
      </c>
      <c r="G23" s="173">
        <f t="shared" si="6"/>
        <v>2534.0619945338112</v>
      </c>
      <c r="H23" s="167"/>
      <c r="I23" s="197">
        <f t="shared" si="12"/>
        <v>0.58333333333333326</v>
      </c>
      <c r="J23" s="173">
        <f t="shared" si="13"/>
        <v>2166.9983797211135</v>
      </c>
      <c r="K23" s="173">
        <f t="shared" si="14"/>
        <v>394.26833333333337</v>
      </c>
      <c r="L23" s="173">
        <f t="shared" si="15"/>
        <v>9.8567083333333354</v>
      </c>
      <c r="M23" s="173">
        <f t="shared" si="7"/>
        <v>15.42306687630688</v>
      </c>
      <c r="N23" s="173">
        <f t="shared" si="16"/>
        <v>16.735829551347358</v>
      </c>
      <c r="O23" s="173">
        <f t="shared" si="8"/>
        <v>2533.6391742693395</v>
      </c>
      <c r="P23" s="173">
        <f t="shared" si="0"/>
        <v>16.458067776733969</v>
      </c>
      <c r="Q23" s="196">
        <f t="shared" si="17"/>
        <v>0.99902901337736372</v>
      </c>
      <c r="R23" s="173">
        <f t="shared" si="9"/>
        <v>16.442087213088321</v>
      </c>
      <c r="S23" s="196">
        <f t="shared" si="10"/>
        <v>0.93602939342814506</v>
      </c>
    </row>
    <row r="24" spans="1:19">
      <c r="A24" s="197">
        <f t="shared" si="11"/>
        <v>0.66666666666666663</v>
      </c>
      <c r="B24" s="196">
        <f t="shared" si="1"/>
        <v>0.99983022356653672</v>
      </c>
      <c r="C24" s="196">
        <f t="shared" si="2"/>
        <v>11.245199787871188</v>
      </c>
      <c r="D24" s="196">
        <f t="shared" si="3"/>
        <v>0.28264025136537108</v>
      </c>
      <c r="E24" s="196">
        <f t="shared" si="4"/>
        <v>0.34649755328408643</v>
      </c>
      <c r="F24" s="196">
        <f t="shared" si="5"/>
        <v>7.1306868827176606</v>
      </c>
      <c r="G24" s="173">
        <f t="shared" si="6"/>
        <v>2902.8323347489313</v>
      </c>
      <c r="H24" s="167"/>
      <c r="I24" s="197">
        <f t="shared" si="12"/>
        <v>0.66666666666666663</v>
      </c>
      <c r="J24" s="173">
        <f t="shared" si="13"/>
        <v>2534.0619945338112</v>
      </c>
      <c r="K24" s="173">
        <f t="shared" si="14"/>
        <v>394.26833333333337</v>
      </c>
      <c r="L24" s="173">
        <f t="shared" si="15"/>
        <v>9.8567083333333354</v>
      </c>
      <c r="M24" s="173">
        <f t="shared" si="7"/>
        <v>17.641936704613443</v>
      </c>
      <c r="N24" s="173">
        <f t="shared" si="16"/>
        <v>16.88164136182116</v>
      </c>
      <c r="O24" s="173">
        <f t="shared" si="8"/>
        <v>2902.3437634668694</v>
      </c>
      <c r="P24" s="173">
        <f t="shared" si="0"/>
        <v>16.890151409734244</v>
      </c>
      <c r="Q24" s="196">
        <f t="shared" si="17"/>
        <v>0.99886232064744529</v>
      </c>
      <c r="R24" s="173">
        <f t="shared" si="9"/>
        <v>16.870935833213867</v>
      </c>
      <c r="S24" s="196">
        <f t="shared" si="10"/>
        <v>0.92723108961626854</v>
      </c>
    </row>
    <row r="25" spans="1:19">
      <c r="A25" s="197">
        <f t="shared" si="11"/>
        <v>0.75</v>
      </c>
      <c r="B25" s="196">
        <f t="shared" si="1"/>
        <v>0.99982874124030874</v>
      </c>
      <c r="C25" s="196">
        <f t="shared" si="2"/>
        <v>11.218101973252171</v>
      </c>
      <c r="D25" s="196">
        <f t="shared" si="3"/>
        <v>0.28406424449499806</v>
      </c>
      <c r="E25" s="196">
        <f t="shared" si="4"/>
        <v>0.3480730532846783</v>
      </c>
      <c r="F25" s="196">
        <f t="shared" si="5"/>
        <v>7.0828594017457558</v>
      </c>
      <c r="G25" s="173">
        <f t="shared" si="6"/>
        <v>3273.3176915793993</v>
      </c>
      <c r="H25" s="167"/>
      <c r="I25" s="197">
        <f t="shared" si="12"/>
        <v>0.75</v>
      </c>
      <c r="J25" s="173">
        <f t="shared" si="13"/>
        <v>2902.8323347489313</v>
      </c>
      <c r="K25" s="173">
        <f t="shared" si="14"/>
        <v>394.26833333333337</v>
      </c>
      <c r="L25" s="173">
        <f t="shared" si="15"/>
        <v>9.8567083333333354</v>
      </c>
      <c r="M25" s="173">
        <f t="shared" si="7"/>
        <v>19.871123549774353</v>
      </c>
      <c r="N25" s="173">
        <f t="shared" si="16"/>
        <v>17.028880271850365</v>
      </c>
      <c r="O25" s="173">
        <f t="shared" si="8"/>
        <v>3272.7619593761306</v>
      </c>
      <c r="P25" s="173">
        <f t="shared" si="0"/>
        <v>17.324243650724839</v>
      </c>
      <c r="Q25" s="196">
        <f t="shared" si="17"/>
        <v>0.99869420365399708</v>
      </c>
      <c r="R25" s="173">
        <f t="shared" si="9"/>
        <v>17.301621716668457</v>
      </c>
      <c r="S25" s="196">
        <f t="shared" si="10"/>
        <v>0.91851548635900027</v>
      </c>
    </row>
    <row r="26" spans="1:19">
      <c r="A26" s="197">
        <f t="shared" si="11"/>
        <v>0.83333333333333337</v>
      </c>
      <c r="B26" s="196">
        <f t="shared" si="1"/>
        <v>0.99982724440619686</v>
      </c>
      <c r="C26" s="196">
        <f t="shared" si="2"/>
        <v>11.190884226259476</v>
      </c>
      <c r="D26" s="196">
        <f t="shared" si="3"/>
        <v>0.28549583523152222</v>
      </c>
      <c r="E26" s="196">
        <f t="shared" si="4"/>
        <v>0.34965552315279425</v>
      </c>
      <c r="F26" s="196">
        <f t="shared" si="5"/>
        <v>7.0348013868440429</v>
      </c>
      <c r="G26" s="173">
        <f t="shared" si="6"/>
        <v>3645.5264079419867</v>
      </c>
      <c r="H26" s="167"/>
      <c r="I26" s="197">
        <f t="shared" si="12"/>
        <v>0.83333333333333337</v>
      </c>
      <c r="J26" s="173">
        <f t="shared" si="13"/>
        <v>3273.3176915793993</v>
      </c>
      <c r="K26" s="173">
        <f t="shared" si="14"/>
        <v>394.26833333333337</v>
      </c>
      <c r="L26" s="173">
        <f t="shared" si="15"/>
        <v>9.8567083333333354</v>
      </c>
      <c r="M26" s="173">
        <f t="shared" si="7"/>
        <v>22.110677531500354</v>
      </c>
      <c r="N26" s="173">
        <f t="shared" si="16"/>
        <v>17.177560246716606</v>
      </c>
      <c r="O26" s="173">
        <f t="shared" si="8"/>
        <v>3644.9020796109407</v>
      </c>
      <c r="P26" s="173">
        <f t="shared" si="0"/>
        <v>17.76035425324244</v>
      </c>
      <c r="Q26" s="196">
        <f t="shared" si="17"/>
        <v>0.9985246489139803</v>
      </c>
      <c r="R26" s="173">
        <f t="shared" si="9"/>
        <v>17.734151495306826</v>
      </c>
      <c r="S26" s="196">
        <f t="shared" si="10"/>
        <v>0.90988180630403681</v>
      </c>
    </row>
    <row r="27" spans="1:19">
      <c r="A27" s="197">
        <f t="shared" si="11"/>
        <v>0.91666666666666674</v>
      </c>
      <c r="B27" s="196">
        <f t="shared" si="1"/>
        <v>0.99982573292223098</v>
      </c>
      <c r="C27" s="196">
        <f t="shared" si="2"/>
        <v>11.163546023576833</v>
      </c>
      <c r="D27" s="196">
        <f t="shared" si="3"/>
        <v>0.28693507028415638</v>
      </c>
      <c r="E27" s="196">
        <f t="shared" si="4"/>
        <v>0.35124499326800601</v>
      </c>
      <c r="F27" s="196">
        <f t="shared" si="5"/>
        <v>6.9865116347306104</v>
      </c>
      <c r="G27" s="173">
        <f t="shared" si="6"/>
        <v>4019.4668789913922</v>
      </c>
      <c r="H27" s="167"/>
      <c r="I27" s="197">
        <f t="shared" si="12"/>
        <v>0.91666666666666674</v>
      </c>
      <c r="J27" s="173">
        <f t="shared" si="13"/>
        <v>3645.5264079419867</v>
      </c>
      <c r="K27" s="173">
        <f t="shared" si="14"/>
        <v>394.26833333333337</v>
      </c>
      <c r="L27" s="173">
        <f t="shared" si="15"/>
        <v>9.8567083333333354</v>
      </c>
      <c r="M27" s="173">
        <f t="shared" si="7"/>
        <v>24.360649082047757</v>
      </c>
      <c r="N27" s="173">
        <f t="shared" si="16"/>
        <v>17.327695388314726</v>
      </c>
      <c r="O27" s="173">
        <f t="shared" si="8"/>
        <v>4018.7724936039399</v>
      </c>
      <c r="P27" s="173">
        <f t="shared" si="0"/>
        <v>18.198493031780345</v>
      </c>
      <c r="Q27" s="196">
        <f t="shared" si="17"/>
        <v>0.99835364282108618</v>
      </c>
      <c r="R27" s="173">
        <f t="shared" si="9"/>
        <v>18.168531812132059</v>
      </c>
      <c r="S27" s="196">
        <f t="shared" si="10"/>
        <v>0.90132927940587759</v>
      </c>
    </row>
    <row r="28" spans="1:19">
      <c r="A28" s="197">
        <f t="shared" si="11"/>
        <v>1</v>
      </c>
      <c r="B28" s="196">
        <f t="shared" si="1"/>
        <v>0.999824206645052</v>
      </c>
      <c r="C28" s="196">
        <f t="shared" si="2"/>
        <v>11.136086839099248</v>
      </c>
      <c r="D28" s="196">
        <f t="shared" si="3"/>
        <v>0.28838199673558707</v>
      </c>
      <c r="E28" s="196">
        <f t="shared" si="4"/>
        <v>0.35284149417147426</v>
      </c>
      <c r="F28" s="196">
        <f t="shared" si="5"/>
        <v>6.9379889338980112</v>
      </c>
      <c r="G28" s="173">
        <f t="shared" si="6"/>
        <v>4395.1475526625873</v>
      </c>
      <c r="H28" s="167"/>
      <c r="I28" s="197">
        <f t="shared" si="12"/>
        <v>1</v>
      </c>
      <c r="J28" s="173">
        <f t="shared" si="13"/>
        <v>4019.4668789913922</v>
      </c>
      <c r="K28" s="173">
        <f t="shared" si="14"/>
        <v>394.26833333333337</v>
      </c>
      <c r="L28" s="173">
        <f t="shared" si="15"/>
        <v>9.8567083333333354</v>
      </c>
      <c r="M28" s="173">
        <f t="shared" si="7"/>
        <v>26.621088949446911</v>
      </c>
      <c r="N28" s="173">
        <f t="shared" si="16"/>
        <v>17.479299936500198</v>
      </c>
      <c r="O28" s="173">
        <f t="shared" si="8"/>
        <v>4394.3816231422215</v>
      </c>
      <c r="P28" s="173">
        <f t="shared" si="0"/>
        <v>18.63866986211724</v>
      </c>
      <c r="Q28" s="196">
        <f t="shared" si="17"/>
        <v>0.99818117164469511</v>
      </c>
      <c r="R28" s="173">
        <f t="shared" si="9"/>
        <v>18.604769320866854</v>
      </c>
      <c r="S28" s="196">
        <f t="shared" si="10"/>
        <v>0.89285714285714279</v>
      </c>
    </row>
    <row r="29" spans="1:19">
      <c r="A29" s="197">
        <f t="shared" si="11"/>
        <v>1.0833333333333333</v>
      </c>
      <c r="B29" s="196">
        <f t="shared" si="1"/>
        <v>0.99982266542989873</v>
      </c>
      <c r="C29" s="196">
        <f t="shared" si="2"/>
        <v>11.108506143904998</v>
      </c>
      <c r="D29" s="196">
        <f t="shared" si="3"/>
        <v>0.28983666204604014</v>
      </c>
      <c r="E29" s="196">
        <f t="shared" si="4"/>
        <v>0.35444505656756931</v>
      </c>
      <c r="F29" s="196">
        <f t="shared" si="5"/>
        <v>6.8892320645260767</v>
      </c>
      <c r="G29" s="173">
        <f t="shared" si="6"/>
        <v>4772.5769302210138</v>
      </c>
      <c r="H29" s="167"/>
      <c r="I29" s="197">
        <f t="shared" si="12"/>
        <v>1.0833333333333333</v>
      </c>
      <c r="J29" s="173">
        <f t="shared" si="13"/>
        <v>4395.1475526625873</v>
      </c>
      <c r="K29" s="173">
        <f t="shared" si="14"/>
        <v>394.26833333333337</v>
      </c>
      <c r="L29" s="173">
        <f t="shared" si="15"/>
        <v>9.8567083333333354</v>
      </c>
      <c r="M29" s="173">
        <f t="shared" si="7"/>
        <v>28.892048200780646</v>
      </c>
      <c r="N29" s="173">
        <f t="shared" si="16"/>
        <v>17.632388270447677</v>
      </c>
      <c r="O29" s="173">
        <f t="shared" si="8"/>
        <v>4771.7379429107032</v>
      </c>
      <c r="P29" s="173">
        <f t="shared" si="0"/>
        <v>19.080894682217149</v>
      </c>
      <c r="Q29" s="196">
        <f t="shared" si="17"/>
        <v>0.99800722152882848</v>
      </c>
      <c r="R29" s="173">
        <f t="shared" si="9"/>
        <v>19.042870686083734</v>
      </c>
      <c r="S29" s="196">
        <f t="shared" si="10"/>
        <v>0.88446464102053857</v>
      </c>
    </row>
    <row r="30" spans="1:19">
      <c r="A30" s="197">
        <f t="shared" si="11"/>
        <v>1.1666666666666665</v>
      </c>
      <c r="B30" s="196">
        <f t="shared" si="1"/>
        <v>0.99982110913059341</v>
      </c>
      <c r="C30" s="196">
        <f t="shared" si="2"/>
        <v>11.080803406227187</v>
      </c>
      <c r="D30" s="196">
        <f t="shared" si="3"/>
        <v>0.29129911405740172</v>
      </c>
      <c r="E30" s="196">
        <f t="shared" si="4"/>
        <v>0.35605571132551994</v>
      </c>
      <c r="F30" s="196">
        <f t="shared" si="5"/>
        <v>6.8402397983934664</v>
      </c>
      <c r="G30" s="173">
        <f t="shared" si="6"/>
        <v>5151.7635668212861</v>
      </c>
      <c r="H30" s="167"/>
      <c r="I30" s="197">
        <f t="shared" si="12"/>
        <v>1.1666666666666665</v>
      </c>
      <c r="J30" s="173">
        <f t="shared" si="13"/>
        <v>4772.5769302210138</v>
      </c>
      <c r="K30" s="173">
        <f t="shared" si="14"/>
        <v>394.26833333333337</v>
      </c>
      <c r="L30" s="173">
        <f t="shared" si="15"/>
        <v>9.8567083333333354</v>
      </c>
      <c r="M30" s="173">
        <f t="shared" si="7"/>
        <v>31.173578225510163</v>
      </c>
      <c r="N30" s="173">
        <f t="shared" si="16"/>
        <v>17.786974909965039</v>
      </c>
      <c r="O30" s="173">
        <f t="shared" si="8"/>
        <v>5150.8499810439007</v>
      </c>
      <c r="P30" s="173">
        <f t="shared" si="0"/>
        <v>19.525177492657349</v>
      </c>
      <c r="Q30" s="196">
        <f t="shared" si="17"/>
        <v>0.99783177849109361</v>
      </c>
      <c r="R30" s="173">
        <f t="shared" si="9"/>
        <v>19.482842582852555</v>
      </c>
      <c r="S30" s="196">
        <f t="shared" si="10"/>
        <v>0.87615102536146106</v>
      </c>
    </row>
    <row r="31" spans="1:19">
      <c r="A31" s="197">
        <f t="shared" si="11"/>
        <v>1.2499999999999998</v>
      </c>
      <c r="B31" s="196">
        <f t="shared" si="1"/>
        <v>0.9998195375995288</v>
      </c>
      <c r="C31" s="196">
        <f t="shared" si="2"/>
        <v>11.052978091424817</v>
      </c>
      <c r="D31" s="196">
        <f t="shared" si="3"/>
        <v>0.29276940099739585</v>
      </c>
      <c r="E31" s="196">
        <f t="shared" si="4"/>
        <v>0.35767348948108763</v>
      </c>
      <c r="F31" s="196">
        <f t="shared" si="5"/>
        <v>6.791010898787941</v>
      </c>
      <c r="G31" s="173">
        <f t="shared" si="6"/>
        <v>5532.7160720740831</v>
      </c>
      <c r="H31" s="167"/>
      <c r="I31" s="197">
        <f t="shared" si="12"/>
        <v>1.2499999999999998</v>
      </c>
      <c r="J31" s="173">
        <f t="shared" si="13"/>
        <v>5151.7635668212861</v>
      </c>
      <c r="K31" s="173">
        <f t="shared" si="14"/>
        <v>394.26833333333337</v>
      </c>
      <c r="L31" s="173">
        <f t="shared" si="15"/>
        <v>9.8567083333333354</v>
      </c>
      <c r="M31" s="173">
        <f t="shared" si="7"/>
        <v>33.465730738852336</v>
      </c>
      <c r="N31" s="173">
        <f t="shared" si="16"/>
        <v>17.943074516940996</v>
      </c>
      <c r="O31" s="173">
        <f t="shared" si="8"/>
        <v>5531.7263196857702</v>
      </c>
      <c r="P31" s="173">
        <f t="shared" si="0"/>
        <v>19.971528357426905</v>
      </c>
      <c r="Q31" s="196">
        <f t="shared" si="17"/>
        <v>0.99765482842162145</v>
      </c>
      <c r="R31" s="173">
        <f t="shared" si="9"/>
        <v>19.924691696746287</v>
      </c>
      <c r="S31" s="196">
        <f t="shared" si="10"/>
        <v>0.8679155543812338</v>
      </c>
    </row>
    <row r="32" spans="1:19">
      <c r="A32" s="197">
        <f t="shared" si="11"/>
        <v>1.333333333333333</v>
      </c>
      <c r="B32" s="196">
        <f t="shared" si="1"/>
        <v>0.99981795068765333</v>
      </c>
      <c r="C32" s="196">
        <f t="shared" si="2"/>
        <v>11.025029661953408</v>
      </c>
      <c r="D32" s="196">
        <f t="shared" si="3"/>
        <v>0.29424757148381864</v>
      </c>
      <c r="E32" s="196">
        <f t="shared" si="4"/>
        <v>0.35929842223826935</v>
      </c>
      <c r="F32" s="196">
        <f t="shared" si="5"/>
        <v>6.7415441204153286</v>
      </c>
      <c r="G32" s="173">
        <f t="shared" si="6"/>
        <v>5915.4431106217417</v>
      </c>
      <c r="H32" s="167"/>
      <c r="I32" s="197">
        <f t="shared" si="12"/>
        <v>1.333333333333333</v>
      </c>
      <c r="J32" s="173">
        <f t="shared" si="13"/>
        <v>5532.7160720740831</v>
      </c>
      <c r="K32" s="173">
        <f t="shared" si="14"/>
        <v>394.26833333333337</v>
      </c>
      <c r="L32" s="173">
        <f t="shared" si="15"/>
        <v>9.8567083333333354</v>
      </c>
      <c r="M32" s="173">
        <f t="shared" si="7"/>
        <v>35.768557785206561</v>
      </c>
      <c r="N32" s="173">
        <f t="shared" si="16"/>
        <v>18.100701896648005</v>
      </c>
      <c r="O32" s="173">
        <f t="shared" si="8"/>
        <v>5914.3755955581482</v>
      </c>
      <c r="P32" s="173">
        <f t="shared" si="0"/>
        <v>20.419957404492379</v>
      </c>
      <c r="Q32" s="196">
        <f t="shared" si="17"/>
        <v>0.99747635708199744</v>
      </c>
      <c r="R32" s="173">
        <f t="shared" si="9"/>
        <v>20.368424723602619</v>
      </c>
      <c r="S32" s="196">
        <f t="shared" si="10"/>
        <v>0.85975749355097253</v>
      </c>
    </row>
    <row r="33" spans="1:19">
      <c r="A33" s="197">
        <f t="shared" si="11"/>
        <v>1.4166666666666663</v>
      </c>
      <c r="B33" s="196">
        <f t="shared" si="1"/>
        <v>0.99981634824445742</v>
      </c>
      <c r="C33" s="196">
        <f t="shared" si="2"/>
        <v>10.99695757733512</v>
      </c>
      <c r="D33" s="196">
        <f t="shared" si="3"/>
        <v>0.2957336745288312</v>
      </c>
      <c r="E33" s="196">
        <f t="shared" si="4"/>
        <v>0.36093054097102689</v>
      </c>
      <c r="F33" s="196">
        <f t="shared" si="5"/>
        <v>6.6918382093071695</v>
      </c>
      <c r="G33" s="173">
        <f t="shared" si="6"/>
        <v>6299.9534027223308</v>
      </c>
      <c r="H33" s="167"/>
      <c r="I33" s="197">
        <f t="shared" si="12"/>
        <v>1.4166666666666663</v>
      </c>
      <c r="J33" s="173">
        <f t="shared" si="13"/>
        <v>5915.4431106217417</v>
      </c>
      <c r="K33" s="173">
        <f t="shared" si="14"/>
        <v>394.26833333333337</v>
      </c>
      <c r="L33" s="173">
        <f t="shared" si="15"/>
        <v>9.8567083333333354</v>
      </c>
      <c r="M33" s="173">
        <f t="shared" si="7"/>
        <v>38.082111741634129</v>
      </c>
      <c r="N33" s="173">
        <f t="shared" si="16"/>
        <v>18.259871999223307</v>
      </c>
      <c r="O33" s="173">
        <f t="shared" si="8"/>
        <v>6298.8065005375493</v>
      </c>
      <c r="P33" s="173">
        <f t="shared" si="0"/>
        <v>20.87047482660364</v>
      </c>
      <c r="Q33" s="196">
        <f t="shared" si="17"/>
        <v>0.99729635010418516</v>
      </c>
      <c r="R33" s="173">
        <f t="shared" si="9"/>
        <v>20.814048369513088</v>
      </c>
      <c r="S33" s="196">
        <f t="shared" si="10"/>
        <v>0.85167611524607267</v>
      </c>
    </row>
    <row r="34" spans="1:19">
      <c r="A34" s="197">
        <f t="shared" si="11"/>
        <v>1.4999999999999996</v>
      </c>
      <c r="B34" s="196">
        <f t="shared" si="1"/>
        <v>0.99981473011795918</v>
      </c>
      <c r="C34" s="196">
        <f t="shared" si="2"/>
        <v>10.968761294128413</v>
      </c>
      <c r="D34" s="196">
        <f t="shared" si="3"/>
        <v>0.2972277595433111</v>
      </c>
      <c r="E34" s="196">
        <f t="shared" si="4"/>
        <v>0.36256987722504513</v>
      </c>
      <c r="F34" s="196">
        <f t="shared" si="5"/>
        <v>6.6418919027270151</v>
      </c>
      <c r="G34" s="173">
        <f t="shared" si="6"/>
        <v>6686.2557248426929</v>
      </c>
      <c r="H34" s="167"/>
      <c r="I34" s="197">
        <f t="shared" si="12"/>
        <v>1.4999999999999996</v>
      </c>
      <c r="J34" s="173">
        <f t="shared" si="13"/>
        <v>6299.9534027223308</v>
      </c>
      <c r="K34" s="173">
        <f t="shared" si="14"/>
        <v>394.26833333333337</v>
      </c>
      <c r="L34" s="173">
        <f t="shared" si="15"/>
        <v>9.8567083333333354</v>
      </c>
      <c r="M34" s="173">
        <f t="shared" si="7"/>
        <v>40.406445321388951</v>
      </c>
      <c r="N34" s="173">
        <f t="shared" si="16"/>
        <v>18.420599921049753</v>
      </c>
      <c r="O34" s="173">
        <f t="shared" si="8"/>
        <v>6685.0277822408189</v>
      </c>
      <c r="P34" s="173">
        <f t="shared" si="0"/>
        <v>21.323090881850476</v>
      </c>
      <c r="Q34" s="196">
        <f t="shared" si="17"/>
        <v>0.99711479298944283</v>
      </c>
      <c r="R34" s="173">
        <f t="shared" si="9"/>
        <v>21.261569350551412</v>
      </c>
      <c r="S34" s="196">
        <f t="shared" si="10"/>
        <v>0.84367069868131062</v>
      </c>
    </row>
    <row r="35" spans="1:19">
      <c r="A35" s="197">
        <f t="shared" si="11"/>
        <v>1.5833333333333328</v>
      </c>
      <c r="B35" s="196">
        <f t="shared" si="1"/>
        <v>0.99981309615469027</v>
      </c>
      <c r="C35" s="196">
        <f t="shared" si="2"/>
        <v>10.940440265897186</v>
      </c>
      <c r="D35" s="196">
        <f t="shared" si="3"/>
        <v>0.29872987634126363</v>
      </c>
      <c r="E35" s="196">
        <f t="shared" si="4"/>
        <v>0.36421646271951935</v>
      </c>
      <c r="F35" s="196">
        <f t="shared" si="5"/>
        <v>6.5917039290753578</v>
      </c>
      <c r="G35" s="173">
        <f t="shared" si="6"/>
        <v>7074.3589102604055</v>
      </c>
      <c r="H35" s="167"/>
      <c r="I35" s="197">
        <f t="shared" si="12"/>
        <v>1.5833333333333328</v>
      </c>
      <c r="J35" s="173">
        <f t="shared" si="13"/>
        <v>6686.2557248426929</v>
      </c>
      <c r="K35" s="173">
        <f t="shared" si="14"/>
        <v>394.26833333333337</v>
      </c>
      <c r="L35" s="173">
        <f t="shared" si="15"/>
        <v>9.8567083333333354</v>
      </c>
      <c r="M35" s="173">
        <f t="shared" si="7"/>
        <v>42.74161157750239</v>
      </c>
      <c r="N35" s="173">
        <f t="shared" si="16"/>
        <v>18.582900906181191</v>
      </c>
      <c r="O35" s="173">
        <f t="shared" si="8"/>
        <v>7073.0482446195874</v>
      </c>
      <c r="P35" s="173">
        <f t="shared" si="0"/>
        <v>21.777815894426567</v>
      </c>
      <c r="Q35" s="196">
        <f t="shared" si="17"/>
        <v>0.9969316711072328</v>
      </c>
      <c r="R35" s="173">
        <f t="shared" si="9"/>
        <v>21.710994392696332</v>
      </c>
      <c r="S35" s="196">
        <f t="shared" si="10"/>
        <v>0.835740529846558</v>
      </c>
    </row>
    <row r="36" spans="1:19">
      <c r="A36" s="197">
        <f t="shared" si="11"/>
        <v>1.6666666666666661</v>
      </c>
      <c r="B36" s="196">
        <f t="shared" si="1"/>
        <v>0.99981144619968054</v>
      </c>
      <c r="C36" s="196">
        <f t="shared" si="2"/>
        <v>10.91199394317942</v>
      </c>
      <c r="D36" s="196">
        <f t="shared" si="3"/>
        <v>0.30024007514429396</v>
      </c>
      <c r="E36" s="196">
        <f t="shared" si="4"/>
        <v>0.36587032934897107</v>
      </c>
      <c r="F36" s="196">
        <f t="shared" si="5"/>
        <v>6.5412730077931682</v>
      </c>
      <c r="G36" s="173">
        <f t="shared" si="6"/>
        <v>7464.2718496748676</v>
      </c>
      <c r="H36" s="167"/>
      <c r="I36" s="197">
        <f t="shared" si="12"/>
        <v>1.6666666666666661</v>
      </c>
      <c r="J36" s="173">
        <f t="shared" si="13"/>
        <v>7074.3589102604055</v>
      </c>
      <c r="K36" s="173">
        <f t="shared" si="14"/>
        <v>394.26833333333337</v>
      </c>
      <c r="L36" s="173">
        <f t="shared" si="15"/>
        <v>9.8567083333333354</v>
      </c>
      <c r="M36" s="173">
        <f t="shared" si="7"/>
        <v>45.087663906422137</v>
      </c>
      <c r="N36" s="173">
        <f t="shared" si="16"/>
        <v>18.746790347767842</v>
      </c>
      <c r="O36" s="173">
        <f t="shared" si="8"/>
        <v>7462.8767485637263</v>
      </c>
      <c r="P36" s="173">
        <f t="shared" si="0"/>
        <v>22.234660255332528</v>
      </c>
      <c r="Q36" s="196">
        <f t="shared" si="17"/>
        <v>0.99674696969412402</v>
      </c>
      <c r="R36" s="173">
        <f t="shared" si="9"/>
        <v>22.162330231681075</v>
      </c>
      <c r="S36" s="196">
        <f t="shared" si="10"/>
        <v>0.8278849014430969</v>
      </c>
    </row>
    <row r="37" spans="1:19">
      <c r="A37" s="197">
        <f t="shared" si="11"/>
        <v>1.7499999999999993</v>
      </c>
      <c r="B37" s="196">
        <f t="shared" si="1"/>
        <v>0.99980978009644439</v>
      </c>
      <c r="C37" s="196">
        <f t="shared" si="2"/>
        <v>10.883421773455314</v>
      </c>
      <c r="D37" s="196">
        <f t="shared" si="3"/>
        <v>0.30175840658614134</v>
      </c>
      <c r="E37" s="196">
        <f t="shared" si="4"/>
        <v>0.36753150918509403</v>
      </c>
      <c r="F37" s="196">
        <f t="shared" si="5"/>
        <v>6.4905978492640273</v>
      </c>
      <c r="G37" s="173">
        <f t="shared" si="6"/>
        <v>7856.0034918275887</v>
      </c>
      <c r="H37" s="167"/>
      <c r="I37" s="197">
        <f t="shared" si="12"/>
        <v>1.7499999999999993</v>
      </c>
      <c r="J37" s="173">
        <f t="shared" si="13"/>
        <v>7464.2718496748676</v>
      </c>
      <c r="K37" s="173">
        <f t="shared" si="14"/>
        <v>394.26833333333337</v>
      </c>
      <c r="L37" s="173">
        <f t="shared" si="15"/>
        <v>9.8567083333333354</v>
      </c>
      <c r="M37" s="173">
        <f t="shared" si="7"/>
        <v>47.444656051706126</v>
      </c>
      <c r="N37" s="173">
        <f t="shared" si="16"/>
        <v>18.912283789593008</v>
      </c>
      <c r="O37" s="173">
        <f t="shared" si="8"/>
        <v>7854.5222125138816</v>
      </c>
      <c r="P37" s="173">
        <f t="shared" si="0"/>
        <v>22.693634423098956</v>
      </c>
      <c r="Q37" s="196">
        <f t="shared" si="17"/>
        <v>0.99656067385268732</v>
      </c>
      <c r="R37" s="173">
        <f t="shared" si="9"/>
        <v>22.615583612850038</v>
      </c>
      <c r="S37" s="196">
        <f t="shared" si="10"/>
        <v>0.82010311282053594</v>
      </c>
    </row>
    <row r="38" spans="1:19">
      <c r="A38" s="197">
        <f t="shared" si="11"/>
        <v>1.8333333333333326</v>
      </c>
      <c r="B38" s="196">
        <f t="shared" si="1"/>
        <v>0.99980809768696532</v>
      </c>
      <c r="C38" s="196">
        <f t="shared" si="2"/>
        <v>10.85472320111489</v>
      </c>
      <c r="D38" s="196">
        <f t="shared" si="3"/>
        <v>0.30328492171727567</v>
      </c>
      <c r="E38" s="196">
        <f t="shared" si="4"/>
        <v>0.36920003447863081</v>
      </c>
      <c r="F38" s="196">
        <f t="shared" si="5"/>
        <v>6.4396771547148148</v>
      </c>
      <c r="G38" s="173">
        <f t="shared" si="6"/>
        <v>8249.5628441320187</v>
      </c>
      <c r="H38" s="167"/>
      <c r="I38" s="197">
        <f t="shared" si="12"/>
        <v>1.8333333333333326</v>
      </c>
      <c r="J38" s="173">
        <f t="shared" si="13"/>
        <v>7856.0034918275887</v>
      </c>
      <c r="K38" s="173">
        <f t="shared" si="14"/>
        <v>394.26833333333337</v>
      </c>
      <c r="L38" s="173">
        <f t="shared" si="15"/>
        <v>9.8567083333333354</v>
      </c>
      <c r="M38" s="173">
        <f t="shared" si="7"/>
        <v>49.812642107772149</v>
      </c>
      <c r="N38" s="173">
        <f t="shared" si="16"/>
        <v>19.079396927442797</v>
      </c>
      <c r="O38" s="173">
        <f t="shared" si="8"/>
        <v>8247.9936130834321</v>
      </c>
      <c r="P38" s="173">
        <f t="shared" si="0"/>
        <v>23.15474892448583</v>
      </c>
      <c r="Q38" s="196">
        <f t="shared" si="17"/>
        <v>0.99637276855038348</v>
      </c>
      <c r="R38" s="173">
        <f t="shared" si="9"/>
        <v>23.070761290978961</v>
      </c>
      <c r="S38" s="196">
        <f t="shared" si="10"/>
        <v>0.81239446991431852</v>
      </c>
    </row>
    <row r="39" spans="1:19">
      <c r="A39" s="197">
        <f t="shared" si="11"/>
        <v>1.9166666666666659</v>
      </c>
      <c r="B39" s="196">
        <f t="shared" si="1"/>
        <v>0.99980639881168099</v>
      </c>
      <c r="C39" s="196">
        <f t="shared" si="2"/>
        <v>10.825897667425062</v>
      </c>
      <c r="D39" s="196">
        <f t="shared" si="3"/>
        <v>0.30481967200955773</v>
      </c>
      <c r="E39" s="196">
        <f t="shared" si="4"/>
        <v>0.37087593766128013</v>
      </c>
      <c r="F39" s="196">
        <f t="shared" si="5"/>
        <v>6.3885096161149386</v>
      </c>
      <c r="G39" s="173">
        <f t="shared" si="6"/>
        <v>8644.9589733129178</v>
      </c>
      <c r="H39" s="167"/>
      <c r="I39" s="197">
        <f t="shared" si="12"/>
        <v>1.9166666666666659</v>
      </c>
      <c r="J39" s="173">
        <f t="shared" si="13"/>
        <v>8249.5628441320187</v>
      </c>
      <c r="K39" s="173">
        <f t="shared" si="14"/>
        <v>394.26833333333337</v>
      </c>
      <c r="L39" s="173">
        <f t="shared" si="15"/>
        <v>9.8567083333333354</v>
      </c>
      <c r="M39" s="173">
        <f t="shared" si="7"/>
        <v>52.191676523705127</v>
      </c>
      <c r="N39" s="173">
        <f t="shared" si="16"/>
        <v>19.248145610653975</v>
      </c>
      <c r="O39" s="173">
        <f t="shared" si="8"/>
        <v>8643.2999856898496</v>
      </c>
      <c r="P39" s="173">
        <f t="shared" si="0"/>
        <v>23.618014355221021</v>
      </c>
      <c r="Q39" s="196">
        <f t="shared" si="17"/>
        <v>0.99618323861844438</v>
      </c>
      <c r="R39" s="173">
        <f t="shared" si="9"/>
        <v>23.527870030120987</v>
      </c>
      <c r="S39" s="196">
        <f t="shared" si="10"/>
        <v>0.8047582851838192</v>
      </c>
    </row>
    <row r="40" spans="1:19">
      <c r="A40" s="197">
        <f t="shared" si="11"/>
        <v>1.9999999999999991</v>
      </c>
      <c r="B40" s="196">
        <f t="shared" si="1"/>
        <v>0.99980468330946826</v>
      </c>
      <c r="C40" s="196">
        <f t="shared" si="2"/>
        <v>10.796944610496178</v>
      </c>
      <c r="D40" s="196">
        <f t="shared" si="3"/>
        <v>0.30636270936096444</v>
      </c>
      <c r="E40" s="196">
        <f t="shared" si="4"/>
        <v>0.3725592513476349</v>
      </c>
      <c r="F40" s="196">
        <f t="shared" si="5"/>
        <v>6.337093916074088</v>
      </c>
      <c r="G40" s="173">
        <f t="shared" si="6"/>
        <v>9042.2010060554021</v>
      </c>
      <c r="H40" s="167"/>
      <c r="I40" s="197">
        <f t="shared" si="12"/>
        <v>1.9999999999999991</v>
      </c>
      <c r="J40" s="173">
        <f t="shared" si="13"/>
        <v>8644.9589733129178</v>
      </c>
      <c r="K40" s="173">
        <f t="shared" si="14"/>
        <v>394.26833333333337</v>
      </c>
      <c r="L40" s="173">
        <f t="shared" si="15"/>
        <v>9.8567083333333354</v>
      </c>
      <c r="M40" s="173">
        <f t="shared" si="7"/>
        <v>54.58181410712205</v>
      </c>
      <c r="N40" s="173">
        <f t="shared" si="16"/>
        <v>19.418545843617281</v>
      </c>
      <c r="O40" s="173">
        <f t="shared" si="8"/>
        <v>9040.4504251956096</v>
      </c>
      <c r="P40" s="173">
        <f t="shared" si="0"/>
        <v>24.083441380813383</v>
      </c>
      <c r="Q40" s="196">
        <f t="shared" si="17"/>
        <v>0.99599206875074708</v>
      </c>
      <c r="R40" s="173">
        <f t="shared" si="9"/>
        <v>23.98691660351367</v>
      </c>
      <c r="S40" s="196">
        <f t="shared" si="10"/>
        <v>0.79719387755102034</v>
      </c>
    </row>
    <row r="41" spans="1:19">
      <c r="A41" s="197">
        <f t="shared" si="11"/>
        <v>2.0833333333333326</v>
      </c>
      <c r="B41" s="196">
        <f t="shared" si="1"/>
        <v>0.99980295101762828</v>
      </c>
      <c r="C41" s="196">
        <f t="shared" si="2"/>
        <v>10.767863465247993</v>
      </c>
      <c r="D41" s="196">
        <f t="shared" si="3"/>
        <v>0.30791408610037968</v>
      </c>
      <c r="E41" s="196">
        <f t="shared" si="4"/>
        <v>0.37425000833715344</v>
      </c>
      <c r="F41" s="196">
        <f t="shared" si="5"/>
        <v>6.2854287277384699</v>
      </c>
      <c r="G41" s="173">
        <f t="shared" si="6"/>
        <v>9441.2981296639846</v>
      </c>
      <c r="H41" s="167"/>
      <c r="I41" s="197">
        <f t="shared" si="12"/>
        <v>2.0833333333333326</v>
      </c>
      <c r="J41" s="173">
        <f t="shared" si="13"/>
        <v>9042.2010060554021</v>
      </c>
      <c r="K41" s="173">
        <f t="shared" si="14"/>
        <v>394.26833333333337</v>
      </c>
      <c r="L41" s="173">
        <f t="shared" si="15"/>
        <v>9.8567083333333354</v>
      </c>
      <c r="M41" s="173">
        <f t="shared" si="7"/>
        <v>56.983110028095403</v>
      </c>
      <c r="N41" s="173">
        <f t="shared" si="16"/>
        <v>19.590613787269646</v>
      </c>
      <c r="O41" s="173">
        <f t="shared" si="8"/>
        <v>9439.4540865589752</v>
      </c>
      <c r="P41" s="173">
        <f t="shared" si="0"/>
        <v>24.551040737253061</v>
      </c>
      <c r="Q41" s="196">
        <f t="shared" si="17"/>
        <v>0.99579924350268068</v>
      </c>
      <c r="R41" s="173">
        <f t="shared" si="9"/>
        <v>24.447907793360095</v>
      </c>
      <c r="S41" s="196">
        <f t="shared" si="10"/>
        <v>0.78970057233976654</v>
      </c>
    </row>
    <row r="42" spans="1:19">
      <c r="A42" s="197">
        <f t="shared" si="11"/>
        <v>2.1666666666666661</v>
      </c>
      <c r="B42" s="196">
        <f t="shared" si="1"/>
        <v>0.99980120177187015</v>
      </c>
      <c r="C42" s="196">
        <f t="shared" si="2"/>
        <v>10.738653663375096</v>
      </c>
      <c r="D42" s="196">
        <f t="shared" si="3"/>
        <v>0.30947385499245156</v>
      </c>
      <c r="E42" s="196">
        <f t="shared" si="4"/>
        <v>0.37594824161616192</v>
      </c>
      <c r="F42" s="196">
        <f t="shared" si="5"/>
        <v>6.2335127146855154</v>
      </c>
      <c r="G42" s="173">
        <f t="shared" si="6"/>
        <v>9842.2595927316688</v>
      </c>
      <c r="H42" s="167"/>
      <c r="I42" s="197">
        <f t="shared" si="12"/>
        <v>2.1666666666666661</v>
      </c>
      <c r="J42" s="173">
        <f t="shared" si="13"/>
        <v>9441.2981296639846</v>
      </c>
      <c r="K42" s="173">
        <f t="shared" si="14"/>
        <v>394.26833333333337</v>
      </c>
      <c r="L42" s="173">
        <f t="shared" si="15"/>
        <v>9.8567083333333354</v>
      </c>
      <c r="M42" s="173">
        <f t="shared" si="7"/>
        <v>59.395619823137025</v>
      </c>
      <c r="N42" s="173">
        <f t="shared" si="16"/>
        <v>19.764365760597482</v>
      </c>
      <c r="O42" s="173">
        <f t="shared" si="8"/>
        <v>9840.3201854946819</v>
      </c>
      <c r="P42" s="173">
        <f t="shared" si="0"/>
        <v>25.020823231843679</v>
      </c>
      <c r="Q42" s="196">
        <f t="shared" si="17"/>
        <v>0.9956047472900057</v>
      </c>
      <c r="R42" s="173">
        <f t="shared" si="9"/>
        <v>24.910850390727628</v>
      </c>
      <c r="S42" s="196">
        <f t="shared" si="10"/>
        <v>0.78227770121559026</v>
      </c>
    </row>
    <row r="43" spans="1:19">
      <c r="A43" s="197">
        <f t="shared" si="11"/>
        <v>2.2499999999999996</v>
      </c>
      <c r="B43" s="196">
        <f t="shared" si="1"/>
        <v>0.99979943540629623</v>
      </c>
      <c r="C43" s="196">
        <f t="shared" si="2"/>
        <v>10.709314633311756</v>
      </c>
      <c r="D43" s="196">
        <f t="shared" si="3"/>
        <v>0.3110420692425182</v>
      </c>
      <c r="E43" s="196">
        <f t="shared" si="4"/>
        <v>0.37765398435989134</v>
      </c>
      <c r="F43" s="196">
        <f t="shared" si="5"/>
        <v>6.1813445308170305</v>
      </c>
      <c r="G43" s="173">
        <f t="shared" si="6"/>
        <v>10245.094705819305</v>
      </c>
      <c r="H43" s="167"/>
      <c r="I43" s="197">
        <f t="shared" si="12"/>
        <v>2.2499999999999996</v>
      </c>
      <c r="J43" s="173">
        <f t="shared" si="13"/>
        <v>9842.2595927316688</v>
      </c>
      <c r="K43" s="173">
        <f t="shared" si="14"/>
        <v>394.26833333333337</v>
      </c>
      <c r="L43" s="173">
        <f t="shared" si="15"/>
        <v>9.8567083333333354</v>
      </c>
      <c r="M43" s="173">
        <f t="shared" si="7"/>
        <v>61.819399399242712</v>
      </c>
      <c r="N43" s="173">
        <f t="shared" si="16"/>
        <v>19.939818242273656</v>
      </c>
      <c r="O43" s="173">
        <f t="shared" si="8"/>
        <v>10243.057999144765</v>
      </c>
      <c r="P43" s="173">
        <f t="shared" si="0"/>
        <v>25.492799743873547</v>
      </c>
      <c r="Q43" s="196">
        <f t="shared" si="17"/>
        <v>0.99540856438770775</v>
      </c>
      <c r="R43" s="173">
        <f t="shared" si="9"/>
        <v>25.375751195272493</v>
      </c>
      <c r="S43" s="196">
        <f t="shared" si="10"/>
        <v>0.77492460212610159</v>
      </c>
    </row>
    <row r="44" spans="1:19">
      <c r="A44" s="197">
        <f t="shared" si="11"/>
        <v>2.333333333333333</v>
      </c>
      <c r="B44" s="196">
        <f t="shared" si="1"/>
        <v>0.99979765175338631</v>
      </c>
      <c r="C44" s="196">
        <f t="shared" si="2"/>
        <v>10.679845800196192</v>
      </c>
      <c r="D44" s="196">
        <f t="shared" si="3"/>
        <v>0.31261878250160174</v>
      </c>
      <c r="E44" s="196">
        <f t="shared" si="4"/>
        <v>0.37936726993454656</v>
      </c>
      <c r="F44" s="196">
        <f t="shared" si="5"/>
        <v>6.1289228202507626</v>
      </c>
      <c r="G44" s="173">
        <f t="shared" si="6"/>
        <v>10649.812842145282</v>
      </c>
      <c r="H44" s="167"/>
      <c r="I44" s="197">
        <f t="shared" si="12"/>
        <v>2.333333333333333</v>
      </c>
      <c r="J44" s="173">
        <f t="shared" si="13"/>
        <v>10245.094705819305</v>
      </c>
      <c r="K44" s="173">
        <f t="shared" si="14"/>
        <v>394.26833333333337</v>
      </c>
      <c r="L44" s="173">
        <f t="shared" si="15"/>
        <v>9.8567083333333354</v>
      </c>
      <c r="M44" s="173">
        <f t="shared" si="7"/>
        <v>64.254505037998868</v>
      </c>
      <c r="N44" s="173">
        <f t="shared" si="16"/>
        <v>20.116987872127407</v>
      </c>
      <c r="O44" s="173">
        <f t="shared" si="8"/>
        <v>10647.676866759575</v>
      </c>
      <c r="P44" s="173">
        <f t="shared" si="0"/>
        <v>25.966981225603377</v>
      </c>
      <c r="Q44" s="196">
        <f t="shared" si="17"/>
        <v>0.99521067892884219</v>
      </c>
      <c r="R44" s="173">
        <f t="shared" si="9"/>
        <v>25.842617015265233</v>
      </c>
      <c r="S44" s="196">
        <f t="shared" si="10"/>
        <v>0.76764061924193971</v>
      </c>
    </row>
    <row r="45" spans="1:19">
      <c r="A45" s="197">
        <f t="shared" si="11"/>
        <v>2.4166666666666665</v>
      </c>
      <c r="B45" s="196">
        <f t="shared" si="1"/>
        <v>0.99979585064398102</v>
      </c>
      <c r="C45" s="196">
        <f t="shared" si="2"/>
        <v>10.650246585834248</v>
      </c>
      <c r="D45" s="196">
        <f t="shared" si="3"/>
        <v>0.31420404887147235</v>
      </c>
      <c r="E45" s="196">
        <f t="shared" si="4"/>
        <v>0.38108813189941171</v>
      </c>
      <c r="F45" s="196">
        <f t="shared" si="5"/>
        <v>6.0762462172103522</v>
      </c>
      <c r="G45" s="173">
        <f t="shared" si="6"/>
        <v>11056.423438285998</v>
      </c>
      <c r="H45" s="167"/>
      <c r="I45" s="197">
        <f t="shared" si="12"/>
        <v>2.4166666666666665</v>
      </c>
      <c r="J45" s="173">
        <f t="shared" si="13"/>
        <v>10649.812842145282</v>
      </c>
      <c r="K45" s="173">
        <f t="shared" si="14"/>
        <v>394.26833333333337</v>
      </c>
      <c r="L45" s="173">
        <f t="shared" si="15"/>
        <v>9.8567083333333354</v>
      </c>
      <c r="M45" s="173">
        <f t="shared" si="7"/>
        <v>66.700993399751653</v>
      </c>
      <c r="N45" s="173">
        <f t="shared" si="16"/>
        <v>20.295891452736747</v>
      </c>
      <c r="O45" s="173">
        <f t="shared" si="8"/>
        <v>11054.186190389442</v>
      </c>
      <c r="P45" s="173">
        <f t="shared" si="0"/>
        <v>26.443378702855625</v>
      </c>
      <c r="Q45" s="196">
        <f t="shared" si="17"/>
        <v>0.99501107490337315</v>
      </c>
      <c r="R45" s="173">
        <f t="shared" si="9"/>
        <v>26.311454667205339</v>
      </c>
      <c r="S45" s="196">
        <f t="shared" si="10"/>
        <v>0.76042510289827903</v>
      </c>
    </row>
    <row r="46" spans="1:19">
      <c r="A46" s="197">
        <f t="shared" si="11"/>
        <v>2.5</v>
      </c>
      <c r="B46" s="196">
        <f t="shared" si="1"/>
        <v>0.99979403190726701</v>
      </c>
      <c r="C46" s="196">
        <f t="shared" si="2"/>
        <v>10.620516408662473</v>
      </c>
      <c r="D46" s="196">
        <f t="shared" si="3"/>
        <v>0.31579792290978392</v>
      </c>
      <c r="E46" s="196">
        <f t="shared" si="4"/>
        <v>0.38281660400898754</v>
      </c>
      <c r="F46" s="196">
        <f t="shared" si="5"/>
        <v>6.023313345913655</v>
      </c>
      <c r="G46" s="173">
        <f t="shared" si="6"/>
        <v>11464.935994886851</v>
      </c>
      <c r="H46" s="167"/>
      <c r="I46" s="197">
        <f t="shared" si="12"/>
        <v>2.5</v>
      </c>
      <c r="J46" s="173">
        <f t="shared" si="13"/>
        <v>11056.423438285998</v>
      </c>
      <c r="K46" s="173">
        <f t="shared" si="14"/>
        <v>394.26833333333337</v>
      </c>
      <c r="L46" s="173">
        <f t="shared" si="15"/>
        <v>9.8567083333333354</v>
      </c>
      <c r="M46" s="173">
        <f t="shared" si="7"/>
        <v>69.158921527841258</v>
      </c>
      <c r="N46" s="173">
        <f t="shared" si="16"/>
        <v>20.476545951087694</v>
      </c>
      <c r="O46" s="173">
        <f t="shared" si="8"/>
        <v>11462.595435586696</v>
      </c>
      <c r="P46" s="173">
        <f t="shared" si="0"/>
        <v>26.922003276056785</v>
      </c>
      <c r="Q46" s="196">
        <f t="shared" si="17"/>
        <v>0.9948097361570053</v>
      </c>
      <c r="R46" s="173">
        <f t="shared" si="9"/>
        <v>26.78227097587208</v>
      </c>
      <c r="S46" s="196">
        <f t="shared" si="10"/>
        <v>0.75327740953688449</v>
      </c>
    </row>
    <row r="47" spans="1:19">
      <c r="A47" s="197">
        <f t="shared" si="11"/>
        <v>2.5833333333333335</v>
      </c>
      <c r="B47" s="196">
        <f t="shared" si="1"/>
        <v>0.99979219537075958</v>
      </c>
      <c r="C47" s="196">
        <f t="shared" si="2"/>
        <v>10.590654683710579</v>
      </c>
      <c r="D47" s="196">
        <f t="shared" si="3"/>
        <v>0.31740045963528124</v>
      </c>
      <c r="E47" s="196">
        <f t="shared" si="4"/>
        <v>0.38455272021516773</v>
      </c>
      <c r="F47" s="196">
        <f t="shared" si="5"/>
        <v>5.9701228204593955</v>
      </c>
      <c r="G47" s="173">
        <f t="shared" si="6"/>
        <v>11875.36007738443</v>
      </c>
      <c r="H47" s="167"/>
      <c r="I47" s="197">
        <f t="shared" si="12"/>
        <v>2.5833333333333335</v>
      </c>
      <c r="J47" s="173">
        <f t="shared" si="13"/>
        <v>11464.935994886851</v>
      </c>
      <c r="K47" s="173">
        <f t="shared" si="14"/>
        <v>394.26833333333337</v>
      </c>
      <c r="L47" s="173">
        <f t="shared" si="15"/>
        <v>9.8567083333333354</v>
      </c>
      <c r="M47" s="173">
        <f t="shared" si="7"/>
        <v>71.62834685289981</v>
      </c>
      <c r="N47" s="173">
        <f t="shared" si="16"/>
        <v>20.65896850006645</v>
      </c>
      <c r="O47" s="173">
        <f t="shared" si="8"/>
        <v>11872.914132118774</v>
      </c>
      <c r="P47" s="173">
        <f t="shared" si="0"/>
        <v>27.402866120910403</v>
      </c>
      <c r="Q47" s="196">
        <f t="shared" si="17"/>
        <v>0.9946066463900074</v>
      </c>
      <c r="R47" s="173">
        <f t="shared" si="9"/>
        <v>27.255072773993046</v>
      </c>
      <c r="S47" s="196">
        <f t="shared" si="10"/>
        <v>0.74619690164871233</v>
      </c>
    </row>
    <row r="48" spans="1:19">
      <c r="A48" s="197">
        <f t="shared" si="11"/>
        <v>2.666666666666667</v>
      </c>
      <c r="B48" s="196">
        <f t="shared" si="1"/>
        <v>0.99979034086028717</v>
      </c>
      <c r="C48" s="196">
        <f t="shared" si="2"/>
        <v>10.560660822563282</v>
      </c>
      <c r="D48" s="196">
        <f t="shared" si="3"/>
        <v>0.31901171453308103</v>
      </c>
      <c r="E48" s="196">
        <f t="shared" si="4"/>
        <v>0.38629651466944859</v>
      </c>
      <c r="F48" s="196">
        <f t="shared" si="5"/>
        <v>5.9166732447121326</v>
      </c>
      <c r="G48" s="173">
        <f t="shared" si="6"/>
        <v>12287.70531673971</v>
      </c>
      <c r="H48" s="167"/>
      <c r="I48" s="197">
        <f t="shared" si="12"/>
        <v>2.666666666666667</v>
      </c>
      <c r="J48" s="173">
        <f t="shared" si="13"/>
        <v>11875.36007738443</v>
      </c>
      <c r="K48" s="173">
        <f t="shared" si="14"/>
        <v>394.26833333333337</v>
      </c>
      <c r="L48" s="173">
        <f t="shared" si="15"/>
        <v>9.8567083333333354</v>
      </c>
      <c r="M48" s="173">
        <f t="shared" si="7"/>
        <v>74.109327197216899</v>
      </c>
      <c r="N48" s="173">
        <f t="shared" si="16"/>
        <v>20.84317640019659</v>
      </c>
      <c r="O48" s="173">
        <f t="shared" si="8"/>
        <v>12285.151874692148</v>
      </c>
      <c r="P48" s="173">
        <f t="shared" si="0"/>
        <v>27.885978489302943</v>
      </c>
      <c r="Q48" s="196">
        <f t="shared" si="17"/>
        <v>0.99440178915603095</v>
      </c>
      <c r="R48" s="173">
        <f t="shared" si="9"/>
        <v>27.729866902129441</v>
      </c>
      <c r="S48" s="196">
        <f t="shared" si="10"/>
        <v>0.73918294771705062</v>
      </c>
    </row>
    <row r="49" spans="1:19">
      <c r="A49" s="197">
        <f t="shared" si="11"/>
        <v>2.7500000000000004</v>
      </c>
      <c r="B49" s="196">
        <f t="shared" si="1"/>
        <v>0.99978846819997469</v>
      </c>
      <c r="C49" s="196">
        <f t="shared" si="2"/>
        <v>10.530534233321509</v>
      </c>
      <c r="D49" s="196">
        <f t="shared" si="3"/>
        <v>0.32063174356002699</v>
      </c>
      <c r="E49" s="196">
        <f t="shared" si="4"/>
        <v>0.38804802172517677</v>
      </c>
      <c r="F49" s="196">
        <f t="shared" si="5"/>
        <v>5.8629632121855044</v>
      </c>
      <c r="G49" s="173">
        <f t="shared" si="6"/>
        <v>12701.981410182594</v>
      </c>
      <c r="H49" s="167"/>
      <c r="I49" s="197">
        <f t="shared" si="12"/>
        <v>2.7500000000000004</v>
      </c>
      <c r="J49" s="173">
        <f t="shared" si="13"/>
        <v>12287.70531673971</v>
      </c>
      <c r="K49" s="173">
        <f t="shared" si="14"/>
        <v>394.26833333333337</v>
      </c>
      <c r="L49" s="173">
        <f t="shared" si="15"/>
        <v>9.8567083333333354</v>
      </c>
      <c r="M49" s="173">
        <f t="shared" si="7"/>
        <v>76.601920779171749</v>
      </c>
      <c r="N49" s="173">
        <f t="shared" si="16"/>
        <v>21.029187121198056</v>
      </c>
      <c r="O49" s="173">
        <f t="shared" si="8"/>
        <v>12699.318323687487</v>
      </c>
      <c r="P49" s="173">
        <f t="shared" si="0"/>
        <v>28.371351710198724</v>
      </c>
      <c r="Q49" s="196">
        <f t="shared" si="17"/>
        <v>0.99419514786091934</v>
      </c>
      <c r="R49" s="173">
        <f t="shared" si="9"/>
        <v>28.206660208535165</v>
      </c>
      <c r="S49" s="196">
        <f t="shared" si="10"/>
        <v>0.73223492216119257</v>
      </c>
    </row>
    <row r="50" spans="1:19">
      <c r="A50" s="197">
        <f t="shared" si="11"/>
        <v>2.8333333333333339</v>
      </c>
      <c r="B50" s="196">
        <f t="shared" si="1"/>
        <v>0.99978657721222652</v>
      </c>
      <c r="C50" s="196">
        <f t="shared" si="2"/>
        <v>10.500274320562953</v>
      </c>
      <c r="D50" s="196">
        <f t="shared" si="3"/>
        <v>0.32226060315012112</v>
      </c>
      <c r="E50" s="196">
        <f t="shared" si="4"/>
        <v>0.38980727593983477</v>
      </c>
      <c r="F50" s="196">
        <f t="shared" si="5"/>
        <v>5.8089913059237253</v>
      </c>
      <c r="G50" s="173">
        <f t="shared" si="6"/>
        <v>13118.198121968057</v>
      </c>
      <c r="H50" s="167"/>
      <c r="I50" s="197">
        <f t="shared" si="12"/>
        <v>2.8333333333333339</v>
      </c>
      <c r="J50" s="173">
        <f t="shared" si="13"/>
        <v>12701.981410182594</v>
      </c>
      <c r="K50" s="173">
        <f t="shared" si="14"/>
        <v>394.26833333333337</v>
      </c>
      <c r="L50" s="173">
        <f t="shared" si="15"/>
        <v>9.8567083333333354</v>
      </c>
      <c r="M50" s="173">
        <f t="shared" si="7"/>
        <v>79.106186217733892</v>
      </c>
      <c r="N50" s="173">
        <f t="shared" si="16"/>
        <v>21.217018303657515</v>
      </c>
      <c r="O50" s="173">
        <f t="shared" si="8"/>
        <v>13115.423205906229</v>
      </c>
      <c r="P50" s="173">
        <f t="shared" si="0"/>
        <v>28.858997190442096</v>
      </c>
      <c r="Q50" s="196">
        <f t="shared" si="17"/>
        <v>0.99398670576151216</v>
      </c>
      <c r="R50" s="173">
        <f t="shared" si="9"/>
        <v>28.685459548908273</v>
      </c>
      <c r="S50" s="196">
        <f t="shared" si="10"/>
        <v>0.72535220528064137</v>
      </c>
    </row>
    <row r="51" spans="1:19">
      <c r="A51" s="197">
        <f t="shared" si="11"/>
        <v>2.9166666666666674</v>
      </c>
      <c r="B51" s="196">
        <f t="shared" si="1"/>
        <v>0.99978466771771002</v>
      </c>
      <c r="C51" s="196">
        <f t="shared" si="2"/>
        <v>10.469880485301982</v>
      </c>
      <c r="D51" s="196">
        <f t="shared" si="3"/>
        <v>0.32389835022003149</v>
      </c>
      <c r="E51" s="196">
        <f t="shared" si="4"/>
        <v>0.39157431207736315</v>
      </c>
      <c r="F51" s="196">
        <f t="shared" si="5"/>
        <v>5.7547560983813089</v>
      </c>
      <c r="G51" s="173">
        <f t="shared" si="6"/>
        <v>13536.365284143878</v>
      </c>
      <c r="H51" s="167"/>
      <c r="I51" s="197">
        <f t="shared" si="12"/>
        <v>2.9166666666666674</v>
      </c>
      <c r="J51" s="173">
        <f t="shared" si="13"/>
        <v>13118.198121968057</v>
      </c>
      <c r="K51" s="173">
        <f t="shared" si="14"/>
        <v>394.26833333333337</v>
      </c>
      <c r="L51" s="173">
        <f t="shared" si="15"/>
        <v>9.8567083333333354</v>
      </c>
      <c r="M51" s="173">
        <f t="shared" si="7"/>
        <v>81.622182537033979</v>
      </c>
      <c r="N51" s="173">
        <f t="shared" si="16"/>
        <v>21.406687760732137</v>
      </c>
      <c r="O51" s="173">
        <f t="shared" si="8"/>
        <v>13533.476315328617</v>
      </c>
      <c r="P51" s="173">
        <f t="shared" si="0"/>
        <v>29.348926415741516</v>
      </c>
      <c r="Q51" s="196">
        <f t="shared" si="17"/>
        <v>0.99377644596444115</v>
      </c>
      <c r="R51" s="173">
        <f t="shared" si="9"/>
        <v>29.166271786307508</v>
      </c>
      <c r="S51" s="196">
        <f t="shared" si="10"/>
        <v>0.71853418319983853</v>
      </c>
    </row>
    <row r="52" spans="1:19">
      <c r="A52" s="197">
        <f t="shared" si="11"/>
        <v>3.0000000000000009</v>
      </c>
      <c r="B52" s="196">
        <f t="shared" si="1"/>
        <v>0.99978273953533869</v>
      </c>
      <c r="C52" s="196">
        <f t="shared" si="2"/>
        <v>10.439352124948869</v>
      </c>
      <c r="D52" s="196">
        <f t="shared" si="3"/>
        <v>0.32554504217467839</v>
      </c>
      <c r="E52" s="196">
        <f t="shared" si="4"/>
        <v>0.39334916511052276</v>
      </c>
      <c r="F52" s="196">
        <f t="shared" si="5"/>
        <v>5.7002561513009811</v>
      </c>
      <c r="G52" s="173">
        <f t="shared" si="6"/>
        <v>13956.492797330407</v>
      </c>
      <c r="H52" s="167"/>
      <c r="I52" s="197">
        <f t="shared" si="12"/>
        <v>3.0000000000000009</v>
      </c>
      <c r="J52" s="173">
        <f t="shared" si="13"/>
        <v>13536.365284143878</v>
      </c>
      <c r="K52" s="173">
        <f t="shared" si="14"/>
        <v>394.26833333333337</v>
      </c>
      <c r="L52" s="173">
        <f t="shared" si="15"/>
        <v>9.8567083333333354</v>
      </c>
      <c r="M52" s="173">
        <f t="shared" si="7"/>
        <v>84.149969171004685</v>
      </c>
      <c r="N52" s="173">
        <f t="shared" si="16"/>
        <v>21.598213479808805</v>
      </c>
      <c r="O52" s="173">
        <f t="shared" si="8"/>
        <v>13953.487513883594</v>
      </c>
      <c r="P52" s="173">
        <f t="shared" si="0"/>
        <v>29.841150951480813</v>
      </c>
      <c r="Q52" s="196">
        <f t="shared" si="17"/>
        <v>0.99356435142491983</v>
      </c>
      <c r="R52" s="173">
        <f t="shared" si="9"/>
        <v>29.649103790881163</v>
      </c>
      <c r="S52" s="196">
        <f t="shared" si="10"/>
        <v>0.71178024781341076</v>
      </c>
    </row>
    <row r="53" spans="1:19">
      <c r="A53" s="197">
        <f t="shared" si="11"/>
        <v>3.0833333333333344</v>
      </c>
      <c r="B53" s="196">
        <f t="shared" si="1"/>
        <v>0.9997807924822546</v>
      </c>
      <c r="C53" s="196">
        <f t="shared" si="2"/>
        <v>10.408688633268344</v>
      </c>
      <c r="D53" s="196">
        <f t="shared" si="3"/>
        <v>0.32720073691289958</v>
      </c>
      <c r="E53" s="196">
        <f t="shared" si="4"/>
        <v>0.39513187022329599</v>
      </c>
      <c r="F53" s="196">
        <f t="shared" si="5"/>
        <v>5.645490015589762</v>
      </c>
      <c r="G53" s="173">
        <f t="shared" si="6"/>
        <v>14378.590631512387</v>
      </c>
      <c r="H53" s="167"/>
      <c r="I53" s="197">
        <f t="shared" si="12"/>
        <v>3.0833333333333344</v>
      </c>
      <c r="J53" s="173">
        <f t="shared" si="13"/>
        <v>13956.492797330407</v>
      </c>
      <c r="K53" s="173">
        <f t="shared" si="14"/>
        <v>394.26833333333337</v>
      </c>
      <c r="L53" s="173">
        <f t="shared" si="15"/>
        <v>9.8567083333333354</v>
      </c>
      <c r="M53" s="173">
        <f t="shared" si="7"/>
        <v>86.689605968094298</v>
      </c>
      <c r="N53" s="173">
        <f t="shared" si="16"/>
        <v>21.791613624185629</v>
      </c>
      <c r="O53" s="173">
        <f t="shared" si="8"/>
        <v>14375.466732230609</v>
      </c>
      <c r="P53" s="173">
        <f t="shared" si="0"/>
        <v>30.33568244370872</v>
      </c>
      <c r="Q53" s="196">
        <f t="shared" si="17"/>
        <v>0.99335040494552551</v>
      </c>
      <c r="R53" s="173">
        <f t="shared" si="9"/>
        <v>30.133962439756925</v>
      </c>
      <c r="S53" s="196">
        <f t="shared" si="10"/>
        <v>0.70508979673193417</v>
      </c>
    </row>
    <row r="54" spans="1:19">
      <c r="A54" s="197">
        <f t="shared" si="11"/>
        <v>3.1666666666666679</v>
      </c>
      <c r="B54" s="196">
        <f t="shared" si="1"/>
        <v>0.99977882637381144</v>
      </c>
      <c r="C54" s="196">
        <f t="shared" si="2"/>
        <v>10.377889400337461</v>
      </c>
      <c r="D54" s="196">
        <f t="shared" si="3"/>
        <v>0.32886549283319672</v>
      </c>
      <c r="E54" s="196">
        <f t="shared" si="4"/>
        <v>0.39692246281332849</v>
      </c>
      <c r="F54" s="196">
        <f t="shared" si="5"/>
        <v>5.5904562311931771</v>
      </c>
      <c r="G54" s="173">
        <f t="shared" si="6"/>
        <v>14802.66882684315</v>
      </c>
      <c r="H54" s="167"/>
      <c r="I54" s="197">
        <f t="shared" si="12"/>
        <v>3.1666666666666679</v>
      </c>
      <c r="J54" s="173">
        <f t="shared" si="13"/>
        <v>14378.590631512387</v>
      </c>
      <c r="K54" s="173">
        <f t="shared" si="14"/>
        <v>394.26833333333337</v>
      </c>
      <c r="L54" s="173">
        <f t="shared" si="15"/>
        <v>9.8567083333333354</v>
      </c>
      <c r="M54" s="173">
        <f t="shared" si="7"/>
        <v>89.241153196053276</v>
      </c>
      <c r="N54" s="173">
        <f t="shared" si="16"/>
        <v>21.986906534842515</v>
      </c>
      <c r="O54" s="173">
        <f t="shared" si="8"/>
        <v>14799.423970553611</v>
      </c>
      <c r="P54" s="173">
        <f t="shared" si="0"/>
        <v>30.832532619986523</v>
      </c>
      <c r="Q54" s="196">
        <f t="shared" si="17"/>
        <v>0.99313458917497555</v>
      </c>
      <c r="R54" s="173">
        <f t="shared" si="9"/>
        <v>30.620854616774349</v>
      </c>
      <c r="S54" s="196">
        <f t="shared" si="10"/>
        <v>0.69846223322820544</v>
      </c>
    </row>
    <row r="55" spans="1:19">
      <c r="A55" s="197">
        <f t="shared" si="11"/>
        <v>3.2500000000000013</v>
      </c>
      <c r="B55" s="196">
        <f t="shared" si="1"/>
        <v>0.99977684102355668</v>
      </c>
      <c r="C55" s="196">
        <f t="shared" si="2"/>
        <v>10.346953812502745</v>
      </c>
      <c r="D55" s="196">
        <f t="shared" si="3"/>
        <v>0.33053936883956309</v>
      </c>
      <c r="E55" s="196">
        <f t="shared" si="4"/>
        <v>0.39872097849441096</v>
      </c>
      <c r="F55" s="196">
        <f t="shared" si="5"/>
        <v>5.5351533269675706</v>
      </c>
      <c r="G55" s="173">
        <f t="shared" si="6"/>
        <v>15228.737494461304</v>
      </c>
      <c r="H55" s="167"/>
      <c r="I55" s="197">
        <f t="shared" si="12"/>
        <v>3.2500000000000013</v>
      </c>
      <c r="J55" s="173">
        <f t="shared" si="13"/>
        <v>14802.66882684315</v>
      </c>
      <c r="K55" s="173">
        <f t="shared" si="14"/>
        <v>394.26833333333337</v>
      </c>
      <c r="L55" s="173">
        <f t="shared" si="15"/>
        <v>9.8567083333333354</v>
      </c>
      <c r="M55" s="173">
        <f t="shared" si="7"/>
        <v>91.804671546795504</v>
      </c>
      <c r="N55" s="173">
        <f t="shared" si="16"/>
        <v>22.184110732133789</v>
      </c>
      <c r="O55" s="173">
        <f t="shared" si="8"/>
        <v>15225.369299367379</v>
      </c>
      <c r="P55" s="173">
        <f t="shared" si="0"/>
        <v>31.331713290432162</v>
      </c>
      <c r="Q55" s="196">
        <f t="shared" si="17"/>
        <v>0.99291688660689537</v>
      </c>
      <c r="R55" s="173">
        <f t="shared" si="9"/>
        <v>31.109787212395787</v>
      </c>
      <c r="S55" s="196">
        <f t="shared" si="10"/>
        <v>0.69189696618401908</v>
      </c>
    </row>
    <row r="56" spans="1:19">
      <c r="A56" s="197">
        <f t="shared" si="11"/>
        <v>3.3333333333333348</v>
      </c>
      <c r="B56" s="196">
        <f t="shared" si="1"/>
        <v>0.9997748362432145</v>
      </c>
      <c r="C56" s="196">
        <f t="shared" si="2"/>
        <v>10.315881252336641</v>
      </c>
      <c r="D56" s="196">
        <f t="shared" si="3"/>
        <v>0.33222242434739513</v>
      </c>
      <c r="E56" s="196">
        <f t="shared" si="4"/>
        <v>0.40052745309900334</v>
      </c>
      <c r="F56" s="196">
        <f t="shared" si="5"/>
        <v>5.4795798205504935</v>
      </c>
      <c r="G56" s="173">
        <f t="shared" si="6"/>
        <v>15656.806817320168</v>
      </c>
      <c r="H56" s="167"/>
      <c r="I56" s="197">
        <f t="shared" si="12"/>
        <v>3.3333333333333348</v>
      </c>
      <c r="J56" s="173">
        <f t="shared" si="13"/>
        <v>15228.737494461304</v>
      </c>
      <c r="K56" s="173">
        <f t="shared" si="14"/>
        <v>394.26833333333337</v>
      </c>
      <c r="L56" s="173">
        <f t="shared" si="15"/>
        <v>9.8567083333333354</v>
      </c>
      <c r="M56" s="173">
        <f t="shared" si="7"/>
        <v>94.380222141335111</v>
      </c>
      <c r="N56" s="173">
        <f t="shared" si="16"/>
        <v>22.383244917581081</v>
      </c>
      <c r="O56" s="173">
        <f t="shared" si="8"/>
        <v>15653.312860336444</v>
      </c>
      <c r="P56" s="173">
        <f t="shared" si="0"/>
        <v>31.833236348615173</v>
      </c>
      <c r="Q56" s="196">
        <f t="shared" si="17"/>
        <v>0.99269727957858067</v>
      </c>
      <c r="R56" s="173">
        <f t="shared" si="9"/>
        <v>31.600767123452272</v>
      </c>
      <c r="S56" s="196">
        <f t="shared" si="10"/>
        <v>0.68539341003744603</v>
      </c>
    </row>
    <row r="57" spans="1:19">
      <c r="A57" s="197">
        <f t="shared" si="11"/>
        <v>3.4166666666666683</v>
      </c>
      <c r="B57" s="196">
        <f t="shared" si="1"/>
        <v>0.99977281184266731</v>
      </c>
      <c r="C57" s="196">
        <f t="shared" si="2"/>
        <v>10.284671098593215</v>
      </c>
      <c r="D57" s="196">
        <f t="shared" si="3"/>
        <v>0.33391471928948813</v>
      </c>
      <c r="E57" s="196">
        <f t="shared" si="4"/>
        <v>0.40234192268080082</v>
      </c>
      <c r="F57" s="196">
        <f t="shared" si="5"/>
        <v>5.4237342182291277</v>
      </c>
      <c r="G57" s="173">
        <f t="shared" si="6"/>
        <v>16086.887051030208</v>
      </c>
      <c r="H57" s="167"/>
      <c r="I57" s="197">
        <f t="shared" si="12"/>
        <v>3.4166666666666683</v>
      </c>
      <c r="J57" s="173">
        <f t="shared" si="13"/>
        <v>15656.806817320168</v>
      </c>
      <c r="K57" s="173">
        <f t="shared" si="14"/>
        <v>394.26833333333337</v>
      </c>
      <c r="L57" s="173">
        <f t="shared" si="15"/>
        <v>9.8567083333333354</v>
      </c>
      <c r="M57" s="173">
        <f t="shared" si="7"/>
        <v>96.967866534800336</v>
      </c>
      <c r="N57" s="173">
        <f t="shared" si="16"/>
        <v>22.584327975588192</v>
      </c>
      <c r="O57" s="173">
        <f t="shared" si="8"/>
        <v>16083.264867106815</v>
      </c>
      <c r="P57" s="173">
        <f t="shared" si="0"/>
        <v>32.337113772566227</v>
      </c>
      <c r="Q57" s="196">
        <f t="shared" si="17"/>
        <v>0.99247575026975188</v>
      </c>
      <c r="R57" s="173">
        <f t="shared" si="9"/>
        <v>32.09380125298599</v>
      </c>
      <c r="S57" s="196">
        <f t="shared" si="10"/>
        <v>0.67895098473060611</v>
      </c>
    </row>
    <row r="58" spans="1:19">
      <c r="A58" s="197">
        <f t="shared" si="11"/>
        <v>3.5000000000000018</v>
      </c>
      <c r="B58" s="196">
        <f t="shared" si="1"/>
        <v>0.99977076762993811</v>
      </c>
      <c r="C58" s="196">
        <f t="shared" si="2"/>
        <v>10.253322726163121</v>
      </c>
      <c r="D58" s="196">
        <f t="shared" si="3"/>
        <v>0.33561631412211823</v>
      </c>
      <c r="E58" s="196">
        <f t="shared" si="4"/>
        <v>0.40416442351734377</v>
      </c>
      <c r="F58" s="196">
        <f t="shared" si="5"/>
        <v>5.367615014806713</v>
      </c>
      <c r="G58" s="173">
        <f t="shared" si="6"/>
        <v>16518.98852471467</v>
      </c>
      <c r="H58" s="167"/>
      <c r="I58" s="197">
        <f t="shared" si="12"/>
        <v>3.5000000000000018</v>
      </c>
      <c r="J58" s="173">
        <f t="shared" si="13"/>
        <v>16086.887051030208</v>
      </c>
      <c r="K58" s="173">
        <f t="shared" si="14"/>
        <v>394.26833333333337</v>
      </c>
      <c r="L58" s="173">
        <f t="shared" si="15"/>
        <v>9.8567083333333354</v>
      </c>
      <c r="M58" s="173">
        <f t="shared" si="7"/>
        <v>99.567666721525981</v>
      </c>
      <c r="N58" s="173">
        <f t="shared" si="16"/>
        <v>22.787378975289656</v>
      </c>
      <c r="O58" s="173">
        <f t="shared" si="8"/>
        <v>16515.235606150742</v>
      </c>
      <c r="P58" s="173">
        <f t="shared" si="0"/>
        <v>32.843357625704812</v>
      </c>
      <c r="Q58" s="196">
        <f t="shared" si="17"/>
        <v>0.99225228070130267</v>
      </c>
      <c r="R58" s="173">
        <f t="shared" si="9"/>
        <v>32.588896509994122</v>
      </c>
      <c r="S58" s="196">
        <f t="shared" si="10"/>
        <v>0.67256911565793243</v>
      </c>
    </row>
    <row r="59" spans="1:19">
      <c r="A59" s="197">
        <f t="shared" si="11"/>
        <v>3.5833333333333353</v>
      </c>
      <c r="B59" s="196">
        <f t="shared" si="1"/>
        <v>0.99976870341117252</v>
      </c>
      <c r="C59" s="196">
        <f t="shared" si="2"/>
        <v>10.221835506027817</v>
      </c>
      <c r="D59" s="196">
        <f t="shared" si="3"/>
        <v>0.33732726983121158</v>
      </c>
      <c r="E59" s="196">
        <f t="shared" si="4"/>
        <v>0.40599499211267009</v>
      </c>
      <c r="F59" s="196">
        <f t="shared" si="5"/>
        <v>5.3112206934669528</v>
      </c>
      <c r="G59" s="173">
        <f t="shared" si="6"/>
        <v>16953.121641878566</v>
      </c>
      <c r="H59" s="167"/>
      <c r="I59" s="197">
        <f t="shared" si="12"/>
        <v>3.5833333333333353</v>
      </c>
      <c r="J59" s="173">
        <f t="shared" si="13"/>
        <v>16518.98852471467</v>
      </c>
      <c r="K59" s="173">
        <f t="shared" si="14"/>
        <v>394.26833333333337</v>
      </c>
      <c r="L59" s="173">
        <f t="shared" si="15"/>
        <v>9.8567083333333354</v>
      </c>
      <c r="M59" s="173">
        <f t="shared" si="7"/>
        <v>102.17968514022567</v>
      </c>
      <c r="N59" s="173">
        <f t="shared" si="16"/>
        <v>22.9924171723213</v>
      </c>
      <c r="O59" s="173">
        <f t="shared" si="8"/>
        <v>16949.235437624651</v>
      </c>
      <c r="P59" s="173">
        <f t="shared" si="0"/>
        <v>33.351980057923356</v>
      </c>
      <c r="Q59" s="196">
        <f t="shared" si="17"/>
        <v>0.99202685273404101</v>
      </c>
      <c r="R59" s="173">
        <f t="shared" si="9"/>
        <v>33.086059809310207</v>
      </c>
      <c r="S59" s="196">
        <f t="shared" si="10"/>
        <v>0.66624723361492166</v>
      </c>
    </row>
    <row r="60" spans="1:19">
      <c r="A60" s="197">
        <f t="shared" si="11"/>
        <v>3.6666666666666687</v>
      </c>
      <c r="B60" s="196">
        <f t="shared" si="1"/>
        <v>0.99976661899061969</v>
      </c>
      <c r="C60" s="196">
        <f t="shared" si="2"/>
        <v>10.190208805213</v>
      </c>
      <c r="D60" s="196">
        <f t="shared" si="3"/>
        <v>0.33904764793860231</v>
      </c>
      <c r="E60" s="196">
        <f t="shared" si="4"/>
        <v>0.40783366520001307</v>
      </c>
      <c r="F60" s="196">
        <f t="shared" si="5"/>
        <v>5.2545497256363518</v>
      </c>
      <c r="G60" s="173">
        <f t="shared" si="6"/>
        <v>17389.296881291284</v>
      </c>
      <c r="H60" s="167"/>
      <c r="I60" s="197">
        <f t="shared" si="12"/>
        <v>3.6666666666666687</v>
      </c>
      <c r="J60" s="173">
        <f t="shared" si="13"/>
        <v>16953.121641878566</v>
      </c>
      <c r="K60" s="173">
        <f t="shared" si="14"/>
        <v>394.26833333333337</v>
      </c>
      <c r="L60" s="173">
        <f t="shared" si="15"/>
        <v>9.8567083333333354</v>
      </c>
      <c r="M60" s="173">
        <f t="shared" si="7"/>
        <v>104.80398467924478</v>
      </c>
      <c r="N60" s="173">
        <f t="shared" si="16"/>
        <v>23.199462010624245</v>
      </c>
      <c r="O60" s="173">
        <f t="shared" si="8"/>
        <v>17385.274796240534</v>
      </c>
      <c r="P60" s="173">
        <f t="shared" si="0"/>
        <v>33.862993306654971</v>
      </c>
      <c r="Q60" s="196">
        <f t="shared" si="17"/>
        <v>0.99179944806742371</v>
      </c>
      <c r="R60" s="173">
        <f t="shared" si="9"/>
        <v>33.585298071451263</v>
      </c>
      <c r="S60" s="196">
        <f t="shared" si="10"/>
        <v>0.65998477474736639</v>
      </c>
    </row>
    <row r="61" spans="1:19">
      <c r="A61" s="197">
        <f t="shared" si="11"/>
        <v>3.7500000000000022</v>
      </c>
      <c r="B61" s="196">
        <f t="shared" si="1"/>
        <v>0.99976451417061485</v>
      </c>
      <c r="C61" s="196">
        <f t="shared" si="2"/>
        <v>10.158441986741263</v>
      </c>
      <c r="D61" s="196">
        <f t="shared" si="3"/>
        <v>0.34077751050838068</v>
      </c>
      <c r="E61" s="196">
        <f t="shared" si="4"/>
        <v>0.40968047974454536</v>
      </c>
      <c r="F61" s="196">
        <f t="shared" si="5"/>
        <v>5.1976005708444637</v>
      </c>
      <c r="G61" s="173">
        <f t="shared" si="6"/>
        <v>17827.524797883241</v>
      </c>
      <c r="H61" s="167"/>
      <c r="I61" s="197">
        <f t="shared" si="12"/>
        <v>3.7500000000000022</v>
      </c>
      <c r="J61" s="173">
        <f t="shared" si="13"/>
        <v>17389.296881291284</v>
      </c>
      <c r="K61" s="173">
        <f t="shared" si="14"/>
        <v>394.26833333333337</v>
      </c>
      <c r="L61" s="173">
        <f t="shared" si="15"/>
        <v>9.8567083333333354</v>
      </c>
      <c r="M61" s="173">
        <f t="shared" si="7"/>
        <v>107.4406286818957</v>
      </c>
      <c r="N61" s="173">
        <f t="shared" si="16"/>
        <v>23.408533124360247</v>
      </c>
      <c r="O61" s="173">
        <f t="shared" si="8"/>
        <v>17823.364192151159</v>
      </c>
      <c r="P61" s="173">
        <f t="shared" si="0"/>
        <v>34.376409697662893</v>
      </c>
      <c r="Q61" s="196">
        <f t="shared" si="17"/>
        <v>0.99157004823828476</v>
      </c>
      <c r="R61" s="173">
        <f t="shared" si="9"/>
        <v>34.086618222170635</v>
      </c>
      <c r="S61" s="196">
        <f t="shared" si="10"/>
        <v>0.6537811805010646</v>
      </c>
    </row>
    <row r="62" spans="1:19">
      <c r="A62" s="197">
        <f t="shared" si="11"/>
        <v>3.8333333333333357</v>
      </c>
      <c r="B62" s="196">
        <f t="shared" si="1"/>
        <v>0.99976238875155943</v>
      </c>
      <c r="C62" s="196">
        <f t="shared" si="2"/>
        <v>10.126534409583956</v>
      </c>
      <c r="D62" s="196">
        <f t="shared" si="3"/>
        <v>0.34251692015333274</v>
      </c>
      <c r="E62" s="196">
        <f t="shared" si="4"/>
        <v>0.41153547294616755</v>
      </c>
      <c r="F62" s="196">
        <f t="shared" si="5"/>
        <v>5.1403716765820011</v>
      </c>
      <c r="G62" s="173">
        <f t="shared" si="6"/>
        <v>18267.816023656418</v>
      </c>
      <c r="H62" s="167"/>
      <c r="I62" s="197">
        <f t="shared" si="12"/>
        <v>3.8333333333333357</v>
      </c>
      <c r="J62" s="173">
        <f t="shared" si="13"/>
        <v>17827.524797883241</v>
      </c>
      <c r="K62" s="173">
        <f t="shared" si="14"/>
        <v>394.26833333333337</v>
      </c>
      <c r="L62" s="173">
        <f t="shared" si="15"/>
        <v>9.8567083333333354</v>
      </c>
      <c r="M62" s="173">
        <f t="shared" si="7"/>
        <v>110.08968095187815</v>
      </c>
      <c r="N62" s="173">
        <f t="shared" si="16"/>
        <v>23.619650339660019</v>
      </c>
      <c r="O62" s="173">
        <f t="shared" si="8"/>
        <v>18263.514211849033</v>
      </c>
      <c r="P62" s="173">
        <f t="shared" si="0"/>
        <v>34.892241646426555</v>
      </c>
      <c r="Q62" s="196">
        <f t="shared" si="17"/>
        <v>0.99133863461955563</v>
      </c>
      <c r="R62" s="173">
        <f t="shared" si="9"/>
        <v>34.590027192584095</v>
      </c>
      <c r="S62" s="196">
        <f t="shared" si="10"/>
        <v>0.64763589757200102</v>
      </c>
    </row>
    <row r="63" spans="1:19">
      <c r="A63" s="197">
        <f t="shared" si="11"/>
        <v>3.9166666666666692</v>
      </c>
      <c r="B63" s="196">
        <f t="shared" si="1"/>
        <v>0.99976024253190321</v>
      </c>
      <c r="C63" s="196">
        <f t="shared" si="2"/>
        <v>10.094485428612236</v>
      </c>
      <c r="D63" s="196">
        <f t="shared" si="3"/>
        <v>0.34426594004147348</v>
      </c>
      <c r="E63" s="196">
        <f t="shared" si="4"/>
        <v>0.41339868224234516</v>
      </c>
      <c r="F63" s="196">
        <f t="shared" si="5"/>
        <v>5.0828614781567847</v>
      </c>
      <c r="G63" s="173">
        <f t="shared" si="6"/>
        <v>18710.18126860942</v>
      </c>
      <c r="H63" s="167"/>
      <c r="I63" s="197">
        <f t="shared" si="12"/>
        <v>3.9166666666666692</v>
      </c>
      <c r="J63" s="173">
        <f t="shared" si="13"/>
        <v>18267.816023656418</v>
      </c>
      <c r="K63" s="173">
        <f t="shared" si="14"/>
        <v>394.26833333333337</v>
      </c>
      <c r="L63" s="173">
        <f t="shared" si="15"/>
        <v>9.8567083333333354</v>
      </c>
      <c r="M63" s="173">
        <f t="shared" si="7"/>
        <v>112.75120575878314</v>
      </c>
      <c r="N63" s="173">
        <f t="shared" si="16"/>
        <v>23.832833676616513</v>
      </c>
      <c r="O63" s="173">
        <f t="shared" si="8"/>
        <v>18705.735519079637</v>
      </c>
      <c r="P63" s="173">
        <f t="shared" si="0"/>
        <v>35.410501658949215</v>
      </c>
      <c r="Q63" s="196">
        <f t="shared" si="17"/>
        <v>0.99110518841898065</v>
      </c>
      <c r="R63" s="173">
        <f t="shared" si="9"/>
        <v>35.095531918703486</v>
      </c>
      <c r="S63" s="196">
        <f t="shared" si="10"/>
        <v>0.64154837785699848</v>
      </c>
    </row>
    <row r="64" spans="1:19">
      <c r="A64" s="197">
        <f t="shared" si="11"/>
        <v>4.0000000000000027</v>
      </c>
      <c r="B64" s="196">
        <f t="shared" si="1"/>
        <v>0.99975807530812455</v>
      </c>
      <c r="C64" s="196">
        <f t="shared" si="2"/>
        <v>10.062294394547294</v>
      </c>
      <c r="D64" s="196">
        <f t="shared" si="3"/>
        <v>0.34602463390267435</v>
      </c>
      <c r="E64" s="196">
        <f t="shared" si="4"/>
        <v>0.41527014531099216</v>
      </c>
      <c r="F64" s="196">
        <f t="shared" si="5"/>
        <v>5.025068398547484</v>
      </c>
      <c r="G64" s="173">
        <f t="shared" si="6"/>
        <v>19154.631321676989</v>
      </c>
      <c r="H64" s="167"/>
      <c r="I64" s="197">
        <f t="shared" si="12"/>
        <v>4.0000000000000027</v>
      </c>
      <c r="J64" s="173">
        <f t="shared" si="13"/>
        <v>18710.18126860942</v>
      </c>
      <c r="K64" s="173">
        <f t="shared" si="14"/>
        <v>394.26833333333337</v>
      </c>
      <c r="L64" s="173">
        <f t="shared" si="15"/>
        <v>9.8567083333333354</v>
      </c>
      <c r="M64" s="173">
        <f t="shared" si="7"/>
        <v>115.42526784368502</v>
      </c>
      <c r="N64" s="173">
        <f t="shared" si="16"/>
        <v>24.048103351077774</v>
      </c>
      <c r="O64" s="173">
        <f t="shared" si="8"/>
        <v>19150.038855768977</v>
      </c>
      <c r="P64" s="173">
        <f t="shared" si="0"/>
        <v>35.931202333053079</v>
      </c>
      <c r="Q64" s="196">
        <f t="shared" si="17"/>
        <v>0.99086969067782449</v>
      </c>
      <c r="R64" s="173">
        <f t="shared" si="9"/>
        <v>35.603139341434627</v>
      </c>
      <c r="S64" s="196">
        <f t="shared" si="10"/>
        <v>0.63551807840483088</v>
      </c>
    </row>
    <row r="65" spans="1:19">
      <c r="A65" s="197">
        <f t="shared" si="11"/>
        <v>4.0833333333333357</v>
      </c>
      <c r="B65" s="196">
        <f t="shared" si="1"/>
        <v>0.99975588687471129</v>
      </c>
      <c r="C65" s="196">
        <f t="shared" si="2"/>
        <v>10.029960653909727</v>
      </c>
      <c r="D65" s="196">
        <f t="shared" si="3"/>
        <v>0.34779306603538696</v>
      </c>
      <c r="E65" s="196">
        <f t="shared" si="4"/>
        <v>0.41714990007340508</v>
      </c>
      <c r="F65" s="196">
        <f t="shared" si="5"/>
        <v>4.9669908482551222</v>
      </c>
      <c r="G65" s="173">
        <f t="shared" si="6"/>
        <v>19601.177051684535</v>
      </c>
      <c r="H65" s="167"/>
      <c r="I65" s="197">
        <f t="shared" si="12"/>
        <v>4.0833333333333357</v>
      </c>
      <c r="J65" s="173">
        <f t="shared" si="13"/>
        <v>19154.631321676989</v>
      </c>
      <c r="K65" s="173">
        <f t="shared" si="14"/>
        <v>394.26833333333337</v>
      </c>
      <c r="L65" s="173">
        <f t="shared" si="15"/>
        <v>9.8567083333333354</v>
      </c>
      <c r="M65" s="173">
        <f t="shared" si="7"/>
        <v>118.11193242482062</v>
      </c>
      <c r="N65" s="173">
        <f t="shared" si="16"/>
        <v>24.265479776629114</v>
      </c>
      <c r="O65" s="173">
        <f t="shared" si="8"/>
        <v>19596.43504296591</v>
      </c>
      <c r="P65" s="173">
        <f t="shared" si="0"/>
        <v>36.454356359270605</v>
      </c>
      <c r="Q65" s="196">
        <f t="shared" si="17"/>
        <v>0.99063212226957376</v>
      </c>
      <c r="R65" s="173">
        <f t="shared" si="9"/>
        <v>36.112856406155572</v>
      </c>
      <c r="S65" s="196">
        <f t="shared" si="10"/>
        <v>0.62954446136779829</v>
      </c>
    </row>
    <row r="66" spans="1:19">
      <c r="A66" s="197">
        <f t="shared" si="11"/>
        <v>4.1666666666666687</v>
      </c>
      <c r="B66" s="196">
        <f t="shared" si="1"/>
        <v>0.99975367702414175</v>
      </c>
      <c r="C66" s="196">
        <f t="shared" si="2"/>
        <v>9.9974835489680824</v>
      </c>
      <c r="D66" s="196">
        <f t="shared" si="3"/>
        <v>0.34957130131346476</v>
      </c>
      <c r="E66" s="196">
        <f t="shared" si="4"/>
        <v>0.41903798469724496</v>
      </c>
      <c r="F66" s="196">
        <f t="shared" si="5"/>
        <v>4.9086272251522978</v>
      </c>
      <c r="G66" s="173">
        <f t="shared" si="6"/>
        <v>20049.829408317626</v>
      </c>
      <c r="H66" s="167"/>
      <c r="I66" s="197">
        <f t="shared" si="12"/>
        <v>4.1666666666666687</v>
      </c>
      <c r="J66" s="173">
        <f t="shared" si="13"/>
        <v>19601.177051684535</v>
      </c>
      <c r="K66" s="173">
        <f t="shared" si="14"/>
        <v>394.26833333333337</v>
      </c>
      <c r="L66" s="173">
        <f t="shared" si="15"/>
        <v>9.8567083333333354</v>
      </c>
      <c r="M66" s="173">
        <f t="shared" si="7"/>
        <v>120.81126520335948</v>
      </c>
      <c r="N66" s="173">
        <f t="shared" si="16"/>
        <v>24.484983566508451</v>
      </c>
      <c r="O66" s="173">
        <f t="shared" si="8"/>
        <v>20044.934981799255</v>
      </c>
      <c r="P66" s="173">
        <f t="shared" si="0"/>
        <v>36.979976522132347</v>
      </c>
      <c r="Q66" s="196">
        <f t="shared" si="17"/>
        <v>0.99039246389863178</v>
      </c>
      <c r="R66" s="173">
        <f t="shared" si="9"/>
        <v>36.624690062668208</v>
      </c>
      <c r="S66" s="196">
        <f t="shared" si="10"/>
        <v>0.62362699395375465</v>
      </c>
    </row>
    <row r="67" spans="1:19">
      <c r="A67" s="197">
        <f t="shared" si="11"/>
        <v>4.2500000000000018</v>
      </c>
      <c r="B67" s="196">
        <f t="shared" si="1"/>
        <v>0.99975144554686424</v>
      </c>
      <c r="C67" s="196">
        <f t="shared" si="2"/>
        <v>9.9648624176865006</v>
      </c>
      <c r="D67" s="196">
        <f t="shared" si="3"/>
        <v>0.35135940519308378</v>
      </c>
      <c r="E67" s="196">
        <f t="shared" si="4"/>
        <v>0.4209344375995705</v>
      </c>
      <c r="F67" s="196">
        <f t="shared" si="5"/>
        <v>4.8499759143300931</v>
      </c>
      <c r="G67" s="173">
        <f t="shared" si="6"/>
        <v>20500.599423106883</v>
      </c>
      <c r="H67" s="167"/>
      <c r="I67" s="197">
        <f t="shared" si="12"/>
        <v>4.2500000000000018</v>
      </c>
      <c r="J67" s="173">
        <f t="shared" si="13"/>
        <v>20049.829408317626</v>
      </c>
      <c r="K67" s="173">
        <f t="shared" si="14"/>
        <v>394.26833333333337</v>
      </c>
      <c r="L67" s="173">
        <f t="shared" si="15"/>
        <v>9.8567083333333354</v>
      </c>
      <c r="M67" s="173">
        <f t="shared" si="7"/>
        <v>123.52333236926415</v>
      </c>
      <c r="N67" s="173">
        <f t="shared" si="16"/>
        <v>24.706635535510518</v>
      </c>
      <c r="O67" s="173">
        <f t="shared" si="8"/>
        <v>20495.549654450107</v>
      </c>
      <c r="P67" s="173">
        <f t="shared" si="0"/>
        <v>37.508075701272901</v>
      </c>
      <c r="Q67" s="196">
        <f t="shared" si="17"/>
        <v>0.99015069609900708</v>
      </c>
      <c r="R67" s="173">
        <f t="shared" si="9"/>
        <v>37.138647264949618</v>
      </c>
      <c r="S67" s="196">
        <f t="shared" si="10"/>
        <v>0.61776514837858842</v>
      </c>
    </row>
    <row r="68" spans="1:19">
      <c r="A68" s="197">
        <f t="shared" si="11"/>
        <v>4.3333333333333348</v>
      </c>
      <c r="B68" s="196">
        <f t="shared" si="1"/>
        <v>0.99974919223127789</v>
      </c>
      <c r="C68" s="196">
        <f t="shared" si="2"/>
        <v>9.9320965936714956</v>
      </c>
      <c r="D68" s="196">
        <f t="shared" si="3"/>
        <v>0.35315744371976454</v>
      </c>
      <c r="E68" s="196">
        <f t="shared" si="4"/>
        <v>0.42283929744992277</v>
      </c>
      <c r="F68" s="196">
        <f t="shared" si="5"/>
        <v>4.7910352879426279</v>
      </c>
      <c r="G68" s="173">
        <f t="shared" si="6"/>
        <v>20953.498210428519</v>
      </c>
      <c r="H68" s="167"/>
      <c r="I68" s="197">
        <f t="shared" si="12"/>
        <v>4.3333333333333348</v>
      </c>
      <c r="J68" s="173">
        <f t="shared" si="13"/>
        <v>20500.599423106883</v>
      </c>
      <c r="K68" s="173">
        <f t="shared" si="14"/>
        <v>394.26833333333337</v>
      </c>
      <c r="L68" s="173">
        <f t="shared" si="15"/>
        <v>9.8567083333333354</v>
      </c>
      <c r="M68" s="173">
        <f t="shared" si="7"/>
        <v>126.248200607244</v>
      </c>
      <c r="N68" s="173">
        <f t="shared" si="16"/>
        <v>24.930456702046971</v>
      </c>
      <c r="O68" s="173">
        <f t="shared" si="8"/>
        <v>20948.290125139545</v>
      </c>
      <c r="P68" s="173">
        <f t="shared" si="0"/>
        <v>38.038666872533213</v>
      </c>
      <c r="Q68" s="196">
        <f t="shared" si="17"/>
        <v>0.98990679923299585</v>
      </c>
      <c r="R68" s="173">
        <f t="shared" si="9"/>
        <v>37.654734970879545</v>
      </c>
      <c r="S68" s="196">
        <f t="shared" si="10"/>
        <v>0.61195840181914818</v>
      </c>
    </row>
    <row r="69" spans="1:19">
      <c r="A69" s="197">
        <f t="shared" si="11"/>
        <v>4.4166666666666679</v>
      </c>
      <c r="B69" s="196">
        <f t="shared" si="1"/>
        <v>0.99974691686371275</v>
      </c>
      <c r="C69" s="196">
        <f t="shared" si="2"/>
        <v>9.8991854061178248</v>
      </c>
      <c r="D69" s="196">
        <f t="shared" si="3"/>
        <v>0.35496548353549667</v>
      </c>
      <c r="E69" s="196">
        <f t="shared" si="4"/>
        <v>0.42475260317346164</v>
      </c>
      <c r="F69" s="196">
        <f t="shared" si="5"/>
        <v>4.7318037050492139</v>
      </c>
      <c r="G69" s="173">
        <f t="shared" si="6"/>
        <v>21408.536968520766</v>
      </c>
      <c r="H69" s="167"/>
      <c r="I69" s="197">
        <f t="shared" si="12"/>
        <v>4.4166666666666679</v>
      </c>
      <c r="J69" s="173">
        <f t="shared" si="13"/>
        <v>20953.498210428519</v>
      </c>
      <c r="K69" s="173">
        <f t="shared" si="14"/>
        <v>394.26833333333337</v>
      </c>
      <c r="L69" s="173">
        <f t="shared" si="15"/>
        <v>9.8567083333333354</v>
      </c>
      <c r="M69" s="173">
        <f t="shared" si="7"/>
        <v>128.98593710280321</v>
      </c>
      <c r="N69" s="173">
        <f t="shared" si="16"/>
        <v>25.156468290061746</v>
      </c>
      <c r="O69" s="173">
        <f t="shared" si="8"/>
        <v>21403.167541132087</v>
      </c>
      <c r="P69" s="173">
        <f t="shared" si="0"/>
        <v>38.571763109175663</v>
      </c>
      <c r="Q69" s="196">
        <f t="shared" si="17"/>
        <v>0.98966075348985716</v>
      </c>
      <c r="R69" s="173">
        <f t="shared" si="9"/>
        <v>38.172960142059061</v>
      </c>
      <c r="S69" s="196">
        <f t="shared" si="10"/>
        <v>0.60620623636661253</v>
      </c>
    </row>
    <row r="70" spans="1:19">
      <c r="A70" s="197">
        <f t="shared" si="11"/>
        <v>4.5000000000000009</v>
      </c>
      <c r="B70" s="196">
        <f t="shared" si="1"/>
        <v>0.99974461922840874</v>
      </c>
      <c r="C70" s="196">
        <f t="shared" si="2"/>
        <v>9.8661281797534404</v>
      </c>
      <c r="D70" s="196">
        <f t="shared" si="3"/>
        <v>0.35678359188596748</v>
      </c>
      <c r="E70" s="196">
        <f t="shared" si="4"/>
        <v>0.42667439395415618</v>
      </c>
      <c r="F70" s="196">
        <f t="shared" si="5"/>
        <v>4.6722795114540761</v>
      </c>
      <c r="G70" s="173">
        <f t="shared" si="6"/>
        <v>21865.726980516454</v>
      </c>
      <c r="H70" s="167"/>
      <c r="I70" s="197">
        <f t="shared" si="12"/>
        <v>4.5000000000000009</v>
      </c>
      <c r="J70" s="173">
        <f t="shared" si="13"/>
        <v>21408.536968520766</v>
      </c>
      <c r="K70" s="173">
        <f t="shared" si="14"/>
        <v>394.26833333333337</v>
      </c>
      <c r="L70" s="173">
        <f t="shared" si="15"/>
        <v>9.8567083333333354</v>
      </c>
      <c r="M70" s="173">
        <f t="shared" si="7"/>
        <v>131.7366095483851</v>
      </c>
      <c r="N70" s="173">
        <f t="shared" si="16"/>
        <v>25.384691731035488</v>
      </c>
      <c r="O70" s="173">
        <f t="shared" si="8"/>
        <v>21860.193133755023</v>
      </c>
      <c r="P70" s="173">
        <f t="shared" si="0"/>
        <v>39.107377583091875</v>
      </c>
      <c r="Q70" s="196">
        <f t="shared" si="17"/>
        <v>0.98941253888448255</v>
      </c>
      <c r="R70" s="173">
        <f t="shared" si="9"/>
        <v>38.693329743601033</v>
      </c>
      <c r="S70" s="196">
        <f t="shared" si="10"/>
        <v>0.60050813898029676</v>
      </c>
    </row>
    <row r="71" spans="1:19">
      <c r="A71" s="197">
        <f t="shared" si="11"/>
        <v>4.5833333333333339</v>
      </c>
      <c r="B71" s="196">
        <f t="shared" si="1"/>
        <v>0.99974229910749612</v>
      </c>
      <c r="C71" s="196">
        <f t="shared" si="2"/>
        <v>9.832924234783512</v>
      </c>
      <c r="D71" s="196">
        <f t="shared" si="3"/>
        <v>0.35861183662789697</v>
      </c>
      <c r="E71" s="196">
        <f t="shared" si="4"/>
        <v>0.42860470923802818</v>
      </c>
      <c r="F71" s="196">
        <f t="shared" si="5"/>
        <v>4.6124610395435965</v>
      </c>
      <c r="G71" s="173">
        <f t="shared" si="6"/>
        <v>22325.079615491999</v>
      </c>
      <c r="H71" s="167"/>
      <c r="I71" s="197">
        <f t="shared" si="12"/>
        <v>4.5833333333333339</v>
      </c>
      <c r="J71" s="173">
        <f t="shared" si="13"/>
        <v>21865.726980516454</v>
      </c>
      <c r="K71" s="173">
        <f t="shared" si="14"/>
        <v>394.26833333333337</v>
      </c>
      <c r="L71" s="173">
        <f t="shared" si="15"/>
        <v>9.8567083333333354</v>
      </c>
      <c r="M71" s="173">
        <f t="shared" si="7"/>
        <v>134.500286149614</v>
      </c>
      <c r="N71" s="173">
        <f t="shared" si="16"/>
        <v>25.615148666090196</v>
      </c>
      <c r="O71" s="173">
        <f t="shared" si="8"/>
        <v>22319.378219433958</v>
      </c>
      <c r="P71" s="173">
        <f t="shared" si="0"/>
        <v>39.645523566021438</v>
      </c>
      <c r="Q71" s="196">
        <f t="shared" si="17"/>
        <v>0.98916213525605978</v>
      </c>
      <c r="R71" s="173">
        <f t="shared" si="9"/>
        <v>39.215850743910202</v>
      </c>
      <c r="S71" s="196">
        <f t="shared" si="10"/>
        <v>0.59486360144189432</v>
      </c>
    </row>
    <row r="72" spans="1:19">
      <c r="A72" s="197">
        <f t="shared" si="11"/>
        <v>4.666666666666667</v>
      </c>
      <c r="B72" s="196">
        <f t="shared" si="1"/>
        <v>0.99973995628097423</v>
      </c>
      <c r="C72" s="196">
        <f t="shared" si="2"/>
        <v>9.7995728868334897</v>
      </c>
      <c r="D72" s="196">
        <f t="shared" si="3"/>
        <v>0.36045028623648023</v>
      </c>
      <c r="E72" s="196">
        <f t="shared" si="4"/>
        <v>0.43054358873645171</v>
      </c>
      <c r="F72" s="196">
        <f t="shared" si="5"/>
        <v>4.552346608121038</v>
      </c>
      <c r="G72" s="173">
        <f t="shared" si="6"/>
        <v>22786.606329533221</v>
      </c>
      <c r="H72" s="167"/>
      <c r="I72" s="197">
        <f t="shared" si="12"/>
        <v>4.666666666666667</v>
      </c>
      <c r="J72" s="173">
        <f t="shared" si="13"/>
        <v>22325.079615491999</v>
      </c>
      <c r="K72" s="173">
        <f t="shared" si="14"/>
        <v>394.26833333333337</v>
      </c>
      <c r="L72" s="173">
        <f t="shared" si="15"/>
        <v>9.8567083333333354</v>
      </c>
      <c r="M72" s="173">
        <f t="shared" si="7"/>
        <v>137.27703563163621</v>
      </c>
      <c r="N72" s="173">
        <f t="shared" si="16"/>
        <v>25.847860947949119</v>
      </c>
      <c r="O72" s="173">
        <f t="shared" si="8"/>
        <v>22780.734200744966</v>
      </c>
      <c r="P72" s="173">
        <f t="shared" si="0"/>
        <v>40.186214430719701</v>
      </c>
      <c r="Q72" s="196">
        <f t="shared" si="17"/>
        <v>0.98890952226672924</v>
      </c>
      <c r="R72" s="173">
        <f t="shared" si="9"/>
        <v>39.740530114391362</v>
      </c>
      <c r="S72" s="196">
        <f t="shared" si="10"/>
        <v>0.58927212031014864</v>
      </c>
    </row>
    <row r="73" spans="1:19">
      <c r="A73" s="197">
        <f t="shared" si="11"/>
        <v>4.75</v>
      </c>
      <c r="B73" s="196">
        <f t="shared" si="1"/>
        <v>0.99973759052669142</v>
      </c>
      <c r="C73" s="196">
        <f t="shared" si="2"/>
        <v>9.7660734468912125</v>
      </c>
      <c r="D73" s="196">
        <f t="shared" si="3"/>
        <v>0.36229900981293983</v>
      </c>
      <c r="E73" s="196">
        <f t="shared" si="4"/>
        <v>0.43249107242950857</v>
      </c>
      <c r="F73" s="196">
        <f t="shared" si="5"/>
        <v>4.491934522238707</v>
      </c>
      <c r="G73" s="173">
        <f t="shared" si="6"/>
        <v>23250.318666818068</v>
      </c>
      <c r="H73" s="167"/>
      <c r="I73" s="197">
        <f t="shared" si="12"/>
        <v>4.75</v>
      </c>
      <c r="J73" s="173">
        <f t="shared" si="13"/>
        <v>22786.606329533221</v>
      </c>
      <c r="K73" s="173">
        <f t="shared" si="14"/>
        <v>394.26833333333337</v>
      </c>
      <c r="L73" s="173">
        <f t="shared" si="15"/>
        <v>9.8567083333333354</v>
      </c>
      <c r="M73" s="173">
        <f t="shared" si="7"/>
        <v>140.06692724556282</v>
      </c>
      <c r="N73" s="173">
        <f t="shared" si="16"/>
        <v>26.082850643074831</v>
      </c>
      <c r="O73" s="173">
        <f t="shared" si="8"/>
        <v>23244.272567483415</v>
      </c>
      <c r="P73" s="173">
        <f t="shared" si="0"/>
        <v>40.729463652296545</v>
      </c>
      <c r="Q73" s="196">
        <f t="shared" si="17"/>
        <v>0.98865467940023555</v>
      </c>
      <c r="R73" s="173">
        <f t="shared" si="9"/>
        <v>40.267374829304785</v>
      </c>
      <c r="S73" s="196">
        <f t="shared" si="10"/>
        <v>0.5837331968759506</v>
      </c>
    </row>
    <row r="74" spans="1:19">
      <c r="A74" s="197">
        <f t="shared" si="11"/>
        <v>4.833333333333333</v>
      </c>
      <c r="B74" s="196">
        <f t="shared" si="1"/>
        <v>0.99973520162032303</v>
      </c>
      <c r="C74" s="196">
        <f t="shared" si="2"/>
        <v>9.73242522124802</v>
      </c>
      <c r="D74" s="196">
        <f t="shared" si="3"/>
        <v>0.36415807709218884</v>
      </c>
      <c r="E74" s="196">
        <f t="shared" si="4"/>
        <v>0.43444720056940078</v>
      </c>
      <c r="F74" s="196">
        <f t="shared" si="5"/>
        <v>4.4312230730275086</v>
      </c>
      <c r="G74" s="173">
        <f t="shared" si="6"/>
        <v>23716.22826071678</v>
      </c>
      <c r="H74" s="167"/>
      <c r="I74" s="197">
        <f t="shared" si="12"/>
        <v>4.833333333333333</v>
      </c>
      <c r="J74" s="173">
        <f t="shared" si="13"/>
        <v>23250.318666818068</v>
      </c>
      <c r="K74" s="173">
        <f t="shared" si="14"/>
        <v>394.26833333333337</v>
      </c>
      <c r="L74" s="173">
        <f t="shared" si="15"/>
        <v>9.8567083333333354</v>
      </c>
      <c r="M74" s="173">
        <f t="shared" si="7"/>
        <v>142.87003077501478</v>
      </c>
      <c r="N74" s="173">
        <f t="shared" si="16"/>
        <v>26.320140033673631</v>
      </c>
      <c r="O74" s="173">
        <f t="shared" si="8"/>
        <v>23710.004897750019</v>
      </c>
      <c r="P74" s="173">
        <f t="shared" si="0"/>
        <v>41.275284809391451</v>
      </c>
      <c r="Q74" s="196">
        <f t="shared" si="17"/>
        <v>0.98839758596057203</v>
      </c>
      <c r="R74" s="173">
        <f t="shared" si="9"/>
        <v>40.796391865437577</v>
      </c>
      <c r="S74" s="196">
        <f t="shared" si="10"/>
        <v>0.57824633711785822</v>
      </c>
    </row>
    <row r="75" spans="1:19">
      <c r="A75" s="197">
        <f t="shared" si="11"/>
        <v>4.9166666666666661</v>
      </c>
      <c r="B75" s="196">
        <f t="shared" si="1"/>
        <v>0.99973278933535092</v>
      </c>
      <c r="C75" s="196">
        <f t="shared" si="2"/>
        <v>9.6986275114388718</v>
      </c>
      <c r="D75" s="196">
        <f t="shared" si="3"/>
        <v>0.36602755845060803</v>
      </c>
      <c r="E75" s="196">
        <f t="shared" si="4"/>
        <v>0.43641201368392013</v>
      </c>
      <c r="F75" s="196">
        <f t="shared" si="5"/>
        <v>4.3702105375238567</v>
      </c>
      <c r="G75" s="173">
        <f t="shared" si="6"/>
        <v>24184.346834909404</v>
      </c>
      <c r="H75" s="167"/>
      <c r="I75" s="197">
        <f t="shared" si="12"/>
        <v>4.9166666666666661</v>
      </c>
      <c r="J75" s="173">
        <f t="shared" si="13"/>
        <v>23716.22826071678</v>
      </c>
      <c r="K75" s="173">
        <f t="shared" si="14"/>
        <v>394.26833333333337</v>
      </c>
      <c r="L75" s="173">
        <f t="shared" si="15"/>
        <v>9.8567083333333354</v>
      </c>
      <c r="M75" s="173">
        <f t="shared" si="7"/>
        <v>145.68641654277312</v>
      </c>
      <c r="N75" s="173">
        <f t="shared" si="16"/>
        <v>26.559751619911587</v>
      </c>
      <c r="O75" s="173">
        <f t="shared" si="8"/>
        <v>24177.942859053976</v>
      </c>
      <c r="P75" s="173">
        <f t="shared" si="0"/>
        <v>41.823691585665074</v>
      </c>
      <c r="Q75" s="196">
        <f t="shared" si="17"/>
        <v>0.98813822107062066</v>
      </c>
      <c r="R75" s="173">
        <f t="shared" si="9"/>
        <v>41.327588202065371</v>
      </c>
      <c r="S75" s="196">
        <f t="shared" si="10"/>
        <v>0.57281105165803448</v>
      </c>
    </row>
    <row r="76" spans="1:19">
      <c r="A76" s="197">
        <f t="shared" si="11"/>
        <v>4.9999999999999991</v>
      </c>
      <c r="B76" s="196">
        <f t="shared" si="1"/>
        <v>0.99973035344304195</v>
      </c>
      <c r="C76" s="196">
        <f t="shared" si="2"/>
        <v>9.6646796141814413</v>
      </c>
      <c r="D76" s="196">
        <f t="shared" si="3"/>
        <v>0.36790752491393708</v>
      </c>
      <c r="E76" s="196">
        <f t="shared" si="4"/>
        <v>0.43838555257997924</v>
      </c>
      <c r="F76" s="196">
        <f t="shared" si="5"/>
        <v>4.308895178493886</v>
      </c>
      <c r="G76" s="173">
        <f t="shared" si="6"/>
        <v>24654.686204521582</v>
      </c>
      <c r="H76" s="167"/>
      <c r="I76" s="197">
        <f t="shared" si="12"/>
        <v>4.9999999999999991</v>
      </c>
      <c r="J76" s="173">
        <f t="shared" si="13"/>
        <v>24184.346834909404</v>
      </c>
      <c r="K76" s="173">
        <f t="shared" si="14"/>
        <v>394.26833333333337</v>
      </c>
      <c r="L76" s="173">
        <f t="shared" si="15"/>
        <v>9.8567083333333354</v>
      </c>
      <c r="M76" s="173">
        <f t="shared" si="7"/>
        <v>148.51615541753443</v>
      </c>
      <c r="N76" s="173">
        <f t="shared" si="16"/>
        <v>26.801708121963493</v>
      </c>
      <c r="O76" s="173">
        <f t="shared" si="8"/>
        <v>24648.098209434156</v>
      </c>
      <c r="P76" s="173">
        <f t="shared" si="0"/>
        <v>42.374697770821513</v>
      </c>
      <c r="Q76" s="196">
        <f t="shared" si="17"/>
        <v>0.98787656367078425</v>
      </c>
      <c r="R76" s="173">
        <f t="shared" si="9"/>
        <v>41.860970820427198</v>
      </c>
      <c r="S76" s="196">
        <f t="shared" si="10"/>
        <v>0.56742685571859919</v>
      </c>
    </row>
    <row r="77" spans="1:19">
      <c r="A77" s="197">
        <f t="shared" si="11"/>
        <v>5.0833333333333321</v>
      </c>
      <c r="B77" s="196">
        <f t="shared" si="1"/>
        <v>0.9997278937124261</v>
      </c>
      <c r="C77" s="196">
        <f t="shared" si="2"/>
        <v>9.6305808213141706</v>
      </c>
      <c r="D77" s="196">
        <f t="shared" si="3"/>
        <v>0.36979804816528344</v>
      </c>
      <c r="E77" s="196">
        <f t="shared" si="4"/>
        <v>0.44036785834720066</v>
      </c>
      <c r="F77" s="196">
        <f t="shared" si="5"/>
        <v>4.2472752442549231</v>
      </c>
      <c r="G77" s="173">
        <f t="shared" si="6"/>
        <v>25127.258277278277</v>
      </c>
      <c r="H77" s="167"/>
      <c r="I77" s="197">
        <f t="shared" si="12"/>
        <v>5.0833333333333321</v>
      </c>
      <c r="J77" s="173">
        <f t="shared" si="13"/>
        <v>24654.686204521582</v>
      </c>
      <c r="K77" s="173">
        <f t="shared" si="14"/>
        <v>394.26833333333337</v>
      </c>
      <c r="L77" s="173">
        <f t="shared" si="15"/>
        <v>9.8567083333333354</v>
      </c>
      <c r="M77" s="173">
        <f t="shared" si="7"/>
        <v>151.35931882077645</v>
      </c>
      <c r="N77" s="173">
        <f t="shared" si="16"/>
        <v>27.046032482173207</v>
      </c>
      <c r="O77" s="173">
        <f t="shared" si="8"/>
        <v>25120.482798598012</v>
      </c>
      <c r="P77" s="173">
        <f t="shared" si="0"/>
        <v>42.928317262176279</v>
      </c>
      <c r="Q77" s="196">
        <f t="shared" si="17"/>
        <v>0.98761259251761457</v>
      </c>
      <c r="R77" s="173">
        <f t="shared" si="9"/>
        <v>42.396546703716581</v>
      </c>
      <c r="S77" s="196">
        <f t="shared" si="10"/>
        <v>0.56209326907839152</v>
      </c>
    </row>
    <row r="78" spans="1:19">
      <c r="A78" s="197">
        <f t="shared" si="11"/>
        <v>5.1666666666666652</v>
      </c>
      <c r="B78" s="196">
        <f t="shared" si="1"/>
        <v>0.9997254099102747</v>
      </c>
      <c r="C78" s="196">
        <f t="shared" si="2"/>
        <v>9.5963304197332739</v>
      </c>
      <c r="D78" s="196">
        <f t="shared" si="3"/>
        <v>0.37169920055324984</v>
      </c>
      <c r="E78" s="196">
        <f t="shared" si="4"/>
        <v>0.44235897236156813</v>
      </c>
      <c r="F78" s="196">
        <f t="shared" si="5"/>
        <v>4.1853489684941705</v>
      </c>
      <c r="G78" s="173">
        <f t="shared" si="6"/>
        <v>25602.075054676152</v>
      </c>
      <c r="H78" s="167"/>
      <c r="I78" s="197">
        <f t="shared" si="12"/>
        <v>5.1666666666666652</v>
      </c>
      <c r="J78" s="173">
        <f t="shared" si="13"/>
        <v>25127.258277278277</v>
      </c>
      <c r="K78" s="173">
        <f t="shared" si="14"/>
        <v>394.26833333333337</v>
      </c>
      <c r="L78" s="173">
        <f t="shared" si="15"/>
        <v>9.8567083333333354</v>
      </c>
      <c r="M78" s="173">
        <f t="shared" si="7"/>
        <v>154.21597873373238</v>
      </c>
      <c r="N78" s="173">
        <f t="shared" si="16"/>
        <v>27.292747867247385</v>
      </c>
      <c r="O78" s="173">
        <f t="shared" si="8"/>
        <v>25595.108569078835</v>
      </c>
      <c r="P78" s="173">
        <f t="shared" si="0"/>
        <v>43.48456406592959</v>
      </c>
      <c r="Q78" s="196">
        <f t="shared" si="17"/>
        <v>0.98734628618243381</v>
      </c>
      <c r="R78" s="173">
        <f t="shared" si="9"/>
        <v>42.934322836757694</v>
      </c>
      <c r="S78" s="196">
        <f t="shared" si="10"/>
        <v>0.55680981603013824</v>
      </c>
    </row>
    <row r="79" spans="1:19">
      <c r="A79" s="197">
        <f t="shared" si="11"/>
        <v>5.2499999999999982</v>
      </c>
      <c r="B79" s="196">
        <f t="shared" si="1"/>
        <v>0.99972290180107826</v>
      </c>
      <c r="C79" s="196">
        <f t="shared" si="2"/>
        <v>9.5619276913286608</v>
      </c>
      <c r="D79" s="196">
        <f t="shared" si="3"/>
        <v>0.37361105510018272</v>
      </c>
      <c r="E79" s="196">
        <f t="shared" si="4"/>
        <v>0.44435893628914003</v>
      </c>
      <c r="F79" s="196">
        <f t="shared" si="5"/>
        <v>4.1231145700845575</v>
      </c>
      <c r="G79" s="173">
        <f t="shared" si="6"/>
        <v>26079.148633174769</v>
      </c>
      <c r="H79" s="167"/>
      <c r="I79" s="197">
        <f t="shared" si="12"/>
        <v>5.2499999999999982</v>
      </c>
      <c r="J79" s="173">
        <f t="shared" si="13"/>
        <v>25602.075054676152</v>
      </c>
      <c r="K79" s="173">
        <f t="shared" si="14"/>
        <v>394.26833333333337</v>
      </c>
      <c r="L79" s="173">
        <f t="shared" si="15"/>
        <v>9.8567083333333354</v>
      </c>
      <c r="M79" s="173">
        <f t="shared" si="7"/>
        <v>157.08620770447769</v>
      </c>
      <c r="N79" s="173">
        <f t="shared" si="16"/>
        <v>27.541877670438108</v>
      </c>
      <c r="O79" s="173">
        <f t="shared" si="8"/>
        <v>26071.987557411627</v>
      </c>
      <c r="P79" s="173">
        <f t="shared" si="0"/>
        <v>44.043452298563352</v>
      </c>
      <c r="Q79" s="196">
        <f t="shared" si="17"/>
        <v>0.98707762304995084</v>
      </c>
      <c r="R79" s="173">
        <f t="shared" si="9"/>
        <v>43.474306205779804</v>
      </c>
      <c r="S79" s="196">
        <f t="shared" si="10"/>
        <v>0.55157602533802552</v>
      </c>
    </row>
    <row r="80" spans="1:19">
      <c r="A80" s="197">
        <f t="shared" si="11"/>
        <v>5.3333333333333313</v>
      </c>
      <c r="B80" s="196">
        <f t="shared" si="1"/>
        <v>0.99972036914702478</v>
      </c>
      <c r="C80" s="196">
        <f t="shared" si="2"/>
        <v>9.5273719129187722</v>
      </c>
      <c r="D80" s="196">
        <f t="shared" si="3"/>
        <v>0.37553368551054345</v>
      </c>
      <c r="E80" s="196">
        <f t="shared" si="4"/>
        <v>0.44636779208982663</v>
      </c>
      <c r="F80" s="196">
        <f t="shared" si="5"/>
        <v>4.0605702528977083</v>
      </c>
      <c r="G80" s="173">
        <f t="shared" si="6"/>
        <v>26558.491205407016</v>
      </c>
      <c r="H80" s="167"/>
      <c r="I80" s="197">
        <f t="shared" si="12"/>
        <v>5.3333333333333313</v>
      </c>
      <c r="J80" s="173">
        <f t="shared" si="13"/>
        <v>26079.148633174769</v>
      </c>
      <c r="K80" s="173">
        <f t="shared" si="14"/>
        <v>394.26833333333337</v>
      </c>
      <c r="L80" s="173">
        <f t="shared" si="15"/>
        <v>9.8567083333333354</v>
      </c>
      <c r="M80" s="173">
        <f t="shared" si="7"/>
        <v>159.97007885513091</v>
      </c>
      <c r="N80" s="173">
        <f t="shared" si="16"/>
        <v>27.793445513769989</v>
      </c>
      <c r="O80" s="173">
        <f t="shared" si="8"/>
        <v>26551.131895327919</v>
      </c>
      <c r="P80" s="173">
        <f t="shared" ref="P80:P143" si="18">K80+J80-L80+M80-N80-O80</f>
        <v>44.604996188212681</v>
      </c>
      <c r="Q80" s="196">
        <f t="shared" si="17"/>
        <v>0.98680658131687171</v>
      </c>
      <c r="R80" s="173">
        <f t="shared" si="9"/>
        <v>44.016503798142253</v>
      </c>
      <c r="S80" s="196">
        <f t="shared" si="10"/>
        <v>0.54639143019566816</v>
      </c>
    </row>
    <row r="81" spans="1:19">
      <c r="A81" s="197">
        <f t="shared" si="11"/>
        <v>5.4166666666666643</v>
      </c>
      <c r="B81" s="196">
        <f t="shared" ref="B81:B144" si="19">EXP(-(B$3/12)-B$4/LN(B$5)*B$5^(B$6+A81)*(B$5^(1/12)-1))</f>
        <v>0.99971781170797624</v>
      </c>
      <c r="C81" s="196">
        <f t="shared" ref="C81:C144" si="20">(1/12+B81*B$9^(1/12)*C82)</f>
        <v>9.4926623561842867</v>
      </c>
      <c r="D81" s="196">
        <f t="shared" ref="D81:D144" si="21">D82*B$9^(1/12)*B81</f>
        <v>0.37746716617940451</v>
      </c>
      <c r="E81" s="196">
        <f t="shared" ref="E81:E144" si="22">((1-B$10*C81)-D81)*B$11/B$10+D81</f>
        <v>0.44838558202123169</v>
      </c>
      <c r="F81" s="196">
        <f t="shared" ref="F81:F135" si="23">(1/12+B$9^(1/12)*B81*F82)</f>
        <v>3.997714205613971</v>
      </c>
      <c r="G81" s="173">
        <f t="shared" ref="G81:G144" si="24">B$7*E81-D$13*F81</f>
        <v>27040.115061409055</v>
      </c>
      <c r="H81" s="167"/>
      <c r="I81" s="197">
        <f t="shared" si="12"/>
        <v>5.4166666666666643</v>
      </c>
      <c r="J81" s="173">
        <f t="shared" si="13"/>
        <v>26558.491205407016</v>
      </c>
      <c r="K81" s="173">
        <f t="shared" si="14"/>
        <v>394.26833333333337</v>
      </c>
      <c r="L81" s="173">
        <f t="shared" si="15"/>
        <v>9.8567083333333354</v>
      </c>
      <c r="M81" s="173">
        <f t="shared" ref="M81:M144" si="25">(1.075^(1/12)-1)*(K81+J81-L81)</f>
        <v>162.86766588917052</v>
      </c>
      <c r="N81" s="173">
        <f t="shared" si="16"/>
        <v>28.047475250211679</v>
      </c>
      <c r="O81" s="173">
        <f t="shared" ref="O81:O144" si="26">B80*G81</f>
        <v>27032.553810969886</v>
      </c>
      <c r="P81" s="173">
        <f t="shared" si="18"/>
        <v>45.169210076088348</v>
      </c>
      <c r="Q81" s="196">
        <f t="shared" si="17"/>
        <v>0.98653313899050465</v>
      </c>
      <c r="R81" s="173">
        <f t="shared" ref="R81:R144" si="27">P81*Q81</f>
        <v>44.560922602084972</v>
      </c>
      <c r="S81" s="196">
        <f t="shared" ref="S81:S144" si="28">(1+K$5)^(-I81)</f>
        <v>0.54125556818447562</v>
      </c>
    </row>
    <row r="82" spans="1:19">
      <c r="A82" s="197">
        <f t="shared" ref="A82:A145" si="29">A81+1/12</f>
        <v>5.4999999999999973</v>
      </c>
      <c r="B82" s="196">
        <f t="shared" si="19"/>
        <v>0.99971522924144685</v>
      </c>
      <c r="C82" s="196">
        <f t="shared" si="20"/>
        <v>9.4577982876007134</v>
      </c>
      <c r="D82" s="196">
        <f t="shared" si="21"/>
        <v>0.37941157220107297</v>
      </c>
      <c r="E82" s="196">
        <f t="shared" si="22"/>
        <v>0.45041234864255941</v>
      </c>
      <c r="F82" s="196">
        <f t="shared" si="23"/>
        <v>3.9345446015294718</v>
      </c>
      <c r="G82" s="173">
        <f t="shared" si="24"/>
        <v>27524.032589870021</v>
      </c>
      <c r="H82" s="167"/>
      <c r="I82" s="197">
        <f t="shared" ref="I82:I145" si="30">A82</f>
        <v>5.4999999999999973</v>
      </c>
      <c r="J82" s="173">
        <f t="shared" ref="J82:J145" si="31">G81</f>
        <v>27040.115061409055</v>
      </c>
      <c r="K82" s="173">
        <f t="shared" ref="K82:K136" si="32">K$4/12</f>
        <v>394.26833333333337</v>
      </c>
      <c r="L82" s="173">
        <f t="shared" ref="L82:L135" si="33">0.025*K82</f>
        <v>9.8567083333333354</v>
      </c>
      <c r="M82" s="173">
        <f t="shared" si="25"/>
        <v>165.77904309886998</v>
      </c>
      <c r="N82" s="173">
        <f t="shared" ref="N82:N145" si="34">(1-B81)*B$7*(1.075)^(1/24)</f>
        <v>28.303990966036626</v>
      </c>
      <c r="O82" s="173">
        <f t="shared" si="26"/>
        <v>27516.265630123879</v>
      </c>
      <c r="P82" s="173">
        <f t="shared" si="18"/>
        <v>45.736108418012009</v>
      </c>
      <c r="Q82" s="196">
        <f t="shared" ref="Q82:Q145" si="35">Q81*B80</f>
        <v>0.9862572738873604</v>
      </c>
      <c r="R82" s="173">
        <f t="shared" si="27"/>
        <v>45.107569606565278</v>
      </c>
      <c r="S82" s="196">
        <f t="shared" si="28"/>
        <v>0.53616798123240794</v>
      </c>
    </row>
    <row r="83" spans="1:19">
      <c r="A83" s="197">
        <f t="shared" si="29"/>
        <v>5.5833333333333304</v>
      </c>
      <c r="B83" s="196">
        <f t="shared" si="19"/>
        <v>0.99971262150257945</v>
      </c>
      <c r="C83" s="196">
        <f t="shared" si="20"/>
        <v>9.4227789683698138</v>
      </c>
      <c r="D83" s="196">
        <f t="shared" si="21"/>
        <v>0.38136697937784259</v>
      </c>
      <c r="E83" s="196">
        <f t="shared" si="22"/>
        <v>0.45244813481858942</v>
      </c>
      <c r="F83" s="196">
        <f t="shared" si="23"/>
        <v>3.8710595983601315</v>
      </c>
      <c r="G83" s="173">
        <f t="shared" si="24"/>
        <v>28010.256279402067</v>
      </c>
      <c r="H83" s="167"/>
      <c r="I83" s="197">
        <f t="shared" si="30"/>
        <v>5.5833333333333304</v>
      </c>
      <c r="J83" s="173">
        <f t="shared" si="31"/>
        <v>27524.032589870021</v>
      </c>
      <c r="K83" s="173">
        <f t="shared" si="32"/>
        <v>394.26833333333337</v>
      </c>
      <c r="L83" s="173">
        <f t="shared" si="33"/>
        <v>9.8567083333333354</v>
      </c>
      <c r="M83" s="173">
        <f t="shared" si="25"/>
        <v>168.7042853728519</v>
      </c>
      <c r="N83" s="173">
        <f t="shared" si="34"/>
        <v>28.563016983005678</v>
      </c>
      <c r="O83" s="173">
        <f t="shared" si="26"/>
        <v>28002.279777474112</v>
      </c>
      <c r="P83" s="173">
        <f t="shared" si="18"/>
        <v>46.305705785754981</v>
      </c>
      <c r="Q83" s="196">
        <f t="shared" si="35"/>
        <v>0.98597896363174609</v>
      </c>
      <c r="R83" s="173">
        <f t="shared" si="27"/>
        <v>45.656451800875246</v>
      </c>
      <c r="S83" s="196">
        <f t="shared" si="28"/>
        <v>0.53112821557312018</v>
      </c>
    </row>
    <row r="84" spans="1:19">
      <c r="A84" s="197">
        <f t="shared" si="29"/>
        <v>5.6666666666666634</v>
      </c>
      <c r="B84" s="196">
        <f t="shared" si="19"/>
        <v>0.99970998824412283</v>
      </c>
      <c r="C84" s="196">
        <f t="shared" si="20"/>
        <v>9.3876036543498582</v>
      </c>
      <c r="D84" s="196">
        <f t="shared" si="21"/>
        <v>0.38333346422887749</v>
      </c>
      <c r="E84" s="196">
        <f t="shared" si="22"/>
        <v>0.45449298372371882</v>
      </c>
      <c r="F84" s="196">
        <f t="shared" si="23"/>
        <v>3.8072573380425938</v>
      </c>
      <c r="G84" s="173">
        <f t="shared" si="24"/>
        <v>28498.798719830917</v>
      </c>
      <c r="H84" s="167"/>
      <c r="I84" s="197">
        <f t="shared" si="30"/>
        <v>5.6666666666666634</v>
      </c>
      <c r="J84" s="173">
        <f t="shared" si="31"/>
        <v>28010.256279402067</v>
      </c>
      <c r="K84" s="173">
        <f t="shared" si="32"/>
        <v>394.26833333333337</v>
      </c>
      <c r="L84" s="173">
        <f t="shared" si="33"/>
        <v>9.8567083333333354</v>
      </c>
      <c r="M84" s="173">
        <f t="shared" si="25"/>
        <v>171.64346820376548</v>
      </c>
      <c r="N84" s="173">
        <f t="shared" si="34"/>
        <v>28.824577860727867</v>
      </c>
      <c r="O84" s="173">
        <f t="shared" si="26"/>
        <v>28490.608777876521</v>
      </c>
      <c r="P84" s="173">
        <f t="shared" si="18"/>
        <v>46.878016868584382</v>
      </c>
      <c r="Q84" s="196">
        <f t="shared" si="35"/>
        <v>0.98569818565435519</v>
      </c>
      <c r="R84" s="173">
        <f t="shared" si="27"/>
        <v>46.207576174437882</v>
      </c>
      <c r="S84" s="196">
        <f t="shared" si="28"/>
        <v>0.52613582170549011</v>
      </c>
    </row>
    <row r="85" spans="1:19">
      <c r="A85" s="197">
        <f t="shared" si="29"/>
        <v>5.7499999999999964</v>
      </c>
      <c r="B85" s="196">
        <f t="shared" si="19"/>
        <v>0.99970732921640793</v>
      </c>
      <c r="C85" s="196">
        <f t="shared" si="20"/>
        <v>9.3522715959846838</v>
      </c>
      <c r="D85" s="196">
        <f t="shared" si="21"/>
        <v>0.38531110399922947</v>
      </c>
      <c r="E85" s="196">
        <f t="shared" si="22"/>
        <v>0.45654693884607378</v>
      </c>
      <c r="F85" s="196">
        <f t="shared" si="23"/>
        <v>3.7431359465320182</v>
      </c>
      <c r="G85" s="173">
        <f t="shared" si="24"/>
        <v>28989.672603507221</v>
      </c>
      <c r="H85" s="167"/>
      <c r="I85" s="197">
        <f t="shared" si="30"/>
        <v>5.7499999999999964</v>
      </c>
      <c r="J85" s="173">
        <f t="shared" si="31"/>
        <v>28498.798719830917</v>
      </c>
      <c r="K85" s="173">
        <f t="shared" si="32"/>
        <v>394.26833333333337</v>
      </c>
      <c r="L85" s="173">
        <f t="shared" si="33"/>
        <v>9.8567083333333354</v>
      </c>
      <c r="M85" s="173">
        <f t="shared" si="25"/>
        <v>174.59666769608774</v>
      </c>
      <c r="N85" s="173">
        <f t="shared" si="34"/>
        <v>29.088698398943222</v>
      </c>
      <c r="O85" s="173">
        <f t="shared" si="26"/>
        <v>28981.265257653173</v>
      </c>
      <c r="P85" s="173">
        <f t="shared" si="18"/>
        <v>47.453056474889308</v>
      </c>
      <c r="Q85" s="196">
        <f t="shared" si="35"/>
        <v>0.98541491719085172</v>
      </c>
      <c r="R85" s="173">
        <f t="shared" si="27"/>
        <v>46.760949716655858</v>
      </c>
      <c r="S85" s="196">
        <f t="shared" si="28"/>
        <v>0.52119035435352756</v>
      </c>
    </row>
    <row r="86" spans="1:19">
      <c r="A86" s="197">
        <f t="shared" si="29"/>
        <v>5.8333333333333295</v>
      </c>
      <c r="B86" s="196">
        <f t="shared" si="19"/>
        <v>0.99970464416732463</v>
      </c>
      <c r="C86" s="196">
        <f t="shared" si="20"/>
        <v>9.3167820382315352</v>
      </c>
      <c r="D86" s="196">
        <f t="shared" si="21"/>
        <v>0.3872999766689908</v>
      </c>
      <c r="E86" s="196">
        <f t="shared" si="22"/>
        <v>0.45861004399169275</v>
      </c>
      <c r="F86" s="196">
        <f t="shared" si="23"/>
        <v>3.6786935335966771</v>
      </c>
      <c r="G86" s="173">
        <f t="shared" si="24"/>
        <v>29482.890726639384</v>
      </c>
      <c r="H86" s="167"/>
      <c r="I86" s="197">
        <f t="shared" si="30"/>
        <v>5.8333333333333295</v>
      </c>
      <c r="J86" s="173">
        <f t="shared" si="31"/>
        <v>28989.672603507221</v>
      </c>
      <c r="K86" s="173">
        <f t="shared" si="32"/>
        <v>394.26833333333337</v>
      </c>
      <c r="L86" s="173">
        <f t="shared" si="33"/>
        <v>9.8567083333333354</v>
      </c>
      <c r="M86" s="173">
        <f t="shared" si="25"/>
        <v>177.56396057405058</v>
      </c>
      <c r="N86" s="173">
        <f t="shared" si="34"/>
        <v>29.355403639905838</v>
      </c>
      <c r="O86" s="173">
        <f t="shared" si="26"/>
        <v>29474.26194590786</v>
      </c>
      <c r="P86" s="173">
        <f t="shared" si="18"/>
        <v>48.030839533505059</v>
      </c>
      <c r="Q86" s="196">
        <f t="shared" si="35"/>
        <v>0.98512913528044965</v>
      </c>
      <c r="R86" s="173">
        <f t="shared" si="27"/>
        <v>47.316579416435872</v>
      </c>
      <c r="S86" s="196">
        <f t="shared" si="28"/>
        <v>0.51629137242665935</v>
      </c>
    </row>
    <row r="87" spans="1:19">
      <c r="A87" s="197">
        <f t="shared" si="29"/>
        <v>5.9166666666666625</v>
      </c>
      <c r="B87" s="196">
        <f t="shared" si="19"/>
        <v>0.99970193284229725</v>
      </c>
      <c r="C87" s="196">
        <f t="shared" si="20"/>
        <v>9.2811342204876581</v>
      </c>
      <c r="D87" s="196">
        <f t="shared" si="21"/>
        <v>0.38930016096258502</v>
      </c>
      <c r="E87" s="196">
        <f t="shared" si="22"/>
        <v>0.46068234328877999</v>
      </c>
      <c r="F87" s="196">
        <f t="shared" si="23"/>
        <v>3.6139281926093045</v>
      </c>
      <c r="G87" s="173">
        <f t="shared" si="24"/>
        <v>29978.465990647885</v>
      </c>
      <c r="H87" s="167"/>
      <c r="I87" s="197">
        <f t="shared" si="30"/>
        <v>5.9166666666666625</v>
      </c>
      <c r="J87" s="173">
        <f t="shared" si="31"/>
        <v>29482.890726639384</v>
      </c>
      <c r="K87" s="173">
        <f t="shared" si="32"/>
        <v>394.26833333333337</v>
      </c>
      <c r="L87" s="173">
        <f t="shared" si="33"/>
        <v>9.8567083333333354</v>
      </c>
      <c r="M87" s="173">
        <f t="shared" si="25"/>
        <v>180.54542418969766</v>
      </c>
      <c r="N87" s="173">
        <f t="shared" si="34"/>
        <v>29.62471887071122</v>
      </c>
      <c r="O87" s="173">
        <f t="shared" si="26"/>
        <v>29969.611675862885</v>
      </c>
      <c r="P87" s="173">
        <f t="shared" si="18"/>
        <v>48.61138109548483</v>
      </c>
      <c r="Q87" s="196">
        <f t="shared" si="35"/>
        <v>0.98484081676448776</v>
      </c>
      <c r="R87" s="173">
        <f t="shared" si="27"/>
        <v>47.874472262127057</v>
      </c>
      <c r="S87" s="196">
        <f t="shared" si="28"/>
        <v>0.5114384389803881</v>
      </c>
    </row>
    <row r="88" spans="1:19">
      <c r="A88" s="197">
        <f t="shared" si="29"/>
        <v>5.9999999999999956</v>
      </c>
      <c r="B88" s="196">
        <f t="shared" si="19"/>
        <v>0.99969919498426152</v>
      </c>
      <c r="C88" s="196">
        <f t="shared" si="20"/>
        <v>9.2453273765156538</v>
      </c>
      <c r="D88" s="196">
        <f t="shared" si="21"/>
        <v>0.3913117363581986</v>
      </c>
      <c r="E88" s="196">
        <f t="shared" si="22"/>
        <v>0.46276388119203327</v>
      </c>
      <c r="F88" s="196">
        <f t="shared" si="23"/>
        <v>3.5488380003351443</v>
      </c>
      <c r="G88" s="173">
        <f t="shared" si="24"/>
        <v>30476.411403541657</v>
      </c>
      <c r="H88" s="167"/>
      <c r="I88" s="197">
        <f t="shared" si="30"/>
        <v>5.9999999999999956</v>
      </c>
      <c r="J88" s="173">
        <f t="shared" si="31"/>
        <v>29978.465990647885</v>
      </c>
      <c r="K88" s="173">
        <f t="shared" si="32"/>
        <v>394.26833333333337</v>
      </c>
      <c r="L88" s="173">
        <f t="shared" si="33"/>
        <v>9.8567083333333354</v>
      </c>
      <c r="M88" s="173">
        <f t="shared" si="25"/>
        <v>183.54113653107103</v>
      </c>
      <c r="N88" s="173">
        <f t="shared" si="34"/>
        <v>29.896669625757294</v>
      </c>
      <c r="O88" s="173">
        <f t="shared" si="26"/>
        <v>30467.327386217625</v>
      </c>
      <c r="P88" s="173">
        <f t="shared" si="18"/>
        <v>49.194696335576737</v>
      </c>
      <c r="Q88" s="196">
        <f t="shared" si="35"/>
        <v>0.98454993828499959</v>
      </c>
      <c r="R88" s="173">
        <f t="shared" si="27"/>
        <v>48.434635241141372</v>
      </c>
      <c r="S88" s="196">
        <f t="shared" si="28"/>
        <v>0.5066311211773209</v>
      </c>
    </row>
    <row r="89" spans="1:19">
      <c r="A89" s="197">
        <f t="shared" si="29"/>
        <v>6.0833333333333286</v>
      </c>
      <c r="B89" s="196">
        <f t="shared" si="19"/>
        <v>0.9996964303336392</v>
      </c>
      <c r="C89" s="196">
        <f t="shared" si="20"/>
        <v>9.2093607343675252</v>
      </c>
      <c r="D89" s="196">
        <f t="shared" si="21"/>
        <v>0.39333478309735442</v>
      </c>
      <c r="E89" s="196">
        <f t="shared" si="22"/>
        <v>0.46485470248704569</v>
      </c>
      <c r="F89" s="196">
        <f t="shared" si="23"/>
        <v>3.4834210167166315</v>
      </c>
      <c r="G89" s="173">
        <f t="shared" si="24"/>
        <v>30976.74008131693</v>
      </c>
      <c r="H89" s="167"/>
      <c r="I89" s="197">
        <f t="shared" si="30"/>
        <v>6.0833333333333286</v>
      </c>
      <c r="J89" s="173">
        <f t="shared" si="31"/>
        <v>30476.411403541657</v>
      </c>
      <c r="K89" s="173">
        <f t="shared" si="32"/>
        <v>394.26833333333337</v>
      </c>
      <c r="L89" s="173">
        <f t="shared" si="33"/>
        <v>9.8567083333333354</v>
      </c>
      <c r="M89" s="173">
        <f t="shared" si="25"/>
        <v>186.55117623053138</v>
      </c>
      <c r="N89" s="173">
        <f t="shared" si="34"/>
        <v>30.171281689049508</v>
      </c>
      <c r="O89" s="173">
        <f t="shared" si="26"/>
        <v>30967.422122529242</v>
      </c>
      <c r="P89" s="173">
        <f t="shared" si="18"/>
        <v>49.780800553897279</v>
      </c>
      <c r="Q89" s="196">
        <f t="shared" si="35"/>
        <v>0.98425647628327861</v>
      </c>
      <c r="R89" s="173">
        <f t="shared" si="27"/>
        <v>48.997075339739624</v>
      </c>
      <c r="S89" s="196">
        <f t="shared" si="28"/>
        <v>0.50186899024856402</v>
      </c>
    </row>
    <row r="90" spans="1:19">
      <c r="A90" s="197">
        <f t="shared" si="29"/>
        <v>6.1666666666666616</v>
      </c>
      <c r="B90" s="196">
        <f t="shared" si="19"/>
        <v>0.99969363862831417</v>
      </c>
      <c r="C90" s="196">
        <f t="shared" si="20"/>
        <v>9.1732335163074268</v>
      </c>
      <c r="D90" s="196">
        <f t="shared" si="21"/>
        <v>0.39536938219463114</v>
      </c>
      <c r="E90" s="196">
        <f t="shared" si="22"/>
        <v>0.46695485229478373</v>
      </c>
      <c r="F90" s="196">
        <f t="shared" si="23"/>
        <v>3.4176752846546585</v>
      </c>
      <c r="G90" s="173">
        <f t="shared" si="24"/>
        <v>31479.465249378853</v>
      </c>
      <c r="H90" s="167"/>
      <c r="I90" s="197">
        <f t="shared" si="30"/>
        <v>6.1666666666666616</v>
      </c>
      <c r="J90" s="173">
        <f t="shared" si="31"/>
        <v>30976.74008131693</v>
      </c>
      <c r="K90" s="173">
        <f t="shared" si="32"/>
        <v>394.26833333333337</v>
      </c>
      <c r="L90" s="173">
        <f t="shared" si="33"/>
        <v>9.8567083333333354</v>
      </c>
      <c r="M90" s="173">
        <f t="shared" si="25"/>
        <v>189.57562257321385</v>
      </c>
      <c r="N90" s="173">
        <f t="shared" si="34"/>
        <v>30.448581096750903</v>
      </c>
      <c r="O90" s="173">
        <f t="shared" si="26"/>
        <v>31469.909038615882</v>
      </c>
      <c r="P90" s="173">
        <f t="shared" si="18"/>
        <v>50.369709177510231</v>
      </c>
      <c r="Q90" s="196">
        <f t="shared" si="35"/>
        <v>0.98396040699843956</v>
      </c>
      <c r="R90" s="173">
        <f t="shared" si="27"/>
        <v>49.561799542696001</v>
      </c>
      <c r="S90" s="196">
        <f t="shared" si="28"/>
        <v>0.49715162145548075</v>
      </c>
    </row>
    <row r="91" spans="1:19">
      <c r="A91" s="197">
        <f t="shared" si="29"/>
        <v>6.2499999999999947</v>
      </c>
      <c r="B91" s="196">
        <f t="shared" si="19"/>
        <v>0.99969081960360739</v>
      </c>
      <c r="C91" s="196">
        <f t="shared" si="20"/>
        <v>9.1369449387330874</v>
      </c>
      <c r="D91" s="196">
        <f t="shared" si="21"/>
        <v>0.39741561544752979</v>
      </c>
      <c r="E91" s="196">
        <f t="shared" si="22"/>
        <v>0.4690643760761416</v>
      </c>
      <c r="F91" s="196">
        <f t="shared" si="23"/>
        <v>3.3515988297863601</v>
      </c>
      <c r="G91" s="173">
        <f t="shared" si="24"/>
        <v>31984.600243986286</v>
      </c>
      <c r="H91" s="167"/>
      <c r="I91" s="197">
        <f t="shared" si="30"/>
        <v>6.2499999999999947</v>
      </c>
      <c r="J91" s="173">
        <f t="shared" si="31"/>
        <v>31479.465249378853</v>
      </c>
      <c r="K91" s="173">
        <f t="shared" si="32"/>
        <v>394.26833333333337</v>
      </c>
      <c r="L91" s="173">
        <f t="shared" si="33"/>
        <v>9.8567083333333354</v>
      </c>
      <c r="M91" s="173">
        <f t="shared" si="25"/>
        <v>192.61455550562164</v>
      </c>
      <c r="N91" s="173">
        <f t="shared" si="34"/>
        <v>30.728594139576309</v>
      </c>
      <c r="O91" s="173">
        <f t="shared" si="26"/>
        <v>31974.801397982716</v>
      </c>
      <c r="P91" s="173">
        <f t="shared" si="18"/>
        <v>50.961437762183778</v>
      </c>
      <c r="Q91" s="196">
        <f t="shared" si="35"/>
        <v>0.98366170646597484</v>
      </c>
      <c r="R91" s="173">
        <f t="shared" si="27"/>
        <v>50.128814833109267</v>
      </c>
      <c r="S91" s="196">
        <f t="shared" si="28"/>
        <v>0.49247859405180866</v>
      </c>
    </row>
    <row r="92" spans="1:19">
      <c r="A92" s="197">
        <f t="shared" si="29"/>
        <v>6.3333333333333277</v>
      </c>
      <c r="B92" s="196">
        <f t="shared" si="19"/>
        <v>0.99968797299225221</v>
      </c>
      <c r="C92" s="196">
        <f t="shared" si="20"/>
        <v>9.1004942120958781</v>
      </c>
      <c r="D92" s="196">
        <f t="shared" si="21"/>
        <v>0.39947356544649071</v>
      </c>
      <c r="E92" s="196">
        <f t="shared" si="22"/>
        <v>0.47118331963657445</v>
      </c>
      <c r="F92" s="196">
        <f t="shared" si="23"/>
        <v>3.2851896602593613</v>
      </c>
      <c r="G92" s="173">
        <f t="shared" si="24"/>
        <v>32492.158513720169</v>
      </c>
      <c r="H92" s="167"/>
      <c r="I92" s="197">
        <f t="shared" si="30"/>
        <v>6.3333333333333277</v>
      </c>
      <c r="J92" s="173">
        <f t="shared" si="31"/>
        <v>31984.600243986286</v>
      </c>
      <c r="K92" s="173">
        <f t="shared" si="32"/>
        <v>394.26833333333337</v>
      </c>
      <c r="L92" s="173">
        <f t="shared" si="33"/>
        <v>9.8567083333333354</v>
      </c>
      <c r="M92" s="173">
        <f t="shared" si="25"/>
        <v>195.66805564435961</v>
      </c>
      <c r="N92" s="173">
        <f t="shared" si="34"/>
        <v>31.011347365309014</v>
      </c>
      <c r="O92" s="173">
        <f t="shared" si="26"/>
        <v>32482.112575271247</v>
      </c>
      <c r="P92" s="173">
        <f t="shared" si="18"/>
        <v>51.556001994093094</v>
      </c>
      <c r="Q92" s="196">
        <f t="shared" si="35"/>
        <v>0.9833603505163071</v>
      </c>
      <c r="R92" s="173">
        <f t="shared" si="27"/>
        <v>50.69812819213081</v>
      </c>
      <c r="S92" s="196">
        <f t="shared" si="28"/>
        <v>0.48784949124613242</v>
      </c>
    </row>
    <row r="93" spans="1:19">
      <c r="A93" s="197">
        <f t="shared" si="29"/>
        <v>6.4166666666666607</v>
      </c>
      <c r="B93" s="196">
        <f t="shared" si="19"/>
        <v>0.99968509852436838</v>
      </c>
      <c r="C93" s="196">
        <f t="shared" si="20"/>
        <v>9.0638805408194898</v>
      </c>
      <c r="D93" s="196">
        <f t="shared" si="21"/>
        <v>0.40154331558506251</v>
      </c>
      <c r="E93" s="196">
        <f t="shared" si="22"/>
        <v>0.47331172913081271</v>
      </c>
      <c r="F93" s="196">
        <f t="shared" si="23"/>
        <v>3.2184457665024242</v>
      </c>
      <c r="G93" s="173">
        <f t="shared" si="24"/>
        <v>33002.153620976103</v>
      </c>
      <c r="H93" s="167"/>
      <c r="I93" s="197">
        <f t="shared" si="30"/>
        <v>6.4166666666666607</v>
      </c>
      <c r="J93" s="173">
        <f t="shared" si="31"/>
        <v>32492.158513720169</v>
      </c>
      <c r="K93" s="173">
        <f t="shared" si="32"/>
        <v>394.26833333333337</v>
      </c>
      <c r="L93" s="173">
        <f t="shared" si="33"/>
        <v>9.8567083333333354</v>
      </c>
      <c r="M93" s="173">
        <f t="shared" si="25"/>
        <v>198.73620428501053</v>
      </c>
      <c r="N93" s="173">
        <f t="shared" si="34"/>
        <v>31.296867581272892</v>
      </c>
      <c r="O93" s="173">
        <f t="shared" si="26"/>
        <v>32991.856057732519</v>
      </c>
      <c r="P93" s="173">
        <f t="shared" si="18"/>
        <v>52.153417691384675</v>
      </c>
      <c r="Q93" s="196">
        <f t="shared" si="35"/>
        <v>0.98305631477333766</v>
      </c>
      <c r="R93" s="173">
        <f t="shared" si="27"/>
        <v>51.269746598527213</v>
      </c>
      <c r="S93" s="196">
        <f t="shared" si="28"/>
        <v>0.48326390016471049</v>
      </c>
    </row>
    <row r="94" spans="1:19">
      <c r="A94" s="197">
        <f t="shared" si="29"/>
        <v>6.4999999999999938</v>
      </c>
      <c r="B94" s="196">
        <f t="shared" si="19"/>
        <v>0.99968219592743723</v>
      </c>
      <c r="C94" s="196">
        <f t="shared" si="20"/>
        <v>9.0271031232172252</v>
      </c>
      <c r="D94" s="196">
        <f t="shared" si="21"/>
        <v>0.4036249500702272</v>
      </c>
      <c r="E94" s="196">
        <f t="shared" si="22"/>
        <v>0.47544965106765552</v>
      </c>
      <c r="F94" s="196">
        <f t="shared" si="23"/>
        <v>3.1513651209924314</v>
      </c>
      <c r="G94" s="173">
        <f t="shared" si="24"/>
        <v>33514.599243481134</v>
      </c>
      <c r="H94" s="167"/>
      <c r="I94" s="197">
        <f t="shared" si="30"/>
        <v>6.4999999999999938</v>
      </c>
      <c r="J94" s="173">
        <f t="shared" si="31"/>
        <v>33002.153620976103</v>
      </c>
      <c r="K94" s="173">
        <f t="shared" si="32"/>
        <v>394.26833333333337</v>
      </c>
      <c r="L94" s="173">
        <f t="shared" si="33"/>
        <v>9.8567083333333354</v>
      </c>
      <c r="M94" s="173">
        <f t="shared" si="25"/>
        <v>201.81908341115764</v>
      </c>
      <c r="N94" s="173">
        <f t="shared" si="34"/>
        <v>31.585181856938178</v>
      </c>
      <c r="O94" s="173">
        <f t="shared" si="26"/>
        <v>33504.045446724158</v>
      </c>
      <c r="P94" s="173">
        <f t="shared" si="18"/>
        <v>52.753700806169945</v>
      </c>
      <c r="Q94" s="196">
        <f t="shared" si="35"/>
        <v>0.9827495746529914</v>
      </c>
      <c r="R94" s="173">
        <f t="shared" si="27"/>
        <v>51.84367702863468</v>
      </c>
      <c r="S94" s="196">
        <f t="shared" si="28"/>
        <v>0.47872141181465011</v>
      </c>
    </row>
    <row r="95" spans="1:19">
      <c r="A95" s="197">
        <f t="shared" si="29"/>
        <v>6.5833333333333268</v>
      </c>
      <c r="B95" s="196">
        <f t="shared" si="19"/>
        <v>0.9996792649262759</v>
      </c>
      <c r="C95" s="196">
        <f t="shared" si="20"/>
        <v>8.9901611514078521</v>
      </c>
      <c r="D95" s="196">
        <f t="shared" si="21"/>
        <v>0.40571855393288225</v>
      </c>
      <c r="E95" s="196">
        <f t="shared" si="22"/>
        <v>0.47759713231484924</v>
      </c>
      <c r="F95" s="196">
        <f t="shared" si="23"/>
        <v>3.0839456780176446</v>
      </c>
      <c r="G95" s="173">
        <f t="shared" si="24"/>
        <v>34029.509175835541</v>
      </c>
      <c r="H95" s="167"/>
      <c r="I95" s="197">
        <f t="shared" si="30"/>
        <v>6.5833333333333268</v>
      </c>
      <c r="J95" s="173">
        <f t="shared" si="31"/>
        <v>33514.599243481134</v>
      </c>
      <c r="K95" s="173">
        <f t="shared" si="32"/>
        <v>394.26833333333337</v>
      </c>
      <c r="L95" s="173">
        <f t="shared" si="33"/>
        <v>9.8567083333333354</v>
      </c>
      <c r="M95" s="173">
        <f t="shared" si="25"/>
        <v>204.9167757035533</v>
      </c>
      <c r="N95" s="173">
        <f t="shared" si="34"/>
        <v>31.876317526415871</v>
      </c>
      <c r="O95" s="173">
        <f t="shared" si="26"/>
        <v>34018.694459232145</v>
      </c>
      <c r="P95" s="173">
        <f t="shared" si="18"/>
        <v>53.356867426125973</v>
      </c>
      <c r="Q95" s="196">
        <f t="shared" si="35"/>
        <v>0.98244010536175685</v>
      </c>
      <c r="R95" s="173">
        <f t="shared" si="27"/>
        <v>52.419926455896494</v>
      </c>
      <c r="S95" s="196">
        <f t="shared" si="28"/>
        <v>0.47422162104742877</v>
      </c>
    </row>
    <row r="96" spans="1:19">
      <c r="A96" s="197">
        <f t="shared" si="29"/>
        <v>6.6666666666666599</v>
      </c>
      <c r="B96" s="196">
        <f t="shared" si="19"/>
        <v>0.99967630524301054</v>
      </c>
      <c r="C96" s="196">
        <f t="shared" si="20"/>
        <v>8.9530538112300011</v>
      </c>
      <c r="D96" s="196">
        <f t="shared" si="21"/>
        <v>0.40782421303848382</v>
      </c>
      <c r="E96" s="196">
        <f t="shared" si="22"/>
        <v>0.47975422010404878</v>
      </c>
      <c r="F96" s="196">
        <f t="shared" si="23"/>
        <v>3.0161853734371693</v>
      </c>
      <c r="G96" s="173">
        <f t="shared" si="24"/>
        <v>34546.897331079963</v>
      </c>
      <c r="H96" s="167"/>
      <c r="I96" s="197">
        <f t="shared" si="30"/>
        <v>6.6666666666666599</v>
      </c>
      <c r="J96" s="173">
        <f t="shared" si="31"/>
        <v>34029.509175835541</v>
      </c>
      <c r="K96" s="173">
        <f t="shared" si="32"/>
        <v>394.26833333333337</v>
      </c>
      <c r="L96" s="173">
        <f t="shared" si="33"/>
        <v>9.8567083333333354</v>
      </c>
      <c r="M96" s="173">
        <f t="shared" si="25"/>
        <v>208.02936454943921</v>
      </c>
      <c r="N96" s="173">
        <f t="shared" si="34"/>
        <v>32.170302191041209</v>
      </c>
      <c r="O96" s="173">
        <f t="shared" si="26"/>
        <v>34535.816929417539</v>
      </c>
      <c r="P96" s="173">
        <f t="shared" si="18"/>
        <v>53.962933776398131</v>
      </c>
      <c r="Q96" s="196">
        <f t="shared" si="35"/>
        <v>0.98212788189522393</v>
      </c>
      <c r="R96" s="173">
        <f t="shared" si="27"/>
        <v>52.998501850666138</v>
      </c>
      <c r="S96" s="196">
        <f t="shared" si="28"/>
        <v>0.46976412652275912</v>
      </c>
    </row>
    <row r="97" spans="1:19">
      <c r="A97" s="197">
        <f t="shared" si="29"/>
        <v>6.7499999999999929</v>
      </c>
      <c r="B97" s="196">
        <f t="shared" si="19"/>
        <v>0.99967331659705105</v>
      </c>
      <c r="C97" s="196">
        <f t="shared" si="20"/>
        <v>8.915780282155092</v>
      </c>
      <c r="D97" s="196">
        <f t="shared" si="21"/>
        <v>0.40994201409785308</v>
      </c>
      <c r="E97" s="196">
        <f t="shared" si="22"/>
        <v>0.48192096203586554</v>
      </c>
      <c r="F97" s="196">
        <f t="shared" si="23"/>
        <v>2.9480821244365654</v>
      </c>
      <c r="G97" s="173">
        <f t="shared" si="24"/>
        <v>35066.777742288163</v>
      </c>
      <c r="H97" s="167"/>
      <c r="I97" s="197">
        <f t="shared" si="30"/>
        <v>6.7499999999999929</v>
      </c>
      <c r="J97" s="173">
        <f t="shared" si="31"/>
        <v>34546.897331079963</v>
      </c>
      <c r="K97" s="173">
        <f t="shared" si="32"/>
        <v>394.26833333333337</v>
      </c>
      <c r="L97" s="173">
        <f t="shared" si="33"/>
        <v>9.8567083333333354</v>
      </c>
      <c r="M97" s="173">
        <f t="shared" si="25"/>
        <v>211.15693405201941</v>
      </c>
      <c r="N97" s="173">
        <f t="shared" si="34"/>
        <v>32.467163722057407</v>
      </c>
      <c r="O97" s="173">
        <f t="shared" si="26"/>
        <v>35055.426810188466</v>
      </c>
      <c r="P97" s="173">
        <f t="shared" si="18"/>
        <v>54.571916221459105</v>
      </c>
      <c r="Q97" s="196">
        <f t="shared" si="35"/>
        <v>0.98181287903661774</v>
      </c>
      <c r="R97" s="173">
        <f t="shared" si="27"/>
        <v>53.579410179935863</v>
      </c>
      <c r="S97" s="196">
        <f t="shared" si="28"/>
        <v>0.46534853067279258</v>
      </c>
    </row>
    <row r="98" spans="1:19">
      <c r="A98" s="197">
        <f t="shared" si="29"/>
        <v>6.8333333333333259</v>
      </c>
      <c r="B98" s="196">
        <f t="shared" si="19"/>
        <v>0.99967029870506385</v>
      </c>
      <c r="C98" s="196">
        <f t="shared" si="20"/>
        <v>8.8783397371987434</v>
      </c>
      <c r="D98" s="196">
        <f t="shared" si="21"/>
        <v>0.41207204467814851</v>
      </c>
      <c r="E98" s="196">
        <f t="shared" si="22"/>
        <v>0.48409740608500262</v>
      </c>
      <c r="F98" s="196">
        <f t="shared" si="23"/>
        <v>2.8796338292795283</v>
      </c>
      <c r="G98" s="173">
        <f t="shared" si="24"/>
        <v>35589.164564186198</v>
      </c>
      <c r="H98" s="167"/>
      <c r="I98" s="197">
        <f t="shared" si="30"/>
        <v>6.8333333333333259</v>
      </c>
      <c r="J98" s="173">
        <f t="shared" si="31"/>
        <v>35066.777742288163</v>
      </c>
      <c r="K98" s="173">
        <f t="shared" si="32"/>
        <v>394.26833333333337</v>
      </c>
      <c r="L98" s="173">
        <f t="shared" si="33"/>
        <v>9.8567083333333354</v>
      </c>
      <c r="M98" s="173">
        <f t="shared" si="25"/>
        <v>214.29956904008847</v>
      </c>
      <c r="N98" s="173">
        <f t="shared" si="34"/>
        <v>32.766930263154563</v>
      </c>
      <c r="O98" s="173">
        <f t="shared" si="26"/>
        <v>35577.538174798261</v>
      </c>
      <c r="P98" s="173">
        <f t="shared" si="18"/>
        <v>55.183831266833295</v>
      </c>
      <c r="Q98" s="196">
        <f t="shared" si="35"/>
        <v>0.98149507135532887</v>
      </c>
      <c r="R98" s="173">
        <f t="shared" si="27"/>
        <v>54.162658406900974</v>
      </c>
      <c r="S98" s="196">
        <f t="shared" si="28"/>
        <v>0.46097443966666019</v>
      </c>
    </row>
    <row r="99" spans="1:19">
      <c r="A99" s="197">
        <f t="shared" si="29"/>
        <v>6.916666666666659</v>
      </c>
      <c r="B99" s="196">
        <f t="shared" si="19"/>
        <v>0.99966725128094536</v>
      </c>
      <c r="C99" s="196">
        <f t="shared" si="20"/>
        <v>8.8407313428306544</v>
      </c>
      <c r="D99" s="196">
        <f t="shared" si="21"/>
        <v>0.41421439321400755</v>
      </c>
      <c r="E99" s="196">
        <f t="shared" si="22"/>
        <v>0.48628360060547893</v>
      </c>
      <c r="F99" s="196">
        <f t="shared" si="23"/>
        <v>2.810838367055581</v>
      </c>
      <c r="G99" s="173">
        <f t="shared" si="24"/>
        <v>36114.07207479803</v>
      </c>
      <c r="H99" s="167"/>
      <c r="I99" s="197">
        <f t="shared" si="30"/>
        <v>6.916666666666659</v>
      </c>
      <c r="J99" s="173">
        <f t="shared" si="31"/>
        <v>35589.164564186198</v>
      </c>
      <c r="K99" s="173">
        <f t="shared" si="32"/>
        <v>394.26833333333337</v>
      </c>
      <c r="L99" s="173">
        <f t="shared" si="33"/>
        <v>9.8567083333333354</v>
      </c>
      <c r="M99" s="173">
        <f t="shared" si="25"/>
        <v>217.45735507781919</v>
      </c>
      <c r="N99" s="173">
        <f t="shared" si="34"/>
        <v>33.069630233197984</v>
      </c>
      <c r="O99" s="173">
        <f t="shared" si="26"/>
        <v>36102.165218469549</v>
      </c>
      <c r="P99" s="173">
        <f t="shared" si="18"/>
        <v>55.798695561272325</v>
      </c>
      <c r="Q99" s="196">
        <f t="shared" si="35"/>
        <v>0.98117443320544084</v>
      </c>
      <c r="R99" s="173">
        <f t="shared" si="27"/>
        <v>54.748253490934324</v>
      </c>
      <c r="S99" s="196">
        <f t="shared" si="28"/>
        <v>0.45664146337534667</v>
      </c>
    </row>
    <row r="100" spans="1:19">
      <c r="A100" s="197">
        <f t="shared" si="29"/>
        <v>6.999999999999992</v>
      </c>
      <c r="B100" s="196">
        <f t="shared" si="19"/>
        <v>0.99966417403579488</v>
      </c>
      <c r="C100" s="196">
        <f t="shared" si="20"/>
        <v>8.8029542588829219</v>
      </c>
      <c r="D100" s="196">
        <f t="shared" si="21"/>
        <v>0.41636914901885952</v>
      </c>
      <c r="E100" s="196">
        <f t="shared" si="22"/>
        <v>0.48847959433594385</v>
      </c>
      <c r="F100" s="196">
        <f t="shared" si="23"/>
        <v>2.7416935974237013</v>
      </c>
      <c r="G100" s="173">
        <f t="shared" si="24"/>
        <v>36641.514677118532</v>
      </c>
      <c r="H100" s="167"/>
      <c r="I100" s="197">
        <f t="shared" si="30"/>
        <v>6.999999999999992</v>
      </c>
      <c r="J100" s="173">
        <f t="shared" si="31"/>
        <v>36114.07207479803</v>
      </c>
      <c r="K100" s="173">
        <f t="shared" si="32"/>
        <v>394.26833333333337</v>
      </c>
      <c r="L100" s="173">
        <f t="shared" si="33"/>
        <v>9.8567083333333354</v>
      </c>
      <c r="M100" s="173">
        <f t="shared" si="25"/>
        <v>220.63037847471026</v>
      </c>
      <c r="N100" s="173">
        <f t="shared" si="34"/>
        <v>33.375292328889536</v>
      </c>
      <c r="O100" s="173">
        <f t="shared" si="26"/>
        <v>36629.322260045497</v>
      </c>
      <c r="P100" s="173">
        <f t="shared" si="18"/>
        <v>56.416525898348482</v>
      </c>
      <c r="Q100" s="196">
        <f t="shared" si="35"/>
        <v>0.98085093872425477</v>
      </c>
      <c r="R100" s="173">
        <f t="shared" si="27"/>
        <v>55.336202386956337</v>
      </c>
      <c r="S100" s="196">
        <f t="shared" si="28"/>
        <v>0.45234921533689371</v>
      </c>
    </row>
    <row r="101" spans="1:19">
      <c r="A101" s="197">
        <f t="shared" si="29"/>
        <v>7.083333333333325</v>
      </c>
      <c r="B101" s="196">
        <f t="shared" si="19"/>
        <v>0.99966106667788734</v>
      </c>
      <c r="C101" s="196">
        <f t="shared" si="20"/>
        <v>8.7650076384567743</v>
      </c>
      <c r="D101" s="196">
        <f t="shared" si="21"/>
        <v>0.41853640229641381</v>
      </c>
      <c r="E101" s="196">
        <f t="shared" si="22"/>
        <v>0.49068543640508377</v>
      </c>
      <c r="F101" s="196">
        <f t="shared" si="23"/>
        <v>2.672197360351813</v>
      </c>
      <c r="G101" s="173">
        <f t="shared" si="24"/>
        <v>37171.50690081386</v>
      </c>
      <c r="H101" s="167"/>
      <c r="I101" s="197">
        <f t="shared" si="30"/>
        <v>7.083333333333325</v>
      </c>
      <c r="J101" s="173">
        <f t="shared" si="31"/>
        <v>36641.514677118532</v>
      </c>
      <c r="K101" s="173">
        <f t="shared" si="32"/>
        <v>394.26833333333337</v>
      </c>
      <c r="L101" s="173">
        <f t="shared" si="33"/>
        <v>9.8567083333333354</v>
      </c>
      <c r="M101" s="173">
        <f t="shared" si="25"/>
        <v>223.81872629569938</v>
      </c>
      <c r="N101" s="173">
        <f t="shared" si="34"/>
        <v>33.683945527484859</v>
      </c>
      <c r="O101" s="173">
        <f t="shared" si="26"/>
        <v>37159.023743667938</v>
      </c>
      <c r="P101" s="173">
        <f t="shared" si="18"/>
        <v>57.037339218812122</v>
      </c>
      <c r="Q101" s="196">
        <f t="shared" si="35"/>
        <v>0.98052456183081071</v>
      </c>
      <c r="R101" s="173">
        <f t="shared" si="27"/>
        <v>55.926512045521072</v>
      </c>
      <c r="S101" s="196">
        <f t="shared" si="28"/>
        <v>0.44809731272193232</v>
      </c>
    </row>
    <row r="102" spans="1:19">
      <c r="A102" s="197">
        <f t="shared" si="29"/>
        <v>7.1666666666666581</v>
      </c>
      <c r="B102" s="196">
        <f t="shared" si="19"/>
        <v>0.99965792891264571</v>
      </c>
      <c r="C102" s="196">
        <f t="shared" si="20"/>
        <v>8.7268906278276717</v>
      </c>
      <c r="D102" s="196">
        <f t="shared" si="21"/>
        <v>0.42071624415232567</v>
      </c>
      <c r="E102" s="196">
        <f t="shared" si="22"/>
        <v>0.49290117633712377</v>
      </c>
      <c r="F102" s="196">
        <f t="shared" si="23"/>
        <v>2.6023474758520719</v>
      </c>
      <c r="G102" s="173">
        <f t="shared" si="24"/>
        <v>37704.063403950218</v>
      </c>
      <c r="H102" s="167"/>
      <c r="I102" s="197">
        <f t="shared" si="30"/>
        <v>7.1666666666666581</v>
      </c>
      <c r="J102" s="173">
        <f t="shared" si="31"/>
        <v>37171.50690081386</v>
      </c>
      <c r="K102" s="173">
        <f t="shared" si="32"/>
        <v>394.26833333333337</v>
      </c>
      <c r="L102" s="173">
        <f t="shared" si="33"/>
        <v>9.8567083333333354</v>
      </c>
      <c r="M102" s="173">
        <f t="shared" si="25"/>
        <v>227.02248637144194</v>
      </c>
      <c r="N102" s="173">
        <f t="shared" si="34"/>
        <v>33.995619089532667</v>
      </c>
      <c r="O102" s="173">
        <f t="shared" si="26"/>
        <v>37691.284240483568</v>
      </c>
      <c r="P102" s="173">
        <f t="shared" si="18"/>
        <v>57.661152612199658</v>
      </c>
      <c r="Q102" s="196">
        <f t="shared" si="35"/>
        <v>0.98019527622440705</v>
      </c>
      <c r="R102" s="173">
        <f t="shared" si="27"/>
        <v>56.519189412132732</v>
      </c>
      <c r="S102" s="196">
        <f t="shared" si="28"/>
        <v>0.44388537629953656</v>
      </c>
    </row>
    <row r="103" spans="1:19">
      <c r="A103" s="197">
        <f t="shared" si="29"/>
        <v>7.2499999999999911</v>
      </c>
      <c r="B103" s="196">
        <f t="shared" si="19"/>
        <v>0.99965476044261325</v>
      </c>
      <c r="C103" s="196">
        <f t="shared" si="20"/>
        <v>8.6886023663487748</v>
      </c>
      <c r="D103" s="196">
        <f t="shared" si="21"/>
        <v>0.42290876660604293</v>
      </c>
      <c r="E103" s="196">
        <f t="shared" si="22"/>
        <v>0.49512686405742312</v>
      </c>
      <c r="F103" s="196">
        <f t="shared" si="23"/>
        <v>2.5321417437118692</v>
      </c>
      <c r="G103" s="173">
        <f t="shared" si="24"/>
        <v>38239.198974751038</v>
      </c>
      <c r="H103" s="167"/>
      <c r="I103" s="197">
        <f t="shared" si="30"/>
        <v>7.2499999999999911</v>
      </c>
      <c r="J103" s="173">
        <f t="shared" si="31"/>
        <v>37704.063403950218</v>
      </c>
      <c r="K103" s="173">
        <f t="shared" si="32"/>
        <v>394.26833333333337</v>
      </c>
      <c r="L103" s="173">
        <f t="shared" si="33"/>
        <v>9.8567083333333354</v>
      </c>
      <c r="M103" s="173">
        <f t="shared" si="25"/>
        <v>230.24174730876121</v>
      </c>
      <c r="N103" s="173">
        <f t="shared" si="34"/>
        <v>34.310342561636467</v>
      </c>
      <c r="O103" s="173">
        <f t="shared" si="26"/>
        <v>38226.118450378184</v>
      </c>
      <c r="P103" s="173">
        <f t="shared" si="18"/>
        <v>58.287983319161867</v>
      </c>
      <c r="Q103" s="196">
        <f t="shared" si="35"/>
        <v>0.97986305538311713</v>
      </c>
      <c r="R103" s="173">
        <f t="shared" si="27"/>
        <v>57.114241427234113</v>
      </c>
      <c r="S103" s="196">
        <f t="shared" si="28"/>
        <v>0.43971303040340065</v>
      </c>
    </row>
    <row r="104" spans="1:19">
      <c r="A104" s="197">
        <f t="shared" si="29"/>
        <v>7.3333333333333242</v>
      </c>
      <c r="B104" s="196">
        <f t="shared" si="19"/>
        <v>0.99965156096742502</v>
      </c>
      <c r="C104" s="196">
        <f t="shared" si="20"/>
        <v>8.6501419863527254</v>
      </c>
      <c r="D104" s="196">
        <f t="shared" si="21"/>
        <v>0.42511406260283657</v>
      </c>
      <c r="E104" s="196">
        <f t="shared" si="22"/>
        <v>0.49736254989816986</v>
      </c>
      <c r="F104" s="196">
        <f t="shared" si="23"/>
        <v>2.461577943220481</v>
      </c>
      <c r="G104" s="173">
        <f t="shared" si="24"/>
        <v>38776.928533383369</v>
      </c>
      <c r="H104" s="167"/>
      <c r="I104" s="197">
        <f t="shared" si="30"/>
        <v>7.3333333333333242</v>
      </c>
      <c r="J104" s="173">
        <f t="shared" si="31"/>
        <v>38239.198974751038</v>
      </c>
      <c r="K104" s="173">
        <f t="shared" si="32"/>
        <v>394.26833333333337</v>
      </c>
      <c r="L104" s="173">
        <f t="shared" si="33"/>
        <v>9.8567083333333354</v>
      </c>
      <c r="M104" s="173">
        <f t="shared" si="25"/>
        <v>233.47659850127027</v>
      </c>
      <c r="N104" s="173">
        <f t="shared" si="34"/>
        <v>34.628145779238494</v>
      </c>
      <c r="O104" s="173">
        <f t="shared" si="26"/>
        <v>38763.541203739689</v>
      </c>
      <c r="P104" s="173">
        <f t="shared" si="18"/>
        <v>58.917848733384744</v>
      </c>
      <c r="Q104" s="196">
        <f t="shared" si="35"/>
        <v>0.97952787256230389</v>
      </c>
      <c r="R104" s="173">
        <f t="shared" si="27"/>
        <v>57.711675025759988</v>
      </c>
      <c r="S104" s="196">
        <f t="shared" si="28"/>
        <v>0.4355799028983327</v>
      </c>
    </row>
    <row r="105" spans="1:19">
      <c r="A105" s="197">
        <f t="shared" si="29"/>
        <v>7.4166666666666572</v>
      </c>
      <c r="B105" s="196">
        <f t="shared" si="19"/>
        <v>0.99964833018377997</v>
      </c>
      <c r="C105" s="196">
        <f t="shared" si="20"/>
        <v>8.6115086130517255</v>
      </c>
      <c r="D105" s="196">
        <f t="shared" si="21"/>
        <v>0.42733222602601889</v>
      </c>
      <c r="E105" s="196">
        <f t="shared" si="22"/>
        <v>0.49960828460417256</v>
      </c>
      <c r="F105" s="196">
        <f t="shared" si="23"/>
        <v>2.3906538328912821</v>
      </c>
      <c r="G105" s="173">
        <f t="shared" si="24"/>
        <v>39317.267133773872</v>
      </c>
      <c r="H105" s="167"/>
      <c r="I105" s="197">
        <f t="shared" si="30"/>
        <v>7.4166666666666572</v>
      </c>
      <c r="J105" s="173">
        <f t="shared" si="31"/>
        <v>38776.928533383369</v>
      </c>
      <c r="K105" s="173">
        <f t="shared" si="32"/>
        <v>394.26833333333337</v>
      </c>
      <c r="L105" s="173">
        <f t="shared" si="33"/>
        <v>9.8567083333333354</v>
      </c>
      <c r="M105" s="173">
        <f t="shared" si="25"/>
        <v>236.72713014017083</v>
      </c>
      <c r="N105" s="173">
        <f t="shared" si="34"/>
        <v>34.949058869481576</v>
      </c>
      <c r="O105" s="173">
        <f t="shared" si="26"/>
        <v>39303.567463250285</v>
      </c>
      <c r="P105" s="173">
        <f t="shared" si="18"/>
        <v>59.550766403772286</v>
      </c>
      <c r="Q105" s="196">
        <f t="shared" si="35"/>
        <v>0.9791897007931325</v>
      </c>
      <c r="R105" s="173">
        <f t="shared" si="27"/>
        <v>58.311497136911512</v>
      </c>
      <c r="S105" s="196">
        <f t="shared" si="28"/>
        <v>0.43148562514706312</v>
      </c>
    </row>
    <row r="106" spans="1:19">
      <c r="A106" s="197">
        <f t="shared" si="29"/>
        <v>7.4999999999999902</v>
      </c>
      <c r="B106" s="196">
        <f t="shared" si="19"/>
        <v>0.99964506778541196</v>
      </c>
      <c r="C106" s="196">
        <f t="shared" si="20"/>
        <v>8.5727013644358703</v>
      </c>
      <c r="D106" s="196">
        <f t="shared" si="21"/>
        <v>0.42956335170935162</v>
      </c>
      <c r="E106" s="196">
        <f t="shared" si="22"/>
        <v>0.50186411933875508</v>
      </c>
      <c r="F106" s="196">
        <f t="shared" si="23"/>
        <v>2.3193671501794499</v>
      </c>
      <c r="G106" s="173">
        <f t="shared" si="24"/>
        <v>39860.229965455103</v>
      </c>
      <c r="H106" s="167"/>
      <c r="I106" s="197">
        <f t="shared" si="30"/>
        <v>7.4999999999999902</v>
      </c>
      <c r="J106" s="173">
        <f t="shared" si="31"/>
        <v>39317.267133773872</v>
      </c>
      <c r="K106" s="173">
        <f t="shared" si="32"/>
        <v>394.26833333333337</v>
      </c>
      <c r="L106" s="173">
        <f t="shared" si="33"/>
        <v>9.8567083333333354</v>
      </c>
      <c r="M106" s="173">
        <f t="shared" si="25"/>
        <v>239.99343322523055</v>
      </c>
      <c r="N106" s="173">
        <f t="shared" si="34"/>
        <v>35.273112254004197</v>
      </c>
      <c r="O106" s="173">
        <f t="shared" si="26"/>
        <v>39846.212325708664</v>
      </c>
      <c r="P106" s="173">
        <f t="shared" si="18"/>
        <v>60.186754036432831</v>
      </c>
      <c r="Q106" s="196">
        <f t="shared" si="35"/>
        <v>0.97884851288108077</v>
      </c>
      <c r="R106" s="173">
        <f t="shared" si="27"/>
        <v>58.913714683701663</v>
      </c>
      <c r="S106" s="196">
        <f t="shared" si="28"/>
        <v>0.42742983197736634</v>
      </c>
    </row>
    <row r="107" spans="1:19">
      <c r="A107" s="197">
        <f t="shared" si="29"/>
        <v>7.5833333333333233</v>
      </c>
      <c r="B107" s="196">
        <f t="shared" si="19"/>
        <v>0.99964177346306082</v>
      </c>
      <c r="C107" s="196">
        <f t="shared" si="20"/>
        <v>8.5337193511697187</v>
      </c>
      <c r="D107" s="196">
        <f t="shared" si="21"/>
        <v>0.43180753544964812</v>
      </c>
      <c r="E107" s="196">
        <f t="shared" si="22"/>
        <v>0.5041301056897517</v>
      </c>
      <c r="F107" s="196">
        <f t="shared" si="23"/>
        <v>2.2477156111950776</v>
      </c>
      <c r="G107" s="173">
        <f t="shared" si="24"/>
        <v>40405.832355442282</v>
      </c>
      <c r="H107" s="167"/>
      <c r="I107" s="197">
        <f t="shared" si="30"/>
        <v>7.5833333333333233</v>
      </c>
      <c r="J107" s="173">
        <f t="shared" si="31"/>
        <v>39860.229965455103</v>
      </c>
      <c r="K107" s="173">
        <f t="shared" si="32"/>
        <v>394.26833333333337</v>
      </c>
      <c r="L107" s="173">
        <f t="shared" si="33"/>
        <v>9.8567083333333354</v>
      </c>
      <c r="M107" s="173">
        <f t="shared" si="25"/>
        <v>243.27559957594372</v>
      </c>
      <c r="N107" s="173">
        <f t="shared" si="34"/>
        <v>35.600336651846924</v>
      </c>
      <c r="O107" s="173">
        <f t="shared" si="26"/>
        <v>40391.491023882088</v>
      </c>
      <c r="P107" s="173">
        <f t="shared" si="18"/>
        <v>60.825829497109225</v>
      </c>
      <c r="Q107" s="196">
        <f t="shared" si="35"/>
        <v>0.97850428140444867</v>
      </c>
      <c r="R107" s="173">
        <f t="shared" si="27"/>
        <v>59.518334582898383</v>
      </c>
      <c r="S107" s="196">
        <f t="shared" si="28"/>
        <v>0.42341216164949014</v>
      </c>
    </row>
    <row r="108" spans="1:19">
      <c r="A108" s="197">
        <f t="shared" si="29"/>
        <v>7.6666666666666563</v>
      </c>
      <c r="B108" s="196">
        <f t="shared" si="19"/>
        <v>0.99963844690444348</v>
      </c>
      <c r="C108" s="196">
        <f t="shared" si="20"/>
        <v>8.4945616764870557</v>
      </c>
      <c r="D108" s="196">
        <f t="shared" si="21"/>
        <v>0.43406487401957239</v>
      </c>
      <c r="E108" s="196">
        <f t="shared" si="22"/>
        <v>0.50640629567560902</v>
      </c>
      <c r="F108" s="196">
        <f t="shared" si="23"/>
        <v>2.1756969104116144</v>
      </c>
      <c r="G108" s="173">
        <f t="shared" si="24"/>
        <v>40954.089770141531</v>
      </c>
      <c r="H108" s="167"/>
      <c r="I108" s="197">
        <f t="shared" si="30"/>
        <v>7.6666666666666563</v>
      </c>
      <c r="J108" s="173">
        <f t="shared" si="31"/>
        <v>40405.832355442282</v>
      </c>
      <c r="K108" s="173">
        <f t="shared" si="32"/>
        <v>394.26833333333337</v>
      </c>
      <c r="L108" s="173">
        <f t="shared" si="33"/>
        <v>9.8567083333333354</v>
      </c>
      <c r="M108" s="173">
        <f t="shared" si="25"/>
        <v>246.57372184287627</v>
      </c>
      <c r="N108" s="173">
        <f t="shared" si="34"/>
        <v>35.930763082358887</v>
      </c>
      <c r="O108" s="173">
        <f t="shared" si="26"/>
        <v>40939.418928389678</v>
      </c>
      <c r="P108" s="173">
        <f t="shared" si="18"/>
        <v>61.468010813121509</v>
      </c>
      <c r="Q108" s="196">
        <f t="shared" si="35"/>
        <v>0.97815697871286589</v>
      </c>
      <c r="R108" s="173">
        <f t="shared" si="27"/>
        <v>60.125363744452706</v>
      </c>
      <c r="S108" s="196">
        <f t="shared" si="28"/>
        <v>0.41943225582389221</v>
      </c>
    </row>
    <row r="109" spans="1:19">
      <c r="A109" s="197">
        <f t="shared" si="29"/>
        <v>7.7499999999999893</v>
      </c>
      <c r="B109" s="196">
        <f t="shared" si="19"/>
        <v>0.99963508779422405</v>
      </c>
      <c r="C109" s="196">
        <f t="shared" si="20"/>
        <v>8.4552274360838187</v>
      </c>
      <c r="D109" s="196">
        <f t="shared" si="21"/>
        <v>0.43633546518063904</v>
      </c>
      <c r="E109" s="196">
        <f t="shared" si="22"/>
        <v>0.50869274175159296</v>
      </c>
      <c r="F109" s="196">
        <f t="shared" si="23"/>
        <v>2.1033087203695522</v>
      </c>
      <c r="G109" s="173">
        <f t="shared" si="24"/>
        <v>41505.017817289852</v>
      </c>
      <c r="H109" s="167"/>
      <c r="I109" s="197">
        <f t="shared" si="30"/>
        <v>7.7499999999999893</v>
      </c>
      <c r="J109" s="173">
        <f t="shared" si="31"/>
        <v>40954.089770141531</v>
      </c>
      <c r="K109" s="173">
        <f t="shared" si="32"/>
        <v>394.26833333333337</v>
      </c>
      <c r="L109" s="173">
        <f t="shared" si="33"/>
        <v>9.8567083333333354</v>
      </c>
      <c r="M109" s="173">
        <f t="shared" si="25"/>
        <v>249.88789351920073</v>
      </c>
      <c r="N109" s="173">
        <f t="shared" si="34"/>
        <v>36.264422868092986</v>
      </c>
      <c r="O109" s="173">
        <f t="shared" si="26"/>
        <v>41490.01154961688</v>
      </c>
      <c r="P109" s="173">
        <f t="shared" si="18"/>
        <v>62.113316175760701</v>
      </c>
      <c r="Q109" s="196">
        <f t="shared" si="35"/>
        <v>0.97780657692579864</v>
      </c>
      <c r="R109" s="173">
        <f t="shared" si="27"/>
        <v>60.73480907133041</v>
      </c>
      <c r="S109" s="196">
        <f t="shared" si="28"/>
        <v>0.41548975952927925</v>
      </c>
    </row>
    <row r="110" spans="1:19">
      <c r="A110" s="197">
        <f t="shared" si="29"/>
        <v>7.8333333333333224</v>
      </c>
      <c r="B110" s="196">
        <f t="shared" si="19"/>
        <v>0.99963169581398403</v>
      </c>
      <c r="C110" s="196">
        <f t="shared" si="20"/>
        <v>8.415715718009162</v>
      </c>
      <c r="D110" s="196">
        <f t="shared" si="21"/>
        <v>0.43861940769641689</v>
      </c>
      <c r="E110" s="196">
        <f t="shared" si="22"/>
        <v>0.51098949681610428</v>
      </c>
      <c r="F110" s="196">
        <f t="shared" si="23"/>
        <v>2.0305486913752713</v>
      </c>
      <c r="G110" s="173">
        <f t="shared" si="24"/>
        <v>42058.632247927417</v>
      </c>
      <c r="H110" s="167"/>
      <c r="I110" s="197">
        <f t="shared" si="30"/>
        <v>7.8333333333333224</v>
      </c>
      <c r="J110" s="173">
        <f t="shared" si="31"/>
        <v>41505.017817289852</v>
      </c>
      <c r="K110" s="173">
        <f t="shared" si="32"/>
        <v>394.26833333333337</v>
      </c>
      <c r="L110" s="173">
        <f t="shared" si="33"/>
        <v>9.8567083333333354</v>
      </c>
      <c r="M110" s="173">
        <f t="shared" si="25"/>
        <v>253.21820895242351</v>
      </c>
      <c r="N110" s="173">
        <f t="shared" si="34"/>
        <v>36.601347637801474</v>
      </c>
      <c r="O110" s="173">
        <f t="shared" si="26"/>
        <v>42043.284539661909</v>
      </c>
      <c r="P110" s="173">
        <f t="shared" si="18"/>
        <v>62.761763942566176</v>
      </c>
      <c r="Q110" s="196">
        <f t="shared" si="35"/>
        <v>0.97745304793105559</v>
      </c>
      <c r="R110" s="173">
        <f t="shared" si="27"/>
        <v>61.34667745919073</v>
      </c>
      <c r="S110" s="196">
        <f t="shared" si="28"/>
        <v>0.41158432113094673</v>
      </c>
    </row>
    <row r="111" spans="1:19">
      <c r="A111" s="197">
        <f t="shared" si="29"/>
        <v>7.9166666666666554</v>
      </c>
      <c r="B111" s="196">
        <f t="shared" si="19"/>
        <v>0.9996282706421924</v>
      </c>
      <c r="C111" s="196">
        <f t="shared" si="20"/>
        <v>8.3760256025546092</v>
      </c>
      <c r="D111" s="196">
        <f t="shared" si="21"/>
        <v>0.44091680134594047</v>
      </c>
      <c r="E111" s="196">
        <f t="shared" si="22"/>
        <v>0.51329661421710504</v>
      </c>
      <c r="F111" s="196">
        <f t="shared" si="23"/>
        <v>1.9574144511949629</v>
      </c>
      <c r="G111" s="173">
        <f t="shared" si="24"/>
        <v>42614.948958402965</v>
      </c>
      <c r="H111" s="167"/>
      <c r="I111" s="197">
        <f t="shared" si="30"/>
        <v>7.9166666666666554</v>
      </c>
      <c r="J111" s="173">
        <f t="shared" si="31"/>
        <v>42058.632247927417</v>
      </c>
      <c r="K111" s="173">
        <f t="shared" si="32"/>
        <v>394.26833333333337</v>
      </c>
      <c r="L111" s="173">
        <f t="shared" si="33"/>
        <v>9.8567083333333354</v>
      </c>
      <c r="M111" s="173">
        <f t="shared" si="25"/>
        <v>256.56476335630697</v>
      </c>
      <c r="N111" s="173">
        <f t="shared" si="34"/>
        <v>36.94156932943141</v>
      </c>
      <c r="O111" s="173">
        <f t="shared" si="26"/>
        <v>42599.253694314728</v>
      </c>
      <c r="P111" s="173">
        <f t="shared" si="18"/>
        <v>63.41337263956666</v>
      </c>
      <c r="Q111" s="196">
        <f t="shared" si="35"/>
        <v>0.97709636338329264</v>
      </c>
      <c r="R111" s="173">
        <f t="shared" si="27"/>
        <v>61.960975795990173</v>
      </c>
      <c r="S111" s="196">
        <f t="shared" si="28"/>
        <v>0.40771559229941678</v>
      </c>
    </row>
    <row r="112" spans="1:19">
      <c r="A112" s="197">
        <f t="shared" si="29"/>
        <v>7.9999999999999885</v>
      </c>
      <c r="B112" s="196">
        <f t="shared" si="19"/>
        <v>0.99962481195417541</v>
      </c>
      <c r="C112" s="196">
        <f t="shared" si="20"/>
        <v>8.3361561621412754</v>
      </c>
      <c r="D112" s="196">
        <f t="shared" si="21"/>
        <v>0.44322774693733269</v>
      </c>
      <c r="E112" s="196">
        <f t="shared" si="22"/>
        <v>0.51561414775865677</v>
      </c>
      <c r="F112" s="196">
        <f t="shared" si="23"/>
        <v>1.8839036047435385</v>
      </c>
      <c r="G112" s="173">
        <f t="shared" si="24"/>
        <v>43173.983992412614</v>
      </c>
      <c r="H112" s="167"/>
      <c r="I112" s="197">
        <f t="shared" si="30"/>
        <v>7.9999999999999885</v>
      </c>
      <c r="J112" s="173">
        <f t="shared" si="31"/>
        <v>42614.948958402965</v>
      </c>
      <c r="K112" s="173">
        <f t="shared" si="32"/>
        <v>394.26833333333337</v>
      </c>
      <c r="L112" s="173">
        <f t="shared" si="33"/>
        <v>9.8567083333333354</v>
      </c>
      <c r="M112" s="173">
        <f t="shared" si="25"/>
        <v>259.927652822992</v>
      </c>
      <c r="N112" s="173">
        <f t="shared" si="34"/>
        <v>37.285120193120257</v>
      </c>
      <c r="O112" s="173">
        <f t="shared" si="26"/>
        <v>43157.934955069119</v>
      </c>
      <c r="P112" s="173">
        <f t="shared" si="18"/>
        <v>64.068160963717673</v>
      </c>
      <c r="Q112" s="196">
        <f t="shared" si="35"/>
        <v>0.97673649470251755</v>
      </c>
      <c r="R112" s="173">
        <f t="shared" si="27"/>
        <v>62.577710961738269</v>
      </c>
      <c r="S112" s="196">
        <f t="shared" si="28"/>
        <v>0.40388322797936954</v>
      </c>
    </row>
    <row r="113" spans="1:19">
      <c r="A113" s="197">
        <f t="shared" si="29"/>
        <v>8.0833333333333215</v>
      </c>
      <c r="B113" s="196">
        <f t="shared" si="19"/>
        <v>0.99962131942208543</v>
      </c>
      <c r="C113" s="196">
        <f t="shared" si="20"/>
        <v>8.2961064612051132</v>
      </c>
      <c r="D113" s="196">
        <f t="shared" si="21"/>
        <v>0.4455523463216422</v>
      </c>
      <c r="E113" s="196">
        <f t="shared" si="22"/>
        <v>0.51794215170757374</v>
      </c>
      <c r="F113" s="196">
        <f t="shared" si="23"/>
        <v>1.8100137337684361</v>
      </c>
      <c r="G113" s="173">
        <f t="shared" si="24"/>
        <v>43735.753543072933</v>
      </c>
      <c r="H113" s="167"/>
      <c r="I113" s="197">
        <f t="shared" si="30"/>
        <v>8.0833333333333215</v>
      </c>
      <c r="J113" s="173">
        <f t="shared" si="31"/>
        <v>43173.983992412614</v>
      </c>
      <c r="K113" s="173">
        <f t="shared" si="32"/>
        <v>394.26833333333337</v>
      </c>
      <c r="L113" s="173">
        <f t="shared" si="33"/>
        <v>9.8567083333333354</v>
      </c>
      <c r="M113" s="173">
        <f t="shared" si="25"/>
        <v>263.30697433532248</v>
      </c>
      <c r="N113" s="173">
        <f t="shared" si="34"/>
        <v>37.632032794224699</v>
      </c>
      <c r="O113" s="173">
        <f t="shared" si="26"/>
        <v>43719.344411168444</v>
      </c>
      <c r="P113" s="173">
        <f t="shared" si="18"/>
        <v>64.726147785266221</v>
      </c>
      <c r="Q113" s="196">
        <f t="shared" si="35"/>
        <v>0.97637341307259451</v>
      </c>
      <c r="R113" s="173">
        <f t="shared" si="27"/>
        <v>63.196889828141536</v>
      </c>
      <c r="S113" s="196">
        <f t="shared" si="28"/>
        <v>0.40008688635886819</v>
      </c>
    </row>
    <row r="114" spans="1:19">
      <c r="A114" s="197">
        <f t="shared" si="29"/>
        <v>8.1666666666666554</v>
      </c>
      <c r="B114" s="196">
        <f t="shared" si="19"/>
        <v>0.99961779271487028</v>
      </c>
      <c r="C114" s="196">
        <f t="shared" si="20"/>
        <v>8.2558755560801522</v>
      </c>
      <c r="D114" s="196">
        <f t="shared" si="21"/>
        <v>0.44789070240690004</v>
      </c>
      <c r="E114" s="196">
        <f t="shared" si="22"/>
        <v>0.52028068080019185</v>
      </c>
      <c r="F114" s="196">
        <f t="shared" si="23"/>
        <v>1.7357423965282355</v>
      </c>
      <c r="G114" s="173">
        <f t="shared" si="24"/>
        <v>44300.273955028701</v>
      </c>
      <c r="H114" s="167"/>
      <c r="I114" s="197">
        <f t="shared" si="30"/>
        <v>8.1666666666666554</v>
      </c>
      <c r="J114" s="173">
        <f t="shared" si="31"/>
        <v>43735.753543072933</v>
      </c>
      <c r="K114" s="173">
        <f t="shared" si="32"/>
        <v>394.26833333333337</v>
      </c>
      <c r="L114" s="173">
        <f t="shared" si="33"/>
        <v>9.8567083333333354</v>
      </c>
      <c r="M114" s="173">
        <f t="shared" si="25"/>
        <v>266.70282577937684</v>
      </c>
      <c r="N114" s="173">
        <f t="shared" si="34"/>
        <v>37.982340016449847</v>
      </c>
      <c r="O114" s="173">
        <f t="shared" si="26"/>
        <v>44283.498301685635</v>
      </c>
      <c r="P114" s="173">
        <f t="shared" si="18"/>
        <v>65.387352150224615</v>
      </c>
      <c r="Q114" s="196">
        <f t="shared" si="35"/>
        <v>0.97600708943974868</v>
      </c>
      <c r="R114" s="173">
        <f t="shared" si="27"/>
        <v>63.81851925831262</v>
      </c>
      <c r="S114" s="196">
        <f t="shared" si="28"/>
        <v>0.39632622883887197</v>
      </c>
    </row>
    <row r="115" spans="1:19">
      <c r="A115" s="197">
        <f t="shared" si="29"/>
        <v>8.2499999999999893</v>
      </c>
      <c r="B115" s="196">
        <f t="shared" si="19"/>
        <v>0.99961423149824191</v>
      </c>
      <c r="C115" s="196">
        <f t="shared" si="20"/>
        <v>8.2154624948796915</v>
      </c>
      <c r="D115" s="196">
        <f t="shared" si="21"/>
        <v>0.45024291917239839</v>
      </c>
      <c r="E115" s="196">
        <f t="shared" si="22"/>
        <v>0.52262979024925726</v>
      </c>
      <c r="F115" s="196">
        <f t="shared" si="23"/>
        <v>1.6610871274659871</v>
      </c>
      <c r="G115" s="173">
        <f t="shared" si="24"/>
        <v>44867.561726596134</v>
      </c>
      <c r="H115" s="167"/>
      <c r="I115" s="197">
        <f t="shared" si="30"/>
        <v>8.2499999999999893</v>
      </c>
      <c r="J115" s="173">
        <f t="shared" si="31"/>
        <v>44300.273955028701</v>
      </c>
      <c r="K115" s="173">
        <f t="shared" si="32"/>
        <v>394.26833333333337</v>
      </c>
      <c r="L115" s="173">
        <f t="shared" si="33"/>
        <v>9.8567083333333354</v>
      </c>
      <c r="M115" s="173">
        <f t="shared" si="25"/>
        <v>270.11530595720927</v>
      </c>
      <c r="N115" s="173">
        <f t="shared" si="34"/>
        <v>38.33607506492271</v>
      </c>
      <c r="O115" s="173">
        <f t="shared" si="26"/>
        <v>44850.413017638224</v>
      </c>
      <c r="P115" s="173">
        <f t="shared" si="18"/>
        <v>66.051793282764265</v>
      </c>
      <c r="Q115" s="196">
        <f t="shared" si="35"/>
        <v>0.97563749451107096</v>
      </c>
      <c r="R115" s="173">
        <f t="shared" si="27"/>
        <v>64.442606106359321</v>
      </c>
      <c r="S115" s="196">
        <f t="shared" si="28"/>
        <v>0.39260092000303642</v>
      </c>
    </row>
    <row r="116" spans="1:19">
      <c r="A116" s="197">
        <f t="shared" si="29"/>
        <v>8.3333333333333233</v>
      </c>
      <c r="B116" s="196">
        <f t="shared" si="19"/>
        <v>0.9996106354346449</v>
      </c>
      <c r="C116" s="196">
        <f t="shared" si="20"/>
        <v>8.174866317375411</v>
      </c>
      <c r="D116" s="196">
        <f t="shared" si="21"/>
        <v>0.45260910168319612</v>
      </c>
      <c r="E116" s="196">
        <f t="shared" si="22"/>
        <v>0.5249895357509351</v>
      </c>
      <c r="F116" s="196">
        <f t="shared" si="23"/>
        <v>1.5860454368771606</v>
      </c>
      <c r="G116" s="173">
        <f t="shared" si="24"/>
        <v>45437.633511942127</v>
      </c>
      <c r="H116" s="167"/>
      <c r="I116" s="197">
        <f t="shared" si="30"/>
        <v>8.3333333333333233</v>
      </c>
      <c r="J116" s="173">
        <f t="shared" si="31"/>
        <v>44867.561726596134</v>
      </c>
      <c r="K116" s="173">
        <f t="shared" si="32"/>
        <v>394.26833333333337</v>
      </c>
      <c r="L116" s="173">
        <f t="shared" si="33"/>
        <v>9.8567083333333354</v>
      </c>
      <c r="M116" s="173">
        <f t="shared" si="25"/>
        <v>273.54451459980527</v>
      </c>
      <c r="N116" s="173">
        <f t="shared" si="34"/>
        <v>38.69327146933243</v>
      </c>
      <c r="O116" s="173">
        <f t="shared" si="26"/>
        <v>45420.105104138791</v>
      </c>
      <c r="P116" s="173">
        <f t="shared" si="18"/>
        <v>66.719490587813198</v>
      </c>
      <c r="Q116" s="196">
        <f t="shared" si="35"/>
        <v>0.97526459875302307</v>
      </c>
      <c r="R116" s="173">
        <f t="shared" si="27"/>
        <v>65.069157217129742</v>
      </c>
      <c r="S116" s="196">
        <f t="shared" si="28"/>
        <v>0.38891062758779704</v>
      </c>
    </row>
    <row r="117" spans="1:19">
      <c r="A117" s="197">
        <f t="shared" si="29"/>
        <v>8.4166666666666572</v>
      </c>
      <c r="B117" s="196">
        <f t="shared" si="19"/>
        <v>0.99960700418322423</v>
      </c>
      <c r="C117" s="196">
        <f t="shared" si="20"/>
        <v>8.134086054874361</v>
      </c>
      <c r="D117" s="196">
        <f t="shared" si="21"/>
        <v>0.45498935610485453</v>
      </c>
      <c r="E117" s="196">
        <f t="shared" si="22"/>
        <v>0.52735997349194064</v>
      </c>
      <c r="F117" s="196">
        <f t="shared" si="23"/>
        <v>1.5106148105721173</v>
      </c>
      <c r="G117" s="173">
        <f t="shared" si="24"/>
        <v>46010.506123300089</v>
      </c>
      <c r="H117" s="167"/>
      <c r="I117" s="197">
        <f t="shared" si="30"/>
        <v>8.4166666666666572</v>
      </c>
      <c r="J117" s="173">
        <f t="shared" si="31"/>
        <v>45437.633511942127</v>
      </c>
      <c r="K117" s="173">
        <f t="shared" si="32"/>
        <v>394.26833333333337</v>
      </c>
      <c r="L117" s="173">
        <f t="shared" si="33"/>
        <v>9.8567083333333354</v>
      </c>
      <c r="M117" s="173">
        <f t="shared" si="25"/>
        <v>276.99055238025522</v>
      </c>
      <c r="N117" s="173">
        <f t="shared" si="34"/>
        <v>39.053963087092839</v>
      </c>
      <c r="O117" s="173">
        <f t="shared" si="26"/>
        <v>45992.59126258162</v>
      </c>
      <c r="P117" s="173">
        <f t="shared" si="18"/>
        <v>67.390463653668121</v>
      </c>
      <c r="Q117" s="196">
        <f t="shared" si="35"/>
        <v>0.97488837238994441</v>
      </c>
      <c r="R117" s="173">
        <f t="shared" si="27"/>
        <v>65.698179425928217</v>
      </c>
      <c r="S117" s="196">
        <f t="shared" si="28"/>
        <v>0.38525502245273491</v>
      </c>
    </row>
    <row r="118" spans="1:19">
      <c r="A118" s="197">
        <f t="shared" si="29"/>
        <v>8.4999999999999911</v>
      </c>
      <c r="B118" s="196">
        <f t="shared" si="19"/>
        <v>0.99960333739979368</v>
      </c>
      <c r="C118" s="196">
        <f t="shared" si="20"/>
        <v>8.0931207300937889</v>
      </c>
      <c r="D118" s="196">
        <f t="shared" si="21"/>
        <v>0.45738378971840815</v>
      </c>
      <c r="E118" s="196">
        <f t="shared" si="22"/>
        <v>0.52974116015679762</v>
      </c>
      <c r="F118" s="196">
        <f t="shared" si="23"/>
        <v>1.4347927095330082</v>
      </c>
      <c r="G118" s="173">
        <f t="shared" si="24"/>
        <v>46586.196533223316</v>
      </c>
      <c r="H118" s="167"/>
      <c r="I118" s="197">
        <f t="shared" si="30"/>
        <v>8.4999999999999911</v>
      </c>
      <c r="J118" s="173">
        <f t="shared" si="31"/>
        <v>46010.506123300089</v>
      </c>
      <c r="K118" s="173">
        <f t="shared" si="32"/>
        <v>394.26833333333337</v>
      </c>
      <c r="L118" s="173">
        <f t="shared" si="33"/>
        <v>9.8567083333333354</v>
      </c>
      <c r="M118" s="173">
        <f t="shared" si="25"/>
        <v>280.45352092714865</v>
      </c>
      <c r="N118" s="173">
        <f t="shared" si="34"/>
        <v>39.418184106571879</v>
      </c>
      <c r="O118" s="173">
        <f t="shared" si="26"/>
        <v>46567.888352866263</v>
      </c>
      <c r="P118" s="173">
        <f t="shared" si="18"/>
        <v>68.06473225440277</v>
      </c>
      <c r="Q118" s="196">
        <f t="shared" si="35"/>
        <v>0.97450878540255903</v>
      </c>
      <c r="R118" s="173">
        <f t="shared" si="27"/>
        <v>66.329679557988428</v>
      </c>
      <c r="S118" s="196">
        <f t="shared" si="28"/>
        <v>0.38163377855121983</v>
      </c>
    </row>
    <row r="119" spans="1:19">
      <c r="A119" s="197">
        <f t="shared" si="29"/>
        <v>8.583333333333325</v>
      </c>
      <c r="B119" s="196">
        <f t="shared" si="19"/>
        <v>0.99959963473680247</v>
      </c>
      <c r="C119" s="196">
        <f t="shared" si="20"/>
        <v>8.0519693570337765</v>
      </c>
      <c r="D119" s="196">
        <f t="shared" si="21"/>
        <v>0.45979251093557383</v>
      </c>
      <c r="E119" s="196">
        <f t="shared" si="22"/>
        <v>0.53213315293522201</v>
      </c>
      <c r="F119" s="196">
        <f t="shared" si="23"/>
        <v>1.3585765695649969</v>
      </c>
      <c r="G119" s="173">
        <f t="shared" si="24"/>
        <v>47164.72187687616</v>
      </c>
      <c r="H119" s="167"/>
      <c r="I119" s="197">
        <f t="shared" si="30"/>
        <v>8.583333333333325</v>
      </c>
      <c r="J119" s="173">
        <f t="shared" si="31"/>
        <v>46586.196533223316</v>
      </c>
      <c r="K119" s="173">
        <f t="shared" si="32"/>
        <v>394.26833333333337</v>
      </c>
      <c r="L119" s="173">
        <f t="shared" si="33"/>
        <v>9.8567083333333354</v>
      </c>
      <c r="M119" s="173">
        <f t="shared" si="25"/>
        <v>283.93352283819587</v>
      </c>
      <c r="N119" s="173">
        <f t="shared" si="34"/>
        <v>39.78596905026518</v>
      </c>
      <c r="O119" s="173">
        <f t="shared" si="26"/>
        <v>47146.013395658469</v>
      </c>
      <c r="P119" s="173">
        <f t="shared" si="18"/>
        <v>68.742316352778289</v>
      </c>
      <c r="Q119" s="196">
        <f t="shared" si="35"/>
        <v>0.97412580752648459</v>
      </c>
      <c r="R119" s="173">
        <f t="shared" si="27"/>
        <v>66.963664428391212</v>
      </c>
      <c r="S119" s="196">
        <f t="shared" si="28"/>
        <v>0.37804657290133037</v>
      </c>
    </row>
    <row r="120" spans="1:19">
      <c r="A120" s="197">
        <f t="shared" si="29"/>
        <v>8.666666666666659</v>
      </c>
      <c r="B120" s="196">
        <f t="shared" si="19"/>
        <v>0.99959589584330333</v>
      </c>
      <c r="C120" s="196">
        <f t="shared" si="20"/>
        <v>8.0106309408476299</v>
      </c>
      <c r="D120" s="196">
        <f t="shared" si="21"/>
        <v>0.46221562931420318</v>
      </c>
      <c r="E120" s="196">
        <f t="shared" si="22"/>
        <v>0.53453600952963676</v>
      </c>
      <c r="F120" s="196">
        <f t="shared" si="23"/>
        <v>1.2819638009417069</v>
      </c>
      <c r="G120" s="173">
        <f t="shared" si="24"/>
        <v>47746.099454364055</v>
      </c>
      <c r="H120" s="167"/>
      <c r="I120" s="197">
        <f t="shared" si="30"/>
        <v>8.666666666666659</v>
      </c>
      <c r="J120" s="173">
        <f t="shared" si="31"/>
        <v>47164.72187687616</v>
      </c>
      <c r="K120" s="173">
        <f t="shared" si="32"/>
        <v>394.26833333333337</v>
      </c>
      <c r="L120" s="173">
        <f t="shared" si="33"/>
        <v>9.8567083333333354</v>
      </c>
      <c r="M120" s="173">
        <f t="shared" si="25"/>
        <v>287.43066169407786</v>
      </c>
      <c r="N120" s="173">
        <f t="shared" si="34"/>
        <v>40.157352778136904</v>
      </c>
      <c r="O120" s="173">
        <f t="shared" si="26"/>
        <v>47726.983574689351</v>
      </c>
      <c r="P120" s="173">
        <f t="shared" si="18"/>
        <v>69.423236102753435</v>
      </c>
      <c r="Q120" s="196">
        <f t="shared" si="35"/>
        <v>0.97373940825074301</v>
      </c>
      <c r="R120" s="173">
        <f t="shared" si="27"/>
        <v>67.600140841546747</v>
      </c>
      <c r="S120" s="196">
        <f t="shared" si="28"/>
        <v>0.37449308555704647</v>
      </c>
    </row>
    <row r="121" spans="1:19">
      <c r="A121" s="197">
        <f t="shared" si="29"/>
        <v>8.7499999999999929</v>
      </c>
      <c r="B121" s="196">
        <f t="shared" si="19"/>
        <v>0.99959212036491885</v>
      </c>
      <c r="C121" s="196">
        <f t="shared" si="20"/>
        <v>7.9691044777099886</v>
      </c>
      <c r="D121" s="196">
        <f t="shared" si="21"/>
        <v>0.46465325557398202</v>
      </c>
      <c r="E121" s="196">
        <f t="shared" si="22"/>
        <v>0.53694978816281902</v>
      </c>
      <c r="F121" s="196">
        <f t="shared" si="23"/>
        <v>1.2049517880447862</v>
      </c>
      <c r="G121" s="173">
        <f t="shared" si="24"/>
        <v>48330.346733102961</v>
      </c>
      <c r="H121" s="167"/>
      <c r="I121" s="197">
        <f t="shared" si="30"/>
        <v>8.7499999999999929</v>
      </c>
      <c r="J121" s="173">
        <f t="shared" si="31"/>
        <v>47746.099454364055</v>
      </c>
      <c r="K121" s="173">
        <f t="shared" si="32"/>
        <v>394.26833333333337</v>
      </c>
      <c r="L121" s="173">
        <f t="shared" si="33"/>
        <v>9.8567083333333354</v>
      </c>
      <c r="M121" s="173">
        <f t="shared" si="25"/>
        <v>290.94504207253107</v>
      </c>
      <c r="N121" s="173">
        <f t="shared" si="34"/>
        <v>40.532370490826743</v>
      </c>
      <c r="O121" s="173">
        <f t="shared" si="26"/>
        <v>48310.816239093525</v>
      </c>
      <c r="P121" s="173">
        <f t="shared" si="18"/>
        <v>70.107511852234893</v>
      </c>
      <c r="Q121" s="196">
        <f t="shared" si="35"/>
        <v>0.97334955681627289</v>
      </c>
      <c r="R121" s="173">
        <f t="shared" si="27"/>
        <v>68.239115590864429</v>
      </c>
      <c r="S121" s="196">
        <f t="shared" si="28"/>
        <v>0.37097299957971336</v>
      </c>
    </row>
    <row r="122" spans="1:19">
      <c r="A122" s="197">
        <f t="shared" si="29"/>
        <v>8.8333333333333268</v>
      </c>
      <c r="B122" s="196">
        <f t="shared" si="19"/>
        <v>0.99958830794380793</v>
      </c>
      <c r="C122" s="196">
        <f t="shared" si="20"/>
        <v>7.9273889546826144</v>
      </c>
      <c r="D122" s="196">
        <f t="shared" si="21"/>
        <v>0.46710550161238173</v>
      </c>
      <c r="E122" s="196">
        <f t="shared" si="22"/>
        <v>0.53937454758568126</v>
      </c>
      <c r="F122" s="196">
        <f t="shared" si="23"/>
        <v>1.1275378889974874</v>
      </c>
      <c r="G122" s="173">
        <f t="shared" si="24"/>
        <v>48917.48135022878</v>
      </c>
      <c r="H122" s="167"/>
      <c r="I122" s="197">
        <f t="shared" si="30"/>
        <v>8.8333333333333268</v>
      </c>
      <c r="J122" s="173">
        <f t="shared" si="31"/>
        <v>48330.346733102961</v>
      </c>
      <c r="K122" s="173">
        <f t="shared" si="32"/>
        <v>394.26833333333337</v>
      </c>
      <c r="L122" s="173">
        <f t="shared" si="33"/>
        <v>9.8567083333333354</v>
      </c>
      <c r="M122" s="173">
        <f t="shared" si="25"/>
        <v>294.47676956267054</v>
      </c>
      <c r="N122" s="173">
        <f t="shared" si="34"/>
        <v>40.911057733024094</v>
      </c>
      <c r="O122" s="173">
        <f t="shared" si="26"/>
        <v>48897.528905786559</v>
      </c>
      <c r="P122" s="173">
        <f t="shared" si="18"/>
        <v>70.795164146053139</v>
      </c>
      <c r="Q122" s="196">
        <f t="shared" si="35"/>
        <v>0.97295622221444455</v>
      </c>
      <c r="R122" s="173">
        <f t="shared" si="27"/>
        <v>68.880595458595351</v>
      </c>
      <c r="S122" s="196">
        <f t="shared" si="28"/>
        <v>0.36748600100977369</v>
      </c>
    </row>
    <row r="123" spans="1:19">
      <c r="A123" s="197">
        <f t="shared" si="29"/>
        <v>8.9166666666666607</v>
      </c>
      <c r="B123" s="196">
        <f t="shared" si="19"/>
        <v>0.99958445821863218</v>
      </c>
      <c r="C123" s="196">
        <f t="shared" si="20"/>
        <v>7.885483349577818</v>
      </c>
      <c r="D123" s="196">
        <f t="shared" si="21"/>
        <v>0.46957248052086675</v>
      </c>
      <c r="E123" s="196">
        <f t="shared" si="22"/>
        <v>0.54181034708519027</v>
      </c>
      <c r="F123" s="196">
        <f t="shared" si="23"/>
        <v>1.0497194352921511</v>
      </c>
      <c r="G123" s="173">
        <f t="shared" si="24"/>
        <v>49507.521115047814</v>
      </c>
      <c r="H123" s="167"/>
      <c r="I123" s="197">
        <f t="shared" si="30"/>
        <v>8.9166666666666607</v>
      </c>
      <c r="J123" s="173">
        <f t="shared" si="31"/>
        <v>48917.48135022878</v>
      </c>
      <c r="K123" s="173">
        <f t="shared" si="32"/>
        <v>394.26833333333337</v>
      </c>
      <c r="L123" s="173">
        <f t="shared" si="33"/>
        <v>9.8567083333333354</v>
      </c>
      <c r="M123" s="173">
        <f t="shared" si="25"/>
        <v>298.02595077955465</v>
      </c>
      <c r="N123" s="173">
        <f t="shared" si="34"/>
        <v>41.293450396831012</v>
      </c>
      <c r="O123" s="173">
        <f t="shared" si="26"/>
        <v>49487.139261882985</v>
      </c>
      <c r="P123" s="173">
        <f t="shared" si="18"/>
        <v>71.48621372852358</v>
      </c>
      <c r="Q123" s="196">
        <f t="shared" si="35"/>
        <v>0.97255937318557784</v>
      </c>
      <c r="R123" s="173">
        <f t="shared" si="27"/>
        <v>69.524587215223136</v>
      </c>
      <c r="S123" s="196">
        <f t="shared" si="28"/>
        <v>0.3640317788387647</v>
      </c>
    </row>
    <row r="124" spans="1:19">
      <c r="A124" s="197">
        <f t="shared" si="29"/>
        <v>8.9999999999999947</v>
      </c>
      <c r="B124" s="196">
        <f t="shared" si="19"/>
        <v>0.99958057082452201</v>
      </c>
      <c r="C124" s="196">
        <f t="shared" si="20"/>
        <v>7.8433866308194737</v>
      </c>
      <c r="D124" s="196">
        <f t="shared" si="21"/>
        <v>0.47205430660136311</v>
      </c>
      <c r="E124" s="196">
        <f t="shared" si="22"/>
        <v>0.54425724649242557</v>
      </c>
      <c r="F124" s="196">
        <f t="shared" si="23"/>
        <v>0.97149373141148543</v>
      </c>
      <c r="G124" s="173">
        <f t="shared" si="24"/>
        <v>50100.484011528701</v>
      </c>
      <c r="H124" s="167"/>
      <c r="I124" s="197">
        <f t="shared" si="30"/>
        <v>8.9999999999999947</v>
      </c>
      <c r="J124" s="173">
        <f t="shared" si="31"/>
        <v>49507.521115047814</v>
      </c>
      <c r="K124" s="173">
        <f t="shared" si="32"/>
        <v>394.26833333333337</v>
      </c>
      <c r="L124" s="173">
        <f t="shared" si="33"/>
        <v>9.8567083333333354</v>
      </c>
      <c r="M124" s="173">
        <f t="shared" si="25"/>
        <v>301.59269337899781</v>
      </c>
      <c r="N124" s="173">
        <f t="shared" si="34"/>
        <v>41.679584725136394</v>
      </c>
      <c r="O124" s="173">
        <f t="shared" si="26"/>
        <v>50079.665167155159</v>
      </c>
      <c r="P124" s="173">
        <f t="shared" si="18"/>
        <v>72.180681546517008</v>
      </c>
      <c r="Q124" s="196">
        <f t="shared" si="35"/>
        <v>0.97215897821746222</v>
      </c>
      <c r="R124" s="173">
        <f t="shared" si="27"/>
        <v>70.171097619302003</v>
      </c>
      <c r="S124" s="196">
        <f t="shared" si="28"/>
        <v>0.36061002498157974</v>
      </c>
    </row>
    <row r="125" spans="1:19">
      <c r="A125" s="197">
        <f t="shared" si="29"/>
        <v>9.0833333333333286</v>
      </c>
      <c r="B125" s="196">
        <f t="shared" si="19"/>
        <v>0.99957664539304159</v>
      </c>
      <c r="C125" s="196">
        <f t="shared" si="20"/>
        <v>7.8010977573015792</v>
      </c>
      <c r="D125" s="196">
        <f t="shared" si="21"/>
        <v>0.47455109538299184</v>
      </c>
      <c r="E125" s="196">
        <f t="shared" si="22"/>
        <v>0.54671530619078057</v>
      </c>
      <c r="F125" s="196">
        <f t="shared" si="23"/>
        <v>0.89285805444352673</v>
      </c>
      <c r="G125" s="173">
        <f t="shared" si="24"/>
        <v>50696.388200836802</v>
      </c>
      <c r="H125" s="167"/>
      <c r="I125" s="197">
        <f t="shared" si="30"/>
        <v>9.0833333333333286</v>
      </c>
      <c r="J125" s="173">
        <f t="shared" si="31"/>
        <v>50100.484011528701</v>
      </c>
      <c r="K125" s="173">
        <f t="shared" si="32"/>
        <v>394.26833333333337</v>
      </c>
      <c r="L125" s="173">
        <f t="shared" si="33"/>
        <v>9.8567083333333354</v>
      </c>
      <c r="M125" s="173">
        <f t="shared" si="25"/>
        <v>305.17710607263427</v>
      </c>
      <c r="N125" s="173">
        <f t="shared" si="34"/>
        <v>42.069497315012342</v>
      </c>
      <c r="O125" s="173">
        <f t="shared" si="26"/>
        <v>50675.124656534012</v>
      </c>
      <c r="P125" s="173">
        <f t="shared" si="18"/>
        <v>72.878588752311771</v>
      </c>
      <c r="Q125" s="196">
        <f t="shared" si="35"/>
        <v>0.97175500554388106</v>
      </c>
      <c r="R125" s="173">
        <f t="shared" si="27"/>
        <v>70.820133417032949</v>
      </c>
      <c r="S125" s="196">
        <f t="shared" si="28"/>
        <v>0.35722043424898919</v>
      </c>
    </row>
    <row r="126" spans="1:19">
      <c r="A126" s="197">
        <f t="shared" si="29"/>
        <v>9.1666666666666625</v>
      </c>
      <c r="B126" s="196">
        <f t="shared" si="19"/>
        <v>0.99957268155215462</v>
      </c>
      <c r="C126" s="196">
        <f t="shared" si="20"/>
        <v>7.7586156782443219</v>
      </c>
      <c r="D126" s="196">
        <f t="shared" si="21"/>
        <v>0.4770629636390733</v>
      </c>
      <c r="E126" s="196">
        <f t="shared" si="22"/>
        <v>0.54918458712430773</v>
      </c>
      <c r="F126" s="196">
        <f t="shared" si="23"/>
        <v>0.81380965369016944</v>
      </c>
      <c r="G126" s="173">
        <f t="shared" si="24"/>
        <v>51295.252023911584</v>
      </c>
      <c r="H126" s="167"/>
      <c r="I126" s="197">
        <f t="shared" si="30"/>
        <v>9.1666666666666625</v>
      </c>
      <c r="J126" s="173">
        <f t="shared" si="31"/>
        <v>50696.388200836802</v>
      </c>
      <c r="K126" s="173">
        <f t="shared" si="32"/>
        <v>394.26833333333337</v>
      </c>
      <c r="L126" s="173">
        <f t="shared" si="33"/>
        <v>9.8567083333333354</v>
      </c>
      <c r="M126" s="173">
        <f t="shared" si="25"/>
        <v>308.77929864323795</v>
      </c>
      <c r="N126" s="173">
        <f t="shared" si="34"/>
        <v>42.463225121233044</v>
      </c>
      <c r="O126" s="173">
        <f t="shared" si="26"/>
        <v>51273.535942652168</v>
      </c>
      <c r="P126" s="173">
        <f t="shared" si="18"/>
        <v>73.579956706642406</v>
      </c>
      <c r="Q126" s="196">
        <f t="shared" si="35"/>
        <v>0.97134742314313915</v>
      </c>
      <c r="R126" s="173">
        <f t="shared" si="27"/>
        <v>71.471701341980847</v>
      </c>
      <c r="S126" s="196">
        <f t="shared" si="28"/>
        <v>0.35386270432042111</v>
      </c>
    </row>
    <row r="127" spans="1:19">
      <c r="A127" s="197">
        <f t="shared" si="29"/>
        <v>9.2499999999999964</v>
      </c>
      <c r="B127" s="196">
        <f t="shared" si="19"/>
        <v>0.99956867892618884</v>
      </c>
      <c r="C127" s="196">
        <f t="shared" si="20"/>
        <v>7.7159393330475954</v>
      </c>
      <c r="D127" s="196">
        <f t="shared" si="21"/>
        <v>0.47959002940440609</v>
      </c>
      <c r="E127" s="196">
        <f t="shared" si="22"/>
        <v>0.55166515080621148</v>
      </c>
      <c r="F127" s="196">
        <f t="shared" si="23"/>
        <v>0.73434575026914561</v>
      </c>
      <c r="G127" s="173">
        <f t="shared" si="24"/>
        <v>51897.094004087965</v>
      </c>
      <c r="H127" s="167"/>
      <c r="I127" s="197">
        <f t="shared" si="30"/>
        <v>9.2499999999999964</v>
      </c>
      <c r="J127" s="173">
        <f t="shared" si="31"/>
        <v>51295.252023911584</v>
      </c>
      <c r="K127" s="173">
        <f t="shared" si="32"/>
        <v>394.26833333333337</v>
      </c>
      <c r="L127" s="173">
        <f t="shared" si="33"/>
        <v>9.8567083333333354</v>
      </c>
      <c r="M127" s="173">
        <f t="shared" si="25"/>
        <v>312.39938196030272</v>
      </c>
      <c r="N127" s="173">
        <f t="shared" si="34"/>
        <v>42.860805459704608</v>
      </c>
      <c r="O127" s="173">
        <f t="shared" si="26"/>
        <v>51874.91741843045</v>
      </c>
      <c r="P127" s="173">
        <f t="shared" si="18"/>
        <v>74.284806981733709</v>
      </c>
      <c r="Q127" s="196">
        <f t="shared" si="35"/>
        <v>0.97093619873659431</v>
      </c>
      <c r="R127" s="173">
        <f t="shared" si="27"/>
        <v>72.125808114726155</v>
      </c>
      <c r="S127" s="196">
        <f t="shared" si="28"/>
        <v>0.3505365357169965</v>
      </c>
    </row>
    <row r="128" spans="1:19">
      <c r="A128" s="197">
        <f t="shared" si="29"/>
        <v>9.3333333333333304</v>
      </c>
      <c r="B128" s="196">
        <f t="shared" si="19"/>
        <v>0.99956463713580068</v>
      </c>
      <c r="C128" s="196">
        <f t="shared" si="20"/>
        <v>7.6730676511419285</v>
      </c>
      <c r="D128" s="196">
        <f t="shared" si="21"/>
        <v>0.4821324119928263</v>
      </c>
      <c r="E128" s="196">
        <f t="shared" si="22"/>
        <v>0.55415705932749337</v>
      </c>
      <c r="F128" s="196">
        <f t="shared" si="23"/>
        <v>0.65446353670933721</v>
      </c>
      <c r="G128" s="173">
        <f t="shared" si="24"/>
        <v>52501.932849762576</v>
      </c>
      <c r="H128" s="167"/>
      <c r="I128" s="197">
        <f t="shared" si="30"/>
        <v>9.3333333333333304</v>
      </c>
      <c r="J128" s="173">
        <f t="shared" si="31"/>
        <v>51897.094004087965</v>
      </c>
      <c r="K128" s="173">
        <f t="shared" si="32"/>
        <v>394.26833333333337</v>
      </c>
      <c r="L128" s="173">
        <f t="shared" si="33"/>
        <v>9.8567083333333354</v>
      </c>
      <c r="M128" s="173">
        <f t="shared" si="25"/>
        <v>316.03746799588833</v>
      </c>
      <c r="N128" s="173">
        <f t="shared" si="34"/>
        <v>43.26227601102849</v>
      </c>
      <c r="O128" s="173">
        <f t="shared" si="26"/>
        <v>52479.287659708658</v>
      </c>
      <c r="P128" s="173">
        <f t="shared" si="18"/>
        <v>74.993161364167463</v>
      </c>
      <c r="Q128" s="196">
        <f t="shared" si="35"/>
        <v>0.97052129978719326</v>
      </c>
      <c r="R128" s="173">
        <f t="shared" si="27"/>
        <v>72.782460442302536</v>
      </c>
      <c r="S128" s="196">
        <f t="shared" si="28"/>
        <v>0.34724163177481843</v>
      </c>
    </row>
    <row r="129" spans="1:19">
      <c r="A129" s="197">
        <f t="shared" si="29"/>
        <v>9.4166666666666643</v>
      </c>
      <c r="B129" s="196">
        <f t="shared" si="19"/>
        <v>0.99956055579793945</v>
      </c>
      <c r="C129" s="196">
        <f t="shared" si="20"/>
        <v>7.6299995518367751</v>
      </c>
      <c r="D129" s="196">
        <f t="shared" si="21"/>
        <v>0.48469023201505174</v>
      </c>
      <c r="E129" s="196">
        <f t="shared" si="22"/>
        <v>0.55666037536574697</v>
      </c>
      <c r="F129" s="196">
        <f t="shared" si="23"/>
        <v>0.57416017653929852</v>
      </c>
      <c r="G129" s="173">
        <f t="shared" si="24"/>
        <v>53109.787457105187</v>
      </c>
      <c r="H129" s="167"/>
      <c r="I129" s="197">
        <f t="shared" si="30"/>
        <v>9.4166666666666643</v>
      </c>
      <c r="J129" s="173">
        <f t="shared" si="31"/>
        <v>52501.932849762576</v>
      </c>
      <c r="K129" s="173">
        <f t="shared" si="32"/>
        <v>394.26833333333337</v>
      </c>
      <c r="L129" s="173">
        <f t="shared" si="33"/>
        <v>9.8567083333333354</v>
      </c>
      <c r="M129" s="173">
        <f t="shared" si="25"/>
        <v>319.69366984073747</v>
      </c>
      <c r="N129" s="173">
        <f t="shared" si="34"/>
        <v>43.667674824042649</v>
      </c>
      <c r="O129" s="173">
        <f t="shared" si="26"/>
        <v>53086.665427920845</v>
      </c>
      <c r="P129" s="173">
        <f t="shared" si="18"/>
        <v>75.70504185842583</v>
      </c>
      <c r="Q129" s="196">
        <f t="shared" si="35"/>
        <v>0.97010269349801248</v>
      </c>
      <c r="R129" s="173">
        <f t="shared" si="27"/>
        <v>73.44166501823868</v>
      </c>
      <c r="S129" s="196">
        <f t="shared" si="28"/>
        <v>0.34397769861851302</v>
      </c>
    </row>
    <row r="130" spans="1:19">
      <c r="A130" s="197">
        <f t="shared" si="29"/>
        <v>9.4999999999999982</v>
      </c>
      <c r="B130" s="196">
        <f t="shared" si="19"/>
        <v>0.99955643452581144</v>
      </c>
      <c r="C130" s="196">
        <f t="shared" si="20"/>
        <v>7.5867339441661139</v>
      </c>
      <c r="D130" s="196">
        <f t="shared" si="21"/>
        <v>0.48726361139681629</v>
      </c>
      <c r="E130" s="196">
        <f t="shared" si="22"/>
        <v>0.55917516219411179</v>
      </c>
      <c r="F130" s="196">
        <f t="shared" si="23"/>
        <v>0.49343280386886457</v>
      </c>
      <c r="G130" s="173">
        <f t="shared" si="24"/>
        <v>53720.676912816889</v>
      </c>
      <c r="H130" s="167"/>
      <c r="I130" s="197">
        <f t="shared" si="30"/>
        <v>9.4999999999999982</v>
      </c>
      <c r="J130" s="173">
        <f t="shared" si="31"/>
        <v>53109.787457105187</v>
      </c>
      <c r="K130" s="173">
        <f t="shared" si="32"/>
        <v>394.26833333333337</v>
      </c>
      <c r="L130" s="173">
        <f t="shared" si="33"/>
        <v>9.8567083333333354</v>
      </c>
      <c r="M130" s="173">
        <f t="shared" si="25"/>
        <v>323.36810172066617</v>
      </c>
      <c r="N130" s="173">
        <f t="shared" si="34"/>
        <v>44.077040319418408</v>
      </c>
      <c r="O130" s="173">
        <f t="shared" si="26"/>
        <v>53697.069672816782</v>
      </c>
      <c r="P130" s="173">
        <f t="shared" si="18"/>
        <v>76.420470689656213</v>
      </c>
      <c r="Q130" s="196">
        <f t="shared" si="35"/>
        <v>0.96968034681080373</v>
      </c>
      <c r="R130" s="173">
        <f t="shared" si="27"/>
        <v>74.103428521790704</v>
      </c>
      <c r="S130" s="196">
        <f t="shared" si="28"/>
        <v>0.34074444513501745</v>
      </c>
    </row>
    <row r="131" spans="1:19">
      <c r="A131" s="197">
        <f t="shared" si="29"/>
        <v>9.5833333333333321</v>
      </c>
      <c r="B131" s="196">
        <f t="shared" si="19"/>
        <v>0.99955227292884263</v>
      </c>
      <c r="C131" s="196">
        <f t="shared" si="20"/>
        <v>7.5432697267313049</v>
      </c>
      <c r="D131" s="196">
        <f t="shared" si="21"/>
        <v>0.48985267339729999</v>
      </c>
      <c r="E131" s="196">
        <f t="shared" si="22"/>
        <v>0.56170148369038442</v>
      </c>
      <c r="F131" s="196">
        <f t="shared" si="23"/>
        <v>0.41227852296371953</v>
      </c>
      <c r="G131" s="173">
        <f t="shared" si="24"/>
        <v>54334.62049693524</v>
      </c>
      <c r="H131" s="167"/>
      <c r="I131" s="197">
        <f t="shared" si="30"/>
        <v>9.5833333333333321</v>
      </c>
      <c r="J131" s="173">
        <f t="shared" si="31"/>
        <v>53720.676912816889</v>
      </c>
      <c r="K131" s="173">
        <f t="shared" si="32"/>
        <v>394.26833333333337</v>
      </c>
      <c r="L131" s="173">
        <f t="shared" si="33"/>
        <v>9.8567083333333354</v>
      </c>
      <c r="M131" s="173">
        <f t="shared" si="25"/>
        <v>327.06087901323707</v>
      </c>
      <c r="N131" s="173">
        <f t="shared" si="34"/>
        <v>44.490411293257267</v>
      </c>
      <c r="O131" s="173">
        <f t="shared" si="26"/>
        <v>54310.519535229665</v>
      </c>
      <c r="P131" s="173">
        <f t="shared" si="18"/>
        <v>77.139470307207375</v>
      </c>
      <c r="Q131" s="196">
        <f t="shared" si="35"/>
        <v>0.96925422640454562</v>
      </c>
      <c r="R131" s="173">
        <f t="shared" si="27"/>
        <v>74.767757617868696</v>
      </c>
      <c r="S131" s="196">
        <f t="shared" si="28"/>
        <v>0.3375415829476161</v>
      </c>
    </row>
    <row r="132" spans="1:19">
      <c r="A132" s="197">
        <f t="shared" si="29"/>
        <v>9.6666666666666661</v>
      </c>
      <c r="B132" s="196">
        <f t="shared" si="19"/>
        <v>0.99954807061264261</v>
      </c>
      <c r="C132" s="196">
        <f t="shared" si="20"/>
        <v>7.4996057875411708</v>
      </c>
      <c r="D132" s="196">
        <f t="shared" si="21"/>
        <v>0.49245754262785996</v>
      </c>
      <c r="E132" s="196">
        <f t="shared" si="22"/>
        <v>0.56423940434629138</v>
      </c>
      <c r="F132" s="196">
        <f t="shared" si="23"/>
        <v>0.33069440781279663</v>
      </c>
      <c r="G132" s="173">
        <f t="shared" si="24"/>
        <v>54951.63768568758</v>
      </c>
      <c r="H132" s="167"/>
      <c r="I132" s="197">
        <f t="shared" si="30"/>
        <v>9.6666666666666661</v>
      </c>
      <c r="J132" s="173">
        <f t="shared" si="31"/>
        <v>54334.62049693524</v>
      </c>
      <c r="K132" s="173">
        <f t="shared" si="32"/>
        <v>394.26833333333337</v>
      </c>
      <c r="L132" s="173">
        <f t="shared" si="33"/>
        <v>9.8567083333333354</v>
      </c>
      <c r="M132" s="173">
        <f t="shared" si="25"/>
        <v>330.77211826471591</v>
      </c>
      <c r="N132" s="173">
        <f t="shared" si="34"/>
        <v>44.907826920832548</v>
      </c>
      <c r="O132" s="173">
        <f t="shared" si="26"/>
        <v>54927.034349891263</v>
      </c>
      <c r="P132" s="173">
        <f t="shared" si="18"/>
        <v>77.862063387859962</v>
      </c>
      <c r="Q132" s="196">
        <f t="shared" si="35"/>
        <v>0.96882429869400122</v>
      </c>
      <c r="R132" s="173">
        <f t="shared" si="27"/>
        <v>75.434658956611301</v>
      </c>
      <c r="S132" s="196">
        <f t="shared" si="28"/>
        <v>0.33436882639021975</v>
      </c>
    </row>
    <row r="133" spans="1:19">
      <c r="A133" s="197">
        <f t="shared" si="29"/>
        <v>9.75</v>
      </c>
      <c r="B133" s="196">
        <f t="shared" si="19"/>
        <v>0.99954382717896706</v>
      </c>
      <c r="C133" s="196">
        <f t="shared" si="20"/>
        <v>7.4557410038492202</v>
      </c>
      <c r="D133" s="196">
        <f t="shared" si="21"/>
        <v>0.49507834507106752</v>
      </c>
      <c r="E133" s="196">
        <f t="shared" si="22"/>
        <v>0.56678898927692767</v>
      </c>
      <c r="F133" s="196">
        <f t="shared" si="23"/>
        <v>0.24867750168837727</v>
      </c>
      <c r="G133" s="173">
        <f t="shared" si="24"/>
        <v>55571.74815439339</v>
      </c>
      <c r="H133" s="167"/>
      <c r="I133" s="197">
        <f t="shared" si="30"/>
        <v>9.75</v>
      </c>
      <c r="J133" s="173">
        <f t="shared" si="31"/>
        <v>54951.63768568758</v>
      </c>
      <c r="K133" s="173">
        <f t="shared" si="32"/>
        <v>394.26833333333337</v>
      </c>
      <c r="L133" s="173">
        <f t="shared" si="33"/>
        <v>9.8567083333333354</v>
      </c>
      <c r="M133" s="173">
        <f t="shared" si="25"/>
        <v>334.50193720731994</v>
      </c>
      <c r="N133" s="173">
        <f t="shared" si="34"/>
        <v>45.329326760208453</v>
      </c>
      <c r="O133" s="173">
        <f t="shared" si="26"/>
        <v>55546.633648295596</v>
      </c>
      <c r="P133" s="173">
        <f t="shared" si="18"/>
        <v>78.588272839100682</v>
      </c>
      <c r="Q133" s="196">
        <f t="shared" si="35"/>
        <v>0.96839052982828089</v>
      </c>
      <c r="R133" s="173">
        <f t="shared" si="27"/>
        <v>76.104139172946205</v>
      </c>
      <c r="S133" s="196">
        <f t="shared" si="28"/>
        <v>0.33122589248188666</v>
      </c>
    </row>
    <row r="134" spans="1:19">
      <c r="A134" s="197">
        <f t="shared" si="29"/>
        <v>9.8333333333333339</v>
      </c>
      <c r="B134" s="196">
        <f t="shared" si="19"/>
        <v>0.9995395422256802</v>
      </c>
      <c r="C134" s="196">
        <f t="shared" si="20"/>
        <v>7.4116742419879911</v>
      </c>
      <c r="D134" s="196">
        <f t="shared" si="21"/>
        <v>0.49771520810005732</v>
      </c>
      <c r="E134" s="196">
        <f t="shared" si="22"/>
        <v>0.56935030423036292</v>
      </c>
      <c r="F134" s="196">
        <f t="shared" si="23"/>
        <v>0.16622481669875586</v>
      </c>
      <c r="G134" s="173">
        <f t="shared" si="24"/>
        <v>56194.971780416519</v>
      </c>
      <c r="H134" s="167"/>
      <c r="I134" s="197">
        <f t="shared" si="30"/>
        <v>9.8333333333333339</v>
      </c>
      <c r="J134" s="173">
        <f t="shared" si="31"/>
        <v>55571.74815439339</v>
      </c>
      <c r="K134" s="173">
        <f t="shared" si="32"/>
        <v>394.26833333333337</v>
      </c>
      <c r="L134" s="173">
        <f t="shared" si="33"/>
        <v>9.8567083333333354</v>
      </c>
      <c r="M134" s="173">
        <f t="shared" si="25"/>
        <v>338.25045477676213</v>
      </c>
      <c r="N134" s="173">
        <f t="shared" si="34"/>
        <v>45.754950756004028</v>
      </c>
      <c r="O134" s="173">
        <f t="shared" si="26"/>
        <v>56169.337161611584</v>
      </c>
      <c r="P134" s="173">
        <f t="shared" si="18"/>
        <v>79.318121802563837</v>
      </c>
      <c r="Q134" s="196">
        <f t="shared" si="35"/>
        <v>0.96795288568941285</v>
      </c>
      <c r="R134" s="173">
        <f t="shared" si="27"/>
        <v>76.776204886255996</v>
      </c>
      <c r="S134" s="196">
        <f t="shared" si="28"/>
        <v>0.32811250090158328</v>
      </c>
    </row>
    <row r="135" spans="1:19">
      <c r="A135" s="197">
        <f t="shared" si="29"/>
        <v>9.9166666666666679</v>
      </c>
      <c r="B135" s="196">
        <f t="shared" si="19"/>
        <v>0.99953521534671652</v>
      </c>
      <c r="C135" s="196">
        <f t="shared" si="20"/>
        <v>7.3674043572004368</v>
      </c>
      <c r="D135" s="196">
        <f t="shared" si="21"/>
        <v>0.50036826049819383</v>
      </c>
      <c r="E135" s="196">
        <f t="shared" si="22"/>
        <v>0.57192341559741777</v>
      </c>
      <c r="F135" s="196">
        <f t="shared" si="23"/>
        <v>8.3333333333333329E-2</v>
      </c>
      <c r="G135" s="173">
        <f t="shared" si="24"/>
        <v>56821.328646168149</v>
      </c>
      <c r="H135" s="167"/>
      <c r="I135" s="197">
        <f t="shared" si="30"/>
        <v>9.9166666666666679</v>
      </c>
      <c r="J135" s="173">
        <f t="shared" si="31"/>
        <v>56194.971780416519</v>
      </c>
      <c r="K135" s="173">
        <f t="shared" si="32"/>
        <v>394.26833333333337</v>
      </c>
      <c r="L135" s="173">
        <f t="shared" si="33"/>
        <v>9.8567083333333354</v>
      </c>
      <c r="M135" s="173">
        <f t="shared" si="25"/>
        <v>342.01779113009741</v>
      </c>
      <c r="N135" s="173">
        <f t="shared" si="34"/>
        <v>46.184739243156955</v>
      </c>
      <c r="O135" s="173">
        <f t="shared" si="26"/>
        <v>56795.164823645842</v>
      </c>
      <c r="P135" s="173">
        <f t="shared" si="18"/>
        <v>80.051633657618368</v>
      </c>
      <c r="Q135" s="196">
        <f t="shared" si="35"/>
        <v>0.96751133189092098</v>
      </c>
      <c r="R135" s="173">
        <f t="shared" si="27"/>
        <v>77.450862700126422</v>
      </c>
      <c r="S135" s="196">
        <f t="shared" si="28"/>
        <v>0.32502837396318246</v>
      </c>
    </row>
    <row r="136" spans="1:19">
      <c r="A136" s="197">
        <f t="shared" si="29"/>
        <v>10.000000000000002</v>
      </c>
      <c r="B136" s="196">
        <f t="shared" si="19"/>
        <v>0.9995308461320429</v>
      </c>
      <c r="C136" s="196">
        <f t="shared" si="20"/>
        <v>7.3229301934683173</v>
      </c>
      <c r="D136" s="196">
        <f t="shared" si="21"/>
        <v>0.50303763247906186</v>
      </c>
      <c r="E136" s="196">
        <f t="shared" si="22"/>
        <v>0.57450839042161506</v>
      </c>
      <c r="F136" s="196">
        <v>0</v>
      </c>
      <c r="G136" s="173">
        <f t="shared" si="24"/>
        <v>57450.839042161504</v>
      </c>
      <c r="H136" s="167"/>
      <c r="I136" s="197">
        <f t="shared" si="30"/>
        <v>10.000000000000002</v>
      </c>
      <c r="J136" s="173">
        <f t="shared" si="31"/>
        <v>56821.328646168149</v>
      </c>
      <c r="K136" s="173">
        <f t="shared" si="32"/>
        <v>394.26833333333337</v>
      </c>
      <c r="L136" s="173">
        <f t="shared" ref="L136" si="36">0.025*K136</f>
        <v>9.8567083333333354</v>
      </c>
      <c r="M136" s="173">
        <f t="shared" si="25"/>
        <v>345.80406766387517</v>
      </c>
      <c r="N136" s="173">
        <f t="shared" si="34"/>
        <v>46.618732950765427</v>
      </c>
      <c r="O136" s="173">
        <f t="shared" si="26"/>
        <v>57424.136773856451</v>
      </c>
      <c r="P136" s="173">
        <f t="shared" si="18"/>
        <v>80.788832024809381</v>
      </c>
      <c r="Q136" s="196">
        <f t="shared" si="35"/>
        <v>0.96706583377640931</v>
      </c>
      <c r="R136" s="173">
        <f t="shared" si="27"/>
        <v>78.128119201894563</v>
      </c>
      <c r="S136" s="196">
        <f t="shared" si="28"/>
        <v>0.32197323659069588</v>
      </c>
    </row>
    <row r="137" spans="1:19">
      <c r="A137" s="197">
        <f t="shared" si="29"/>
        <v>10.083333333333336</v>
      </c>
      <c r="B137" s="196">
        <f t="shared" si="19"/>
        <v>0.99952643416761977</v>
      </c>
      <c r="C137" s="196">
        <f t="shared" si="20"/>
        <v>7.2782505833375239</v>
      </c>
      <c r="D137" s="196">
        <f t="shared" si="21"/>
        <v>0.50572345570678556</v>
      </c>
      <c r="E137" s="196">
        <f t="shared" si="22"/>
        <v>0.57710529640930885</v>
      </c>
      <c r="F137" s="96"/>
      <c r="G137" s="173">
        <f t="shared" si="24"/>
        <v>57710.529640930887</v>
      </c>
      <c r="H137" s="167"/>
      <c r="I137" s="197">
        <f t="shared" si="30"/>
        <v>10.083333333333336</v>
      </c>
      <c r="J137" s="173">
        <f t="shared" si="31"/>
        <v>57450.839042161504</v>
      </c>
      <c r="K137" s="173">
        <v>0</v>
      </c>
      <c r="L137" s="173">
        <v>0</v>
      </c>
      <c r="M137" s="173">
        <f t="shared" si="25"/>
        <v>347.28566988748344</v>
      </c>
      <c r="N137" s="173">
        <f t="shared" si="34"/>
        <v>47.056973005885432</v>
      </c>
      <c r="O137" s="173">
        <f t="shared" si="26"/>
        <v>57683.454522727989</v>
      </c>
      <c r="P137" s="173">
        <f t="shared" si="18"/>
        <v>67.613216315112368</v>
      </c>
      <c r="Q137" s="196">
        <f t="shared" si="35"/>
        <v>0.96661635641815524</v>
      </c>
      <c r="R137" s="173">
        <f t="shared" si="27"/>
        <v>65.356040800226481</v>
      </c>
      <c r="S137" s="196">
        <f t="shared" si="28"/>
        <v>0.31894681629374005</v>
      </c>
    </row>
    <row r="138" spans="1:19">
      <c r="A138" s="197">
        <f t="shared" si="29"/>
        <v>10.16666666666667</v>
      </c>
      <c r="B138" s="196">
        <f t="shared" si="19"/>
        <v>0.99952197903536177</v>
      </c>
      <c r="C138" s="196">
        <f t="shared" si="20"/>
        <v>7.2333643477402925</v>
      </c>
      <c r="D138" s="196">
        <f t="shared" si="21"/>
        <v>0.5084258633166836</v>
      </c>
      <c r="E138" s="196">
        <f t="shared" si="22"/>
        <v>0.57971420193999335</v>
      </c>
      <c r="F138" s="96"/>
      <c r="G138" s="173">
        <f t="shared" si="24"/>
        <v>57971.420193999336</v>
      </c>
      <c r="H138" s="167"/>
      <c r="I138" s="197">
        <f t="shared" si="30"/>
        <v>10.16666666666667</v>
      </c>
      <c r="J138" s="173">
        <f t="shared" si="31"/>
        <v>57710.529640930887</v>
      </c>
      <c r="K138" s="173">
        <v>0</v>
      </c>
      <c r="L138" s="173">
        <v>0</v>
      </c>
      <c r="M138" s="173">
        <f t="shared" si="25"/>
        <v>348.85547852841415</v>
      </c>
      <c r="N138" s="173">
        <f t="shared" si="34"/>
        <v>47.499500937428245</v>
      </c>
      <c r="O138" s="173">
        <f t="shared" si="26"/>
        <v>57943.966910140902</v>
      </c>
      <c r="P138" s="173">
        <f t="shared" si="18"/>
        <v>67.91870838097384</v>
      </c>
      <c r="Q138" s="196">
        <f t="shared" si="35"/>
        <v>0.9661628646157111</v>
      </c>
      <c r="R138" s="173">
        <f t="shared" si="27"/>
        <v>65.620533850360786</v>
      </c>
      <c r="S138" s="196">
        <f t="shared" si="28"/>
        <v>0.31594884314323285</v>
      </c>
    </row>
    <row r="139" spans="1:19">
      <c r="A139" s="197">
        <f t="shared" si="29"/>
        <v>10.250000000000004</v>
      </c>
      <c r="B139" s="196">
        <f t="shared" si="19"/>
        <v>0.99951748031309884</v>
      </c>
      <c r="C139" s="196">
        <f t="shared" si="20"/>
        <v>7.1882702958142417</v>
      </c>
      <c r="D139" s="196">
        <f t="shared" si="21"/>
        <v>0.51114498993626512</v>
      </c>
      <c r="E139" s="196">
        <f t="shared" si="22"/>
        <v>0.58233517607679652</v>
      </c>
      <c r="F139" s="96"/>
      <c r="G139" s="173">
        <f t="shared" si="24"/>
        <v>58233.517607679649</v>
      </c>
      <c r="H139" s="167"/>
      <c r="I139" s="197">
        <f t="shared" si="30"/>
        <v>10.250000000000004</v>
      </c>
      <c r="J139" s="173">
        <f t="shared" si="31"/>
        <v>57971.420193999336</v>
      </c>
      <c r="K139" s="173">
        <v>0</v>
      </c>
      <c r="L139" s="173">
        <v>0</v>
      </c>
      <c r="M139" s="173">
        <f t="shared" si="25"/>
        <v>350.4325407959156</v>
      </c>
      <c r="N139" s="173">
        <f t="shared" si="34"/>
        <v>47.946358680102492</v>
      </c>
      <c r="O139" s="173">
        <f t="shared" si="26"/>
        <v>58205.680765418547</v>
      </c>
      <c r="P139" s="173">
        <f t="shared" si="18"/>
        <v>68.225610696608783</v>
      </c>
      <c r="Q139" s="196">
        <f t="shared" si="35"/>
        <v>0.9657053228945145</v>
      </c>
      <c r="R139" s="173">
        <f t="shared" si="27"/>
        <v>65.88583540744402</v>
      </c>
      <c r="S139" s="196">
        <f t="shared" si="28"/>
        <v>0.31297904974731799</v>
      </c>
    </row>
    <row r="140" spans="1:19">
      <c r="A140" s="197">
        <f t="shared" si="29"/>
        <v>10.333333333333337</v>
      </c>
      <c r="B140" s="196">
        <f t="shared" si="19"/>
        <v>0.99951293757453563</v>
      </c>
      <c r="C140" s="196">
        <f t="shared" si="20"/>
        <v>7.1429672247181752</v>
      </c>
      <c r="D140" s="196">
        <f t="shared" si="21"/>
        <v>0.51388097170657399</v>
      </c>
      <c r="E140" s="196">
        <f t="shared" si="22"/>
        <v>0.58496828857716099</v>
      </c>
      <c r="F140" s="96"/>
      <c r="G140" s="173">
        <f t="shared" si="24"/>
        <v>58496.8288577161</v>
      </c>
      <c r="H140" s="167"/>
      <c r="I140" s="197">
        <f t="shared" si="30"/>
        <v>10.333333333333337</v>
      </c>
      <c r="J140" s="173">
        <f t="shared" si="31"/>
        <v>58233.517607679649</v>
      </c>
      <c r="K140" s="173">
        <v>0</v>
      </c>
      <c r="L140" s="173">
        <v>0</v>
      </c>
      <c r="M140" s="173">
        <f t="shared" si="25"/>
        <v>352.01689843808941</v>
      </c>
      <c r="N140" s="173">
        <f t="shared" si="34"/>
        <v>48.397588578322775</v>
      </c>
      <c r="O140" s="173">
        <f t="shared" si="26"/>
        <v>58468.602986170961</v>
      </c>
      <c r="P140" s="173">
        <f t="shared" si="18"/>
        <v>68.533931368452613</v>
      </c>
      <c r="Q140" s="196">
        <f t="shared" si="35"/>
        <v>0.96524369550450817</v>
      </c>
      <c r="R140" s="173">
        <f t="shared" si="27"/>
        <v>66.151945181537542</v>
      </c>
      <c r="S140" s="196">
        <f t="shared" si="28"/>
        <v>0.31003717122751628</v>
      </c>
    </row>
    <row r="141" spans="1:19">
      <c r="A141" s="197">
        <f t="shared" si="29"/>
        <v>10.416666666666671</v>
      </c>
      <c r="B141" s="196">
        <f t="shared" si="19"/>
        <v>0.99950835038921204</v>
      </c>
      <c r="C141" s="196">
        <f t="shared" si="20"/>
        <v>7.0974539194445931</v>
      </c>
      <c r="D141" s="196">
        <f t="shared" si="21"/>
        <v>0.51663394630388737</v>
      </c>
      <c r="E141" s="196">
        <f t="shared" si="22"/>
        <v>0.58761360990371647</v>
      </c>
      <c r="F141" s="96"/>
      <c r="G141" s="173">
        <f t="shared" si="24"/>
        <v>58761.36099037165</v>
      </c>
      <c r="H141" s="167"/>
      <c r="I141" s="197">
        <f t="shared" si="30"/>
        <v>10.416666666666671</v>
      </c>
      <c r="J141" s="173">
        <f t="shared" si="31"/>
        <v>58496.8288577161</v>
      </c>
      <c r="K141" s="173">
        <v>0</v>
      </c>
      <c r="L141" s="173">
        <v>0</v>
      </c>
      <c r="M141" s="173">
        <f t="shared" si="25"/>
        <v>353.60859362274476</v>
      </c>
      <c r="N141" s="173">
        <f t="shared" si="34"/>
        <v>48.853233390274262</v>
      </c>
      <c r="O141" s="173">
        <f t="shared" si="26"/>
        <v>58732.740539364095</v>
      </c>
      <c r="P141" s="173">
        <f t="shared" si="18"/>
        <v>68.843678584475128</v>
      </c>
      <c r="Q141" s="196">
        <f t="shared" si="35"/>
        <v>0.96477794641877002</v>
      </c>
      <c r="R141" s="173">
        <f t="shared" si="27"/>
        <v>66.418862848643769</v>
      </c>
      <c r="S141" s="196">
        <f t="shared" si="28"/>
        <v>0.30712294519510058</v>
      </c>
    </row>
    <row r="142" spans="1:19">
      <c r="A142" s="197">
        <f t="shared" si="29"/>
        <v>10.500000000000005</v>
      </c>
      <c r="B142" s="196">
        <f t="shared" si="19"/>
        <v>0.99950371832246221</v>
      </c>
      <c r="C142" s="196">
        <f t="shared" si="20"/>
        <v>7.0517291526288419</v>
      </c>
      <c r="D142" s="196">
        <f t="shared" si="21"/>
        <v>0.51940405296177461</v>
      </c>
      <c r="E142" s="196">
        <f t="shared" si="22"/>
        <v>0.59027121123534643</v>
      </c>
      <c r="F142" s="96"/>
      <c r="G142" s="173">
        <f t="shared" si="24"/>
        <v>59027.121123534642</v>
      </c>
      <c r="H142" s="167"/>
      <c r="I142" s="197">
        <f t="shared" si="30"/>
        <v>10.500000000000005</v>
      </c>
      <c r="J142" s="173">
        <f t="shared" si="31"/>
        <v>58761.36099037165</v>
      </c>
      <c r="K142" s="173">
        <v>0</v>
      </c>
      <c r="L142" s="173">
        <v>0</v>
      </c>
      <c r="M142" s="173">
        <f t="shared" si="25"/>
        <v>355.20766894397076</v>
      </c>
      <c r="N142" s="173">
        <f t="shared" si="34"/>
        <v>49.313336291876929</v>
      </c>
      <c r="O142" s="173">
        <f t="shared" si="26"/>
        <v>58998.100462408322</v>
      </c>
      <c r="P142" s="173">
        <f t="shared" si="18"/>
        <v>69.154860615424695</v>
      </c>
      <c r="Q142" s="196">
        <f t="shared" si="35"/>
        <v>0.96430803933215281</v>
      </c>
      <c r="R142" s="173">
        <f t="shared" si="27"/>
        <v>66.686588050348504</v>
      </c>
      <c r="S142" s="196">
        <f t="shared" si="28"/>
        <v>0.30423611172769388</v>
      </c>
    </row>
    <row r="143" spans="1:19">
      <c r="A143" s="197">
        <f t="shared" si="29"/>
        <v>10.583333333333339</v>
      </c>
      <c r="B143" s="196">
        <f t="shared" si="19"/>
        <v>0.99949904093537323</v>
      </c>
      <c r="C143" s="196">
        <f t="shared" si="20"/>
        <v>7.0057916843548469</v>
      </c>
      <c r="D143" s="196">
        <f t="shared" si="21"/>
        <v>0.52219143249352395</v>
      </c>
      <c r="E143" s="196">
        <f t="shared" si="22"/>
        <v>0.59294116447845346</v>
      </c>
      <c r="F143" s="96"/>
      <c r="G143" s="173">
        <f t="shared" si="24"/>
        <v>59294.116447845343</v>
      </c>
      <c r="H143" s="167"/>
      <c r="I143" s="197">
        <f t="shared" si="30"/>
        <v>10.583333333333339</v>
      </c>
      <c r="J143" s="173">
        <f t="shared" si="31"/>
        <v>59027.121123534642</v>
      </c>
      <c r="K143" s="173">
        <v>0</v>
      </c>
      <c r="L143" s="173">
        <v>0</v>
      </c>
      <c r="M143" s="173">
        <f t="shared" si="25"/>
        <v>356.81416742882607</v>
      </c>
      <c r="N143" s="173">
        <f t="shared" si="34"/>
        <v>49.777940880894732</v>
      </c>
      <c r="O143" s="173">
        <f t="shared" si="26"/>
        <v>59264.689864266482</v>
      </c>
      <c r="P143" s="173">
        <f t="shared" si="18"/>
        <v>69.467485816094268</v>
      </c>
      <c r="Q143" s="196">
        <f t="shared" si="35"/>
        <v>0.96383393765993541</v>
      </c>
      <c r="R143" s="173">
        <f t="shared" si="27"/>
        <v>66.955120393461854</v>
      </c>
      <c r="S143" s="196">
        <f t="shared" si="28"/>
        <v>0.30137641334608556</v>
      </c>
    </row>
    <row r="144" spans="1:19">
      <c r="A144" s="197">
        <f t="shared" si="29"/>
        <v>10.666666666666673</v>
      </c>
      <c r="B144" s="196">
        <f t="shared" si="19"/>
        <v>0.9994943177847444</v>
      </c>
      <c r="C144" s="196">
        <f t="shared" si="20"/>
        <v>6.959640261957361</v>
      </c>
      <c r="D144" s="196">
        <f t="shared" si="21"/>
        <v>0.52499622731494333</v>
      </c>
      <c r="E144" s="196">
        <f t="shared" si="22"/>
        <v>0.59562354227842673</v>
      </c>
      <c r="F144" s="96"/>
      <c r="G144" s="173">
        <f t="shared" si="24"/>
        <v>59562.354227842676</v>
      </c>
      <c r="H144" s="167"/>
      <c r="I144" s="197">
        <f t="shared" si="30"/>
        <v>10.666666666666673</v>
      </c>
      <c r="J144" s="173">
        <f t="shared" si="31"/>
        <v>59294.116447845343</v>
      </c>
      <c r="K144" s="173">
        <v>0</v>
      </c>
      <c r="L144" s="173">
        <v>0</v>
      </c>
      <c r="M144" s="173">
        <f t="shared" si="25"/>
        <v>358.42813254414875</v>
      </c>
      <c r="N144" s="173">
        <f t="shared" si="34"/>
        <v>50.247091181078034</v>
      </c>
      <c r="O144" s="173">
        <f t="shared" si="26"/>
        <v>59532.515926581727</v>
      </c>
      <c r="P144" s="173">
        <f t="shared" ref="P144:P207" si="37">K144+J144-L144+M144-N144-O144</f>
        <v>69.781562626681989</v>
      </c>
      <c r="Q144" s="196">
        <f t="shared" si="35"/>
        <v>0.96335560453648572</v>
      </c>
      <c r="R144" s="173">
        <f t="shared" si="27"/>
        <v>67.22445944972786</v>
      </c>
      <c r="S144" s="196">
        <f t="shared" si="28"/>
        <v>0.29854359499126731</v>
      </c>
    </row>
    <row r="145" spans="1:19">
      <c r="A145" s="197">
        <f t="shared" si="29"/>
        <v>10.750000000000007</v>
      </c>
      <c r="B145" s="196">
        <f t="shared" ref="B145:B208" si="38">EXP(-(B$3/12)-B$4/LN(B$5)*B$5^(B$6+A145)*(B$5^(1/12)-1))</f>
        <v>0.99948954842304494</v>
      </c>
      <c r="C145" s="196">
        <f t="shared" ref="C145:C208" si="39">(1/12+B145*B$9^(1/12)*C146)</f>
        <v>6.9132736198206635</v>
      </c>
      <c r="D145" s="196">
        <f t="shared" ref="D145:D208" si="40">D146*B$9^(1/12)*B145</f>
        <v>0.52781858146754268</v>
      </c>
      <c r="E145" s="196">
        <f t="shared" ref="E145:E208" si="41">((1-B$10*C145)-D145)*B$11/B$10+D145</f>
        <v>0.59831841803131514</v>
      </c>
      <c r="F145" s="96"/>
      <c r="G145" s="173">
        <f t="shared" ref="G145:G208" si="42">B$7*E145-D$13*F145</f>
        <v>59831.841803131516</v>
      </c>
      <c r="H145" s="167"/>
      <c r="I145" s="197">
        <f t="shared" si="30"/>
        <v>10.750000000000007</v>
      </c>
      <c r="J145" s="173">
        <f t="shared" si="31"/>
        <v>59562.354227842676</v>
      </c>
      <c r="K145" s="173">
        <v>0</v>
      </c>
      <c r="L145" s="173">
        <v>0</v>
      </c>
      <c r="M145" s="173">
        <f t="shared" ref="M145:M208" si="43">(1.075^(1/12)-1)*(K145+J145-L145)</f>
        <v>360.04960820348839</v>
      </c>
      <c r="N145" s="173">
        <f t="shared" si="34"/>
        <v>50.720831646250474</v>
      </c>
      <c r="O145" s="173">
        <f t="shared" ref="O145:O208" si="44">B144*G145</f>
        <v>59801.585904825683</v>
      </c>
      <c r="P145" s="173">
        <f t="shared" si="37"/>
        <v>70.097099574231834</v>
      </c>
      <c r="Q145" s="196">
        <f t="shared" si="35"/>
        <v>0.96287300281393418</v>
      </c>
      <c r="R145" s="173">
        <f t="shared" ref="R145:R208" si="45">P145*Q145</f>
        <v>67.494604755587957</v>
      </c>
      <c r="S145" s="196">
        <f t="shared" ref="S145:S208" si="46">(1+K$5)^(-I145)</f>
        <v>0.29573740400168425</v>
      </c>
    </row>
    <row r="146" spans="1:19">
      <c r="A146" s="197">
        <f t="shared" ref="A146:A209" si="47">A145+1/12</f>
        <v>10.833333333333341</v>
      </c>
      <c r="B146" s="196">
        <f t="shared" si="38"/>
        <v>0.99948473239837188</v>
      </c>
      <c r="C146" s="196">
        <f t="shared" si="39"/>
        <v>6.8666904791736378</v>
      </c>
      <c r="D146" s="196">
        <f t="shared" si="40"/>
        <v>0.53065864064210411</v>
      </c>
      <c r="E146" s="196">
        <f t="shared" si="41"/>
        <v>0.60102586589571061</v>
      </c>
      <c r="F146" s="96"/>
      <c r="G146" s="173">
        <f t="shared" si="42"/>
        <v>60102.586589571059</v>
      </c>
      <c r="H146" s="167"/>
      <c r="I146" s="197">
        <f t="shared" ref="I146:I209" si="48">A146</f>
        <v>10.833333333333341</v>
      </c>
      <c r="J146" s="173">
        <f t="shared" ref="J146:J209" si="49">G145</f>
        <v>59831.841803131516</v>
      </c>
      <c r="K146" s="173">
        <v>0</v>
      </c>
      <c r="L146" s="173">
        <v>0</v>
      </c>
      <c r="M146" s="173">
        <f t="shared" si="43"/>
        <v>361.67863877416215</v>
      </c>
      <c r="N146" s="173">
        <f t="shared" ref="N146:N209" si="50">(1-B145)*B$7*(1.075)^(1/24)</f>
        <v>51.199207164551638</v>
      </c>
      <c r="O146" s="173">
        <f t="shared" si="44"/>
        <v>60071.907129467334</v>
      </c>
      <c r="P146" s="173">
        <f t="shared" si="37"/>
        <v>70.414105273790483</v>
      </c>
      <c r="Q146" s="196">
        <f t="shared" ref="Q146:Q209" si="51">Q145*B144</f>
        <v>0.96238609506086137</v>
      </c>
      <c r="R146" s="173">
        <f t="shared" si="45"/>
        <v>67.76555581164763</v>
      </c>
      <c r="S146" s="196">
        <f t="shared" si="46"/>
        <v>0.29295759009069916</v>
      </c>
    </row>
    <row r="147" spans="1:19">
      <c r="A147" s="197">
        <f t="shared" si="47"/>
        <v>10.916666666666675</v>
      </c>
      <c r="B147" s="196">
        <f t="shared" si="38"/>
        <v>0.99947986925440746</v>
      </c>
      <c r="C147" s="196">
        <f t="shared" si="39"/>
        <v>6.8198895478811696</v>
      </c>
      <c r="D147" s="196">
        <f t="shared" si="40"/>
        <v>0.53351655220264815</v>
      </c>
      <c r="E147" s="196">
        <f t="shared" si="41"/>
        <v>0.60374596080484522</v>
      </c>
      <c r="F147" s="96"/>
      <c r="G147" s="173">
        <f t="shared" si="42"/>
        <v>60374.596080484524</v>
      </c>
      <c r="H147" s="167"/>
      <c r="I147" s="197">
        <f t="shared" si="48"/>
        <v>10.916666666666675</v>
      </c>
      <c r="J147" s="173">
        <f t="shared" si="49"/>
        <v>60102.586589571059</v>
      </c>
      <c r="K147" s="173">
        <v>0</v>
      </c>
      <c r="L147" s="173">
        <v>0</v>
      </c>
      <c r="M147" s="173">
        <f t="shared" si="43"/>
        <v>363.31526908443834</v>
      </c>
      <c r="N147" s="173">
        <f t="shared" si="50"/>
        <v>51.682263062657512</v>
      </c>
      <c r="O147" s="173">
        <f t="shared" si="44"/>
        <v>60343.487007162868</v>
      </c>
      <c r="P147" s="173">
        <f t="shared" si="37"/>
        <v>70.732588429971656</v>
      </c>
      <c r="Q147" s="196">
        <f t="shared" si="51"/>
        <v>0.96189484356099797</v>
      </c>
      <c r="R147" s="173">
        <f t="shared" si="45"/>
        <v>68.037312082512045</v>
      </c>
      <c r="S147" s="196">
        <f t="shared" si="46"/>
        <v>0.29020390532426976</v>
      </c>
    </row>
    <row r="148" spans="1:19">
      <c r="A148" s="197">
        <f t="shared" si="47"/>
        <v>11.000000000000009</v>
      </c>
      <c r="B148" s="196">
        <f t="shared" si="38"/>
        <v>0.99947495853037616</v>
      </c>
      <c r="C148" s="196">
        <f t="shared" si="39"/>
        <v>6.772869520231783</v>
      </c>
      <c r="D148" s="196">
        <f t="shared" si="40"/>
        <v>0.53639246521080231</v>
      </c>
      <c r="E148" s="196">
        <f t="shared" si="41"/>
        <v>0.6064787784789053</v>
      </c>
      <c r="F148" s="96"/>
      <c r="G148" s="173">
        <f t="shared" si="42"/>
        <v>60647.87784789053</v>
      </c>
      <c r="H148" s="167"/>
      <c r="I148" s="197">
        <f t="shared" si="48"/>
        <v>11.000000000000009</v>
      </c>
      <c r="J148" s="173">
        <f t="shared" si="49"/>
        <v>60374.596080484524</v>
      </c>
      <c r="K148" s="173">
        <v>0</v>
      </c>
      <c r="L148" s="173">
        <v>0</v>
      </c>
      <c r="M148" s="173">
        <f t="shared" si="43"/>
        <v>364.95954443084906</v>
      </c>
      <c r="N148" s="173">
        <f t="shared" si="50"/>
        <v>52.170045110056634</v>
      </c>
      <c r="O148" s="173">
        <f t="shared" si="44"/>
        <v>60616.333021966901</v>
      </c>
      <c r="P148" s="173">
        <f t="shared" si="37"/>
        <v>71.052557838418579</v>
      </c>
      <c r="Q148" s="196">
        <f t="shared" si="51"/>
        <v>0.96139921031193787</v>
      </c>
      <c r="R148" s="173">
        <f t="shared" si="45"/>
        <v>68.30987299649891</v>
      </c>
      <c r="S148" s="196">
        <f t="shared" si="46"/>
        <v>0.28747610409883528</v>
      </c>
    </row>
    <row r="149" spans="1:19">
      <c r="A149" s="197">
        <f t="shared" si="47"/>
        <v>11.083333333333343</v>
      </c>
      <c r="B149" s="196">
        <f t="shared" si="38"/>
        <v>0.99946999976100093</v>
      </c>
      <c r="C149" s="196">
        <f t="shared" si="39"/>
        <v>6.7256290767214564</v>
      </c>
      <c r="D149" s="196">
        <f t="shared" si="40"/>
        <v>0.53928653045058106</v>
      </c>
      <c r="E149" s="196">
        <f t="shared" si="41"/>
        <v>0.60922439543756945</v>
      </c>
      <c r="F149" s="96"/>
      <c r="G149" s="173">
        <f t="shared" si="42"/>
        <v>60922.439543756947</v>
      </c>
      <c r="H149" s="167"/>
      <c r="I149" s="197">
        <f t="shared" si="48"/>
        <v>11.083333333333343</v>
      </c>
      <c r="J149" s="173">
        <f t="shared" si="49"/>
        <v>60647.87784789053</v>
      </c>
      <c r="K149" s="173">
        <v>0</v>
      </c>
      <c r="L149" s="173">
        <v>0</v>
      </c>
      <c r="M149" s="173">
        <f t="shared" si="43"/>
        <v>366.61151058563365</v>
      </c>
      <c r="N149" s="173">
        <f t="shared" si="50"/>
        <v>52.66259952335961</v>
      </c>
      <c r="O149" s="173">
        <f t="shared" si="44"/>
        <v>60890.452736565821</v>
      </c>
      <c r="P149" s="173">
        <f t="shared" si="37"/>
        <v>71.374022386982688</v>
      </c>
      <c r="Q149" s="196">
        <f t="shared" si="51"/>
        <v>0.96089915702386619</v>
      </c>
      <c r="R149" s="173">
        <f t="shared" si="45"/>
        <v>68.583237945054222</v>
      </c>
      <c r="S149" s="196">
        <f t="shared" si="46"/>
        <v>0.28477394311941051</v>
      </c>
    </row>
    <row r="150" spans="1:19">
      <c r="A150" s="197">
        <f t="shared" si="47"/>
        <v>11.166666666666677</v>
      </c>
      <c r="B150" s="196">
        <f t="shared" si="38"/>
        <v>0.99946499247645981</v>
      </c>
      <c r="C150" s="196">
        <f t="shared" si="39"/>
        <v>6.6781668838335353</v>
      </c>
      <c r="D150" s="196">
        <f t="shared" si="40"/>
        <v>0.5421989004535831</v>
      </c>
      <c r="E150" s="196">
        <f t="shared" si="41"/>
        <v>0.61198288901276998</v>
      </c>
      <c r="F150" s="96"/>
      <c r="G150" s="173">
        <f t="shared" si="42"/>
        <v>61198.288901276996</v>
      </c>
      <c r="H150" s="167"/>
      <c r="I150" s="197">
        <f t="shared" si="48"/>
        <v>11.166666666666677</v>
      </c>
      <c r="J150" s="173">
        <f t="shared" si="49"/>
        <v>60922.439543756947</v>
      </c>
      <c r="K150" s="173">
        <v>0</v>
      </c>
      <c r="L150" s="173">
        <v>0</v>
      </c>
      <c r="M150" s="173">
        <f t="shared" si="43"/>
        <v>368.27121380431839</v>
      </c>
      <c r="N150" s="173">
        <f t="shared" si="50"/>
        <v>53.159972970686546</v>
      </c>
      <c r="O150" s="173">
        <f t="shared" si="44"/>
        <v>61165.853793532988</v>
      </c>
      <c r="P150" s="173">
        <f t="shared" si="37"/>
        <v>71.69699105759355</v>
      </c>
      <c r="Q150" s="196">
        <f t="shared" si="51"/>
        <v>0.96039464511830208</v>
      </c>
      <c r="R150" s="173">
        <f t="shared" si="45"/>
        <v>68.857406282807631</v>
      </c>
      <c r="S150" s="196">
        <f t="shared" si="46"/>
        <v>0.2820971813778862</v>
      </c>
    </row>
    <row r="151" spans="1:19">
      <c r="A151" s="197">
        <f t="shared" si="47"/>
        <v>11.250000000000011</v>
      </c>
      <c r="B151" s="196">
        <f t="shared" si="38"/>
        <v>0.99945993620234119</v>
      </c>
      <c r="C151" s="196">
        <f t="shared" si="39"/>
        <v>6.6304815938146691</v>
      </c>
      <c r="D151" s="196">
        <f t="shared" si="40"/>
        <v>0.54512972952461547</v>
      </c>
      <c r="E151" s="196">
        <f t="shared" si="41"/>
        <v>0.61475433736168783</v>
      </c>
      <c r="F151" s="96"/>
      <c r="G151" s="173">
        <f t="shared" si="42"/>
        <v>61475.433736168779</v>
      </c>
      <c r="H151" s="167"/>
      <c r="I151" s="197">
        <f t="shared" si="48"/>
        <v>11.250000000000011</v>
      </c>
      <c r="J151" s="173">
        <f t="shared" si="49"/>
        <v>61198.288901276996</v>
      </c>
      <c r="K151" s="173">
        <v>0</v>
      </c>
      <c r="L151" s="173">
        <v>0</v>
      </c>
      <c r="M151" s="173">
        <f t="shared" si="43"/>
        <v>369.93870083342995</v>
      </c>
      <c r="N151" s="173">
        <f t="shared" si="50"/>
        <v>53.662212576021204</v>
      </c>
      <c r="O151" s="173">
        <f t="shared" si="44"/>
        <v>61442.543916607035</v>
      </c>
      <c r="P151" s="173">
        <f t="shared" si="37"/>
        <v>72.021472927372088</v>
      </c>
      <c r="Q151" s="196">
        <f t="shared" si="51"/>
        <v>0.95988563572685592</v>
      </c>
      <c r="R151" s="173">
        <f t="shared" si="45"/>
        <v>69.132377326875101</v>
      </c>
      <c r="S151" s="196">
        <f t="shared" si="46"/>
        <v>0.27944558013153364</v>
      </c>
    </row>
    <row r="152" spans="1:19">
      <c r="A152" s="197">
        <f t="shared" si="47"/>
        <v>11.333333333333345</v>
      </c>
      <c r="B152" s="196">
        <f t="shared" si="38"/>
        <v>0.99945483045959926</v>
      </c>
      <c r="C152" s="196">
        <f t="shared" si="39"/>
        <v>6.5825718444467007</v>
      </c>
      <c r="D152" s="196">
        <f t="shared" si="40"/>
        <v>0.54807917376775106</v>
      </c>
      <c r="E152" s="196">
        <f t="shared" si="41"/>
        <v>0.61753881947998024</v>
      </c>
      <c r="F152" s="96"/>
      <c r="G152" s="173">
        <f t="shared" si="42"/>
        <v>61753.881947998023</v>
      </c>
      <c r="H152" s="167"/>
      <c r="I152" s="197">
        <f t="shared" si="48"/>
        <v>11.333333333333345</v>
      </c>
      <c r="J152" s="173">
        <f t="shared" si="49"/>
        <v>61475.433736168779</v>
      </c>
      <c r="K152" s="173">
        <v>0</v>
      </c>
      <c r="L152" s="173">
        <v>0</v>
      </c>
      <c r="M152" s="173">
        <f t="shared" si="43"/>
        <v>371.61401891835152</v>
      </c>
      <c r="N152" s="173">
        <f t="shared" si="50"/>
        <v>54.169365923698635</v>
      </c>
      <c r="O152" s="173">
        <f t="shared" si="44"/>
        <v>61720.530911993017</v>
      </c>
      <c r="P152" s="173">
        <f t="shared" si="37"/>
        <v>72.347477170413185</v>
      </c>
      <c r="Q152" s="196">
        <f t="shared" si="51"/>
        <v>0.95937208969000387</v>
      </c>
      <c r="R152" s="173">
        <f t="shared" si="45"/>
        <v>69.408150356779146</v>
      </c>
      <c r="S152" s="196">
        <f t="shared" si="46"/>
        <v>0.27681890288171068</v>
      </c>
    </row>
    <row r="153" spans="1:19">
      <c r="A153" s="197">
        <f t="shared" si="47"/>
        <v>11.416666666666679</v>
      </c>
      <c r="B153" s="196">
        <f t="shared" si="38"/>
        <v>0.99944967476450863</v>
      </c>
      <c r="C153" s="196">
        <f t="shared" si="39"/>
        <v>6.5344362588144325</v>
      </c>
      <c r="D153" s="196">
        <f t="shared" si="40"/>
        <v>0.55104739111282908</v>
      </c>
      <c r="E153" s="196">
        <f t="shared" si="41"/>
        <v>0.62033641521524896</v>
      </c>
      <c r="F153" s="96"/>
      <c r="G153" s="173">
        <f t="shared" si="42"/>
        <v>62033.641521524893</v>
      </c>
      <c r="H153" s="167"/>
      <c r="I153" s="197">
        <f t="shared" si="48"/>
        <v>11.416666666666679</v>
      </c>
      <c r="J153" s="173">
        <f t="shared" si="49"/>
        <v>61753.881947998023</v>
      </c>
      <c r="K153" s="173">
        <v>0</v>
      </c>
      <c r="L153" s="173">
        <v>0</v>
      </c>
      <c r="M153" s="173">
        <f t="shared" si="43"/>
        <v>373.2972158113181</v>
      </c>
      <c r="N153" s="173">
        <f t="shared" si="50"/>
        <v>54.681481062870652</v>
      </c>
      <c r="O153" s="173">
        <f t="shared" si="44"/>
        <v>61999.822669687215</v>
      </c>
      <c r="P153" s="173">
        <f t="shared" si="37"/>
        <v>72.675013059255434</v>
      </c>
      <c r="Q153" s="196">
        <f t="shared" si="51"/>
        <v>0.95885396755587804</v>
      </c>
      <c r="R153" s="173">
        <f t="shared" si="45"/>
        <v>69.684724614042324</v>
      </c>
      <c r="S153" s="196">
        <f t="shared" si="46"/>
        <v>0.27421691535276821</v>
      </c>
    </row>
    <row r="154" spans="1:19">
      <c r="A154" s="197">
        <f t="shared" si="47"/>
        <v>11.500000000000012</v>
      </c>
      <c r="B154" s="196">
        <f t="shared" si="38"/>
        <v>0.99944446862861913</v>
      </c>
      <c r="C154" s="196">
        <f t="shared" si="39"/>
        <v>6.4860734450691835</v>
      </c>
      <c r="D154" s="196">
        <f t="shared" si="40"/>
        <v>0.55403454134240571</v>
      </c>
      <c r="E154" s="196">
        <f t="shared" si="41"/>
        <v>0.6231472052807514</v>
      </c>
      <c r="F154" s="96"/>
      <c r="G154" s="173">
        <f t="shared" si="42"/>
        <v>62314.720528075137</v>
      </c>
      <c r="H154" s="167"/>
      <c r="I154" s="197">
        <f t="shared" si="48"/>
        <v>11.500000000000012</v>
      </c>
      <c r="J154" s="173">
        <f t="shared" si="49"/>
        <v>62033.641521524893</v>
      </c>
      <c r="K154" s="173">
        <v>0</v>
      </c>
      <c r="L154" s="173">
        <v>0</v>
      </c>
      <c r="M154" s="173">
        <f t="shared" si="43"/>
        <v>374.98833977955843</v>
      </c>
      <c r="N154" s="173">
        <f t="shared" si="50"/>
        <v>55.198606512060323</v>
      </c>
      <c r="O154" s="173">
        <f t="shared" si="44"/>
        <v>62280.427164825946</v>
      </c>
      <c r="P154" s="173">
        <f t="shared" si="37"/>
        <v>73.004089966445463</v>
      </c>
      <c r="Q154" s="196">
        <f t="shared" si="51"/>
        <v>0.95833122957907413</v>
      </c>
      <c r="R154" s="173">
        <f t="shared" si="45"/>
        <v>69.962099301845029</v>
      </c>
      <c r="S154" s="196">
        <f t="shared" si="46"/>
        <v>0.27163938547115496</v>
      </c>
    </row>
    <row r="155" spans="1:19">
      <c r="A155" s="197">
        <f t="shared" si="47"/>
        <v>11.583333333333346</v>
      </c>
      <c r="B155" s="196">
        <f t="shared" si="38"/>
        <v>0.99943921155870941</v>
      </c>
      <c r="C155" s="196">
        <f t="shared" si="39"/>
        <v>6.4374819961880574</v>
      </c>
      <c r="D155" s="196">
        <f t="shared" si="40"/>
        <v>0.55704078611916441</v>
      </c>
      <c r="E155" s="196">
        <f t="shared" si="41"/>
        <v>0.62597127126936147</v>
      </c>
      <c r="F155" s="96"/>
      <c r="G155" s="173">
        <f t="shared" si="42"/>
        <v>62597.127126936146</v>
      </c>
      <c r="H155" s="167"/>
      <c r="I155" s="197">
        <f t="shared" si="48"/>
        <v>11.583333333333346</v>
      </c>
      <c r="J155" s="173">
        <f t="shared" si="49"/>
        <v>62314.720528075137</v>
      </c>
      <c r="K155" s="173">
        <v>0</v>
      </c>
      <c r="L155" s="173">
        <v>0</v>
      </c>
      <c r="M155" s="173">
        <f t="shared" si="43"/>
        <v>376.68743961358302</v>
      </c>
      <c r="N155" s="173">
        <f t="shared" si="50"/>
        <v>55.72079126369421</v>
      </c>
      <c r="O155" s="173">
        <f t="shared" si="44"/>
        <v>62562.352459058813</v>
      </c>
      <c r="P155" s="173">
        <f t="shared" si="37"/>
        <v>73.334717366211407</v>
      </c>
      <c r="Q155" s="196">
        <f t="shared" si="51"/>
        <v>0.95780383571947725</v>
      </c>
      <c r="R155" s="173">
        <f t="shared" si="45"/>
        <v>70.240273584761042</v>
      </c>
      <c r="S155" s="196">
        <f t="shared" si="46"/>
        <v>0.26908608334471901</v>
      </c>
    </row>
    <row r="156" spans="1:19">
      <c r="A156" s="197">
        <f t="shared" si="47"/>
        <v>11.66666666666668</v>
      </c>
      <c r="B156" s="196">
        <f t="shared" si="38"/>
        <v>0.99943390305674062</v>
      </c>
      <c r="C156" s="196">
        <f t="shared" si="39"/>
        <v>6.3886604897288466</v>
      </c>
      <c r="D156" s="196">
        <f t="shared" si="40"/>
        <v>0.56006628901379341</v>
      </c>
      <c r="E156" s="196">
        <f t="shared" si="41"/>
        <v>0.62880869566778352</v>
      </c>
      <c r="F156" s="96"/>
      <c r="G156" s="173">
        <f t="shared" si="42"/>
        <v>62880.869566778354</v>
      </c>
      <c r="H156" s="167"/>
      <c r="I156" s="197">
        <f t="shared" si="48"/>
        <v>11.66666666666668</v>
      </c>
      <c r="J156" s="173">
        <f t="shared" si="49"/>
        <v>62597.127126936146</v>
      </c>
      <c r="K156" s="173">
        <v>0</v>
      </c>
      <c r="L156" s="173">
        <v>0</v>
      </c>
      <c r="M156" s="173">
        <f t="shared" si="43"/>
        <v>378.39456463562345</v>
      </c>
      <c r="N156" s="173">
        <f t="shared" si="50"/>
        <v>56.248084788757126</v>
      </c>
      <c r="O156" s="173">
        <f t="shared" si="44"/>
        <v>62845.606701947007</v>
      </c>
      <c r="P156" s="173">
        <f t="shared" si="37"/>
        <v>73.666904836005415</v>
      </c>
      <c r="Q156" s="196">
        <f t="shared" si="51"/>
        <v>0.95727174564110618</v>
      </c>
      <c r="R156" s="173">
        <f t="shared" si="45"/>
        <v>70.519246588340152</v>
      </c>
      <c r="S156" s="196">
        <f t="shared" si="46"/>
        <v>0.26655678124220278</v>
      </c>
    </row>
    <row r="157" spans="1:19">
      <c r="A157" s="197">
        <f t="shared" si="47"/>
        <v>11.750000000000014</v>
      </c>
      <c r="B157" s="196">
        <f t="shared" si="38"/>
        <v>0.99942854261980918</v>
      </c>
      <c r="C157" s="196">
        <f t="shared" si="39"/>
        <v>6.3396074875804826</v>
      </c>
      <c r="D157" s="196">
        <f t="shared" si="40"/>
        <v>0.56311121553334054</v>
      </c>
      <c r="E157" s="196">
        <f t="shared" si="41"/>
        <v>0.63165956187102446</v>
      </c>
      <c r="F157" s="96"/>
      <c r="G157" s="173">
        <f t="shared" si="42"/>
        <v>63165.956187102449</v>
      </c>
      <c r="H157" s="167"/>
      <c r="I157" s="197">
        <f t="shared" si="48"/>
        <v>11.750000000000014</v>
      </c>
      <c r="J157" s="173">
        <f t="shared" si="49"/>
        <v>62880.869566778354</v>
      </c>
      <c r="K157" s="173">
        <v>0</v>
      </c>
      <c r="L157" s="173">
        <v>0</v>
      </c>
      <c r="M157" s="173">
        <f t="shared" si="43"/>
        <v>380.10976470822453</v>
      </c>
      <c r="N157" s="173">
        <f t="shared" si="50"/>
        <v>56.780537041435743</v>
      </c>
      <c r="O157" s="173">
        <f t="shared" si="44"/>
        <v>63130.198132386875</v>
      </c>
      <c r="P157" s="173">
        <f t="shared" si="37"/>
        <v>74.000662058271701</v>
      </c>
      <c r="Q157" s="196">
        <f t="shared" si="51"/>
        <v>0.9567349187109766</v>
      </c>
      <c r="R157" s="173">
        <f t="shared" si="45"/>
        <v>70.79901739887903</v>
      </c>
      <c r="S157" s="196">
        <f t="shared" si="46"/>
        <v>0.26405125357293213</v>
      </c>
    </row>
    <row r="158" spans="1:19">
      <c r="A158" s="197">
        <f t="shared" si="47"/>
        <v>11.833333333333348</v>
      </c>
      <c r="B158" s="196">
        <f t="shared" si="38"/>
        <v>0.99942312974009972</v>
      </c>
      <c r="C158" s="196">
        <f t="shared" si="39"/>
        <v>6.2903215357089506</v>
      </c>
      <c r="D158" s="196">
        <f t="shared" si="40"/>
        <v>0.56617573315005443</v>
      </c>
      <c r="E158" s="196">
        <f t="shared" si="41"/>
        <v>0.6345239541971287</v>
      </c>
      <c r="F158" s="96"/>
      <c r="G158" s="173">
        <f t="shared" si="42"/>
        <v>63452.39541971287</v>
      </c>
      <c r="H158" s="167"/>
      <c r="I158" s="197">
        <f t="shared" si="48"/>
        <v>11.833333333333348</v>
      </c>
      <c r="J158" s="173">
        <f t="shared" si="49"/>
        <v>63165.956187102449</v>
      </c>
      <c r="K158" s="173">
        <v>0</v>
      </c>
      <c r="L158" s="173">
        <v>0</v>
      </c>
      <c r="M158" s="173">
        <f t="shared" si="43"/>
        <v>381.83309024299268</v>
      </c>
      <c r="N158" s="173">
        <f t="shared" si="50"/>
        <v>57.318198463862387</v>
      </c>
      <c r="O158" s="173">
        <f t="shared" si="44"/>
        <v>63416.135080059488</v>
      </c>
      <c r="P158" s="173">
        <f t="shared" si="37"/>
        <v>74.335998822090914</v>
      </c>
      <c r="Q158" s="196">
        <f t="shared" si="51"/>
        <v>0.9561933139979848</v>
      </c>
      <c r="R158" s="173">
        <f t="shared" si="45"/>
        <v>71.0795850630454</v>
      </c>
      <c r="S158" s="196">
        <f t="shared" si="46"/>
        <v>0.26156927686669545</v>
      </c>
    </row>
    <row r="159" spans="1:19">
      <c r="A159" s="197">
        <f t="shared" si="47"/>
        <v>11.916666666666682</v>
      </c>
      <c r="B159" s="196">
        <f t="shared" si="38"/>
        <v>0.99941766390483711</v>
      </c>
      <c r="C159" s="196">
        <f t="shared" si="39"/>
        <v>6.2408011638985723</v>
      </c>
      <c r="D159" s="196">
        <f t="shared" si="40"/>
        <v>0.56926001133071968</v>
      </c>
      <c r="E159" s="196">
        <f t="shared" si="41"/>
        <v>0.63740195790218168</v>
      </c>
      <c r="F159" s="96"/>
      <c r="G159" s="173">
        <f t="shared" si="42"/>
        <v>63740.195790218168</v>
      </c>
      <c r="H159" s="167"/>
      <c r="I159" s="197">
        <f t="shared" si="48"/>
        <v>11.916666666666682</v>
      </c>
      <c r="J159" s="173">
        <f t="shared" si="49"/>
        <v>63452.39541971287</v>
      </c>
      <c r="K159" s="173">
        <v>0</v>
      </c>
      <c r="L159" s="173">
        <v>0</v>
      </c>
      <c r="M159" s="173">
        <f t="shared" si="43"/>
        <v>383.56459220950296</v>
      </c>
      <c r="N159" s="173">
        <f t="shared" si="50"/>
        <v>57.861119990825458</v>
      </c>
      <c r="O159" s="173">
        <f t="shared" si="44"/>
        <v>63703.425966906572</v>
      </c>
      <c r="P159" s="173">
        <f t="shared" si="37"/>
        <v>74.672925024977303</v>
      </c>
      <c r="Q159" s="196">
        <f t="shared" si="51"/>
        <v>0.95564689027181149</v>
      </c>
      <c r="R159" s="173">
        <f t="shared" si="45"/>
        <v>71.360948587619689</v>
      </c>
      <c r="S159" s="196">
        <f t="shared" si="46"/>
        <v>0.25911062975381211</v>
      </c>
    </row>
    <row r="160" spans="1:19">
      <c r="A160" s="197">
        <f t="shared" si="47"/>
        <v>12.000000000000016</v>
      </c>
      <c r="B160" s="196">
        <f t="shared" si="38"/>
        <v>0.99941214459623784</v>
      </c>
      <c r="C160" s="196">
        <f t="shared" si="39"/>
        <v>6.1910448854885827</v>
      </c>
      <c r="D160" s="196">
        <f t="shared" si="40"/>
        <v>0.57236422156649769</v>
      </c>
      <c r="E160" s="196">
        <f t="shared" si="41"/>
        <v>0.64029365919558778</v>
      </c>
      <c r="F160" s="96"/>
      <c r="G160" s="173">
        <f t="shared" si="42"/>
        <v>64029.365919558775</v>
      </c>
      <c r="H160" s="167"/>
      <c r="I160" s="197">
        <f t="shared" si="48"/>
        <v>12.000000000000016</v>
      </c>
      <c r="J160" s="173">
        <f t="shared" si="49"/>
        <v>63740.195790218168</v>
      </c>
      <c r="K160" s="173">
        <v>0</v>
      </c>
      <c r="L160" s="173">
        <v>0</v>
      </c>
      <c r="M160" s="173">
        <f t="shared" si="43"/>
        <v>385.30432214436865</v>
      </c>
      <c r="N160" s="173">
        <f t="shared" si="50"/>
        <v>58.409353054591236</v>
      </c>
      <c r="O160" s="173">
        <f t="shared" si="44"/>
        <v>63992.079308633423</v>
      </c>
      <c r="P160" s="173">
        <f t="shared" si="37"/>
        <v>75.0114506745158</v>
      </c>
      <c r="Q160" s="196">
        <f t="shared" si="51"/>
        <v>0.95509560600184751</v>
      </c>
      <c r="R160" s="173">
        <f t="shared" si="45"/>
        <v>71.643106939054363</v>
      </c>
      <c r="S160" s="196">
        <f t="shared" si="46"/>
        <v>0.25667509294538843</v>
      </c>
    </row>
    <row r="161" spans="1:19">
      <c r="A161" s="197">
        <f t="shared" si="47"/>
        <v>12.08333333333335</v>
      </c>
      <c r="B161" s="196">
        <f t="shared" si="38"/>
        <v>0.99940657129146171</v>
      </c>
      <c r="C161" s="196">
        <f t="shared" si="39"/>
        <v>6.1410511971048933</v>
      </c>
      <c r="D161" s="196">
        <f t="shared" si="40"/>
        <v>0.57548853740328154</v>
      </c>
      <c r="E161" s="196">
        <f t="shared" si="41"/>
        <v>0.64319914525562538</v>
      </c>
      <c r="F161" s="96"/>
      <c r="G161" s="173">
        <f t="shared" si="42"/>
        <v>64319.914525562541</v>
      </c>
      <c r="H161" s="167"/>
      <c r="I161" s="197">
        <f t="shared" si="48"/>
        <v>12.08333333333335</v>
      </c>
      <c r="J161" s="173">
        <f t="shared" si="49"/>
        <v>64029.365919558775</v>
      </c>
      <c r="K161" s="173">
        <v>0</v>
      </c>
      <c r="L161" s="173">
        <v>0</v>
      </c>
      <c r="M161" s="173">
        <f t="shared" si="43"/>
        <v>387.05233216047657</v>
      </c>
      <c r="N161" s="173">
        <f t="shared" si="50"/>
        <v>58.962949589770169</v>
      </c>
      <c r="O161" s="173">
        <f t="shared" si="44"/>
        <v>64282.103716239166</v>
      </c>
      <c r="P161" s="173">
        <f t="shared" si="37"/>
        <v>75.351585890319257</v>
      </c>
      <c r="Q161" s="196">
        <f t="shared" si="51"/>
        <v>0.95453941935614117</v>
      </c>
      <c r="R161" s="173">
        <f t="shared" si="45"/>
        <v>71.926059043309749</v>
      </c>
      <c r="S161" s="196">
        <f t="shared" si="46"/>
        <v>0.25426244921375912</v>
      </c>
    </row>
    <row r="162" spans="1:19">
      <c r="A162" s="197">
        <f t="shared" si="47"/>
        <v>12.166666666666684</v>
      </c>
      <c r="B162" s="196">
        <f t="shared" si="38"/>
        <v>0.99940094346256225</v>
      </c>
      <c r="C162" s="196">
        <f t="shared" si="39"/>
        <v>6.0908185783869637</v>
      </c>
      <c r="D162" s="196">
        <f t="shared" si="40"/>
        <v>0.57863313447257481</v>
      </c>
      <c r="E162" s="196">
        <f t="shared" si="41"/>
        <v>0.64611850424528772</v>
      </c>
      <c r="F162" s="96"/>
      <c r="G162" s="173">
        <f t="shared" si="42"/>
        <v>64611.85042452877</v>
      </c>
      <c r="H162" s="167"/>
      <c r="I162" s="197">
        <f t="shared" si="48"/>
        <v>12.166666666666684</v>
      </c>
      <c r="J162" s="173">
        <f t="shared" si="49"/>
        <v>64319.914525562541</v>
      </c>
      <c r="K162" s="173">
        <v>0</v>
      </c>
      <c r="L162" s="173">
        <v>0</v>
      </c>
      <c r="M162" s="173">
        <f t="shared" si="43"/>
        <v>388.80867495639018</v>
      </c>
      <c r="N162" s="173">
        <f t="shared" si="50"/>
        <v>59.521962038172049</v>
      </c>
      <c r="O162" s="173">
        <f t="shared" si="44"/>
        <v>64573.507897575073</v>
      </c>
      <c r="P162" s="173">
        <f t="shared" si="37"/>
        <v>75.693340905687364</v>
      </c>
      <c r="Q162" s="196">
        <f t="shared" si="51"/>
        <v>0.95397828820036867</v>
      </c>
      <c r="R162" s="173">
        <f t="shared" si="45"/>
        <v>72.209803785374575</v>
      </c>
      <c r="S162" s="196">
        <f t="shared" si="46"/>
        <v>0.25187248337311247</v>
      </c>
    </row>
    <row r="163" spans="1:19">
      <c r="A163" s="197">
        <f t="shared" si="47"/>
        <v>12.250000000000018</v>
      </c>
      <c r="B163" s="196">
        <f t="shared" si="38"/>
        <v>0.99939526057643702</v>
      </c>
      <c r="C163" s="196">
        <f t="shared" si="39"/>
        <v>6.0403454917096733</v>
      </c>
      <c r="D163" s="196">
        <f t="shared" si="40"/>
        <v>0.58179819052290527</v>
      </c>
      <c r="E163" s="196">
        <f t="shared" si="41"/>
        <v>0.64905182532841166</v>
      </c>
      <c r="F163" s="96"/>
      <c r="G163" s="173">
        <f t="shared" si="42"/>
        <v>64905.182532841165</v>
      </c>
      <c r="H163" s="167"/>
      <c r="I163" s="197">
        <f t="shared" si="48"/>
        <v>12.250000000000018</v>
      </c>
      <c r="J163" s="173">
        <f t="shared" si="49"/>
        <v>64611.85042452877</v>
      </c>
      <c r="K163" s="173">
        <v>0</v>
      </c>
      <c r="L163" s="173">
        <v>0</v>
      </c>
      <c r="M163" s="173">
        <f t="shared" si="43"/>
        <v>390.5734038259248</v>
      </c>
      <c r="N163" s="173">
        <f t="shared" si="50"/>
        <v>60.086443353772573</v>
      </c>
      <c r="O163" s="173">
        <f t="shared" si="44"/>
        <v>64866.300658931279</v>
      </c>
      <c r="P163" s="173">
        <f t="shared" si="37"/>
        <v>76.036726069643919</v>
      </c>
      <c r="Q163" s="196">
        <f t="shared" si="51"/>
        <v>0.95341217009682833</v>
      </c>
      <c r="R163" s="173">
        <f t="shared" si="45"/>
        <v>72.494340009117295</v>
      </c>
      <c r="S163" s="196">
        <f t="shared" si="46"/>
        <v>0.24950498226029766</v>
      </c>
    </row>
    <row r="164" spans="1:19">
      <c r="A164" s="197">
        <f t="shared" si="47"/>
        <v>12.333333333333352</v>
      </c>
      <c r="B164" s="196">
        <f t="shared" si="38"/>
        <v>0.99938952209477705</v>
      </c>
      <c r="C164" s="196">
        <f t="shared" si="39"/>
        <v>5.9896303819001062</v>
      </c>
      <c r="D164" s="196">
        <f t="shared" si="40"/>
        <v>0.58498388545178237</v>
      </c>
      <c r="E164" s="196">
        <f t="shared" si="41"/>
        <v>0.65199919868610334</v>
      </c>
      <c r="F164" s="96"/>
      <c r="G164" s="173">
        <f t="shared" si="42"/>
        <v>65199.919868610334</v>
      </c>
      <c r="H164" s="167"/>
      <c r="I164" s="197">
        <f t="shared" si="48"/>
        <v>12.333333333333352</v>
      </c>
      <c r="J164" s="173">
        <f t="shared" si="49"/>
        <v>64905.182532841165</v>
      </c>
      <c r="K164" s="173">
        <v>0</v>
      </c>
      <c r="L164" s="173">
        <v>0</v>
      </c>
      <c r="M164" s="173">
        <f t="shared" si="43"/>
        <v>392.34657266789804</v>
      </c>
      <c r="N164" s="173">
        <f t="shared" si="50"/>
        <v>60.656447007702134</v>
      </c>
      <c r="O164" s="173">
        <f t="shared" si="44"/>
        <v>65160.490906652638</v>
      </c>
      <c r="P164" s="173">
        <f t="shared" si="37"/>
        <v>76.381751848726708</v>
      </c>
      <c r="Q164" s="196">
        <f t="shared" si="51"/>
        <v>0.95284102230345913</v>
      </c>
      <c r="R164" s="173">
        <f t="shared" si="45"/>
        <v>72.779666516869881</v>
      </c>
      <c r="S164" s="196">
        <f t="shared" si="46"/>
        <v>0.24715973471581287</v>
      </c>
    </row>
    <row r="165" spans="1:19">
      <c r="A165" s="197">
        <f t="shared" si="47"/>
        <v>12.416666666666686</v>
      </c>
      <c r="B165" s="196">
        <f t="shared" si="38"/>
        <v>0.99938372747401705</v>
      </c>
      <c r="C165" s="196">
        <f t="shared" si="39"/>
        <v>5.9386716759491494</v>
      </c>
      <c r="D165" s="196">
        <f t="shared" si="40"/>
        <v>0.58819040133821099</v>
      </c>
      <c r="E165" s="196">
        <f t="shared" si="41"/>
        <v>0.65496071553346447</v>
      </c>
      <c r="F165" s="96"/>
      <c r="G165" s="173">
        <f t="shared" si="42"/>
        <v>65496.071553346446</v>
      </c>
      <c r="H165" s="167"/>
      <c r="I165" s="197">
        <f t="shared" si="48"/>
        <v>12.416666666666686</v>
      </c>
      <c r="J165" s="173">
        <f t="shared" si="49"/>
        <v>65199.919868610334</v>
      </c>
      <c r="K165" s="173">
        <v>0</v>
      </c>
      <c r="L165" s="173">
        <v>0</v>
      </c>
      <c r="M165" s="173">
        <f t="shared" si="43"/>
        <v>394.12823599605815</v>
      </c>
      <c r="N165" s="173">
        <f t="shared" si="50"/>
        <v>61.232026993312601</v>
      </c>
      <c r="O165" s="173">
        <f t="shared" si="44"/>
        <v>65456.087648784225</v>
      </c>
      <c r="P165" s="173">
        <f t="shared" si="37"/>
        <v>76.728428828857432</v>
      </c>
      <c r="Q165" s="196">
        <f t="shared" si="51"/>
        <v>0.9522648017728842</v>
      </c>
      <c r="R165" s="173">
        <f t="shared" si="45"/>
        <v>73.06578206905678</v>
      </c>
      <c r="S165" s="196">
        <f t="shared" si="46"/>
        <v>0.24483653156497137</v>
      </c>
    </row>
    <row r="166" spans="1:19">
      <c r="A166" s="197">
        <f t="shared" si="47"/>
        <v>12.50000000000002</v>
      </c>
      <c r="B166" s="196">
        <f t="shared" si="38"/>
        <v>0.99937787616528306</v>
      </c>
      <c r="C166" s="196">
        <f t="shared" si="39"/>
        <v>5.8874677827177901</v>
      </c>
      <c r="D166" s="196">
        <f t="shared" si="40"/>
        <v>0.59141792247576985</v>
      </c>
      <c r="E166" s="196">
        <f t="shared" si="41"/>
        <v>0.65793646813662454</v>
      </c>
      <c r="F166" s="96"/>
      <c r="G166" s="173">
        <f t="shared" si="42"/>
        <v>65793.646813662461</v>
      </c>
      <c r="H166" s="167"/>
      <c r="I166" s="197">
        <f t="shared" si="48"/>
        <v>12.50000000000002</v>
      </c>
      <c r="J166" s="173">
        <f t="shared" si="49"/>
        <v>65496.071553346446</v>
      </c>
      <c r="K166" s="173">
        <v>0</v>
      </c>
      <c r="L166" s="173">
        <v>0</v>
      </c>
      <c r="M166" s="173">
        <f t="shared" si="43"/>
        <v>395.91844894919552</v>
      </c>
      <c r="N166" s="173">
        <f t="shared" si="50"/>
        <v>61.813237831177233</v>
      </c>
      <c r="O166" s="173">
        <f t="shared" si="44"/>
        <v>65753.099996746969</v>
      </c>
      <c r="P166" s="173">
        <f t="shared" si="37"/>
        <v>77.076767717502662</v>
      </c>
      <c r="Q166" s="196">
        <f t="shared" si="51"/>
        <v>0.95168346515148039</v>
      </c>
      <c r="R166" s="173">
        <f t="shared" si="45"/>
        <v>73.352685384068693</v>
      </c>
      <c r="S166" s="196">
        <f t="shared" si="46"/>
        <v>0.24253516559924529</v>
      </c>
    </row>
    <row r="167" spans="1:19">
      <c r="A167" s="197">
        <f t="shared" si="47"/>
        <v>12.583333333333353</v>
      </c>
      <c r="B167" s="196">
        <f t="shared" si="38"/>
        <v>0.99937196761434144</v>
      </c>
      <c r="C167" s="196">
        <f t="shared" si="39"/>
        <v>5.8360170926380315</v>
      </c>
      <c r="D167" s="196">
        <f t="shared" si="40"/>
        <v>0.59466663540626796</v>
      </c>
      <c r="E167" s="196">
        <f t="shared" si="41"/>
        <v>0.66092654983008736</v>
      </c>
      <c r="F167" s="96"/>
      <c r="G167" s="173">
        <f t="shared" si="42"/>
        <v>66092.654983008732</v>
      </c>
      <c r="H167" s="167"/>
      <c r="I167" s="197">
        <f t="shared" si="48"/>
        <v>12.583333333333353</v>
      </c>
      <c r="J167" s="173">
        <f t="shared" si="49"/>
        <v>65793.646813662461</v>
      </c>
      <c r="K167" s="173">
        <v>0</v>
      </c>
      <c r="L167" s="173">
        <v>0</v>
      </c>
      <c r="M167" s="173">
        <f t="shared" si="43"/>
        <v>397.71726730143831</v>
      </c>
      <c r="N167" s="173">
        <f t="shared" si="50"/>
        <v>62.400134574335638</v>
      </c>
      <c r="O167" s="173">
        <f t="shared" si="44"/>
        <v>66051.53716704408</v>
      </c>
      <c r="P167" s="173">
        <f t="shared" si="37"/>
        <v>77.426779345492832</v>
      </c>
      <c r="Q167" s="196">
        <f t="shared" si="51"/>
        <v>0.95109696877847527</v>
      </c>
      <c r="R167" s="173">
        <f t="shared" si="45"/>
        <v>73.640375137778094</v>
      </c>
      <c r="S167" s="196">
        <f t="shared" si="46"/>
        <v>0.24025543155778459</v>
      </c>
    </row>
    <row r="168" spans="1:19">
      <c r="A168" s="197">
        <f t="shared" si="47"/>
        <v>12.666666666666687</v>
      </c>
      <c r="B168" s="196">
        <f t="shared" si="38"/>
        <v>0.99936600126154662</v>
      </c>
      <c r="C168" s="196">
        <f t="shared" si="39"/>
        <v>5.7843179774083016</v>
      </c>
      <c r="D168" s="196">
        <f t="shared" si="40"/>
        <v>0.59793672895398831</v>
      </c>
      <c r="E168" s="196">
        <f t="shared" si="41"/>
        <v>0.66393105503439576</v>
      </c>
      <c r="F168" s="96"/>
      <c r="G168" s="173">
        <f t="shared" si="42"/>
        <v>66393.105503439569</v>
      </c>
      <c r="H168" s="167"/>
      <c r="I168" s="197">
        <f t="shared" si="48"/>
        <v>12.666666666666687</v>
      </c>
      <c r="J168" s="173">
        <f t="shared" si="49"/>
        <v>66092.654983008732</v>
      </c>
      <c r="K168" s="173">
        <v>0</v>
      </c>
      <c r="L168" s="173">
        <v>0</v>
      </c>
      <c r="M168" s="173">
        <f t="shared" si="43"/>
        <v>399.52474747273823</v>
      </c>
      <c r="N168" s="173">
        <f t="shared" si="50"/>
        <v>62.992772813416188</v>
      </c>
      <c r="O168" s="173">
        <f t="shared" si="44"/>
        <v>66351.408482998959</v>
      </c>
      <c r="P168" s="173">
        <f t="shared" si="37"/>
        <v>77.77847466908861</v>
      </c>
      <c r="Q168" s="196">
        <f t="shared" si="51"/>
        <v>0.95050526868507113</v>
      </c>
      <c r="R168" s="173">
        <f t="shared" si="45"/>
        <v>73.928849963257065</v>
      </c>
      <c r="S168" s="196">
        <f t="shared" si="46"/>
        <v>0.23799712610910942</v>
      </c>
    </row>
    <row r="169" spans="1:19">
      <c r="A169" s="197">
        <f t="shared" si="47"/>
        <v>12.750000000000021</v>
      </c>
      <c r="B169" s="196">
        <f t="shared" si="38"/>
        <v>0.9993599765417881</v>
      </c>
      <c r="C169" s="196">
        <f t="shared" si="39"/>
        <v>5.7323687896832567</v>
      </c>
      <c r="D169" s="196">
        <f t="shared" si="40"/>
        <v>0.60122839426053121</v>
      </c>
      <c r="E169" s="196">
        <f t="shared" si="41"/>
        <v>0.6669500792741212</v>
      </c>
      <c r="F169" s="96"/>
      <c r="G169" s="173">
        <f t="shared" si="42"/>
        <v>66695.007927412124</v>
      </c>
      <c r="H169" s="167"/>
      <c r="I169" s="197">
        <f t="shared" si="48"/>
        <v>12.750000000000021</v>
      </c>
      <c r="J169" s="173">
        <f t="shared" si="49"/>
        <v>66393.105503439569</v>
      </c>
      <c r="K169" s="173">
        <v>0</v>
      </c>
      <c r="L169" s="173">
        <v>0</v>
      </c>
      <c r="M169" s="173">
        <f t="shared" si="43"/>
        <v>401.34094653954895</v>
      </c>
      <c r="N169" s="173">
        <f t="shared" si="50"/>
        <v>63.591208681869873</v>
      </c>
      <c r="O169" s="173">
        <f t="shared" si="44"/>
        <v>66652.723376525013</v>
      </c>
      <c r="P169" s="173">
        <f t="shared" si="37"/>
        <v>78.13186477223644</v>
      </c>
      <c r="Q169" s="196">
        <f t="shared" si="51"/>
        <v>0.94990832059359775</v>
      </c>
      <c r="R169" s="173">
        <f t="shared" si="45"/>
        <v>74.218108450641196</v>
      </c>
      <c r="S169" s="196">
        <f t="shared" si="46"/>
        <v>0.23576004783297494</v>
      </c>
    </row>
    <row r="170" spans="1:19">
      <c r="A170" s="197">
        <f t="shared" si="47"/>
        <v>12.833333333333355</v>
      </c>
      <c r="B170" s="196">
        <f t="shared" si="38"/>
        <v>0.99935389288443732</v>
      </c>
      <c r="C170" s="196">
        <f t="shared" si="39"/>
        <v>5.6801678627578687</v>
      </c>
      <c r="D170" s="196">
        <f t="shared" si="40"/>
        <v>0.60454182482026952</v>
      </c>
      <c r="E170" s="196">
        <f t="shared" si="41"/>
        <v>0.66998371919618638</v>
      </c>
      <c r="F170" s="96"/>
      <c r="G170" s="173">
        <f t="shared" si="42"/>
        <v>66998.371919618643</v>
      </c>
      <c r="H170" s="167"/>
      <c r="I170" s="197">
        <f t="shared" si="48"/>
        <v>12.833333333333355</v>
      </c>
      <c r="J170" s="173">
        <f t="shared" si="49"/>
        <v>66695.007927412124</v>
      </c>
      <c r="K170" s="173">
        <v>0</v>
      </c>
      <c r="L170" s="173">
        <v>0</v>
      </c>
      <c r="M170" s="173">
        <f t="shared" si="43"/>
        <v>403.16592224570041</v>
      </c>
      <c r="N170" s="173">
        <f t="shared" si="50"/>
        <v>64.195498861293075</v>
      </c>
      <c r="O170" s="173">
        <f t="shared" si="44"/>
        <v>66955.49138992808</v>
      </c>
      <c r="P170" s="173">
        <f t="shared" si="37"/>
        <v>78.486960868438473</v>
      </c>
      <c r="Q170" s="196">
        <f t="shared" si="51"/>
        <v>0.94930607991669502</v>
      </c>
      <c r="R170" s="173">
        <f t="shared" si="45"/>
        <v>74.508149146592373</v>
      </c>
      <c r="S170" s="196">
        <f t="shared" si="46"/>
        <v>0.23354399720240643</v>
      </c>
    </row>
    <row r="171" spans="1:19">
      <c r="A171" s="197">
        <f t="shared" si="47"/>
        <v>12.916666666666689</v>
      </c>
      <c r="B171" s="196">
        <f t="shared" si="38"/>
        <v>0.9993477497132941</v>
      </c>
      <c r="C171" s="196">
        <f t="shared" si="39"/>
        <v>5.6277135102456857</v>
      </c>
      <c r="D171" s="196">
        <f t="shared" si="40"/>
        <v>0.60787721651642668</v>
      </c>
      <c r="E171" s="196">
        <f t="shared" si="41"/>
        <v>0.67303207258852427</v>
      </c>
      <c r="F171" s="96"/>
      <c r="G171" s="173">
        <f t="shared" si="42"/>
        <v>67303.207258852432</v>
      </c>
      <c r="H171" s="167"/>
      <c r="I171" s="197">
        <f t="shared" si="48"/>
        <v>12.916666666666689</v>
      </c>
      <c r="J171" s="173">
        <f t="shared" si="49"/>
        <v>66998.371919618643</v>
      </c>
      <c r="K171" s="173">
        <v>0</v>
      </c>
      <c r="L171" s="173">
        <v>0</v>
      </c>
      <c r="M171" s="173">
        <f t="shared" si="43"/>
        <v>404.99973301347472</v>
      </c>
      <c r="N171" s="173">
        <f t="shared" si="50"/>
        <v>64.805700586750575</v>
      </c>
      <c r="O171" s="173">
        <f t="shared" si="44"/>
        <v>67259.722177742296</v>
      </c>
      <c r="P171" s="173">
        <f t="shared" si="37"/>
        <v>78.843774303080863</v>
      </c>
      <c r="Q171" s="196">
        <f t="shared" si="51"/>
        <v>0.94869850175652515</v>
      </c>
      <c r="R171" s="173">
        <f t="shared" si="45"/>
        <v>74.798970554162437</v>
      </c>
      <c r="S171" s="196">
        <f t="shared" si="46"/>
        <v>0.23134877656590347</v>
      </c>
    </row>
    <row r="172" spans="1:19">
      <c r="A172" s="197">
        <f t="shared" si="47"/>
        <v>13.000000000000023</v>
      </c>
      <c r="B172" s="196">
        <f t="shared" si="38"/>
        <v>0.99934154644653217</v>
      </c>
      <c r="C172" s="196">
        <f t="shared" si="39"/>
        <v>5.5750040257511415</v>
      </c>
      <c r="D172" s="196">
        <f t="shared" si="40"/>
        <v>0.61123476765778983</v>
      </c>
      <c r="E172" s="196">
        <f t="shared" si="41"/>
        <v>0.6760952383990837</v>
      </c>
      <c r="F172" s="96"/>
      <c r="G172" s="173">
        <f t="shared" si="42"/>
        <v>67609.523839908376</v>
      </c>
      <c r="H172" s="167"/>
      <c r="I172" s="197">
        <f t="shared" si="48"/>
        <v>13.000000000000023</v>
      </c>
      <c r="J172" s="173">
        <f t="shared" si="49"/>
        <v>67303.207258852432</v>
      </c>
      <c r="K172" s="173">
        <v>0</v>
      </c>
      <c r="L172" s="173">
        <v>0</v>
      </c>
      <c r="M172" s="173">
        <f t="shared" si="43"/>
        <v>406.84243795488544</v>
      </c>
      <c r="N172" s="173">
        <f t="shared" si="50"/>
        <v>65.421871652153982</v>
      </c>
      <c r="O172" s="173">
        <f t="shared" si="44"/>
        <v>67565.425508599743</v>
      </c>
      <c r="P172" s="173">
        <f t="shared" si="37"/>
        <v>79.202316555412835</v>
      </c>
      <c r="Q172" s="196">
        <f t="shared" si="51"/>
        <v>0.94808554090401664</v>
      </c>
      <c r="R172" s="173">
        <f t="shared" si="45"/>
        <v>75.090571132289725</v>
      </c>
      <c r="S172" s="196">
        <f t="shared" si="46"/>
        <v>0.22917419012981094</v>
      </c>
    </row>
    <row r="173" spans="1:19">
      <c r="A173" s="197">
        <f t="shared" si="47"/>
        <v>13.083333333333357</v>
      </c>
      <c r="B173" s="196">
        <f t="shared" si="38"/>
        <v>0.99933528249664438</v>
      </c>
      <c r="C173" s="196">
        <f t="shared" si="39"/>
        <v>5.5220376825358137</v>
      </c>
      <c r="D173" s="196">
        <f t="shared" si="40"/>
        <v>0.61461467901607147</v>
      </c>
      <c r="E173" s="196">
        <f t="shared" si="41"/>
        <v>0.67917331675518489</v>
      </c>
      <c r="F173" s="96"/>
      <c r="G173" s="173">
        <f t="shared" si="42"/>
        <v>67917.331675518493</v>
      </c>
      <c r="H173" s="167"/>
      <c r="I173" s="197">
        <f t="shared" si="48"/>
        <v>13.083333333333357</v>
      </c>
      <c r="J173" s="173">
        <f t="shared" si="49"/>
        <v>67609.523839908376</v>
      </c>
      <c r="K173" s="173">
        <v>0</v>
      </c>
      <c r="L173" s="173">
        <v>0</v>
      </c>
      <c r="M173" s="173">
        <f t="shared" si="43"/>
        <v>408.69409688316654</v>
      </c>
      <c r="N173" s="173">
        <f t="shared" si="50"/>
        <v>66.044070415718394</v>
      </c>
      <c r="O173" s="173">
        <f t="shared" si="44"/>
        <v>67872.611267134693</v>
      </c>
      <c r="P173" s="173">
        <f t="shared" si="37"/>
        <v>79.562599241122371</v>
      </c>
      <c r="Q173" s="196">
        <f t="shared" si="51"/>
        <v>0.94746715183814023</v>
      </c>
      <c r="R173" s="173">
        <f t="shared" si="45"/>
        <v>75.382949295825597</v>
      </c>
      <c r="S173" s="196">
        <f t="shared" si="46"/>
        <v>0.22702004394085615</v>
      </c>
    </row>
    <row r="174" spans="1:19">
      <c r="A174" s="197">
        <f t="shared" si="47"/>
        <v>13.166666666666691</v>
      </c>
      <c r="B174" s="196">
        <f t="shared" si="38"/>
        <v>0.99932895727038751</v>
      </c>
      <c r="C174" s="196">
        <f t="shared" si="39"/>
        <v>5.4688127331784928</v>
      </c>
      <c r="D174" s="196">
        <f t="shared" si="40"/>
        <v>0.61801715386393163</v>
      </c>
      <c r="E174" s="196">
        <f t="shared" si="41"/>
        <v>0.68226640898323421</v>
      </c>
      <c r="F174" s="96"/>
      <c r="G174" s="173">
        <f t="shared" si="42"/>
        <v>68226.640898323414</v>
      </c>
      <c r="H174" s="167"/>
      <c r="I174" s="197">
        <f t="shared" si="48"/>
        <v>13.166666666666691</v>
      </c>
      <c r="J174" s="173">
        <f t="shared" si="49"/>
        <v>67917.331675518493</v>
      </c>
      <c r="K174" s="173">
        <v>0</v>
      </c>
      <c r="L174" s="173">
        <v>0</v>
      </c>
      <c r="M174" s="173">
        <f t="shared" si="43"/>
        <v>410.5547703244722</v>
      </c>
      <c r="N174" s="173">
        <f t="shared" si="50"/>
        <v>66.672355805463326</v>
      </c>
      <c r="O174" s="173">
        <f t="shared" si="44"/>
        <v>68181.289455923135</v>
      </c>
      <c r="P174" s="173">
        <f t="shared" si="37"/>
        <v>79.924634114358923</v>
      </c>
      <c r="Q174" s="196">
        <f t="shared" si="51"/>
        <v>0.94684328872521839</v>
      </c>
      <c r="R174" s="173">
        <f t="shared" si="45"/>
        <v>75.676103414999389</v>
      </c>
      <c r="S174" s="196">
        <f t="shared" si="46"/>
        <v>0.2248861458688502</v>
      </c>
    </row>
    <row r="175" spans="1:19">
      <c r="A175" s="197">
        <f t="shared" si="47"/>
        <v>13.250000000000025</v>
      </c>
      <c r="B175" s="196">
        <f t="shared" si="38"/>
        <v>0.9993225701687265</v>
      </c>
      <c r="C175" s="196">
        <f t="shared" si="39"/>
        <v>5.4153274092289543</v>
      </c>
      <c r="D175" s="196">
        <f t="shared" si="40"/>
        <v>0.62144239801367374</v>
      </c>
      <c r="E175" s="196">
        <f t="shared" si="41"/>
        <v>0.68537461762880547</v>
      </c>
      <c r="F175" s="96"/>
      <c r="G175" s="173">
        <f t="shared" si="42"/>
        <v>68537.461762880543</v>
      </c>
      <c r="H175" s="167"/>
      <c r="I175" s="197">
        <f t="shared" si="48"/>
        <v>13.250000000000025</v>
      </c>
      <c r="J175" s="173">
        <f t="shared" si="49"/>
        <v>68226.640898323414</v>
      </c>
      <c r="K175" s="173">
        <v>0</v>
      </c>
      <c r="L175" s="173">
        <v>0</v>
      </c>
      <c r="M175" s="173">
        <f t="shared" si="43"/>
        <v>412.42451952979457</v>
      </c>
      <c r="N175" s="173">
        <f t="shared" si="50"/>
        <v>67.306787324747191</v>
      </c>
      <c r="O175" s="173">
        <f t="shared" si="44"/>
        <v>68491.47019745846</v>
      </c>
      <c r="P175" s="173">
        <f t="shared" si="37"/>
        <v>80.288433070003521</v>
      </c>
      <c r="Q175" s="196">
        <f t="shared" si="51"/>
        <v>0.946213905418268</v>
      </c>
      <c r="R175" s="173">
        <f t="shared" si="45"/>
        <v>75.970031815081256</v>
      </c>
      <c r="S175" s="196">
        <f t="shared" si="46"/>
        <v>0.22277230558955133</v>
      </c>
    </row>
    <row r="176" spans="1:19">
      <c r="A176" s="197">
        <f t="shared" si="47"/>
        <v>13.333333333333359</v>
      </c>
      <c r="B176" s="196">
        <f t="shared" si="38"/>
        <v>0.99931612058677755</v>
      </c>
      <c r="C176" s="196">
        <f t="shared" si="39"/>
        <v>5.3615799208552977</v>
      </c>
      <c r="D176" s="196">
        <f t="shared" si="40"/>
        <v>0.62489061985662719</v>
      </c>
      <c r="E176" s="196">
        <f t="shared" si="41"/>
        <v>0.68849804647709223</v>
      </c>
      <c r="F176" s="96"/>
      <c r="G176" s="173">
        <f t="shared" si="42"/>
        <v>68849.804647709228</v>
      </c>
      <c r="H176" s="167"/>
      <c r="I176" s="197">
        <f t="shared" si="48"/>
        <v>13.333333333333359</v>
      </c>
      <c r="J176" s="173">
        <f t="shared" si="49"/>
        <v>68537.461762880543</v>
      </c>
      <c r="K176" s="173">
        <v>0</v>
      </c>
      <c r="L176" s="173">
        <v>0</v>
      </c>
      <c r="M176" s="173">
        <f t="shared" si="43"/>
        <v>414.30340648710273</v>
      </c>
      <c r="N176" s="173">
        <f t="shared" si="50"/>
        <v>67.947425057857501</v>
      </c>
      <c r="O176" s="173">
        <f t="shared" si="44"/>
        <v>68803.163736163522</v>
      </c>
      <c r="P176" s="173">
        <f t="shared" si="37"/>
        <v>80.654008146259002</v>
      </c>
      <c r="Q176" s="196">
        <f t="shared" si="51"/>
        <v>0.94557895545637882</v>
      </c>
      <c r="R176" s="173">
        <f t="shared" si="45"/>
        <v>76.264732776309856</v>
      </c>
      <c r="S176" s="196">
        <f t="shared" si="46"/>
        <v>0.22067833456768984</v>
      </c>
    </row>
    <row r="177" spans="1:19">
      <c r="A177" s="197">
        <f t="shared" si="47"/>
        <v>13.416666666666693</v>
      </c>
      <c r="B177" s="196">
        <f t="shared" si="38"/>
        <v>0.99930960791375179</v>
      </c>
      <c r="C177" s="196">
        <f t="shared" si="39"/>
        <v>5.3075684564847361</v>
      </c>
      <c r="D177" s="196">
        <f t="shared" si="40"/>
        <v>0.62836203040323135</v>
      </c>
      <c r="E177" s="196">
        <f t="shared" si="41"/>
        <v>0.69163680057374199</v>
      </c>
      <c r="F177" s="96"/>
      <c r="G177" s="173">
        <f t="shared" si="42"/>
        <v>69163.680057374193</v>
      </c>
      <c r="H177" s="167"/>
      <c r="I177" s="197">
        <f t="shared" si="48"/>
        <v>13.416666666666693</v>
      </c>
      <c r="J177" s="173">
        <f t="shared" si="49"/>
        <v>68849.804647709228</v>
      </c>
      <c r="K177" s="173">
        <v>0</v>
      </c>
      <c r="L177" s="173">
        <v>0</v>
      </c>
      <c r="M177" s="173">
        <f t="shared" si="43"/>
        <v>416.19149393370583</v>
      </c>
      <c r="N177" s="173">
        <f t="shared" si="50"/>
        <v>68.594329675723486</v>
      </c>
      <c r="O177" s="173">
        <f t="shared" si="44"/>
        <v>69116.380440440247</v>
      </c>
      <c r="P177" s="173">
        <f t="shared" si="37"/>
        <v>81.021371526963776</v>
      </c>
      <c r="Q177" s="196">
        <f t="shared" si="51"/>
        <v>0.94493839206412822</v>
      </c>
      <c r="R177" s="173">
        <f t="shared" si="45"/>
        <v>76.560204533519496</v>
      </c>
      <c r="S177" s="196">
        <f t="shared" si="46"/>
        <v>0.21860404604015279</v>
      </c>
    </row>
    <row r="178" spans="1:19">
      <c r="A178" s="197">
        <f t="shared" si="47"/>
        <v>13.500000000000027</v>
      </c>
      <c r="B178" s="196">
        <f t="shared" si="38"/>
        <v>0.99930303153289746</v>
      </c>
      <c r="C178" s="196">
        <f t="shared" si="39"/>
        <v>5.253291182437696</v>
      </c>
      <c r="D178" s="196">
        <f t="shared" si="40"/>
        <v>0.63185684332383329</v>
      </c>
      <c r="E178" s="196">
        <f t="shared" si="41"/>
        <v>0.69479098624607771</v>
      </c>
      <c r="F178" s="96"/>
      <c r="G178" s="173">
        <f t="shared" si="42"/>
        <v>69479.098624607766</v>
      </c>
      <c r="H178" s="167"/>
      <c r="I178" s="197">
        <f t="shared" si="48"/>
        <v>13.500000000000027</v>
      </c>
      <c r="J178" s="173">
        <f t="shared" si="49"/>
        <v>69163.680057374193</v>
      </c>
      <c r="K178" s="173">
        <v>0</v>
      </c>
      <c r="L178" s="173">
        <v>0</v>
      </c>
      <c r="M178" s="173">
        <f t="shared" si="43"/>
        <v>418.08884536884693</v>
      </c>
      <c r="N178" s="173">
        <f t="shared" si="50"/>
        <v>69.247562441561811</v>
      </c>
      <c r="O178" s="173">
        <f t="shared" si="44"/>
        <v>69431.130804757675</v>
      </c>
      <c r="P178" s="173">
        <f t="shared" si="37"/>
        <v>81.390535543803708</v>
      </c>
      <c r="Q178" s="196">
        <f t="shared" si="51"/>
        <v>0.94429216815103201</v>
      </c>
      <c r="R178" s="173">
        <f t="shared" si="45"/>
        <v>76.856445275632041</v>
      </c>
      <c r="S178" s="196">
        <f t="shared" si="46"/>
        <v>0.21654925499932598</v>
      </c>
    </row>
    <row r="179" spans="1:19">
      <c r="A179" s="197">
        <f t="shared" si="47"/>
        <v>13.583333333333361</v>
      </c>
      <c r="B179" s="196">
        <f t="shared" si="38"/>
        <v>0.99929639082144184</v>
      </c>
      <c r="C179" s="196">
        <f t="shared" si="39"/>
        <v>5.1987462425550994</v>
      </c>
      <c r="D179" s="196">
        <f t="shared" si="40"/>
        <v>0.63537527499021484</v>
      </c>
      <c r="E179" s="196">
        <f t="shared" si="41"/>
        <v>0.69796071112471403</v>
      </c>
      <c r="F179" s="96"/>
      <c r="G179" s="173">
        <f t="shared" si="42"/>
        <v>69796.0711124714</v>
      </c>
      <c r="H179" s="167"/>
      <c r="I179" s="197">
        <f t="shared" si="48"/>
        <v>13.583333333333361</v>
      </c>
      <c r="J179" s="173">
        <f t="shared" si="49"/>
        <v>69479.098624607766</v>
      </c>
      <c r="K179" s="173">
        <v>0</v>
      </c>
      <c r="L179" s="173">
        <v>0</v>
      </c>
      <c r="M179" s="173">
        <f t="shared" si="43"/>
        <v>419.99552506653197</v>
      </c>
      <c r="N179" s="173">
        <f t="shared" si="50"/>
        <v>69.907185216678414</v>
      </c>
      <c r="O179" s="173">
        <f t="shared" si="44"/>
        <v>69747.425451778356</v>
      </c>
      <c r="P179" s="173">
        <f t="shared" si="37"/>
        <v>81.761512679266161</v>
      </c>
      <c r="Q179" s="196">
        <f t="shared" si="51"/>
        <v>0.94364023631103433</v>
      </c>
      <c r="R179" s="173">
        <f t="shared" si="45"/>
        <v>77.153453145810346</v>
      </c>
      <c r="S179" s="196">
        <f t="shared" si="46"/>
        <v>0.21451377817659317</v>
      </c>
    </row>
    <row r="180" spans="1:19">
      <c r="A180" s="197">
        <f t="shared" si="47"/>
        <v>13.666666666666694</v>
      </c>
      <c r="B180" s="196">
        <f t="shared" si="38"/>
        <v>0.99928968515053263</v>
      </c>
      <c r="C180" s="196">
        <f t="shared" si="39"/>
        <v>5.1439317578186898</v>
      </c>
      <c r="D180" s="196">
        <f t="shared" si="40"/>
        <v>0.63891754451786309</v>
      </c>
      <c r="E180" s="196">
        <f t="shared" si="41"/>
        <v>0.70114608416557844</v>
      </c>
      <c r="F180" s="96"/>
      <c r="G180" s="173">
        <f t="shared" si="42"/>
        <v>70114.60841655785</v>
      </c>
      <c r="H180" s="167"/>
      <c r="I180" s="197">
        <f t="shared" si="48"/>
        <v>13.666666666666694</v>
      </c>
      <c r="J180" s="173">
        <f t="shared" si="49"/>
        <v>69796.0711124714</v>
      </c>
      <c r="K180" s="173">
        <v>0</v>
      </c>
      <c r="L180" s="173">
        <v>0</v>
      </c>
      <c r="M180" s="173">
        <f t="shared" si="43"/>
        <v>421.91159808859595</v>
      </c>
      <c r="N180" s="173">
        <f t="shared" si="50"/>
        <v>70.573260466292481</v>
      </c>
      <c r="O180" s="173">
        <f t="shared" si="44"/>
        <v>70065.275134524956</v>
      </c>
      <c r="P180" s="173">
        <f t="shared" si="37"/>
        <v>82.134315568750026</v>
      </c>
      <c r="Q180" s="196">
        <f t="shared" si="51"/>
        <v>0.94298254882203636</v>
      </c>
      <c r="R180" s="173">
        <f t="shared" si="45"/>
        <v>77.451226240773366</v>
      </c>
      <c r="S180" s="196">
        <f t="shared" si="46"/>
        <v>0.21249743402599033</v>
      </c>
    </row>
    <row r="181" spans="1:19">
      <c r="A181" s="197">
        <f t="shared" si="47"/>
        <v>13.750000000000028</v>
      </c>
      <c r="B181" s="196">
        <f t="shared" si="38"/>
        <v>0.99928291388517909</v>
      </c>
      <c r="C181" s="196">
        <f t="shared" si="39"/>
        <v>5.0888458259642668</v>
      </c>
      <c r="D181" s="196">
        <f t="shared" si="40"/>
        <v>0.64248387380899852</v>
      </c>
      <c r="E181" s="196">
        <f t="shared" si="41"/>
        <v>0.70434721567234293</v>
      </c>
      <c r="F181" s="96"/>
      <c r="G181" s="173">
        <f t="shared" si="42"/>
        <v>70434.721567234286</v>
      </c>
      <c r="H181" s="167"/>
      <c r="I181" s="197">
        <f t="shared" si="48"/>
        <v>13.750000000000028</v>
      </c>
      <c r="J181" s="173">
        <f t="shared" si="49"/>
        <v>70114.60841655785</v>
      </c>
      <c r="K181" s="173">
        <v>0</v>
      </c>
      <c r="L181" s="173">
        <v>0</v>
      </c>
      <c r="M181" s="173">
        <f t="shared" si="43"/>
        <v>423.8371302980147</v>
      </c>
      <c r="N181" s="173">
        <f t="shared" si="50"/>
        <v>71.245851265416064</v>
      </c>
      <c r="O181" s="173">
        <f t="shared" si="44"/>
        <v>70384.690738586985</v>
      </c>
      <c r="P181" s="173">
        <f t="shared" si="37"/>
        <v>82.508957003461546</v>
      </c>
      <c r="Q181" s="196">
        <f t="shared" si="51"/>
        <v>0.94231905764546497</v>
      </c>
      <c r="R181" s="173">
        <f t="shared" si="45"/>
        <v>77.74976261081207</v>
      </c>
      <c r="S181" s="196">
        <f t="shared" si="46"/>
        <v>0.21050004270801312</v>
      </c>
    </row>
    <row r="182" spans="1:19">
      <c r="A182" s="197">
        <f t="shared" si="47"/>
        <v>13.833333333333362</v>
      </c>
      <c r="B182" s="196">
        <f t="shared" si="38"/>
        <v>0.9992760763841918</v>
      </c>
      <c r="C182" s="196">
        <f t="shared" si="39"/>
        <v>5.0334865210876814</v>
      </c>
      <c r="D182" s="196">
        <f t="shared" si="40"/>
        <v>0.64607448759637676</v>
      </c>
      <c r="E182" s="196">
        <f t="shared" si="41"/>
        <v>0.70756421731927543</v>
      </c>
      <c r="F182" s="96"/>
      <c r="G182" s="173">
        <f t="shared" si="42"/>
        <v>70756.421731927549</v>
      </c>
      <c r="H182" s="167"/>
      <c r="I182" s="197">
        <f t="shared" si="48"/>
        <v>13.833333333333362</v>
      </c>
      <c r="J182" s="173">
        <f t="shared" si="49"/>
        <v>70434.721567234286</v>
      </c>
      <c r="K182" s="173">
        <v>0</v>
      </c>
      <c r="L182" s="173">
        <v>0</v>
      </c>
      <c r="M182" s="173">
        <f t="shared" si="43"/>
        <v>425.77218837246465</v>
      </c>
      <c r="N182" s="173">
        <f t="shared" si="50"/>
        <v>71.925021304756015</v>
      </c>
      <c r="O182" s="173">
        <f t="shared" si="44"/>
        <v>70705.683284369166</v>
      </c>
      <c r="P182" s="173">
        <f t="shared" si="37"/>
        <v>82.885449932829943</v>
      </c>
      <c r="Q182" s="196">
        <f t="shared" si="51"/>
        <v>0.9416497144258833</v>
      </c>
      <c r="R182" s="173">
        <f t="shared" si="45"/>
        <v>78.049060259310167</v>
      </c>
      <c r="S182" s="196">
        <f t="shared" si="46"/>
        <v>0.20852142607357696</v>
      </c>
    </row>
    <row r="183" spans="1:19">
      <c r="A183" s="197">
        <f t="shared" si="47"/>
        <v>13.916666666666696</v>
      </c>
      <c r="B183" s="196">
        <f t="shared" si="38"/>
        <v>0.99926917200012266</v>
      </c>
      <c r="C183" s="196">
        <f t="shared" si="39"/>
        <v>4.977851893243451</v>
      </c>
      <c r="D183" s="196">
        <f t="shared" si="40"/>
        <v>0.64968961348787935</v>
      </c>
      <c r="E183" s="196">
        <f t="shared" si="41"/>
        <v>0.71079720217452036</v>
      </c>
      <c r="F183" s="96"/>
      <c r="G183" s="173">
        <f t="shared" si="42"/>
        <v>71079.720217452035</v>
      </c>
      <c r="H183" s="167"/>
      <c r="I183" s="197">
        <f t="shared" si="48"/>
        <v>13.916666666666696</v>
      </c>
      <c r="J183" s="173">
        <f t="shared" si="49"/>
        <v>70756.421731927549</v>
      </c>
      <c r="K183" s="173">
        <v>0</v>
      </c>
      <c r="L183" s="173">
        <v>0</v>
      </c>
      <c r="M183" s="173">
        <f t="shared" si="43"/>
        <v>427.71683981813675</v>
      </c>
      <c r="N183" s="173">
        <f t="shared" si="50"/>
        <v>72.61083489676075</v>
      </c>
      <c r="O183" s="173">
        <f t="shared" si="44"/>
        <v>71028.263929381588</v>
      </c>
      <c r="P183" s="173">
        <f t="shared" si="37"/>
        <v>83.263807467345032</v>
      </c>
      <c r="Q183" s="196">
        <f t="shared" si="51"/>
        <v>0.94097447049064342</v>
      </c>
      <c r="R183" s="173">
        <f t="shared" si="45"/>
        <v>78.349117142619875</v>
      </c>
      <c r="S183" s="196">
        <f t="shared" si="46"/>
        <v>0.20656140764812789</v>
      </c>
    </row>
    <row r="184" spans="1:19">
      <c r="A184" s="197">
        <f t="shared" si="47"/>
        <v>14.00000000000003</v>
      </c>
      <c r="B184" s="196">
        <f t="shared" si="38"/>
        <v>0.99926220007920386</v>
      </c>
      <c r="C184" s="196">
        <f t="shared" si="39"/>
        <v>4.9219399680358471</v>
      </c>
      <c r="D184" s="196">
        <f t="shared" si="40"/>
        <v>0.65332948201190943</v>
      </c>
      <c r="E184" s="196">
        <f t="shared" si="41"/>
        <v>0.71404628472381504</v>
      </c>
      <c r="F184" s="96"/>
      <c r="G184" s="173">
        <f t="shared" si="42"/>
        <v>71404.628472381504</v>
      </c>
      <c r="H184" s="167"/>
      <c r="I184" s="197">
        <f t="shared" si="48"/>
        <v>14.00000000000003</v>
      </c>
      <c r="J184" s="173">
        <f t="shared" si="49"/>
        <v>71079.720217452035</v>
      </c>
      <c r="K184" s="173">
        <v>0</v>
      </c>
      <c r="L184" s="173">
        <v>0</v>
      </c>
      <c r="M184" s="173">
        <f t="shared" si="43"/>
        <v>429.67115298380838</v>
      </c>
      <c r="N184" s="173">
        <f t="shared" si="50"/>
        <v>73.303356981633527</v>
      </c>
      <c r="O184" s="173">
        <f t="shared" si="44"/>
        <v>71352.443970573047</v>
      </c>
      <c r="P184" s="173">
        <f t="shared" si="37"/>
        <v>83.644042881162022</v>
      </c>
      <c r="Q184" s="196">
        <f t="shared" si="51"/>
        <v>0.94029327684958264</v>
      </c>
      <c r="R184" s="173">
        <f t="shared" si="45"/>
        <v>78.649931169674844</v>
      </c>
      <c r="S184" s="196">
        <f t="shared" si="46"/>
        <v>0.20461981261590242</v>
      </c>
    </row>
    <row r="185" spans="1:19">
      <c r="A185" s="197">
        <f t="shared" si="47"/>
        <v>14.083333333333364</v>
      </c>
      <c r="B185" s="196">
        <f t="shared" si="38"/>
        <v>0.99925515996128644</v>
      </c>
      <c r="C185" s="196">
        <f t="shared" si="39"/>
        <v>4.8657487462022946</v>
      </c>
      <c r="D185" s="196">
        <f t="shared" si="40"/>
        <v>0.65699432666360769</v>
      </c>
      <c r="E185" s="196">
        <f t="shared" si="41"/>
        <v>0.71731158089465163</v>
      </c>
      <c r="F185" s="96"/>
      <c r="G185" s="173">
        <f t="shared" si="42"/>
        <v>71731.158089465171</v>
      </c>
      <c r="H185" s="167"/>
      <c r="I185" s="197">
        <f t="shared" si="48"/>
        <v>14.083333333333364</v>
      </c>
      <c r="J185" s="173">
        <f t="shared" si="49"/>
        <v>71404.628472381504</v>
      </c>
      <c r="K185" s="173">
        <v>0</v>
      </c>
      <c r="L185" s="173">
        <v>0</v>
      </c>
      <c r="M185" s="173">
        <f t="shared" si="43"/>
        <v>431.635197075181</v>
      </c>
      <c r="N185" s="173">
        <f t="shared" si="50"/>
        <v>74.002653133457031</v>
      </c>
      <c r="O185" s="173">
        <f t="shared" si="44"/>
        <v>71678.234846708147</v>
      </c>
      <c r="P185" s="173">
        <f t="shared" si="37"/>
        <v>84.026169615084655</v>
      </c>
      <c r="Q185" s="196">
        <f t="shared" si="51"/>
        <v>0.93960608419476455</v>
      </c>
      <c r="R185" s="173">
        <f t="shared" si="45"/>
        <v>78.951500201914797</v>
      </c>
      <c r="S185" s="196">
        <f t="shared" si="46"/>
        <v>0.2026964678043357</v>
      </c>
    </row>
    <row r="186" spans="1:19">
      <c r="A186" s="197">
        <f t="shared" si="47"/>
        <v>14.166666666666698</v>
      </c>
      <c r="B186" s="196">
        <f t="shared" si="38"/>
        <v>0.99924805097977787</v>
      </c>
      <c r="C186" s="196">
        <f t="shared" si="39"/>
        <v>4.8092762031889444</v>
      </c>
      <c r="D186" s="196">
        <f t="shared" si="40"/>
        <v>0.66068438395190643</v>
      </c>
      <c r="E186" s="196">
        <f t="shared" si="41"/>
        <v>0.72059320808089466</v>
      </c>
      <c r="F186" s="96"/>
      <c r="G186" s="173">
        <f t="shared" si="42"/>
        <v>72059.320808089469</v>
      </c>
      <c r="H186" s="167"/>
      <c r="I186" s="197">
        <f t="shared" si="48"/>
        <v>14.166666666666698</v>
      </c>
      <c r="J186" s="173">
        <f t="shared" si="49"/>
        <v>71731.158089465171</v>
      </c>
      <c r="K186" s="173">
        <v>0</v>
      </c>
      <c r="L186" s="173">
        <v>0</v>
      </c>
      <c r="M186" s="173">
        <f t="shared" si="43"/>
        <v>433.60904216948472</v>
      </c>
      <c r="N186" s="173">
        <f t="shared" si="50"/>
        <v>74.708789566351555</v>
      </c>
      <c r="O186" s="173">
        <f t="shared" si="44"/>
        <v>72005.648140789097</v>
      </c>
      <c r="P186" s="173">
        <f t="shared" si="37"/>
        <v>84.4102012791991</v>
      </c>
      <c r="Q186" s="196">
        <f t="shared" si="51"/>
        <v>0.93891284290026611</v>
      </c>
      <c r="R186" s="173">
        <f t="shared" si="45"/>
        <v>79.253822052836512</v>
      </c>
      <c r="S186" s="196">
        <f t="shared" si="46"/>
        <v>0.20079120166861605</v>
      </c>
    </row>
    <row r="187" spans="1:19">
      <c r="A187" s="197">
        <f t="shared" si="47"/>
        <v>14.250000000000032</v>
      </c>
      <c r="B187" s="196">
        <f t="shared" si="38"/>
        <v>0.99924087246158011</v>
      </c>
      <c r="C187" s="196">
        <f t="shared" si="39"/>
        <v>4.7525202887182436</v>
      </c>
      <c r="D187" s="196">
        <f t="shared" si="40"/>
        <v>0.66439989344743833</v>
      </c>
      <c r="E187" s="196">
        <f t="shared" si="41"/>
        <v>0.72389128516786094</v>
      </c>
      <c r="F187" s="96"/>
      <c r="G187" s="173">
        <f t="shared" si="42"/>
        <v>72389.128516786091</v>
      </c>
      <c r="H187" s="167"/>
      <c r="I187" s="197">
        <f t="shared" si="48"/>
        <v>14.250000000000032</v>
      </c>
      <c r="J187" s="173">
        <f t="shared" si="49"/>
        <v>72059.320808089469</v>
      </c>
      <c r="K187" s="173">
        <v>0</v>
      </c>
      <c r="L187" s="173">
        <v>0</v>
      </c>
      <c r="M187" s="173">
        <f t="shared" si="43"/>
        <v>435.59275923036006</v>
      </c>
      <c r="N187" s="173">
        <f t="shared" si="50"/>
        <v>75.421833140744354</v>
      </c>
      <c r="O187" s="173">
        <f t="shared" si="44"/>
        <v>72334.695582523156</v>
      </c>
      <c r="P187" s="173">
        <f t="shared" si="37"/>
        <v>84.796151655929862</v>
      </c>
      <c r="Q187" s="196">
        <f t="shared" si="51"/>
        <v>0.93821350302201167</v>
      </c>
      <c r="R187" s="173">
        <f t="shared" si="45"/>
        <v>79.556894487895718</v>
      </c>
      <c r="S187" s="196">
        <f t="shared" si="46"/>
        <v>0.19890384427638494</v>
      </c>
    </row>
    <row r="188" spans="1:19">
      <c r="A188" s="197">
        <f t="shared" si="47"/>
        <v>14.333333333333366</v>
      </c>
      <c r="B188" s="196">
        <f t="shared" si="38"/>
        <v>0.99923362372702518</v>
      </c>
      <c r="C188" s="196">
        <f t="shared" si="39"/>
        <v>4.6954789263483487</v>
      </c>
      <c r="D188" s="196">
        <f t="shared" si="40"/>
        <v>0.66814109783131614</v>
      </c>
      <c r="E188" s="196">
        <f t="shared" si="41"/>
        <v>0.72720593255787414</v>
      </c>
      <c r="F188" s="96"/>
      <c r="G188" s="173">
        <f t="shared" si="42"/>
        <v>72720.593255787418</v>
      </c>
      <c r="H188" s="167"/>
      <c r="I188" s="197">
        <f t="shared" si="48"/>
        <v>14.333333333333366</v>
      </c>
      <c r="J188" s="173">
        <f t="shared" si="49"/>
        <v>72389.128516786091</v>
      </c>
      <c r="K188" s="173">
        <v>0</v>
      </c>
      <c r="L188" s="173">
        <v>0</v>
      </c>
      <c r="M188" s="173">
        <f t="shared" si="43"/>
        <v>437.58642012301829</v>
      </c>
      <c r="N188" s="173">
        <f t="shared" si="50"/>
        <v>76.141851369572208</v>
      </c>
      <c r="O188" s="173">
        <f t="shared" si="44"/>
        <v>72665.389050836719</v>
      </c>
      <c r="P188" s="173">
        <f t="shared" si="37"/>
        <v>85.18403470281919</v>
      </c>
      <c r="Q188" s="196">
        <f t="shared" si="51"/>
        <v>0.93750801429765507</v>
      </c>
      <c r="R188" s="173">
        <f t="shared" si="45"/>
        <v>79.860715224102563</v>
      </c>
      <c r="S188" s="196">
        <f t="shared" si="46"/>
        <v>0.19703422729258008</v>
      </c>
    </row>
    <row r="189" spans="1:19">
      <c r="A189" s="197">
        <f t="shared" si="47"/>
        <v>14.4166666666667</v>
      </c>
      <c r="B189" s="196">
        <f t="shared" si="38"/>
        <v>0.99922630408981228</v>
      </c>
      <c r="C189" s="196">
        <f t="shared" si="39"/>
        <v>4.6381500130242204</v>
      </c>
      <c r="D189" s="196">
        <f t="shared" si="40"/>
        <v>0.671908242944803</v>
      </c>
      <c r="E189" s="196">
        <f t="shared" si="41"/>
        <v>0.73053727219630127</v>
      </c>
      <c r="F189" s="96"/>
      <c r="G189" s="173">
        <f t="shared" si="42"/>
        <v>73053.72721963012</v>
      </c>
      <c r="H189" s="167"/>
      <c r="I189" s="197">
        <f t="shared" si="48"/>
        <v>14.4166666666667</v>
      </c>
      <c r="J189" s="173">
        <f t="shared" si="49"/>
        <v>72720.593255787418</v>
      </c>
      <c r="K189" s="173">
        <v>0</v>
      </c>
      <c r="L189" s="173">
        <v>0</v>
      </c>
      <c r="M189" s="173">
        <f t="shared" si="43"/>
        <v>439.5900976296893</v>
      </c>
      <c r="N189" s="173">
        <f t="shared" si="50"/>
        <v>76.868912424751386</v>
      </c>
      <c r="O189" s="173">
        <f t="shared" si="44"/>
        <v>72997.740576436627</v>
      </c>
      <c r="P189" s="173">
        <f t="shared" si="37"/>
        <v>85.573864555728505</v>
      </c>
      <c r="Q189" s="196">
        <f t="shared" si="51"/>
        <v>0.93679632614651231</v>
      </c>
      <c r="R189" s="173">
        <f t="shared" si="45"/>
        <v>80.165281929965715</v>
      </c>
      <c r="S189" s="196">
        <f t="shared" si="46"/>
        <v>0.19518218396442194</v>
      </c>
    </row>
    <row r="190" spans="1:19">
      <c r="A190" s="197">
        <f t="shared" si="47"/>
        <v>14.500000000000034</v>
      </c>
      <c r="B190" s="196">
        <f t="shared" si="38"/>
        <v>0.99921891285694264</v>
      </c>
      <c r="C190" s="196">
        <f t="shared" si="39"/>
        <v>4.5805314186202235</v>
      </c>
      <c r="D190" s="196">
        <f t="shared" si="40"/>
        <v>0.67570157783988971</v>
      </c>
      <c r="E190" s="196">
        <f t="shared" si="41"/>
        <v>0.73388542759808173</v>
      </c>
      <c r="F190" s="96"/>
      <c r="G190" s="173">
        <f t="shared" si="42"/>
        <v>73388.542759808173</v>
      </c>
      <c r="H190" s="167"/>
      <c r="I190" s="197">
        <f t="shared" si="48"/>
        <v>14.500000000000034</v>
      </c>
      <c r="J190" s="173">
        <f t="shared" si="49"/>
        <v>73053.72721963012</v>
      </c>
      <c r="K190" s="173">
        <v>0</v>
      </c>
      <c r="L190" s="173">
        <v>0</v>
      </c>
      <c r="M190" s="173">
        <f t="shared" si="43"/>
        <v>441.60386546535977</v>
      </c>
      <c r="N190" s="173">
        <f t="shared" si="50"/>
        <v>77.603085143480342</v>
      </c>
      <c r="O190" s="173">
        <f t="shared" si="44"/>
        <v>73331.762344420276</v>
      </c>
      <c r="P190" s="173">
        <f t="shared" si="37"/>
        <v>85.965655531719676</v>
      </c>
      <c r="Q190" s="196">
        <f t="shared" si="51"/>
        <v>0.93607838766954365</v>
      </c>
      <c r="R190" s="173">
        <f t="shared" si="45"/>
        <v>80.470592225087543</v>
      </c>
      <c r="S190" s="196">
        <f t="shared" si="46"/>
        <v>0.19334754910654087</v>
      </c>
    </row>
    <row r="191" spans="1:19">
      <c r="A191" s="197">
        <f t="shared" si="47"/>
        <v>14.583333333333368</v>
      </c>
      <c r="B191" s="196">
        <f t="shared" si="38"/>
        <v>0.99921144932865469</v>
      </c>
      <c r="C191" s="196">
        <f t="shared" si="39"/>
        <v>4.5226209854740631</v>
      </c>
      <c r="D191" s="196">
        <f t="shared" si="40"/>
        <v>0.67952135483079867</v>
      </c>
      <c r="E191" s="196">
        <f t="shared" si="41"/>
        <v>0.7372505238747592</v>
      </c>
      <c r="F191" s="96"/>
      <c r="G191" s="173">
        <f t="shared" si="42"/>
        <v>73725.052387475924</v>
      </c>
      <c r="H191" s="167"/>
      <c r="I191" s="197">
        <f t="shared" si="48"/>
        <v>14.583333333333368</v>
      </c>
      <c r="J191" s="173">
        <f t="shared" si="49"/>
        <v>73388.542759808173</v>
      </c>
      <c r="K191" s="173">
        <v>0</v>
      </c>
      <c r="L191" s="173">
        <v>0</v>
      </c>
      <c r="M191" s="173">
        <f t="shared" si="43"/>
        <v>443.6277982938106</v>
      </c>
      <c r="N191" s="173">
        <f t="shared" si="50"/>
        <v>78.344439034776542</v>
      </c>
      <c r="O191" s="173">
        <f t="shared" si="44"/>
        <v>73667.466696934833</v>
      </c>
      <c r="P191" s="173">
        <f t="shared" si="37"/>
        <v>86.359422132372856</v>
      </c>
      <c r="Q191" s="196">
        <f t="shared" si="51"/>
        <v>0.93535414764938862</v>
      </c>
      <c r="R191" s="173">
        <f t="shared" si="45"/>
        <v>80.776643680119363</v>
      </c>
      <c r="S191" s="196">
        <f t="shared" si="46"/>
        <v>0.19153015908624374</v>
      </c>
    </row>
    <row r="192" spans="1:19">
      <c r="A192" s="197">
        <f t="shared" si="47"/>
        <v>14.666666666666702</v>
      </c>
      <c r="B192" s="196">
        <f t="shared" si="38"/>
        <v>0.99920391279835796</v>
      </c>
      <c r="C192" s="196">
        <f t="shared" si="39"/>
        <v>4.4644165279118777</v>
      </c>
      <c r="D192" s="196">
        <f t="shared" si="40"/>
        <v>0.6833678295464326</v>
      </c>
      <c r="E192" s="196">
        <f t="shared" si="41"/>
        <v>0.74063268776202718</v>
      </c>
      <c r="F192" s="96"/>
      <c r="G192" s="173">
        <f t="shared" si="42"/>
        <v>74063.26877620272</v>
      </c>
      <c r="H192" s="167"/>
      <c r="I192" s="197">
        <f t="shared" si="48"/>
        <v>14.666666666666702</v>
      </c>
      <c r="J192" s="173">
        <f t="shared" si="49"/>
        <v>73725.052387475924</v>
      </c>
      <c r="K192" s="173">
        <v>0</v>
      </c>
      <c r="L192" s="173">
        <v>0</v>
      </c>
      <c r="M192" s="173">
        <f t="shared" si="43"/>
        <v>445.66197174395671</v>
      </c>
      <c r="N192" s="173">
        <f t="shared" si="50"/>
        <v>79.093044285979659</v>
      </c>
      <c r="O192" s="173">
        <f t="shared" si="44"/>
        <v>74004.86613588722</v>
      </c>
      <c r="P192" s="173">
        <f t="shared" si="37"/>
        <v>86.755179046682315</v>
      </c>
      <c r="Q192" s="196">
        <f t="shared" si="51"/>
        <v>0.93462355455045432</v>
      </c>
      <c r="R192" s="173">
        <f t="shared" si="45"/>
        <v>81.083433816271324</v>
      </c>
      <c r="S192" s="196">
        <f t="shared" si="46"/>
        <v>0.18972985180891977</v>
      </c>
    </row>
    <row r="193" spans="1:19">
      <c r="A193" s="197">
        <f t="shared" si="47"/>
        <v>14.750000000000036</v>
      </c>
      <c r="B193" s="196">
        <f t="shared" si="38"/>
        <v>0.99919630255256675</v>
      </c>
      <c r="C193" s="196">
        <f t="shared" si="39"/>
        <v>4.4059158317643101</v>
      </c>
      <c r="D193" s="196">
        <f t="shared" si="40"/>
        <v>0.68724126098378813</v>
      </c>
      <c r="E193" s="196">
        <f t="shared" si="41"/>
        <v>0.74403204764779585</v>
      </c>
      <c r="F193" s="96"/>
      <c r="G193" s="173">
        <f t="shared" si="42"/>
        <v>74403.204764779584</v>
      </c>
      <c r="H193" s="167"/>
      <c r="I193" s="197">
        <f t="shared" si="48"/>
        <v>14.750000000000036</v>
      </c>
      <c r="J193" s="173">
        <f t="shared" si="49"/>
        <v>74063.26877620272</v>
      </c>
      <c r="K193" s="173">
        <v>0</v>
      </c>
      <c r="L193" s="173">
        <v>0</v>
      </c>
      <c r="M193" s="173">
        <f t="shared" si="43"/>
        <v>447.70646242649855</v>
      </c>
      <c r="N193" s="173">
        <f t="shared" si="50"/>
        <v>79.848971769377258</v>
      </c>
      <c r="O193" s="173">
        <f t="shared" si="44"/>
        <v>74343.973325705185</v>
      </c>
      <c r="P193" s="173">
        <f t="shared" si="37"/>
        <v>87.152941154665314</v>
      </c>
      <c r="Q193" s="196">
        <f t="shared" si="51"/>
        <v>0.93388655651905839</v>
      </c>
      <c r="R193" s="173">
        <f t="shared" si="45"/>
        <v>81.390960105438523</v>
      </c>
      <c r="S193" s="196">
        <f t="shared" si="46"/>
        <v>0.18794646670358295</v>
      </c>
    </row>
    <row r="194" spans="1:19">
      <c r="A194" s="197">
        <f t="shared" si="47"/>
        <v>14.833333333333369</v>
      </c>
      <c r="B194" s="196">
        <f t="shared" si="38"/>
        <v>0.99918861787083324</v>
      </c>
      <c r="C194" s="196">
        <f t="shared" si="39"/>
        <v>4.3471166538733694</v>
      </c>
      <c r="D194" s="196">
        <f t="shared" si="40"/>
        <v>0.69114191156235361</v>
      </c>
      <c r="E194" s="196">
        <f t="shared" si="41"/>
        <v>0.74744873360079622</v>
      </c>
      <c r="F194" s="96"/>
      <c r="G194" s="173">
        <f t="shared" si="42"/>
        <v>74744.873360079626</v>
      </c>
      <c r="H194" s="167"/>
      <c r="I194" s="197">
        <f t="shared" si="48"/>
        <v>14.833333333333369</v>
      </c>
      <c r="J194" s="173">
        <f t="shared" si="49"/>
        <v>74403.204764779584</v>
      </c>
      <c r="K194" s="173">
        <v>0</v>
      </c>
      <c r="L194" s="173">
        <v>0</v>
      </c>
      <c r="M194" s="173">
        <f t="shared" si="43"/>
        <v>449.76134795088825</v>
      </c>
      <c r="N194" s="173">
        <f t="shared" si="50"/>
        <v>80.612293048864103</v>
      </c>
      <c r="O194" s="173">
        <f t="shared" si="44"/>
        <v>74684.801096151408</v>
      </c>
      <c r="P194" s="173">
        <f t="shared" si="37"/>
        <v>87.552723530199728</v>
      </c>
      <c r="Q194" s="196">
        <f t="shared" si="51"/>
        <v>0.93314310138362799</v>
      </c>
      <c r="R194" s="173">
        <f t="shared" si="45"/>
        <v>81.699219969553923</v>
      </c>
      <c r="S194" s="196">
        <f t="shared" si="46"/>
        <v>0.18617984470855073</v>
      </c>
    </row>
    <row r="195" spans="1:19">
      <c r="A195" s="197">
        <f t="shared" si="47"/>
        <v>14.916666666666703</v>
      </c>
      <c r="B195" s="196">
        <f t="shared" si="38"/>
        <v>0.99918085802567969</v>
      </c>
      <c r="C195" s="196">
        <f t="shared" si="39"/>
        <v>4.288016721589897</v>
      </c>
      <c r="D195" s="196">
        <f t="shared" si="40"/>
        <v>0.69507004717951171</v>
      </c>
      <c r="E195" s="196">
        <f t="shared" si="41"/>
        <v>0.7508828773997257</v>
      </c>
      <c r="F195" s="96"/>
      <c r="G195" s="173">
        <f t="shared" si="42"/>
        <v>75088.287739972569</v>
      </c>
      <c r="H195" s="167"/>
      <c r="I195" s="197">
        <f t="shared" si="48"/>
        <v>14.916666666666703</v>
      </c>
      <c r="J195" s="173">
        <f t="shared" si="49"/>
        <v>74744.873360079626</v>
      </c>
      <c r="K195" s="173">
        <v>0</v>
      </c>
      <c r="L195" s="173">
        <v>0</v>
      </c>
      <c r="M195" s="173">
        <f t="shared" si="43"/>
        <v>451.82670694262049</v>
      </c>
      <c r="N195" s="173">
        <f t="shared" si="50"/>
        <v>81.383080386645801</v>
      </c>
      <c r="O195" s="173">
        <f t="shared" si="44"/>
        <v>75027.362445190622</v>
      </c>
      <c r="P195" s="173">
        <f t="shared" si="37"/>
        <v>87.954541444982169</v>
      </c>
      <c r="Q195" s="196">
        <f t="shared" si="51"/>
        <v>0.93239313665495605</v>
      </c>
      <c r="R195" s="173">
        <f t="shared" si="45"/>
        <v>82.008210780935258</v>
      </c>
      <c r="S195" s="196">
        <f t="shared" si="46"/>
        <v>0.18442982825725687</v>
      </c>
    </row>
    <row r="196" spans="1:19">
      <c r="A196" s="197">
        <f t="shared" si="47"/>
        <v>15.000000000000037</v>
      </c>
      <c r="B196" s="196">
        <f t="shared" si="38"/>
        <v>0.9991730222825298</v>
      </c>
      <c r="C196" s="196">
        <f t="shared" si="39"/>
        <v>4.2286137322614437</v>
      </c>
      <c r="D196" s="196">
        <f t="shared" si="40"/>
        <v>0.69902593726696727</v>
      </c>
      <c r="E196" s="196">
        <f t="shared" si="41"/>
        <v>0.75433461256295398</v>
      </c>
      <c r="F196" s="96"/>
      <c r="G196" s="173">
        <f t="shared" si="42"/>
        <v>75433.461256295399</v>
      </c>
      <c r="H196" s="167"/>
      <c r="I196" s="197">
        <f t="shared" si="48"/>
        <v>15.000000000000037</v>
      </c>
      <c r="J196" s="173">
        <f t="shared" si="49"/>
        <v>75088.287739972569</v>
      </c>
      <c r="K196" s="173">
        <v>0</v>
      </c>
      <c r="L196" s="173">
        <v>0</v>
      </c>
      <c r="M196" s="173">
        <f t="shared" si="43"/>
        <v>453.90261906085072</v>
      </c>
      <c r="N196" s="173">
        <f t="shared" si="50"/>
        <v>82.161406750042744</v>
      </c>
      <c r="O196" s="173">
        <f t="shared" si="44"/>
        <v>75371.670541912099</v>
      </c>
      <c r="P196" s="173">
        <f t="shared" si="37"/>
        <v>88.358410371278296</v>
      </c>
      <c r="Q196" s="196">
        <f t="shared" si="51"/>
        <v>0.9316366095265165</v>
      </c>
      <c r="R196" s="173">
        <f t="shared" si="45"/>
        <v>82.31792986145031</v>
      </c>
      <c r="S196" s="196">
        <f t="shared" si="46"/>
        <v>0.18269626126419841</v>
      </c>
    </row>
    <row r="197" spans="1:19">
      <c r="A197" s="197">
        <f t="shared" si="47"/>
        <v>15.083333333333371</v>
      </c>
      <c r="B197" s="196">
        <f t="shared" si="38"/>
        <v>0.99916510989963991</v>
      </c>
      <c r="C197" s="196">
        <f t="shared" si="39"/>
        <v>4.1689053527103521</v>
      </c>
      <c r="D197" s="196">
        <f t="shared" si="40"/>
        <v>0.70300985484822198</v>
      </c>
      <c r="E197" s="196">
        <f t="shared" si="41"/>
        <v>0.75780407437879305</v>
      </c>
      <c r="F197" s="96"/>
      <c r="G197" s="173">
        <f t="shared" si="42"/>
        <v>75780.407437879301</v>
      </c>
      <c r="H197" s="167"/>
      <c r="I197" s="197">
        <f t="shared" si="48"/>
        <v>15.083333333333371</v>
      </c>
      <c r="J197" s="173">
        <f t="shared" si="49"/>
        <v>75433.461256295399</v>
      </c>
      <c r="K197" s="173">
        <v>0</v>
      </c>
      <c r="L197" s="173">
        <v>0</v>
      </c>
      <c r="M197" s="173">
        <f t="shared" si="43"/>
        <v>455.98916501635222</v>
      </c>
      <c r="N197" s="173">
        <f t="shared" si="50"/>
        <v>82.947345818371986</v>
      </c>
      <c r="O197" s="173">
        <f t="shared" si="44"/>
        <v>75717.738729507357</v>
      </c>
      <c r="P197" s="173">
        <f t="shared" si="37"/>
        <v>88.764345986011904</v>
      </c>
      <c r="Q197" s="196">
        <f t="shared" si="51"/>
        <v>0.93087346687483985</v>
      </c>
      <c r="R197" s="173">
        <f t="shared" si="45"/>
        <v>82.62837448287668</v>
      </c>
      <c r="S197" s="196">
        <f t="shared" si="46"/>
        <v>0.18097898911101384</v>
      </c>
    </row>
    <row r="198" spans="1:19">
      <c r="A198" s="197">
        <f t="shared" si="47"/>
        <v>15.166666666666705</v>
      </c>
      <c r="B198" s="196">
        <f t="shared" si="38"/>
        <v>0.99915712012802949</v>
      </c>
      <c r="C198" s="196">
        <f t="shared" si="39"/>
        <v>4.108889218701858</v>
      </c>
      <c r="D198" s="196">
        <f t="shared" si="40"/>
        <v>0.70702207659711713</v>
      </c>
      <c r="E198" s="196">
        <f t="shared" si="41"/>
        <v>0.76129139993634887</v>
      </c>
      <c r="F198" s="96"/>
      <c r="G198" s="173">
        <f t="shared" si="42"/>
        <v>76129.13999363489</v>
      </c>
      <c r="H198" s="167"/>
      <c r="I198" s="197">
        <f t="shared" si="48"/>
        <v>15.166666666666705</v>
      </c>
      <c r="J198" s="173">
        <f t="shared" si="49"/>
        <v>75780.407437879301</v>
      </c>
      <c r="K198" s="173">
        <v>0</v>
      </c>
      <c r="L198" s="173">
        <v>0</v>
      </c>
      <c r="M198" s="173">
        <f t="shared" si="43"/>
        <v>458.08642658981415</v>
      </c>
      <c r="N198" s="173">
        <f t="shared" si="50"/>
        <v>83.740971989851431</v>
      </c>
      <c r="O198" s="173">
        <f t="shared" si="44"/>
        <v>76065.580528305276</v>
      </c>
      <c r="P198" s="173">
        <f t="shared" si="37"/>
        <v>89.172364173980895</v>
      </c>
      <c r="Q198" s="196">
        <f t="shared" si="51"/>
        <v>0.93010365525995009</v>
      </c>
      <c r="R198" s="173">
        <f t="shared" si="45"/>
        <v>82.939541866391053</v>
      </c>
      <c r="S198" s="196">
        <f t="shared" si="46"/>
        <v>0.17927785863269277</v>
      </c>
    </row>
    <row r="199" spans="1:19">
      <c r="A199" s="197">
        <f t="shared" si="47"/>
        <v>15.250000000000039</v>
      </c>
      <c r="B199" s="196">
        <f t="shared" si="38"/>
        <v>0.99914905221141037</v>
      </c>
      <c r="C199" s="196">
        <f t="shared" si="39"/>
        <v>4.0485629344019838</v>
      </c>
      <c r="D199" s="196">
        <f t="shared" si="40"/>
        <v>0.711062882897467</v>
      </c>
      <c r="E199" s="196">
        <f t="shared" si="41"/>
        <v>0.76479672815696509</v>
      </c>
      <c r="F199" s="96"/>
      <c r="G199" s="173">
        <f t="shared" si="42"/>
        <v>76479.672815696511</v>
      </c>
      <c r="H199" s="167"/>
      <c r="I199" s="197">
        <f t="shared" si="48"/>
        <v>15.250000000000039</v>
      </c>
      <c r="J199" s="173">
        <f t="shared" si="49"/>
        <v>76129.13999363489</v>
      </c>
      <c r="K199" s="173">
        <v>0</v>
      </c>
      <c r="L199" s="173">
        <v>0</v>
      </c>
      <c r="M199" s="173">
        <f t="shared" si="43"/>
        <v>460.19448665049094</v>
      </c>
      <c r="N199" s="173">
        <f t="shared" si="50"/>
        <v>84.542360388570756</v>
      </c>
      <c r="O199" s="173">
        <f t="shared" si="44"/>
        <v>76415.209638865272</v>
      </c>
      <c r="P199" s="173">
        <f t="shared" si="37"/>
        <v>89.582481031538919</v>
      </c>
      <c r="Q199" s="196">
        <f t="shared" si="51"/>
        <v>0.92932712092586478</v>
      </c>
      <c r="R199" s="173">
        <f t="shared" si="45"/>
        <v>83.251429182435956</v>
      </c>
      <c r="S199" s="196">
        <f t="shared" si="46"/>
        <v>0.17759271810391494</v>
      </c>
    </row>
    <row r="200" spans="1:19">
      <c r="A200" s="197">
        <f t="shared" si="47"/>
        <v>15.333333333333373</v>
      </c>
      <c r="B200" s="196">
        <f t="shared" si="38"/>
        <v>0.99914090538611577</v>
      </c>
      <c r="C200" s="196">
        <f t="shared" si="39"/>
        <v>3.9879240718250299</v>
      </c>
      <c r="D200" s="196">
        <f t="shared" si="40"/>
        <v>0.7151325579038057</v>
      </c>
      <c r="E200" s="196">
        <f t="shared" si="41"/>
        <v>0.76832019982626809</v>
      </c>
      <c r="F200" s="96"/>
      <c r="G200" s="173">
        <f t="shared" si="42"/>
        <v>76832.019982626807</v>
      </c>
      <c r="H200" s="167"/>
      <c r="I200" s="197">
        <f t="shared" si="48"/>
        <v>15.333333333333373</v>
      </c>
      <c r="J200" s="173">
        <f t="shared" si="49"/>
        <v>76479.672815696511</v>
      </c>
      <c r="K200" s="173">
        <v>0</v>
      </c>
      <c r="L200" s="173">
        <v>0</v>
      </c>
      <c r="M200" s="173">
        <f t="shared" si="43"/>
        <v>462.31342917520993</v>
      </c>
      <c r="N200" s="173">
        <f t="shared" si="50"/>
        <v>85.3515868715849</v>
      </c>
      <c r="O200" s="173">
        <f t="shared" si="44"/>
        <v>76766.639945129718</v>
      </c>
      <c r="P200" s="173">
        <f t="shared" si="37"/>
        <v>89.994712870407966</v>
      </c>
      <c r="Q200" s="196">
        <f t="shared" si="51"/>
        <v>0.92854380980116002</v>
      </c>
      <c r="R200" s="173">
        <f t="shared" si="45"/>
        <v>83.564033550650109</v>
      </c>
      <c r="S200" s="196">
        <f t="shared" si="46"/>
        <v>0.17592341722551774</v>
      </c>
    </row>
    <row r="201" spans="1:19">
      <c r="A201" s="197">
        <f t="shared" si="47"/>
        <v>15.416666666666707</v>
      </c>
      <c r="B201" s="196">
        <f t="shared" si="38"/>
        <v>0.99913267888102875</v>
      </c>
      <c r="C201" s="196">
        <f t="shared" si="39"/>
        <v>3.9269701702704385</v>
      </c>
      <c r="D201" s="196">
        <f t="shared" si="40"/>
        <v>0.71923138960327027</v>
      </c>
      <c r="E201" s="196">
        <f t="shared" si="41"/>
        <v>0.77186195762683141</v>
      </c>
      <c r="F201" s="96"/>
      <c r="G201" s="173">
        <f t="shared" si="42"/>
        <v>77186.195762683143</v>
      </c>
      <c r="H201" s="167"/>
      <c r="I201" s="197">
        <f t="shared" si="48"/>
        <v>15.416666666666707</v>
      </c>
      <c r="J201" s="173">
        <f t="shared" si="49"/>
        <v>76832.019982626807</v>
      </c>
      <c r="K201" s="173">
        <v>0</v>
      </c>
      <c r="L201" s="173">
        <v>0</v>
      </c>
      <c r="M201" s="173">
        <f t="shared" si="43"/>
        <v>464.44333926774215</v>
      </c>
      <c r="N201" s="173">
        <f t="shared" si="50"/>
        <v>86.168728036040946</v>
      </c>
      <c r="O201" s="173">
        <f t="shared" si="44"/>
        <v>77119.885517637202</v>
      </c>
      <c r="P201" s="173">
        <f t="shared" si="37"/>
        <v>90.409076221316354</v>
      </c>
      <c r="Q201" s="196">
        <f t="shared" si="51"/>
        <v>0.92775366749960109</v>
      </c>
      <c r="R201" s="173">
        <f t="shared" si="45"/>
        <v>83.877352039577218</v>
      </c>
      <c r="S201" s="196">
        <f t="shared" si="46"/>
        <v>0.17426980711109091</v>
      </c>
    </row>
    <row r="202" spans="1:19">
      <c r="A202" s="197">
        <f t="shared" si="47"/>
        <v>15.500000000000041</v>
      </c>
      <c r="B202" s="196">
        <f t="shared" si="38"/>
        <v>0.99912437191750969</v>
      </c>
      <c r="C202" s="196">
        <f t="shared" si="39"/>
        <v>3.8656987357488068</v>
      </c>
      <c r="D202" s="196">
        <f t="shared" si="40"/>
        <v>0.72335966987864397</v>
      </c>
      <c r="E202" s="196">
        <f t="shared" si="41"/>
        <v>0.77542214617146688</v>
      </c>
      <c r="F202" s="96"/>
      <c r="G202" s="173">
        <f t="shared" si="42"/>
        <v>77542.214617146688</v>
      </c>
      <c r="H202" s="167"/>
      <c r="I202" s="197">
        <f t="shared" si="48"/>
        <v>15.500000000000041</v>
      </c>
      <c r="J202" s="173">
        <f t="shared" si="49"/>
        <v>77186.195762683143</v>
      </c>
      <c r="K202" s="173">
        <v>0</v>
      </c>
      <c r="L202" s="173">
        <v>0</v>
      </c>
      <c r="M202" s="173">
        <f t="shared" si="43"/>
        <v>466.58430317854805</v>
      </c>
      <c r="N202" s="173">
        <f t="shared" si="50"/>
        <v>86.993861226349537</v>
      </c>
      <c r="O202" s="173">
        <f t="shared" si="44"/>
        <v>77474.960616797442</v>
      </c>
      <c r="P202" s="173">
        <f t="shared" si="37"/>
        <v>90.825587837898638</v>
      </c>
      <c r="Q202" s="196">
        <f t="shared" si="51"/>
        <v>0.92695663932084083</v>
      </c>
      <c r="R202" s="173">
        <f t="shared" si="45"/>
        <v>84.191381666558357</v>
      </c>
      <c r="S202" s="196">
        <f t="shared" si="46"/>
        <v>0.17263174027369704</v>
      </c>
    </row>
    <row r="203" spans="1:19">
      <c r="A203" s="197">
        <f t="shared" si="47"/>
        <v>15.583333333333375</v>
      </c>
      <c r="B203" s="196">
        <f t="shared" si="38"/>
        <v>0.99911598370932309</v>
      </c>
      <c r="C203" s="196">
        <f t="shared" si="39"/>
        <v>3.804107240396831</v>
      </c>
      <c r="D203" s="196">
        <f t="shared" si="40"/>
        <v>0.72751769457258453</v>
      </c>
      <c r="E203" s="196">
        <f t="shared" si="41"/>
        <v>0.77900091203715993</v>
      </c>
      <c r="F203" s="96"/>
      <c r="G203" s="173">
        <f t="shared" si="42"/>
        <v>77900.091203715987</v>
      </c>
      <c r="H203" s="167"/>
      <c r="I203" s="197">
        <f t="shared" si="48"/>
        <v>15.583333333333375</v>
      </c>
      <c r="J203" s="173">
        <f t="shared" si="49"/>
        <v>77542.214617146688</v>
      </c>
      <c r="K203" s="173">
        <v>0</v>
      </c>
      <c r="L203" s="173">
        <v>0</v>
      </c>
      <c r="M203" s="173">
        <f t="shared" si="43"/>
        <v>468.73640832490128</v>
      </c>
      <c r="N203" s="173">
        <f t="shared" si="50"/>
        <v>87.827064541456437</v>
      </c>
      <c r="O203" s="173">
        <f t="shared" si="44"/>
        <v>77831.879696229458</v>
      </c>
      <c r="P203" s="173">
        <f t="shared" si="37"/>
        <v>91.244264700668282</v>
      </c>
      <c r="Q203" s="196">
        <f t="shared" si="51"/>
        <v>0.92615267025118719</v>
      </c>
      <c r="R203" s="173">
        <f t="shared" si="45"/>
        <v>84.506119397630073</v>
      </c>
      <c r="S203" s="196">
        <f t="shared" si="46"/>
        <v>0.17100907061271747</v>
      </c>
    </row>
    <row r="204" spans="1:19">
      <c r="A204" s="197">
        <f t="shared" si="47"/>
        <v>15.666666666666709</v>
      </c>
      <c r="B204" s="196">
        <f t="shared" si="38"/>
        <v>0.99910751346256366</v>
      </c>
      <c r="C204" s="196">
        <f t="shared" si="39"/>
        <v>3.7421931218809399</v>
      </c>
      <c r="D204" s="196">
        <f t="shared" si="40"/>
        <v>0.73170576355306149</v>
      </c>
      <c r="E204" s="196">
        <f t="shared" si="41"/>
        <v>0.78259840379966006</v>
      </c>
      <c r="F204" s="96"/>
      <c r="G204" s="173">
        <f t="shared" si="42"/>
        <v>78259.840379966001</v>
      </c>
      <c r="H204" s="167"/>
      <c r="I204" s="197">
        <f t="shared" si="48"/>
        <v>15.666666666666709</v>
      </c>
      <c r="J204" s="173">
        <f t="shared" si="49"/>
        <v>77900.091203715987</v>
      </c>
      <c r="K204" s="173">
        <v>0</v>
      </c>
      <c r="L204" s="173">
        <v>0</v>
      </c>
      <c r="M204" s="173">
        <f t="shared" si="43"/>
        <v>470.89974331140263</v>
      </c>
      <c r="N204" s="173">
        <f t="shared" si="50"/>
        <v>88.668416842192272</v>
      </c>
      <c r="O204" s="173">
        <f t="shared" si="44"/>
        <v>78190.657406164333</v>
      </c>
      <c r="P204" s="173">
        <f t="shared" si="37"/>
        <v>91.665124020859366</v>
      </c>
      <c r="Q204" s="196">
        <f t="shared" si="51"/>
        <v>0.9253417049644419</v>
      </c>
      <c r="R204" s="173">
        <f t="shared" si="45"/>
        <v>84.821562147239021</v>
      </c>
      <c r="S204" s="196">
        <f t="shared" si="46"/>
        <v>0.16940165340082111</v>
      </c>
    </row>
    <row r="205" spans="1:19">
      <c r="A205" s="197">
        <f t="shared" si="47"/>
        <v>15.750000000000043</v>
      </c>
      <c r="B205" s="196">
        <f t="shared" si="38"/>
        <v>0.9990989603755821</v>
      </c>
      <c r="C205" s="196">
        <f t="shared" si="39"/>
        <v>3.6799537827893896</v>
      </c>
      <c r="D205" s="196">
        <f t="shared" si="40"/>
        <v>0.73592418078002908</v>
      </c>
      <c r="E205" s="196">
        <f t="shared" si="41"/>
        <v>0.78621477206874091</v>
      </c>
      <c r="F205" s="96"/>
      <c r="G205" s="173">
        <f t="shared" si="42"/>
        <v>78621.477206874086</v>
      </c>
      <c r="H205" s="167"/>
      <c r="I205" s="197">
        <f t="shared" si="48"/>
        <v>15.750000000000043</v>
      </c>
      <c r="J205" s="173">
        <f t="shared" si="49"/>
        <v>78259.840379966001</v>
      </c>
      <c r="K205" s="173">
        <v>0</v>
      </c>
      <c r="L205" s="173">
        <v>0</v>
      </c>
      <c r="M205" s="173">
        <f t="shared" si="43"/>
        <v>473.07439795088959</v>
      </c>
      <c r="N205" s="173">
        <f t="shared" si="50"/>
        <v>89.517997758677623</v>
      </c>
      <c r="O205" s="173">
        <f t="shared" si="44"/>
        <v>78551.308596913586</v>
      </c>
      <c r="P205" s="173">
        <f t="shared" si="37"/>
        <v>92.088183244617539</v>
      </c>
      <c r="Q205" s="196">
        <f t="shared" si="51"/>
        <v>0.92452368782281058</v>
      </c>
      <c r="R205" s="173">
        <f t="shared" si="45"/>
        <v>85.137706778216568</v>
      </c>
      <c r="S205" s="196">
        <f t="shared" si="46"/>
        <v>0.16780934527105607</v>
      </c>
    </row>
    <row r="206" spans="1:19">
      <c r="A206" s="197">
        <f t="shared" si="47"/>
        <v>15.833333333333377</v>
      </c>
      <c r="B206" s="196">
        <f t="shared" si="38"/>
        <v>0.99909032363890926</v>
      </c>
      <c r="C206" s="196">
        <f t="shared" si="39"/>
        <v>3.6173865900125697</v>
      </c>
      <c r="D206" s="196">
        <f t="shared" si="40"/>
        <v>0.74017325437335935</v>
      </c>
      <c r="E206" s="196">
        <f t="shared" si="41"/>
        <v>0.78985016952414333</v>
      </c>
      <c r="F206" s="96"/>
      <c r="G206" s="173">
        <f t="shared" si="42"/>
        <v>78985.016952414328</v>
      </c>
      <c r="H206" s="167"/>
      <c r="I206" s="197">
        <f t="shared" si="48"/>
        <v>15.833333333333377</v>
      </c>
      <c r="J206" s="173">
        <f t="shared" si="49"/>
        <v>78621.477206874086</v>
      </c>
      <c r="K206" s="173">
        <v>0</v>
      </c>
      <c r="L206" s="173">
        <v>0</v>
      </c>
      <c r="M206" s="173">
        <f t="shared" si="43"/>
        <v>475.2604632857508</v>
      </c>
      <c r="N206" s="173">
        <f t="shared" si="50"/>
        <v>90.375887697772924</v>
      </c>
      <c r="O206" s="173">
        <f t="shared" si="44"/>
        <v>78913.848322404883</v>
      </c>
      <c r="P206" s="173">
        <f t="shared" si="37"/>
        <v>92.513460057190969</v>
      </c>
      <c r="Q206" s="196">
        <f t="shared" si="51"/>
        <v>0.92369856287788776</v>
      </c>
      <c r="R206" s="173">
        <f t="shared" si="45"/>
        <v>85.45455010168817</v>
      </c>
      <c r="S206" s="196">
        <f t="shared" si="46"/>
        <v>0.16623200420406298</v>
      </c>
    </row>
    <row r="207" spans="1:19">
      <c r="A207" s="197">
        <f t="shared" si="47"/>
        <v>15.91666666666671</v>
      </c>
      <c r="B207" s="196">
        <f t="shared" si="38"/>
        <v>0.99908160243518085</v>
      </c>
      <c r="C207" s="196">
        <f t="shared" si="39"/>
        <v>3.5544888741112763</v>
      </c>
      <c r="D207" s="196">
        <f t="shared" si="40"/>
        <v>0.74445329668206395</v>
      </c>
      <c r="E207" s="196">
        <f t="shared" si="41"/>
        <v>0.7935047509522184</v>
      </c>
      <c r="F207" s="96"/>
      <c r="G207" s="173">
        <f t="shared" si="42"/>
        <v>79350.475095221846</v>
      </c>
      <c r="H207" s="167"/>
      <c r="I207" s="197">
        <f t="shared" si="48"/>
        <v>15.91666666666671</v>
      </c>
      <c r="J207" s="173">
        <f t="shared" si="49"/>
        <v>78985.016952414328</v>
      </c>
      <c r="K207" s="173">
        <v>0</v>
      </c>
      <c r="L207" s="173">
        <v>0</v>
      </c>
      <c r="M207" s="173">
        <f t="shared" si="43"/>
        <v>477.45803160965318</v>
      </c>
      <c r="N207" s="173">
        <f t="shared" si="50"/>
        <v>91.242167850684183</v>
      </c>
      <c r="O207" s="173">
        <f t="shared" si="44"/>
        <v>79278.291843786399</v>
      </c>
      <c r="P207" s="173">
        <f t="shared" si="37"/>
        <v>92.940972386903013</v>
      </c>
      <c r="Q207" s="196">
        <f t="shared" si="51"/>
        <v>0.92286627387171694</v>
      </c>
      <c r="R207" s="173">
        <f t="shared" si="45"/>
        <v>85.772088876715316</v>
      </c>
      <c r="S207" s="196">
        <f t="shared" si="46"/>
        <v>0.1646694895154078</v>
      </c>
    </row>
    <row r="208" spans="1:19">
      <c r="A208" s="197">
        <f t="shared" si="47"/>
        <v>16.000000000000043</v>
      </c>
      <c r="B208" s="196">
        <f t="shared" si="38"/>
        <v>0.99907279593906018</v>
      </c>
      <c r="C208" s="196">
        <f t="shared" si="39"/>
        <v>3.4912579286726988</v>
      </c>
      <c r="D208" s="196">
        <f t="shared" si="40"/>
        <v>0.74876462435483038</v>
      </c>
      <c r="E208" s="196">
        <f t="shared" si="41"/>
        <v>0.79717867328328096</v>
      </c>
      <c r="F208" s="96"/>
      <c r="G208" s="173">
        <f t="shared" si="42"/>
        <v>79717.867328328095</v>
      </c>
      <c r="H208" s="167"/>
      <c r="I208" s="197">
        <f t="shared" si="48"/>
        <v>16.000000000000043</v>
      </c>
      <c r="J208" s="173">
        <f t="shared" si="49"/>
        <v>79350.475095221846</v>
      </c>
      <c r="K208" s="173">
        <v>0</v>
      </c>
      <c r="L208" s="173">
        <v>0</v>
      </c>
      <c r="M208" s="173">
        <f t="shared" si="43"/>
        <v>479.66719648969263</v>
      </c>
      <c r="N208" s="173">
        <f t="shared" si="50"/>
        <v>92.116920200512951</v>
      </c>
      <c r="O208" s="173">
        <f t="shared" si="44"/>
        <v>79644.654633101178</v>
      </c>
      <c r="P208" s="173">
        <f t="shared" ref="P208:P256" si="52">K208+J208-L208+M208-N208-O208</f>
        <v>93.370738409852493</v>
      </c>
      <c r="Q208" s="196">
        <f t="shared" si="51"/>
        <v>0.92202676423792795</v>
      </c>
      <c r="R208" s="173">
        <f t="shared" si="45"/>
        <v>86.090319810542312</v>
      </c>
      <c r="S208" s="196">
        <f t="shared" si="46"/>
        <v>0.16312166184303417</v>
      </c>
    </row>
    <row r="209" spans="1:19">
      <c r="A209" s="197">
        <f t="shared" si="47"/>
        <v>16.083333333333375</v>
      </c>
      <c r="B209" s="196">
        <f t="shared" ref="B209:B256" si="53">EXP(-(B$3/12)-B$4/LN(B$5)*B$5^(B$6+A209)*(B$5^(1/12)-1))</f>
        <v>0.99906390331716055</v>
      </c>
      <c r="C209" s="196">
        <f t="shared" ref="C209:C255" si="54">(1/12+B209*B$9^(1/12)*C210)</f>
        <v>3.4276910096538535</v>
      </c>
      <c r="D209" s="196">
        <f t="shared" ref="D209:D255" si="55">D210*B$9^(1/12)*B209</f>
        <v>0.75310755841190169</v>
      </c>
      <c r="E209" s="196">
        <f t="shared" ref="E209:E256" si="56">((1-B$10*C209)-D209)*B$11/B$10+D209</f>
        <v>0.80087209562969308</v>
      </c>
      <c r="F209" s="96"/>
      <c r="G209" s="173">
        <f t="shared" ref="G209:G256" si="57">B$7*E209-D$13*F209</f>
        <v>80087.209562969307</v>
      </c>
      <c r="H209" s="167"/>
      <c r="I209" s="197">
        <f t="shared" si="48"/>
        <v>16.083333333333375</v>
      </c>
      <c r="J209" s="173">
        <f t="shared" si="49"/>
        <v>79717.867328328095</v>
      </c>
      <c r="K209" s="173">
        <v>0</v>
      </c>
      <c r="L209" s="173">
        <v>0</v>
      </c>
      <c r="M209" s="173">
        <f t="shared" ref="M209:M256" si="58">(1.075^(1/12)-1)*(K209+J209-L209)</f>
        <v>481.88805278897365</v>
      </c>
      <c r="N209" s="173">
        <f t="shared" si="50"/>
        <v>93.000227530006853</v>
      </c>
      <c r="O209" s="173">
        <f t="shared" ref="O209:O255" si="59">B208*G209</f>
        <v>80012.952377033187</v>
      </c>
      <c r="P209" s="173">
        <f t="shared" si="52"/>
        <v>93.802776553871809</v>
      </c>
      <c r="Q209" s="196">
        <f t="shared" si="51"/>
        <v>0.92117997710295374</v>
      </c>
      <c r="R209" s="173">
        <f t="shared" ref="R209:R256" si="60">P209*Q209</f>
        <v>86.409239558089112</v>
      </c>
      <c r="S209" s="196">
        <f t="shared" ref="S209:S256" si="61">(1+K$5)^(-I209)</f>
        <v>0.1615883831348337</v>
      </c>
    </row>
    <row r="210" spans="1:19">
      <c r="A210" s="197">
        <f t="shared" ref="A210:A256" si="62">A209+1/12</f>
        <v>16.166666666666707</v>
      </c>
      <c r="B210" s="196">
        <f t="shared" si="53"/>
        <v>0.99905492372796789</v>
      </c>
      <c r="C210" s="196">
        <f t="shared" si="54"/>
        <v>3.3637853347122113</v>
      </c>
      <c r="D210" s="196">
        <f t="shared" si="55"/>
        <v>0.75748242431832724</v>
      </c>
      <c r="E210" s="196">
        <f t="shared" si="56"/>
        <v>0.80458517932468931</v>
      </c>
      <c r="F210" s="96"/>
      <c r="G210" s="173">
        <f t="shared" si="57"/>
        <v>80458.517932468938</v>
      </c>
      <c r="H210" s="167"/>
      <c r="I210" s="197">
        <f t="shared" ref="I210:I256" si="63">A210</f>
        <v>16.166666666666707</v>
      </c>
      <c r="J210" s="173">
        <f t="shared" ref="J210:J256" si="64">G209</f>
        <v>80087.209562969307</v>
      </c>
      <c r="K210" s="173">
        <v>0</v>
      </c>
      <c r="L210" s="173">
        <v>0</v>
      </c>
      <c r="M210" s="173">
        <f t="shared" si="58"/>
        <v>484.12069668963073</v>
      </c>
      <c r="N210" s="173">
        <f t="shared" ref="N210:N255" si="65">(1-B209)*B$7*(1.075)^(1/24)</f>
        <v>93.892173429343416</v>
      </c>
      <c r="O210" s="173">
        <f t="shared" si="59"/>
        <v>80383.200980726178</v>
      </c>
      <c r="P210" s="173">
        <f t="shared" si="52"/>
        <v>94.237105503416387</v>
      </c>
      <c r="Q210" s="196">
        <f t="shared" ref="Q210:Q256" si="66">Q209*B208</f>
        <v>0.92032585528732747</v>
      </c>
      <c r="R210" s="173">
        <f t="shared" si="60"/>
        <v>86.728844722233802</v>
      </c>
      <c r="S210" s="196">
        <f t="shared" si="61"/>
        <v>0.16006951663633279</v>
      </c>
    </row>
    <row r="211" spans="1:19">
      <c r="A211" s="197">
        <f t="shared" si="62"/>
        <v>16.250000000000039</v>
      </c>
      <c r="B211" s="196">
        <f t="shared" si="53"/>
        <v>0.99904585632176068</v>
      </c>
      <c r="C211" s="196">
        <f t="shared" si="54"/>
        <v>3.2995380825232292</v>
      </c>
      <c r="D211" s="196">
        <f t="shared" si="55"/>
        <v>0.76188955205861508</v>
      </c>
      <c r="E211" s="196">
        <f t="shared" si="56"/>
        <v>0.80831808796196181</v>
      </c>
      <c r="F211" s="96"/>
      <c r="G211" s="173">
        <f t="shared" si="57"/>
        <v>80831.808796196186</v>
      </c>
      <c r="H211" s="167"/>
      <c r="I211" s="197">
        <f t="shared" si="63"/>
        <v>16.250000000000039</v>
      </c>
      <c r="J211" s="173">
        <f t="shared" si="64"/>
        <v>80458.517932468938</v>
      </c>
      <c r="K211" s="173">
        <v>0</v>
      </c>
      <c r="L211" s="173">
        <v>0</v>
      </c>
      <c r="M211" s="173">
        <f t="shared" si="58"/>
        <v>486.36522571629774</v>
      </c>
      <c r="N211" s="173">
        <f t="shared" si="65"/>
        <v>94.792842303891732</v>
      </c>
      <c r="O211" s="173">
        <f t="shared" si="59"/>
        <v>80755.416571677459</v>
      </c>
      <c r="P211" s="173">
        <f t="shared" si="52"/>
        <v>94.673744203886599</v>
      </c>
      <c r="Q211" s="196">
        <f t="shared" si="66"/>
        <v>0.91946434130706167</v>
      </c>
      <c r="R211" s="173">
        <f t="shared" si="60"/>
        <v>87.049131853499844</v>
      </c>
      <c r="S211" s="196">
        <f t="shared" si="61"/>
        <v>0.15856492687849547</v>
      </c>
    </row>
    <row r="212" spans="1:19">
      <c r="A212" s="197">
        <f t="shared" si="62"/>
        <v>16.333333333333371</v>
      </c>
      <c r="B212" s="196">
        <f t="shared" si="53"/>
        <v>0.99903670024053115</v>
      </c>
      <c r="C212" s="196">
        <f t="shared" si="54"/>
        <v>3.2349463920845243</v>
      </c>
      <c r="D212" s="196">
        <f t="shared" si="55"/>
        <v>0.7663292762128151</v>
      </c>
      <c r="E212" s="196">
        <f t="shared" si="56"/>
        <v>0.81207098743602113</v>
      </c>
      <c r="F212" s="96"/>
      <c r="G212" s="173">
        <f t="shared" si="57"/>
        <v>81207.09874360211</v>
      </c>
      <c r="H212" s="167"/>
      <c r="I212" s="197">
        <f t="shared" si="63"/>
        <v>16.333333333333371</v>
      </c>
      <c r="J212" s="173">
        <f t="shared" si="64"/>
        <v>80831.808796196186</v>
      </c>
      <c r="K212" s="173">
        <v>0</v>
      </c>
      <c r="L212" s="173">
        <v>0</v>
      </c>
      <c r="M212" s="173">
        <f t="shared" si="58"/>
        <v>488.62173876003692</v>
      </c>
      <c r="N212" s="173">
        <f t="shared" si="65"/>
        <v>95.702319382241257</v>
      </c>
      <c r="O212" s="173">
        <f t="shared" si="59"/>
        <v>81129.615503707741</v>
      </c>
      <c r="P212" s="173">
        <f t="shared" si="52"/>
        <v>95.112711866240716</v>
      </c>
      <c r="Q212" s="196">
        <f t="shared" si="66"/>
        <v>0.91859537737511276</v>
      </c>
      <c r="R212" s="173">
        <f t="shared" si="60"/>
        <v>87.370097449939763</v>
      </c>
      <c r="S212" s="196">
        <f t="shared" si="61"/>
        <v>0.15707447966564086</v>
      </c>
    </row>
    <row r="213" spans="1:19">
      <c r="A213" s="197">
        <f t="shared" si="62"/>
        <v>16.416666666666703</v>
      </c>
      <c r="B213" s="196">
        <f t="shared" si="53"/>
        <v>0.99902745461790399</v>
      </c>
      <c r="C213" s="196">
        <f t="shared" si="54"/>
        <v>3.1700073620063929</v>
      </c>
      <c r="D213" s="196">
        <f t="shared" si="55"/>
        <v>0.77080193603406344</v>
      </c>
      <c r="E213" s="196">
        <f t="shared" si="56"/>
        <v>0.8158440459833477</v>
      </c>
      <c r="F213" s="96"/>
      <c r="G213" s="173">
        <f t="shared" si="57"/>
        <v>81584.404598334775</v>
      </c>
      <c r="H213" s="167"/>
      <c r="I213" s="197">
        <f t="shared" si="63"/>
        <v>16.416666666666703</v>
      </c>
      <c r="J213" s="173">
        <f t="shared" si="64"/>
        <v>81207.09874360211</v>
      </c>
      <c r="K213" s="173">
        <v>0</v>
      </c>
      <c r="L213" s="173">
        <v>0</v>
      </c>
      <c r="M213" s="173">
        <f t="shared" si="58"/>
        <v>490.8903361027364</v>
      </c>
      <c r="N213" s="173">
        <f t="shared" si="65"/>
        <v>96.620690724108243</v>
      </c>
      <c r="O213" s="173">
        <f t="shared" si="59"/>
        <v>81505.814361008786</v>
      </c>
      <c r="P213" s="173">
        <f t="shared" si="52"/>
        <v>95.55402797194256</v>
      </c>
      <c r="Q213" s="196">
        <f t="shared" si="66"/>
        <v>0.91771890540293044</v>
      </c>
      <c r="R213" s="173">
        <f t="shared" si="60"/>
        <v>87.69173795725213</v>
      </c>
      <c r="S213" s="196">
        <f t="shared" si="61"/>
        <v>0.15559804206347405</v>
      </c>
    </row>
    <row r="214" spans="1:19">
      <c r="A214" s="197">
        <f t="shared" si="62"/>
        <v>16.500000000000036</v>
      </c>
      <c r="B214" s="196">
        <f t="shared" si="53"/>
        <v>0.99901811857905576</v>
      </c>
      <c r="C214" s="196">
        <f t="shared" si="54"/>
        <v>3.1047180497883882</v>
      </c>
      <c r="D214" s="196">
        <f t="shared" si="55"/>
        <v>0.77530787552762059</v>
      </c>
      <c r="E214" s="196">
        <f t="shared" si="56"/>
        <v>0.81963743422435342</v>
      </c>
      <c r="F214" s="96"/>
      <c r="G214" s="173">
        <f t="shared" si="57"/>
        <v>81963.743422435349</v>
      </c>
      <c r="H214" s="167"/>
      <c r="I214" s="197">
        <f t="shared" si="63"/>
        <v>16.500000000000036</v>
      </c>
      <c r="J214" s="173">
        <f t="shared" si="64"/>
        <v>81584.404598334775</v>
      </c>
      <c r="K214" s="173">
        <v>0</v>
      </c>
      <c r="L214" s="173">
        <v>0</v>
      </c>
      <c r="M214" s="173">
        <f t="shared" si="58"/>
        <v>493.17111944198655</v>
      </c>
      <c r="N214" s="173">
        <f t="shared" si="65"/>
        <v>97.548043228487046</v>
      </c>
      <c r="O214" s="173">
        <f t="shared" si="59"/>
        <v>81884.029962270564</v>
      </c>
      <c r="P214" s="173">
        <f t="shared" si="52"/>
        <v>95.997712277719984</v>
      </c>
      <c r="Q214" s="196">
        <f t="shared" si="66"/>
        <v>0.91683486700209582</v>
      </c>
      <c r="R214" s="173">
        <f t="shared" si="60"/>
        <v>88.01404976864886</v>
      </c>
      <c r="S214" s="196">
        <f t="shared" si="61"/>
        <v>0.15413548238722957</v>
      </c>
    </row>
    <row r="215" spans="1:19">
      <c r="A215" s="197">
        <f t="shared" si="62"/>
        <v>16.583333333333368</v>
      </c>
      <c r="B215" s="196">
        <f t="shared" si="53"/>
        <v>0.99900869124063241</v>
      </c>
      <c r="C215" s="196">
        <f t="shared" si="54"/>
        <v>3.0390754710816568</v>
      </c>
      <c r="D215" s="196">
        <f t="shared" si="55"/>
        <v>0.77984744353143443</v>
      </c>
      <c r="E215" s="196">
        <f t="shared" si="56"/>
        <v>0.82345132520616826</v>
      </c>
      <c r="F215" s="96"/>
      <c r="G215" s="173">
        <f t="shared" si="57"/>
        <v>82345.132520616826</v>
      </c>
      <c r="H215" s="167"/>
      <c r="I215" s="197">
        <f t="shared" si="63"/>
        <v>16.583333333333368</v>
      </c>
      <c r="J215" s="173">
        <f t="shared" si="64"/>
        <v>81963.743422435349</v>
      </c>
      <c r="K215" s="173">
        <v>0</v>
      </c>
      <c r="L215" s="173">
        <v>0</v>
      </c>
      <c r="M215" s="173">
        <f t="shared" si="58"/>
        <v>495.46419191644452</v>
      </c>
      <c r="N215" s="173">
        <f t="shared" si="65"/>
        <v>98.484464641734732</v>
      </c>
      <c r="O215" s="173">
        <f t="shared" si="59"/>
        <v>82264.279364889648</v>
      </c>
      <c r="P215" s="173">
        <f t="shared" si="52"/>
        <v>96.443784820410656</v>
      </c>
      <c r="Q215" s="196">
        <f t="shared" si="66"/>
        <v>0.9159432034860483</v>
      </c>
      <c r="R215" s="173">
        <f t="shared" si="60"/>
        <v>88.337029224726052</v>
      </c>
      <c r="S215" s="196">
        <f t="shared" si="61"/>
        <v>0.1526866701899264</v>
      </c>
    </row>
    <row r="216" spans="1:19">
      <c r="A216" s="197">
        <f t="shared" si="62"/>
        <v>16.6666666666667</v>
      </c>
      <c r="B216" s="196">
        <f t="shared" si="53"/>
        <v>0.99899917171066643</v>
      </c>
      <c r="C216" s="196">
        <f t="shared" si="54"/>
        <v>2.9730765989367254</v>
      </c>
      <c r="D216" s="196">
        <f t="shared" si="55"/>
        <v>0.78442099379826125</v>
      </c>
      <c r="E216" s="196">
        <f t="shared" si="56"/>
        <v>0.8272858944462721</v>
      </c>
      <c r="F216" s="96"/>
      <c r="G216" s="173">
        <f t="shared" si="57"/>
        <v>82728.589444627214</v>
      </c>
      <c r="H216" s="167"/>
      <c r="I216" s="197">
        <f t="shared" si="63"/>
        <v>16.6666666666667</v>
      </c>
      <c r="J216" s="173">
        <f t="shared" si="64"/>
        <v>82345.132520616826</v>
      </c>
      <c r="K216" s="173">
        <v>0</v>
      </c>
      <c r="L216" s="173">
        <v>0</v>
      </c>
      <c r="M216" s="173">
        <f t="shared" si="58"/>
        <v>497.7696581316992</v>
      </c>
      <c r="N216" s="173">
        <f t="shared" si="65"/>
        <v>99.430043565844883</v>
      </c>
      <c r="O216" s="173">
        <f t="shared" si="59"/>
        <v>82646.579869260633</v>
      </c>
      <c r="P216" s="173">
        <f t="shared" si="52"/>
        <v>96.892265922040679</v>
      </c>
      <c r="Q216" s="196">
        <f t="shared" si="66"/>
        <v>0.91504385587190518</v>
      </c>
      <c r="R216" s="173">
        <f t="shared" si="60"/>
        <v>88.660672613470098</v>
      </c>
      <c r="S216" s="196">
        <f t="shared" si="61"/>
        <v>0.15125147625073324</v>
      </c>
    </row>
    <row r="217" spans="1:19">
      <c r="A217" s="197">
        <f t="shared" si="62"/>
        <v>16.750000000000032</v>
      </c>
      <c r="B217" s="196">
        <f t="shared" si="53"/>
        <v>0.99898955908849341</v>
      </c>
      <c r="C217" s="196">
        <f t="shared" si="54"/>
        <v>2.9067183630364282</v>
      </c>
      <c r="D217" s="196">
        <f t="shared" si="55"/>
        <v>0.78902888507937974</v>
      </c>
      <c r="E217" s="196">
        <f t="shared" si="56"/>
        <v>0.83114131997698659</v>
      </c>
      <c r="F217" s="96"/>
      <c r="G217" s="173">
        <f t="shared" si="57"/>
        <v>83114.131997698656</v>
      </c>
      <c r="H217" s="167"/>
      <c r="I217" s="197">
        <f t="shared" si="63"/>
        <v>16.750000000000032</v>
      </c>
      <c r="J217" s="173">
        <f t="shared" si="64"/>
        <v>82728.589444627214</v>
      </c>
      <c r="K217" s="173">
        <v>0</v>
      </c>
      <c r="L217" s="173">
        <v>0</v>
      </c>
      <c r="M217" s="173">
        <f t="shared" si="58"/>
        <v>500.087624186646</v>
      </c>
      <c r="N217" s="173">
        <f t="shared" si="65"/>
        <v>100.38486946675485</v>
      </c>
      <c r="O217" s="173">
        <f t="shared" si="59"/>
        <v>83030.949023151959</v>
      </c>
      <c r="P217" s="173">
        <f t="shared" si="52"/>
        <v>97.343176195150591</v>
      </c>
      <c r="Q217" s="196">
        <f t="shared" si="66"/>
        <v>0.91413676488237383</v>
      </c>
      <c r="R217" s="173">
        <f t="shared" si="60"/>
        <v>88.984976170409865</v>
      </c>
      <c r="S217" s="196">
        <f t="shared" si="61"/>
        <v>0.1498297725634431</v>
      </c>
    </row>
    <row r="218" spans="1:19">
      <c r="A218" s="197">
        <f t="shared" si="62"/>
        <v>16.833333333333364</v>
      </c>
      <c r="B218" s="196">
        <f t="shared" si="53"/>
        <v>0.99897985246466736</v>
      </c>
      <c r="C218" s="196">
        <f t="shared" si="54"/>
        <v>2.839997648913652</v>
      </c>
      <c r="D218" s="196">
        <f t="shared" si="55"/>
        <v>0.79367148120993036</v>
      </c>
      <c r="E218" s="196">
        <f t="shared" si="56"/>
        <v>0.83501778239085045</v>
      </c>
      <c r="F218" s="96"/>
      <c r="G218" s="173">
        <f t="shared" si="57"/>
        <v>83501.778239085048</v>
      </c>
      <c r="H218" s="167"/>
      <c r="I218" s="197">
        <f t="shared" si="63"/>
        <v>16.833333333333364</v>
      </c>
      <c r="J218" s="173">
        <f t="shared" si="64"/>
        <v>83114.131997698656</v>
      </c>
      <c r="K218" s="173">
        <v>0</v>
      </c>
      <c r="L218" s="173">
        <v>0</v>
      </c>
      <c r="M218" s="173">
        <f t="shared" si="58"/>
        <v>502.41819770038154</v>
      </c>
      <c r="N218" s="173">
        <f t="shared" si="65"/>
        <v>101.34903268271984</v>
      </c>
      <c r="O218" s="173">
        <f t="shared" si="59"/>
        <v>83417.404626168733</v>
      </c>
      <c r="P218" s="173">
        <f t="shared" si="52"/>
        <v>97.796536547582946</v>
      </c>
      <c r="Q218" s="196">
        <f t="shared" si="66"/>
        <v>0.91322187094775964</v>
      </c>
      <c r="R218" s="173">
        <f t="shared" si="60"/>
        <v>89.309936078194653</v>
      </c>
      <c r="S218" s="196">
        <f t="shared" si="61"/>
        <v>0.14842143232505642</v>
      </c>
    </row>
    <row r="219" spans="1:19">
      <c r="A219" s="197">
        <f t="shared" si="62"/>
        <v>16.916666666666696</v>
      </c>
      <c r="B219" s="196">
        <f t="shared" si="53"/>
        <v>0.99897005092087565</v>
      </c>
      <c r="C219" s="196">
        <f t="shared" si="54"/>
        <v>2.7729112971535699</v>
      </c>
      <c r="D219" s="196">
        <f t="shared" si="55"/>
        <v>0.79834915119591787</v>
      </c>
      <c r="E219" s="196">
        <f t="shared" si="56"/>
        <v>0.83891546488689173</v>
      </c>
      <c r="F219" s="96"/>
      <c r="G219" s="173">
        <f t="shared" si="57"/>
        <v>83891.546488689171</v>
      </c>
      <c r="H219" s="167"/>
      <c r="I219" s="197">
        <f t="shared" si="63"/>
        <v>16.916666666666696</v>
      </c>
      <c r="J219" s="173">
        <f t="shared" si="64"/>
        <v>83501.778239085048</v>
      </c>
      <c r="K219" s="173">
        <v>0</v>
      </c>
      <c r="L219" s="173">
        <v>0</v>
      </c>
      <c r="M219" s="173">
        <f t="shared" si="58"/>
        <v>504.76148783963333</v>
      </c>
      <c r="N219" s="173">
        <f t="shared" si="65"/>
        <v>102.32262443279839</v>
      </c>
      <c r="O219" s="173">
        <f t="shared" si="59"/>
        <v>83805.964734303489</v>
      </c>
      <c r="P219" s="173">
        <f t="shared" si="52"/>
        <v>98.252368188390392</v>
      </c>
      <c r="Q219" s="196">
        <f t="shared" si="66"/>
        <v>0.91229911420807142</v>
      </c>
      <c r="R219" s="173">
        <f t="shared" si="60"/>
        <v>89.63554846711385</v>
      </c>
      <c r="S219" s="196">
        <f t="shared" si="61"/>
        <v>0.14702632992447148</v>
      </c>
    </row>
    <row r="220" spans="1:19">
      <c r="A220" s="197">
        <f t="shared" si="62"/>
        <v>17.000000000000028</v>
      </c>
      <c r="B220" s="196">
        <f t="shared" si="53"/>
        <v>0.99896015352985279</v>
      </c>
      <c r="C220" s="196">
        <f t="shared" si="54"/>
        <v>2.7054561025800274</v>
      </c>
      <c r="D220" s="196">
        <f t="shared" si="55"/>
        <v>0.80306226930291069</v>
      </c>
      <c r="E220" s="196">
        <f t="shared" si="56"/>
        <v>0.8428345533178212</v>
      </c>
      <c r="F220" s="96"/>
      <c r="G220" s="173">
        <f t="shared" si="57"/>
        <v>84283.455331782126</v>
      </c>
      <c r="H220" s="167"/>
      <c r="I220" s="197">
        <f t="shared" si="63"/>
        <v>17.000000000000028</v>
      </c>
      <c r="J220" s="173">
        <f t="shared" si="64"/>
        <v>83891.546488689171</v>
      </c>
      <c r="K220" s="173">
        <v>0</v>
      </c>
      <c r="L220" s="173">
        <v>0</v>
      </c>
      <c r="M220" s="173">
        <f t="shared" si="58"/>
        <v>507.11760534673016</v>
      </c>
      <c r="N220" s="173">
        <f t="shared" si="65"/>
        <v>103.30573682539338</v>
      </c>
      <c r="O220" s="173">
        <f t="shared" si="59"/>
        <v>84196.647664577744</v>
      </c>
      <c r="P220" s="173">
        <f t="shared" si="52"/>
        <v>98.710692632768769</v>
      </c>
      <c r="Q220" s="196">
        <f t="shared" si="66"/>
        <v>0.91136843451522587</v>
      </c>
      <c r="R220" s="173">
        <f t="shared" si="60"/>
        <v>89.961809414640115</v>
      </c>
      <c r="S220" s="196">
        <f t="shared" si="61"/>
        <v>0.14564434093128073</v>
      </c>
    </row>
    <row r="221" spans="1:19">
      <c r="A221" s="197">
        <f t="shared" si="62"/>
        <v>17.083333333333361</v>
      </c>
      <c r="B221" s="196">
        <f t="shared" si="53"/>
        <v>0.99895015935529352</v>
      </c>
      <c r="C221" s="196">
        <f t="shared" si="54"/>
        <v>2.6376288134257391</v>
      </c>
      <c r="D221" s="196">
        <f t="shared" si="55"/>
        <v>0.80781121514647714</v>
      </c>
      <c r="E221" s="196">
        <f t="shared" si="56"/>
        <v>0.84677523623816475</v>
      </c>
      <c r="F221" s="96"/>
      <c r="G221" s="173">
        <f t="shared" si="57"/>
        <v>84677.52362381648</v>
      </c>
      <c r="H221" s="167"/>
      <c r="I221" s="197">
        <f t="shared" si="63"/>
        <v>17.083333333333361</v>
      </c>
      <c r="J221" s="173">
        <f t="shared" si="64"/>
        <v>84283.455331782126</v>
      </c>
      <c r="K221" s="173">
        <v>0</v>
      </c>
      <c r="L221" s="173">
        <v>0</v>
      </c>
      <c r="M221" s="173">
        <f t="shared" si="58"/>
        <v>509.48666256813095</v>
      </c>
      <c r="N221" s="173">
        <f t="shared" si="65"/>
        <v>104.29846286689346</v>
      </c>
      <c r="O221" s="173">
        <f t="shared" si="59"/>
        <v>84589.471999775444</v>
      </c>
      <c r="P221" s="173">
        <f t="shared" si="52"/>
        <v>99.171531707921531</v>
      </c>
      <c r="Q221" s="196">
        <f t="shared" si="66"/>
        <v>0.91042977143535386</v>
      </c>
      <c r="R221" s="173">
        <f t="shared" si="60"/>
        <v>90.288714945736942</v>
      </c>
      <c r="S221" s="196">
        <f t="shared" si="61"/>
        <v>0.14427534208467319</v>
      </c>
    </row>
    <row r="222" spans="1:19">
      <c r="A222" s="197">
        <f t="shared" si="62"/>
        <v>17.166666666666693</v>
      </c>
      <c r="B222" s="196">
        <f t="shared" si="53"/>
        <v>0.99894006745176478</v>
      </c>
      <c r="C222" s="196">
        <f t="shared" si="54"/>
        <v>2.5694261304859376</v>
      </c>
      <c r="D222" s="196">
        <f t="shared" si="55"/>
        <v>0.81259637378439376</v>
      </c>
      <c r="E222" s="196">
        <f t="shared" si="56"/>
        <v>0.85073770495335432</v>
      </c>
      <c r="F222" s="96"/>
      <c r="G222" s="173">
        <f t="shared" si="57"/>
        <v>85073.770495335426</v>
      </c>
      <c r="H222" s="167"/>
      <c r="I222" s="197">
        <f t="shared" si="63"/>
        <v>17.166666666666693</v>
      </c>
      <c r="J222" s="173">
        <f t="shared" si="64"/>
        <v>84677.52362381648</v>
      </c>
      <c r="K222" s="173">
        <v>0</v>
      </c>
      <c r="L222" s="173">
        <v>0</v>
      </c>
      <c r="M222" s="173">
        <f t="shared" si="58"/>
        <v>511.86877348351953</v>
      </c>
      <c r="N222" s="173">
        <f t="shared" si="65"/>
        <v>105.30089647039225</v>
      </c>
      <c r="O222" s="173">
        <f t="shared" si="59"/>
        <v>84984.456593270996</v>
      </c>
      <c r="P222" s="173">
        <f t="shared" si="52"/>
        <v>99.634907558618579</v>
      </c>
      <c r="Q222" s="196">
        <f t="shared" si="66"/>
        <v>0.90948306425120984</v>
      </c>
      <c r="R222" s="173">
        <f t="shared" si="60"/>
        <v>90.616261032798448</v>
      </c>
      <c r="S222" s="196">
        <f t="shared" si="61"/>
        <v>0.14291921128244023</v>
      </c>
    </row>
    <row r="223" spans="1:19">
      <c r="A223" s="197">
        <f t="shared" si="62"/>
        <v>17.250000000000025</v>
      </c>
      <c r="B223" s="196">
        <f t="shared" si="53"/>
        <v>0.99892987686461776</v>
      </c>
      <c r="C223" s="196">
        <f t="shared" si="54"/>
        <v>2.5008447062551213</v>
      </c>
      <c r="D223" s="196">
        <f t="shared" si="55"/>
        <v>0.81741813581066713</v>
      </c>
      <c r="E223" s="196">
        <f t="shared" si="56"/>
        <v>0.85472215356980119</v>
      </c>
      <c r="F223" s="96"/>
      <c r="G223" s="173">
        <f t="shared" si="57"/>
        <v>85472.215356980116</v>
      </c>
      <c r="H223" s="167"/>
      <c r="I223" s="197">
        <f t="shared" si="63"/>
        <v>17.250000000000025</v>
      </c>
      <c r="J223" s="173">
        <f t="shared" si="64"/>
        <v>85073.770495335426</v>
      </c>
      <c r="K223" s="173">
        <v>0</v>
      </c>
      <c r="L223" s="173">
        <v>0</v>
      </c>
      <c r="M223" s="173">
        <f t="shared" si="58"/>
        <v>514.2640537354805</v>
      </c>
      <c r="N223" s="173">
        <f t="shared" si="65"/>
        <v>106.31313246451909</v>
      </c>
      <c r="O223" s="173">
        <f t="shared" si="59"/>
        <v>85381.620573953478</v>
      </c>
      <c r="P223" s="173">
        <f t="shared" si="52"/>
        <v>100.10084265290061</v>
      </c>
      <c r="Q223" s="196">
        <f t="shared" si="66"/>
        <v>0.90852825196468667</v>
      </c>
      <c r="R223" s="173">
        <f t="shared" si="60"/>
        <v>90.944443595631938</v>
      </c>
      <c r="S223" s="196">
        <f t="shared" si="61"/>
        <v>0.14157582757008547</v>
      </c>
    </row>
    <row r="224" spans="1:19">
      <c r="A224" s="197">
        <f t="shared" si="62"/>
        <v>17.333333333333357</v>
      </c>
      <c r="B224" s="196">
        <f t="shared" si="53"/>
        <v>0.99891958662989788</v>
      </c>
      <c r="C224" s="196">
        <f t="shared" si="54"/>
        <v>2.4318811440465207</v>
      </c>
      <c r="D224" s="196">
        <f t="shared" si="55"/>
        <v>0.82227689745140708</v>
      </c>
      <c r="E224" s="196">
        <f t="shared" si="56"/>
        <v>0.85872877904597011</v>
      </c>
      <c r="F224" s="96"/>
      <c r="G224" s="173">
        <f t="shared" si="57"/>
        <v>85872.877904597015</v>
      </c>
      <c r="H224" s="167"/>
      <c r="I224" s="197">
        <f t="shared" si="63"/>
        <v>17.333333333333357</v>
      </c>
      <c r="J224" s="173">
        <f t="shared" si="64"/>
        <v>85472.215356980116</v>
      </c>
      <c r="K224" s="173">
        <v>0</v>
      </c>
      <c r="L224" s="173">
        <v>0</v>
      </c>
      <c r="M224" s="173">
        <f t="shared" si="58"/>
        <v>516.67262065976774</v>
      </c>
      <c r="N224" s="173">
        <f t="shared" si="65"/>
        <v>107.33526660225839</v>
      </c>
      <c r="O224" s="173">
        <f t="shared" si="59"/>
        <v>85780.983351249452</v>
      </c>
      <c r="P224" s="173">
        <f t="shared" si="52"/>
        <v>100.56935978817637</v>
      </c>
      <c r="Q224" s="196">
        <f t="shared" si="66"/>
        <v>0.90756527329943804</v>
      </c>
      <c r="R224" s="173">
        <f t="shared" si="60"/>
        <v>91.273258501705797</v>
      </c>
      <c r="S224" s="196">
        <f t="shared" si="61"/>
        <v>0.1402450711300367</v>
      </c>
    </row>
    <row r="225" spans="1:19">
      <c r="A225" s="197">
        <f t="shared" si="62"/>
        <v>17.416666666666689</v>
      </c>
      <c r="B225" s="196">
        <f t="shared" si="53"/>
        <v>0.99890919577425463</v>
      </c>
      <c r="C225" s="196">
        <f t="shared" si="54"/>
        <v>2.3625319970939138</v>
      </c>
      <c r="D225" s="196">
        <f t="shared" si="55"/>
        <v>0.82717306066259333</v>
      </c>
      <c r="E225" s="196">
        <f t="shared" si="56"/>
        <v>0.86275778124447844</v>
      </c>
      <c r="F225" s="96"/>
      <c r="G225" s="173">
        <f t="shared" si="57"/>
        <v>86275.778124447839</v>
      </c>
      <c r="H225" s="167"/>
      <c r="I225" s="197">
        <f t="shared" si="63"/>
        <v>17.416666666666689</v>
      </c>
      <c r="J225" s="173">
        <f t="shared" si="64"/>
        <v>85872.877904597015</v>
      </c>
      <c r="K225" s="173">
        <v>0</v>
      </c>
      <c r="L225" s="173">
        <v>0</v>
      </c>
      <c r="M225" s="173">
        <f t="shared" si="58"/>
        <v>519.09459331617836</v>
      </c>
      <c r="N225" s="173">
        <f t="shared" si="65"/>
        <v>108.36739556998083</v>
      </c>
      <c r="O225" s="173">
        <f t="shared" si="59"/>
        <v>86182.564620246223</v>
      </c>
      <c r="P225" s="173">
        <f t="shared" si="52"/>
        <v>101.04048209699977</v>
      </c>
      <c r="Q225" s="196">
        <f t="shared" si="66"/>
        <v>0.90659406670361076</v>
      </c>
      <c r="R225" s="173">
        <f t="shared" si="60"/>
        <v>91.602701566012399</v>
      </c>
      <c r="S225" s="196">
        <f t="shared" si="61"/>
        <v>0.13892682327095915</v>
      </c>
    </row>
    <row r="226" spans="1:19">
      <c r="A226" s="197">
        <f t="shared" si="62"/>
        <v>17.500000000000021</v>
      </c>
      <c r="B226" s="196">
        <f t="shared" si="53"/>
        <v>0.99889870331485031</v>
      </c>
      <c r="C226" s="196">
        <f t="shared" si="54"/>
        <v>2.2927937676353967</v>
      </c>
      <c r="D226" s="196">
        <f t="shared" si="55"/>
        <v>0.83210703322977753</v>
      </c>
      <c r="E226" s="196">
        <f t="shared" si="56"/>
        <v>0.86680936298524103</v>
      </c>
      <c r="F226" s="96"/>
      <c r="G226" s="173">
        <f t="shared" si="57"/>
        <v>86680.936298524102</v>
      </c>
      <c r="H226" s="167"/>
      <c r="I226" s="197">
        <f t="shared" si="63"/>
        <v>17.500000000000021</v>
      </c>
      <c r="J226" s="173">
        <f t="shared" si="64"/>
        <v>86275.778124447839</v>
      </c>
      <c r="K226" s="173">
        <v>0</v>
      </c>
      <c r="L226" s="173">
        <v>0</v>
      </c>
      <c r="M226" s="173">
        <f t="shared" si="58"/>
        <v>521.53009252004597</v>
      </c>
      <c r="N226" s="173">
        <f t="shared" si="65"/>
        <v>109.40961699648555</v>
      </c>
      <c r="O226" s="173">
        <f t="shared" si="59"/>
        <v>86586.384366918108</v>
      </c>
      <c r="P226" s="173">
        <f t="shared" si="52"/>
        <v>101.51423305328353</v>
      </c>
      <c r="Q226" s="196">
        <f t="shared" si="66"/>
        <v>0.90561457035268889</v>
      </c>
      <c r="R226" s="173">
        <f t="shared" si="60"/>
        <v>91.932768551232101</v>
      </c>
      <c r="S226" s="196">
        <f t="shared" si="61"/>
        <v>0.13762096641716948</v>
      </c>
    </row>
    <row r="227" spans="1:19">
      <c r="A227" s="197">
        <f t="shared" si="62"/>
        <v>17.583333333333353</v>
      </c>
      <c r="B227" s="196">
        <f t="shared" si="53"/>
        <v>0.99888810825926833</v>
      </c>
      <c r="C227" s="196">
        <f t="shared" si="54"/>
        <v>2.2226629059787126</v>
      </c>
      <c r="D227" s="196">
        <f t="shared" si="55"/>
        <v>0.83707922886976294</v>
      </c>
      <c r="E227" s="196">
        <f t="shared" si="56"/>
        <v>0.87088373009968589</v>
      </c>
      <c r="F227" s="167"/>
      <c r="G227" s="173">
        <f t="shared" si="57"/>
        <v>87088.373009968593</v>
      </c>
      <c r="H227" s="167"/>
      <c r="I227" s="197">
        <f t="shared" si="63"/>
        <v>17.583333333333353</v>
      </c>
      <c r="J227" s="173">
        <f t="shared" si="64"/>
        <v>86680.936298524102</v>
      </c>
      <c r="K227" s="173">
        <v>0</v>
      </c>
      <c r="L227" s="173">
        <v>0</v>
      </c>
      <c r="M227" s="173">
        <f t="shared" si="58"/>
        <v>523.97924087436684</v>
      </c>
      <c r="N227" s="173">
        <f t="shared" si="65"/>
        <v>110.46202946215371</v>
      </c>
      <c r="O227" s="173">
        <f t="shared" si="59"/>
        <v>86992.46287345764</v>
      </c>
      <c r="P227" s="173">
        <f t="shared" si="52"/>
        <v>101.99063647867297</v>
      </c>
      <c r="Q227" s="196">
        <f t="shared" si="66"/>
        <v>0.90462672215245155</v>
      </c>
      <c r="R227" s="173">
        <f t="shared" si="60"/>
        <v>92.263455167944187</v>
      </c>
      <c r="S227" s="196">
        <f t="shared" si="61"/>
        <v>0.13632738409814882</v>
      </c>
    </row>
    <row r="228" spans="1:19">
      <c r="A228" s="197">
        <f t="shared" si="62"/>
        <v>17.666666666666686</v>
      </c>
      <c r="B228" s="196">
        <f t="shared" si="53"/>
        <v>0.99887740960541971</v>
      </c>
      <c r="C228" s="196">
        <f t="shared" si="54"/>
        <v>2.1521358095477332</v>
      </c>
      <c r="D228" s="196">
        <f t="shared" si="55"/>
        <v>0.84209006733430614</v>
      </c>
      <c r="E228" s="196">
        <f t="shared" si="56"/>
        <v>0.8749810914860624</v>
      </c>
      <c r="F228" s="167"/>
      <c r="G228" s="173">
        <f t="shared" si="57"/>
        <v>87498.109148606236</v>
      </c>
      <c r="H228" s="167"/>
      <c r="I228" s="197">
        <f t="shared" si="63"/>
        <v>17.666666666666686</v>
      </c>
      <c r="J228" s="173">
        <f t="shared" si="64"/>
        <v>87088.373009968593</v>
      </c>
      <c r="K228" s="173">
        <v>0</v>
      </c>
      <c r="L228" s="173">
        <v>0</v>
      </c>
      <c r="M228" s="173">
        <f t="shared" si="58"/>
        <v>526.44216280257251</v>
      </c>
      <c r="N228" s="173">
        <f t="shared" si="65"/>
        <v>111.52473250814661</v>
      </c>
      <c r="O228" s="173">
        <f t="shared" si="59"/>
        <v>87400.820723714263</v>
      </c>
      <c r="P228" s="173">
        <f t="shared" si="52"/>
        <v>102.46971654875961</v>
      </c>
      <c r="Q228" s="196">
        <f t="shared" si="66"/>
        <v>0.90363045974204725</v>
      </c>
      <c r="R228" s="173">
        <f t="shared" si="60"/>
        <v>92.594757074592906</v>
      </c>
      <c r="S228" s="196">
        <f t="shared" si="61"/>
        <v>0.13504596093815488</v>
      </c>
    </row>
    <row r="229" spans="1:19">
      <c r="A229" s="197">
        <f t="shared" si="62"/>
        <v>17.750000000000018</v>
      </c>
      <c r="B229" s="196">
        <f t="shared" si="53"/>
        <v>0.99886660634144953</v>
      </c>
      <c r="C229" s="196">
        <f t="shared" si="54"/>
        <v>2.0812088219096716</v>
      </c>
      <c r="D229" s="196">
        <f t="shared" si="55"/>
        <v>0.84713997451588552</v>
      </c>
      <c r="E229" s="196">
        <f t="shared" si="56"/>
        <v>0.87910165916586802</v>
      </c>
      <c r="F229" s="167"/>
      <c r="G229" s="173">
        <f t="shared" si="57"/>
        <v>87910.165916586804</v>
      </c>
      <c r="H229" s="167"/>
      <c r="I229" s="197">
        <f t="shared" si="63"/>
        <v>17.750000000000018</v>
      </c>
      <c r="J229" s="173">
        <f t="shared" si="64"/>
        <v>87498.109148606236</v>
      </c>
      <c r="K229" s="173">
        <v>0</v>
      </c>
      <c r="L229" s="173">
        <v>0</v>
      </c>
      <c r="M229" s="173">
        <f t="shared" si="58"/>
        <v>528.91898458196295</v>
      </c>
      <c r="N229" s="173">
        <f t="shared" si="65"/>
        <v>112.59782664578196</v>
      </c>
      <c r="O229" s="173">
        <f t="shared" si="59"/>
        <v>87811.47880874289</v>
      </c>
      <c r="P229" s="173">
        <f t="shared" si="52"/>
        <v>102.95149779952771</v>
      </c>
      <c r="Q229" s="196">
        <f t="shared" si="66"/>
        <v>0.90262572049718648</v>
      </c>
      <c r="R229" s="173">
        <f t="shared" si="60"/>
        <v>92.926669877563214</v>
      </c>
      <c r="S229" s="196">
        <f t="shared" si="61"/>
        <v>0.13377658264593151</v>
      </c>
    </row>
    <row r="230" spans="1:19">
      <c r="A230" s="197">
        <f t="shared" si="62"/>
        <v>17.83333333333335</v>
      </c>
      <c r="B230" s="196">
        <f t="shared" si="53"/>
        <v>0.99885569744564229</v>
      </c>
      <c r="C230" s="196">
        <f t="shared" si="54"/>
        <v>2.0098782317826043</v>
      </c>
      <c r="D230" s="196">
        <f t="shared" si="55"/>
        <v>0.85222938255558389</v>
      </c>
      <c r="E230" s="196">
        <f t="shared" si="56"/>
        <v>0.88324564834141606</v>
      </c>
      <c r="F230" s="167"/>
      <c r="G230" s="173">
        <f t="shared" si="57"/>
        <v>88324.564834141609</v>
      </c>
      <c r="H230" s="167"/>
      <c r="I230" s="197">
        <f t="shared" si="63"/>
        <v>17.83333333333335</v>
      </c>
      <c r="J230" s="173">
        <f t="shared" si="64"/>
        <v>87910.165916586804</v>
      </c>
      <c r="K230" s="173">
        <v>0</v>
      </c>
      <c r="L230" s="173">
        <v>0</v>
      </c>
      <c r="M230" s="173">
        <f t="shared" si="58"/>
        <v>531.40983437781688</v>
      </c>
      <c r="N230" s="173">
        <f t="shared" si="65"/>
        <v>113.68141336592136</v>
      </c>
      <c r="O230" s="173">
        <f t="shared" si="59"/>
        <v>88224.458332464361</v>
      </c>
      <c r="P230" s="173">
        <f t="shared" si="52"/>
        <v>103.43600513433921</v>
      </c>
      <c r="Q230" s="196">
        <f t="shared" si="66"/>
        <v>0.90161244153345521</v>
      </c>
      <c r="R230" s="173">
        <f t="shared" si="60"/>
        <v>93.259189131638578</v>
      </c>
      <c r="S230" s="196">
        <f t="shared" si="61"/>
        <v>0.1325191360045149</v>
      </c>
    </row>
    <row r="231" spans="1:19">
      <c r="A231" s="197">
        <f t="shared" si="62"/>
        <v>17.916666666666682</v>
      </c>
      <c r="B231" s="196">
        <f t="shared" si="53"/>
        <v>0.99884468188632602</v>
      </c>
      <c r="C231" s="196">
        <f t="shared" si="54"/>
        <v>1.9381402720228555</v>
      </c>
      <c r="D231" s="196">
        <f t="shared" si="55"/>
        <v>0.85735872995313056</v>
      </c>
      <c r="E231" s="196">
        <f t="shared" si="56"/>
        <v>0.88741327745457288</v>
      </c>
      <c r="F231" s="167"/>
      <c r="G231" s="173">
        <f t="shared" si="57"/>
        <v>88741.327745457282</v>
      </c>
      <c r="H231" s="167"/>
      <c r="I231" s="197">
        <f t="shared" si="63"/>
        <v>17.916666666666682</v>
      </c>
      <c r="J231" s="173">
        <f t="shared" si="64"/>
        <v>88324.564834141609</v>
      </c>
      <c r="K231" s="173">
        <v>0</v>
      </c>
      <c r="L231" s="173">
        <v>0</v>
      </c>
      <c r="M231" s="173">
        <f t="shared" si="58"/>
        <v>533.91484227818978</v>
      </c>
      <c r="N231" s="173">
        <f t="shared" si="65"/>
        <v>114.77559514845791</v>
      </c>
      <c r="O231" s="173">
        <f t="shared" si="59"/>
        <v>88639.78081744106</v>
      </c>
      <c r="P231" s="173">
        <f t="shared" si="52"/>
        <v>103.9232638302783</v>
      </c>
      <c r="Q231" s="196">
        <f t="shared" si="66"/>
        <v>0.90059055970975099</v>
      </c>
      <c r="R231" s="173">
        <f t="shared" si="60"/>
        <v>93.592310339774457</v>
      </c>
      <c r="S231" s="196">
        <f t="shared" si="61"/>
        <v>0.13127350886113542</v>
      </c>
    </row>
    <row r="232" spans="1:19">
      <c r="A232" s="197">
        <f t="shared" si="62"/>
        <v>18.000000000000014</v>
      </c>
      <c r="B232" s="196">
        <f t="shared" si="53"/>
        <v>0.99883355862177581</v>
      </c>
      <c r="C232" s="196">
        <f t="shared" si="54"/>
        <v>1.8659911185918066</v>
      </c>
      <c r="D232" s="196">
        <f t="shared" si="55"/>
        <v>0.86252846167915298</v>
      </c>
      <c r="E232" s="196">
        <f t="shared" si="56"/>
        <v>0.89160476824668766</v>
      </c>
      <c r="F232" s="167"/>
      <c r="G232" s="173">
        <f t="shared" si="57"/>
        <v>89160.47682466876</v>
      </c>
      <c r="H232" s="167"/>
      <c r="I232" s="197">
        <f t="shared" si="63"/>
        <v>18.000000000000014</v>
      </c>
      <c r="J232" s="173">
        <f t="shared" si="64"/>
        <v>88741.327745457282</v>
      </c>
      <c r="K232" s="173">
        <v>0</v>
      </c>
      <c r="L232" s="173">
        <v>0</v>
      </c>
      <c r="M232" s="173">
        <f t="shared" si="58"/>
        <v>536.4341403294211</v>
      </c>
      <c r="N232" s="173">
        <f t="shared" si="65"/>
        <v>115.88047547193746</v>
      </c>
      <c r="O232" s="173">
        <f t="shared" si="59"/>
        <v>89057.468110769405</v>
      </c>
      <c r="P232" s="173">
        <f t="shared" si="52"/>
        <v>104.41329954536923</v>
      </c>
      <c r="Q232" s="196">
        <f t="shared" si="66"/>
        <v>0.89956001163184474</v>
      </c>
      <c r="R232" s="173">
        <f t="shared" si="60"/>
        <v>93.926028953551636</v>
      </c>
      <c r="S232" s="196">
        <f t="shared" si="61"/>
        <v>0.13003959011721514</v>
      </c>
    </row>
    <row r="233" spans="1:19">
      <c r="A233" s="197">
        <f t="shared" si="62"/>
        <v>18.083333333333346</v>
      </c>
      <c r="B233" s="196">
        <f t="shared" si="53"/>
        <v>0.99882232660011627</v>
      </c>
      <c r="C233" s="196">
        <f t="shared" si="54"/>
        <v>1.7934268895016561</v>
      </c>
      <c r="D233" s="196">
        <f t="shared" si="55"/>
        <v>0.86773902928968749</v>
      </c>
      <c r="E233" s="196">
        <f t="shared" si="56"/>
        <v>0.8958203458197439</v>
      </c>
      <c r="F233" s="167"/>
      <c r="G233" s="173">
        <f t="shared" si="57"/>
        <v>89582.034581974396</v>
      </c>
      <c r="H233" s="167"/>
      <c r="I233" s="197">
        <f t="shared" si="63"/>
        <v>18.083333333333346</v>
      </c>
      <c r="J233" s="173">
        <f t="shared" si="64"/>
        <v>89160.47682466876</v>
      </c>
      <c r="K233" s="173">
        <v>0</v>
      </c>
      <c r="L233" s="173">
        <v>0</v>
      </c>
      <c r="M233" s="173">
        <f t="shared" si="58"/>
        <v>538.9678625723609</v>
      </c>
      <c r="N233" s="173">
        <f t="shared" si="65"/>
        <v>116.99615882323565</v>
      </c>
      <c r="O233" s="173">
        <f t="shared" si="59"/>
        <v>89477.542390092465</v>
      </c>
      <c r="P233" s="173">
        <f t="shared" si="52"/>
        <v>104.90613832541567</v>
      </c>
      <c r="Q233" s="196">
        <f t="shared" si="66"/>
        <v>0.89852073365606966</v>
      </c>
      <c r="R233" s="173">
        <f t="shared" si="60"/>
        <v>94.260340373177613</v>
      </c>
      <c r="S233" s="196">
        <f t="shared" si="61"/>
        <v>0.12881726971845842</v>
      </c>
    </row>
    <row r="234" spans="1:19">
      <c r="A234" s="197">
        <f t="shared" si="62"/>
        <v>18.166666666666679</v>
      </c>
      <c r="B234" s="196">
        <f t="shared" si="53"/>
        <v>0.99881098475922314</v>
      </c>
      <c r="C234" s="196">
        <f t="shared" si="54"/>
        <v>1.7204436437396706</v>
      </c>
      <c r="D234" s="196">
        <f t="shared" si="55"/>
        <v>0.87299089104299887</v>
      </c>
      <c r="E234" s="196">
        <f t="shared" si="56"/>
        <v>0.90006023869875795</v>
      </c>
      <c r="F234" s="167"/>
      <c r="G234" s="173">
        <f t="shared" si="57"/>
        <v>90006.023869875789</v>
      </c>
      <c r="H234" s="167"/>
      <c r="I234" s="197">
        <f t="shared" si="63"/>
        <v>18.166666666666679</v>
      </c>
      <c r="J234" s="173">
        <f t="shared" si="64"/>
        <v>89582.034581974396</v>
      </c>
      <c r="K234" s="173">
        <v>0</v>
      </c>
      <c r="L234" s="173">
        <v>0</v>
      </c>
      <c r="M234" s="173">
        <f t="shared" si="58"/>
        <v>541.5161450793355</v>
      </c>
      <c r="N234" s="173">
        <f t="shared" si="65"/>
        <v>118.12275070733497</v>
      </c>
      <c r="O234" s="173">
        <f t="shared" si="59"/>
        <v>89900.026169734934</v>
      </c>
      <c r="P234" s="173">
        <f t="shared" si="52"/>
        <v>105.40180661146587</v>
      </c>
      <c r="Q234" s="196">
        <f t="shared" si="66"/>
        <v>0.8974726618931409</v>
      </c>
      <c r="R234" s="173">
        <f t="shared" si="60"/>
        <v>94.595239947938339</v>
      </c>
      <c r="S234" s="196">
        <f t="shared" si="61"/>
        <v>0.1276064386450361</v>
      </c>
    </row>
    <row r="235" spans="1:19">
      <c r="A235" s="197">
        <f t="shared" si="62"/>
        <v>18.250000000000011</v>
      </c>
      <c r="B235" s="196">
        <f t="shared" si="53"/>
        <v>0.99879953202662408</v>
      </c>
      <c r="C235" s="196">
        <f t="shared" si="54"/>
        <v>1.6470373801704365</v>
      </c>
      <c r="D235" s="196">
        <f t="shared" si="55"/>
        <v>0.87828451201876312</v>
      </c>
      <c r="E235" s="196">
        <f t="shared" si="56"/>
        <v>0.90432467889545443</v>
      </c>
      <c r="F235" s="167"/>
      <c r="G235" s="173">
        <f t="shared" si="57"/>
        <v>90432.467889545442</v>
      </c>
      <c r="H235" s="167"/>
      <c r="I235" s="197">
        <f t="shared" si="63"/>
        <v>18.250000000000011</v>
      </c>
      <c r="J235" s="173">
        <f t="shared" si="64"/>
        <v>90006.023869875789</v>
      </c>
      <c r="K235" s="173">
        <v>0</v>
      </c>
      <c r="L235" s="173">
        <v>0</v>
      </c>
      <c r="M235" s="173">
        <f t="shared" si="58"/>
        <v>544.07912599186659</v>
      </c>
      <c r="N235" s="173">
        <f t="shared" si="65"/>
        <v>119.26035765720225</v>
      </c>
      <c r="O235" s="173">
        <f t="shared" si="59"/>
        <v>90324.942306963712</v>
      </c>
      <c r="P235" s="173">
        <f t="shared" si="52"/>
        <v>105.90033124673937</v>
      </c>
      <c r="Q235" s="196">
        <f t="shared" si="66"/>
        <v>0.89641573221210646</v>
      </c>
      <c r="R235" s="173">
        <f t="shared" si="60"/>
        <v>94.93072297605049</v>
      </c>
      <c r="S235" s="196">
        <f t="shared" si="61"/>
        <v>0.12640698890186219</v>
      </c>
    </row>
    <row r="236" spans="1:19">
      <c r="A236" s="197">
        <f t="shared" si="62"/>
        <v>18.333333333333343</v>
      </c>
      <c r="B236" s="196">
        <f t="shared" si="53"/>
        <v>0.99878796731939767</v>
      </c>
      <c r="C236" s="196">
        <f t="shared" si="54"/>
        <v>1.5732040364156172</v>
      </c>
      <c r="D236" s="196">
        <f t="shared" si="55"/>
        <v>0.88362036423966461</v>
      </c>
      <c r="E236" s="196">
        <f t="shared" si="56"/>
        <v>0.90861390197324554</v>
      </c>
      <c r="F236" s="167"/>
      <c r="G236" s="173">
        <f t="shared" si="57"/>
        <v>90861.390197324552</v>
      </c>
      <c r="H236" s="167"/>
      <c r="I236" s="197">
        <f t="shared" si="63"/>
        <v>18.333333333333343</v>
      </c>
      <c r="J236" s="173">
        <f t="shared" si="64"/>
        <v>90432.467889545442</v>
      </c>
      <c r="K236" s="173">
        <v>0</v>
      </c>
      <c r="L236" s="173">
        <v>0</v>
      </c>
      <c r="M236" s="173">
        <f t="shared" si="58"/>
        <v>546.65694555916309</v>
      </c>
      <c r="N236" s="173">
        <f t="shared" si="65"/>
        <v>120.40908724373286</v>
      </c>
      <c r="O236" s="173">
        <f t="shared" si="59"/>
        <v>90752.314008376256</v>
      </c>
      <c r="P236" s="173">
        <f t="shared" si="52"/>
        <v>106.40173948461597</v>
      </c>
      <c r="Q236" s="196">
        <f t="shared" si="66"/>
        <v>0.89534988024443407</v>
      </c>
      <c r="R236" s="173">
        <f t="shared" si="60"/>
        <v>95.266784705350389</v>
      </c>
      <c r="S236" s="196">
        <f t="shared" si="61"/>
        <v>0.1252188135089615</v>
      </c>
    </row>
    <row r="237" spans="1:19">
      <c r="A237" s="197">
        <f t="shared" si="62"/>
        <v>18.416666666666675</v>
      </c>
      <c r="B237" s="196">
        <f t="shared" si="53"/>
        <v>0.99877628954407294</v>
      </c>
      <c r="C237" s="196">
        <f t="shared" si="54"/>
        <v>1.4989394877107107</v>
      </c>
      <c r="D237" s="196">
        <f t="shared" si="55"/>
        <v>0.88899892679546455</v>
      </c>
      <c r="E237" s="196">
        <f t="shared" si="56"/>
        <v>0.91292814711354553</v>
      </c>
      <c r="F237" s="167"/>
      <c r="G237" s="173">
        <f t="shared" si="57"/>
        <v>91292.814711354556</v>
      </c>
      <c r="H237" s="167"/>
      <c r="I237" s="197">
        <f t="shared" si="63"/>
        <v>18.416666666666675</v>
      </c>
      <c r="J237" s="173">
        <f t="shared" si="64"/>
        <v>90861.390197324552</v>
      </c>
      <c r="K237" s="173">
        <v>0</v>
      </c>
      <c r="L237" s="173">
        <v>0</v>
      </c>
      <c r="M237" s="173">
        <f t="shared" si="58"/>
        <v>549.24974617740008</v>
      </c>
      <c r="N237" s="173">
        <f t="shared" si="65"/>
        <v>121.56904808588416</v>
      </c>
      <c r="O237" s="173">
        <f t="shared" si="59"/>
        <v>91182.164836420226</v>
      </c>
      <c r="P237" s="173">
        <f t="shared" si="52"/>
        <v>106.90605899583898</v>
      </c>
      <c r="Q237" s="196">
        <f t="shared" si="66"/>
        <v>0.89427504138823466</v>
      </c>
      <c r="R237" s="173">
        <f t="shared" si="60"/>
        <v>95.603420333156961</v>
      </c>
      <c r="S237" s="196">
        <f t="shared" si="61"/>
        <v>0.12404180649192804</v>
      </c>
    </row>
    <row r="238" spans="1:19">
      <c r="A238" s="197">
        <f t="shared" si="62"/>
        <v>18.500000000000007</v>
      </c>
      <c r="B238" s="196">
        <f t="shared" si="53"/>
        <v>0.99876449759652641</v>
      </c>
      <c r="C238" s="196">
        <f t="shared" si="54"/>
        <v>1.4242395457382848</v>
      </c>
      <c r="D238" s="196">
        <f t="shared" si="55"/>
        <v>0.89442068596959567</v>
      </c>
      <c r="E238" s="196">
        <f t="shared" si="56"/>
        <v>0.91726765718344916</v>
      </c>
      <c r="F238" s="167"/>
      <c r="G238" s="173">
        <f t="shared" si="57"/>
        <v>91726.765718344919</v>
      </c>
      <c r="H238" s="167"/>
      <c r="I238" s="197">
        <f t="shared" si="63"/>
        <v>18.500000000000007</v>
      </c>
      <c r="J238" s="173">
        <f t="shared" si="64"/>
        <v>91292.814711354556</v>
      </c>
      <c r="K238" s="173">
        <v>0</v>
      </c>
      <c r="L238" s="173">
        <v>0</v>
      </c>
      <c r="M238" s="173">
        <f t="shared" si="58"/>
        <v>551.85767242980592</v>
      </c>
      <c r="N238" s="173">
        <f t="shared" si="65"/>
        <v>122.74034986075341</v>
      </c>
      <c r="O238" s="173">
        <f t="shared" si="59"/>
        <v>91614.518716047009</v>
      </c>
      <c r="P238" s="173">
        <f t="shared" si="52"/>
        <v>107.41331787659146</v>
      </c>
      <c r="Q238" s="196">
        <f t="shared" si="66"/>
        <v>0.89319115081262512</v>
      </c>
      <c r="R238" s="173">
        <f t="shared" si="60"/>
        <v>95.940625006795045</v>
      </c>
      <c r="S238" s="196">
        <f t="shared" si="61"/>
        <v>0.12287586287247294</v>
      </c>
    </row>
    <row r="239" spans="1:19">
      <c r="A239" s="197">
        <f t="shared" si="62"/>
        <v>18.583333333333339</v>
      </c>
      <c r="B239" s="196">
        <f t="shared" si="53"/>
        <v>0.99875259036187958</v>
      </c>
      <c r="C239" s="196">
        <f t="shared" si="54"/>
        <v>1.3490999574371549</v>
      </c>
      <c r="D239" s="196">
        <f t="shared" si="55"/>
        <v>0.89988613536834161</v>
      </c>
      <c r="E239" s="196">
        <f t="shared" si="56"/>
        <v>0.92163267880480537</v>
      </c>
      <c r="F239" s="167"/>
      <c r="G239" s="173">
        <f t="shared" si="57"/>
        <v>92163.267880480533</v>
      </c>
      <c r="H239" s="167"/>
      <c r="I239" s="197">
        <f t="shared" si="63"/>
        <v>18.583333333333339</v>
      </c>
      <c r="J239" s="173">
        <f t="shared" si="64"/>
        <v>91726.765718344919</v>
      </c>
      <c r="K239" s="173">
        <v>0</v>
      </c>
      <c r="L239" s="173">
        <v>0</v>
      </c>
      <c r="M239" s="173">
        <f t="shared" si="58"/>
        <v>554.48087112757253</v>
      </c>
      <c r="N239" s="173">
        <f t="shared" si="65"/>
        <v>123.92310331390061</v>
      </c>
      <c r="O239" s="173">
        <f t="shared" si="59"/>
        <v>92049.399941502212</v>
      </c>
      <c r="P239" s="173">
        <f t="shared" si="52"/>
        <v>107.9235446563689</v>
      </c>
      <c r="Q239" s="196">
        <f t="shared" si="66"/>
        <v>0.89209814346223415</v>
      </c>
      <c r="R239" s="173">
        <f t="shared" si="60"/>
        <v>96.278393823810219</v>
      </c>
      <c r="S239" s="196">
        <f t="shared" si="61"/>
        <v>0.12172087865906159</v>
      </c>
    </row>
    <row r="240" spans="1:19">
      <c r="A240" s="197">
        <f t="shared" si="62"/>
        <v>18.666666666666671</v>
      </c>
      <c r="B240" s="196">
        <f t="shared" si="53"/>
        <v>0.9987405667143936</v>
      </c>
      <c r="C240" s="196">
        <f t="shared" si="54"/>
        <v>1.2735164037869589</v>
      </c>
      <c r="D240" s="196">
        <f t="shared" si="55"/>
        <v>0.90539577605265975</v>
      </c>
      <c r="E240" s="196">
        <f t="shared" si="56"/>
        <v>0.92602346242471889</v>
      </c>
      <c r="F240" s="167"/>
      <c r="G240" s="173">
        <f t="shared" si="57"/>
        <v>92602.346242471889</v>
      </c>
      <c r="H240" s="167"/>
      <c r="I240" s="197">
        <f t="shared" si="63"/>
        <v>18.666666666666671</v>
      </c>
      <c r="J240" s="173">
        <f t="shared" si="64"/>
        <v>92163.267880480533</v>
      </c>
      <c r="K240" s="173">
        <v>0</v>
      </c>
      <c r="L240" s="173">
        <v>0</v>
      </c>
      <c r="M240" s="173">
        <f t="shared" si="58"/>
        <v>557.11949135161058</v>
      </c>
      <c r="N240" s="173">
        <f t="shared" si="65"/>
        <v>125.11742026963785</v>
      </c>
      <c r="O240" s="173">
        <f t="shared" si="59"/>
        <v>92486.833183256458</v>
      </c>
      <c r="P240" s="173">
        <f t="shared" si="52"/>
        <v>108.4367683060409</v>
      </c>
      <c r="Q240" s="196">
        <f t="shared" si="66"/>
        <v>0.89099595406185228</v>
      </c>
      <c r="R240" s="173">
        <f t="shared" si="60"/>
        <v>96.61672183222494</v>
      </c>
      <c r="S240" s="196">
        <f t="shared" si="61"/>
        <v>0.1205767508376385</v>
      </c>
    </row>
    <row r="241" spans="1:19">
      <c r="A241" s="197">
        <f t="shared" si="62"/>
        <v>18.750000000000004</v>
      </c>
      <c r="B241" s="196">
        <f t="shared" si="53"/>
        <v>0.99872842551736529</v>
      </c>
      <c r="C241" s="196">
        <f t="shared" si="54"/>
        <v>1.1974844985675674</v>
      </c>
      <c r="D241" s="196">
        <f t="shared" si="55"/>
        <v>0.91095011667270875</v>
      </c>
      <c r="E241" s="196">
        <f t="shared" si="56"/>
        <v>0.93044026238751099</v>
      </c>
      <c r="F241" s="167"/>
      <c r="G241" s="173">
        <f t="shared" si="57"/>
        <v>93044.026238751103</v>
      </c>
      <c r="H241" s="167"/>
      <c r="I241" s="197">
        <f t="shared" si="63"/>
        <v>18.750000000000004</v>
      </c>
      <c r="J241" s="173">
        <f t="shared" si="64"/>
        <v>92602.346242471889</v>
      </c>
      <c r="K241" s="173">
        <v>0</v>
      </c>
      <c r="L241" s="173">
        <v>0</v>
      </c>
      <c r="M241" s="173">
        <f t="shared" si="58"/>
        <v>559.77368449516689</v>
      </c>
      <c r="N241" s="173">
        <f t="shared" si="65"/>
        <v>126.32341364158603</v>
      </c>
      <c r="O241" s="173">
        <f t="shared" si="59"/>
        <v>92926.843495079185</v>
      </c>
      <c r="P241" s="173">
        <f t="shared" si="52"/>
        <v>108.95301824629132</v>
      </c>
      <c r="Q241" s="196">
        <f t="shared" si="66"/>
        <v>0.88988451712122918</v>
      </c>
      <c r="R241" s="173">
        <f t="shared" si="60"/>
        <v>96.955604031001428</v>
      </c>
      <c r="S241" s="196">
        <f t="shared" si="61"/>
        <v>0.11944337736243907</v>
      </c>
    </row>
    <row r="242" spans="1:19">
      <c r="A242" s="197">
        <f t="shared" si="62"/>
        <v>18.833333333333336</v>
      </c>
      <c r="B242" s="196">
        <f t="shared" si="53"/>
        <v>0.99871616562301968</v>
      </c>
      <c r="C242" s="196">
        <f t="shared" si="54"/>
        <v>1.1209997870927537</v>
      </c>
      <c r="D242" s="196">
        <f t="shared" si="55"/>
        <v>0.91654967360514183</v>
      </c>
      <c r="E242" s="196">
        <f t="shared" si="56"/>
        <v>0.93488333700817361</v>
      </c>
      <c r="F242" s="167"/>
      <c r="G242" s="173">
        <f t="shared" si="57"/>
        <v>93488.333700817355</v>
      </c>
      <c r="H242" s="167"/>
      <c r="I242" s="197">
        <f t="shared" si="63"/>
        <v>18.833333333333336</v>
      </c>
      <c r="J242" s="173">
        <f t="shared" si="64"/>
        <v>93044.026238751103</v>
      </c>
      <c r="K242" s="173">
        <v>0</v>
      </c>
      <c r="L242" s="173">
        <v>0</v>
      </c>
      <c r="M242" s="173">
        <f t="shared" si="58"/>
        <v>562.44360430732422</v>
      </c>
      <c r="N242" s="173">
        <f t="shared" si="65"/>
        <v>127.54119744310906</v>
      </c>
      <c r="O242" s="173">
        <f t="shared" si="59"/>
        <v>93369.456321259364</v>
      </c>
      <c r="P242" s="173">
        <f t="shared" si="52"/>
        <v>109.47232435595652</v>
      </c>
      <c r="Q242" s="196">
        <f t="shared" si="66"/>
        <v>0.88876376694002091</v>
      </c>
      <c r="R242" s="173">
        <f t="shared" si="60"/>
        <v>97.295035370279706</v>
      </c>
      <c r="S242" s="196">
        <f t="shared" si="61"/>
        <v>0.11832065714688846</v>
      </c>
    </row>
    <row r="243" spans="1:19">
      <c r="A243" s="197">
        <f t="shared" si="62"/>
        <v>18.916666666666668</v>
      </c>
      <c r="B243" s="196">
        <f t="shared" si="53"/>
        <v>0.99870378587240372</v>
      </c>
      <c r="C243" s="196">
        <f t="shared" si="54"/>
        <v>1.0440577449175323</v>
      </c>
      <c r="D243" s="196">
        <f t="shared" si="55"/>
        <v>0.92219497109323145</v>
      </c>
      <c r="E243" s="196">
        <f t="shared" si="56"/>
        <v>0.93935294864735064</v>
      </c>
      <c r="F243" s="167"/>
      <c r="G243" s="173">
        <f t="shared" si="57"/>
        <v>93935.294864735057</v>
      </c>
      <c r="H243" s="167"/>
      <c r="I243" s="197">
        <f t="shared" si="63"/>
        <v>18.916666666666668</v>
      </c>
      <c r="J243" s="173">
        <f t="shared" si="64"/>
        <v>93488.333700817355</v>
      </c>
      <c r="K243" s="173">
        <v>0</v>
      </c>
      <c r="L243" s="173">
        <v>0</v>
      </c>
      <c r="M243" s="173">
        <f t="shared" si="58"/>
        <v>565.12940693740336</v>
      </c>
      <c r="N243" s="173">
        <f t="shared" si="65"/>
        <v>128.77088679809319</v>
      </c>
      <c r="O243" s="173">
        <f t="shared" si="59"/>
        <v>93814.697503975927</v>
      </c>
      <c r="P243" s="173">
        <f t="shared" si="52"/>
        <v>109.99471698072739</v>
      </c>
      <c r="Q243" s="196">
        <f t="shared" si="66"/>
        <v>0.88763363761288971</v>
      </c>
      <c r="R243" s="173">
        <f t="shared" si="60"/>
        <v>97.635010751803335</v>
      </c>
      <c r="S243" s="196">
        <f t="shared" si="61"/>
        <v>0.1172084900545854</v>
      </c>
    </row>
    <row r="244" spans="1:19">
      <c r="A244" s="197">
        <f t="shared" si="62"/>
        <v>19</v>
      </c>
      <c r="B244" s="196">
        <f t="shared" si="53"/>
        <v>0.99869128509527727</v>
      </c>
      <c r="C244" s="196">
        <f t="shared" si="54"/>
        <v>0.96665377651856232</v>
      </c>
      <c r="D244" s="196">
        <f t="shared" si="55"/>
        <v>0.9278865413898888</v>
      </c>
      <c r="E244" s="196">
        <f t="shared" si="56"/>
        <v>0.9438493637878822</v>
      </c>
      <c r="F244" s="167"/>
      <c r="G244" s="173">
        <f t="shared" si="57"/>
        <v>94384.936378788218</v>
      </c>
      <c r="H244" s="167"/>
      <c r="I244" s="197">
        <f t="shared" si="63"/>
        <v>19</v>
      </c>
      <c r="J244" s="173">
        <f t="shared" si="64"/>
        <v>93935.294864735057</v>
      </c>
      <c r="K244" s="173">
        <v>0</v>
      </c>
      <c r="L244" s="173">
        <v>0</v>
      </c>
      <c r="M244" s="173">
        <f t="shared" si="58"/>
        <v>567.83125098028904</v>
      </c>
      <c r="N244" s="173">
        <f t="shared" si="65"/>
        <v>130.01259795160399</v>
      </c>
      <c r="O244" s="173">
        <f t="shared" si="59"/>
        <v>94262.593290821751</v>
      </c>
      <c r="P244" s="173">
        <f t="shared" si="52"/>
        <v>110.52022694199695</v>
      </c>
      <c r="Q244" s="196">
        <f t="shared" si="66"/>
        <v>0.8864940630347582</v>
      </c>
      <c r="R244" s="173">
        <f t="shared" si="60"/>
        <v>97.97552502933442</v>
      </c>
      <c r="S244" s="196">
        <f t="shared" si="61"/>
        <v>0.1161067768903709</v>
      </c>
    </row>
    <row r="245" spans="1:19">
      <c r="A245" s="197">
        <f t="shared" si="62"/>
        <v>19.083333333333332</v>
      </c>
      <c r="B245" s="196">
        <f t="shared" si="53"/>
        <v>0.998678662110004</v>
      </c>
      <c r="C245" s="196">
        <f t="shared" si="54"/>
        <v>0.88878321394699411</v>
      </c>
      <c r="D245" s="196">
        <f t="shared" si="55"/>
        <v>0.93362492490364735</v>
      </c>
      <c r="E245" s="196">
        <f t="shared" si="56"/>
        <v>0.94837285311294672</v>
      </c>
      <c r="F245" s="167"/>
      <c r="G245" s="173">
        <f t="shared" si="57"/>
        <v>94837.285311294676</v>
      </c>
      <c r="H245" s="167"/>
      <c r="I245" s="197">
        <f t="shared" si="63"/>
        <v>19.083333333333332</v>
      </c>
      <c r="J245" s="173">
        <f t="shared" si="64"/>
        <v>94384.936378788218</v>
      </c>
      <c r="K245" s="173">
        <v>0</v>
      </c>
      <c r="L245" s="173">
        <v>0</v>
      </c>
      <c r="M245" s="173">
        <f t="shared" si="58"/>
        <v>570.54929752270027</v>
      </c>
      <c r="N245" s="173">
        <f t="shared" si="65"/>
        <v>131.26644828082161</v>
      </c>
      <c r="O245" s="173">
        <f t="shared" si="59"/>
        <v>94713.170342484344</v>
      </c>
      <c r="P245" s="173">
        <f t="shared" si="52"/>
        <v>111.04888554575155</v>
      </c>
      <c r="Q245" s="196">
        <f t="shared" si="66"/>
        <v>0.88534497690622227</v>
      </c>
      <c r="R245" s="173">
        <f t="shared" si="60"/>
        <v>98.316573008965122</v>
      </c>
      <c r="S245" s="196">
        <f t="shared" si="61"/>
        <v>0.11501541939148087</v>
      </c>
    </row>
    <row r="246" spans="1:19">
      <c r="A246" s="197">
        <f t="shared" si="62"/>
        <v>19.166666666666664</v>
      </c>
      <c r="B246" s="196">
        <f t="shared" si="53"/>
        <v>0.99866591572344132</v>
      </c>
      <c r="C246" s="196">
        <f t="shared" si="54"/>
        <v>0.81044131545312359</v>
      </c>
      <c r="D246" s="196">
        <f t="shared" si="55"/>
        <v>0.93941067034767745</v>
      </c>
      <c r="E246" s="196">
        <f t="shared" si="56"/>
        <v>0.95292369158583912</v>
      </c>
      <c r="F246" s="167"/>
      <c r="G246" s="173">
        <f t="shared" si="57"/>
        <v>95292.369158583911</v>
      </c>
      <c r="H246" s="167"/>
      <c r="I246" s="197">
        <f t="shared" si="63"/>
        <v>19.166666666666664</v>
      </c>
      <c r="J246" s="173">
        <f t="shared" si="64"/>
        <v>94837.285311294676</v>
      </c>
      <c r="K246" s="173">
        <v>0</v>
      </c>
      <c r="L246" s="173">
        <v>0</v>
      </c>
      <c r="M246" s="173">
        <f t="shared" si="58"/>
        <v>573.28371019042663</v>
      </c>
      <c r="N246" s="173">
        <f t="shared" si="65"/>
        <v>132.53255630598716</v>
      </c>
      <c r="O246" s="173">
        <f t="shared" si="59"/>
        <v>95166.455740587189</v>
      </c>
      <c r="P246" s="173">
        <f t="shared" si="52"/>
        <v>111.58072459192772</v>
      </c>
      <c r="Q246" s="196">
        <f t="shared" si="66"/>
        <v>0.88418631273912374</v>
      </c>
      <c r="R246" s="173">
        <f t="shared" si="60"/>
        <v>98.658149449696239</v>
      </c>
      <c r="S246" s="196">
        <f t="shared" si="61"/>
        <v>0.11393432021878239</v>
      </c>
    </row>
    <row r="247" spans="1:19">
      <c r="A247" s="197">
        <f t="shared" si="62"/>
        <v>19.249999999999996</v>
      </c>
      <c r="B247" s="196">
        <f t="shared" si="53"/>
        <v>0.99865304473082817</v>
      </c>
      <c r="C247" s="196">
        <f t="shared" si="54"/>
        <v>0.73162326408219946</v>
      </c>
      <c r="D247" s="196">
        <f t="shared" si="55"/>
        <v>0.94524433489190296</v>
      </c>
      <c r="E247" s="196">
        <f t="shared" si="56"/>
        <v>0.95750215853142151</v>
      </c>
      <c r="F247" s="167"/>
      <c r="G247" s="173">
        <f t="shared" si="57"/>
        <v>95750.215853142145</v>
      </c>
      <c r="H247" s="167"/>
      <c r="I247" s="197">
        <f t="shared" si="63"/>
        <v>19.249999999999996</v>
      </c>
      <c r="J247" s="173">
        <f t="shared" si="64"/>
        <v>95292.369158583911</v>
      </c>
      <c r="K247" s="173">
        <v>0</v>
      </c>
      <c r="L247" s="173">
        <v>0</v>
      </c>
      <c r="M247" s="173">
        <f t="shared" si="58"/>
        <v>576.03465519655322</v>
      </c>
      <c r="N247" s="173">
        <f t="shared" si="65"/>
        <v>133.81104170143828</v>
      </c>
      <c r="O247" s="173">
        <f t="shared" si="59"/>
        <v>95622.476995695368</v>
      </c>
      <c r="P247" s="173">
        <f t="shared" si="52"/>
        <v>112.1157763836527</v>
      </c>
      <c r="Q247" s="196">
        <f t="shared" si="66"/>
        <v>0.88301800386228568</v>
      </c>
      <c r="R247" s="173">
        <f t="shared" si="60"/>
        <v>99.000249063763405</v>
      </c>
      <c r="S247" s="196">
        <f t="shared" si="61"/>
        <v>0.11286338294809144</v>
      </c>
    </row>
    <row r="248" spans="1:19">
      <c r="A248" s="197">
        <f t="shared" si="62"/>
        <v>19.333333333333329</v>
      </c>
      <c r="B248" s="196">
        <f t="shared" si="53"/>
        <v>0.9986400479156734</v>
      </c>
      <c r="C248" s="196">
        <f t="shared" si="54"/>
        <v>0.65232416624071499</v>
      </c>
      <c r="D248" s="196">
        <f t="shared" si="55"/>
        <v>0.95112648431829472</v>
      </c>
      <c r="E248" s="196">
        <f t="shared" si="56"/>
        <v>0.96210853771928706</v>
      </c>
      <c r="F248" s="167"/>
      <c r="G248" s="173">
        <f t="shared" si="57"/>
        <v>96210.853771928712</v>
      </c>
      <c r="H248" s="167"/>
      <c r="I248" s="197">
        <f t="shared" si="63"/>
        <v>19.333333333333329</v>
      </c>
      <c r="J248" s="173">
        <f t="shared" si="64"/>
        <v>95750.215853142145</v>
      </c>
      <c r="K248" s="173">
        <v>0</v>
      </c>
      <c r="L248" s="173">
        <v>0</v>
      </c>
      <c r="M248" s="173">
        <f t="shared" si="58"/>
        <v>578.80230139069738</v>
      </c>
      <c r="N248" s="173">
        <f t="shared" si="65"/>
        <v>135.10202530686738</v>
      </c>
      <c r="O248" s="173">
        <f t="shared" si="59"/>
        <v>96081.262055489089</v>
      </c>
      <c r="P248" s="173">
        <f t="shared" si="52"/>
        <v>112.65407373687776</v>
      </c>
      <c r="Q248" s="196">
        <f t="shared" si="66"/>
        <v>0.88183998342741476</v>
      </c>
      <c r="R248" s="173">
        <f t="shared" si="60"/>
        <v>99.342866517159052</v>
      </c>
      <c r="S248" s="196">
        <f t="shared" si="61"/>
        <v>0.11180251206157295</v>
      </c>
    </row>
    <row r="249" spans="1:19">
      <c r="A249" s="197">
        <f t="shared" si="62"/>
        <v>19.416666666666661</v>
      </c>
      <c r="B249" s="196">
        <f t="shared" si="53"/>
        <v>0.99862692404964137</v>
      </c>
      <c r="C249" s="196">
        <f t="shared" si="54"/>
        <v>0.57253905023249707</v>
      </c>
      <c r="D249" s="196">
        <f t="shared" si="55"/>
        <v>0.95705769317941114</v>
      </c>
      <c r="E249" s="196">
        <f t="shared" si="56"/>
        <v>0.9667431174486748</v>
      </c>
      <c r="F249" s="167"/>
      <c r="G249" s="173">
        <f t="shared" si="57"/>
        <v>96674.311744867475</v>
      </c>
      <c r="H249" s="167"/>
      <c r="I249" s="197">
        <f t="shared" si="63"/>
        <v>19.416666666666661</v>
      </c>
      <c r="J249" s="173">
        <f t="shared" si="64"/>
        <v>96210.853771928712</v>
      </c>
      <c r="K249" s="173">
        <v>0</v>
      </c>
      <c r="L249" s="173">
        <v>0</v>
      </c>
      <c r="M249" s="173">
        <f t="shared" si="58"/>
        <v>581.58682030928037</v>
      </c>
      <c r="N249" s="173">
        <f t="shared" si="65"/>
        <v>136.40562913851298</v>
      </c>
      <c r="O249" s="173">
        <f t="shared" si="59"/>
        <v>96542.839313109202</v>
      </c>
      <c r="P249" s="173">
        <f t="shared" si="52"/>
        <v>113.19564999028808</v>
      </c>
      <c r="Q249" s="196">
        <f t="shared" si="66"/>
        <v>0.88065218441517079</v>
      </c>
      <c r="R249" s="173">
        <f t="shared" si="60"/>
        <v>99.685996430242298</v>
      </c>
      <c r="S249" s="196">
        <f t="shared" si="61"/>
        <v>0.11075161293922162</v>
      </c>
    </row>
    <row r="250" spans="1:19">
      <c r="A250" s="197">
        <f t="shared" si="62"/>
        <v>19.499999999999993</v>
      </c>
      <c r="B250" s="196">
        <f t="shared" si="53"/>
        <v>0.99861367189243777</v>
      </c>
      <c r="C250" s="196">
        <f t="shared" si="54"/>
        <v>0.49226286476388725</v>
      </c>
      <c r="D250" s="196">
        <f t="shared" si="55"/>
        <v>0.96303854496026586</v>
      </c>
      <c r="E250" s="196">
        <f t="shared" si="56"/>
        <v>0.97140619063517797</v>
      </c>
      <c r="F250" s="167"/>
      <c r="G250" s="173">
        <f t="shared" si="57"/>
        <v>97140.619063517792</v>
      </c>
      <c r="H250" s="167"/>
      <c r="I250" s="197">
        <f t="shared" si="63"/>
        <v>19.499999999999993</v>
      </c>
      <c r="J250" s="173">
        <f t="shared" si="64"/>
        <v>96674.311744867475</v>
      </c>
      <c r="K250" s="173">
        <v>0</v>
      </c>
      <c r="L250" s="173">
        <v>0</v>
      </c>
      <c r="M250" s="173">
        <f t="shared" si="58"/>
        <v>584.38838622685762</v>
      </c>
      <c r="N250" s="173">
        <f t="shared" si="65"/>
        <v>137.72197640064076</v>
      </c>
      <c r="O250" s="173">
        <f t="shared" si="59"/>
        <v>97007.237615678721</v>
      </c>
      <c r="P250" s="173">
        <f t="shared" si="52"/>
        <v>113.74053901496518</v>
      </c>
      <c r="Q250" s="196">
        <f t="shared" si="66"/>
        <v>0.87945453964140863</v>
      </c>
      <c r="R250" s="173">
        <f t="shared" si="60"/>
        <v>100.02963337797188</v>
      </c>
      <c r="S250" s="196">
        <f t="shared" si="61"/>
        <v>0.10971059185042245</v>
      </c>
    </row>
    <row r="251" spans="1:19">
      <c r="A251" s="197">
        <f t="shared" si="62"/>
        <v>19.583333333333325</v>
      </c>
      <c r="B251" s="196">
        <f t="shared" si="53"/>
        <v>0.99860029019169383</v>
      </c>
      <c r="C251" s="196">
        <f t="shared" si="54"/>
        <v>0.411490477417292</v>
      </c>
      <c r="D251" s="196">
        <f t="shared" si="55"/>
        <v>0.96906963224359866</v>
      </c>
      <c r="E251" s="196">
        <f t="shared" si="56"/>
        <v>0.9760980548992868</v>
      </c>
      <c r="F251" s="167"/>
      <c r="G251" s="173">
        <f t="shared" si="57"/>
        <v>97609.80548992868</v>
      </c>
      <c r="H251" s="167"/>
      <c r="I251" s="197">
        <f t="shared" si="63"/>
        <v>19.583333333333325</v>
      </c>
      <c r="J251" s="173">
        <f t="shared" si="64"/>
        <v>97140.619063517792</v>
      </c>
      <c r="K251" s="173">
        <v>0</v>
      </c>
      <c r="L251" s="173">
        <v>0</v>
      </c>
      <c r="M251" s="173">
        <f t="shared" si="58"/>
        <v>587.20717620853338</v>
      </c>
      <c r="N251" s="173">
        <f t="shared" si="65"/>
        <v>139.05119149699101</v>
      </c>
      <c r="O251" s="173">
        <f t="shared" si="59"/>
        <v>97474.48627300431</v>
      </c>
      <c r="P251" s="173">
        <f t="shared" si="52"/>
        <v>114.28877522502444</v>
      </c>
      <c r="Q251" s="196">
        <f t="shared" si="66"/>
        <v>0.87824698176359328</v>
      </c>
      <c r="R251" s="173">
        <f t="shared" si="60"/>
        <v>100.37377189083544</v>
      </c>
      <c r="S251" s="196">
        <f t="shared" si="61"/>
        <v>0.1086793559455909</v>
      </c>
    </row>
    <row r="252" spans="1:19">
      <c r="A252" s="197">
        <f t="shared" si="62"/>
        <v>19.666666666666657</v>
      </c>
      <c r="B252" s="196">
        <f t="shared" si="53"/>
        <v>0.99858677768284887</v>
      </c>
      <c r="C252" s="196">
        <f t="shared" si="54"/>
        <v>0.33021667309235953</v>
      </c>
      <c r="D252" s="196">
        <f t="shared" si="55"/>
        <v>0.97515155687863087</v>
      </c>
      <c r="E252" s="196">
        <f t="shared" si="56"/>
        <v>0.98081901265680971</v>
      </c>
      <c r="F252" s="167"/>
      <c r="G252" s="173">
        <f t="shared" si="57"/>
        <v>98081.901265680965</v>
      </c>
      <c r="H252" s="167"/>
      <c r="I252" s="197">
        <f t="shared" si="63"/>
        <v>19.666666666666657</v>
      </c>
      <c r="J252" s="173">
        <f t="shared" si="64"/>
        <v>97609.80548992868</v>
      </c>
      <c r="K252" s="173">
        <v>0</v>
      </c>
      <c r="L252" s="173">
        <v>0</v>
      </c>
      <c r="M252" s="173">
        <f t="shared" si="58"/>
        <v>590.04337016348393</v>
      </c>
      <c r="N252" s="173">
        <f t="shared" si="65"/>
        <v>140.39340004239321</v>
      </c>
      <c r="O252" s="173">
        <f t="shared" si="59"/>
        <v>97944.61506646208</v>
      </c>
      <c r="P252" s="173">
        <f t="shared" si="52"/>
        <v>114.84039358769951</v>
      </c>
      <c r="Q252" s="196">
        <f t="shared" si="66"/>
        <v>0.87702944328739274</v>
      </c>
      <c r="R252" s="173">
        <f t="shared" si="60"/>
        <v>100.71840645512516</v>
      </c>
      <c r="S252" s="196">
        <f t="shared" si="61"/>
        <v>0.10765781324789166</v>
      </c>
    </row>
    <row r="253" spans="1:19">
      <c r="A253" s="197">
        <f t="shared" si="62"/>
        <v>19.749999999999989</v>
      </c>
      <c r="B253" s="196">
        <f t="shared" si="53"/>
        <v>0.99857313308903317</v>
      </c>
      <c r="C253" s="196">
        <f t="shared" si="54"/>
        <v>0.24843615241402267</v>
      </c>
      <c r="D253" s="196">
        <f t="shared" si="55"/>
        <v>0.98128493015338747</v>
      </c>
      <c r="E253" s="196">
        <f t="shared" si="56"/>
        <v>0.98556937121121568</v>
      </c>
      <c r="F253" s="167"/>
      <c r="G253" s="173">
        <f t="shared" si="57"/>
        <v>98556.937121121562</v>
      </c>
      <c r="H253" s="167"/>
      <c r="I253" s="197">
        <f t="shared" si="63"/>
        <v>19.749999999999989</v>
      </c>
      <c r="J253" s="173">
        <f t="shared" si="64"/>
        <v>98081.901265680965</v>
      </c>
      <c r="K253" s="173">
        <v>0</v>
      </c>
      <c r="L253" s="173">
        <v>0</v>
      </c>
      <c r="M253" s="173">
        <f t="shared" si="58"/>
        <v>592.89715089961669</v>
      </c>
      <c r="N253" s="173">
        <f t="shared" si="65"/>
        <v>141.74872887454768</v>
      </c>
      <c r="O253" s="173">
        <f t="shared" si="59"/>
        <v>98417.654258071925</v>
      </c>
      <c r="P253" s="173">
        <f t="shared" si="52"/>
        <v>115.39542963411077</v>
      </c>
      <c r="Q253" s="196">
        <f t="shared" si="66"/>
        <v>0.87580185657345011</v>
      </c>
      <c r="R253" s="173">
        <f t="shared" si="60"/>
        <v>101.06353151364513</v>
      </c>
      <c r="S253" s="196">
        <f t="shared" si="61"/>
        <v>0.10664587264503501</v>
      </c>
    </row>
    <row r="254" spans="1:19">
      <c r="A254" s="197">
        <f t="shared" si="62"/>
        <v>19.833333333333321</v>
      </c>
      <c r="B254" s="196">
        <f t="shared" si="53"/>
        <v>0.99855935512094807</v>
      </c>
      <c r="C254" s="196">
        <f t="shared" si="54"/>
        <v>0.16614353010662564</v>
      </c>
      <c r="D254" s="196">
        <f t="shared" si="55"/>
        <v>0.9874703729706702</v>
      </c>
      <c r="E254" s="196">
        <f t="shared" si="56"/>
        <v>0.99034944284794546</v>
      </c>
      <c r="F254" s="167"/>
      <c r="G254" s="173">
        <f t="shared" si="57"/>
        <v>99034.944284794547</v>
      </c>
      <c r="H254" s="167"/>
      <c r="I254" s="197">
        <f t="shared" si="63"/>
        <v>19.833333333333321</v>
      </c>
      <c r="J254" s="173">
        <f t="shared" si="64"/>
        <v>98556.937121121562</v>
      </c>
      <c r="K254" s="173">
        <v>0</v>
      </c>
      <c r="L254" s="173">
        <v>0</v>
      </c>
      <c r="M254" s="173">
        <f t="shared" si="58"/>
        <v>595.76870417939028</v>
      </c>
      <c r="N254" s="173">
        <f t="shared" si="65"/>
        <v>143.11730606577379</v>
      </c>
      <c r="O254" s="173">
        <f t="shared" si="59"/>
        <v>98893.634599765137</v>
      </c>
      <c r="P254" s="173">
        <f t="shared" si="52"/>
        <v>115.95391947003372</v>
      </c>
      <c r="Q254" s="196">
        <f t="shared" si="66"/>
        <v>0.87456415384433817</v>
      </c>
      <c r="R254" s="173">
        <f t="shared" si="60"/>
        <v>101.40914146624458</v>
      </c>
      <c r="S254" s="196">
        <f t="shared" si="61"/>
        <v>0.10564344388115057</v>
      </c>
    </row>
    <row r="255" spans="1:19">
      <c r="A255" s="197">
        <f t="shared" si="62"/>
        <v>19.916666666666654</v>
      </c>
      <c r="B255" s="196">
        <f t="shared" si="53"/>
        <v>0.99854544247674593</v>
      </c>
      <c r="C255" s="196">
        <f t="shared" si="54"/>
        <v>8.3333333333333329E-2</v>
      </c>
      <c r="D255" s="196">
        <f t="shared" si="55"/>
        <v>0.99370851602776877</v>
      </c>
      <c r="E255" s="196">
        <f t="shared" si="56"/>
        <v>0.99515954493073466</v>
      </c>
      <c r="F255" s="167"/>
      <c r="G255" s="173">
        <f t="shared" si="57"/>
        <v>99515.95449307347</v>
      </c>
      <c r="H255" s="167"/>
      <c r="I255" s="197">
        <f t="shared" si="63"/>
        <v>19.916666666666654</v>
      </c>
      <c r="J255" s="173">
        <f t="shared" si="64"/>
        <v>99034.944284794547</v>
      </c>
      <c r="K255" s="173">
        <v>0</v>
      </c>
      <c r="L255" s="173">
        <v>0</v>
      </c>
      <c r="M255" s="173">
        <f t="shared" si="58"/>
        <v>598.65821877682481</v>
      </c>
      <c r="N255" s="173">
        <f t="shared" si="65"/>
        <v>144.49926093503643</v>
      </c>
      <c r="O255" s="173">
        <f t="shared" si="59"/>
        <v>99372.587342849059</v>
      </c>
      <c r="P255" s="173">
        <f t="shared" si="52"/>
        <v>116.51589978727861</v>
      </c>
      <c r="Q255" s="196">
        <f t="shared" si="66"/>
        <v>0.87331626719169997</v>
      </c>
      <c r="R255" s="173">
        <f t="shared" si="60"/>
        <v>101.75523067070834</v>
      </c>
      <c r="S255" s="196">
        <f t="shared" si="61"/>
        <v>0.10465043754873711</v>
      </c>
    </row>
    <row r="256" spans="1:19">
      <c r="A256" s="197">
        <f t="shared" si="62"/>
        <v>19.999999999999986</v>
      </c>
      <c r="B256" s="196">
        <f t="shared" si="53"/>
        <v>0.99853139384190892</v>
      </c>
      <c r="C256" s="196">
        <v>0</v>
      </c>
      <c r="D256" s="196">
        <v>1</v>
      </c>
      <c r="E256" s="196">
        <f t="shared" si="56"/>
        <v>1</v>
      </c>
      <c r="F256" s="167"/>
      <c r="G256" s="173">
        <f t="shared" si="57"/>
        <v>100000</v>
      </c>
      <c r="H256" s="167"/>
      <c r="I256" s="197">
        <f t="shared" si="63"/>
        <v>19.999999999999986</v>
      </c>
      <c r="J256" s="173">
        <f t="shared" si="64"/>
        <v>99515.95449307347</v>
      </c>
      <c r="K256" s="173">
        <v>0</v>
      </c>
      <c r="L256" s="173">
        <v>0</v>
      </c>
      <c r="M256" s="173">
        <f t="shared" si="58"/>
        <v>601.56588653572862</v>
      </c>
      <c r="N256" s="173">
        <f>(1-B255)*B$7*(1.075)^(1/24)+B255*B$7</f>
        <v>100000.43897173458</v>
      </c>
      <c r="O256" s="173">
        <v>0</v>
      </c>
      <c r="P256" s="173">
        <f t="shared" si="52"/>
        <v>117.08140787461889</v>
      </c>
      <c r="Q256" s="196">
        <f t="shared" si="66"/>
        <v>0.87205812858357745</v>
      </c>
      <c r="R256" s="173">
        <f t="shared" si="60"/>
        <v>102.10179344307068</v>
      </c>
      <c r="S256" s="196">
        <f t="shared" si="61"/>
        <v>0.10366676508068839</v>
      </c>
    </row>
  </sheetData>
  <mergeCells count="1">
    <mergeCell ref="L4:M4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4"/>
  <sheetViews>
    <sheetView zoomScale="125" zoomScaleNormal="125" zoomScalePageLayoutView="125" workbookViewId="0"/>
  </sheetViews>
  <sheetFormatPr baseColWidth="10" defaultRowHeight="12" x14ac:dyDescent="0"/>
  <cols>
    <col min="1" max="16384" width="10.83203125" style="167"/>
  </cols>
  <sheetData>
    <row r="1" spans="1:32" ht="15">
      <c r="A1" s="209" t="s">
        <v>727</v>
      </c>
      <c r="L1" s="96"/>
    </row>
    <row r="3" spans="1:32">
      <c r="A3" s="175" t="s">
        <v>9</v>
      </c>
      <c r="B3" s="179">
        <v>2.2000000000000001E-4</v>
      </c>
      <c r="G3" s="1" t="s">
        <v>1</v>
      </c>
      <c r="H3" s="167" t="s">
        <v>454</v>
      </c>
      <c r="J3" s="173">
        <f>SUMPRODUCT(G12:G21,F13:F22)*B$7+SUMPRODUCT(H12:H21,F13:F22)*2*B$7+SUMPRODUCT(I12:I21,F13:F22)*3*B$7</f>
        <v>3122.5499621276417</v>
      </c>
      <c r="L3" s="96"/>
    </row>
    <row r="4" spans="1:32">
      <c r="A4" s="175" t="s">
        <v>10</v>
      </c>
      <c r="B4" s="171">
        <v>2.7E-6</v>
      </c>
      <c r="H4" s="167" t="s">
        <v>455</v>
      </c>
      <c r="J4" s="197">
        <f>SUMPRODUCT(F12:F21,J12:J21)</f>
        <v>8.4347270071172886</v>
      </c>
      <c r="L4" s="96"/>
      <c r="P4" s="210" t="s">
        <v>388</v>
      </c>
      <c r="Q4" s="254">
        <v>0.08</v>
      </c>
    </row>
    <row r="5" spans="1:32">
      <c r="A5" s="175" t="s">
        <v>24</v>
      </c>
      <c r="B5" s="181">
        <v>1.1240000000000001</v>
      </c>
      <c r="F5" s="215"/>
      <c r="H5" s="253" t="s">
        <v>101</v>
      </c>
      <c r="I5" s="253"/>
      <c r="J5" s="245">
        <f>J3/(1-0.03*J4)</f>
        <v>4180.3544091540452</v>
      </c>
      <c r="L5" s="96"/>
    </row>
    <row r="6" spans="1:32">
      <c r="A6" s="175" t="s">
        <v>82</v>
      </c>
      <c r="B6" s="219">
        <v>50</v>
      </c>
      <c r="F6" s="215"/>
      <c r="H6" s="167" t="s">
        <v>479</v>
      </c>
      <c r="J6" s="173">
        <f>0.03*J5</f>
        <v>125.41063227462135</v>
      </c>
      <c r="L6" s="96"/>
    </row>
    <row r="7" spans="1:32">
      <c r="A7" s="175" t="s">
        <v>387</v>
      </c>
      <c r="B7" s="219">
        <v>100000</v>
      </c>
      <c r="F7" s="215"/>
      <c r="L7" s="96"/>
    </row>
    <row r="8" spans="1:32">
      <c r="A8" s="175" t="s">
        <v>74</v>
      </c>
      <c r="B8" s="178">
        <v>0.04</v>
      </c>
      <c r="L8" s="23" t="s">
        <v>2</v>
      </c>
      <c r="M8" s="96" t="s">
        <v>424</v>
      </c>
      <c r="O8" s="1" t="s">
        <v>472</v>
      </c>
      <c r="P8" s="167" t="s">
        <v>426</v>
      </c>
    </row>
    <row r="9" spans="1:32" ht="13" thickBot="1">
      <c r="A9" s="238" t="s">
        <v>216</v>
      </c>
      <c r="B9" s="239">
        <f>1/(1+B8)</f>
        <v>0.96153846153846145</v>
      </c>
      <c r="G9" s="187" t="s">
        <v>43</v>
      </c>
      <c r="H9" s="187" t="s">
        <v>43</v>
      </c>
      <c r="I9" s="187" t="s">
        <v>43</v>
      </c>
      <c r="J9" s="187" t="s">
        <v>43</v>
      </c>
      <c r="L9" s="96"/>
    </row>
    <row r="10" spans="1:32" ht="36">
      <c r="A10" s="194"/>
      <c r="B10" s="194"/>
      <c r="E10" s="230"/>
      <c r="G10" s="231" t="s">
        <v>469</v>
      </c>
      <c r="H10" s="231" t="s">
        <v>470</v>
      </c>
      <c r="I10" s="231" t="s">
        <v>471</v>
      </c>
      <c r="J10" s="187" t="s">
        <v>457</v>
      </c>
      <c r="L10" s="396" t="s">
        <v>424</v>
      </c>
      <c r="M10" s="396"/>
      <c r="N10" s="396"/>
      <c r="O10" s="246" t="s">
        <v>458</v>
      </c>
      <c r="P10" s="232" t="s">
        <v>459</v>
      </c>
      <c r="Q10" s="233"/>
      <c r="R10" s="233"/>
      <c r="S10" s="233"/>
      <c r="T10" s="233"/>
      <c r="U10" s="233"/>
      <c r="V10" s="233"/>
      <c r="W10" s="233"/>
      <c r="X10" s="234"/>
      <c r="Y10" s="232" t="s">
        <v>475</v>
      </c>
      <c r="Z10" s="233"/>
      <c r="AA10" s="233"/>
      <c r="AB10" s="233"/>
      <c r="AC10" s="233"/>
      <c r="AD10" s="233"/>
      <c r="AE10" s="234"/>
    </row>
    <row r="11" spans="1:32" ht="14" customHeight="1">
      <c r="A11" s="235" t="s">
        <v>0</v>
      </c>
      <c r="B11" s="96" t="s">
        <v>428</v>
      </c>
      <c r="C11" s="207" t="s">
        <v>466</v>
      </c>
      <c r="D11" s="207" t="s">
        <v>467</v>
      </c>
      <c r="E11" s="207" t="s">
        <v>468</v>
      </c>
      <c r="F11" s="207" t="s">
        <v>411</v>
      </c>
      <c r="G11" s="96"/>
      <c r="H11" s="96"/>
      <c r="I11" s="96"/>
      <c r="J11" s="96"/>
      <c r="K11" s="96"/>
      <c r="L11" s="244" t="s">
        <v>0</v>
      </c>
      <c r="M11" s="244" t="s">
        <v>473</v>
      </c>
      <c r="N11" s="244" t="s">
        <v>474</v>
      </c>
      <c r="O11" s="243"/>
      <c r="P11" s="236" t="s">
        <v>0</v>
      </c>
      <c r="Q11" s="221" t="s">
        <v>460</v>
      </c>
      <c r="R11" s="221" t="s">
        <v>476</v>
      </c>
      <c r="S11" s="221" t="s">
        <v>477</v>
      </c>
      <c r="T11" s="221" t="s">
        <v>434</v>
      </c>
      <c r="U11" s="221" t="s">
        <v>461</v>
      </c>
      <c r="V11" s="221" t="s">
        <v>462</v>
      </c>
      <c r="W11" s="221" t="s">
        <v>463</v>
      </c>
      <c r="X11" s="237" t="s">
        <v>478</v>
      </c>
      <c r="Y11" s="236" t="s">
        <v>464</v>
      </c>
      <c r="Z11" s="221" t="s">
        <v>476</v>
      </c>
      <c r="AA11" s="221" t="s">
        <v>477</v>
      </c>
      <c r="AB11" s="221" t="s">
        <v>434</v>
      </c>
      <c r="AC11" s="221" t="s">
        <v>462</v>
      </c>
      <c r="AD11" s="221" t="s">
        <v>465</v>
      </c>
      <c r="AE11" s="237" t="s">
        <v>43</v>
      </c>
      <c r="AF11" s="96"/>
    </row>
    <row r="12" spans="1:32">
      <c r="A12" s="96">
        <v>0</v>
      </c>
      <c r="B12" s="196">
        <f>EXP(-B$3-B$4/LN(B$5)*B$5^(B$6+A12)*(B$5-1))</f>
        <v>0.99879147253187961</v>
      </c>
      <c r="C12" s="240">
        <v>1</v>
      </c>
      <c r="D12" s="240">
        <f>1-B12</f>
        <v>1.2085274681203906E-3</v>
      </c>
      <c r="E12" s="241">
        <f>1-C12</f>
        <v>0</v>
      </c>
      <c r="F12" s="240">
        <f>B$9^A12</f>
        <v>1</v>
      </c>
      <c r="G12" s="196">
        <f>2*C12:C21*C12:C21*D12:D21*B12:B21</f>
        <v>2.4141338589583781E-3</v>
      </c>
      <c r="H12" s="196">
        <f>E12*C12*D12*2</f>
        <v>0</v>
      </c>
      <c r="I12" s="196">
        <f>C12*C12*D12*D12</f>
        <v>1.4605386412014817E-6</v>
      </c>
      <c r="J12" s="196">
        <f>1-E12*E12</f>
        <v>1</v>
      </c>
      <c r="L12" s="243">
        <v>0</v>
      </c>
      <c r="M12" s="245">
        <f>J$6+2*B12*D12*(B$7+N13)*B$9+D12^2*3*B$7*B$9+B12^2*B$9*M13</f>
        <v>4180.3544091540452</v>
      </c>
      <c r="N12" s="245">
        <f>N13*B$9*B12+B$9*D12*2*B$7+J$6</f>
        <v>4144.8380023914606</v>
      </c>
      <c r="O12" s="245">
        <f t="shared" ref="O12:O22" si="0">W12*X12+AD12*AE12</f>
        <v>-62.705316137310675</v>
      </c>
      <c r="P12" s="236">
        <v>0</v>
      </c>
      <c r="Q12" s="221"/>
      <c r="R12" s="247">
        <f>0.015*J$5</f>
        <v>62.705316137310675</v>
      </c>
      <c r="S12" s="221"/>
      <c r="T12" s="221"/>
      <c r="U12" s="221"/>
      <c r="V12" s="221"/>
      <c r="W12" s="247">
        <f>Q12-R12+S12-T12-U12-V12</f>
        <v>-62.705316137310675</v>
      </c>
      <c r="X12" s="248">
        <v>1</v>
      </c>
      <c r="Y12" s="236"/>
      <c r="Z12" s="221"/>
      <c r="AA12" s="221"/>
      <c r="AB12" s="221"/>
      <c r="AC12" s="221"/>
      <c r="AD12" s="221"/>
      <c r="AE12" s="257"/>
    </row>
    <row r="13" spans="1:32">
      <c r="A13" s="96">
        <v>1</v>
      </c>
      <c r="B13" s="196">
        <f t="shared" ref="B13:B22" si="1">EXP(-B$3-B$4/LN(B$5)*B$5^(B$6+A13)*(B$5-1))</f>
        <v>0.99866896026142316</v>
      </c>
      <c r="C13" s="240">
        <f t="shared" ref="C13:C22" si="2">C12*B12</f>
        <v>0.99879147253187961</v>
      </c>
      <c r="D13" s="240">
        <f t="shared" ref="D13:E22" si="3">1-B13</f>
        <v>1.3310397385768447E-3</v>
      </c>
      <c r="E13" s="241">
        <f t="shared" si="3"/>
        <v>1.2085274681203906E-3</v>
      </c>
      <c r="F13" s="240">
        <f t="shared" ref="F13:F22" si="4">B$9^A13</f>
        <v>0.96153846153846145</v>
      </c>
      <c r="G13" s="196">
        <f t="shared" ref="G13:G22" si="5">2*C13:C22*C13:C22*D13:D22*B13:B22</f>
        <v>2.6521141985680948E-3</v>
      </c>
      <c r="H13" s="196">
        <f t="shared" ref="H13:H22" si="6">E13*C13*D13*2</f>
        <v>3.2133081005174689E-6</v>
      </c>
      <c r="I13" s="196">
        <f t="shared" ref="I13:I22" si="7">C13*C13*D13*D13</f>
        <v>1.7673871573088357E-6</v>
      </c>
      <c r="J13" s="196">
        <f t="shared" ref="J13:J22" si="8">1-E13*E13</f>
        <v>0.99999853946135875</v>
      </c>
      <c r="L13" s="243">
        <v>1</v>
      </c>
      <c r="M13" s="245">
        <f t="shared" ref="M13:M21" si="9">J$6+2*B13*D13*(B$7+N14)*B$9+D13^2*3*B$7*B$9+B13^2*B$9*M14</f>
        <v>3975.3733015620687</v>
      </c>
      <c r="N13" s="245">
        <f t="shared" ref="N13:N21" si="10">N14*B$9*B13+B$9*D13*2*B$7+J$6</f>
        <v>3943.2645147776079</v>
      </c>
      <c r="O13" s="245">
        <f t="shared" si="0"/>
        <v>297.64123393176823</v>
      </c>
      <c r="P13" s="236">
        <v>1</v>
      </c>
      <c r="Q13" s="247">
        <f>M12</f>
        <v>4180.3544091540452</v>
      </c>
      <c r="R13" s="247">
        <v>0</v>
      </c>
      <c r="S13" s="247">
        <f>Q$4*(Q13-R13)</f>
        <v>334.42835273232362</v>
      </c>
      <c r="T13" s="247">
        <f>2*B12*D12*B$7+D12^2*3*B$7</f>
        <v>241.85154748819826</v>
      </c>
      <c r="U13" s="247">
        <f>B12^2*M13</f>
        <v>3965.7704120864487</v>
      </c>
      <c r="V13" s="247">
        <f>2*B12*D12*N13</f>
        <v>9.5195683799537036</v>
      </c>
      <c r="W13" s="247">
        <f>Q13-R13+S13-T13-U13-V13</f>
        <v>297.64123393176823</v>
      </c>
      <c r="X13" s="248">
        <f>C12^2</f>
        <v>1</v>
      </c>
      <c r="Y13" s="236"/>
      <c r="Z13" s="221"/>
      <c r="AA13" s="221"/>
      <c r="AB13" s="221"/>
      <c r="AC13" s="221"/>
      <c r="AD13" s="221"/>
      <c r="AE13" s="237"/>
    </row>
    <row r="14" spans="1:32">
      <c r="A14" s="96">
        <v>2</v>
      </c>
      <c r="B14" s="196">
        <f t="shared" si="1"/>
        <v>0.99853127440738698</v>
      </c>
      <c r="C14" s="240">
        <f t="shared" si="2"/>
        <v>0.99746204139138794</v>
      </c>
      <c r="D14" s="240">
        <f t="shared" si="3"/>
        <v>1.4687255926130183E-3</v>
      </c>
      <c r="E14" s="241">
        <f t="shared" si="3"/>
        <v>2.5379586086120565E-3</v>
      </c>
      <c r="F14" s="240">
        <f t="shared" si="4"/>
        <v>0.92455621301775126</v>
      </c>
      <c r="G14" s="196">
        <f t="shared" si="5"/>
        <v>2.9182674085471254E-3</v>
      </c>
      <c r="H14" s="196">
        <f t="shared" si="6"/>
        <v>7.43620871277109E-6</v>
      </c>
      <c r="I14" s="196">
        <f t="shared" si="7"/>
        <v>2.1462192216089519E-6</v>
      </c>
      <c r="J14" s="196">
        <f t="shared" si="8"/>
        <v>0.99999355876610097</v>
      </c>
      <c r="L14" s="243">
        <v>2</v>
      </c>
      <c r="M14" s="245">
        <f t="shared" si="9"/>
        <v>3737.6580816803789</v>
      </c>
      <c r="N14" s="245">
        <f t="shared" si="10"/>
        <v>3709.2973122124886</v>
      </c>
      <c r="O14" s="245">
        <f t="shared" si="0"/>
        <v>219.00795807170635</v>
      </c>
      <c r="P14" s="236">
        <v>2</v>
      </c>
      <c r="Q14" s="247">
        <f t="shared" ref="Q14:Q22" si="11">M13</f>
        <v>3975.3733015620687</v>
      </c>
      <c r="R14" s="247">
        <f>0.015*J$5*(1.04)^(P14-1)</f>
        <v>65.21352878280311</v>
      </c>
      <c r="S14" s="247">
        <f t="shared" ref="S14:S22" si="12">Q$4*(Q14-R14)</f>
        <v>312.81278182234126</v>
      </c>
      <c r="T14" s="247">
        <f t="shared" ref="T14:T22" si="13">2*B13*D13*B$7+D13^2*3*B$7</f>
        <v>266.38511439393602</v>
      </c>
      <c r="U14" s="247">
        <f t="shared" ref="U14:U22" si="14">B13^2*M14</f>
        <v>3727.7147606931999</v>
      </c>
      <c r="V14" s="247">
        <f t="shared" ref="V14:V22" si="15">2*B13*D13*N14</f>
        <v>9.861300971809758</v>
      </c>
      <c r="W14" s="247">
        <f t="shared" ref="W14:W22" si="16">Q14-R14+S14-T14-U14-V14</f>
        <v>219.01137854266145</v>
      </c>
      <c r="X14" s="248">
        <f>C13^2</f>
        <v>0.99758440560240047</v>
      </c>
      <c r="Y14" s="251">
        <f>N13</f>
        <v>3943.2645147776079</v>
      </c>
      <c r="Z14" s="247">
        <f>R14</f>
        <v>65.21352878280311</v>
      </c>
      <c r="AA14" s="247">
        <f>Q$4*(Y14-Z14)</f>
        <v>310.24407887958438</v>
      </c>
      <c r="AB14" s="247">
        <f>2*B$7*D13</f>
        <v>266.20794771536896</v>
      </c>
      <c r="AC14" s="247">
        <f>B13*N14</f>
        <v>3704.3600900877373</v>
      </c>
      <c r="AD14" s="247">
        <f>Y14-Z14+AA14-AB14-AC14</f>
        <v>217.72702707128292</v>
      </c>
      <c r="AE14" s="255">
        <f>2*C13*E13</f>
        <v>2.4141338589583781E-3</v>
      </c>
    </row>
    <row r="15" spans="1:32">
      <c r="A15" s="96">
        <v>3</v>
      </c>
      <c r="B15" s="196">
        <f t="shared" si="1"/>
        <v>0.99837653816669603</v>
      </c>
      <c r="C15" s="240">
        <f t="shared" si="2"/>
        <v>0.99599704336353634</v>
      </c>
      <c r="D15" s="240">
        <f t="shared" si="3"/>
        <v>1.6234618333039741E-3</v>
      </c>
      <c r="E15" s="241">
        <f t="shared" si="3"/>
        <v>4.0029566364636615E-3</v>
      </c>
      <c r="F15" s="240">
        <f t="shared" si="4"/>
        <v>0.88899635867091464</v>
      </c>
      <c r="G15" s="196">
        <f t="shared" si="5"/>
        <v>3.2157519650464453E-3</v>
      </c>
      <c r="H15" s="196">
        <f t="shared" si="6"/>
        <v>1.2945267032506595E-5</v>
      </c>
      <c r="I15" s="196">
        <f t="shared" si="7"/>
        <v>2.6145699448285123E-6</v>
      </c>
      <c r="J15" s="196">
        <f t="shared" si="8"/>
        <v>0.9999839763381666</v>
      </c>
      <c r="L15" s="243">
        <v>3</v>
      </c>
      <c r="M15" s="245">
        <f t="shared" si="9"/>
        <v>3462.8552818935177</v>
      </c>
      <c r="N15" s="245">
        <f t="shared" si="10"/>
        <v>3438.5473110499279</v>
      </c>
      <c r="O15" s="245">
        <f t="shared" si="0"/>
        <v>206.67847033158208</v>
      </c>
      <c r="P15" s="236">
        <v>3</v>
      </c>
      <c r="Q15" s="247">
        <f t="shared" si="11"/>
        <v>3737.6580816803789</v>
      </c>
      <c r="R15" s="247">
        <f t="shared" ref="R15:R22" si="17">0.015*J$5*(1.04)^(P15-1)</f>
        <v>67.822069934115234</v>
      </c>
      <c r="S15" s="247">
        <f t="shared" si="12"/>
        <v>293.58688093970108</v>
      </c>
      <c r="T15" s="247">
        <f t="shared" si="13"/>
        <v>293.96083400924329</v>
      </c>
      <c r="U15" s="247">
        <f t="shared" si="14"/>
        <v>3452.6907834565764</v>
      </c>
      <c r="V15" s="247">
        <f t="shared" si="15"/>
        <v>10.085729916168681</v>
      </c>
      <c r="W15" s="247">
        <f t="shared" si="16"/>
        <v>206.6855453039764</v>
      </c>
      <c r="X15" s="248">
        <f t="shared" ref="X15:X22" si="18">C14^2</f>
        <v>0.99493052401667492</v>
      </c>
      <c r="Y15" s="251">
        <f t="shared" ref="Y15:Y22" si="19">N14</f>
        <v>3709.2973122124886</v>
      </c>
      <c r="Z15" s="247">
        <f t="shared" ref="Z15:Z22" si="20">R15</f>
        <v>67.822069934115234</v>
      </c>
      <c r="AA15" s="247">
        <f t="shared" ref="AA15:AA22" si="21">Q$4*(Y15-Z15)</f>
        <v>291.31801938226988</v>
      </c>
      <c r="AB15" s="247">
        <f t="shared" ref="AB15:AB22" si="22">2*B$7*D14</f>
        <v>293.74511852260366</v>
      </c>
      <c r="AC15" s="247">
        <f t="shared" ref="AC15:AC22" si="23">B14*N15</f>
        <v>3433.4970286127782</v>
      </c>
      <c r="AD15" s="247">
        <f t="shared" ref="AD15:AD22" si="24">Y15-Z15+AA15-AB15-AC15</f>
        <v>205.55111452526126</v>
      </c>
      <c r="AE15" s="255">
        <f t="shared" ref="AE15:AE22" si="25">2*C14*E14</f>
        <v>5.0630347494260569E-3</v>
      </c>
    </row>
    <row r="16" spans="1:32">
      <c r="A16" s="96">
        <v>4</v>
      </c>
      <c r="B16" s="196">
        <f t="shared" si="1"/>
        <v>0.99820264325484998</v>
      </c>
      <c r="C16" s="240">
        <f t="shared" si="2"/>
        <v>0.99438008017755208</v>
      </c>
      <c r="D16" s="240">
        <f t="shared" si="3"/>
        <v>1.797356745150025E-3</v>
      </c>
      <c r="E16" s="241">
        <f t="shared" si="3"/>
        <v>5.6199198224479163E-3</v>
      </c>
      <c r="F16" s="240">
        <f t="shared" si="4"/>
        <v>0.85480419102972549</v>
      </c>
      <c r="G16" s="196">
        <f t="shared" si="5"/>
        <v>3.5480344545375559E-3</v>
      </c>
      <c r="H16" s="196">
        <f t="shared" si="6"/>
        <v>2.0088467970912335E-5</v>
      </c>
      <c r="I16" s="196">
        <f t="shared" si="7"/>
        <v>3.1942830957118789E-6</v>
      </c>
      <c r="J16" s="196">
        <f t="shared" si="8"/>
        <v>0.99996841650118928</v>
      </c>
      <c r="L16" s="243">
        <v>4</v>
      </c>
      <c r="M16" s="245">
        <f t="shared" si="9"/>
        <v>3146.059679256512</v>
      </c>
      <c r="N16" s="245">
        <f t="shared" si="10"/>
        <v>3126.044793677258</v>
      </c>
      <c r="O16" s="245">
        <f t="shared" si="0"/>
        <v>192.75267797385146</v>
      </c>
      <c r="P16" s="236">
        <v>4</v>
      </c>
      <c r="Q16" s="247">
        <f t="shared" si="11"/>
        <v>3462.8552818935177</v>
      </c>
      <c r="R16" s="247">
        <f t="shared" si="17"/>
        <v>70.534952731479834</v>
      </c>
      <c r="S16" s="247">
        <f t="shared" si="12"/>
        <v>271.38562633296306</v>
      </c>
      <c r="T16" s="247">
        <f t="shared" si="13"/>
        <v>324.95592949321428</v>
      </c>
      <c r="U16" s="247">
        <f t="shared" si="14"/>
        <v>3135.8529554713732</v>
      </c>
      <c r="V16" s="247">
        <f t="shared" si="15"/>
        <v>10.133550639065415</v>
      </c>
      <c r="W16" s="247">
        <f t="shared" si="16"/>
        <v>192.76351989134824</v>
      </c>
      <c r="X16" s="248">
        <f t="shared" si="18"/>
        <v>0.99201011038890607</v>
      </c>
      <c r="Y16" s="251">
        <f t="shared" si="19"/>
        <v>3438.5473110499279</v>
      </c>
      <c r="Z16" s="247">
        <f t="shared" si="20"/>
        <v>70.534952731479834</v>
      </c>
      <c r="AA16" s="247">
        <f t="shared" si="21"/>
        <v>269.44098866547586</v>
      </c>
      <c r="AB16" s="247">
        <f t="shared" si="22"/>
        <v>324.69236666079485</v>
      </c>
      <c r="AC16" s="247">
        <f t="shared" si="23"/>
        <v>3120.9697792655243</v>
      </c>
      <c r="AD16" s="247">
        <f t="shared" si="24"/>
        <v>191.79120105760467</v>
      </c>
      <c r="AE16" s="255">
        <f t="shared" si="25"/>
        <v>7.9738659492605054E-3</v>
      </c>
    </row>
    <row r="17" spans="1:31">
      <c r="A17" s="96">
        <v>5</v>
      </c>
      <c r="B17" s="196">
        <f t="shared" si="1"/>
        <v>0.99800722152882837</v>
      </c>
      <c r="C17" s="240">
        <f t="shared" si="2"/>
        <v>0.99259282443320218</v>
      </c>
      <c r="D17" s="240">
        <f t="shared" si="3"/>
        <v>1.9927784711716301E-3</v>
      </c>
      <c r="E17" s="241">
        <f t="shared" si="3"/>
        <v>7.407175566797819E-3</v>
      </c>
      <c r="F17" s="240">
        <f t="shared" si="4"/>
        <v>0.82192710675935132</v>
      </c>
      <c r="G17" s="196">
        <f t="shared" si="5"/>
        <v>3.9189070675593497E-3</v>
      </c>
      <c r="H17" s="196">
        <f t="shared" si="6"/>
        <v>2.9303047440307342E-5</v>
      </c>
      <c r="I17" s="196">
        <f t="shared" si="7"/>
        <v>3.912553670098384E-6</v>
      </c>
      <c r="J17" s="196">
        <f t="shared" si="8"/>
        <v>0.99994513375012262</v>
      </c>
      <c r="L17" s="243">
        <v>5</v>
      </c>
      <c r="M17" s="245">
        <f t="shared" si="9"/>
        <v>2781.7455220586389</v>
      </c>
      <c r="N17" s="245">
        <f t="shared" si="10"/>
        <v>2766.1599550821684</v>
      </c>
      <c r="O17" s="245">
        <f t="shared" si="0"/>
        <v>177.03004614743412</v>
      </c>
      <c r="P17" s="236">
        <v>5</v>
      </c>
      <c r="Q17" s="247">
        <f t="shared" si="11"/>
        <v>3146.059679256512</v>
      </c>
      <c r="R17" s="247">
        <f t="shared" si="17"/>
        <v>73.35635084073904</v>
      </c>
      <c r="S17" s="247">
        <f t="shared" si="12"/>
        <v>245.81626627326185</v>
      </c>
      <c r="T17" s="247">
        <f t="shared" si="13"/>
        <v>359.79439815693866</v>
      </c>
      <c r="U17" s="247">
        <f t="shared" si="14"/>
        <v>2771.7549303085357</v>
      </c>
      <c r="V17" s="247">
        <f t="shared" si="15"/>
        <v>9.9256803956926891</v>
      </c>
      <c r="W17" s="247">
        <f t="shared" si="16"/>
        <v>177.04458582786773</v>
      </c>
      <c r="X17" s="248">
        <f t="shared" si="18"/>
        <v>0.98879174385391488</v>
      </c>
      <c r="Y17" s="251">
        <f t="shared" si="19"/>
        <v>3126.044793677258</v>
      </c>
      <c r="Z17" s="247">
        <f t="shared" si="20"/>
        <v>73.35635084073904</v>
      </c>
      <c r="AA17" s="247">
        <f t="shared" si="21"/>
        <v>244.21507542692152</v>
      </c>
      <c r="AB17" s="247">
        <f t="shared" si="22"/>
        <v>359.471349030005</v>
      </c>
      <c r="AC17" s="247">
        <f t="shared" si="23"/>
        <v>2761.1881788287374</v>
      </c>
      <c r="AD17" s="247">
        <f t="shared" si="24"/>
        <v>176.2439904046978</v>
      </c>
      <c r="AE17" s="255">
        <f t="shared" si="25"/>
        <v>1.1176672647274347E-2</v>
      </c>
    </row>
    <row r="18" spans="1:31">
      <c r="A18" s="96">
        <v>6</v>
      </c>
      <c r="B18" s="196">
        <f t="shared" si="1"/>
        <v>0.99778761317702136</v>
      </c>
      <c r="C18" s="240">
        <f t="shared" si="2"/>
        <v>0.99061480682203229</v>
      </c>
      <c r="D18" s="240">
        <f t="shared" si="3"/>
        <v>2.2123868229786403E-3</v>
      </c>
      <c r="E18" s="241">
        <f t="shared" si="3"/>
        <v>9.38519317796771E-3</v>
      </c>
      <c r="F18" s="240">
        <f t="shared" si="4"/>
        <v>0.79031452573014538</v>
      </c>
      <c r="G18" s="196">
        <f t="shared" si="5"/>
        <v>4.3325022533163551E-3</v>
      </c>
      <c r="H18" s="196">
        <f t="shared" si="6"/>
        <v>4.1137613183151752E-5</v>
      </c>
      <c r="I18" s="196">
        <f t="shared" si="7"/>
        <v>4.803212010841945E-6</v>
      </c>
      <c r="J18" s="196">
        <f t="shared" si="8"/>
        <v>0.99991191814901226</v>
      </c>
      <c r="L18" s="243">
        <v>6</v>
      </c>
      <c r="M18" s="245">
        <f t="shared" si="9"/>
        <v>2363.6893216659951</v>
      </c>
      <c r="N18" s="245">
        <f t="shared" si="10"/>
        <v>2352.5116360269781</v>
      </c>
      <c r="O18" s="245">
        <f t="shared" si="0"/>
        <v>159.28511763130402</v>
      </c>
      <c r="P18" s="236">
        <v>6</v>
      </c>
      <c r="Q18" s="247">
        <f t="shared" si="11"/>
        <v>2781.7455220586389</v>
      </c>
      <c r="R18" s="247">
        <f t="shared" si="17"/>
        <v>76.290604874368611</v>
      </c>
      <c r="S18" s="247">
        <f t="shared" si="12"/>
        <v>216.43639337474164</v>
      </c>
      <c r="T18" s="247">
        <f t="shared" si="13"/>
        <v>398.95281083784255</v>
      </c>
      <c r="U18" s="247">
        <f t="shared" si="14"/>
        <v>2354.2780898832384</v>
      </c>
      <c r="V18" s="247">
        <f t="shared" si="15"/>
        <v>9.3573846542979826</v>
      </c>
      <c r="W18" s="247">
        <f t="shared" si="16"/>
        <v>159.3030251836332</v>
      </c>
      <c r="X18" s="248">
        <f t="shared" si="18"/>
        <v>0.98524051511628175</v>
      </c>
      <c r="Y18" s="251">
        <f t="shared" si="19"/>
        <v>2766.1599550821684</v>
      </c>
      <c r="Z18" s="247">
        <f t="shared" si="20"/>
        <v>76.290604874368611</v>
      </c>
      <c r="AA18" s="247">
        <f t="shared" si="21"/>
        <v>215.189548016624</v>
      </c>
      <c r="AB18" s="247">
        <f t="shared" si="22"/>
        <v>398.55569423432604</v>
      </c>
      <c r="AC18" s="247">
        <f t="shared" si="23"/>
        <v>2347.8236014855229</v>
      </c>
      <c r="AD18" s="247">
        <f t="shared" si="24"/>
        <v>158.67960250457509</v>
      </c>
      <c r="AE18" s="255">
        <f t="shared" si="25"/>
        <v>1.4704618633840904E-2</v>
      </c>
    </row>
    <row r="19" spans="1:31">
      <c r="A19" s="96">
        <v>7</v>
      </c>
      <c r="B19" s="196">
        <f t="shared" si="1"/>
        <v>0.99754083107299685</v>
      </c>
      <c r="C19" s="240">
        <f t="shared" si="2"/>
        <v>0.98842318367677173</v>
      </c>
      <c r="D19" s="240">
        <f t="shared" si="3"/>
        <v>2.4591689270031525E-3</v>
      </c>
      <c r="E19" s="241">
        <f t="shared" si="3"/>
        <v>1.1576816323228267E-2</v>
      </c>
      <c r="F19" s="240">
        <f t="shared" si="4"/>
        <v>0.75991781320206286</v>
      </c>
      <c r="G19" s="196">
        <f t="shared" si="5"/>
        <v>4.7933030340083504E-3</v>
      </c>
      <c r="H19" s="196">
        <f t="shared" si="6"/>
        <v>5.6279525149851679E-5</v>
      </c>
      <c r="I19" s="196">
        <f t="shared" si="7"/>
        <v>5.9083004483456053E-6</v>
      </c>
      <c r="J19" s="196">
        <f t="shared" si="8"/>
        <v>0.99986597732381821</v>
      </c>
      <c r="L19" s="243">
        <v>7</v>
      </c>
      <c r="M19" s="245">
        <f t="shared" si="9"/>
        <v>1884.8832302551837</v>
      </c>
      <c r="N19" s="245">
        <f t="shared" si="10"/>
        <v>1877.8622369751763</v>
      </c>
      <c r="O19" s="245">
        <f t="shared" si="0"/>
        <v>139.26444093968973</v>
      </c>
      <c r="P19" s="236">
        <v>7</v>
      </c>
      <c r="Q19" s="247">
        <f t="shared" si="11"/>
        <v>2363.6893216659951</v>
      </c>
      <c r="R19" s="247">
        <f t="shared" si="17"/>
        <v>79.342229069343361</v>
      </c>
      <c r="S19" s="247">
        <f t="shared" si="12"/>
        <v>182.74776740773214</v>
      </c>
      <c r="T19" s="247">
        <f t="shared" si="13"/>
        <v>442.96683014117707</v>
      </c>
      <c r="U19" s="247">
        <f t="shared" si="14"/>
        <v>1876.5522744662278</v>
      </c>
      <c r="V19" s="247">
        <f t="shared" si="15"/>
        <v>8.2907323596241653</v>
      </c>
      <c r="W19" s="247">
        <f t="shared" si="16"/>
        <v>139.28502303735488</v>
      </c>
      <c r="X19" s="248">
        <f t="shared" si="18"/>
        <v>0.98131769549505232</v>
      </c>
      <c r="Y19" s="251">
        <f t="shared" si="19"/>
        <v>2352.5116360269781</v>
      </c>
      <c r="Z19" s="247">
        <f t="shared" si="20"/>
        <v>79.342229069343361</v>
      </c>
      <c r="AA19" s="247">
        <f t="shared" si="21"/>
        <v>181.85355255661077</v>
      </c>
      <c r="AB19" s="247">
        <f t="shared" si="22"/>
        <v>442.47736459572809</v>
      </c>
      <c r="AC19" s="247">
        <f t="shared" si="23"/>
        <v>1873.7076793067233</v>
      </c>
      <c r="AD19" s="247">
        <f t="shared" si="24"/>
        <v>138.83791561179419</v>
      </c>
      <c r="AE19" s="255">
        <f t="shared" si="25"/>
        <v>1.8594222653959876E-2</v>
      </c>
    </row>
    <row r="20" spans="1:31">
      <c r="A20" s="96">
        <v>8</v>
      </c>
      <c r="B20" s="196">
        <f t="shared" si="1"/>
        <v>0.99726352084579795</v>
      </c>
      <c r="C20" s="240">
        <f t="shared" si="2"/>
        <v>0.98599248409674434</v>
      </c>
      <c r="D20" s="240">
        <f t="shared" si="3"/>
        <v>2.7364791542020539E-3</v>
      </c>
      <c r="E20" s="241">
        <f t="shared" si="3"/>
        <v>1.4007515903255663E-2</v>
      </c>
      <c r="F20" s="240">
        <f t="shared" si="4"/>
        <v>0.73069020500198345</v>
      </c>
      <c r="G20" s="196">
        <f t="shared" si="5"/>
        <v>5.3061470552612138E-3</v>
      </c>
      <c r="H20" s="196">
        <f t="shared" si="6"/>
        <v>7.5588698646912982E-5</v>
      </c>
      <c r="I20" s="196">
        <f t="shared" si="7"/>
        <v>7.280001976577918E-6</v>
      </c>
      <c r="J20" s="196">
        <f t="shared" si="8"/>
        <v>0.99980378949822002</v>
      </c>
      <c r="L20" s="243">
        <v>8</v>
      </c>
      <c r="M20" s="245">
        <f t="shared" si="9"/>
        <v>1337.4379384838135</v>
      </c>
      <c r="N20" s="245">
        <f t="shared" si="10"/>
        <v>1333.9964059983117</v>
      </c>
      <c r="O20" s="245">
        <f t="shared" si="0"/>
        <v>116.68312676037286</v>
      </c>
      <c r="P20" s="236">
        <v>8</v>
      </c>
      <c r="Q20" s="247">
        <f t="shared" si="11"/>
        <v>1884.8832302551837</v>
      </c>
      <c r="R20" s="247">
        <f t="shared" si="17"/>
        <v>82.515918232117087</v>
      </c>
      <c r="S20" s="247">
        <f t="shared" si="12"/>
        <v>144.18938496184532</v>
      </c>
      <c r="T20" s="247">
        <f t="shared" si="13"/>
        <v>492.43853658178426</v>
      </c>
      <c r="U20" s="247">
        <f t="shared" si="14"/>
        <v>1330.8680550153147</v>
      </c>
      <c r="V20" s="247">
        <f t="shared" si="15"/>
        <v>6.5449103026862119</v>
      </c>
      <c r="W20" s="247">
        <f t="shared" si="16"/>
        <v>116.70519508512649</v>
      </c>
      <c r="X20" s="248">
        <f t="shared" si="18"/>
        <v>0.97698039002972525</v>
      </c>
      <c r="Y20" s="251">
        <f t="shared" si="19"/>
        <v>1877.8622369751763</v>
      </c>
      <c r="Z20" s="247">
        <f t="shared" si="20"/>
        <v>82.515918232117087</v>
      </c>
      <c r="AA20" s="247">
        <f t="shared" si="21"/>
        <v>143.62770549944474</v>
      </c>
      <c r="AB20" s="247">
        <f t="shared" si="22"/>
        <v>491.83378540063052</v>
      </c>
      <c r="AC20" s="247">
        <f t="shared" si="23"/>
        <v>1330.7158834879467</v>
      </c>
      <c r="AD20" s="247">
        <f t="shared" si="24"/>
        <v>116.42435535392701</v>
      </c>
      <c r="AE20" s="255">
        <f t="shared" si="25"/>
        <v>2.2885587294093006E-2</v>
      </c>
    </row>
    <row r="21" spans="1:31">
      <c r="A21" s="96">
        <v>9</v>
      </c>
      <c r="B21" s="196">
        <f t="shared" si="1"/>
        <v>0.99695191617142243</v>
      </c>
      <c r="C21" s="240">
        <f t="shared" si="2"/>
        <v>0.9832943362178137</v>
      </c>
      <c r="D21" s="240">
        <f t="shared" si="3"/>
        <v>3.0480838285775746E-3</v>
      </c>
      <c r="E21" s="241">
        <f t="shared" si="3"/>
        <v>1.6705663782186297E-2</v>
      </c>
      <c r="F21" s="240">
        <f t="shared" si="4"/>
        <v>0.70258673557883022</v>
      </c>
      <c r="G21" s="196">
        <f t="shared" si="5"/>
        <v>5.8762219374118643E-3</v>
      </c>
      <c r="H21" s="196">
        <f t="shared" si="6"/>
        <v>1.0013921363279571E-4</v>
      </c>
      <c r="I21" s="196">
        <f t="shared" si="7"/>
        <v>8.9829894351083805E-6</v>
      </c>
      <c r="J21" s="196">
        <f t="shared" si="8"/>
        <v>0.99972092079759656</v>
      </c>
      <c r="L21" s="243">
        <v>9</v>
      </c>
      <c r="M21" s="245">
        <f t="shared" si="9"/>
        <v>712.4739469074276</v>
      </c>
      <c r="N21" s="245">
        <f t="shared" si="10"/>
        <v>711.58059930877027</v>
      </c>
      <c r="O21" s="245">
        <f t="shared" si="0"/>
        <v>91.220990407031621</v>
      </c>
      <c r="P21" s="236">
        <v>9</v>
      </c>
      <c r="Q21" s="247">
        <f t="shared" si="11"/>
        <v>1337.4379384838135</v>
      </c>
      <c r="R21" s="247">
        <f t="shared" si="17"/>
        <v>85.816554961401778</v>
      </c>
      <c r="S21" s="247">
        <f t="shared" si="12"/>
        <v>100.12971068179293</v>
      </c>
      <c r="T21" s="247">
        <f t="shared" si="13"/>
        <v>548.04466265654901</v>
      </c>
      <c r="U21" s="247">
        <f t="shared" si="14"/>
        <v>708.57994193177524</v>
      </c>
      <c r="V21" s="247">
        <f t="shared" si="15"/>
        <v>3.8837938692359257</v>
      </c>
      <c r="W21" s="247">
        <f t="shared" si="16"/>
        <v>91.242695746644316</v>
      </c>
      <c r="X21" s="248">
        <f t="shared" si="18"/>
        <v>0.97218117869526866</v>
      </c>
      <c r="Y21" s="251">
        <f t="shared" si="19"/>
        <v>1333.9964059983117</v>
      </c>
      <c r="Z21" s="247">
        <f t="shared" si="20"/>
        <v>85.816554961401778</v>
      </c>
      <c r="AA21" s="247">
        <f t="shared" si="21"/>
        <v>99.854388082952795</v>
      </c>
      <c r="AB21" s="247">
        <f t="shared" si="22"/>
        <v>547.29583084041076</v>
      </c>
      <c r="AC21" s="247">
        <f t="shared" si="23"/>
        <v>709.63337383222722</v>
      </c>
      <c r="AD21" s="247">
        <f t="shared" si="24"/>
        <v>91.105034447224625</v>
      </c>
      <c r="AE21" s="255">
        <f t="shared" si="25"/>
        <v>2.7622610802951406E-2</v>
      </c>
    </row>
    <row r="22" spans="1:31" ht="13" thickBot="1">
      <c r="A22" s="96">
        <v>10</v>
      </c>
      <c r="B22" s="196">
        <f t="shared" si="1"/>
        <v>0.99660178873805105</v>
      </c>
      <c r="C22" s="240">
        <f t="shared" si="2"/>
        <v>0.98029717265285632</v>
      </c>
      <c r="D22" s="240">
        <f t="shared" si="3"/>
        <v>3.3982112619489468E-3</v>
      </c>
      <c r="E22" s="241">
        <f t="shared" si="3"/>
        <v>1.9702827347143681E-2</v>
      </c>
      <c r="F22" s="240">
        <f t="shared" si="4"/>
        <v>0.67556416882579817</v>
      </c>
      <c r="G22" s="196">
        <f t="shared" si="5"/>
        <v>6.5090488805774485E-3</v>
      </c>
      <c r="H22" s="196">
        <f t="shared" si="6"/>
        <v>1.3127035879064439E-4</v>
      </c>
      <c r="I22" s="196">
        <f t="shared" si="7"/>
        <v>1.1097272481601127E-5</v>
      </c>
      <c r="J22" s="196">
        <f t="shared" si="8"/>
        <v>0.99961179859452864</v>
      </c>
      <c r="L22" s="243">
        <v>10</v>
      </c>
      <c r="M22" s="243">
        <v>0</v>
      </c>
      <c r="N22" s="243">
        <f>0</f>
        <v>0</v>
      </c>
      <c r="O22" s="245">
        <f t="shared" si="0"/>
        <v>62.518234200002354</v>
      </c>
      <c r="P22" s="256">
        <v>10</v>
      </c>
      <c r="Q22" s="249">
        <f t="shared" si="11"/>
        <v>712.4739469074276</v>
      </c>
      <c r="R22" s="249">
        <f t="shared" si="17"/>
        <v>89.249217159857864</v>
      </c>
      <c r="S22" s="249">
        <f t="shared" si="12"/>
        <v>49.85797837980558</v>
      </c>
      <c r="T22" s="249">
        <f t="shared" si="13"/>
        <v>610.54584721811852</v>
      </c>
      <c r="U22" s="249">
        <f t="shared" si="14"/>
        <v>0</v>
      </c>
      <c r="V22" s="249">
        <f t="shared" si="15"/>
        <v>0</v>
      </c>
      <c r="W22" s="249">
        <f t="shared" si="16"/>
        <v>62.536860909256802</v>
      </c>
      <c r="X22" s="250">
        <f t="shared" si="18"/>
        <v>0.96686775163803085</v>
      </c>
      <c r="Y22" s="252">
        <f t="shared" si="19"/>
        <v>711.58059930877027</v>
      </c>
      <c r="Z22" s="249">
        <f t="shared" si="20"/>
        <v>89.249217159857864</v>
      </c>
      <c r="AA22" s="249">
        <f t="shared" si="21"/>
        <v>49.786510571912999</v>
      </c>
      <c r="AB22" s="249">
        <f t="shared" si="22"/>
        <v>609.61676571551493</v>
      </c>
      <c r="AC22" s="249">
        <f t="shared" si="23"/>
        <v>0</v>
      </c>
      <c r="AD22" s="249">
        <f t="shared" si="24"/>
        <v>62.501127005310536</v>
      </c>
      <c r="AE22" s="258">
        <f t="shared" si="25"/>
        <v>3.2853169159565696E-2</v>
      </c>
    </row>
    <row r="23" spans="1:31">
      <c r="L23" s="96"/>
    </row>
    <row r="24" spans="1:31">
      <c r="L24" s="96"/>
    </row>
    <row r="25" spans="1:3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3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3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3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3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3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3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3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</sheetData>
  <mergeCells count="1">
    <mergeCell ref="L10:N10"/>
  </mergeCells>
  <pageMargins left="0.75" right="0.75" top="1" bottom="1" header="0.5" footer="0.5"/>
  <pageSetup paperSize="9" orientation="portrait" horizontalDpi="4294967292" verticalDpi="4294967292"/>
  <ignoredErrors>
    <ignoredError sqref="W12 O12:O13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"/>
  <sheetViews>
    <sheetView zoomScale="125" zoomScaleNormal="125" zoomScalePageLayoutView="125" workbookViewId="0"/>
  </sheetViews>
  <sheetFormatPr baseColWidth="10" defaultRowHeight="12" x14ac:dyDescent="0"/>
  <sheetData>
    <row r="1" spans="1:27" ht="15">
      <c r="A1" s="198" t="s">
        <v>726</v>
      </c>
      <c r="B1" s="198"/>
      <c r="C1" s="167"/>
      <c r="D1" s="96"/>
      <c r="E1" s="167"/>
      <c r="F1" s="167"/>
      <c r="G1" s="167"/>
      <c r="H1" s="194"/>
      <c r="I1" s="194"/>
      <c r="J1" s="194"/>
      <c r="K1" s="194"/>
      <c r="L1" s="194"/>
      <c r="M1" s="235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</row>
    <row r="3" spans="1:27">
      <c r="A3" s="175" t="s">
        <v>9</v>
      </c>
      <c r="B3" s="179">
        <v>2.2000000000000001E-4</v>
      </c>
      <c r="C3" s="167"/>
      <c r="F3" s="167"/>
      <c r="G3" s="167"/>
      <c r="H3" s="194"/>
      <c r="I3" s="194"/>
      <c r="J3" s="168"/>
      <c r="K3" s="194"/>
      <c r="L3" s="194"/>
      <c r="M3" s="235"/>
      <c r="N3" s="235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</row>
    <row r="4" spans="1:27">
      <c r="A4" s="175" t="s">
        <v>10</v>
      </c>
      <c r="B4" s="171">
        <v>2.7E-6</v>
      </c>
      <c r="C4" s="167"/>
      <c r="D4" s="167"/>
      <c r="E4" s="167"/>
      <c r="F4" s="167"/>
      <c r="G4" s="167"/>
      <c r="H4" s="194"/>
      <c r="I4" s="194"/>
      <c r="J4" s="267" t="s">
        <v>488</v>
      </c>
      <c r="K4" s="267"/>
      <c r="L4" s="211">
        <v>0.06</v>
      </c>
      <c r="M4" s="194"/>
      <c r="N4" s="235"/>
      <c r="O4" s="194"/>
      <c r="P4" s="194"/>
      <c r="Q4" s="194"/>
      <c r="R4" s="194"/>
      <c r="S4" s="262"/>
      <c r="T4" s="194"/>
      <c r="U4" s="194"/>
      <c r="V4" s="194"/>
      <c r="W4" s="194"/>
      <c r="X4" s="194"/>
      <c r="Y4" s="194"/>
      <c r="Z4" s="194"/>
      <c r="AA4" s="194"/>
    </row>
    <row r="5" spans="1:27">
      <c r="A5" s="175" t="s">
        <v>24</v>
      </c>
      <c r="B5" s="181">
        <v>1.1240000000000001</v>
      </c>
      <c r="C5" s="167"/>
      <c r="D5" s="167"/>
      <c r="E5" s="167"/>
      <c r="F5" s="215"/>
      <c r="G5" s="215"/>
      <c r="H5" s="194"/>
      <c r="I5" s="265"/>
      <c r="J5" s="170" t="s">
        <v>450</v>
      </c>
      <c r="K5" s="170"/>
      <c r="L5" s="211">
        <v>0.15</v>
      </c>
      <c r="M5" s="194"/>
      <c r="N5" s="235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</row>
    <row r="6" spans="1:27">
      <c r="A6" s="175" t="s">
        <v>82</v>
      </c>
      <c r="B6" s="219">
        <v>60</v>
      </c>
      <c r="C6" s="167"/>
      <c r="D6" s="167"/>
      <c r="E6" s="167"/>
      <c r="F6" s="215"/>
      <c r="G6" s="215"/>
      <c r="H6" s="194"/>
      <c r="I6" s="194"/>
      <c r="J6" s="168"/>
      <c r="K6" s="194"/>
      <c r="L6" s="194"/>
      <c r="M6" s="235"/>
      <c r="N6" s="194"/>
      <c r="O6" s="168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</row>
    <row r="7" spans="1:27">
      <c r="A7" s="175" t="s">
        <v>486</v>
      </c>
      <c r="B7" s="219">
        <v>10000</v>
      </c>
      <c r="C7" s="167"/>
      <c r="D7" s="167" t="s">
        <v>494</v>
      </c>
      <c r="E7" s="197">
        <f>SUMPRODUCT(C12:C16,C12:C16,F12:F16)</f>
        <v>4.5627993544529035</v>
      </c>
      <c r="F7" s="215"/>
      <c r="G7" s="215"/>
      <c r="H7" s="194"/>
      <c r="I7" s="194"/>
      <c r="J7" s="192" t="s">
        <v>391</v>
      </c>
      <c r="K7" s="184">
        <f>SUMPRODUCT(X12:X32,Y12:Y32)</f>
        <v>779.25522043122487</v>
      </c>
      <c r="L7" s="194"/>
      <c r="M7" s="235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</row>
    <row r="8" spans="1:27" ht="13" thickBot="1">
      <c r="A8" s="175" t="s">
        <v>74</v>
      </c>
      <c r="B8" s="178">
        <v>0.04</v>
      </c>
      <c r="C8" s="167"/>
      <c r="D8" s="167" t="s">
        <v>495</v>
      </c>
      <c r="E8" s="196">
        <f>SUMPRODUCT(C12:C32,E12:E32,F12:F32)</f>
        <v>0.79045411751284289</v>
      </c>
      <c r="F8" s="167"/>
      <c r="G8" s="167"/>
      <c r="H8" s="194"/>
      <c r="I8" s="194"/>
      <c r="J8" s="194"/>
      <c r="K8" s="194"/>
      <c r="L8" s="194"/>
      <c r="M8" s="235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</row>
    <row r="9" spans="1:27">
      <c r="A9" s="238" t="s">
        <v>216</v>
      </c>
      <c r="B9" s="239">
        <f>1/(1+B$8)</f>
        <v>0.96153846153846145</v>
      </c>
      <c r="C9" s="167"/>
      <c r="D9" s="192" t="s">
        <v>95</v>
      </c>
      <c r="E9" s="245">
        <f>(300+1.02*B7*E8)/E7</f>
        <v>1832.7853909398364</v>
      </c>
      <c r="F9" s="167"/>
      <c r="G9" s="167"/>
      <c r="H9" s="259"/>
      <c r="I9" s="259"/>
      <c r="J9" s="269"/>
      <c r="K9" s="270" t="s">
        <v>480</v>
      </c>
      <c r="L9" s="271"/>
      <c r="M9" s="272"/>
      <c r="N9" s="271"/>
      <c r="O9" s="271"/>
      <c r="P9" s="271"/>
      <c r="Q9" s="271"/>
      <c r="R9" s="273"/>
      <c r="S9" s="284" t="s">
        <v>481</v>
      </c>
      <c r="T9" s="271"/>
      <c r="U9" s="271"/>
      <c r="V9" s="271"/>
      <c r="W9" s="271"/>
      <c r="X9" s="271"/>
      <c r="Y9" s="273"/>
      <c r="Z9" s="194"/>
    </row>
    <row r="10" spans="1:27">
      <c r="A10" s="194"/>
      <c r="B10" s="194"/>
      <c r="C10" s="167"/>
      <c r="D10" s="167"/>
      <c r="E10" s="230"/>
      <c r="F10" s="167"/>
      <c r="G10" s="167"/>
      <c r="H10" s="397" t="s">
        <v>424</v>
      </c>
      <c r="I10" s="397"/>
      <c r="J10" s="274"/>
      <c r="K10" s="259"/>
      <c r="L10" s="194"/>
      <c r="M10" s="268"/>
      <c r="N10" s="268"/>
      <c r="O10" s="268"/>
      <c r="P10" s="235"/>
      <c r="Q10" s="194"/>
      <c r="R10" s="275"/>
      <c r="S10" s="285"/>
      <c r="T10" s="194"/>
      <c r="U10" s="194"/>
      <c r="V10" s="194"/>
      <c r="W10" s="194"/>
      <c r="X10" s="194"/>
      <c r="Y10" s="275"/>
      <c r="Z10" s="194"/>
    </row>
    <row r="11" spans="1:27" ht="14" customHeight="1">
      <c r="A11" s="259" t="s">
        <v>0</v>
      </c>
      <c r="B11" s="187" t="s">
        <v>428</v>
      </c>
      <c r="C11" s="187" t="s">
        <v>482</v>
      </c>
      <c r="D11" s="187" t="s">
        <v>467</v>
      </c>
      <c r="E11" s="190" t="s">
        <v>487</v>
      </c>
      <c r="F11" s="187" t="s">
        <v>411</v>
      </c>
      <c r="G11" s="208"/>
      <c r="H11" s="259" t="s">
        <v>483</v>
      </c>
      <c r="I11" s="259" t="s">
        <v>484</v>
      </c>
      <c r="J11" s="276" t="s">
        <v>0</v>
      </c>
      <c r="K11" s="259" t="s">
        <v>460</v>
      </c>
      <c r="L11" s="277" t="s">
        <v>489</v>
      </c>
      <c r="M11" s="221" t="s">
        <v>476</v>
      </c>
      <c r="N11" s="221" t="s">
        <v>477</v>
      </c>
      <c r="O11" s="260" t="s">
        <v>434</v>
      </c>
      <c r="P11" s="259" t="s">
        <v>490</v>
      </c>
      <c r="Q11" s="259" t="s">
        <v>491</v>
      </c>
      <c r="R11" s="278" t="s">
        <v>492</v>
      </c>
      <c r="S11" s="276" t="s">
        <v>464</v>
      </c>
      <c r="T11" s="221" t="s">
        <v>477</v>
      </c>
      <c r="U11" s="260" t="s">
        <v>434</v>
      </c>
      <c r="V11" s="259" t="s">
        <v>491</v>
      </c>
      <c r="W11" s="259" t="s">
        <v>493</v>
      </c>
      <c r="X11" s="292" t="s">
        <v>440</v>
      </c>
      <c r="Y11" s="278" t="s">
        <v>485</v>
      </c>
      <c r="Z11" s="259"/>
    </row>
    <row r="12" spans="1:27">
      <c r="A12" s="96">
        <v>0</v>
      </c>
      <c r="B12" s="196">
        <f>EXP(-B$3-B$4/LN(B$5)*B$5^(B$6+A12)*(B$5-1))</f>
        <v>0.99660178873805105</v>
      </c>
      <c r="C12" s="196">
        <v>1</v>
      </c>
      <c r="D12" s="196">
        <f>1-B12</f>
        <v>3.3982112619489468E-3</v>
      </c>
      <c r="E12" s="196">
        <f>1-C12</f>
        <v>0</v>
      </c>
      <c r="F12" s="196">
        <f>B$9^A12</f>
        <v>1</v>
      </c>
      <c r="G12" s="266"/>
      <c r="H12" s="261">
        <f>B$9*B12^2*H13+B12*D12*B$9*(1.02*B$7+I13)-E$9+300</f>
        <v>1.8644641386345029E-11</v>
      </c>
      <c r="I12" s="261">
        <f>B$9*B12*(1.02*B$7+I13)</f>
        <v>129453.04973932607</v>
      </c>
      <c r="J12" s="279">
        <v>0</v>
      </c>
      <c r="K12" s="261"/>
      <c r="L12" s="261"/>
      <c r="M12" s="261">
        <v>300</v>
      </c>
      <c r="N12" s="168"/>
      <c r="O12" s="168"/>
      <c r="P12" s="261"/>
      <c r="Q12" s="261"/>
      <c r="R12" s="280">
        <f>K12+L12-M12+N12-O12-P12-Q12</f>
        <v>-300</v>
      </c>
      <c r="S12" s="286"/>
      <c r="T12" s="235"/>
      <c r="U12" s="235"/>
      <c r="V12" s="235"/>
      <c r="W12" s="235"/>
      <c r="X12" s="261">
        <f>R12</f>
        <v>-300</v>
      </c>
      <c r="Y12" s="290">
        <f>(1+L$5)^-J12</f>
        <v>1</v>
      </c>
      <c r="Z12" s="235"/>
    </row>
    <row r="13" spans="1:27">
      <c r="A13" s="96">
        <v>1</v>
      </c>
      <c r="B13" s="196">
        <f t="shared" ref="B13:B32" si="0">EXP(-B$3-B$4/LN(B$5)*B$5^(B$6+A13)*(B$5-1))</f>
        <v>0.99620839228149105</v>
      </c>
      <c r="C13" s="196">
        <f t="shared" ref="C13:C32" si="1">C12*B12</f>
        <v>0.99660178873805105</v>
      </c>
      <c r="D13" s="196">
        <f t="shared" ref="D13:E28" si="2">1-B13</f>
        <v>3.7916077185089492E-3</v>
      </c>
      <c r="E13" s="196">
        <f t="shared" si="2"/>
        <v>3.3982112619489468E-3</v>
      </c>
      <c r="F13" s="196">
        <f t="shared" ref="F13:F32" si="3">B$9^A13</f>
        <v>0.96153846153846145</v>
      </c>
      <c r="G13" s="266"/>
      <c r="H13" s="261">
        <f t="shared" ref="H13:H14" si="4">B$9*B13^2*H14+B13*D13*B$9*(1.02*B$7+I14)-E$9</f>
        <v>1144.3559543431634</v>
      </c>
      <c r="I13" s="261">
        <f t="shared" ref="I13:I31" si="5">B$9*B13*(1.02*B$7+I14)</f>
        <v>124890.23689328926</v>
      </c>
      <c r="J13" s="279">
        <v>1</v>
      </c>
      <c r="K13" s="261">
        <f>H12</f>
        <v>1.8644641386345029E-11</v>
      </c>
      <c r="L13" s="261">
        <f>E$9</f>
        <v>1832.7853909398364</v>
      </c>
      <c r="M13" s="261">
        <v>0</v>
      </c>
      <c r="N13" s="261">
        <f>L$4*(K13+L13-M13)</f>
        <v>109.96712345639129</v>
      </c>
      <c r="O13" s="261">
        <f>B12*D12*B$7*1.02</f>
        <v>34.543966906114726</v>
      </c>
      <c r="P13" s="261">
        <f t="shared" ref="P13:P32" si="6">B12*B12*H13</f>
        <v>1136.5916425989219</v>
      </c>
      <c r="Q13" s="261">
        <f t="shared" ref="Q13:Q32" si="7">B12*D12*I13</f>
        <v>422.96119707241297</v>
      </c>
      <c r="R13" s="280">
        <f t="shared" ref="R13:R32" si="8">K13+L13-M13+N13-O13-P13-Q13</f>
        <v>348.65570781879677</v>
      </c>
      <c r="S13" s="287"/>
      <c r="T13" s="168"/>
      <c r="U13" s="168"/>
      <c r="V13" s="168"/>
      <c r="W13" s="168"/>
      <c r="X13" s="261">
        <f>R13</f>
        <v>348.65570781879677</v>
      </c>
      <c r="Y13" s="290">
        <f t="shared" ref="Y13:Y32" si="9">(1+L$5)^-J13</f>
        <v>0.86956521739130443</v>
      </c>
      <c r="Z13" s="194"/>
    </row>
    <row r="14" spans="1:27">
      <c r="A14" s="96">
        <v>2</v>
      </c>
      <c r="B14" s="196">
        <f t="shared" si="0"/>
        <v>0.99576640002728212</v>
      </c>
      <c r="C14" s="196">
        <f t="shared" si="1"/>
        <v>0.99282306570359202</v>
      </c>
      <c r="D14" s="196">
        <f t="shared" si="2"/>
        <v>4.233599972717883E-3</v>
      </c>
      <c r="E14" s="196">
        <f t="shared" si="2"/>
        <v>7.1769342964079774E-3</v>
      </c>
      <c r="F14" s="196">
        <f t="shared" si="3"/>
        <v>0.92455621301775126</v>
      </c>
      <c r="G14" s="266"/>
      <c r="H14" s="261">
        <f t="shared" si="4"/>
        <v>2623.60849214062</v>
      </c>
      <c r="I14" s="261">
        <f t="shared" si="5"/>
        <v>120180.19693004151</v>
      </c>
      <c r="J14" s="279">
        <v>2</v>
      </c>
      <c r="K14" s="261">
        <f t="shared" ref="K14:K32" si="10">H13</f>
        <v>1144.3559543431634</v>
      </c>
      <c r="L14" s="261">
        <f t="shared" ref="L14:L17" si="11">E$9</f>
        <v>1832.7853909398364</v>
      </c>
      <c r="M14" s="261">
        <v>0</v>
      </c>
      <c r="N14" s="261">
        <f t="shared" ref="N14:N32" si="12">L$4*(K14+L14-M14)</f>
        <v>178.62848071697996</v>
      </c>
      <c r="O14" s="261">
        <f t="shared" ref="O14:O32" si="13">B13*D13*B$7*1.02</f>
        <v>38.527760580062505</v>
      </c>
      <c r="P14" s="261">
        <f t="shared" si="6"/>
        <v>2603.750821476473</v>
      </c>
      <c r="Q14" s="261">
        <f t="shared" si="7"/>
        <v>453.94841703778451</v>
      </c>
      <c r="R14" s="280">
        <f t="shared" si="8"/>
        <v>59.542826905659751</v>
      </c>
      <c r="S14" s="288">
        <f>I13</f>
        <v>124890.23689328926</v>
      </c>
      <c r="T14" s="261">
        <f>L$4*S14</f>
        <v>7493.4142135973552</v>
      </c>
      <c r="U14" s="261">
        <f>B13*B$7*1.02</f>
        <v>10161.32560127121</v>
      </c>
      <c r="V14" s="261">
        <f>B13*I14</f>
        <v>119724.52076774964</v>
      </c>
      <c r="W14" s="261">
        <f>S14+T14-U14-V14</f>
        <v>2497.8047378657793</v>
      </c>
      <c r="X14" s="261">
        <f t="shared" ref="X14:X32" si="14">C13^2*R14+C13*E13*W14</f>
        <v>67.598060228215019</v>
      </c>
      <c r="Y14" s="290">
        <f t="shared" si="9"/>
        <v>0.7561436672967865</v>
      </c>
      <c r="Z14" s="168"/>
    </row>
    <row r="15" spans="1:27">
      <c r="A15" s="96">
        <v>3</v>
      </c>
      <c r="B15" s="196">
        <f t="shared" si="0"/>
        <v>0.99526983481229825</v>
      </c>
      <c r="C15" s="196">
        <f t="shared" si="1"/>
        <v>0.98861984999971564</v>
      </c>
      <c r="D15" s="196">
        <f t="shared" si="2"/>
        <v>4.7301651877017514E-3</v>
      </c>
      <c r="E15" s="196">
        <f t="shared" si="2"/>
        <v>1.1380150000284361E-2</v>
      </c>
      <c r="F15" s="196">
        <f t="shared" si="3"/>
        <v>0.88899635867091464</v>
      </c>
      <c r="G15" s="266"/>
      <c r="H15" s="261">
        <f>B$9*B15^2*H16+B15*D15*B$9*(1.02*B$7+I16)-E$9</f>
        <v>4140.4870853682096</v>
      </c>
      <c r="I15" s="261">
        <f t="shared" si="5"/>
        <v>115318.80120058154</v>
      </c>
      <c r="J15" s="279">
        <v>3</v>
      </c>
      <c r="K15" s="261">
        <f t="shared" si="10"/>
        <v>2623.60849214062</v>
      </c>
      <c r="L15" s="261">
        <f t="shared" si="11"/>
        <v>1832.7853909398364</v>
      </c>
      <c r="M15" s="261">
        <v>0</v>
      </c>
      <c r="N15" s="261">
        <f t="shared" si="12"/>
        <v>267.38363298482739</v>
      </c>
      <c r="O15" s="261">
        <f t="shared" si="13"/>
        <v>42.999901360686643</v>
      </c>
      <c r="P15" s="261">
        <f t="shared" si="6"/>
        <v>4105.5029648216514</v>
      </c>
      <c r="Q15" s="261">
        <f t="shared" si="7"/>
        <v>486.14677222133713</v>
      </c>
      <c r="R15" s="280">
        <f t="shared" si="8"/>
        <v>89.127877661608466</v>
      </c>
      <c r="S15" s="288">
        <f t="shared" ref="S15:S32" si="15">I14</f>
        <v>120180.19693004151</v>
      </c>
      <c r="T15" s="261">
        <f t="shared" ref="T15:T31" si="16">L$4*S15</f>
        <v>7210.8118158024899</v>
      </c>
      <c r="U15" s="261">
        <f t="shared" ref="U15:U31" si="17">B14*B$7*1.02</f>
        <v>10156.817280278279</v>
      </c>
      <c r="V15" s="261">
        <f t="shared" ref="V15:V32" si="18">B14*I15</f>
        <v>114830.5875269649</v>
      </c>
      <c r="W15" s="261">
        <f t="shared" ref="W15:W32" si="19">S15+T15-U15-V15</f>
        <v>2403.6039386008197</v>
      </c>
      <c r="X15" s="261">
        <f t="shared" si="14"/>
        <v>104.97984043353117</v>
      </c>
      <c r="Y15" s="290">
        <f t="shared" si="9"/>
        <v>0.65751623243198831</v>
      </c>
      <c r="Z15" s="168"/>
    </row>
    <row r="16" spans="1:27">
      <c r="A16" s="96">
        <v>4</v>
      </c>
      <c r="B16" s="196">
        <f t="shared" si="0"/>
        <v>0.99471199109198305</v>
      </c>
      <c r="C16" s="196">
        <f t="shared" si="1"/>
        <v>0.9839435148013761</v>
      </c>
      <c r="D16" s="196">
        <f t="shared" si="2"/>
        <v>5.2880089080169501E-3</v>
      </c>
      <c r="E16" s="196">
        <f t="shared" si="2"/>
        <v>1.6056485198623904E-2</v>
      </c>
      <c r="F16" s="196">
        <f t="shared" si="3"/>
        <v>0.85480419102972549</v>
      </c>
      <c r="G16" s="266"/>
      <c r="H16" s="261">
        <f>B$9*B16^2*H17+B16*D16*B$9*(1.02*B$7+I17)-E$9</f>
        <v>5698.6913146647148</v>
      </c>
      <c r="I16" s="261">
        <f t="shared" si="5"/>
        <v>110301.54546402299</v>
      </c>
      <c r="J16" s="279">
        <v>4</v>
      </c>
      <c r="K16" s="261">
        <f t="shared" si="10"/>
        <v>4140.4870853682096</v>
      </c>
      <c r="L16" s="261">
        <f t="shared" si="11"/>
        <v>1832.7853909398364</v>
      </c>
      <c r="M16" s="261">
        <v>0</v>
      </c>
      <c r="N16" s="261">
        <f t="shared" si="12"/>
        <v>358.39634857848273</v>
      </c>
      <c r="O16" s="261">
        <f t="shared" si="13"/>
        <v>48.019465394987819</v>
      </c>
      <c r="P16" s="261">
        <f t="shared" si="6"/>
        <v>5644.9073172768194</v>
      </c>
      <c r="Q16" s="261">
        <f t="shared" si="7"/>
        <v>519.27659268856155</v>
      </c>
      <c r="R16" s="280">
        <f t="shared" si="8"/>
        <v>119.46544952616</v>
      </c>
      <c r="S16" s="288">
        <f t="shared" si="15"/>
        <v>115318.80120058154</v>
      </c>
      <c r="T16" s="261">
        <f t="shared" si="16"/>
        <v>6919.1280720348923</v>
      </c>
      <c r="U16" s="261">
        <f t="shared" si="17"/>
        <v>10151.752315085441</v>
      </c>
      <c r="V16" s="261">
        <f t="shared" si="18"/>
        <v>109779.80093351936</v>
      </c>
      <c r="W16" s="261">
        <f t="shared" si="19"/>
        <v>2306.3760240116244</v>
      </c>
      <c r="X16" s="261">
        <f t="shared" si="14"/>
        <v>142.71006315757506</v>
      </c>
      <c r="Y16" s="290">
        <f t="shared" si="9"/>
        <v>0.57175324559303342</v>
      </c>
      <c r="Z16" s="168"/>
    </row>
    <row r="17" spans="1:26">
      <c r="A17" s="96">
        <v>5</v>
      </c>
      <c r="B17" s="196">
        <f t="shared" si="0"/>
        <v>0.99408534797044545</v>
      </c>
      <c r="C17" s="196">
        <f t="shared" si="1"/>
        <v>0.97874041273012091</v>
      </c>
      <c r="D17" s="196">
        <f t="shared" si="2"/>
        <v>5.9146520295545457E-3</v>
      </c>
      <c r="E17" s="196">
        <f t="shared" si="2"/>
        <v>2.1259587269879088E-2</v>
      </c>
      <c r="F17" s="196">
        <f t="shared" si="3"/>
        <v>0.82192710675935132</v>
      </c>
      <c r="G17" s="266"/>
      <c r="H17" s="261">
        <f t="shared" ref="H17:H30" si="20">B$9*B17^2*H18+B17*D17*B$9*(1.02*B$7+I18)</f>
        <v>7303.1633638610656</v>
      </c>
      <c r="I17" s="261">
        <f t="shared" si="5"/>
        <v>105123.43865348671</v>
      </c>
      <c r="J17" s="279">
        <v>5</v>
      </c>
      <c r="K17" s="261">
        <f t="shared" si="10"/>
        <v>5698.6913146647148</v>
      </c>
      <c r="L17" s="261">
        <f t="shared" si="11"/>
        <v>1832.7853909398364</v>
      </c>
      <c r="M17" s="261">
        <v>0</v>
      </c>
      <c r="N17" s="261">
        <f t="shared" si="12"/>
        <v>451.88860233627304</v>
      </c>
      <c r="O17" s="261">
        <f t="shared" si="13"/>
        <v>53.652467872017979</v>
      </c>
      <c r="P17" s="261">
        <f t="shared" si="6"/>
        <v>7226.129196647672</v>
      </c>
      <c r="Q17" s="261">
        <f t="shared" si="7"/>
        <v>552.95410930904393</v>
      </c>
      <c r="R17" s="280">
        <f t="shared" si="8"/>
        <v>150.62953411209025</v>
      </c>
      <c r="S17" s="288">
        <f t="shared" si="15"/>
        <v>110301.54546402299</v>
      </c>
      <c r="T17" s="261">
        <f t="shared" si="16"/>
        <v>6618.0927278413792</v>
      </c>
      <c r="U17" s="261">
        <f t="shared" si="17"/>
        <v>10146.062309138226</v>
      </c>
      <c r="V17" s="261">
        <f t="shared" si="18"/>
        <v>104567.54497344569</v>
      </c>
      <c r="W17" s="261">
        <f t="shared" si="19"/>
        <v>2206.0309092804382</v>
      </c>
      <c r="X17" s="261">
        <f t="shared" si="14"/>
        <v>180.68357048264716</v>
      </c>
      <c r="Y17" s="290">
        <f t="shared" si="9"/>
        <v>0.49717673529828987</v>
      </c>
      <c r="Z17" s="168"/>
    </row>
    <row r="18" spans="1:26">
      <c r="A18" s="96">
        <v>6</v>
      </c>
      <c r="B18" s="196">
        <f t="shared" si="0"/>
        <v>0.99338147232075569</v>
      </c>
      <c r="C18" s="196">
        <f t="shared" si="1"/>
        <v>0.9729515037615597</v>
      </c>
      <c r="D18" s="196">
        <f t="shared" si="2"/>
        <v>6.6185276792443126E-3</v>
      </c>
      <c r="E18" s="196">
        <f t="shared" si="2"/>
        <v>2.70484962384403E-2</v>
      </c>
      <c r="F18" s="196">
        <f t="shared" si="3"/>
        <v>0.79031452573014538</v>
      </c>
      <c r="G18" s="266"/>
      <c r="H18" s="261">
        <f t="shared" si="20"/>
        <v>7031.5833470233183</v>
      </c>
      <c r="I18" s="261">
        <f t="shared" si="5"/>
        <v>99778.862904311274</v>
      </c>
      <c r="J18" s="279">
        <v>6</v>
      </c>
      <c r="K18" s="261">
        <f t="shared" si="10"/>
        <v>7303.1633638610656</v>
      </c>
      <c r="L18" s="261">
        <v>0</v>
      </c>
      <c r="M18" s="261">
        <v>0</v>
      </c>
      <c r="N18" s="261">
        <f t="shared" si="12"/>
        <v>438.18980183166394</v>
      </c>
      <c r="O18" s="261">
        <f t="shared" si="13"/>
        <v>59.972622993423094</v>
      </c>
      <c r="P18" s="261">
        <f t="shared" si="6"/>
        <v>6948.6505962384863</v>
      </c>
      <c r="Q18" s="261">
        <f t="shared" si="7"/>
        <v>586.66667918359883</v>
      </c>
      <c r="R18" s="280">
        <f t="shared" si="8"/>
        <v>146.0632672772216</v>
      </c>
      <c r="S18" s="288">
        <f t="shared" si="15"/>
        <v>105123.43865348671</v>
      </c>
      <c r="T18" s="261">
        <f t="shared" si="16"/>
        <v>6307.4063192092026</v>
      </c>
      <c r="U18" s="261">
        <f t="shared" si="17"/>
        <v>10139.670549298544</v>
      </c>
      <c r="V18" s="261">
        <f t="shared" si="18"/>
        <v>99188.70565032764</v>
      </c>
      <c r="W18" s="261">
        <f t="shared" si="19"/>
        <v>2102.4687730697187</v>
      </c>
      <c r="X18" s="261">
        <f t="shared" si="14"/>
        <v>183.66615938927947</v>
      </c>
      <c r="Y18" s="290">
        <f t="shared" si="9"/>
        <v>0.43232759591155645</v>
      </c>
      <c r="Z18" s="168"/>
    </row>
    <row r="19" spans="1:26">
      <c r="A19" s="96">
        <v>7</v>
      </c>
      <c r="B19" s="196">
        <f t="shared" si="0"/>
        <v>0.99259091099373209</v>
      </c>
      <c r="C19" s="196">
        <f t="shared" si="1"/>
        <v>0.96651199730335147</v>
      </c>
      <c r="D19" s="196">
        <f t="shared" si="2"/>
        <v>7.4090890062679104E-3</v>
      </c>
      <c r="E19" s="196">
        <f t="shared" si="2"/>
        <v>3.3488002696648533E-2</v>
      </c>
      <c r="F19" s="196">
        <f t="shared" si="3"/>
        <v>0.75991781320206286</v>
      </c>
      <c r="G19" s="266"/>
      <c r="H19" s="261">
        <f t="shared" si="20"/>
        <v>6714.62974017119</v>
      </c>
      <c r="I19" s="261">
        <f t="shared" si="5"/>
        <v>94261.398075056044</v>
      </c>
      <c r="J19" s="279">
        <v>7</v>
      </c>
      <c r="K19" s="261">
        <f t="shared" si="10"/>
        <v>7031.5833470233183</v>
      </c>
      <c r="L19" s="261">
        <v>0</v>
      </c>
      <c r="M19" s="261">
        <v>0</v>
      </c>
      <c r="N19" s="261">
        <f t="shared" si="12"/>
        <v>421.89500082139909</v>
      </c>
      <c r="O19" s="261">
        <f t="shared" si="13"/>
        <v>67.062172260154583</v>
      </c>
      <c r="P19" s="261">
        <f t="shared" si="6"/>
        <v>6626.0419483311161</v>
      </c>
      <c r="Q19" s="261">
        <f t="shared" si="7"/>
        <v>619.74256031298148</v>
      </c>
      <c r="R19" s="280">
        <f t="shared" si="8"/>
        <v>140.63166694046492</v>
      </c>
      <c r="S19" s="288">
        <f t="shared" si="15"/>
        <v>99778.862904311274</v>
      </c>
      <c r="T19" s="261">
        <f t="shared" si="16"/>
        <v>5986.7317742586765</v>
      </c>
      <c r="U19" s="261">
        <f t="shared" si="17"/>
        <v>10132.491017671708</v>
      </c>
      <c r="V19" s="261">
        <f t="shared" si="18"/>
        <v>93637.526402812015</v>
      </c>
      <c r="W19" s="261">
        <f t="shared" si="19"/>
        <v>1995.5772580862249</v>
      </c>
      <c r="X19" s="261">
        <f t="shared" si="14"/>
        <v>185.6441632465546</v>
      </c>
      <c r="Y19" s="290">
        <f t="shared" si="9"/>
        <v>0.37593703992309269</v>
      </c>
      <c r="Z19" s="168"/>
    </row>
    <row r="20" spans="1:26">
      <c r="A20" s="96">
        <v>8</v>
      </c>
      <c r="B20" s="196">
        <f t="shared" si="0"/>
        <v>0.99170307104776678</v>
      </c>
      <c r="C20" s="196">
        <f t="shared" si="1"/>
        <v>0.95935102388970517</v>
      </c>
      <c r="D20" s="196">
        <f t="shared" si="2"/>
        <v>8.2969289522332179E-3</v>
      </c>
      <c r="E20" s="196">
        <f t="shared" si="2"/>
        <v>4.0648976110294832E-2</v>
      </c>
      <c r="F20" s="196">
        <f t="shared" si="3"/>
        <v>0.73069020500198345</v>
      </c>
      <c r="G20" s="266"/>
      <c r="H20" s="261">
        <f t="shared" si="20"/>
        <v>6350.6445636023218</v>
      </c>
      <c r="I20" s="261">
        <f t="shared" si="5"/>
        <v>88563.602318213583</v>
      </c>
      <c r="J20" s="279">
        <v>8</v>
      </c>
      <c r="K20" s="261">
        <f t="shared" si="10"/>
        <v>6714.62974017119</v>
      </c>
      <c r="L20" s="261">
        <v>0</v>
      </c>
      <c r="M20" s="261">
        <v>0</v>
      </c>
      <c r="N20" s="261">
        <f t="shared" si="12"/>
        <v>402.87778441027137</v>
      </c>
      <c r="O20" s="261">
        <f t="shared" si="13"/>
        <v>75.012782944924126</v>
      </c>
      <c r="P20" s="261">
        <f t="shared" si="6"/>
        <v>6256.888198056964</v>
      </c>
      <c r="Q20" s="261">
        <f t="shared" si="7"/>
        <v>651.31394877615048</v>
      </c>
      <c r="R20" s="280">
        <f t="shared" si="8"/>
        <v>134.29259480342307</v>
      </c>
      <c r="S20" s="288">
        <f t="shared" si="15"/>
        <v>94261.398075056044</v>
      </c>
      <c r="T20" s="261">
        <f t="shared" si="16"/>
        <v>5655.6838845033626</v>
      </c>
      <c r="U20" s="261">
        <f t="shared" si="17"/>
        <v>10124.427292136068</v>
      </c>
      <c r="V20" s="261">
        <f t="shared" si="18"/>
        <v>87907.426705922218</v>
      </c>
      <c r="W20" s="261">
        <f t="shared" si="19"/>
        <v>1885.2279615011212</v>
      </c>
      <c r="X20" s="261">
        <f t="shared" si="14"/>
        <v>186.46715227652183</v>
      </c>
      <c r="Y20" s="290">
        <f t="shared" si="9"/>
        <v>0.32690177384616753</v>
      </c>
      <c r="Z20" s="168"/>
    </row>
    <row r="21" spans="1:26">
      <c r="A21" s="96">
        <v>9</v>
      </c>
      <c r="B21" s="196">
        <f t="shared" si="0"/>
        <v>0.99070608687319361</v>
      </c>
      <c r="C21" s="196">
        <f t="shared" si="1"/>
        <v>0.95139135660424012</v>
      </c>
      <c r="D21" s="196">
        <f t="shared" si="2"/>
        <v>9.2939131268063857E-3</v>
      </c>
      <c r="E21" s="196">
        <f t="shared" si="2"/>
        <v>4.8608643395759876E-2</v>
      </c>
      <c r="F21" s="196">
        <f t="shared" si="3"/>
        <v>0.70258673557883022</v>
      </c>
      <c r="G21" s="266"/>
      <c r="H21" s="261">
        <f t="shared" si="20"/>
        <v>5938.6077992817945</v>
      </c>
      <c r="I21" s="261">
        <f t="shared" si="5"/>
        <v>82676.738108342222</v>
      </c>
      <c r="J21" s="279">
        <v>9</v>
      </c>
      <c r="K21" s="261">
        <f t="shared" si="10"/>
        <v>6350.6445636023218</v>
      </c>
      <c r="L21" s="261">
        <v>0</v>
      </c>
      <c r="M21" s="261">
        <v>0</v>
      </c>
      <c r="N21" s="261">
        <f t="shared" si="12"/>
        <v>381.03867381613929</v>
      </c>
      <c r="O21" s="261">
        <f t="shared" si="13"/>
        <v>83.926517206387103</v>
      </c>
      <c r="P21" s="261">
        <f t="shared" si="6"/>
        <v>5840.4721933108376</v>
      </c>
      <c r="Q21" s="261">
        <f t="shared" si="7"/>
        <v>680.27163562919043</v>
      </c>
      <c r="R21" s="280">
        <f t="shared" si="8"/>
        <v>127.01289127204643</v>
      </c>
      <c r="S21" s="288">
        <f t="shared" si="15"/>
        <v>88563.602318213583</v>
      </c>
      <c r="T21" s="261">
        <f t="shared" si="16"/>
        <v>5313.8161390928144</v>
      </c>
      <c r="U21" s="261">
        <f t="shared" si="17"/>
        <v>10115.371324687221</v>
      </c>
      <c r="V21" s="261">
        <f t="shared" si="18"/>
        <v>81990.775086254915</v>
      </c>
      <c r="W21" s="261">
        <f t="shared" si="19"/>
        <v>1771.2720463642618</v>
      </c>
      <c r="X21" s="261">
        <f t="shared" si="14"/>
        <v>185.97052444988122</v>
      </c>
      <c r="Y21" s="290">
        <f t="shared" si="9"/>
        <v>0.28426241204014574</v>
      </c>
      <c r="Z21" s="168"/>
    </row>
    <row r="22" spans="1:26">
      <c r="A22" s="96">
        <v>10</v>
      </c>
      <c r="B22" s="196">
        <f t="shared" si="0"/>
        <v>0.98958667303685266</v>
      </c>
      <c r="C22" s="196">
        <f t="shared" si="1"/>
        <v>0.94254920798636588</v>
      </c>
      <c r="D22" s="196">
        <f t="shared" si="2"/>
        <v>1.041332696314734E-2</v>
      </c>
      <c r="E22" s="196">
        <f t="shared" si="2"/>
        <v>5.7450792013634122E-2</v>
      </c>
      <c r="F22" s="196">
        <f t="shared" si="3"/>
        <v>0.67556416882579817</v>
      </c>
      <c r="G22" s="266"/>
      <c r="H22" s="261">
        <f t="shared" si="20"/>
        <v>5478.3841195623136</v>
      </c>
      <c r="I22" s="261">
        <f t="shared" si="5"/>
        <v>76590.43035261122</v>
      </c>
      <c r="J22" s="279">
        <v>10</v>
      </c>
      <c r="K22" s="261">
        <f t="shared" si="10"/>
        <v>5938.6077992817945</v>
      </c>
      <c r="L22" s="261">
        <v>0</v>
      </c>
      <c r="M22" s="261">
        <v>0</v>
      </c>
      <c r="N22" s="261">
        <f t="shared" si="12"/>
        <v>356.31646795690767</v>
      </c>
      <c r="O22" s="261">
        <f t="shared" si="13"/>
        <v>93.916870317097178</v>
      </c>
      <c r="P22" s="261">
        <f t="shared" si="6"/>
        <v>5377.0260728029452</v>
      </c>
      <c r="Q22" s="261">
        <f t="shared" si="7"/>
        <v>705.20916813302449</v>
      </c>
      <c r="R22" s="280">
        <f t="shared" si="8"/>
        <v>118.77215598563578</v>
      </c>
      <c r="S22" s="288">
        <f t="shared" si="15"/>
        <v>82676.738108342222</v>
      </c>
      <c r="T22" s="261">
        <f t="shared" si="16"/>
        <v>4960.6042865005329</v>
      </c>
      <c r="U22" s="261">
        <f t="shared" si="17"/>
        <v>10105.202086106576</v>
      </c>
      <c r="V22" s="261">
        <f t="shared" si="18"/>
        <v>75878.605546569335</v>
      </c>
      <c r="W22" s="261">
        <f t="shared" si="19"/>
        <v>1653.5347621668479</v>
      </c>
      <c r="X22" s="261">
        <f t="shared" si="14"/>
        <v>183.9751934185482</v>
      </c>
      <c r="Y22" s="290">
        <f t="shared" si="9"/>
        <v>0.24718470612186585</v>
      </c>
      <c r="Z22" s="168"/>
    </row>
    <row r="23" spans="1:26">
      <c r="A23" s="96">
        <v>11</v>
      </c>
      <c r="B23" s="196">
        <f t="shared" si="0"/>
        <v>0.98832996164179732</v>
      </c>
      <c r="C23" s="196">
        <f t="shared" si="1"/>
        <v>0.93273413490474832</v>
      </c>
      <c r="D23" s="196">
        <f t="shared" si="2"/>
        <v>1.1670038358202683E-2</v>
      </c>
      <c r="E23" s="196">
        <f t="shared" si="2"/>
        <v>6.7265865095251676E-2</v>
      </c>
      <c r="F23" s="196">
        <f t="shared" si="3"/>
        <v>0.64958093156326746</v>
      </c>
      <c r="G23" s="266"/>
      <c r="H23" s="261">
        <f t="shared" si="20"/>
        <v>4971.0470728187356</v>
      </c>
      <c r="I23" s="261">
        <f t="shared" si="5"/>
        <v>70292.239575410407</v>
      </c>
      <c r="J23" s="279">
        <v>11</v>
      </c>
      <c r="K23" s="261">
        <f t="shared" si="10"/>
        <v>5478.3841195623136</v>
      </c>
      <c r="L23" s="261">
        <v>0</v>
      </c>
      <c r="M23" s="261">
        <v>0</v>
      </c>
      <c r="N23" s="261">
        <f t="shared" si="12"/>
        <v>328.70304717373881</v>
      </c>
      <c r="O23" s="261">
        <f t="shared" si="13"/>
        <v>105.10987376400047</v>
      </c>
      <c r="P23" s="261">
        <f t="shared" si="6"/>
        <v>4868.0558430945048</v>
      </c>
      <c r="Q23" s="261">
        <f t="shared" si="7"/>
        <v>724.35376748630063</v>
      </c>
      <c r="R23" s="280">
        <f t="shared" si="8"/>
        <v>109.56768239124665</v>
      </c>
      <c r="S23" s="288">
        <f t="shared" si="15"/>
        <v>76590.43035261122</v>
      </c>
      <c r="T23" s="261">
        <f t="shared" si="16"/>
        <v>4595.425821156673</v>
      </c>
      <c r="U23" s="261">
        <f t="shared" si="17"/>
        <v>10093.784064975898</v>
      </c>
      <c r="V23" s="261">
        <f t="shared" si="18"/>
        <v>69560.26350173977</v>
      </c>
      <c r="W23" s="261">
        <f t="shared" si="19"/>
        <v>1531.8086070522259</v>
      </c>
      <c r="X23" s="261">
        <f t="shared" si="14"/>
        <v>180.28756065911983</v>
      </c>
      <c r="Y23" s="290">
        <f t="shared" si="9"/>
        <v>0.21494322271466598</v>
      </c>
      <c r="Z23" s="194"/>
    </row>
    <row r="24" spans="1:26">
      <c r="A24" s="96">
        <v>12</v>
      </c>
      <c r="B24" s="196">
        <f t="shared" si="0"/>
        <v>0.98691932299126284</v>
      </c>
      <c r="C24" s="196">
        <f t="shared" si="1"/>
        <v>0.92184909177240493</v>
      </c>
      <c r="D24" s="196">
        <f t="shared" si="2"/>
        <v>1.3080677008737163E-2</v>
      </c>
      <c r="E24" s="196">
        <f t="shared" si="2"/>
        <v>7.8150908227595073E-2</v>
      </c>
      <c r="F24" s="196">
        <f t="shared" si="3"/>
        <v>0.62459704958006479</v>
      </c>
      <c r="G24" s="266"/>
      <c r="H24" s="261">
        <f t="shared" si="20"/>
        <v>4419.3084314297766</v>
      </c>
      <c r="I24" s="261">
        <f t="shared" si="5"/>
        <v>63767.128383913187</v>
      </c>
      <c r="J24" s="279">
        <v>12</v>
      </c>
      <c r="K24" s="261">
        <f>H23</f>
        <v>4971.0470728187356</v>
      </c>
      <c r="L24" s="261">
        <v>0</v>
      </c>
      <c r="M24" s="261">
        <v>0</v>
      </c>
      <c r="N24" s="261">
        <f t="shared" si="12"/>
        <v>298.26282436912413</v>
      </c>
      <c r="O24" s="261">
        <f t="shared" si="13"/>
        <v>117.64525534179177</v>
      </c>
      <c r="P24" s="261">
        <f t="shared" si="6"/>
        <v>4316.7632983173125</v>
      </c>
      <c r="Q24" s="261">
        <f t="shared" si="7"/>
        <v>735.4804020723808</v>
      </c>
      <c r="R24" s="280">
        <f t="shared" si="8"/>
        <v>99.420941456374408</v>
      </c>
      <c r="S24" s="288">
        <f>I23</f>
        <v>70292.239575410407</v>
      </c>
      <c r="T24" s="261">
        <f t="shared" si="16"/>
        <v>4217.5343745246246</v>
      </c>
      <c r="U24" s="261">
        <f t="shared" si="17"/>
        <v>10080.965608746334</v>
      </c>
      <c r="V24" s="261">
        <f t="shared" si="18"/>
        <v>63022.963549680484</v>
      </c>
      <c r="W24" s="261">
        <f t="shared" si="19"/>
        <v>1405.844791508207</v>
      </c>
      <c r="X24" s="261">
        <f t="shared" si="14"/>
        <v>174.69986471388302</v>
      </c>
      <c r="Y24" s="290">
        <f t="shared" si="9"/>
        <v>0.18690715018666609</v>
      </c>
      <c r="Z24" s="194"/>
    </row>
    <row r="25" spans="1:26">
      <c r="A25" s="96">
        <v>13</v>
      </c>
      <c r="B25" s="196">
        <f t="shared" si="0"/>
        <v>0.98533616837506299</v>
      </c>
      <c r="C25" s="196">
        <f t="shared" si="1"/>
        <v>0.90979068155213239</v>
      </c>
      <c r="D25" s="196">
        <f t="shared" si="2"/>
        <v>1.4663831624937007E-2</v>
      </c>
      <c r="E25" s="196">
        <f t="shared" si="2"/>
        <v>9.0209318447867615E-2</v>
      </c>
      <c r="F25" s="196">
        <f t="shared" si="3"/>
        <v>0.60057408613467755</v>
      </c>
      <c r="G25" s="266"/>
      <c r="H25" s="261">
        <f t="shared" si="20"/>
        <v>3828.0919362025757</v>
      </c>
      <c r="I25" s="261">
        <f t="shared" si="5"/>
        <v>56996.793065380924</v>
      </c>
      <c r="J25" s="279">
        <v>13</v>
      </c>
      <c r="K25" s="261">
        <f t="shared" si="10"/>
        <v>4419.3084314297766</v>
      </c>
      <c r="L25" s="261">
        <v>0</v>
      </c>
      <c r="M25" s="261">
        <v>0</v>
      </c>
      <c r="N25" s="261">
        <f t="shared" si="12"/>
        <v>265.15850588578661</v>
      </c>
      <c r="O25" s="261">
        <f t="shared" si="13"/>
        <v>131.67764355684864</v>
      </c>
      <c r="P25" s="261">
        <f t="shared" si="6"/>
        <v>3728.598870115738</v>
      </c>
      <c r="Q25" s="261">
        <f t="shared" si="7"/>
        <v>735.80425501438151</v>
      </c>
      <c r="R25" s="280">
        <f t="shared" si="8"/>
        <v>88.386168628594419</v>
      </c>
      <c r="S25" s="288">
        <f t="shared" si="15"/>
        <v>63767.128383913187</v>
      </c>
      <c r="T25" s="261">
        <f t="shared" si="16"/>
        <v>3826.0277030347911</v>
      </c>
      <c r="U25" s="261">
        <f t="shared" si="17"/>
        <v>10066.577094510882</v>
      </c>
      <c r="V25" s="261">
        <f t="shared" si="18"/>
        <v>56251.236424758848</v>
      </c>
      <c r="W25" s="261">
        <f t="shared" si="19"/>
        <v>1275.3425676782426</v>
      </c>
      <c r="X25" s="261">
        <f t="shared" si="14"/>
        <v>166.9910171731936</v>
      </c>
      <c r="Y25" s="290">
        <f t="shared" si="9"/>
        <v>0.16252795668405748</v>
      </c>
      <c r="Z25" s="194"/>
    </row>
    <row r="26" spans="1:26">
      <c r="A26" s="96">
        <v>14</v>
      </c>
      <c r="B26" s="196">
        <f t="shared" si="0"/>
        <v>0.98355973387328199</v>
      </c>
      <c r="C26" s="196">
        <f t="shared" si="1"/>
        <v>0.89644966418391525</v>
      </c>
      <c r="D26" s="196">
        <f t="shared" si="2"/>
        <v>1.6440266126718006E-2</v>
      </c>
      <c r="E26" s="196">
        <f t="shared" si="2"/>
        <v>0.10355033581608475</v>
      </c>
      <c r="F26" s="196">
        <f t="shared" si="3"/>
        <v>0.57747508282180526</v>
      </c>
      <c r="G26" s="266"/>
      <c r="H26" s="261">
        <f t="shared" si="20"/>
        <v>3205.3075310620188</v>
      </c>
      <c r="I26" s="261">
        <f t="shared" si="5"/>
        <v>49958.823648735503</v>
      </c>
      <c r="J26" s="279">
        <v>14</v>
      </c>
      <c r="K26" s="261">
        <f t="shared" si="10"/>
        <v>3828.0919362025757</v>
      </c>
      <c r="L26" s="261">
        <v>0</v>
      </c>
      <c r="M26" s="261">
        <v>0</v>
      </c>
      <c r="N26" s="261">
        <f t="shared" si="12"/>
        <v>229.68551617215454</v>
      </c>
      <c r="O26" s="261">
        <f t="shared" si="13"/>
        <v>147.37779740352755</v>
      </c>
      <c r="P26" s="261">
        <f t="shared" si="6"/>
        <v>3111.9925819116711</v>
      </c>
      <c r="Q26" s="261">
        <f t="shared" si="7"/>
        <v>721.84523433548054</v>
      </c>
      <c r="R26" s="280">
        <f t="shared" si="8"/>
        <v>76.561838724051199</v>
      </c>
      <c r="S26" s="288">
        <f t="shared" si="15"/>
        <v>56996.793065380924</v>
      </c>
      <c r="T26" s="261">
        <f t="shared" si="16"/>
        <v>3419.8075839228554</v>
      </c>
      <c r="U26" s="261">
        <f t="shared" si="17"/>
        <v>10050.428917425643</v>
      </c>
      <c r="V26" s="261">
        <f t="shared" si="18"/>
        <v>49226.235870570526</v>
      </c>
      <c r="W26" s="261">
        <f t="shared" si="19"/>
        <v>1139.935861307611</v>
      </c>
      <c r="X26" s="261">
        <f t="shared" si="14"/>
        <v>156.92805200826317</v>
      </c>
      <c r="Y26" s="290">
        <f t="shared" si="9"/>
        <v>0.14132865798613695</v>
      </c>
      <c r="Z26" s="194"/>
    </row>
    <row r="27" spans="1:26">
      <c r="A27" s="96">
        <v>15</v>
      </c>
      <c r="B27" s="196">
        <f t="shared" si="0"/>
        <v>0.98156684421272111</v>
      </c>
      <c r="C27" s="196">
        <f t="shared" si="1"/>
        <v>0.88171179313552472</v>
      </c>
      <c r="D27" s="196">
        <f t="shared" si="2"/>
        <v>1.8433155787278888E-2</v>
      </c>
      <c r="E27" s="196">
        <f t="shared" si="2"/>
        <v>0.11828820686447528</v>
      </c>
      <c r="F27" s="196">
        <f t="shared" si="3"/>
        <v>0.55526450271327432</v>
      </c>
      <c r="G27" s="266"/>
      <c r="H27" s="261">
        <f t="shared" si="20"/>
        <v>2562.9070616540002</v>
      </c>
      <c r="I27" s="261">
        <f t="shared" si="5"/>
        <v>42625.644244377829</v>
      </c>
      <c r="J27" s="279">
        <v>15</v>
      </c>
      <c r="K27" s="261">
        <f t="shared" si="10"/>
        <v>3205.3075310620188</v>
      </c>
      <c r="L27" s="261">
        <v>0</v>
      </c>
      <c r="M27" s="261">
        <v>0</v>
      </c>
      <c r="N27" s="261">
        <f t="shared" si="12"/>
        <v>192.31845186372112</v>
      </c>
      <c r="O27" s="261">
        <f t="shared" si="13"/>
        <v>164.9338345192871</v>
      </c>
      <c r="P27" s="261">
        <f t="shared" si="6"/>
        <v>2479.3300218949958</v>
      </c>
      <c r="Q27" s="261">
        <f t="shared" si="7"/>
        <v>689.2559758902172</v>
      </c>
      <c r="R27" s="280">
        <f t="shared" si="8"/>
        <v>64.106150621239863</v>
      </c>
      <c r="S27" s="288">
        <f t="shared" si="15"/>
        <v>49958.823648735503</v>
      </c>
      <c r="T27" s="261">
        <f t="shared" si="16"/>
        <v>2997.5294189241299</v>
      </c>
      <c r="U27" s="261">
        <f t="shared" si="17"/>
        <v>10032.309285507476</v>
      </c>
      <c r="V27" s="261">
        <f t="shared" si="18"/>
        <v>41924.867309177454</v>
      </c>
      <c r="W27" s="261">
        <f t="shared" si="19"/>
        <v>999.1764729747083</v>
      </c>
      <c r="X27" s="261">
        <f t="shared" si="14"/>
        <v>144.26833067982801</v>
      </c>
      <c r="Y27" s="290">
        <f t="shared" si="9"/>
        <v>0.1228944852053365</v>
      </c>
      <c r="Z27" s="194"/>
    </row>
    <row r="28" spans="1:26">
      <c r="A28" s="96">
        <v>16</v>
      </c>
      <c r="B28" s="196">
        <f t="shared" si="0"/>
        <v>0.97933165593645743</v>
      </c>
      <c r="C28" s="196">
        <f t="shared" si="1"/>
        <v>0.8654590622931766</v>
      </c>
      <c r="D28" s="196">
        <f t="shared" si="2"/>
        <v>2.0668344063542565E-2</v>
      </c>
      <c r="E28" s="196">
        <f t="shared" si="2"/>
        <v>0.1345409377068234</v>
      </c>
      <c r="F28" s="196">
        <f t="shared" si="3"/>
        <v>0.53390817568584059</v>
      </c>
      <c r="G28" s="266"/>
      <c r="H28" s="261">
        <f t="shared" si="20"/>
        <v>1918.3394829246672</v>
      </c>
      <c r="I28" s="261">
        <f t="shared" si="5"/>
        <v>34963.169758152289</v>
      </c>
      <c r="J28" s="279">
        <v>16</v>
      </c>
      <c r="K28" s="261">
        <f t="shared" si="10"/>
        <v>2562.9070616540002</v>
      </c>
      <c r="L28" s="261">
        <v>0</v>
      </c>
      <c r="M28" s="261">
        <v>0</v>
      </c>
      <c r="N28" s="261">
        <f t="shared" si="12"/>
        <v>153.77442369924</v>
      </c>
      <c r="O28" s="261">
        <f t="shared" si="13"/>
        <v>184.55242046100813</v>
      </c>
      <c r="P28" s="261">
        <f t="shared" si="6"/>
        <v>1848.2691975948262</v>
      </c>
      <c r="Q28" s="261">
        <f t="shared" si="7"/>
        <v>632.60172606432593</v>
      </c>
      <c r="R28" s="280">
        <f t="shared" si="8"/>
        <v>51.258141233079641</v>
      </c>
      <c r="S28" s="288">
        <f t="shared" si="15"/>
        <v>42625.644244377829</v>
      </c>
      <c r="T28" s="261">
        <f t="shared" si="16"/>
        <v>2557.5386546626696</v>
      </c>
      <c r="U28" s="261">
        <f t="shared" si="17"/>
        <v>10011.981810969755</v>
      </c>
      <c r="V28" s="261">
        <f t="shared" si="18"/>
        <v>34318.688203183192</v>
      </c>
      <c r="W28" s="261">
        <f t="shared" si="19"/>
        <v>852.51288488754653</v>
      </c>
      <c r="X28" s="261">
        <f t="shared" si="14"/>
        <v>128.76265808284288</v>
      </c>
      <c r="Y28" s="290">
        <f t="shared" si="9"/>
        <v>0.10686476974377089</v>
      </c>
      <c r="Z28" s="194"/>
    </row>
    <row r="29" spans="1:26">
      <c r="A29" s="96">
        <v>17</v>
      </c>
      <c r="B29" s="196">
        <f t="shared" si="0"/>
        <v>0.97682537948162906</v>
      </c>
      <c r="C29" s="196">
        <f t="shared" si="1"/>
        <v>0.84757145662079025</v>
      </c>
      <c r="D29" s="196">
        <f t="shared" ref="D29:E32" si="21">1-B29</f>
        <v>2.3174620518370936E-2</v>
      </c>
      <c r="E29" s="196">
        <f t="shared" si="21"/>
        <v>0.15242854337920975</v>
      </c>
      <c r="F29" s="196">
        <f t="shared" si="3"/>
        <v>0.5133732458517698</v>
      </c>
      <c r="G29" s="266"/>
      <c r="H29" s="261">
        <f t="shared" si="20"/>
        <v>1296.579433538634</v>
      </c>
      <c r="I29" s="261">
        <f t="shared" si="5"/>
        <v>26929.093426178053</v>
      </c>
      <c r="J29" s="279">
        <v>17</v>
      </c>
      <c r="K29" s="261">
        <f t="shared" si="10"/>
        <v>1918.3394829246672</v>
      </c>
      <c r="L29" s="261">
        <v>0</v>
      </c>
      <c r="M29" s="261">
        <v>0</v>
      </c>
      <c r="N29" s="261">
        <f t="shared" si="12"/>
        <v>115.10036897548002</v>
      </c>
      <c r="O29" s="261">
        <f t="shared" si="13"/>
        <v>206.45986889557861</v>
      </c>
      <c r="P29" s="261">
        <f t="shared" si="6"/>
        <v>1243.5370072435749</v>
      </c>
      <c r="Q29" s="261">
        <f t="shared" si="7"/>
        <v>545.07618610250086</v>
      </c>
      <c r="R29" s="280">
        <f t="shared" si="8"/>
        <v>38.366789658492849</v>
      </c>
      <c r="S29" s="288">
        <f t="shared" si="15"/>
        <v>34963.169758152289</v>
      </c>
      <c r="T29" s="261">
        <f t="shared" si="16"/>
        <v>2097.7901854891375</v>
      </c>
      <c r="U29" s="261">
        <f t="shared" si="17"/>
        <v>9989.1828905518651</v>
      </c>
      <c r="V29" s="261">
        <f t="shared" si="18"/>
        <v>26372.513657926524</v>
      </c>
      <c r="W29" s="261">
        <f t="shared" si="19"/>
        <v>699.26339516304142</v>
      </c>
      <c r="X29" s="261">
        <f t="shared" si="14"/>
        <v>110.15947095344751</v>
      </c>
      <c r="Y29" s="290">
        <f t="shared" si="9"/>
        <v>9.2925886733713825E-2</v>
      </c>
      <c r="Z29" s="194"/>
    </row>
    <row r="30" spans="1:26">
      <c r="A30" s="96">
        <v>18</v>
      </c>
      <c r="B30" s="196">
        <f t="shared" si="0"/>
        <v>0.97401598023679736</v>
      </c>
      <c r="C30" s="196">
        <f t="shared" si="1"/>
        <v>0.82792930975140056</v>
      </c>
      <c r="D30" s="196">
        <f t="shared" si="21"/>
        <v>2.5984019763202637E-2</v>
      </c>
      <c r="E30" s="196">
        <f t="shared" si="21"/>
        <v>0.17207069024859944</v>
      </c>
      <c r="F30" s="196">
        <f t="shared" si="3"/>
        <v>0.49362812101131698</v>
      </c>
      <c r="G30" s="266"/>
      <c r="H30" s="261">
        <f t="shared" si="20"/>
        <v>732.98800598499679</v>
      </c>
      <c r="I30" s="261">
        <f t="shared" si="5"/>
        <v>18470.689512681609</v>
      </c>
      <c r="J30" s="279">
        <v>18</v>
      </c>
      <c r="K30" s="261">
        <f t="shared" si="10"/>
        <v>1296.579433538634</v>
      </c>
      <c r="L30" s="261">
        <v>0</v>
      </c>
      <c r="M30" s="261">
        <v>0</v>
      </c>
      <c r="N30" s="261">
        <f t="shared" si="12"/>
        <v>77.794766012318036</v>
      </c>
      <c r="O30" s="261">
        <f t="shared" si="13"/>
        <v>230.90308631844448</v>
      </c>
      <c r="P30" s="261">
        <f t="shared" si="6"/>
        <v>699.40822898252827</v>
      </c>
      <c r="Q30" s="261">
        <f t="shared" si="7"/>
        <v>418.13129557920672</v>
      </c>
      <c r="R30" s="280">
        <f t="shared" si="8"/>
        <v>25.931588670772385</v>
      </c>
      <c r="S30" s="288">
        <f t="shared" si="15"/>
        <v>26929.093426178053</v>
      </c>
      <c r="T30" s="261">
        <f t="shared" si="16"/>
        <v>1615.7456055706832</v>
      </c>
      <c r="U30" s="261">
        <f t="shared" si="17"/>
        <v>9963.6188707126166</v>
      </c>
      <c r="V30" s="261">
        <f t="shared" si="18"/>
        <v>18042.638292512558</v>
      </c>
      <c r="W30" s="261">
        <f t="shared" si="19"/>
        <v>538.58186852356084</v>
      </c>
      <c r="X30" s="261">
        <f t="shared" si="14"/>
        <v>88.210256952915699</v>
      </c>
      <c r="Y30" s="290">
        <f t="shared" si="9"/>
        <v>8.0805118898881603E-2</v>
      </c>
      <c r="Z30" s="194"/>
    </row>
    <row r="31" spans="1:26">
      <c r="A31" s="96">
        <v>19</v>
      </c>
      <c r="B31" s="196">
        <f t="shared" si="0"/>
        <v>0.97086785930687258</v>
      </c>
      <c r="C31" s="196">
        <f t="shared" si="1"/>
        <v>0.80641637820428547</v>
      </c>
      <c r="D31" s="196">
        <f t="shared" si="21"/>
        <v>2.9132140693127417E-2</v>
      </c>
      <c r="E31" s="196">
        <f t="shared" si="21"/>
        <v>0.19358362179571453</v>
      </c>
      <c r="F31" s="196">
        <f t="shared" si="3"/>
        <v>0.47464242404934326</v>
      </c>
      <c r="G31" s="266"/>
      <c r="H31" s="261">
        <f>B$9*B31^2*H32+B31*D31*B$9*(1.02*B$7+I32)</f>
        <v>277.39546397306259</v>
      </c>
      <c r="I31" s="261">
        <f t="shared" si="5"/>
        <v>9521.9732355097112</v>
      </c>
      <c r="J31" s="279">
        <v>19</v>
      </c>
      <c r="K31" s="261">
        <f t="shared" si="10"/>
        <v>732.98800598499679</v>
      </c>
      <c r="L31" s="261">
        <v>0</v>
      </c>
      <c r="M31" s="261">
        <v>0</v>
      </c>
      <c r="N31" s="261">
        <f t="shared" si="12"/>
        <v>43.979280359099803</v>
      </c>
      <c r="O31" s="261">
        <f t="shared" si="13"/>
        <v>258.15027489751094</v>
      </c>
      <c r="P31" s="261">
        <f t="shared" si="6"/>
        <v>263.16705443339822</v>
      </c>
      <c r="Q31" s="261">
        <f t="shared" si="7"/>
        <v>240.99019689348759</v>
      </c>
      <c r="R31" s="280">
        <f t="shared" si="8"/>
        <v>14.659760119699826</v>
      </c>
      <c r="S31" s="288">
        <f t="shared" si="15"/>
        <v>18470.689512681609</v>
      </c>
      <c r="T31" s="261">
        <f t="shared" si="16"/>
        <v>1108.2413707608964</v>
      </c>
      <c r="U31" s="261">
        <f t="shared" si="17"/>
        <v>9934.9629984153344</v>
      </c>
      <c r="V31" s="261">
        <f t="shared" si="18"/>
        <v>9274.5540947735408</v>
      </c>
      <c r="W31" s="261">
        <f t="shared" si="19"/>
        <v>369.4137902536313</v>
      </c>
      <c r="X31" s="261">
        <f t="shared" si="14"/>
        <v>62.676344198614501</v>
      </c>
      <c r="Y31" s="290">
        <f t="shared" si="9"/>
        <v>7.0265320781636179E-2</v>
      </c>
      <c r="Z31" s="194"/>
    </row>
    <row r="32" spans="1:26" ht="13" thickBot="1">
      <c r="A32" s="96">
        <v>20</v>
      </c>
      <c r="B32" s="196">
        <f t="shared" si="0"/>
        <v>0.96734151559797676</v>
      </c>
      <c r="C32" s="196">
        <f t="shared" si="1"/>
        <v>0.78292374281719601</v>
      </c>
      <c r="D32" s="196">
        <f t="shared" si="21"/>
        <v>3.2658484402023236E-2</v>
      </c>
      <c r="E32" s="196">
        <f t="shared" si="21"/>
        <v>0.21707625718280399</v>
      </c>
      <c r="F32" s="196">
        <f t="shared" si="3"/>
        <v>0.4563869462012915</v>
      </c>
      <c r="G32" s="266"/>
      <c r="H32" s="235"/>
      <c r="I32" s="235"/>
      <c r="J32" s="281">
        <v>20</v>
      </c>
      <c r="K32" s="282">
        <f t="shared" si="10"/>
        <v>277.39546397306259</v>
      </c>
      <c r="L32" s="282">
        <v>0</v>
      </c>
      <c r="M32" s="282">
        <v>0</v>
      </c>
      <c r="N32" s="282">
        <f t="shared" si="12"/>
        <v>16.643727838383754</v>
      </c>
      <c r="O32" s="282">
        <f t="shared" si="13"/>
        <v>288.49128253198512</v>
      </c>
      <c r="P32" s="282">
        <f t="shared" si="6"/>
        <v>0</v>
      </c>
      <c r="Q32" s="282">
        <f t="shared" si="7"/>
        <v>0</v>
      </c>
      <c r="R32" s="283">
        <f t="shared" si="8"/>
        <v>5.547909279461237</v>
      </c>
      <c r="S32" s="289">
        <f t="shared" si="15"/>
        <v>9521.9732355097112</v>
      </c>
      <c r="T32" s="282">
        <f>L$4*S32</f>
        <v>571.31839413058265</v>
      </c>
      <c r="U32" s="282">
        <f>B31*B$7*1.02</f>
        <v>9902.8521649301001</v>
      </c>
      <c r="V32" s="282">
        <f t="shared" si="18"/>
        <v>0</v>
      </c>
      <c r="W32" s="282">
        <f t="shared" si="19"/>
        <v>190.43946471019444</v>
      </c>
      <c r="X32" s="282">
        <f t="shared" si="14"/>
        <v>33.337161320252967</v>
      </c>
      <c r="Y32" s="291">
        <f t="shared" si="9"/>
        <v>6.1100278940553199E-2</v>
      </c>
      <c r="Z32" s="194"/>
    </row>
    <row r="33" spans="1:26">
      <c r="A33" s="167"/>
      <c r="B33" s="167"/>
      <c r="C33" s="167"/>
      <c r="D33" s="167"/>
      <c r="E33" s="167"/>
      <c r="F33" s="167"/>
      <c r="G33" s="167"/>
      <c r="H33" s="194"/>
      <c r="I33" s="194"/>
      <c r="J33" s="194"/>
      <c r="K33" s="194"/>
      <c r="L33" s="194"/>
      <c r="M33" s="235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</row>
    <row r="34" spans="1:26">
      <c r="A34" s="167"/>
      <c r="B34" s="167"/>
      <c r="C34" s="167"/>
      <c r="D34" s="167"/>
      <c r="E34" s="167"/>
      <c r="F34" s="167"/>
      <c r="G34" s="167"/>
      <c r="H34" s="194"/>
      <c r="I34" s="194"/>
      <c r="J34" s="264"/>
      <c r="K34" s="264"/>
      <c r="L34" s="194"/>
      <c r="M34" s="235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</row>
    <row r="35" spans="1:26">
      <c r="A35" s="167"/>
      <c r="B35" s="167"/>
      <c r="C35" s="167"/>
      <c r="D35" s="167"/>
      <c r="E35" s="167"/>
      <c r="F35" s="167"/>
      <c r="G35" s="167"/>
      <c r="H35" s="194"/>
      <c r="I35" s="194"/>
      <c r="J35" s="264"/>
      <c r="K35" s="264"/>
      <c r="L35" s="194"/>
      <c r="M35" s="235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</row>
    <row r="36" spans="1:26">
      <c r="A36" s="167"/>
      <c r="B36" s="167"/>
      <c r="C36" s="167"/>
      <c r="D36" s="167"/>
      <c r="E36" s="167"/>
      <c r="F36" s="167"/>
      <c r="G36" s="167"/>
      <c r="H36" s="194"/>
      <c r="I36" s="194"/>
      <c r="J36" s="264"/>
      <c r="K36" s="264"/>
      <c r="L36" s="194"/>
      <c r="M36" s="235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</row>
    <row r="37" spans="1:26">
      <c r="A37" s="167"/>
      <c r="B37" s="167"/>
      <c r="C37" s="167"/>
      <c r="D37" s="167"/>
      <c r="E37" s="167"/>
      <c r="F37" s="167"/>
      <c r="G37" s="167"/>
      <c r="H37" s="194"/>
      <c r="I37" s="194"/>
      <c r="J37" s="264"/>
      <c r="K37" s="264"/>
      <c r="L37" s="194"/>
      <c r="M37" s="235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</row>
  </sheetData>
  <mergeCells count="1">
    <mergeCell ref="H10:I10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7"/>
  <sheetViews>
    <sheetView zoomScale="125" zoomScaleNormal="125" zoomScalePageLayoutView="125" workbookViewId="0"/>
  </sheetViews>
  <sheetFormatPr baseColWidth="10" defaultRowHeight="12" x14ac:dyDescent="0"/>
  <cols>
    <col min="7" max="7" width="10.83203125" style="115"/>
    <col min="11" max="14" width="10.83203125" style="87"/>
    <col min="15" max="15" width="10.83203125" style="12"/>
    <col min="16" max="16" width="10.83203125" style="87"/>
    <col min="17" max="17" width="10.83203125" style="115"/>
    <col min="18" max="18" width="10.83203125" style="87"/>
  </cols>
  <sheetData>
    <row r="1" spans="1:20" ht="15">
      <c r="A1" s="198" t="s">
        <v>725</v>
      </c>
      <c r="B1" s="198"/>
      <c r="C1" s="167"/>
      <c r="D1" s="167"/>
      <c r="E1" s="167"/>
      <c r="F1" s="167"/>
      <c r="G1" s="221"/>
      <c r="H1" s="167"/>
      <c r="I1" s="194"/>
      <c r="J1" s="194"/>
      <c r="K1" s="235"/>
      <c r="L1" s="235"/>
      <c r="M1" s="235"/>
      <c r="N1" s="235"/>
      <c r="O1" s="261"/>
      <c r="P1" s="235"/>
      <c r="Q1" s="235"/>
      <c r="R1" s="235"/>
    </row>
    <row r="3" spans="1:20">
      <c r="A3" s="170" t="s">
        <v>101</v>
      </c>
      <c r="B3" s="170"/>
      <c r="C3" s="170" t="s">
        <v>496</v>
      </c>
      <c r="D3" s="170"/>
      <c r="E3" s="175" t="s">
        <v>82</v>
      </c>
      <c r="F3" s="219">
        <v>60</v>
      </c>
      <c r="G3" s="87"/>
      <c r="H3" s="169"/>
      <c r="I3" s="192" t="s">
        <v>95</v>
      </c>
      <c r="J3" s="245">
        <f>(20020*B7+275)/(1-B8)</f>
        <v>192805.83770295541</v>
      </c>
      <c r="K3" s="299"/>
      <c r="L3" s="177" t="s">
        <v>509</v>
      </c>
      <c r="M3" s="300"/>
      <c r="N3" s="211">
        <v>0.08</v>
      </c>
      <c r="O3" s="261"/>
      <c r="P3" s="235"/>
      <c r="Q3" s="235"/>
      <c r="R3" s="235"/>
      <c r="S3" s="235"/>
      <c r="T3" s="194"/>
    </row>
    <row r="4" spans="1:20">
      <c r="A4" s="175" t="s">
        <v>9</v>
      </c>
      <c r="B4" s="294">
        <f>0.9*D4</f>
        <v>1.9800000000000002E-4</v>
      </c>
      <c r="C4" s="175" t="s">
        <v>9</v>
      </c>
      <c r="D4" s="179">
        <v>2.2000000000000001E-4</v>
      </c>
      <c r="E4" s="175" t="s">
        <v>502</v>
      </c>
      <c r="F4" s="219">
        <v>20000</v>
      </c>
      <c r="G4" s="87"/>
      <c r="H4" s="169"/>
      <c r="I4" s="169"/>
      <c r="J4" s="235"/>
      <c r="K4" s="235"/>
      <c r="L4" s="177" t="s">
        <v>508</v>
      </c>
      <c r="M4" s="300"/>
      <c r="N4" s="211">
        <v>0.06</v>
      </c>
      <c r="O4" s="173"/>
      <c r="P4" s="96"/>
      <c r="Q4" s="96"/>
      <c r="R4" s="96"/>
      <c r="S4" s="221"/>
      <c r="T4" s="167"/>
    </row>
    <row r="5" spans="1:20">
      <c r="A5" s="175" t="s">
        <v>10</v>
      </c>
      <c r="B5" s="296">
        <f>0.9*D5</f>
        <v>2.43E-6</v>
      </c>
      <c r="C5" s="175" t="s">
        <v>10</v>
      </c>
      <c r="D5" s="171">
        <v>2.7E-6</v>
      </c>
      <c r="E5" s="175" t="s">
        <v>74</v>
      </c>
      <c r="F5" s="178">
        <v>0.06</v>
      </c>
      <c r="G5" s="6" t="s">
        <v>503</v>
      </c>
      <c r="H5" s="169"/>
      <c r="I5" s="192" t="s">
        <v>505</v>
      </c>
      <c r="J5" s="203">
        <f>M6/J$3</f>
        <v>0.14808346598869104</v>
      </c>
      <c r="K5" s="235"/>
      <c r="L5" s="177" t="s">
        <v>507</v>
      </c>
      <c r="M5" s="300"/>
      <c r="N5" s="211">
        <v>0.1</v>
      </c>
      <c r="O5" s="261"/>
      <c r="P5" s="96"/>
      <c r="Q5" s="96"/>
      <c r="R5" s="96"/>
      <c r="S5" s="221"/>
      <c r="T5" s="167"/>
    </row>
    <row r="6" spans="1:20">
      <c r="A6" s="175" t="s">
        <v>24</v>
      </c>
      <c r="B6" s="295">
        <f>D6</f>
        <v>1.1240000000000001</v>
      </c>
      <c r="C6" s="175" t="s">
        <v>24</v>
      </c>
      <c r="D6" s="181">
        <v>1.1240000000000001</v>
      </c>
      <c r="E6" s="175" t="s">
        <v>74</v>
      </c>
      <c r="F6" s="178">
        <v>0.05</v>
      </c>
      <c r="G6" s="6" t="s">
        <v>504</v>
      </c>
      <c r="H6" s="169"/>
      <c r="I6" s="194"/>
      <c r="J6" s="194"/>
      <c r="K6" s="235"/>
      <c r="L6" s="235" t="s">
        <v>506</v>
      </c>
      <c r="M6" s="247">
        <f>SUMPRODUCT(Q12:Q67,R12:R67)</f>
        <v>28551.356709906682</v>
      </c>
      <c r="N6" s="235"/>
      <c r="O6" s="173"/>
      <c r="P6" s="96"/>
      <c r="Q6" s="96"/>
      <c r="R6" s="221"/>
      <c r="S6" s="167"/>
    </row>
    <row r="7" spans="1:20">
      <c r="A7" s="194" t="s">
        <v>497</v>
      </c>
      <c r="B7" s="263">
        <f>SUMPRODUCT(B18:B78,D18:D78)</f>
        <v>9.3900047332143863</v>
      </c>
      <c r="C7" s="167"/>
      <c r="D7" s="167"/>
      <c r="E7" s="176" t="s">
        <v>216</v>
      </c>
      <c r="F7" s="239">
        <f>1/(1+F5)</f>
        <v>0.94339622641509424</v>
      </c>
      <c r="G7" s="6" t="s">
        <v>503</v>
      </c>
      <c r="H7" s="215"/>
      <c r="I7" s="194"/>
      <c r="J7" s="194"/>
      <c r="K7" s="235"/>
      <c r="L7" s="235"/>
      <c r="M7" s="235"/>
      <c r="N7" s="96"/>
      <c r="O7" s="173"/>
      <c r="P7" s="96"/>
      <c r="Q7" s="221"/>
      <c r="R7" s="96"/>
    </row>
    <row r="8" spans="1:20">
      <c r="A8" s="194" t="s">
        <v>498</v>
      </c>
      <c r="B8" s="297">
        <f>SUMPRODUCT(B12:B17,C12:C17,D13:D18,E13:E18)</f>
        <v>2.3562268643558478E-2</v>
      </c>
      <c r="C8" s="167"/>
      <c r="D8" s="167"/>
      <c r="E8" s="176" t="s">
        <v>216</v>
      </c>
      <c r="F8" s="239">
        <f>1/(1+F6)</f>
        <v>0.95238095238095233</v>
      </c>
      <c r="G8" s="6" t="s">
        <v>504</v>
      </c>
      <c r="H8" s="167"/>
      <c r="J8" s="194"/>
      <c r="K8" s="235"/>
      <c r="L8" s="235"/>
      <c r="M8" s="235"/>
      <c r="N8" s="96"/>
      <c r="O8" s="173"/>
      <c r="P8" s="96"/>
      <c r="Q8" s="221"/>
      <c r="R8" s="96"/>
    </row>
    <row r="9" spans="1:20">
      <c r="A9" s="167"/>
      <c r="B9" s="167"/>
      <c r="C9" s="167"/>
      <c r="D9" s="167"/>
      <c r="E9" s="167"/>
      <c r="F9" s="167"/>
      <c r="G9" s="221"/>
      <c r="H9" s="167"/>
      <c r="I9" s="194"/>
      <c r="J9" s="194"/>
      <c r="K9" s="235"/>
      <c r="L9" s="235"/>
      <c r="M9" s="235"/>
      <c r="N9" s="96"/>
      <c r="O9" s="173"/>
      <c r="P9" s="96"/>
      <c r="Q9" s="398" t="s">
        <v>458</v>
      </c>
      <c r="R9" s="96"/>
    </row>
    <row r="10" spans="1:20">
      <c r="A10" s="194"/>
      <c r="B10" s="399" t="s">
        <v>499</v>
      </c>
      <c r="C10" s="399"/>
      <c r="D10" s="399"/>
      <c r="E10" s="399"/>
      <c r="F10" s="167"/>
      <c r="G10" s="242" t="s">
        <v>424</v>
      </c>
      <c r="H10" s="167"/>
      <c r="I10" s="206" t="s">
        <v>426</v>
      </c>
      <c r="J10" s="167"/>
      <c r="K10" s="96"/>
      <c r="L10" s="96"/>
      <c r="M10" s="96"/>
      <c r="N10" s="96"/>
      <c r="O10" s="173"/>
      <c r="P10" s="96"/>
      <c r="Q10" s="398"/>
      <c r="R10" s="96"/>
    </row>
    <row r="11" spans="1:20">
      <c r="A11" s="235" t="s">
        <v>0</v>
      </c>
      <c r="B11" s="96" t="s">
        <v>482</v>
      </c>
      <c r="C11" s="96" t="s">
        <v>467</v>
      </c>
      <c r="D11" s="96" t="s">
        <v>338</v>
      </c>
      <c r="E11" s="260" t="s">
        <v>500</v>
      </c>
      <c r="F11" s="293"/>
      <c r="G11" s="191" t="s">
        <v>432</v>
      </c>
      <c r="H11" s="96"/>
      <c r="I11" s="96" t="s">
        <v>482</v>
      </c>
      <c r="J11" s="96" t="s">
        <v>428</v>
      </c>
      <c r="K11" s="96" t="s">
        <v>0</v>
      </c>
      <c r="L11" s="96" t="s">
        <v>510</v>
      </c>
      <c r="M11" s="96" t="s">
        <v>433</v>
      </c>
      <c r="N11" s="96" t="s">
        <v>434</v>
      </c>
      <c r="O11" s="173" t="s">
        <v>409</v>
      </c>
      <c r="P11" s="96" t="s">
        <v>410</v>
      </c>
      <c r="Q11" s="298" t="s">
        <v>440</v>
      </c>
      <c r="R11" s="96" t="s">
        <v>501</v>
      </c>
    </row>
    <row r="12" spans="1:20">
      <c r="A12" s="96">
        <v>0</v>
      </c>
      <c r="B12" s="196">
        <f>EXP(-B$4*A12-B$5/LN(B$6)*B$6^F$3*(B$6^A12-1))</f>
        <v>1</v>
      </c>
      <c r="C12" s="196">
        <f>(B12-B13)/B12</f>
        <v>3.0589104371947506E-3</v>
      </c>
      <c r="D12" s="196">
        <v>1</v>
      </c>
      <c r="E12" s="235"/>
      <c r="F12" s="235"/>
      <c r="G12" s="184">
        <v>0</v>
      </c>
      <c r="H12" s="167"/>
      <c r="I12" s="196">
        <f>EXP(-D$4*K12-D$5/LN(D$6)*D$6^F$3*(D$6^K12-1))</f>
        <v>1</v>
      </c>
      <c r="J12" s="196">
        <f>(I13/I12)</f>
        <v>0.99660178873805105</v>
      </c>
      <c r="K12" s="301">
        <v>0</v>
      </c>
      <c r="L12" s="173">
        <v>-275</v>
      </c>
      <c r="M12" s="226"/>
      <c r="N12" s="226"/>
      <c r="O12" s="173"/>
      <c r="P12" s="173">
        <f>L12+M12-N12-O12</f>
        <v>-275</v>
      </c>
      <c r="Q12" s="184">
        <f>P12</f>
        <v>-275</v>
      </c>
      <c r="R12" s="196">
        <f>(1+N$5)^-K12</f>
        <v>1</v>
      </c>
    </row>
    <row r="13" spans="1:20">
      <c r="A13" s="96">
        <v>1</v>
      </c>
      <c r="B13" s="196">
        <f t="shared" ref="B13:B67" si="0">EXP(-B$4*A13-B$5/LN(B$6)*B$6^F$3*(B$6^A13-1))</f>
        <v>0.99694108956280525</v>
      </c>
      <c r="C13" s="196">
        <f t="shared" ref="C13:C67" si="1">(B13-B14)/B13</f>
        <v>3.4130947808642797E-3</v>
      </c>
      <c r="D13" s="196">
        <f>D12*F$7</f>
        <v>0.94339622641509424</v>
      </c>
      <c r="E13" s="263">
        <f>1.05</f>
        <v>1.05</v>
      </c>
      <c r="F13" s="194"/>
      <c r="G13" s="184">
        <f>((G12+J$3-275)*(1+F$5)-C12*J$3*E13)/(1-C12)</f>
        <v>204087.70941078581</v>
      </c>
      <c r="H13" s="167"/>
      <c r="I13" s="196">
        <f t="shared" ref="I13:I67" si="2">EXP(-D$4*K13-D$5/LN(D$6)*D$6^F$3*(D$6^K13-1))</f>
        <v>0.99660178873805105</v>
      </c>
      <c r="J13" s="196">
        <f t="shared" ref="J13:J66" si="3">(I14/I13)</f>
        <v>0.99620839228149105</v>
      </c>
      <c r="K13" s="301">
        <v>1</v>
      </c>
      <c r="L13" s="173">
        <f>J$3</f>
        <v>192805.83770295541</v>
      </c>
      <c r="M13" s="173">
        <f>N$3*L13</f>
        <v>15424.467016236433</v>
      </c>
      <c r="N13" s="173">
        <f>(1-J12)*J$3*E13</f>
        <v>687.95471750426816</v>
      </c>
      <c r="O13" s="173">
        <f>J12*G13</f>
        <v>203394.17625824071</v>
      </c>
      <c r="P13" s="173">
        <f t="shared" ref="P13:P67" si="4">L13+M13-N13-O13</f>
        <v>4148.1737434468523</v>
      </c>
      <c r="Q13" s="184">
        <f>P13*I12</f>
        <v>4148.1737434468523</v>
      </c>
      <c r="R13" s="196">
        <f t="shared" ref="R13:R67" si="5">(1+N$5)^-K13</f>
        <v>0.90909090909090906</v>
      </c>
    </row>
    <row r="14" spans="1:20">
      <c r="A14" s="96">
        <v>2</v>
      </c>
      <c r="B14" s="196">
        <f t="shared" si="0"/>
        <v>0.99353843513318929</v>
      </c>
      <c r="C14" s="196">
        <f t="shared" si="1"/>
        <v>3.8110477818551658E-3</v>
      </c>
      <c r="D14" s="196">
        <f t="shared" ref="D14:D17" si="6">D13*F$7</f>
        <v>0.88999644001423972</v>
      </c>
      <c r="E14" s="263">
        <f>E13*1.05</f>
        <v>1.1025</v>
      </c>
      <c r="F14" s="168"/>
      <c r="G14" s="184">
        <f>((G13)*(1+F$5)-C13*J$3*E14)/(1-C13)</f>
        <v>216345.86469737464</v>
      </c>
      <c r="H14" s="167"/>
      <c r="I14" s="196">
        <f t="shared" si="2"/>
        <v>0.99282306570359202</v>
      </c>
      <c r="J14" s="196">
        <f t="shared" si="3"/>
        <v>0.99576640002728212</v>
      </c>
      <c r="K14" s="301">
        <v>2</v>
      </c>
      <c r="L14" s="173">
        <f t="shared" ref="L14:L67" si="7">G13</f>
        <v>204087.70941078581</v>
      </c>
      <c r="M14" s="173">
        <f t="shared" ref="M14:M17" si="8">N$3*L14</f>
        <v>16327.016752862866</v>
      </c>
      <c r="N14" s="173">
        <f t="shared" ref="N14:N17" si="9">(1-J13)*J$3*E14</f>
        <v>805.97612290494078</v>
      </c>
      <c r="O14" s="173">
        <f t="shared" ref="O14:O67" si="10">J13*G14</f>
        <v>215525.56604692058</v>
      </c>
      <c r="P14" s="173">
        <f t="shared" si="4"/>
        <v>4083.1839938231569</v>
      </c>
      <c r="Q14" s="184">
        <f t="shared" ref="Q14:Q67" si="11">P14*I13</f>
        <v>4069.3084719907374</v>
      </c>
      <c r="R14" s="196">
        <f t="shared" si="5"/>
        <v>0.82644628099173545</v>
      </c>
    </row>
    <row r="15" spans="1:20">
      <c r="A15" s="96">
        <v>3</v>
      </c>
      <c r="B15" s="196">
        <f t="shared" si="0"/>
        <v>0.9897520126837871</v>
      </c>
      <c r="C15" s="196">
        <f t="shared" si="1"/>
        <v>4.2581572703785332E-3</v>
      </c>
      <c r="D15" s="196">
        <f t="shared" si="6"/>
        <v>0.83961928303230149</v>
      </c>
      <c r="E15" s="263">
        <f t="shared" ref="E15:E18" si="12">E14*1.05</f>
        <v>1.1576250000000001</v>
      </c>
      <c r="F15" s="168"/>
      <c r="G15" s="184">
        <f t="shared" ref="G15:G17" si="13">((G14)*(1+F$5)-C14*J$3*E15)/(1-C14)</f>
        <v>229350.06675227583</v>
      </c>
      <c r="H15" s="167"/>
      <c r="I15" s="196">
        <f t="shared" si="2"/>
        <v>0.98861984999971564</v>
      </c>
      <c r="J15" s="196">
        <f t="shared" si="3"/>
        <v>0.99526983481229825</v>
      </c>
      <c r="K15" s="301">
        <v>3</v>
      </c>
      <c r="L15" s="173">
        <f t="shared" si="7"/>
        <v>216345.86469737464</v>
      </c>
      <c r="M15" s="173">
        <f t="shared" si="8"/>
        <v>17307.669175789972</v>
      </c>
      <c r="N15" s="173">
        <f t="shared" si="9"/>
        <v>944.92621139289076</v>
      </c>
      <c r="O15" s="173">
        <f t="shared" si="10"/>
        <v>228379.09031593055</v>
      </c>
      <c r="P15" s="173">
        <f t="shared" si="4"/>
        <v>4329.5173458411882</v>
      </c>
      <c r="Q15" s="184">
        <f t="shared" si="11"/>
        <v>4298.4446843149271</v>
      </c>
      <c r="R15" s="196">
        <f t="shared" si="5"/>
        <v>0.75131480090157754</v>
      </c>
    </row>
    <row r="16" spans="1:20">
      <c r="A16" s="96">
        <v>4</v>
      </c>
      <c r="B16" s="196">
        <f t="shared" si="0"/>
        <v>0.98553749295510584</v>
      </c>
      <c r="C16" s="196">
        <f t="shared" si="1"/>
        <v>4.7604688005656263E-3</v>
      </c>
      <c r="D16" s="196">
        <f t="shared" si="6"/>
        <v>0.79209366323802022</v>
      </c>
      <c r="E16" s="263">
        <f t="shared" si="12"/>
        <v>1.2155062500000002</v>
      </c>
      <c r="F16" s="168"/>
      <c r="G16" s="184">
        <f t="shared" si="13"/>
        <v>243148.50765383829</v>
      </c>
      <c r="H16" s="167"/>
      <c r="I16" s="196">
        <f t="shared" si="2"/>
        <v>0.9839435148013761</v>
      </c>
      <c r="J16" s="196">
        <f t="shared" si="3"/>
        <v>0.99471199109198305</v>
      </c>
      <c r="K16" s="301">
        <v>4</v>
      </c>
      <c r="L16" s="173">
        <f t="shared" si="7"/>
        <v>229350.06675227583</v>
      </c>
      <c r="M16" s="173">
        <f t="shared" si="8"/>
        <v>18348.005340182066</v>
      </c>
      <c r="N16" s="173">
        <f t="shared" si="9"/>
        <v>1108.5459074605337</v>
      </c>
      <c r="O16" s="173">
        <f t="shared" si="10"/>
        <v>241998.37504749247</v>
      </c>
      <c r="P16" s="173">
        <f t="shared" si="4"/>
        <v>4591.1511375049013</v>
      </c>
      <c r="Q16" s="184">
        <f t="shared" si="11"/>
        <v>4538.9031488861192</v>
      </c>
      <c r="R16" s="196">
        <f t="shared" si="5"/>
        <v>0.68301345536507052</v>
      </c>
    </row>
    <row r="17" spans="1:18">
      <c r="A17" s="96">
        <v>5</v>
      </c>
      <c r="B17" s="196">
        <f t="shared" si="0"/>
        <v>0.9808458724681054</v>
      </c>
      <c r="C17" s="196">
        <f t="shared" si="1"/>
        <v>5.3247644911908936E-3</v>
      </c>
      <c r="D17" s="196">
        <f t="shared" si="6"/>
        <v>0.74725817286605678</v>
      </c>
      <c r="E17" s="263">
        <f t="shared" si="12"/>
        <v>1.2762815625000004</v>
      </c>
      <c r="F17" s="168"/>
      <c r="G17" s="184">
        <f t="shared" si="13"/>
        <v>257793.20446964196</v>
      </c>
      <c r="H17" s="167"/>
      <c r="I17" s="196">
        <f t="shared" si="2"/>
        <v>0.97874041273012091</v>
      </c>
      <c r="J17" s="196">
        <f t="shared" si="3"/>
        <v>0.99408534797044545</v>
      </c>
      <c r="K17" s="301">
        <v>5</v>
      </c>
      <c r="L17" s="173">
        <f t="shared" si="7"/>
        <v>243148.50765383829</v>
      </c>
      <c r="M17" s="173">
        <f t="shared" si="8"/>
        <v>19451.880612307064</v>
      </c>
      <c r="N17" s="173">
        <f t="shared" si="9"/>
        <v>1301.2443373605461</v>
      </c>
      <c r="O17" s="173">
        <f t="shared" si="10"/>
        <v>256429.99170798025</v>
      </c>
      <c r="P17" s="173">
        <f t="shared" si="4"/>
        <v>4869.1522208045644</v>
      </c>
      <c r="Q17" s="184">
        <f t="shared" si="11"/>
        <v>4790.9707502413694</v>
      </c>
      <c r="R17" s="196">
        <f t="shared" si="5"/>
        <v>0.62092132305915493</v>
      </c>
    </row>
    <row r="18" spans="1:18">
      <c r="A18" s="96">
        <v>6</v>
      </c>
      <c r="B18" s="196">
        <f t="shared" si="0"/>
        <v>0.97562309919505608</v>
      </c>
      <c r="C18" s="196">
        <f t="shared" si="1"/>
        <v>5.9586509326454238E-3</v>
      </c>
      <c r="D18" s="196">
        <f>D17*F$8</f>
        <v>0.71167445034862542</v>
      </c>
      <c r="E18" s="263">
        <f t="shared" si="12"/>
        <v>1.3400956406250004</v>
      </c>
      <c r="F18" s="168"/>
      <c r="G18" s="184">
        <f>(G17*(1+F$6)-C17*J$3*E18-(1-C17)*(F$4+20))/(1-C17)</f>
        <v>250728.73454290332</v>
      </c>
      <c r="H18" s="189"/>
      <c r="I18" s="196">
        <f t="shared" si="2"/>
        <v>0.9729515037615597</v>
      </c>
      <c r="J18" s="196">
        <f t="shared" si="3"/>
        <v>0.99338147232075569</v>
      </c>
      <c r="K18" s="301">
        <v>6</v>
      </c>
      <c r="L18" s="173">
        <f t="shared" si="7"/>
        <v>257793.20446964196</v>
      </c>
      <c r="M18" s="173">
        <f>N$4*L18</f>
        <v>15467.592268178518</v>
      </c>
      <c r="N18" s="173">
        <f>(1-J17)*J$3*E18+(F$4+20)*J17</f>
        <v>21429.806181605494</v>
      </c>
      <c r="O18" s="173">
        <f t="shared" si="10"/>
        <v>249245.7613242715</v>
      </c>
      <c r="P18" s="173">
        <f t="shared" si="4"/>
        <v>2585.2292319434928</v>
      </c>
      <c r="Q18" s="184">
        <f t="shared" si="11"/>
        <v>2530.2683254743474</v>
      </c>
      <c r="R18" s="196">
        <f t="shared" si="5"/>
        <v>0.56447393005377722</v>
      </c>
    </row>
    <row r="19" spans="1:18">
      <c r="A19" s="96">
        <v>7</v>
      </c>
      <c r="B19" s="196">
        <f t="shared" si="0"/>
        <v>0.96980970170512704</v>
      </c>
      <c r="C19" s="196">
        <f t="shared" si="1"/>
        <v>6.6706570997240814E-3</v>
      </c>
      <c r="D19" s="196">
        <f t="shared" ref="D19:D67" si="14">D18*F$8</f>
        <v>0.67778519080821464</v>
      </c>
      <c r="E19" s="261"/>
      <c r="F19" s="168"/>
      <c r="G19" s="184">
        <f>((G18)*(1+F$6)-(1-C18)*(F$4+20))/(1-C18)</f>
        <v>244823.27992699033</v>
      </c>
      <c r="H19" s="189"/>
      <c r="I19" s="196">
        <f t="shared" si="2"/>
        <v>0.96651199730335147</v>
      </c>
      <c r="J19" s="196">
        <f t="shared" si="3"/>
        <v>0.99259091099373209</v>
      </c>
      <c r="K19" s="301">
        <v>7</v>
      </c>
      <c r="L19" s="173">
        <f t="shared" si="7"/>
        <v>250728.73454290332</v>
      </c>
      <c r="M19" s="173">
        <f t="shared" ref="M19:M67" si="15">N$4*L19</f>
        <v>15043.724072574198</v>
      </c>
      <c r="N19" s="173">
        <f>(F$4+20)*J18</f>
        <v>19887.497075861527</v>
      </c>
      <c r="O19" s="173">
        <f t="shared" si="10"/>
        <v>243202.91027227018</v>
      </c>
      <c r="P19" s="173">
        <f t="shared" si="4"/>
        <v>2682.0512673457852</v>
      </c>
      <c r="Q19" s="184">
        <f t="shared" si="11"/>
        <v>2609.5058137296787</v>
      </c>
      <c r="R19" s="196">
        <f t="shared" si="5"/>
        <v>0.51315811823070645</v>
      </c>
    </row>
    <row r="20" spans="1:18">
      <c r="A20" s="96">
        <v>8</v>
      </c>
      <c r="B20" s="196">
        <f t="shared" si="0"/>
        <v>0.96334043373306644</v>
      </c>
      <c r="C20" s="196">
        <f t="shared" si="1"/>
        <v>7.4703432786408803E-3</v>
      </c>
      <c r="D20" s="196">
        <f t="shared" si="14"/>
        <v>0.645509705531633</v>
      </c>
      <c r="E20" s="261"/>
      <c r="F20" s="168"/>
      <c r="G20" s="184">
        <f t="shared" ref="G20:G66" si="16">((G19)*(1+F$6)-(1-C19)*(F$4+20))/(1-C19)</f>
        <v>238770.74826560068</v>
      </c>
      <c r="H20" s="189"/>
      <c r="I20" s="196">
        <f t="shared" si="2"/>
        <v>0.95935102388970517</v>
      </c>
      <c r="J20" s="196">
        <f t="shared" si="3"/>
        <v>0.99170307104776678</v>
      </c>
      <c r="K20" s="301">
        <v>8</v>
      </c>
      <c r="L20" s="173">
        <f t="shared" si="7"/>
        <v>244823.27992699033</v>
      </c>
      <c r="M20" s="173">
        <f t="shared" si="15"/>
        <v>14689.396795619419</v>
      </c>
      <c r="N20" s="173">
        <f t="shared" ref="N20:N67" si="17">(F$4+20)*J19</f>
        <v>19871.670038094515</v>
      </c>
      <c r="O20" s="173">
        <f t="shared" si="10"/>
        <v>237001.67453960766</v>
      </c>
      <c r="P20" s="173">
        <f t="shared" si="4"/>
        <v>2639.3321449075884</v>
      </c>
      <c r="Q20" s="184">
        <f t="shared" si="11"/>
        <v>2550.946182921572</v>
      </c>
      <c r="R20" s="196">
        <f t="shared" si="5"/>
        <v>0.46650738020973315</v>
      </c>
    </row>
    <row r="21" spans="1:18">
      <c r="A21" s="96">
        <v>9</v>
      </c>
      <c r="B21" s="196">
        <f t="shared" si="0"/>
        <v>0.95614394999888563</v>
      </c>
      <c r="C21" s="196">
        <f t="shared" si="1"/>
        <v>8.3684220819335731E-3</v>
      </c>
      <c r="D21" s="196">
        <f t="shared" si="14"/>
        <v>0.61477114812536471</v>
      </c>
      <c r="E21" s="261"/>
      <c r="F21" s="168"/>
      <c r="G21" s="184">
        <f t="shared" si="16"/>
        <v>232576.26650054287</v>
      </c>
      <c r="H21" s="189"/>
      <c r="I21" s="196">
        <f t="shared" si="2"/>
        <v>0.95139135660424012</v>
      </c>
      <c r="J21" s="196">
        <f t="shared" si="3"/>
        <v>0.99070608687319361</v>
      </c>
      <c r="K21" s="301">
        <v>9</v>
      </c>
      <c r="L21" s="173">
        <f t="shared" si="7"/>
        <v>238770.74826560068</v>
      </c>
      <c r="M21" s="173">
        <f t="shared" si="15"/>
        <v>14326.244895936041</v>
      </c>
      <c r="N21" s="173">
        <f t="shared" si="17"/>
        <v>19853.895482376291</v>
      </c>
      <c r="O21" s="173">
        <f t="shared" si="10"/>
        <v>230646.5977414122</v>
      </c>
      <c r="P21" s="173">
        <f t="shared" si="4"/>
        <v>2596.4999377482163</v>
      </c>
      <c r="Q21" s="184">
        <f t="shared" si="11"/>
        <v>2490.9548738083072</v>
      </c>
      <c r="R21" s="196">
        <f t="shared" si="5"/>
        <v>0.42409761837248466</v>
      </c>
    </row>
    <row r="22" spans="1:18">
      <c r="A22" s="96">
        <v>10</v>
      </c>
      <c r="B22" s="196">
        <f t="shared" si="0"/>
        <v>0.94814253385420777</v>
      </c>
      <c r="C22" s="196">
        <f t="shared" si="1"/>
        <v>9.3768926830831E-3</v>
      </c>
      <c r="D22" s="196">
        <f t="shared" si="14"/>
        <v>0.58549633154796632</v>
      </c>
      <c r="E22" s="261"/>
      <c r="F22" s="168"/>
      <c r="G22" s="184">
        <f t="shared" si="16"/>
        <v>226245.9371318926</v>
      </c>
      <c r="H22" s="189"/>
      <c r="I22" s="196">
        <f t="shared" si="2"/>
        <v>0.94254920798636588</v>
      </c>
      <c r="J22" s="196">
        <f t="shared" si="3"/>
        <v>0.98958667303685266</v>
      </c>
      <c r="K22" s="301">
        <v>10</v>
      </c>
      <c r="L22" s="173">
        <f t="shared" si="7"/>
        <v>232576.26650054287</v>
      </c>
      <c r="M22" s="173">
        <f t="shared" si="15"/>
        <v>13954.575990032572</v>
      </c>
      <c r="N22" s="173">
        <f t="shared" si="17"/>
        <v>19833.935859201338</v>
      </c>
      <c r="O22" s="173">
        <f t="shared" si="10"/>
        <v>224143.22704689589</v>
      </c>
      <c r="P22" s="173">
        <f t="shared" si="4"/>
        <v>2553.6795844782318</v>
      </c>
      <c r="Q22" s="184">
        <f t="shared" si="11"/>
        <v>2429.5486842092973</v>
      </c>
      <c r="R22" s="196">
        <f t="shared" si="5"/>
        <v>0.38554328942953148</v>
      </c>
    </row>
    <row r="23" spans="1:18">
      <c r="A23" s="96">
        <v>11</v>
      </c>
      <c r="B23" s="196">
        <f t="shared" si="0"/>
        <v>0.93925190306599038</v>
      </c>
      <c r="C23" s="196">
        <f t="shared" si="1"/>
        <v>1.0509189449123388E-2</v>
      </c>
      <c r="D23" s="196">
        <f t="shared" si="14"/>
        <v>0.557615553855206</v>
      </c>
      <c r="E23" s="261"/>
      <c r="F23" s="168"/>
      <c r="G23" s="184">
        <f t="shared" si="16"/>
        <v>219786.87734198835</v>
      </c>
      <c r="H23" s="189"/>
      <c r="I23" s="196">
        <f t="shared" si="2"/>
        <v>0.93273413490474832</v>
      </c>
      <c r="J23" s="196">
        <f t="shared" si="3"/>
        <v>0.98832996164179732</v>
      </c>
      <c r="K23" s="301">
        <v>11</v>
      </c>
      <c r="L23" s="173">
        <f t="shared" si="7"/>
        <v>226245.9371318926</v>
      </c>
      <c r="M23" s="173">
        <f t="shared" si="15"/>
        <v>13574.756227913555</v>
      </c>
      <c r="N23" s="173">
        <f t="shared" si="17"/>
        <v>19811.525194197791</v>
      </c>
      <c r="O23" s="173">
        <f t="shared" si="10"/>
        <v>217498.16472601707</v>
      </c>
      <c r="P23" s="173">
        <f t="shared" si="4"/>
        <v>2511.0034395912953</v>
      </c>
      <c r="Q23" s="184">
        <f t="shared" si="11"/>
        <v>2366.744303237816</v>
      </c>
      <c r="R23" s="196">
        <f t="shared" si="5"/>
        <v>0.3504938994813922</v>
      </c>
    </row>
    <row r="24" spans="1:18">
      <c r="A24" s="96">
        <v>12</v>
      </c>
      <c r="B24" s="196">
        <f t="shared" si="0"/>
        <v>0.92938112687622021</v>
      </c>
      <c r="C24" s="196">
        <f t="shared" si="1"/>
        <v>1.1780346178143363E-2</v>
      </c>
      <c r="D24" s="196">
        <f t="shared" si="14"/>
        <v>0.53106243224305327</v>
      </c>
      <c r="E24" s="261"/>
      <c r="F24" s="168"/>
      <c r="G24" s="184">
        <f t="shared" si="16"/>
        <v>213207.25057002637</v>
      </c>
      <c r="H24" s="189"/>
      <c r="I24" s="196">
        <f t="shared" si="2"/>
        <v>0.92184909177240493</v>
      </c>
      <c r="J24" s="196">
        <f t="shared" si="3"/>
        <v>0.98691932299126273</v>
      </c>
      <c r="K24" s="301">
        <v>12</v>
      </c>
      <c r="L24" s="173">
        <f t="shared" si="7"/>
        <v>219786.87734198835</v>
      </c>
      <c r="M24" s="173">
        <f t="shared" si="15"/>
        <v>13187.212640519301</v>
      </c>
      <c r="N24" s="173">
        <f t="shared" si="17"/>
        <v>19786.365832068783</v>
      </c>
      <c r="O24" s="173">
        <f t="shared" si="10"/>
        <v>210719.11377762724</v>
      </c>
      <c r="P24" s="173">
        <f t="shared" si="4"/>
        <v>2468.6103728116432</v>
      </c>
      <c r="Q24" s="184">
        <f t="shared" si="11"/>
        <v>2302.5571605013561</v>
      </c>
      <c r="R24" s="196">
        <f t="shared" si="5"/>
        <v>0.31863081771035656</v>
      </c>
    </row>
    <row r="25" spans="1:18">
      <c r="A25" s="96">
        <v>13</v>
      </c>
      <c r="B25" s="196">
        <f t="shared" si="0"/>
        <v>0.91843269547018536</v>
      </c>
      <c r="C25" s="196">
        <f t="shared" si="1"/>
        <v>1.3207177151463663E-2</v>
      </c>
      <c r="D25" s="196">
        <f t="shared" si="14"/>
        <v>0.50577374499338401</v>
      </c>
      <c r="E25" s="261"/>
      <c r="F25" s="168"/>
      <c r="G25" s="184">
        <f t="shared" si="16"/>
        <v>206516.28900491758</v>
      </c>
      <c r="H25" s="189"/>
      <c r="I25" s="196">
        <f t="shared" si="2"/>
        <v>0.90979068155213227</v>
      </c>
      <c r="J25" s="196">
        <f t="shared" si="3"/>
        <v>0.98533616837506299</v>
      </c>
      <c r="K25" s="301">
        <v>13</v>
      </c>
      <c r="L25" s="173">
        <f t="shared" si="7"/>
        <v>213207.25057002637</v>
      </c>
      <c r="M25" s="173">
        <f t="shared" si="15"/>
        <v>12792.435034201582</v>
      </c>
      <c r="N25" s="173">
        <f t="shared" si="17"/>
        <v>19758.124846285078</v>
      </c>
      <c r="O25" s="173">
        <f t="shared" si="10"/>
        <v>203814.9161314012</v>
      </c>
      <c r="P25" s="173">
        <f t="shared" si="4"/>
        <v>2426.6446265416453</v>
      </c>
      <c r="Q25" s="184">
        <f t="shared" si="11"/>
        <v>2237.0001450318023</v>
      </c>
      <c r="R25" s="196">
        <f t="shared" si="5"/>
        <v>0.28966437973668779</v>
      </c>
    </row>
    <row r="26" spans="1:18">
      <c r="A26" s="96">
        <v>14</v>
      </c>
      <c r="B26" s="196">
        <f t="shared" si="0"/>
        <v>0.90630279215941434</v>
      </c>
      <c r="C26" s="196">
        <f t="shared" si="1"/>
        <v>1.4808476177129007E-2</v>
      </c>
      <c r="D26" s="196">
        <f t="shared" si="14"/>
        <v>0.48168928094607999</v>
      </c>
      <c r="E26" s="261"/>
      <c r="F26" s="168"/>
      <c r="G26" s="184">
        <f t="shared" si="16"/>
        <v>199724.30542493594</v>
      </c>
      <c r="H26" s="189"/>
      <c r="I26" s="196">
        <f t="shared" si="2"/>
        <v>0.89644966418391514</v>
      </c>
      <c r="J26" s="196">
        <f t="shared" si="3"/>
        <v>0.98355973387328199</v>
      </c>
      <c r="K26" s="301">
        <v>14</v>
      </c>
      <c r="L26" s="173">
        <f t="shared" si="7"/>
        <v>206516.28900491758</v>
      </c>
      <c r="M26" s="173">
        <f t="shared" si="15"/>
        <v>12390.977340295054</v>
      </c>
      <c r="N26" s="173">
        <f t="shared" si="17"/>
        <v>19726.430090868762</v>
      </c>
      <c r="O26" s="173">
        <f t="shared" si="10"/>
        <v>196795.5818387772</v>
      </c>
      <c r="P26" s="173">
        <f t="shared" si="4"/>
        <v>2385.2544155666837</v>
      </c>
      <c r="Q26" s="184">
        <f t="shared" si="11"/>
        <v>2170.0822404136461</v>
      </c>
      <c r="R26" s="196">
        <f t="shared" si="5"/>
        <v>0.26333125430607973</v>
      </c>
    </row>
    <row r="27" spans="1:18">
      <c r="A27" s="96">
        <v>15</v>
      </c>
      <c r="B27" s="196">
        <f t="shared" si="0"/>
        <v>0.89288182885245615</v>
      </c>
      <c r="C27" s="196">
        <f t="shared" si="1"/>
        <v>1.6605234719142225E-2</v>
      </c>
      <c r="D27" s="196">
        <f t="shared" si="14"/>
        <v>0.45875169613912375</v>
      </c>
      <c r="E27" s="261"/>
      <c r="F27" s="168"/>
      <c r="G27" s="184">
        <f t="shared" si="16"/>
        <v>192842.6928116841</v>
      </c>
      <c r="H27" s="189"/>
      <c r="I27" s="196">
        <f t="shared" si="2"/>
        <v>0.88171179313552461</v>
      </c>
      <c r="J27" s="196">
        <f t="shared" si="3"/>
        <v>0.98156684421272111</v>
      </c>
      <c r="K27" s="301">
        <v>15</v>
      </c>
      <c r="L27" s="173">
        <f t="shared" si="7"/>
        <v>199724.30542493594</v>
      </c>
      <c r="M27" s="173">
        <f t="shared" si="15"/>
        <v>11983.458325496156</v>
      </c>
      <c r="N27" s="173">
        <f t="shared" si="17"/>
        <v>19690.865872143106</v>
      </c>
      <c r="O27" s="173">
        <f t="shared" si="10"/>
        <v>189672.30762126707</v>
      </c>
      <c r="P27" s="173">
        <f t="shared" si="4"/>
        <v>2344.5902570219187</v>
      </c>
      <c r="Q27" s="184">
        <f t="shared" si="11"/>
        <v>2101.8071485561782</v>
      </c>
      <c r="R27" s="196">
        <f t="shared" si="5"/>
        <v>0.23939204936916339</v>
      </c>
    </row>
    <row r="28" spans="1:18">
      <c r="A28" s="96">
        <v>16</v>
      </c>
      <c r="B28" s="196">
        <f t="shared" si="0"/>
        <v>0.87805531650790414</v>
      </c>
      <c r="C28" s="196">
        <f t="shared" si="1"/>
        <v>1.8620880058935588E-2</v>
      </c>
      <c r="D28" s="196">
        <f t="shared" si="14"/>
        <v>0.43690637727535592</v>
      </c>
      <c r="E28" s="261"/>
      <c r="F28" s="168"/>
      <c r="G28" s="184">
        <f t="shared" si="16"/>
        <v>185883.91021090964</v>
      </c>
      <c r="H28" s="189"/>
      <c r="I28" s="196">
        <f t="shared" si="2"/>
        <v>0.86545906229317648</v>
      </c>
      <c r="J28" s="196">
        <f t="shared" si="3"/>
        <v>0.97933165593645732</v>
      </c>
      <c r="K28" s="301">
        <v>16</v>
      </c>
      <c r="L28" s="173">
        <f t="shared" si="7"/>
        <v>192842.6928116841</v>
      </c>
      <c r="M28" s="173">
        <f t="shared" si="15"/>
        <v>11570.561568701045</v>
      </c>
      <c r="N28" s="173">
        <f t="shared" si="17"/>
        <v>19650.968221138675</v>
      </c>
      <c r="O28" s="173">
        <f t="shared" si="10"/>
        <v>182457.48313564339</v>
      </c>
      <c r="P28" s="173">
        <f t="shared" si="4"/>
        <v>2304.8030236031045</v>
      </c>
      <c r="Q28" s="184">
        <f t="shared" si="11"/>
        <v>2032.172006765272</v>
      </c>
      <c r="R28" s="196">
        <f t="shared" si="5"/>
        <v>0.21762913579014853</v>
      </c>
    </row>
    <row r="29" spans="1:18">
      <c r="A29" s="96">
        <v>17</v>
      </c>
      <c r="B29" s="196">
        <f t="shared" si="0"/>
        <v>0.86170515377409973</v>
      </c>
      <c r="C29" s="196">
        <f t="shared" si="1"/>
        <v>2.0881534201052019E-2</v>
      </c>
      <c r="D29" s="196">
        <f t="shared" si="14"/>
        <v>0.41610131169081516</v>
      </c>
      <c r="E29" s="261"/>
      <c r="F29" s="168"/>
      <c r="G29" s="184">
        <f t="shared" si="16"/>
        <v>178861.45341137514</v>
      </c>
      <c r="H29" s="189"/>
      <c r="I29" s="196">
        <f t="shared" si="2"/>
        <v>0.84757145662079014</v>
      </c>
      <c r="J29" s="196">
        <f t="shared" si="3"/>
        <v>0.97682537948162906</v>
      </c>
      <c r="K29" s="301">
        <v>17</v>
      </c>
      <c r="L29" s="173">
        <f t="shared" si="7"/>
        <v>185883.91021090964</v>
      </c>
      <c r="M29" s="173">
        <f t="shared" si="15"/>
        <v>11153.034612654577</v>
      </c>
      <c r="N29" s="173">
        <f t="shared" si="17"/>
        <v>19606.219751847875</v>
      </c>
      <c r="O29" s="173">
        <f t="shared" si="10"/>
        <v>175164.68335256353</v>
      </c>
      <c r="P29" s="173">
        <f t="shared" si="4"/>
        <v>2266.0417191527958</v>
      </c>
      <c r="Q29" s="184">
        <f t="shared" si="11"/>
        <v>1961.1663413751962</v>
      </c>
      <c r="R29" s="196">
        <f t="shared" si="5"/>
        <v>0.19784466890013502</v>
      </c>
    </row>
    <row r="30" spans="1:18">
      <c r="A30" s="96">
        <v>18</v>
      </c>
      <c r="B30" s="196">
        <f t="shared" si="0"/>
        <v>0.84371142813434308</v>
      </c>
      <c r="C30" s="196">
        <f t="shared" si="1"/>
        <v>2.3416293887816554E-2</v>
      </c>
      <c r="D30" s="196">
        <f t="shared" si="14"/>
        <v>0.39628696351506204</v>
      </c>
      <c r="E30" s="261"/>
      <c r="F30" s="168"/>
      <c r="G30" s="184">
        <f t="shared" si="16"/>
        <v>171789.80917227195</v>
      </c>
      <c r="H30" s="189"/>
      <c r="I30" s="196">
        <f t="shared" si="2"/>
        <v>0.82792930975140044</v>
      </c>
      <c r="J30" s="196">
        <f t="shared" si="3"/>
        <v>0.97401598023679736</v>
      </c>
      <c r="K30" s="301">
        <v>18</v>
      </c>
      <c r="L30" s="173">
        <f t="shared" si="7"/>
        <v>178861.45341137514</v>
      </c>
      <c r="M30" s="173">
        <f t="shared" si="15"/>
        <v>10731.687204682508</v>
      </c>
      <c r="N30" s="173">
        <f t="shared" si="17"/>
        <v>19556.044097222213</v>
      </c>
      <c r="O30" s="173">
        <f t="shared" si="10"/>
        <v>167808.64553578119</v>
      </c>
      <c r="P30" s="173">
        <f t="shared" si="4"/>
        <v>2228.4509830542374</v>
      </c>
      <c r="Q30" s="184">
        <f t="shared" si="11"/>
        <v>1888.7714457153118</v>
      </c>
      <c r="R30" s="196">
        <f t="shared" si="5"/>
        <v>0.17985878990921364</v>
      </c>
    </row>
    <row r="31" spans="1:18">
      <c r="A31" s="96">
        <v>19</v>
      </c>
      <c r="B31" s="196">
        <f t="shared" si="0"/>
        <v>0.82395483337663988</v>
      </c>
      <c r="C31" s="196">
        <f t="shared" si="1"/>
        <v>2.6257531595572273E-2</v>
      </c>
      <c r="D31" s="196">
        <f t="shared" si="14"/>
        <v>0.37741615572863052</v>
      </c>
      <c r="E31" s="261"/>
      <c r="F31" s="168"/>
      <c r="G31" s="184">
        <f t="shared" si="16"/>
        <v>164684.39195528088</v>
      </c>
      <c r="H31" s="189"/>
      <c r="I31" s="196">
        <f t="shared" si="2"/>
        <v>0.80641637820428536</v>
      </c>
      <c r="J31" s="196">
        <f t="shared" si="3"/>
        <v>0.97086785930687247</v>
      </c>
      <c r="K31" s="301">
        <v>19</v>
      </c>
      <c r="L31" s="173">
        <f t="shared" si="7"/>
        <v>171789.80917227195</v>
      </c>
      <c r="M31" s="173">
        <f t="shared" si="15"/>
        <v>10307.388550336316</v>
      </c>
      <c r="N31" s="173">
        <f t="shared" si="17"/>
        <v>19499.799924340685</v>
      </c>
      <c r="O31" s="173">
        <f t="shared" si="10"/>
        <v>160405.22946002384</v>
      </c>
      <c r="P31" s="173">
        <f t="shared" si="4"/>
        <v>2192.1683382437623</v>
      </c>
      <c r="Q31" s="184">
        <f t="shared" si="11"/>
        <v>1814.9604191410326</v>
      </c>
      <c r="R31" s="196">
        <f t="shared" si="5"/>
        <v>0.16350799082655781</v>
      </c>
    </row>
    <row r="32" spans="1:18">
      <c r="A32" s="96">
        <v>20</v>
      </c>
      <c r="B32" s="196">
        <f t="shared" si="0"/>
        <v>0.80231981330592828</v>
      </c>
      <c r="C32" s="196">
        <f t="shared" si="1"/>
        <v>2.9441216708199509E-2</v>
      </c>
      <c r="D32" s="196">
        <f t="shared" si="14"/>
        <v>0.35944395783679095</v>
      </c>
      <c r="E32" s="261"/>
      <c r="F32" s="168"/>
      <c r="G32" s="184">
        <f t="shared" si="16"/>
        <v>157561.46241314604</v>
      </c>
      <c r="H32" s="189"/>
      <c r="I32" s="196">
        <f t="shared" si="2"/>
        <v>0.78292374281719579</v>
      </c>
      <c r="J32" s="196">
        <f t="shared" si="3"/>
        <v>0.96734151559797676</v>
      </c>
      <c r="K32" s="301">
        <v>20</v>
      </c>
      <c r="L32" s="173">
        <f t="shared" si="7"/>
        <v>164684.39195528088</v>
      </c>
      <c r="M32" s="173">
        <f t="shared" si="15"/>
        <v>9881.0635173168521</v>
      </c>
      <c r="N32" s="173">
        <f t="shared" si="17"/>
        <v>19436.774543323587</v>
      </c>
      <c r="O32" s="173">
        <f t="shared" si="10"/>
        <v>152971.35972231135</v>
      </c>
      <c r="P32" s="173">
        <f t="shared" si="4"/>
        <v>2157.3212069628062</v>
      </c>
      <c r="Q32" s="184">
        <f t="shared" si="11"/>
        <v>1739.6991543422437</v>
      </c>
      <c r="R32" s="196">
        <f t="shared" si="5"/>
        <v>0.14864362802414349</v>
      </c>
    </row>
    <row r="33" spans="1:18">
      <c r="A33" s="96">
        <v>21</v>
      </c>
      <c r="B33" s="196">
        <f t="shared" si="0"/>
        <v>0.77869854181310627</v>
      </c>
      <c r="C33" s="196">
        <f t="shared" si="1"/>
        <v>3.3007255153834486E-2</v>
      </c>
      <c r="D33" s="196">
        <f t="shared" si="14"/>
        <v>0.34232757889218185</v>
      </c>
      <c r="E33" s="235"/>
      <c r="F33" s="168"/>
      <c r="G33" s="184">
        <f t="shared" si="16"/>
        <v>150438.02725383569</v>
      </c>
      <c r="H33" s="189"/>
      <c r="I33" s="196">
        <f t="shared" si="2"/>
        <v>0.75735463997442676</v>
      </c>
      <c r="J33" s="196">
        <f t="shared" si="3"/>
        <v>0.96339319200383977</v>
      </c>
      <c r="K33" s="301">
        <v>21</v>
      </c>
      <c r="L33" s="173">
        <f t="shared" si="7"/>
        <v>157561.46241314604</v>
      </c>
      <c r="M33" s="173">
        <f t="shared" si="15"/>
        <v>9453.6877447887618</v>
      </c>
      <c r="N33" s="173">
        <f t="shared" si="17"/>
        <v>19366.177142271496</v>
      </c>
      <c r="O33" s="173">
        <f t="shared" si="10"/>
        <v>145524.94928729517</v>
      </c>
      <c r="P33" s="173">
        <f t="shared" si="4"/>
        <v>2124.0237283681636</v>
      </c>
      <c r="Q33" s="184">
        <f t="shared" si="11"/>
        <v>1662.9486072465374</v>
      </c>
      <c r="R33" s="196">
        <f t="shared" si="5"/>
        <v>0.13513057093103953</v>
      </c>
    </row>
    <row r="34" spans="1:18">
      <c r="A34" s="96">
        <v>22</v>
      </c>
      <c r="B34" s="196">
        <f t="shared" si="0"/>
        <v>0.75299584035556222</v>
      </c>
      <c r="C34" s="196">
        <f t="shared" si="1"/>
        <v>3.6999844589842318E-2</v>
      </c>
      <c r="D34" s="196">
        <f t="shared" si="14"/>
        <v>0.32602626561160175</v>
      </c>
      <c r="E34" s="235"/>
      <c r="F34" s="168"/>
      <c r="G34" s="184">
        <f t="shared" si="16"/>
        <v>143331.72053607975</v>
      </c>
      <c r="H34" s="189"/>
      <c r="I34" s="196">
        <f t="shared" si="2"/>
        <v>0.72963030408388185</v>
      </c>
      <c r="J34" s="196">
        <f t="shared" si="3"/>
        <v>0.95897450999736533</v>
      </c>
      <c r="K34" s="301">
        <v>22</v>
      </c>
      <c r="L34" s="173">
        <f t="shared" si="7"/>
        <v>150438.02725383569</v>
      </c>
      <c r="M34" s="173">
        <f t="shared" si="15"/>
        <v>9026.2816352301415</v>
      </c>
      <c r="N34" s="173">
        <f t="shared" si="17"/>
        <v>19287.131703916872</v>
      </c>
      <c r="O34" s="173">
        <f t="shared" si="10"/>
        <v>138084.80376265617</v>
      </c>
      <c r="P34" s="173">
        <f t="shared" si="4"/>
        <v>2092.3734224927903</v>
      </c>
      <c r="Q34" s="184">
        <f t="shared" si="11"/>
        <v>1584.6687200840863</v>
      </c>
      <c r="R34" s="196">
        <f t="shared" si="5"/>
        <v>0.12284597357367227</v>
      </c>
    </row>
    <row r="35" spans="1:18">
      <c r="A35" s="96">
        <v>23</v>
      </c>
      <c r="B35" s="196">
        <f t="shared" si="0"/>
        <v>0.7251351112856087</v>
      </c>
      <c r="C35" s="196">
        <f t="shared" si="1"/>
        <v>4.1467840660102465E-2</v>
      </c>
      <c r="D35" s="196">
        <f t="shared" si="14"/>
        <v>0.31050120534438258</v>
      </c>
      <c r="E35" s="235"/>
      <c r="F35" s="168"/>
      <c r="G35" s="184">
        <f t="shared" si="16"/>
        <v>136260.66695252404</v>
      </c>
      <c r="H35" s="189"/>
      <c r="I35" s="196">
        <f t="shared" si="2"/>
        <v>0.69969686333806924</v>
      </c>
      <c r="J35" s="196">
        <f t="shared" si="3"/>
        <v>0.95403209888565021</v>
      </c>
      <c r="K35" s="301">
        <v>23</v>
      </c>
      <c r="L35" s="173">
        <f t="shared" si="7"/>
        <v>143331.72053607975</v>
      </c>
      <c r="M35" s="173">
        <f t="shared" si="15"/>
        <v>8599.9032321647846</v>
      </c>
      <c r="N35" s="173">
        <f t="shared" si="17"/>
        <v>19198.669690147253</v>
      </c>
      <c r="O35" s="173">
        <f t="shared" si="10"/>
        <v>130670.50632271093</v>
      </c>
      <c r="P35" s="173">
        <f t="shared" si="4"/>
        <v>2062.447755386369</v>
      </c>
      <c r="Q35" s="184">
        <f t="shared" si="11"/>
        <v>1504.8243829196761</v>
      </c>
      <c r="R35" s="196">
        <f t="shared" si="5"/>
        <v>0.11167815779424752</v>
      </c>
    </row>
    <row r="36" spans="1:18">
      <c r="A36" s="96">
        <v>24</v>
      </c>
      <c r="B36" s="196">
        <f t="shared" si="0"/>
        <v>0.69506532403377141</v>
      </c>
      <c r="C36" s="196">
        <f t="shared" si="1"/>
        <v>4.6465127846486064E-2</v>
      </c>
      <c r="D36" s="196">
        <f t="shared" si="14"/>
        <v>0.29571543366131675</v>
      </c>
      <c r="E36" s="235"/>
      <c r="F36" s="168"/>
      <c r="G36" s="184">
        <f t="shared" si="16"/>
        <v>129243.32821079195</v>
      </c>
      <c r="H36" s="189"/>
      <c r="I36" s="196">
        <f t="shared" si="2"/>
        <v>0.6675332671141242</v>
      </c>
      <c r="J36" s="196">
        <f t="shared" si="3"/>
        <v>0.94850722846604674</v>
      </c>
      <c r="K36" s="301">
        <v>24</v>
      </c>
      <c r="L36" s="173">
        <f t="shared" si="7"/>
        <v>136260.66695252404</v>
      </c>
      <c r="M36" s="173">
        <f t="shared" si="15"/>
        <v>8175.6400171514424</v>
      </c>
      <c r="N36" s="173">
        <f t="shared" si="17"/>
        <v>19099.722619690718</v>
      </c>
      <c r="O36" s="173">
        <f t="shared" si="10"/>
        <v>123302.28367990881</v>
      </c>
      <c r="P36" s="173">
        <f t="shared" si="4"/>
        <v>2034.3006700759724</v>
      </c>
      <c r="Q36" s="184">
        <f t="shared" si="11"/>
        <v>1423.3937979386903</v>
      </c>
      <c r="R36" s="196">
        <f t="shared" si="5"/>
        <v>0.10152559799477048</v>
      </c>
    </row>
    <row r="37" spans="1:18">
      <c r="A37" s="96">
        <v>25</v>
      </c>
      <c r="B37" s="196">
        <f t="shared" si="0"/>
        <v>0.66276902489088296</v>
      </c>
      <c r="C37" s="196">
        <f t="shared" si="1"/>
        <v>5.2050985899849828E-2</v>
      </c>
      <c r="D37" s="196">
        <f t="shared" si="14"/>
        <v>0.2816337463441112</v>
      </c>
      <c r="E37" s="235"/>
      <c r="F37" s="168"/>
      <c r="G37" s="184">
        <f t="shared" si="16"/>
        <v>122298.3342155563</v>
      </c>
      <c r="H37" s="189"/>
      <c r="I37" s="196">
        <f t="shared" si="2"/>
        <v>0.63316012909930319</v>
      </c>
      <c r="J37" s="196">
        <f t="shared" si="3"/>
        <v>0.94233545692866594</v>
      </c>
      <c r="K37" s="301">
        <v>25</v>
      </c>
      <c r="L37" s="173">
        <f t="shared" si="7"/>
        <v>129243.32821079195</v>
      </c>
      <c r="M37" s="173">
        <f t="shared" si="15"/>
        <v>7754.5996926475163</v>
      </c>
      <c r="N37" s="173">
        <f t="shared" si="17"/>
        <v>18989.114713890256</v>
      </c>
      <c r="O37" s="173">
        <f t="shared" si="10"/>
        <v>116000.85403281161</v>
      </c>
      <c r="P37" s="173">
        <f t="shared" si="4"/>
        <v>2007.9591567376046</v>
      </c>
      <c r="Q37" s="184">
        <f t="shared" si="11"/>
        <v>1340.379536128775</v>
      </c>
      <c r="R37" s="196">
        <f t="shared" si="5"/>
        <v>9.2295998177064048E-2</v>
      </c>
    </row>
    <row r="38" spans="1:18">
      <c r="A38" s="96">
        <v>26</v>
      </c>
      <c r="B38" s="196">
        <f t="shared" si="0"/>
        <v>0.62827124372143039</v>
      </c>
      <c r="C38" s="196">
        <f t="shared" si="1"/>
        <v>5.8290439659922373E-2</v>
      </c>
      <c r="D38" s="196">
        <f t="shared" si="14"/>
        <v>0.26822261556582017</v>
      </c>
      <c r="E38" s="235"/>
      <c r="F38" s="168"/>
      <c r="G38" s="184">
        <f t="shared" si="16"/>
        <v>115444.30136670551</v>
      </c>
      <c r="H38" s="189"/>
      <c r="I38" s="196">
        <f t="shared" si="2"/>
        <v>0.596649239563805</v>
      </c>
      <c r="J38" s="196">
        <f t="shared" si="3"/>
        <v>0.93544630970083809</v>
      </c>
      <c r="K38" s="301">
        <v>26</v>
      </c>
      <c r="L38" s="173">
        <f t="shared" si="7"/>
        <v>122298.3342155563</v>
      </c>
      <c r="M38" s="173">
        <f t="shared" si="15"/>
        <v>7337.900052933378</v>
      </c>
      <c r="N38" s="173">
        <f t="shared" si="17"/>
        <v>18865.555847711894</v>
      </c>
      <c r="O38" s="173">
        <f t="shared" si="10"/>
        <v>108787.25847820504</v>
      </c>
      <c r="P38" s="173">
        <f t="shared" si="4"/>
        <v>1983.419942572742</v>
      </c>
      <c r="Q38" s="184">
        <f t="shared" si="11"/>
        <v>1255.8224268974898</v>
      </c>
      <c r="R38" s="196">
        <f t="shared" si="5"/>
        <v>8.3905452888240042E-2</v>
      </c>
    </row>
    <row r="39" spans="1:18">
      <c r="A39" s="96">
        <v>27</v>
      </c>
      <c r="B39" s="196">
        <f t="shared" si="0"/>
        <v>0.59164903669922198</v>
      </c>
      <c r="C39" s="196">
        <f t="shared" si="1"/>
        <v>6.525457614361542E-2</v>
      </c>
      <c r="D39" s="196">
        <f t="shared" si="14"/>
        <v>0.25545011006268586</v>
      </c>
      <c r="E39" s="235"/>
      <c r="F39" s="168"/>
      <c r="G39" s="184">
        <f t="shared" si="16"/>
        <v>108699.64089571961</v>
      </c>
      <c r="H39" s="189"/>
      <c r="I39" s="196">
        <f t="shared" si="2"/>
        <v>0.55813332933577264</v>
      </c>
      <c r="J39" s="196">
        <f t="shared" si="3"/>
        <v>0.92776300964100133</v>
      </c>
      <c r="K39" s="301">
        <v>27</v>
      </c>
      <c r="L39" s="173">
        <f t="shared" si="7"/>
        <v>115444.30136670551</v>
      </c>
      <c r="M39" s="173">
        <f t="shared" si="15"/>
        <v>6926.65808200233</v>
      </c>
      <c r="N39" s="173">
        <f t="shared" si="17"/>
        <v>18727.63512021078</v>
      </c>
      <c r="O39" s="173">
        <f t="shared" si="10"/>
        <v>101682.67794170721</v>
      </c>
      <c r="P39" s="173">
        <f t="shared" si="4"/>
        <v>1960.6463867898565</v>
      </c>
      <c r="Q39" s="184">
        <f t="shared" si="11"/>
        <v>1169.8181757316897</v>
      </c>
      <c r="R39" s="196">
        <f t="shared" si="5"/>
        <v>7.6277684443854576E-2</v>
      </c>
    </row>
    <row r="40" spans="1:18">
      <c r="A40" s="96">
        <v>28</v>
      </c>
      <c r="B40" s="196">
        <f t="shared" si="0"/>
        <v>0.55304122958363588</v>
      </c>
      <c r="C40" s="196">
        <f t="shared" si="1"/>
        <v>7.3020807977653243E-2</v>
      </c>
      <c r="D40" s="196">
        <f t="shared" si="14"/>
        <v>0.24328581910731986</v>
      </c>
      <c r="E40" s="235"/>
      <c r="F40" s="168"/>
      <c r="G40" s="184">
        <f t="shared" si="16"/>
        <v>102082.36073650078</v>
      </c>
      <c r="H40" s="189"/>
      <c r="I40" s="196">
        <f t="shared" si="2"/>
        <v>0.51781545740550861</v>
      </c>
      <c r="J40" s="196">
        <f t="shared" si="3"/>
        <v>0.91920228468137066</v>
      </c>
      <c r="K40" s="301">
        <v>28</v>
      </c>
      <c r="L40" s="173">
        <f t="shared" si="7"/>
        <v>108699.64089571961</v>
      </c>
      <c r="M40" s="173">
        <f t="shared" si="15"/>
        <v>6521.978453743176</v>
      </c>
      <c r="N40" s="173">
        <f t="shared" si="17"/>
        <v>18573.815453012845</v>
      </c>
      <c r="O40" s="173">
        <f t="shared" si="10"/>
        <v>94708.238228154354</v>
      </c>
      <c r="P40" s="173">
        <f t="shared" si="4"/>
        <v>1939.5656682955887</v>
      </c>
      <c r="Q40" s="184">
        <f t="shared" si="11"/>
        <v>1082.5362439111798</v>
      </c>
      <c r="R40" s="196">
        <f t="shared" si="5"/>
        <v>6.9343349494413245E-2</v>
      </c>
    </row>
    <row r="41" spans="1:18">
      <c r="A41" s="96">
        <v>29</v>
      </c>
      <c r="B41" s="196">
        <f t="shared" si="0"/>
        <v>0.51265771215448397</v>
      </c>
      <c r="C41" s="196">
        <f t="shared" si="1"/>
        <v>8.1673056456738238E-2</v>
      </c>
      <c r="D41" s="196">
        <f t="shared" si="14"/>
        <v>0.23170078010220937</v>
      </c>
      <c r="E41" s="235"/>
      <c r="F41" s="168"/>
      <c r="G41" s="184">
        <f t="shared" si="16"/>
        <v>95609.864937401813</v>
      </c>
      <c r="H41" s="189"/>
      <c r="I41" s="196">
        <f t="shared" si="2"/>
        <v>0.47597715149047248</v>
      </c>
      <c r="J41" s="196">
        <f t="shared" si="3"/>
        <v>0.90967428579484921</v>
      </c>
      <c r="K41" s="301">
        <v>29</v>
      </c>
      <c r="L41" s="173">
        <f t="shared" si="7"/>
        <v>102082.36073650078</v>
      </c>
      <c r="M41" s="173">
        <f t="shared" si="15"/>
        <v>6124.9416441900466</v>
      </c>
      <c r="N41" s="173">
        <f t="shared" si="17"/>
        <v>18402.42973932104</v>
      </c>
      <c r="O41" s="173">
        <f t="shared" si="10"/>
        <v>87884.806288537016</v>
      </c>
      <c r="P41" s="173">
        <f t="shared" si="4"/>
        <v>1920.0663528327568</v>
      </c>
      <c r="Q41" s="184">
        <f t="shared" si="11"/>
        <v>994.24003674102062</v>
      </c>
      <c r="R41" s="196">
        <f t="shared" si="5"/>
        <v>6.3039408631284766E-2</v>
      </c>
    </row>
    <row r="42" spans="1:18">
      <c r="A42" s="96">
        <v>30</v>
      </c>
      <c r="B42" s="196">
        <f t="shared" si="0"/>
        <v>0.47078738988670854</v>
      </c>
      <c r="C42" s="196">
        <f t="shared" si="1"/>
        <v>9.1301820620582702E-2</v>
      </c>
      <c r="D42" s="196">
        <f t="shared" si="14"/>
        <v>0.22066740962115178</v>
      </c>
      <c r="E42" s="96"/>
      <c r="F42" s="168"/>
      <c r="G42" s="184">
        <f t="shared" si="16"/>
        <v>89298.755036117029</v>
      </c>
      <c r="H42" s="189"/>
      <c r="I42" s="196">
        <f t="shared" si="2"/>
        <v>0.43298417533676231</v>
      </c>
      <c r="J42" s="196">
        <f t="shared" si="3"/>
        <v>0.89908265609398241</v>
      </c>
      <c r="K42" s="301">
        <v>30</v>
      </c>
      <c r="L42" s="173">
        <f t="shared" si="7"/>
        <v>95609.864937401813</v>
      </c>
      <c r="M42" s="173">
        <f t="shared" si="15"/>
        <v>5736.5918962441083</v>
      </c>
      <c r="N42" s="173">
        <f t="shared" si="17"/>
        <v>18211.679201612882</v>
      </c>
      <c r="O42" s="173">
        <f t="shared" si="10"/>
        <v>81232.781209848952</v>
      </c>
      <c r="P42" s="173">
        <f t="shared" si="4"/>
        <v>1901.9964221840928</v>
      </c>
      <c r="Q42" s="184">
        <f t="shared" si="11"/>
        <v>905.30683917625458</v>
      </c>
      <c r="R42" s="196">
        <f t="shared" si="5"/>
        <v>5.7308553301167964E-2</v>
      </c>
    </row>
    <row r="43" spans="1:18">
      <c r="A43" s="96">
        <v>31</v>
      </c>
      <c r="B43" s="196">
        <f t="shared" si="0"/>
        <v>0.42780364406483995</v>
      </c>
      <c r="C43" s="196">
        <f t="shared" si="1"/>
        <v>0.10200409069464125</v>
      </c>
      <c r="D43" s="196">
        <f t="shared" si="14"/>
        <v>0.21015943773443024</v>
      </c>
      <c r="E43" s="96"/>
      <c r="F43" s="168"/>
      <c r="G43" s="184">
        <f t="shared" si="16"/>
        <v>83164.638107184815</v>
      </c>
      <c r="H43" s="189"/>
      <c r="I43" s="196">
        <f t="shared" si="2"/>
        <v>0.38928856240843884</v>
      </c>
      <c r="J43" s="196">
        <f t="shared" si="3"/>
        <v>0.88732480097037647</v>
      </c>
      <c r="K43" s="301">
        <v>31</v>
      </c>
      <c r="L43" s="173">
        <f t="shared" si="7"/>
        <v>89298.755036117029</v>
      </c>
      <c r="M43" s="173">
        <f t="shared" si="15"/>
        <v>5357.925302167022</v>
      </c>
      <c r="N43" s="173">
        <f t="shared" si="17"/>
        <v>17999.634775001527</v>
      </c>
      <c r="O43" s="173">
        <f t="shared" si="10"/>
        <v>74771.883722502549</v>
      </c>
      <c r="P43" s="173">
        <f t="shared" si="4"/>
        <v>1885.1618407799688</v>
      </c>
      <c r="Q43" s="184">
        <f t="shared" si="11"/>
        <v>816.24524500644759</v>
      </c>
      <c r="R43" s="196">
        <f t="shared" si="5"/>
        <v>5.2098684819243603E-2</v>
      </c>
    </row>
    <row r="44" spans="1:18">
      <c r="A44" s="96">
        <v>32</v>
      </c>
      <c r="B44" s="196">
        <f t="shared" si="0"/>
        <v>0.38416592235615199</v>
      </c>
      <c r="C44" s="196">
        <f t="shared" si="1"/>
        <v>0.11388305502596155</v>
      </c>
      <c r="D44" s="196">
        <f t="shared" si="14"/>
        <v>0.20015184546136214</v>
      </c>
      <c r="E44" s="96"/>
      <c r="F44" s="168"/>
      <c r="G44" s="184">
        <f t="shared" si="16"/>
        <v>77221.946324780394</v>
      </c>
      <c r="H44" s="189"/>
      <c r="I44" s="196">
        <f t="shared" si="2"/>
        <v>0.345425396159112</v>
      </c>
      <c r="J44" s="196">
        <f t="shared" si="3"/>
        <v>0.87429241936472413</v>
      </c>
      <c r="K44" s="301">
        <v>32</v>
      </c>
      <c r="L44" s="173">
        <f t="shared" si="7"/>
        <v>83164.638107184815</v>
      </c>
      <c r="M44" s="173">
        <f t="shared" si="15"/>
        <v>4989.8782864310888</v>
      </c>
      <c r="N44" s="173">
        <f t="shared" si="17"/>
        <v>17764.242515426937</v>
      </c>
      <c r="O44" s="173">
        <f t="shared" si="10"/>
        <v>68520.948153180856</v>
      </c>
      <c r="P44" s="173">
        <f t="shared" si="4"/>
        <v>1869.3257250081224</v>
      </c>
      <c r="Q44" s="184">
        <f t="shared" si="11"/>
        <v>727.70712416152469</v>
      </c>
      <c r="R44" s="196">
        <f t="shared" si="5"/>
        <v>4.7362440744766907E-2</v>
      </c>
    </row>
    <row r="45" spans="1:18">
      <c r="A45" s="96">
        <v>33</v>
      </c>
      <c r="B45" s="196">
        <f t="shared" si="0"/>
        <v>0.34041593348136706</v>
      </c>
      <c r="C45" s="196">
        <f t="shared" si="1"/>
        <v>0.12704753936697688</v>
      </c>
      <c r="D45" s="196">
        <f t="shared" si="14"/>
        <v>0.19062080520129726</v>
      </c>
      <c r="E45" s="96"/>
      <c r="F45" s="168"/>
      <c r="G45" s="184">
        <f t="shared" si="16"/>
        <v>71483.772838239762</v>
      </c>
      <c r="H45" s="189"/>
      <c r="I45" s="196">
        <f t="shared" si="2"/>
        <v>0.3020028053179683</v>
      </c>
      <c r="J45" s="196">
        <f t="shared" si="3"/>
        <v>0.85987236727984351</v>
      </c>
      <c r="K45" s="301">
        <v>33</v>
      </c>
      <c r="L45" s="173">
        <f t="shared" si="7"/>
        <v>77221.946324780394</v>
      </c>
      <c r="M45" s="173">
        <f t="shared" si="15"/>
        <v>4633.3167794868232</v>
      </c>
      <c r="N45" s="173">
        <f t="shared" si="17"/>
        <v>17503.334235681777</v>
      </c>
      <c r="O45" s="173">
        <f t="shared" si="10"/>
        <v>62497.720700062993</v>
      </c>
      <c r="P45" s="173">
        <f t="shared" si="4"/>
        <v>1854.2081685224475</v>
      </c>
      <c r="Q45" s="184">
        <f t="shared" si="11"/>
        <v>640.49059117332797</v>
      </c>
      <c r="R45" s="196">
        <f t="shared" si="5"/>
        <v>4.3056764313424457E-2</v>
      </c>
    </row>
    <row r="46" spans="1:18">
      <c r="A46" s="96">
        <v>34</v>
      </c>
      <c r="B46" s="196">
        <f t="shared" si="0"/>
        <v>0.2971669267712469</v>
      </c>
      <c r="C46" s="196">
        <f t="shared" si="1"/>
        <v>0.14161110627545825</v>
      </c>
      <c r="D46" s="196">
        <f t="shared" si="14"/>
        <v>0.18154362400123547</v>
      </c>
      <c r="E46" s="96"/>
      <c r="F46" s="168"/>
      <c r="G46" s="184">
        <f t="shared" si="16"/>
        <v>65961.728519011609</v>
      </c>
      <c r="H46" s="189"/>
      <c r="I46" s="196">
        <f t="shared" si="2"/>
        <v>0.25968386713391511</v>
      </c>
      <c r="J46" s="196">
        <f t="shared" si="3"/>
        <v>0.84394793604590779</v>
      </c>
      <c r="K46" s="301">
        <v>34</v>
      </c>
      <c r="L46" s="173">
        <f t="shared" si="7"/>
        <v>71483.772838239762</v>
      </c>
      <c r="M46" s="173">
        <f t="shared" si="15"/>
        <v>4289.0263702943857</v>
      </c>
      <c r="N46" s="173">
        <f t="shared" si="17"/>
        <v>17214.644792942468</v>
      </c>
      <c r="O46" s="173">
        <f t="shared" si="10"/>
        <v>56718.667651512878</v>
      </c>
      <c r="P46" s="173">
        <f t="shared" si="4"/>
        <v>1839.486764078807</v>
      </c>
      <c r="Q46" s="184">
        <f t="shared" si="11"/>
        <v>555.53016309707141</v>
      </c>
      <c r="R46" s="196">
        <f t="shared" si="5"/>
        <v>3.9142513012204054E-2</v>
      </c>
    </row>
    <row r="47" spans="1:18">
      <c r="A47" s="96">
        <v>35</v>
      </c>
      <c r="B47" s="196">
        <f t="shared" si="0"/>
        <v>0.25508478952269253</v>
      </c>
      <c r="C47" s="196">
        <f t="shared" si="1"/>
        <v>0.15769073100131456</v>
      </c>
      <c r="D47" s="196">
        <f t="shared" si="14"/>
        <v>0.17289868952498616</v>
      </c>
      <c r="E47" s="96"/>
      <c r="F47" s="168"/>
      <c r="G47" s="184">
        <f t="shared" si="16"/>
        <v>60665.823699843655</v>
      </c>
      <c r="H47" s="189"/>
      <c r="I47" s="196">
        <f t="shared" si="2"/>
        <v>0.21915966369208742</v>
      </c>
      <c r="J47" s="196">
        <f t="shared" si="3"/>
        <v>0.82640063883393233</v>
      </c>
      <c r="K47" s="301">
        <v>35</v>
      </c>
      <c r="L47" s="173">
        <f t="shared" si="7"/>
        <v>65961.728519011609</v>
      </c>
      <c r="M47" s="173">
        <f t="shared" si="15"/>
        <v>3957.7037111406962</v>
      </c>
      <c r="N47" s="173">
        <f t="shared" si="17"/>
        <v>16895.837679639073</v>
      </c>
      <c r="O47" s="173">
        <f t="shared" si="10"/>
        <v>51198.796700007973</v>
      </c>
      <c r="P47" s="173">
        <f t="shared" si="4"/>
        <v>1824.7978505052597</v>
      </c>
      <c r="Q47" s="184">
        <f t="shared" si="11"/>
        <v>473.87056255686173</v>
      </c>
      <c r="R47" s="196">
        <f t="shared" si="5"/>
        <v>3.5584102738367311E-2</v>
      </c>
    </row>
    <row r="48" spans="1:18">
      <c r="A48" s="96">
        <v>36</v>
      </c>
      <c r="B48" s="196">
        <f t="shared" si="0"/>
        <v>0.21486028259554268</v>
      </c>
      <c r="C48" s="196">
        <f t="shared" si="1"/>
        <v>0.1754049593420681</v>
      </c>
      <c r="D48" s="196">
        <f t="shared" si="14"/>
        <v>0.1646654185952249</v>
      </c>
      <c r="E48" s="96"/>
      <c r="F48" s="168"/>
      <c r="G48" s="184">
        <f t="shared" si="16"/>
        <v>55604.378395550171</v>
      </c>
      <c r="H48" s="189"/>
      <c r="I48" s="196">
        <f t="shared" si="2"/>
        <v>0.18111368608177081</v>
      </c>
      <c r="J48" s="196">
        <f t="shared" si="3"/>
        <v>0.80711260827344944</v>
      </c>
      <c r="K48" s="301">
        <v>36</v>
      </c>
      <c r="L48" s="173">
        <f t="shared" si="7"/>
        <v>60665.823699843655</v>
      </c>
      <c r="M48" s="173">
        <f t="shared" si="15"/>
        <v>3639.9494219906192</v>
      </c>
      <c r="N48" s="173">
        <f t="shared" si="17"/>
        <v>16544.540789455325</v>
      </c>
      <c r="O48" s="173">
        <f t="shared" si="10"/>
        <v>45951.493828046368</v>
      </c>
      <c r="P48" s="173">
        <f t="shared" si="4"/>
        <v>1809.7385043325776</v>
      </c>
      <c r="Q48" s="184">
        <f t="shared" si="11"/>
        <v>396.62168198014899</v>
      </c>
      <c r="R48" s="196">
        <f t="shared" si="5"/>
        <v>3.2349184307606652E-2</v>
      </c>
    </row>
    <row r="49" spans="1:18">
      <c r="A49" s="96">
        <v>37</v>
      </c>
      <c r="B49" s="196">
        <f t="shared" si="0"/>
        <v>0.17717272346264626</v>
      </c>
      <c r="C49" s="196">
        <f t="shared" si="1"/>
        <v>0.19487144383551791</v>
      </c>
      <c r="D49" s="196">
        <f t="shared" si="14"/>
        <v>0.15682420818592846</v>
      </c>
      <c r="E49" s="96"/>
      <c r="F49" s="168"/>
      <c r="G49" s="184">
        <f t="shared" si="16"/>
        <v>50783.963687125135</v>
      </c>
      <c r="H49" s="189"/>
      <c r="I49" s="196">
        <f t="shared" si="2"/>
        <v>0.14617913956747677</v>
      </c>
      <c r="J49" s="196">
        <f t="shared" si="3"/>
        <v>0.78596971397961835</v>
      </c>
      <c r="K49" s="301">
        <v>37</v>
      </c>
      <c r="L49" s="173">
        <f t="shared" si="7"/>
        <v>55604.378395550171</v>
      </c>
      <c r="M49" s="173">
        <f t="shared" si="15"/>
        <v>3336.2627037330103</v>
      </c>
      <c r="N49" s="173">
        <f t="shared" si="17"/>
        <v>16158.394417634458</v>
      </c>
      <c r="O49" s="173">
        <f t="shared" si="10"/>
        <v>40988.377389979709</v>
      </c>
      <c r="P49" s="173">
        <f t="shared" si="4"/>
        <v>1793.8692916690125</v>
      </c>
      <c r="Q49" s="184">
        <f t="shared" si="11"/>
        <v>324.89427976307007</v>
      </c>
      <c r="R49" s="196">
        <f t="shared" si="5"/>
        <v>2.94083493705515E-2</v>
      </c>
    </row>
    <row r="50" spans="1:18">
      <c r="A50" s="96">
        <v>38</v>
      </c>
      <c r="B50" s="196">
        <f t="shared" si="0"/>
        <v>0.14264681903320944</v>
      </c>
      <c r="C50" s="196">
        <f t="shared" si="1"/>
        <v>0.21620374916753521</v>
      </c>
      <c r="D50" s="196">
        <f t="shared" si="14"/>
        <v>0.14935638874850329</v>
      </c>
      <c r="E50" s="96"/>
      <c r="F50" s="168"/>
      <c r="G50" s="184">
        <f t="shared" si="16"/>
        <v>46209.375996182964</v>
      </c>
      <c r="H50" s="189"/>
      <c r="I50" s="196">
        <f t="shared" si="2"/>
        <v>0.11489237651563643</v>
      </c>
      <c r="J50" s="196">
        <f t="shared" si="3"/>
        <v>0.76286550883957971</v>
      </c>
      <c r="K50" s="301">
        <v>38</v>
      </c>
      <c r="L50" s="173">
        <f t="shared" si="7"/>
        <v>50783.963687125135</v>
      </c>
      <c r="M50" s="173">
        <f t="shared" si="15"/>
        <v>3047.0378212275082</v>
      </c>
      <c r="N50" s="173">
        <f t="shared" si="17"/>
        <v>15735.11367387196</v>
      </c>
      <c r="O50" s="173">
        <f t="shared" si="10"/>
        <v>36319.170034896568</v>
      </c>
      <c r="P50" s="173">
        <f t="shared" si="4"/>
        <v>1776.7177995841193</v>
      </c>
      <c r="Q50" s="184">
        <f t="shared" si="11"/>
        <v>259.71907919742722</v>
      </c>
      <c r="R50" s="196">
        <f t="shared" si="5"/>
        <v>2.6734863064137721E-2</v>
      </c>
    </row>
    <row r="51" spans="1:18">
      <c r="A51" s="96">
        <v>39</v>
      </c>
      <c r="B51" s="196">
        <f t="shared" si="0"/>
        <v>0.11180604195140664</v>
      </c>
      <c r="C51" s="196">
        <f t="shared" si="1"/>
        <v>0.23950731837728825</v>
      </c>
      <c r="D51" s="196">
        <f t="shared" si="14"/>
        <v>0.14224417976047932</v>
      </c>
      <c r="E51" s="96"/>
      <c r="F51" s="168"/>
      <c r="G51" s="184">
        <f t="shared" si="16"/>
        <v>41883.644913406395</v>
      </c>
      <c r="H51" s="189"/>
      <c r="I51" s="196">
        <f t="shared" si="2"/>
        <v>8.7647431272389567E-2</v>
      </c>
      <c r="J51" s="196">
        <f t="shared" si="3"/>
        <v>0.73770610370652279</v>
      </c>
      <c r="K51" s="301">
        <v>39</v>
      </c>
      <c r="L51" s="173">
        <f t="shared" si="7"/>
        <v>46209.375996182964</v>
      </c>
      <c r="M51" s="173">
        <f t="shared" si="15"/>
        <v>2772.5625597709777</v>
      </c>
      <c r="N51" s="173">
        <f t="shared" si="17"/>
        <v>15272.567486968386</v>
      </c>
      <c r="O51" s="173">
        <f t="shared" si="10"/>
        <v>31951.588088922043</v>
      </c>
      <c r="P51" s="173">
        <f t="shared" si="4"/>
        <v>1757.7829800635154</v>
      </c>
      <c r="Q51" s="184">
        <f t="shared" si="11"/>
        <v>201.95586397823485</v>
      </c>
      <c r="R51" s="196">
        <f t="shared" si="5"/>
        <v>2.4304420967397926E-2</v>
      </c>
    </row>
    <row r="52" spans="1:18">
      <c r="A52" s="96">
        <v>40</v>
      </c>
      <c r="B52" s="196">
        <f t="shared" si="0"/>
        <v>8.5027676665246646E-2</v>
      </c>
      <c r="C52" s="196">
        <f t="shared" si="1"/>
        <v>0.26487450177229904</v>
      </c>
      <c r="D52" s="196">
        <f t="shared" si="14"/>
        <v>0.13547064739093267</v>
      </c>
      <c r="E52" s="96"/>
      <c r="F52" s="168"/>
      <c r="G52" s="184">
        <f t="shared" si="16"/>
        <v>37808.07411800258</v>
      </c>
      <c r="H52" s="189"/>
      <c r="I52" s="196">
        <f t="shared" si="2"/>
        <v>6.4658045023839747E-2</v>
      </c>
      <c r="J52" s="196">
        <f t="shared" si="3"/>
        <v>0.71041604742031883</v>
      </c>
      <c r="K52" s="301">
        <v>40</v>
      </c>
      <c r="L52" s="173">
        <f t="shared" si="7"/>
        <v>41883.644913406395</v>
      </c>
      <c r="M52" s="173">
        <f t="shared" si="15"/>
        <v>2513.0186948043838</v>
      </c>
      <c r="N52" s="173">
        <f t="shared" si="17"/>
        <v>14768.876196204586</v>
      </c>
      <c r="O52" s="173">
        <f t="shared" si="10"/>
        <v>27891.24704623911</v>
      </c>
      <c r="P52" s="173">
        <f t="shared" si="4"/>
        <v>1736.5403657670831</v>
      </c>
      <c r="Q52" s="184">
        <f t="shared" si="11"/>
        <v>152.20330236030065</v>
      </c>
      <c r="R52" s="196">
        <f t="shared" si="5"/>
        <v>2.2094928152179935E-2</v>
      </c>
    </row>
    <row r="53" spans="1:18">
      <c r="A53" s="96">
        <v>41</v>
      </c>
      <c r="B53" s="196">
        <f t="shared" si="0"/>
        <v>6.2506013171683306E-2</v>
      </c>
      <c r="C53" s="196">
        <f t="shared" si="1"/>
        <v>0.29237857479925655</v>
      </c>
      <c r="D53" s="196">
        <f t="shared" si="14"/>
        <v>0.12901966418184063</v>
      </c>
      <c r="E53" s="96"/>
      <c r="F53" s="168"/>
      <c r="G53" s="184">
        <f t="shared" si="16"/>
        <v>33982.313781267228</v>
      </c>
      <c r="H53" s="189"/>
      <c r="I53" s="196">
        <f t="shared" si="2"/>
        <v>4.5934112779761248E-2</v>
      </c>
      <c r="J53" s="196">
        <f t="shared" si="3"/>
        <v>0.68094524759475561</v>
      </c>
      <c r="K53" s="301">
        <v>41</v>
      </c>
      <c r="L53" s="173">
        <f t="shared" si="7"/>
        <v>37808.07411800258</v>
      </c>
      <c r="M53" s="173">
        <f t="shared" si="15"/>
        <v>2268.4844470801545</v>
      </c>
      <c r="N53" s="173">
        <f t="shared" si="17"/>
        <v>14222.529269354784</v>
      </c>
      <c r="O53" s="173">
        <f t="shared" si="10"/>
        <v>24141.581038684893</v>
      </c>
      <c r="P53" s="173">
        <f t="shared" si="4"/>
        <v>1712.4482570430591</v>
      </c>
      <c r="Q53" s="184">
        <f t="shared" si="11"/>
        <v>110.72355650488602</v>
      </c>
      <c r="R53" s="196">
        <f t="shared" si="5"/>
        <v>2.0086298320163575E-2</v>
      </c>
    </row>
    <row r="54" spans="1:18">
      <c r="A54" s="96">
        <v>42</v>
      </c>
      <c r="B54" s="196">
        <f t="shared" si="0"/>
        <v>4.4230594124162984E-2</v>
      </c>
      <c r="C54" s="196">
        <f t="shared" si="1"/>
        <v>0.32206671476048337</v>
      </c>
      <c r="D54" s="196">
        <f t="shared" si="14"/>
        <v>0.12287587064937203</v>
      </c>
      <c r="E54" s="96"/>
      <c r="F54" s="168"/>
      <c r="G54" s="184">
        <f t="shared" si="16"/>
        <v>30404.461724301542</v>
      </c>
      <c r="H54" s="189"/>
      <c r="I54" s="196">
        <f t="shared" si="2"/>
        <v>3.1278615799859952E-2</v>
      </c>
      <c r="J54" s="196">
        <f t="shared" si="3"/>
        <v>0.64927690140891436</v>
      </c>
      <c r="K54" s="301">
        <v>42</v>
      </c>
      <c r="L54" s="173">
        <f t="shared" si="7"/>
        <v>33982.313781267228</v>
      </c>
      <c r="M54" s="173">
        <f t="shared" si="15"/>
        <v>2038.9388268760335</v>
      </c>
      <c r="N54" s="173">
        <f t="shared" si="17"/>
        <v>13632.523856847007</v>
      </c>
      <c r="O54" s="173">
        <f t="shared" si="10"/>
        <v>20703.773716839783</v>
      </c>
      <c r="P54" s="173">
        <f t="shared" si="4"/>
        <v>1684.9550344564668</v>
      </c>
      <c r="Q54" s="184">
        <f t="shared" si="11"/>
        <v>77.396914581549851</v>
      </c>
      <c r="R54" s="196">
        <f t="shared" si="5"/>
        <v>1.8260271200148705E-2</v>
      </c>
    </row>
    <row r="55" spans="1:18">
      <c r="A55" s="96">
        <v>43</v>
      </c>
      <c r="B55" s="196">
        <f t="shared" si="0"/>
        <v>2.9985391982689472E-2</v>
      </c>
      <c r="C55" s="196">
        <f t="shared" si="1"/>
        <v>0.35395197524979749</v>
      </c>
      <c r="D55" s="196">
        <f t="shared" si="14"/>
        <v>0.11702463871368764</v>
      </c>
      <c r="E55" s="96"/>
      <c r="F55" s="168"/>
      <c r="G55" s="184">
        <f t="shared" si="16"/>
        <v>27071.18951024436</v>
      </c>
      <c r="H55" s="189"/>
      <c r="I55" s="196">
        <f t="shared" si="2"/>
        <v>2.0308482746892981E-2</v>
      </c>
      <c r="J55" s="196">
        <f t="shared" si="3"/>
        <v>0.61543630846802289</v>
      </c>
      <c r="K55" s="301">
        <v>43</v>
      </c>
      <c r="L55" s="173">
        <f t="shared" si="7"/>
        <v>30404.461724301542</v>
      </c>
      <c r="M55" s="173">
        <f t="shared" si="15"/>
        <v>1824.2677034580925</v>
      </c>
      <c r="N55" s="173">
        <f t="shared" si="17"/>
        <v>12998.523566206466</v>
      </c>
      <c r="O55" s="173">
        <f t="shared" si="10"/>
        <v>17576.698042664964</v>
      </c>
      <c r="P55" s="173">
        <f t="shared" si="4"/>
        <v>1653.5078188882035</v>
      </c>
      <c r="Q55" s="184">
        <f t="shared" si="11"/>
        <v>51.719435789068527</v>
      </c>
      <c r="R55" s="196">
        <f t="shared" si="5"/>
        <v>1.6600246545589729E-2</v>
      </c>
    </row>
    <row r="56" spans="1:18">
      <c r="A56" s="96">
        <v>44</v>
      </c>
      <c r="B56" s="196">
        <f t="shared" si="0"/>
        <v>1.9372003261777092E-2</v>
      </c>
      <c r="C56" s="196">
        <f t="shared" si="1"/>
        <v>0.38800439773580087</v>
      </c>
      <c r="D56" s="196">
        <f t="shared" si="14"/>
        <v>0.1114520368701787</v>
      </c>
      <c r="E56" s="96"/>
      <c r="F56" s="168"/>
      <c r="G56" s="184">
        <f t="shared" si="16"/>
        <v>23977.888542027722</v>
      </c>
      <c r="H56" s="189"/>
      <c r="I56" s="196">
        <f t="shared" si="2"/>
        <v>1.2498577652334348E-2</v>
      </c>
      <c r="J56" s="196">
        <f t="shared" si="3"/>
        <v>0.5795003040725234</v>
      </c>
      <c r="K56" s="301">
        <v>44</v>
      </c>
      <c r="L56" s="173">
        <f t="shared" si="7"/>
        <v>27071.18951024436</v>
      </c>
      <c r="M56" s="173">
        <f t="shared" si="15"/>
        <v>1624.2713706146615</v>
      </c>
      <c r="N56" s="173">
        <f t="shared" si="17"/>
        <v>12321.034895529818</v>
      </c>
      <c r="O56" s="173">
        <f t="shared" si="10"/>
        <v>14756.863209163244</v>
      </c>
      <c r="P56" s="173">
        <f t="shared" si="4"/>
        <v>1617.562776165958</v>
      </c>
      <c r="Q56" s="184">
        <f t="shared" si="11"/>
        <v>32.850245731782671</v>
      </c>
      <c r="R56" s="196">
        <f t="shared" si="5"/>
        <v>1.5091133223263388E-2</v>
      </c>
    </row>
    <row r="57" spans="1:18">
      <c r="A57" s="96">
        <v>45</v>
      </c>
      <c r="B57" s="196">
        <f t="shared" si="0"/>
        <v>1.1855580803255302E-2</v>
      </c>
      <c r="C57" s="196">
        <f t="shared" si="1"/>
        <v>0.42414153729296766</v>
      </c>
      <c r="D57" s="196">
        <f t="shared" si="14"/>
        <v>0.10614479701921781</v>
      </c>
      <c r="E57" s="96"/>
      <c r="F57" s="168"/>
      <c r="G57" s="184">
        <f t="shared" si="16"/>
        <v>21118.829880447844</v>
      </c>
      <c r="H57" s="189"/>
      <c r="I57" s="196">
        <f t="shared" si="2"/>
        <v>7.2429295500018006E-3</v>
      </c>
      <c r="J57" s="196">
        <f t="shared" si="3"/>
        <v>0.54160687757970671</v>
      </c>
      <c r="K57" s="301">
        <v>45</v>
      </c>
      <c r="L57" s="173">
        <f t="shared" si="7"/>
        <v>23977.888542027722</v>
      </c>
      <c r="M57" s="173">
        <f t="shared" si="15"/>
        <v>1438.6733125216633</v>
      </c>
      <c r="N57" s="173">
        <f t="shared" si="17"/>
        <v>11601.596087531918</v>
      </c>
      <c r="O57" s="173">
        <f t="shared" si="10"/>
        <v>12238.368337375417</v>
      </c>
      <c r="P57" s="173">
        <f t="shared" si="4"/>
        <v>1576.59742964205</v>
      </c>
      <c r="Q57" s="184">
        <f t="shared" si="11"/>
        <v>19.705225400851901</v>
      </c>
      <c r="R57" s="196">
        <f t="shared" si="5"/>
        <v>1.3719212021148534E-2</v>
      </c>
    </row>
    <row r="58" spans="1:18">
      <c r="A58" s="96">
        <v>46</v>
      </c>
      <c r="B58" s="196">
        <f t="shared" si="0"/>
        <v>6.8271365358616018E-3</v>
      </c>
      <c r="C58" s="196">
        <f t="shared" si="1"/>
        <v>0.46221885711367566</v>
      </c>
      <c r="D58" s="196">
        <f t="shared" si="14"/>
        <v>0.10109028287544553</v>
      </c>
      <c r="E58" s="96"/>
      <c r="F58" s="168"/>
      <c r="G58" s="184">
        <f t="shared" si="16"/>
        <v>18487.329162498809</v>
      </c>
      <c r="H58" s="189"/>
      <c r="I58" s="196">
        <f t="shared" si="2"/>
        <v>3.9228204581062652E-3</v>
      </c>
      <c r="J58" s="196">
        <f t="shared" si="3"/>
        <v>0.5019643281252657</v>
      </c>
      <c r="K58" s="301">
        <v>46</v>
      </c>
      <c r="L58" s="173">
        <f t="shared" si="7"/>
        <v>21118.829880447844</v>
      </c>
      <c r="M58" s="173">
        <f t="shared" si="15"/>
        <v>1267.1297928268705</v>
      </c>
      <c r="N58" s="173">
        <f t="shared" si="17"/>
        <v>10842.969689145728</v>
      </c>
      <c r="O58" s="173">
        <f t="shared" si="10"/>
        <v>10012.864622489235</v>
      </c>
      <c r="P58" s="173">
        <f t="shared" si="4"/>
        <v>1530.1253616397535</v>
      </c>
      <c r="Q58" s="184">
        <f t="shared" si="11"/>
        <v>11.082590197027763</v>
      </c>
      <c r="R58" s="196">
        <f t="shared" si="5"/>
        <v>1.2472010928316847E-2</v>
      </c>
    </row>
    <row r="59" spans="1:18">
      <c r="A59" s="96">
        <v>47</v>
      </c>
      <c r="B59" s="196">
        <f t="shared" si="0"/>
        <v>3.6715052888966334E-3</v>
      </c>
      <c r="C59" s="196">
        <f t="shared" si="1"/>
        <v>0.50202066235655907</v>
      </c>
      <c r="D59" s="196">
        <f t="shared" si="14"/>
        <v>9.6276459881376689E-2</v>
      </c>
      <c r="E59" s="96"/>
      <c r="F59" s="168"/>
      <c r="G59" s="184">
        <f t="shared" si="16"/>
        <v>16075.902352468634</v>
      </c>
      <c r="H59" s="189"/>
      <c r="I59" s="196">
        <f t="shared" si="2"/>
        <v>1.9691159356093582E-3</v>
      </c>
      <c r="J59" s="196">
        <f t="shared" si="3"/>
        <v>0.46085906766839957</v>
      </c>
      <c r="K59" s="301">
        <v>47</v>
      </c>
      <c r="L59" s="173">
        <f t="shared" si="7"/>
        <v>18487.329162498809</v>
      </c>
      <c r="M59" s="173">
        <f t="shared" si="15"/>
        <v>1109.2397497499285</v>
      </c>
      <c r="N59" s="173">
        <f t="shared" si="17"/>
        <v>10049.32584906782</v>
      </c>
      <c r="O59" s="173">
        <f t="shared" si="10"/>
        <v>8069.5295233642964</v>
      </c>
      <c r="P59" s="173">
        <f t="shared" si="4"/>
        <v>1477.713539816622</v>
      </c>
      <c r="Q59" s="184">
        <f t="shared" si="11"/>
        <v>5.7968049052132713</v>
      </c>
      <c r="R59" s="196">
        <f t="shared" si="5"/>
        <v>1.1338191753015316E-2</v>
      </c>
    </row>
    <row r="60" spans="1:18">
      <c r="A60" s="96">
        <v>48</v>
      </c>
      <c r="B60" s="196">
        <f t="shared" si="0"/>
        <v>1.8283337719191359E-3</v>
      </c>
      <c r="C60" s="196">
        <f t="shared" si="1"/>
        <v>0.54325248825911454</v>
      </c>
      <c r="D60" s="196">
        <f t="shared" si="14"/>
        <v>9.1691866553692075E-2</v>
      </c>
      <c r="E60" s="96"/>
      <c r="F60" s="168"/>
      <c r="G60" s="184">
        <f t="shared" si="16"/>
        <v>13876.381223307157</v>
      </c>
      <c r="H60" s="189"/>
      <c r="I60" s="196">
        <f t="shared" si="2"/>
        <v>9.0748493421591715E-4</v>
      </c>
      <c r="J60" s="196">
        <f t="shared" si="3"/>
        <v>0.41866092961084012</v>
      </c>
      <c r="K60" s="301">
        <v>48</v>
      </c>
      <c r="L60" s="173">
        <f t="shared" si="7"/>
        <v>16075.902352468634</v>
      </c>
      <c r="M60" s="173">
        <f t="shared" si="15"/>
        <v>964.55414114811799</v>
      </c>
      <c r="N60" s="173">
        <f t="shared" si="17"/>
        <v>9226.3985347213602</v>
      </c>
      <c r="O60" s="173">
        <f t="shared" si="10"/>
        <v>6395.0561131846225</v>
      </c>
      <c r="P60" s="173">
        <f t="shared" si="4"/>
        <v>1419.001845710769</v>
      </c>
      <c r="Q60" s="184">
        <f t="shared" si="11"/>
        <v>2.7941791470481672</v>
      </c>
      <c r="R60" s="196">
        <f t="shared" si="5"/>
        <v>1.0307447048195742E-2</v>
      </c>
    </row>
    <row r="61" spans="1:18">
      <c r="A61" s="96">
        <v>49</v>
      </c>
      <c r="B61" s="196">
        <f t="shared" si="0"/>
        <v>8.3508690095589286E-4</v>
      </c>
      <c r="C61" s="196">
        <f t="shared" si="1"/>
        <v>0.58553610841742032</v>
      </c>
      <c r="D61" s="196">
        <f t="shared" si="14"/>
        <v>8.7325587193992443E-2</v>
      </c>
      <c r="E61" s="96"/>
      <c r="F61" s="168"/>
      <c r="G61" s="184">
        <f t="shared" si="16"/>
        <v>11879.900732766868</v>
      </c>
      <c r="H61" s="189"/>
      <c r="I61" s="196">
        <f t="shared" si="2"/>
        <v>3.7992848616666798E-4</v>
      </c>
      <c r="J61" s="196">
        <f t="shared" si="3"/>
        <v>0.37582461629525443</v>
      </c>
      <c r="K61" s="301">
        <v>49</v>
      </c>
      <c r="L61" s="173">
        <f t="shared" si="7"/>
        <v>13876.381223307157</v>
      </c>
      <c r="M61" s="173">
        <f t="shared" si="15"/>
        <v>832.58287339842934</v>
      </c>
      <c r="N61" s="173">
        <f t="shared" si="17"/>
        <v>8381.5918108090191</v>
      </c>
      <c r="O61" s="173">
        <f t="shared" si="10"/>
        <v>4973.6502844646775</v>
      </c>
      <c r="P61" s="173">
        <f t="shared" si="4"/>
        <v>1353.7220014318891</v>
      </c>
      <c r="Q61" s="184">
        <f t="shared" si="11"/>
        <v>1.2284823214160576</v>
      </c>
      <c r="R61" s="196">
        <f t="shared" si="5"/>
        <v>9.3704064074506734E-3</v>
      </c>
    </row>
    <row r="62" spans="1:18">
      <c r="A62" s="96">
        <v>50</v>
      </c>
      <c r="B62" s="196">
        <f t="shared" si="0"/>
        <v>3.4611336677981561E-4</v>
      </c>
      <c r="C62" s="196">
        <f t="shared" si="1"/>
        <v>0.62840854878332542</v>
      </c>
      <c r="D62" s="196">
        <f t="shared" si="14"/>
        <v>8.3167225899040423E-2</v>
      </c>
      <c r="E62" s="96"/>
      <c r="F62" s="168"/>
      <c r="G62" s="184">
        <f t="shared" si="16"/>
        <v>10076.459601764502</v>
      </c>
      <c r="H62" s="189"/>
      <c r="I62" s="196">
        <f t="shared" si="2"/>
        <v>1.4278647753322488E-4</v>
      </c>
      <c r="J62" s="196">
        <f t="shared" si="3"/>
        <v>0.33288577560404886</v>
      </c>
      <c r="K62" s="301">
        <v>50</v>
      </c>
      <c r="L62" s="173">
        <f t="shared" si="7"/>
        <v>11879.900732766868</v>
      </c>
      <c r="M62" s="173">
        <f t="shared" si="15"/>
        <v>712.79404396601205</v>
      </c>
      <c r="N62" s="173">
        <f t="shared" si="17"/>
        <v>7524.0088182309937</v>
      </c>
      <c r="O62" s="173">
        <f t="shared" si="10"/>
        <v>3786.9815634477764</v>
      </c>
      <c r="P62" s="173">
        <f t="shared" si="4"/>
        <v>1281.7043950541101</v>
      </c>
      <c r="Q62" s="184">
        <f t="shared" si="11"/>
        <v>0.48695601052607301</v>
      </c>
      <c r="R62" s="196">
        <f t="shared" si="5"/>
        <v>8.5185512795006111E-3</v>
      </c>
    </row>
    <row r="63" spans="1:18">
      <c r="A63" s="96">
        <v>51</v>
      </c>
      <c r="B63" s="196">
        <f t="shared" si="0"/>
        <v>1.2861276824720084E-4</v>
      </c>
      <c r="C63" s="196">
        <f t="shared" si="1"/>
        <v>0.67132662420028377</v>
      </c>
      <c r="D63" s="196">
        <f t="shared" si="14"/>
        <v>7.9206881808609922E-2</v>
      </c>
      <c r="E63" s="96"/>
      <c r="F63" s="168"/>
      <c r="G63" s="184">
        <f t="shared" si="16"/>
        <v>8452.8901787446557</v>
      </c>
      <c r="H63" s="189"/>
      <c r="I63" s="196">
        <f t="shared" si="2"/>
        <v>4.7531587319417658E-5</v>
      </c>
      <c r="J63" s="196">
        <f t="shared" si="3"/>
        <v>0.29045021009772848</v>
      </c>
      <c r="K63" s="301">
        <v>51</v>
      </c>
      <c r="L63" s="173">
        <f t="shared" si="7"/>
        <v>10076.459601764502</v>
      </c>
      <c r="M63" s="173">
        <f t="shared" si="15"/>
        <v>604.58757610587008</v>
      </c>
      <c r="N63" s="173">
        <f t="shared" si="17"/>
        <v>6664.3732275930579</v>
      </c>
      <c r="O63" s="173">
        <f t="shared" si="10"/>
        <v>2813.8469032472617</v>
      </c>
      <c r="P63" s="173">
        <f t="shared" si="4"/>
        <v>1202.8270470300527</v>
      </c>
      <c r="Q63" s="184">
        <f t="shared" si="11"/>
        <v>0.17174743712711182</v>
      </c>
      <c r="R63" s="196">
        <f t="shared" si="5"/>
        <v>7.744137526818737E-3</v>
      </c>
    </row>
    <row r="64" spans="1:18">
      <c r="A64" s="96">
        <v>52</v>
      </c>
      <c r="B64" s="196">
        <f t="shared" si="0"/>
        <v>4.2271592710754055E-5</v>
      </c>
      <c r="C64" s="196">
        <f t="shared" si="1"/>
        <v>0.71367848099874587</v>
      </c>
      <c r="D64" s="196">
        <f t="shared" si="14"/>
        <v>7.5435125532009442E-2</v>
      </c>
      <c r="E64" s="96"/>
      <c r="F64" s="168"/>
      <c r="G64" s="184">
        <f t="shared" si="16"/>
        <v>6984.1181951116596</v>
      </c>
      <c r="H64" s="189"/>
      <c r="I64" s="196">
        <f t="shared" si="2"/>
        <v>1.3805559523203386E-5</v>
      </c>
      <c r="J64" s="196">
        <f t="shared" si="3"/>
        <v>0.24917498035243049</v>
      </c>
      <c r="K64" s="301">
        <v>52</v>
      </c>
      <c r="L64" s="173">
        <f t="shared" si="7"/>
        <v>8452.8901787446557</v>
      </c>
      <c r="M64" s="173">
        <f t="shared" si="15"/>
        <v>507.17341072467934</v>
      </c>
      <c r="N64" s="173">
        <f t="shared" si="17"/>
        <v>5814.8132061565238</v>
      </c>
      <c r="O64" s="173">
        <f t="shared" si="10"/>
        <v>2028.5385971175497</v>
      </c>
      <c r="P64" s="173">
        <f t="shared" si="4"/>
        <v>1116.7117861952615</v>
      </c>
      <c r="Q64" s="184">
        <f t="shared" si="11"/>
        <v>5.3079083776162939E-2</v>
      </c>
      <c r="R64" s="196">
        <f t="shared" si="5"/>
        <v>7.0401250243806697E-3</v>
      </c>
    </row>
    <row r="65" spans="1:18">
      <c r="A65" s="96">
        <v>53</v>
      </c>
      <c r="B65" s="196">
        <f t="shared" si="0"/>
        <v>1.2103266635545443E-5</v>
      </c>
      <c r="C65" s="196">
        <f t="shared" si="1"/>
        <v>0.75480334177467612</v>
      </c>
      <c r="D65" s="196">
        <f t="shared" si="14"/>
        <v>7.1842976697151839E-2</v>
      </c>
      <c r="E65" s="96"/>
      <c r="F65" s="168"/>
      <c r="G65" s="184">
        <f t="shared" si="16"/>
        <v>5592.2003349497518</v>
      </c>
      <c r="H65" s="189"/>
      <c r="I65" s="196">
        <f t="shared" si="2"/>
        <v>3.4400000229485134E-6</v>
      </c>
      <c r="J65" s="196">
        <f t="shared" si="3"/>
        <v>0.20974075640169382</v>
      </c>
      <c r="K65" s="301">
        <v>53</v>
      </c>
      <c r="L65" s="173">
        <f t="shared" si="7"/>
        <v>6984.1181951116596</v>
      </c>
      <c r="M65" s="173">
        <f t="shared" si="15"/>
        <v>419.04709170669958</v>
      </c>
      <c r="N65" s="173">
        <f t="shared" si="17"/>
        <v>4988.483106655658</v>
      </c>
      <c r="O65" s="173">
        <f t="shared" si="10"/>
        <v>1393.4364085879597</v>
      </c>
      <c r="P65" s="173">
        <f t="shared" si="4"/>
        <v>1021.2457715747414</v>
      </c>
      <c r="Q65" s="184">
        <f t="shared" si="11"/>
        <v>1.4098869287294861E-2</v>
      </c>
      <c r="R65" s="196">
        <f t="shared" si="5"/>
        <v>6.4001136585278805E-3</v>
      </c>
    </row>
    <row r="66" spans="1:18">
      <c r="A66" s="96">
        <v>54</v>
      </c>
      <c r="B66" s="196">
        <f t="shared" si="0"/>
        <v>2.9676805326458026E-6</v>
      </c>
      <c r="C66" s="196">
        <f t="shared" si="1"/>
        <v>0.79402001910851727</v>
      </c>
      <c r="D66" s="196">
        <f t="shared" si="14"/>
        <v>6.8421882568716036E-2</v>
      </c>
      <c r="E66" s="96"/>
      <c r="F66" s="168"/>
      <c r="G66" s="184">
        <f t="shared" si="16"/>
        <v>3927.3506457878798</v>
      </c>
      <c r="H66" s="189"/>
      <c r="I66" s="196">
        <f t="shared" si="2"/>
        <v>7.2150820683506534E-7</v>
      </c>
      <c r="J66" s="196">
        <f t="shared" si="3"/>
        <v>0.17281576109589544</v>
      </c>
      <c r="K66" s="301">
        <v>54</v>
      </c>
      <c r="L66" s="173">
        <f t="shared" si="7"/>
        <v>5592.2003349497518</v>
      </c>
      <c r="M66" s="173">
        <f t="shared" si="15"/>
        <v>335.53202009698509</v>
      </c>
      <c r="N66" s="173">
        <f t="shared" si="17"/>
        <v>4199.0099431619101</v>
      </c>
      <c r="O66" s="173">
        <f t="shared" si="10"/>
        <v>823.72549510223064</v>
      </c>
      <c r="P66" s="173">
        <f t="shared" si="4"/>
        <v>904.99691678259649</v>
      </c>
      <c r="Q66" s="184">
        <f t="shared" si="11"/>
        <v>3.1131894145004658E-3</v>
      </c>
      <c r="R66" s="196">
        <f t="shared" si="5"/>
        <v>5.8182851441162548E-3</v>
      </c>
    </row>
    <row r="67" spans="1:18">
      <c r="A67" s="96">
        <v>55</v>
      </c>
      <c r="B67" s="196">
        <f t="shared" si="0"/>
        <v>6.1128277940640755E-7</v>
      </c>
      <c r="C67" s="196">
        <f t="shared" si="1"/>
        <v>1</v>
      </c>
      <c r="D67" s="196">
        <f t="shared" si="14"/>
        <v>6.5163697684491456E-2</v>
      </c>
      <c r="E67" s="96"/>
      <c r="F67" s="168"/>
      <c r="G67" s="261"/>
      <c r="H67" s="189"/>
      <c r="I67" s="196">
        <f t="shared" si="2"/>
        <v>1.2468798990113657E-7</v>
      </c>
      <c r="J67" s="129"/>
      <c r="K67" s="301">
        <v>55</v>
      </c>
      <c r="L67" s="173">
        <f t="shared" si="7"/>
        <v>3927.3506457878798</v>
      </c>
      <c r="M67" s="173">
        <f t="shared" si="15"/>
        <v>235.64103874727277</v>
      </c>
      <c r="N67" s="173">
        <f t="shared" si="17"/>
        <v>3459.7715371398267</v>
      </c>
      <c r="O67" s="173">
        <f t="shared" si="10"/>
        <v>0</v>
      </c>
      <c r="P67" s="173">
        <f t="shared" si="4"/>
        <v>703.22014739532597</v>
      </c>
      <c r="Q67" s="184">
        <f t="shared" si="11"/>
        <v>5.0737910755749196E-4</v>
      </c>
      <c r="R67" s="196">
        <f t="shared" si="5"/>
        <v>5.2893501310147762E-3</v>
      </c>
    </row>
  </sheetData>
  <mergeCells count="2">
    <mergeCell ref="Q9:Q10"/>
    <mergeCell ref="B10:E10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1"/>
  <sheetViews>
    <sheetView zoomScale="125" zoomScaleNormal="125" zoomScalePageLayoutView="125" workbookViewId="0"/>
  </sheetViews>
  <sheetFormatPr baseColWidth="10" defaultRowHeight="12" x14ac:dyDescent="0"/>
  <cols>
    <col min="1" max="1" width="10.83203125" style="3"/>
    <col min="4" max="6" width="10.83203125" style="3"/>
    <col min="7" max="7" width="10.83203125" customWidth="1"/>
  </cols>
  <sheetData>
    <row r="1" spans="1:8" ht="15">
      <c r="A1" s="71" t="s">
        <v>31</v>
      </c>
    </row>
    <row r="3" spans="1:8">
      <c r="A3" s="52" t="s">
        <v>10</v>
      </c>
      <c r="B3" s="51">
        <v>5.0000000000000001E-4</v>
      </c>
    </row>
    <row r="4" spans="1:8">
      <c r="A4" s="52" t="s">
        <v>24</v>
      </c>
      <c r="B4" s="51">
        <v>1.07</v>
      </c>
    </row>
    <row r="5" spans="1:8">
      <c r="A5" s="9" t="s">
        <v>25</v>
      </c>
      <c r="B5" s="18">
        <f>EXP(-B3/LN(B4))</f>
        <v>0.99263720094422758</v>
      </c>
      <c r="D5" s="3" t="s">
        <v>120</v>
      </c>
    </row>
    <row r="6" spans="1:8">
      <c r="D6" s="3" t="s">
        <v>121</v>
      </c>
      <c r="E6" s="6" t="s">
        <v>58</v>
      </c>
      <c r="G6" t="s">
        <v>64</v>
      </c>
    </row>
    <row r="7" spans="1:8">
      <c r="A7" s="3" t="s">
        <v>0</v>
      </c>
      <c r="B7" s="3" t="s">
        <v>61</v>
      </c>
      <c r="C7" s="3" t="s">
        <v>62</v>
      </c>
      <c r="D7" s="3" t="s">
        <v>22</v>
      </c>
      <c r="E7" s="3" t="s">
        <v>59</v>
      </c>
      <c r="F7" s="3" t="s">
        <v>60</v>
      </c>
      <c r="G7" s="3" t="s">
        <v>59</v>
      </c>
      <c r="H7" s="3" t="s">
        <v>60</v>
      </c>
    </row>
    <row r="8" spans="1:8">
      <c r="A8" s="3">
        <v>0</v>
      </c>
      <c r="B8" s="10">
        <f>$B$5^(($B$4^50)*(($B$4^A8)-1))</f>
        <v>1</v>
      </c>
      <c r="C8" s="10">
        <f>B8^2</f>
        <v>1</v>
      </c>
      <c r="D8" s="3">
        <v>1</v>
      </c>
      <c r="E8" s="3">
        <f>B8*D8</f>
        <v>1</v>
      </c>
      <c r="F8" s="3">
        <f>C8*D8</f>
        <v>1</v>
      </c>
      <c r="G8" s="3">
        <f>2*A8*B8*D8</f>
        <v>0</v>
      </c>
      <c r="H8" s="3">
        <f>2*A8*C8*D8</f>
        <v>0</v>
      </c>
    </row>
    <row r="9" spans="1:8">
      <c r="A9" s="3">
        <v>0.1</v>
      </c>
      <c r="B9" s="10">
        <f t="shared" ref="B9:B72" si="0">$B$5^(($B$4^50)*(($B$4^A9)-1))</f>
        <v>0.99852324640972878</v>
      </c>
      <c r="C9" s="10">
        <f t="shared" ref="C9:C72" si="1">B9^2</f>
        <v>0.99704867362062399</v>
      </c>
      <c r="D9" s="3">
        <v>4</v>
      </c>
      <c r="E9" s="10">
        <f t="shared" ref="E9:E72" si="2">B9*D9</f>
        <v>3.9940929856389151</v>
      </c>
      <c r="F9" s="10">
        <f t="shared" ref="F9:F72" si="3">C9*D9</f>
        <v>3.988194694482496</v>
      </c>
      <c r="G9" s="10">
        <f t="shared" ref="G9:G72" si="4">2*A9*B9*D9</f>
        <v>0.79881859712778303</v>
      </c>
      <c r="H9" s="10">
        <f t="shared" ref="H9:H72" si="5">2*A9*C9*D9</f>
        <v>0.79763893889649928</v>
      </c>
    </row>
    <row r="10" spans="1:8">
      <c r="A10" s="3">
        <v>0.2</v>
      </c>
      <c r="B10" s="10">
        <f t="shared" si="0"/>
        <v>0.9970386704788794</v>
      </c>
      <c r="C10" s="10">
        <f t="shared" si="1"/>
        <v>0.99408611043029149</v>
      </c>
      <c r="D10" s="3">
        <f>IF(D9=4,2,4)</f>
        <v>2</v>
      </c>
      <c r="E10" s="10">
        <f t="shared" si="2"/>
        <v>1.9940773409577588</v>
      </c>
      <c r="F10" s="10">
        <f t="shared" si="3"/>
        <v>1.988172220860583</v>
      </c>
      <c r="G10" s="10">
        <f t="shared" si="4"/>
        <v>0.79763093638310356</v>
      </c>
      <c r="H10" s="10">
        <f t="shared" si="5"/>
        <v>0.79526888834423326</v>
      </c>
    </row>
    <row r="11" spans="1:8">
      <c r="A11" s="3">
        <v>0.30000000000000004</v>
      </c>
      <c r="B11" s="10">
        <f t="shared" si="0"/>
        <v>0.99554624579671369</v>
      </c>
      <c r="C11" s="10">
        <f t="shared" si="1"/>
        <v>0.99111232751993072</v>
      </c>
      <c r="D11" s="3">
        <f t="shared" ref="D11:D74" si="6">IF(D10=4,2,4)</f>
        <v>4</v>
      </c>
      <c r="E11" s="10">
        <f t="shared" si="2"/>
        <v>3.9821849831868548</v>
      </c>
      <c r="F11" s="10">
        <f t="shared" si="3"/>
        <v>3.9644493100797229</v>
      </c>
      <c r="G11" s="10">
        <f t="shared" si="4"/>
        <v>2.3893109899121132</v>
      </c>
      <c r="H11" s="10">
        <f t="shared" si="5"/>
        <v>2.3786695860478342</v>
      </c>
    </row>
    <row r="12" spans="1:8">
      <c r="A12" s="3">
        <v>0.4</v>
      </c>
      <c r="B12" s="10">
        <f t="shared" si="0"/>
        <v>0.99404594607383723</v>
      </c>
      <c r="C12" s="10">
        <f t="shared" si="1"/>
        <v>0.98812734290583015</v>
      </c>
      <c r="D12" s="3">
        <f t="shared" si="6"/>
        <v>2</v>
      </c>
      <c r="E12" s="10">
        <f t="shared" si="2"/>
        <v>1.9880918921476745</v>
      </c>
      <c r="F12" s="10">
        <f t="shared" si="3"/>
        <v>1.9762546858116603</v>
      </c>
      <c r="G12" s="10">
        <f t="shared" si="4"/>
        <v>1.5904735137181396</v>
      </c>
      <c r="H12" s="10">
        <f t="shared" si="5"/>
        <v>1.5810037486493282</v>
      </c>
    </row>
    <row r="13" spans="1:8">
      <c r="A13" s="3">
        <v>0.5</v>
      </c>
      <c r="B13" s="10">
        <f t="shared" si="0"/>
        <v>0.99253774514595861</v>
      </c>
      <c r="C13" s="10">
        <f t="shared" si="1"/>
        <v>0.98513117553942386</v>
      </c>
      <c r="D13" s="3">
        <f t="shared" si="6"/>
        <v>4</v>
      </c>
      <c r="E13" s="10">
        <f t="shared" si="2"/>
        <v>3.9701509805838344</v>
      </c>
      <c r="F13" s="10">
        <f t="shared" si="3"/>
        <v>3.9405247021576955</v>
      </c>
      <c r="G13" s="10">
        <f t="shared" si="4"/>
        <v>3.9701509805838344</v>
      </c>
      <c r="H13" s="10">
        <f t="shared" si="5"/>
        <v>3.9405247021576955</v>
      </c>
    </row>
    <row r="14" spans="1:8">
      <c r="A14" s="3">
        <v>0.6</v>
      </c>
      <c r="B14" s="10">
        <f t="shared" si="0"/>
        <v>0.99102161697769153</v>
      </c>
      <c r="C14" s="10">
        <f t="shared" si="1"/>
        <v>0.9821238453170783</v>
      </c>
      <c r="D14" s="3">
        <f t="shared" si="6"/>
        <v>2</v>
      </c>
      <c r="E14" s="10">
        <f t="shared" si="2"/>
        <v>1.9820432339553831</v>
      </c>
      <c r="F14" s="10">
        <f t="shared" si="3"/>
        <v>1.9642476906341566</v>
      </c>
      <c r="G14" s="10">
        <f t="shared" si="4"/>
        <v>2.3784518807464594</v>
      </c>
      <c r="H14" s="10">
        <f t="shared" si="5"/>
        <v>2.3570972287609879</v>
      </c>
    </row>
    <row r="15" spans="1:8">
      <c r="A15" s="3">
        <v>0.70000000000000007</v>
      </c>
      <c r="B15" s="10">
        <f t="shared" si="0"/>
        <v>0.98949753566640442</v>
      </c>
      <c r="C15" s="10">
        <f t="shared" si="1"/>
        <v>0.97910537308988732</v>
      </c>
      <c r="D15" s="3">
        <f t="shared" si="6"/>
        <v>4</v>
      </c>
      <c r="E15" s="10">
        <f t="shared" si="2"/>
        <v>3.9579901426656177</v>
      </c>
      <c r="F15" s="10">
        <f t="shared" si="3"/>
        <v>3.9164214923595493</v>
      </c>
      <c r="G15" s="10">
        <f t="shared" si="4"/>
        <v>5.5411861997318654</v>
      </c>
      <c r="H15" s="10">
        <f t="shared" si="5"/>
        <v>5.4829900893033692</v>
      </c>
    </row>
    <row r="16" spans="1:8">
      <c r="A16" s="3">
        <v>0.8</v>
      </c>
      <c r="B16" s="10">
        <f t="shared" si="0"/>
        <v>0.98796547544611324</v>
      </c>
      <c r="C16" s="10">
        <f t="shared" si="1"/>
        <v>0.97607578067346457</v>
      </c>
      <c r="D16" s="3">
        <f t="shared" si="6"/>
        <v>2</v>
      </c>
      <c r="E16" s="10">
        <f t="shared" si="2"/>
        <v>1.9759309508922265</v>
      </c>
      <c r="F16" s="10">
        <f t="shared" si="3"/>
        <v>1.9521515613469291</v>
      </c>
      <c r="G16" s="10">
        <f t="shared" si="4"/>
        <v>3.1614895214275625</v>
      </c>
      <c r="H16" s="10">
        <f t="shared" si="5"/>
        <v>3.1234424981550868</v>
      </c>
    </row>
    <row r="17" spans="1:8">
      <c r="A17" s="3">
        <v>0.9</v>
      </c>
      <c r="B17" s="10">
        <f t="shared" si="0"/>
        <v>0.98642541069142209</v>
      </c>
      <c r="C17" s="10">
        <f t="shared" si="1"/>
        <v>0.97303509085774076</v>
      </c>
      <c r="D17" s="3">
        <f t="shared" si="6"/>
        <v>4</v>
      </c>
      <c r="E17" s="10">
        <f t="shared" si="2"/>
        <v>3.9457016427656884</v>
      </c>
      <c r="F17" s="10">
        <f t="shared" si="3"/>
        <v>3.892140363430963</v>
      </c>
      <c r="G17" s="10">
        <f t="shared" si="4"/>
        <v>7.1022629569782394</v>
      </c>
      <c r="H17" s="10">
        <f t="shared" si="5"/>
        <v>7.005852654175734</v>
      </c>
    </row>
    <row r="18" spans="1:8">
      <c r="A18" s="3">
        <v>1</v>
      </c>
      <c r="B18" s="10">
        <f t="shared" si="0"/>
        <v>0.98487731592150829</v>
      </c>
      <c r="C18" s="10">
        <f t="shared" si="1"/>
        <v>0.96998332741675442</v>
      </c>
      <c r="D18" s="3">
        <f t="shared" si="6"/>
        <v>2</v>
      </c>
      <c r="E18" s="10">
        <f t="shared" si="2"/>
        <v>1.9697546318430166</v>
      </c>
      <c r="F18" s="10">
        <f t="shared" si="3"/>
        <v>1.9399666548335088</v>
      </c>
      <c r="G18" s="10">
        <f t="shared" si="4"/>
        <v>3.9395092636860332</v>
      </c>
      <c r="H18" s="10">
        <f t="shared" si="5"/>
        <v>3.8799333096670177</v>
      </c>
    </row>
    <row r="19" spans="1:8">
      <c r="A19" s="3">
        <v>1.1000000000000001</v>
      </c>
      <c r="B19" s="10">
        <f t="shared" si="0"/>
        <v>0.98332116580415418</v>
      </c>
      <c r="C19" s="10">
        <f t="shared" si="1"/>
        <v>0.9669205151184409</v>
      </c>
      <c r="D19" s="3">
        <f t="shared" si="6"/>
        <v>4</v>
      </c>
      <c r="E19" s="10">
        <f t="shared" si="2"/>
        <v>3.9332846632166167</v>
      </c>
      <c r="F19" s="10">
        <f t="shared" si="3"/>
        <v>3.8676820604737636</v>
      </c>
      <c r="G19" s="10">
        <f t="shared" si="4"/>
        <v>8.6532262590765576</v>
      </c>
      <c r="H19" s="10">
        <f t="shared" si="5"/>
        <v>8.5089005330422811</v>
      </c>
    </row>
    <row r="20" spans="1:8">
      <c r="A20" s="3">
        <v>1.2000000000000002</v>
      </c>
      <c r="B20" s="10">
        <f t="shared" si="0"/>
        <v>0.98175693515982543</v>
      </c>
      <c r="C20" s="10">
        <f t="shared" si="1"/>
        <v>0.96384667973441362</v>
      </c>
      <c r="D20" s="3">
        <f t="shared" si="6"/>
        <v>2</v>
      </c>
      <c r="E20" s="10">
        <f t="shared" si="2"/>
        <v>1.9635138703196509</v>
      </c>
      <c r="F20" s="10">
        <f t="shared" si="3"/>
        <v>1.9276933594688272</v>
      </c>
      <c r="G20" s="10">
        <f t="shared" si="4"/>
        <v>4.7124332887671629</v>
      </c>
      <c r="H20" s="10">
        <f t="shared" si="5"/>
        <v>4.6264640627251863</v>
      </c>
    </row>
    <row r="21" spans="1:8">
      <c r="A21" s="3">
        <v>1.3000000000000003</v>
      </c>
      <c r="B21" s="10">
        <f t="shared" si="0"/>
        <v>0.98018459896579502</v>
      </c>
      <c r="C21" s="10">
        <f t="shared" si="1"/>
        <v>0.96076184804973641</v>
      </c>
      <c r="D21" s="3">
        <f t="shared" si="6"/>
        <v>4</v>
      </c>
      <c r="E21" s="10">
        <f t="shared" si="2"/>
        <v>3.9207383958631801</v>
      </c>
      <c r="F21" s="10">
        <f t="shared" si="3"/>
        <v>3.8430473921989456</v>
      </c>
      <c r="G21" s="10">
        <f t="shared" si="4"/>
        <v>10.193919829244271</v>
      </c>
      <c r="H21" s="10">
        <f t="shared" si="5"/>
        <v>9.9919232197172612</v>
      </c>
    </row>
    <row r="22" spans="1:8">
      <c r="A22" s="3">
        <v>1.4000000000000001</v>
      </c>
      <c r="B22" s="10">
        <f t="shared" si="0"/>
        <v>0.9786041323603154</v>
      </c>
      <c r="C22" s="10">
        <f t="shared" si="1"/>
        <v>0.95766604787268572</v>
      </c>
      <c r="D22" s="3">
        <f t="shared" si="6"/>
        <v>2</v>
      </c>
      <c r="E22" s="10">
        <f t="shared" si="2"/>
        <v>1.9572082647206308</v>
      </c>
      <c r="F22" s="10">
        <f t="shared" si="3"/>
        <v>1.9153320957453714</v>
      </c>
      <c r="G22" s="10">
        <f t="shared" si="4"/>
        <v>5.4801831412177666</v>
      </c>
      <c r="H22" s="10">
        <f t="shared" si="5"/>
        <v>5.3629298680870408</v>
      </c>
    </row>
    <row r="23" spans="1:8">
      <c r="A23" s="3">
        <v>1.5000000000000002</v>
      </c>
      <c r="B23" s="10">
        <f t="shared" si="0"/>
        <v>0.97701551064683645</v>
      </c>
      <c r="C23" s="10">
        <f t="shared" si="1"/>
        <v>0.95455930804449862</v>
      </c>
      <c r="D23" s="3">
        <f t="shared" si="6"/>
        <v>4</v>
      </c>
      <c r="E23" s="10">
        <f t="shared" si="2"/>
        <v>3.9080620425873458</v>
      </c>
      <c r="F23" s="10">
        <f t="shared" si="3"/>
        <v>3.8182372321779945</v>
      </c>
      <c r="G23" s="10">
        <f t="shared" si="4"/>
        <v>11.724186127762039</v>
      </c>
      <c r="H23" s="10">
        <f t="shared" si="5"/>
        <v>11.454711696533986</v>
      </c>
    </row>
    <row r="24" spans="1:8">
      <c r="A24" s="3">
        <v>1.6</v>
      </c>
      <c r="B24" s="10">
        <f t="shared" si="0"/>
        <v>0.97541870929827101</v>
      </c>
      <c r="C24" s="10">
        <f t="shared" si="1"/>
        <v>0.95144165844910489</v>
      </c>
      <c r="D24" s="3">
        <f t="shared" si="6"/>
        <v>2</v>
      </c>
      <c r="E24" s="10">
        <f t="shared" si="2"/>
        <v>1.950837418596542</v>
      </c>
      <c r="F24" s="10">
        <f t="shared" si="3"/>
        <v>1.9028833168982098</v>
      </c>
      <c r="G24" s="10">
        <f t="shared" si="4"/>
        <v>6.2426797395089348</v>
      </c>
      <c r="H24" s="10">
        <f t="shared" si="5"/>
        <v>6.0892266140742715</v>
      </c>
    </row>
    <row r="25" spans="1:8">
      <c r="A25" s="3">
        <v>1.7000000000000002</v>
      </c>
      <c r="B25" s="10">
        <f t="shared" si="0"/>
        <v>0.97381370396130751</v>
      </c>
      <c r="C25" s="10">
        <f t="shared" si="1"/>
        <v>0.94831313002284101</v>
      </c>
      <c r="D25" s="3">
        <f t="shared" si="6"/>
        <v>4</v>
      </c>
      <c r="E25" s="10">
        <f t="shared" si="2"/>
        <v>3.89525481584523</v>
      </c>
      <c r="F25" s="10">
        <f t="shared" si="3"/>
        <v>3.793252520091364</v>
      </c>
      <c r="G25" s="10">
        <f t="shared" si="4"/>
        <v>13.243866373873784</v>
      </c>
      <c r="H25" s="10">
        <f t="shared" si="5"/>
        <v>12.897058568310639</v>
      </c>
    </row>
    <row r="26" spans="1:8">
      <c r="A26" s="3">
        <v>1.8000000000000003</v>
      </c>
      <c r="B26" s="10">
        <f t="shared" si="0"/>
        <v>0.97220047046077063</v>
      </c>
      <c r="C26" s="10">
        <f t="shared" si="1"/>
        <v>0.94517375476414378</v>
      </c>
      <c r="D26" s="3">
        <f t="shared" si="6"/>
        <v>2</v>
      </c>
      <c r="E26" s="10">
        <f t="shared" si="2"/>
        <v>1.9444009409215413</v>
      </c>
      <c r="F26" s="10">
        <f t="shared" si="3"/>
        <v>1.8903475095282876</v>
      </c>
      <c r="G26" s="10">
        <f t="shared" si="4"/>
        <v>6.9998433873175498</v>
      </c>
      <c r="H26" s="10">
        <f t="shared" si="5"/>
        <v>6.8052510343018362</v>
      </c>
    </row>
    <row r="27" spans="1:8">
      <c r="A27" s="3">
        <v>1.9000000000000001</v>
      </c>
      <c r="B27" s="10">
        <f t="shared" si="0"/>
        <v>0.97057898480402927</v>
      </c>
      <c r="C27" s="10">
        <f t="shared" si="1"/>
        <v>0.9420235657432201</v>
      </c>
      <c r="D27" s="3">
        <f t="shared" si="6"/>
        <v>4</v>
      </c>
      <c r="E27" s="10">
        <f t="shared" si="2"/>
        <v>3.8823159392161171</v>
      </c>
      <c r="F27" s="10">
        <f t="shared" si="3"/>
        <v>3.7680942629728804</v>
      </c>
      <c r="G27" s="10">
        <f t="shared" si="4"/>
        <v>14.752800569021247</v>
      </c>
      <c r="H27" s="10">
        <f t="shared" si="5"/>
        <v>14.318758199296946</v>
      </c>
    </row>
    <row r="28" spans="1:8">
      <c r="A28" s="3">
        <v>2</v>
      </c>
      <c r="B28" s="10">
        <f t="shared" si="0"/>
        <v>0.96894922318545185</v>
      </c>
      <c r="C28" s="10">
        <f t="shared" si="1"/>
        <v>0.93886259711169062</v>
      </c>
      <c r="D28" s="3">
        <f t="shared" si="6"/>
        <v>2</v>
      </c>
      <c r="E28" s="10">
        <f t="shared" si="2"/>
        <v>1.9378984463709037</v>
      </c>
      <c r="F28" s="10">
        <f t="shared" si="3"/>
        <v>1.8777251942233812</v>
      </c>
      <c r="G28" s="10">
        <f t="shared" si="4"/>
        <v>7.7515937854836148</v>
      </c>
      <c r="H28" s="10">
        <f t="shared" si="5"/>
        <v>7.510900776893525</v>
      </c>
    </row>
    <row r="29" spans="1:8">
      <c r="A29" s="3">
        <v>2.1</v>
      </c>
      <c r="B29" s="10">
        <f t="shared" si="0"/>
        <v>0.96731116199091094</v>
      </c>
      <c r="C29" s="10">
        <f t="shared" si="1"/>
        <v>0.93569088411220636</v>
      </c>
      <c r="D29" s="3">
        <f t="shared" si="6"/>
        <v>4</v>
      </c>
      <c r="E29" s="10">
        <f t="shared" si="2"/>
        <v>3.8692446479636438</v>
      </c>
      <c r="F29" s="10">
        <f t="shared" si="3"/>
        <v>3.7427635364488254</v>
      </c>
      <c r="G29" s="10">
        <f t="shared" si="4"/>
        <v>16.250827521447306</v>
      </c>
      <c r="H29" s="10">
        <f t="shared" si="5"/>
        <v>15.719606853085068</v>
      </c>
    </row>
    <row r="30" spans="1:8">
      <c r="A30" s="3">
        <v>2.2000000000000002</v>
      </c>
      <c r="B30" s="10">
        <f t="shared" si="0"/>
        <v>0.96566477780233473</v>
      </c>
      <c r="C30" s="10">
        <f t="shared" si="1"/>
        <v>0.93250846308803248</v>
      </c>
      <c r="D30" s="3">
        <f t="shared" si="6"/>
        <v>2</v>
      </c>
      <c r="E30" s="10">
        <f t="shared" si="2"/>
        <v>1.9313295556046695</v>
      </c>
      <c r="F30" s="10">
        <f t="shared" si="3"/>
        <v>1.865016926176065</v>
      </c>
      <c r="G30" s="10">
        <f t="shared" si="4"/>
        <v>8.4978500446605469</v>
      </c>
      <c r="H30" s="10">
        <f t="shared" si="5"/>
        <v>8.2060744751746864</v>
      </c>
    </row>
    <row r="31" spans="1:8">
      <c r="A31" s="3">
        <v>2.3000000000000003</v>
      </c>
      <c r="B31" s="10">
        <f t="shared" si="0"/>
        <v>0.96401004740230767</v>
      </c>
      <c r="C31" s="10">
        <f t="shared" si="1"/>
        <v>0.92931537149259946</v>
      </c>
      <c r="D31" s="3">
        <f t="shared" si="6"/>
        <v>4</v>
      </c>
      <c r="E31" s="10">
        <f t="shared" si="2"/>
        <v>3.8560401896092307</v>
      </c>
      <c r="F31" s="10">
        <f t="shared" si="3"/>
        <v>3.7172614859703978</v>
      </c>
      <c r="G31" s="10">
        <f t="shared" si="4"/>
        <v>17.737784872202464</v>
      </c>
      <c r="H31" s="10">
        <f t="shared" si="5"/>
        <v>17.099402835463831</v>
      </c>
    </row>
    <row r="32" spans="1:8">
      <c r="A32" s="3">
        <v>2.4000000000000004</v>
      </c>
      <c r="B32" s="10">
        <f t="shared" si="0"/>
        <v>0.96234694777871865</v>
      </c>
      <c r="C32" s="10">
        <f t="shared" si="1"/>
        <v>0.9261116478990159</v>
      </c>
      <c r="D32" s="3">
        <f t="shared" si="6"/>
        <v>2</v>
      </c>
      <c r="E32" s="10">
        <f t="shared" si="2"/>
        <v>1.9246938955574373</v>
      </c>
      <c r="F32" s="10">
        <f t="shared" si="3"/>
        <v>1.8522232957980318</v>
      </c>
      <c r="G32" s="10">
        <f t="shared" si="4"/>
        <v>9.2385306986757012</v>
      </c>
      <c r="H32" s="10">
        <f t="shared" si="5"/>
        <v>8.8906718198305548</v>
      </c>
    </row>
    <row r="33" spans="1:8">
      <c r="A33" s="3">
        <v>2.5000000000000004</v>
      </c>
      <c r="B33" s="10">
        <f t="shared" si="0"/>
        <v>0.96067545612945926</v>
      </c>
      <c r="C33" s="10">
        <f t="shared" si="1"/>
        <v>0.9228973320095446</v>
      </c>
      <c r="D33" s="3">
        <f t="shared" si="6"/>
        <v>4</v>
      </c>
      <c r="E33" s="10">
        <f t="shared" si="2"/>
        <v>3.842701824517837</v>
      </c>
      <c r="F33" s="10">
        <f t="shared" si="3"/>
        <v>3.6915893280381784</v>
      </c>
      <c r="G33" s="10">
        <f t="shared" si="4"/>
        <v>19.213509122589187</v>
      </c>
      <c r="H33" s="10">
        <f t="shared" si="5"/>
        <v>18.457946640190894</v>
      </c>
    </row>
    <row r="34" spans="1:8">
      <c r="A34" s="3">
        <v>2.6</v>
      </c>
      <c r="B34" s="10">
        <f t="shared" si="0"/>
        <v>0.95899554986716873</v>
      </c>
      <c r="C34" s="10">
        <f t="shared" si="1"/>
        <v>0.91967246466503327</v>
      </c>
      <c r="D34" s="3">
        <f t="shared" si="6"/>
        <v>2</v>
      </c>
      <c r="E34" s="10">
        <f t="shared" si="2"/>
        <v>1.9179910997343375</v>
      </c>
      <c r="F34" s="10">
        <f t="shared" si="3"/>
        <v>1.8393449293300665</v>
      </c>
      <c r="G34" s="10">
        <f t="shared" si="4"/>
        <v>9.9735537186185557</v>
      </c>
      <c r="H34" s="10">
        <f t="shared" si="5"/>
        <v>9.5645936325163472</v>
      </c>
    </row>
    <row r="35" spans="1:8">
      <c r="A35" s="3">
        <v>2.7</v>
      </c>
      <c r="B35" s="10">
        <f t="shared" si="0"/>
        <v>0.95730720662402957</v>
      </c>
      <c r="C35" s="10">
        <f t="shared" si="1"/>
        <v>0.91643708785430245</v>
      </c>
      <c r="D35" s="3">
        <f t="shared" si="6"/>
        <v>4</v>
      </c>
      <c r="E35" s="10">
        <f t="shared" si="2"/>
        <v>3.8292288264961183</v>
      </c>
      <c r="F35" s="10">
        <f t="shared" si="3"/>
        <v>3.6657483514172098</v>
      </c>
      <c r="G35" s="10">
        <f t="shared" si="4"/>
        <v>20.677835663079041</v>
      </c>
      <c r="H35" s="10">
        <f t="shared" si="5"/>
        <v>19.795041097652934</v>
      </c>
    </row>
    <row r="36" spans="1:8">
      <c r="A36" s="3">
        <v>2.8000000000000003</v>
      </c>
      <c r="B36" s="10">
        <f t="shared" si="0"/>
        <v>0.95561040425661059</v>
      </c>
      <c r="C36" s="10">
        <f t="shared" si="1"/>
        <v>0.91319124472348268</v>
      </c>
      <c r="D36" s="3">
        <f t="shared" si="6"/>
        <v>2</v>
      </c>
      <c r="E36" s="10">
        <f t="shared" si="2"/>
        <v>1.9112208085132212</v>
      </c>
      <c r="F36" s="10">
        <f t="shared" si="3"/>
        <v>1.8263824894469654</v>
      </c>
      <c r="G36" s="10">
        <f t="shared" si="4"/>
        <v>10.702836527674039</v>
      </c>
      <c r="H36" s="10">
        <f t="shared" si="5"/>
        <v>10.227741940903007</v>
      </c>
    </row>
    <row r="37" spans="1:8">
      <c r="A37" s="3">
        <v>2.9000000000000004</v>
      </c>
      <c r="B37" s="10">
        <f t="shared" si="0"/>
        <v>0.9539051208507604</v>
      </c>
      <c r="C37" s="10">
        <f t="shared" si="1"/>
        <v>0.90993497958530378</v>
      </c>
      <c r="D37" s="3">
        <f t="shared" si="6"/>
        <v>4</v>
      </c>
      <c r="E37" s="10">
        <f t="shared" si="2"/>
        <v>3.8156204834030416</v>
      </c>
      <c r="F37" s="10">
        <f t="shared" si="3"/>
        <v>3.6397399183412151</v>
      </c>
      <c r="G37" s="10">
        <f t="shared" si="4"/>
        <v>22.130598803737644</v>
      </c>
      <c r="H37" s="10">
        <f t="shared" si="5"/>
        <v>21.11049152637905</v>
      </c>
    </row>
    <row r="38" spans="1:8">
      <c r="A38" s="3">
        <v>3.0000000000000004</v>
      </c>
      <c r="B38" s="10">
        <f t="shared" si="0"/>
        <v>0.9521913347265486</v>
      </c>
      <c r="C38" s="10">
        <f t="shared" si="1"/>
        <v>0.90666833792832613</v>
      </c>
      <c r="D38" s="3">
        <f t="shared" si="6"/>
        <v>2</v>
      </c>
      <c r="E38" s="10">
        <f t="shared" si="2"/>
        <v>1.9043826694530972</v>
      </c>
      <c r="F38" s="10">
        <f t="shared" si="3"/>
        <v>1.8133366758566523</v>
      </c>
      <c r="G38" s="10">
        <f t="shared" si="4"/>
        <v>11.426296016718585</v>
      </c>
      <c r="H38" s="10">
        <f t="shared" si="5"/>
        <v>10.880020055139916</v>
      </c>
    </row>
    <row r="39" spans="1:8">
      <c r="A39" s="3">
        <v>3.1</v>
      </c>
      <c r="B39" s="10">
        <f t="shared" si="0"/>
        <v>0.95046902444325698</v>
      </c>
      <c r="C39" s="10">
        <f t="shared" si="1"/>
        <v>0.90339136642611662</v>
      </c>
      <c r="D39" s="3">
        <f t="shared" si="6"/>
        <v>4</v>
      </c>
      <c r="E39" s="10">
        <f t="shared" si="2"/>
        <v>3.8018760977730279</v>
      </c>
      <c r="F39" s="10">
        <f t="shared" si="3"/>
        <v>3.6135654657044665</v>
      </c>
      <c r="G39" s="10">
        <f t="shared" si="4"/>
        <v>23.571631806192773</v>
      </c>
      <c r="H39" s="10">
        <f t="shared" si="5"/>
        <v>22.404105887367692</v>
      </c>
    </row>
    <row r="40" spans="1:8">
      <c r="A40" s="3">
        <v>3.2</v>
      </c>
      <c r="B40" s="10">
        <f t="shared" si="0"/>
        <v>0.94873816880442008</v>
      </c>
      <c r="C40" s="10">
        <f t="shared" si="1"/>
        <v>0.90010411294636428</v>
      </c>
      <c r="D40" s="3">
        <f t="shared" si="6"/>
        <v>2</v>
      </c>
      <c r="E40" s="10">
        <f t="shared" si="2"/>
        <v>1.8974763376088402</v>
      </c>
      <c r="F40" s="10">
        <f t="shared" si="3"/>
        <v>1.8002082258927286</v>
      </c>
      <c r="G40" s="10">
        <f t="shared" si="4"/>
        <v>12.143848560696577</v>
      </c>
      <c r="H40" s="10">
        <f t="shared" si="5"/>
        <v>11.521332645713464</v>
      </c>
    </row>
    <row r="41" spans="1:8">
      <c r="A41" s="3">
        <v>3.3000000000000003</v>
      </c>
      <c r="B41" s="10">
        <f t="shared" si="0"/>
        <v>0.9469987468629143</v>
      </c>
      <c r="C41" s="10">
        <f t="shared" si="1"/>
        <v>0.89680662655993004</v>
      </c>
      <c r="D41" s="3">
        <f t="shared" si="6"/>
        <v>4</v>
      </c>
      <c r="E41" s="10">
        <f t="shared" si="2"/>
        <v>3.7879949874516572</v>
      </c>
      <c r="F41" s="10">
        <f t="shared" si="3"/>
        <v>3.5872265062397202</v>
      </c>
      <c r="G41" s="10">
        <f t="shared" si="4"/>
        <v>25.00076691718094</v>
      </c>
      <c r="H41" s="10">
        <f t="shared" si="5"/>
        <v>23.675694941182154</v>
      </c>
    </row>
    <row r="42" spans="1:8">
      <c r="A42" s="3">
        <v>3.4000000000000004</v>
      </c>
      <c r="B42" s="10">
        <f t="shared" si="0"/>
        <v>0.94525073792609726</v>
      </c>
      <c r="C42" s="10">
        <f t="shared" si="1"/>
        <v>0.89349895754983144</v>
      </c>
      <c r="D42" s="3">
        <f t="shared" si="6"/>
        <v>2</v>
      </c>
      <c r="E42" s="10">
        <f t="shared" si="2"/>
        <v>1.8905014758521945</v>
      </c>
      <c r="F42" s="10">
        <f t="shared" si="3"/>
        <v>1.7869979150996629</v>
      </c>
      <c r="G42" s="10">
        <f t="shared" si="4"/>
        <v>12.855410035794923</v>
      </c>
      <c r="H42" s="10">
        <f t="shared" si="5"/>
        <v>12.151585822677708</v>
      </c>
    </row>
    <row r="43" spans="1:8">
      <c r="A43" s="3">
        <v>3.5000000000000004</v>
      </c>
      <c r="B43" s="10">
        <f t="shared" si="0"/>
        <v>0.94349412156099577</v>
      </c>
      <c r="C43" s="10">
        <f t="shared" si="1"/>
        <v>0.89018115742015502</v>
      </c>
      <c r="D43" s="3">
        <f t="shared" si="6"/>
        <v>4</v>
      </c>
      <c r="E43" s="10">
        <f t="shared" si="2"/>
        <v>3.7739764862439831</v>
      </c>
      <c r="F43" s="10">
        <f t="shared" si="3"/>
        <v>3.5607246296806201</v>
      </c>
      <c r="G43" s="10">
        <f t="shared" si="4"/>
        <v>26.417835403707883</v>
      </c>
      <c r="H43" s="10">
        <f t="shared" si="5"/>
        <v>24.925072407764343</v>
      </c>
    </row>
    <row r="44" spans="1:8">
      <c r="A44" s="3">
        <v>3.6</v>
      </c>
      <c r="B44" s="10">
        <f t="shared" si="0"/>
        <v>0.94172887759954393</v>
      </c>
      <c r="C44" s="10">
        <f t="shared" si="1"/>
        <v>0.88685327890489685</v>
      </c>
      <c r="D44" s="3">
        <f t="shared" si="6"/>
        <v>2</v>
      </c>
      <c r="E44" s="10">
        <f t="shared" si="2"/>
        <v>1.8834577551990879</v>
      </c>
      <c r="F44" s="10">
        <f t="shared" si="3"/>
        <v>1.7737065578097937</v>
      </c>
      <c r="G44" s="10">
        <f t="shared" si="4"/>
        <v>13.560895837433433</v>
      </c>
      <c r="H44" s="10">
        <f t="shared" si="5"/>
        <v>12.770687216230515</v>
      </c>
    </row>
    <row r="45" spans="1:8">
      <c r="A45" s="3">
        <v>3.7</v>
      </c>
      <c r="B45" s="10">
        <f t="shared" si="0"/>
        <v>0.93995498614387063</v>
      </c>
      <c r="C45" s="10">
        <f t="shared" si="1"/>
        <v>0.88351537597672403</v>
      </c>
      <c r="D45" s="3">
        <f t="shared" si="6"/>
        <v>4</v>
      </c>
      <c r="E45" s="10">
        <f t="shared" si="2"/>
        <v>3.7598199445754825</v>
      </c>
      <c r="F45" s="10">
        <f t="shared" si="3"/>
        <v>3.5340615039068961</v>
      </c>
      <c r="G45" s="10">
        <f t="shared" si="4"/>
        <v>27.822667589858572</v>
      </c>
      <c r="H45" s="10">
        <f t="shared" si="5"/>
        <v>26.152055128911034</v>
      </c>
    </row>
    <row r="46" spans="1:8">
      <c r="A46" s="3">
        <v>3.8000000000000003</v>
      </c>
      <c r="B46" s="10">
        <f t="shared" si="0"/>
        <v>0.93817242757163566</v>
      </c>
      <c r="C46" s="10">
        <f t="shared" si="1"/>
        <v>0.88016750385565601</v>
      </c>
      <c r="D46" s="3">
        <f t="shared" si="6"/>
        <v>2</v>
      </c>
      <c r="E46" s="10">
        <f t="shared" si="2"/>
        <v>1.8763448551432713</v>
      </c>
      <c r="F46" s="10">
        <f t="shared" si="3"/>
        <v>1.760335007711312</v>
      </c>
      <c r="G46" s="10">
        <f t="shared" si="4"/>
        <v>14.260220899088862</v>
      </c>
      <c r="H46" s="10">
        <f t="shared" si="5"/>
        <v>13.378546058605972</v>
      </c>
    </row>
    <row r="47" spans="1:8">
      <c r="A47" s="3">
        <v>3.9000000000000004</v>
      </c>
      <c r="B47" s="10">
        <f t="shared" si="0"/>
        <v>0.93638118254141633</v>
      </c>
      <c r="C47" s="10">
        <f t="shared" si="1"/>
        <v>0.87680971901766125</v>
      </c>
      <c r="D47" s="3">
        <f t="shared" si="6"/>
        <v>4</v>
      </c>
      <c r="E47" s="10">
        <f t="shared" si="2"/>
        <v>3.7455247301656653</v>
      </c>
      <c r="F47" s="10">
        <f t="shared" si="3"/>
        <v>3.507238876070645</v>
      </c>
      <c r="G47" s="10">
        <f t="shared" si="4"/>
        <v>29.215092895292191</v>
      </c>
      <c r="H47" s="10">
        <f t="shared" si="5"/>
        <v>27.356463233351032</v>
      </c>
    </row>
    <row r="48" spans="1:8">
      <c r="A48" s="3">
        <v>4</v>
      </c>
      <c r="B48" s="10">
        <f t="shared" si="0"/>
        <v>0.93458123199814369</v>
      </c>
      <c r="C48" s="10">
        <f t="shared" si="1"/>
        <v>0.87344207920316808</v>
      </c>
      <c r="D48" s="3">
        <f t="shared" si="6"/>
        <v>2</v>
      </c>
      <c r="E48" s="10">
        <f t="shared" si="2"/>
        <v>1.8691624639962874</v>
      </c>
      <c r="F48" s="10">
        <f t="shared" si="3"/>
        <v>1.7468841584063362</v>
      </c>
      <c r="G48" s="10">
        <f t="shared" si="4"/>
        <v>14.953299711970299</v>
      </c>
      <c r="H48" s="10">
        <f t="shared" si="5"/>
        <v>13.975073267250689</v>
      </c>
    </row>
    <row r="49" spans="1:8">
      <c r="A49" s="3">
        <v>4.0999999999999996</v>
      </c>
      <c r="B49" s="10">
        <f t="shared" si="0"/>
        <v>0.93277255717858643</v>
      </c>
      <c r="C49" s="10">
        <f t="shared" si="1"/>
        <v>0.87006464342547929</v>
      </c>
      <c r="D49" s="3">
        <f t="shared" si="6"/>
        <v>4</v>
      </c>
      <c r="E49" s="10">
        <f t="shared" si="2"/>
        <v>3.7310902287143457</v>
      </c>
      <c r="F49" s="10">
        <f t="shared" si="3"/>
        <v>3.4802585737019172</v>
      </c>
      <c r="G49" s="10">
        <f t="shared" si="4"/>
        <v>30.594939875457634</v>
      </c>
      <c r="H49" s="10">
        <f t="shared" si="5"/>
        <v>28.538120304355719</v>
      </c>
    </row>
    <row r="50" spans="1:8">
      <c r="A50" s="3">
        <v>4.2</v>
      </c>
      <c r="B50" s="10">
        <f t="shared" si="0"/>
        <v>0.93095513961688703</v>
      </c>
      <c r="C50" s="10">
        <f t="shared" si="1"/>
        <v>0.86667747197909761</v>
      </c>
      <c r="D50" s="3">
        <f t="shared" si="6"/>
        <v>2</v>
      </c>
      <c r="E50" s="10">
        <f t="shared" si="2"/>
        <v>1.8619102792337741</v>
      </c>
      <c r="F50" s="10">
        <f t="shared" si="3"/>
        <v>1.7333549439581952</v>
      </c>
      <c r="G50" s="10">
        <f t="shared" si="4"/>
        <v>15.640046345563702</v>
      </c>
      <c r="H50" s="10">
        <f t="shared" si="5"/>
        <v>14.56018152924884</v>
      </c>
    </row>
    <row r="51" spans="1:8">
      <c r="A51" s="3">
        <v>4.3</v>
      </c>
      <c r="B51" s="10">
        <f t="shared" si="0"/>
        <v>0.92912896115014443</v>
      </c>
      <c r="C51" s="10">
        <f t="shared" si="1"/>
        <v>0.86328062644794656</v>
      </c>
      <c r="D51" s="3">
        <f t="shared" si="6"/>
        <v>4</v>
      </c>
      <c r="E51" s="10">
        <f t="shared" si="2"/>
        <v>3.7165158446005777</v>
      </c>
      <c r="F51" s="10">
        <f t="shared" si="3"/>
        <v>3.4531225057917863</v>
      </c>
      <c r="G51" s="10">
        <f t="shared" si="4"/>
        <v>31.962036263564968</v>
      </c>
      <c r="H51" s="10">
        <f t="shared" si="5"/>
        <v>29.696853549809362</v>
      </c>
    </row>
    <row r="52" spans="1:8">
      <c r="A52" s="3">
        <v>4.3999999999999995</v>
      </c>
      <c r="B52" s="10">
        <f t="shared" si="0"/>
        <v>0.92729400392404815</v>
      </c>
      <c r="C52" s="10">
        <f t="shared" si="1"/>
        <v>0.85987416971349262</v>
      </c>
      <c r="D52" s="3">
        <f t="shared" si="6"/>
        <v>2</v>
      </c>
      <c r="E52" s="10">
        <f t="shared" si="2"/>
        <v>1.8545880078480963</v>
      </c>
      <c r="F52" s="10">
        <f t="shared" si="3"/>
        <v>1.7197483394269852</v>
      </c>
      <c r="G52" s="10">
        <f t="shared" si="4"/>
        <v>16.320374469063246</v>
      </c>
      <c r="H52" s="10">
        <f t="shared" si="5"/>
        <v>15.133785386957468</v>
      </c>
    </row>
    <row r="53" spans="1:8">
      <c r="A53" s="3">
        <v>4.5</v>
      </c>
      <c r="B53" s="10">
        <f t="shared" si="0"/>
        <v>0.92545025039856044</v>
      </c>
      <c r="C53" s="10">
        <f t="shared" si="1"/>
        <v>0.85645816596275826</v>
      </c>
      <c r="D53" s="3">
        <f t="shared" si="6"/>
        <v>4</v>
      </c>
      <c r="E53" s="10">
        <f t="shared" si="2"/>
        <v>3.7018010015942417</v>
      </c>
      <c r="F53" s="10">
        <f t="shared" si="3"/>
        <v>3.425832663851033</v>
      </c>
      <c r="G53" s="10">
        <f t="shared" si="4"/>
        <v>33.316209014348175</v>
      </c>
      <c r="H53" s="10">
        <f t="shared" si="5"/>
        <v>30.832493974659297</v>
      </c>
    </row>
    <row r="54" spans="1:8">
      <c r="A54" s="3">
        <v>4.5999999999999996</v>
      </c>
      <c r="B54" s="10">
        <f t="shared" si="0"/>
        <v>0.92359768335364822</v>
      </c>
      <c r="C54" s="10">
        <f t="shared" si="1"/>
        <v>0.85303268069622584</v>
      </c>
      <c r="D54" s="3">
        <f t="shared" si="6"/>
        <v>2</v>
      </c>
      <c r="E54" s="10">
        <f t="shared" si="2"/>
        <v>1.8471953667072964</v>
      </c>
      <c r="F54" s="10">
        <f t="shared" si="3"/>
        <v>1.7060653613924517</v>
      </c>
      <c r="G54" s="10">
        <f t="shared" si="4"/>
        <v>16.994197373707127</v>
      </c>
      <c r="H54" s="10">
        <f t="shared" si="5"/>
        <v>15.695801324810555</v>
      </c>
    </row>
    <row r="55" spans="1:8">
      <c r="A55" s="3">
        <v>4.7</v>
      </c>
      <c r="B55" s="10">
        <f t="shared" si="0"/>
        <v>0.92173628589506373</v>
      </c>
      <c r="C55" s="10">
        <f t="shared" si="1"/>
        <v>0.84959778073562664</v>
      </c>
      <c r="D55" s="3">
        <f t="shared" si="6"/>
        <v>4</v>
      </c>
      <c r="E55" s="10">
        <f t="shared" si="2"/>
        <v>3.6869451435802549</v>
      </c>
      <c r="F55" s="10">
        <f t="shared" si="3"/>
        <v>3.3983911229425066</v>
      </c>
      <c r="G55" s="10">
        <f t="shared" si="4"/>
        <v>34.657284349654397</v>
      </c>
      <c r="H55" s="10">
        <f t="shared" si="5"/>
        <v>31.944876555659562</v>
      </c>
    </row>
    <row r="56" spans="1:8">
      <c r="A56" s="3">
        <v>4.8</v>
      </c>
      <c r="B56" s="10">
        <f t="shared" si="0"/>
        <v>0.91986604146017448</v>
      </c>
      <c r="C56" s="10">
        <f t="shared" si="1"/>
        <v>0.84615353423161144</v>
      </c>
      <c r="D56" s="3">
        <f t="shared" si="6"/>
        <v>2</v>
      </c>
      <c r="E56" s="10">
        <f t="shared" si="2"/>
        <v>1.839732082920349</v>
      </c>
      <c r="F56" s="10">
        <f t="shared" si="3"/>
        <v>1.6923070684632229</v>
      </c>
      <c r="G56" s="10">
        <f t="shared" si="4"/>
        <v>17.66142799603535</v>
      </c>
      <c r="H56" s="10">
        <f t="shared" si="5"/>
        <v>16.246147857246939</v>
      </c>
    </row>
    <row r="57" spans="1:8">
      <c r="A57" s="3">
        <v>4.9000000000000004</v>
      </c>
      <c r="B57" s="10">
        <f t="shared" si="0"/>
        <v>0.91798693382384156</v>
      </c>
      <c r="C57" s="10">
        <f t="shared" si="1"/>
        <v>0.84270001067129807</v>
      </c>
      <c r="D57" s="3">
        <f t="shared" si="6"/>
        <v>4</v>
      </c>
      <c r="E57" s="10">
        <f t="shared" si="2"/>
        <v>3.6719477352953662</v>
      </c>
      <c r="F57" s="10">
        <f t="shared" si="3"/>
        <v>3.3708000426851923</v>
      </c>
      <c r="G57" s="10">
        <f t="shared" si="4"/>
        <v>35.985087805894594</v>
      </c>
      <c r="H57" s="10">
        <f t="shared" si="5"/>
        <v>33.033840418314888</v>
      </c>
    </row>
    <row r="58" spans="1:8">
      <c r="A58" s="3">
        <v>5</v>
      </c>
      <c r="B58" s="10">
        <f t="shared" si="0"/>
        <v>0.91609894710434758</v>
      </c>
      <c r="C58" s="10">
        <f t="shared" si="1"/>
        <v>0.83923728088569427</v>
      </c>
      <c r="D58" s="3">
        <f t="shared" si="6"/>
        <v>2</v>
      </c>
      <c r="E58" s="10">
        <f t="shared" si="2"/>
        <v>1.8321978942086952</v>
      </c>
      <c r="F58" s="10">
        <f t="shared" si="3"/>
        <v>1.6784745617713885</v>
      </c>
      <c r="G58" s="10">
        <f t="shared" si="4"/>
        <v>18.32197894208695</v>
      </c>
      <c r="H58" s="10">
        <f t="shared" si="5"/>
        <v>16.784745617713885</v>
      </c>
    </row>
    <row r="59" spans="1:8">
      <c r="A59" s="3">
        <v>5.0999999999999996</v>
      </c>
      <c r="B59" s="10">
        <f t="shared" si="0"/>
        <v>0.91420206576937169</v>
      </c>
      <c r="C59" s="10">
        <f t="shared" si="1"/>
        <v>0.83576541705698659</v>
      </c>
      <c r="D59" s="3">
        <f t="shared" si="6"/>
        <v>4</v>
      </c>
      <c r="E59" s="10">
        <f t="shared" si="2"/>
        <v>3.6568082630774867</v>
      </c>
      <c r="F59" s="10">
        <f t="shared" si="3"/>
        <v>3.3430616682279464</v>
      </c>
      <c r="G59" s="10">
        <f t="shared" si="4"/>
        <v>37.299444283390365</v>
      </c>
      <c r="H59" s="10">
        <f t="shared" si="5"/>
        <v>34.099229015925047</v>
      </c>
    </row>
    <row r="60" spans="1:8">
      <c r="A60" s="3">
        <v>5.2</v>
      </c>
      <c r="B60" s="10">
        <f t="shared" si="0"/>
        <v>0.91229627464201479</v>
      </c>
      <c r="C60" s="10">
        <f t="shared" si="1"/>
        <v>0.83228449272569849</v>
      </c>
      <c r="D60" s="3">
        <f t="shared" si="6"/>
        <v>2</v>
      </c>
      <c r="E60" s="10">
        <f t="shared" si="2"/>
        <v>1.8245925492840296</v>
      </c>
      <c r="F60" s="10">
        <f t="shared" si="3"/>
        <v>1.664568985451397</v>
      </c>
      <c r="G60" s="10">
        <f t="shared" si="4"/>
        <v>18.97576251255391</v>
      </c>
      <c r="H60" s="10">
        <f t="shared" si="5"/>
        <v>17.311517448694531</v>
      </c>
    </row>
    <row r="61" spans="1:8">
      <c r="A61" s="3">
        <v>5.3</v>
      </c>
      <c r="B61" s="10">
        <f t="shared" si="0"/>
        <v>0.91038155890687145</v>
      </c>
      <c r="C61" s="10">
        <f t="shared" si="1"/>
        <v>0.82879458279770546</v>
      </c>
      <c r="D61" s="3">
        <f t="shared" si="6"/>
        <v>4</v>
      </c>
      <c r="E61" s="10">
        <f t="shared" si="2"/>
        <v>3.6415262356274858</v>
      </c>
      <c r="F61" s="10">
        <f t="shared" si="3"/>
        <v>3.3151783311908218</v>
      </c>
      <c r="G61" s="10">
        <f t="shared" si="4"/>
        <v>38.600178097651352</v>
      </c>
      <c r="H61" s="10">
        <f t="shared" si="5"/>
        <v>35.140890310622709</v>
      </c>
    </row>
    <row r="62" spans="1:8">
      <c r="A62" s="3">
        <v>5.4</v>
      </c>
      <c r="B62" s="10">
        <f t="shared" si="0"/>
        <v>0.90845790411615068</v>
      </c>
      <c r="C62" s="10">
        <f t="shared" si="1"/>
        <v>0.82529576355110923</v>
      </c>
      <c r="D62" s="3">
        <f t="shared" si="6"/>
        <v>2</v>
      </c>
      <c r="E62" s="10">
        <f t="shared" si="2"/>
        <v>1.8169158082323014</v>
      </c>
      <c r="F62" s="10">
        <f t="shared" si="3"/>
        <v>1.6505915271022185</v>
      </c>
      <c r="G62" s="10">
        <f t="shared" si="4"/>
        <v>19.622690728908857</v>
      </c>
      <c r="H62" s="10">
        <f t="shared" si="5"/>
        <v>17.826388492703959</v>
      </c>
    </row>
    <row r="63" spans="1:8">
      <c r="A63" s="3">
        <v>5.5</v>
      </c>
      <c r="B63" s="10">
        <f t="shared" si="0"/>
        <v>0.90652529619584465</v>
      </c>
      <c r="C63" s="10">
        <f t="shared" si="1"/>
        <v>0.82178811264296392</v>
      </c>
      <c r="D63" s="3">
        <f t="shared" si="6"/>
        <v>4</v>
      </c>
      <c r="E63" s="10">
        <f t="shared" si="2"/>
        <v>3.6261011847833786</v>
      </c>
      <c r="F63" s="10">
        <f t="shared" si="3"/>
        <v>3.2871524505718557</v>
      </c>
      <c r="G63" s="10">
        <f t="shared" si="4"/>
        <v>39.887113032617165</v>
      </c>
      <c r="H63" s="10">
        <f t="shared" si="5"/>
        <v>36.158676956290414</v>
      </c>
    </row>
    <row r="64" spans="1:8">
      <c r="A64" s="3">
        <v>5.6</v>
      </c>
      <c r="B64" s="10">
        <f t="shared" si="0"/>
        <v>0.90458372145194366</v>
      </c>
      <c r="C64" s="10">
        <f t="shared" si="1"/>
        <v>0.81827170911584757</v>
      </c>
      <c r="D64" s="3">
        <f t="shared" si="6"/>
        <v>2</v>
      </c>
      <c r="E64" s="10">
        <f t="shared" si="2"/>
        <v>1.8091674429038873</v>
      </c>
      <c r="F64" s="10">
        <f t="shared" si="3"/>
        <v>1.6365434182316951</v>
      </c>
      <c r="G64" s="10">
        <f t="shared" si="4"/>
        <v>20.262675360523538</v>
      </c>
      <c r="H64" s="10">
        <f t="shared" si="5"/>
        <v>18.329286284194986</v>
      </c>
    </row>
    <row r="65" spans="1:8">
      <c r="A65" s="3">
        <v>5.7</v>
      </c>
      <c r="B65" s="10">
        <f t="shared" si="0"/>
        <v>0.90263316657670079</v>
      </c>
      <c r="C65" s="10">
        <f t="shared" si="1"/>
        <v>0.81474663340428211</v>
      </c>
      <c r="D65" s="3">
        <f t="shared" si="6"/>
        <v>4</v>
      </c>
      <c r="E65" s="10">
        <f t="shared" si="2"/>
        <v>3.6105326663068031</v>
      </c>
      <c r="F65" s="10">
        <f t="shared" si="3"/>
        <v>3.2589865336171284</v>
      </c>
      <c r="G65" s="10">
        <f t="shared" si="4"/>
        <v>41.160072395897558</v>
      </c>
      <c r="H65" s="10">
        <f t="shared" si="5"/>
        <v>37.152446483235266</v>
      </c>
    </row>
    <row r="66" spans="1:8">
      <c r="A66" s="3">
        <v>5.8</v>
      </c>
      <c r="B66" s="10">
        <f t="shared" si="0"/>
        <v>0.90067361865494122</v>
      </c>
      <c r="C66" s="10">
        <f t="shared" si="1"/>
        <v>0.81121296734098647</v>
      </c>
      <c r="D66" s="3">
        <f t="shared" si="6"/>
        <v>2</v>
      </c>
      <c r="E66" s="10">
        <f t="shared" si="2"/>
        <v>1.8013472373098824</v>
      </c>
      <c r="F66" s="10">
        <f t="shared" si="3"/>
        <v>1.6224259346819729</v>
      </c>
      <c r="G66" s="10">
        <f t="shared" si="4"/>
        <v>20.895627952794637</v>
      </c>
      <c r="H66" s="10">
        <f t="shared" si="5"/>
        <v>18.820140842310884</v>
      </c>
    </row>
    <row r="67" spans="1:8">
      <c r="A67" s="3">
        <v>5.9</v>
      </c>
      <c r="B67" s="10">
        <f t="shared" si="0"/>
        <v>0.89870506517042026</v>
      </c>
      <c r="C67" s="10">
        <f t="shared" si="1"/>
        <v>0.80767079416296927</v>
      </c>
      <c r="D67" s="3">
        <f t="shared" si="6"/>
        <v>4</v>
      </c>
      <c r="E67" s="10">
        <f t="shared" si="2"/>
        <v>3.594820260681681</v>
      </c>
      <c r="F67" s="10">
        <f t="shared" si="3"/>
        <v>3.2306831766518771</v>
      </c>
      <c r="G67" s="10">
        <f t="shared" si="4"/>
        <v>42.418879076043837</v>
      </c>
      <c r="H67" s="10">
        <f t="shared" si="5"/>
        <v>38.12206148449215</v>
      </c>
    </row>
    <row r="68" spans="1:8">
      <c r="A68" s="3">
        <v>6</v>
      </c>
      <c r="B68" s="10">
        <f t="shared" si="0"/>
        <v>0.89672749401222662</v>
      </c>
      <c r="C68" s="10">
        <f t="shared" si="1"/>
        <v>0.80412019851744798</v>
      </c>
      <c r="D68" s="3">
        <f t="shared" si="6"/>
        <v>2</v>
      </c>
      <c r="E68" s="10">
        <f t="shared" si="2"/>
        <v>1.7934549880244532</v>
      </c>
      <c r="F68" s="10">
        <f t="shared" si="3"/>
        <v>1.608240397034896</v>
      </c>
      <c r="G68" s="10">
        <f t="shared" si="4"/>
        <v>21.52145985629344</v>
      </c>
      <c r="H68" s="10">
        <f t="shared" si="5"/>
        <v>19.298884764418752</v>
      </c>
    </row>
    <row r="69" spans="1:8">
      <c r="A69" s="3">
        <v>6.1</v>
      </c>
      <c r="B69" s="10">
        <f t="shared" si="0"/>
        <v>0.89474089348123231</v>
      </c>
      <c r="C69" s="10">
        <f t="shared" si="1"/>
        <v>0.80056126646759396</v>
      </c>
      <c r="D69" s="3">
        <f t="shared" si="6"/>
        <v>4</v>
      </c>
      <c r="E69" s="10">
        <f t="shared" si="2"/>
        <v>3.5789635739249293</v>
      </c>
      <c r="F69" s="10">
        <f t="shared" si="3"/>
        <v>3.2022450658703758</v>
      </c>
      <c r="G69" s="10">
        <f t="shared" si="4"/>
        <v>43.663355601884135</v>
      </c>
      <c r="H69" s="10">
        <f t="shared" si="5"/>
        <v>39.067389803618582</v>
      </c>
    </row>
    <row r="70" spans="1:8">
      <c r="A70" s="3">
        <v>6.2</v>
      </c>
      <c r="B70" s="10">
        <f t="shared" si="0"/>
        <v>0.89274525229658963</v>
      </c>
      <c r="C70" s="10">
        <f t="shared" si="1"/>
        <v>0.79699408549810147</v>
      </c>
      <c r="D70" s="3">
        <f t="shared" si="6"/>
        <v>2</v>
      </c>
      <c r="E70" s="10">
        <f t="shared" si="2"/>
        <v>1.7854905045931793</v>
      </c>
      <c r="F70" s="10">
        <f t="shared" si="3"/>
        <v>1.5939881709962029</v>
      </c>
      <c r="G70" s="10">
        <f t="shared" si="4"/>
        <v>22.140082256955424</v>
      </c>
      <c r="H70" s="10">
        <f t="shared" si="5"/>
        <v>19.765453320352918</v>
      </c>
    </row>
    <row r="71" spans="1:8">
      <c r="A71" s="3">
        <v>6.3</v>
      </c>
      <c r="B71" s="10">
        <f t="shared" si="0"/>
        <v>0.89074055960227116</v>
      </c>
      <c r="C71" s="10">
        <f t="shared" si="1"/>
        <v>0.79341874452056715</v>
      </c>
      <c r="D71" s="3">
        <f t="shared" si="6"/>
        <v>4</v>
      </c>
      <c r="E71" s="10">
        <f t="shared" si="2"/>
        <v>3.5629622384090847</v>
      </c>
      <c r="F71" s="10">
        <f t="shared" si="3"/>
        <v>3.1736749780822686</v>
      </c>
      <c r="G71" s="10">
        <f t="shared" si="4"/>
        <v>44.893324203954464</v>
      </c>
      <c r="H71" s="10">
        <f t="shared" si="5"/>
        <v>39.988304723836585</v>
      </c>
    </row>
    <row r="72" spans="1:8">
      <c r="A72" s="3">
        <v>6.4</v>
      </c>
      <c r="B72" s="10">
        <f t="shared" si="0"/>
        <v>0.88872680497365741</v>
      </c>
      <c r="C72" s="10">
        <f t="shared" si="1"/>
        <v>0.78983533387868532</v>
      </c>
      <c r="D72" s="3">
        <f t="shared" si="6"/>
        <v>2</v>
      </c>
      <c r="E72" s="10">
        <f t="shared" si="2"/>
        <v>1.7774536099473148</v>
      </c>
      <c r="F72" s="10">
        <f t="shared" si="3"/>
        <v>1.5796706677573706</v>
      </c>
      <c r="G72" s="10">
        <f t="shared" si="4"/>
        <v>22.75140620732563</v>
      </c>
      <c r="H72" s="10">
        <f t="shared" si="5"/>
        <v>20.219784547294346</v>
      </c>
    </row>
    <row r="73" spans="1:8">
      <c r="A73" s="3">
        <v>6.5</v>
      </c>
      <c r="B73" s="10">
        <f t="shared" ref="B73:B136" si="7">$B$5^(($B$4^50)*(($B$4^A73)-1))</f>
        <v>0.8867039784241677</v>
      </c>
      <c r="C73" s="10">
        <f t="shared" ref="C73:C136" si="8">B73^2</f>
        <v>0.78624394535324682</v>
      </c>
      <c r="D73" s="3">
        <f t="shared" si="6"/>
        <v>4</v>
      </c>
      <c r="E73" s="10">
        <f t="shared" ref="E73:E136" si="9">B73*D73</f>
        <v>3.5468159136966708</v>
      </c>
      <c r="F73" s="10">
        <f t="shared" ref="F73:F136" si="10">C73*D73</f>
        <v>3.1449757814129873</v>
      </c>
      <c r="G73" s="10">
        <f t="shared" ref="G73:G136" si="11">2*A73*B73*D73</f>
        <v>46.108606878056719</v>
      </c>
      <c r="H73" s="10">
        <f t="shared" ref="H73:H136" si="12">2*A73*C73*D73</f>
        <v>40.884685158368832</v>
      </c>
    </row>
    <row r="74" spans="1:8">
      <c r="A74" s="3">
        <v>6.6</v>
      </c>
      <c r="B74" s="10">
        <f t="shared" si="7"/>
        <v>0.88467207041193674</v>
      </c>
      <c r="C74" s="10">
        <f t="shared" si="8"/>
        <v>0.78264467216694278</v>
      </c>
      <c r="D74" s="3">
        <f t="shared" si="6"/>
        <v>2</v>
      </c>
      <c r="E74" s="10">
        <f t="shared" si="9"/>
        <v>1.7693441408238735</v>
      </c>
      <c r="F74" s="10">
        <f t="shared" si="10"/>
        <v>1.5652893443338856</v>
      </c>
      <c r="G74" s="10">
        <f t="shared" si="11"/>
        <v>23.355342658875127</v>
      </c>
      <c r="H74" s="10">
        <f t="shared" si="12"/>
        <v>20.661819345207288</v>
      </c>
    </row>
    <row r="75" spans="1:8">
      <c r="A75" s="3">
        <v>6.7</v>
      </c>
      <c r="B75" s="10">
        <f t="shared" si="7"/>
        <v>0.88263107184653378</v>
      </c>
      <c r="C75" s="10">
        <f t="shared" si="8"/>
        <v>0.77903760898896102</v>
      </c>
      <c r="D75" s="3">
        <f t="shared" ref="D75:D138" si="13">IF(D74=4,2,4)</f>
        <v>4</v>
      </c>
      <c r="E75" s="10">
        <f t="shared" si="9"/>
        <v>3.5305242873861351</v>
      </c>
      <c r="F75" s="10">
        <f t="shared" si="10"/>
        <v>3.1161504359558441</v>
      </c>
      <c r="G75" s="10">
        <f t="shared" si="11"/>
        <v>47.309025450974211</v>
      </c>
      <c r="H75" s="10">
        <f t="shared" si="12"/>
        <v>41.756415841808312</v>
      </c>
    </row>
    <row r="76" spans="1:8">
      <c r="A76" s="3">
        <v>6.8</v>
      </c>
      <c r="B76" s="10">
        <f t="shared" si="7"/>
        <v>0.88058097409572611</v>
      </c>
      <c r="C76" s="10">
        <f t="shared" si="8"/>
        <v>0.77542285193937788</v>
      </c>
      <c r="D76" s="3">
        <f t="shared" si="13"/>
        <v>2</v>
      </c>
      <c r="E76" s="10">
        <f t="shared" si="9"/>
        <v>1.7611619481914522</v>
      </c>
      <c r="F76" s="10">
        <f t="shared" si="10"/>
        <v>1.5508457038787558</v>
      </c>
      <c r="G76" s="10">
        <f t="shared" si="11"/>
        <v>23.951802495403751</v>
      </c>
      <c r="H76" s="10">
        <f t="shared" si="12"/>
        <v>21.091501572751078</v>
      </c>
    </row>
    <row r="77" spans="1:8">
      <c r="A77" s="3">
        <v>6.9</v>
      </c>
      <c r="B77" s="10">
        <f t="shared" si="7"/>
        <v>0.87852176899228607</v>
      </c>
      <c r="C77" s="10">
        <f t="shared" si="8"/>
        <v>0.77180049859333566</v>
      </c>
      <c r="D77" s="3">
        <f t="shared" si="13"/>
        <v>4</v>
      </c>
      <c r="E77" s="10">
        <f t="shared" si="9"/>
        <v>3.5140870759691443</v>
      </c>
      <c r="F77" s="10">
        <f t="shared" si="10"/>
        <v>3.0872019943733426</v>
      </c>
      <c r="G77" s="10">
        <f t="shared" si="11"/>
        <v>48.494401648374193</v>
      </c>
      <c r="H77" s="10">
        <f t="shared" si="12"/>
        <v>42.603387522352129</v>
      </c>
    </row>
    <row r="78" spans="1:8">
      <c r="A78" s="3">
        <v>7</v>
      </c>
      <c r="B78" s="10">
        <f t="shared" si="7"/>
        <v>0.87645344884083998</v>
      </c>
      <c r="C78" s="10">
        <f t="shared" si="8"/>
        <v>0.7681706479850029</v>
      </c>
      <c r="D78" s="3">
        <f t="shared" si="13"/>
        <v>2</v>
      </c>
      <c r="E78" s="10">
        <f t="shared" si="9"/>
        <v>1.75290689768168</v>
      </c>
      <c r="F78" s="10">
        <f t="shared" si="10"/>
        <v>1.5363412959700058</v>
      </c>
      <c r="G78" s="10">
        <f t="shared" si="11"/>
        <v>24.54069656754352</v>
      </c>
      <c r="H78" s="10">
        <f t="shared" si="12"/>
        <v>21.508778143580081</v>
      </c>
    </row>
    <row r="79" spans="1:8">
      <c r="A79" s="3">
        <v>7.1</v>
      </c>
      <c r="B79" s="10">
        <f t="shared" si="7"/>
        <v>0.87437600642475843</v>
      </c>
      <c r="C79" s="10">
        <f t="shared" si="8"/>
        <v>0.76453340061130926</v>
      </c>
      <c r="D79" s="3">
        <f t="shared" si="13"/>
        <v>4</v>
      </c>
      <c r="E79" s="10">
        <f t="shared" si="9"/>
        <v>3.4975040256990337</v>
      </c>
      <c r="F79" s="10">
        <f t="shared" si="10"/>
        <v>3.058133602445237</v>
      </c>
      <c r="G79" s="10">
        <f t="shared" si="11"/>
        <v>49.664557164926279</v>
      </c>
      <c r="H79" s="10">
        <f t="shared" si="12"/>
        <v>43.425497154722365</v>
      </c>
    </row>
    <row r="80" spans="1:8">
      <c r="A80" s="3">
        <v>7.2</v>
      </c>
      <c r="B80" s="10">
        <f t="shared" si="7"/>
        <v>0.87228943501309109</v>
      </c>
      <c r="C80" s="10">
        <f t="shared" si="8"/>
        <v>0.76088885843545762</v>
      </c>
      <c r="D80" s="3">
        <f t="shared" si="13"/>
        <v>2</v>
      </c>
      <c r="E80" s="10">
        <f t="shared" si="9"/>
        <v>1.7445788700261822</v>
      </c>
      <c r="F80" s="10">
        <f t="shared" si="10"/>
        <v>1.5217777168709152</v>
      </c>
      <c r="G80" s="10">
        <f t="shared" si="11"/>
        <v>25.121935728377025</v>
      </c>
      <c r="H80" s="10">
        <f t="shared" si="12"/>
        <v>21.913599122941179</v>
      </c>
    </row>
    <row r="81" spans="1:8">
      <c r="A81" s="3">
        <v>7.3</v>
      </c>
      <c r="B81" s="10">
        <f t="shared" si="7"/>
        <v>0.87019372836753817</v>
      </c>
      <c r="C81" s="10">
        <f t="shared" si="8"/>
        <v>0.75723712489019679</v>
      </c>
      <c r="D81" s="3">
        <f t="shared" si="13"/>
        <v>4</v>
      </c>
      <c r="E81" s="10">
        <f t="shared" si="9"/>
        <v>3.4807749134701527</v>
      </c>
      <c r="F81" s="10">
        <f t="shared" si="10"/>
        <v>3.0289484995607872</v>
      </c>
      <c r="G81" s="10">
        <f t="shared" si="11"/>
        <v>50.819313736664228</v>
      </c>
      <c r="H81" s="10">
        <f t="shared" si="12"/>
        <v>44.222648093587495</v>
      </c>
    </row>
    <row r="82" spans="1:8">
      <c r="A82" s="3">
        <v>7.4</v>
      </c>
      <c r="B82" s="10">
        <f t="shared" si="7"/>
        <v>0.86808888074946688</v>
      </c>
      <c r="C82" s="10">
        <f t="shared" si="8"/>
        <v>0.75357830488086208</v>
      </c>
      <c r="D82" s="3">
        <f t="shared" si="13"/>
        <v>2</v>
      </c>
      <c r="E82" s="10">
        <f t="shared" si="9"/>
        <v>1.7361777614989338</v>
      </c>
      <c r="F82" s="10">
        <f t="shared" si="10"/>
        <v>1.5071566097617242</v>
      </c>
      <c r="G82" s="10">
        <f t="shared" si="11"/>
        <v>25.695430870184222</v>
      </c>
      <c r="H82" s="10">
        <f t="shared" si="12"/>
        <v>22.305917824473518</v>
      </c>
    </row>
    <row r="83" spans="1:8">
      <c r="A83" s="3">
        <v>7.5</v>
      </c>
      <c r="B83" s="10">
        <f t="shared" si="7"/>
        <v>0.86597488692696412</v>
      </c>
      <c r="C83" s="10">
        <f t="shared" si="8"/>
        <v>0.74991250478816829</v>
      </c>
      <c r="D83" s="3">
        <f t="shared" si="13"/>
        <v>4</v>
      </c>
      <c r="E83" s="10">
        <f t="shared" si="9"/>
        <v>3.4638995477078565</v>
      </c>
      <c r="F83" s="10">
        <f t="shared" si="10"/>
        <v>2.9996500191526732</v>
      </c>
      <c r="G83" s="10">
        <f t="shared" si="11"/>
        <v>51.95849321561785</v>
      </c>
      <c r="H83" s="10">
        <f t="shared" si="12"/>
        <v>44.994750287290096</v>
      </c>
    </row>
    <row r="84" spans="1:8">
      <c r="A84" s="3">
        <v>7.6</v>
      </c>
      <c r="B84" s="10">
        <f t="shared" si="7"/>
        <v>0.86385174218193073</v>
      </c>
      <c r="C84" s="10">
        <f t="shared" si="8"/>
        <v>0.74623983247075687</v>
      </c>
      <c r="D84" s="3">
        <f t="shared" si="13"/>
        <v>2</v>
      </c>
      <c r="E84" s="10">
        <f t="shared" si="9"/>
        <v>1.7277034843638615</v>
      </c>
      <c r="F84" s="10">
        <f t="shared" si="10"/>
        <v>1.4924796649415137</v>
      </c>
      <c r="G84" s="10">
        <f t="shared" si="11"/>
        <v>26.261092962330693</v>
      </c>
      <c r="H84" s="10">
        <f t="shared" si="12"/>
        <v>22.68569090711101</v>
      </c>
    </row>
    <row r="85" spans="1:8">
      <c r="A85" s="3">
        <v>7.7</v>
      </c>
      <c r="B85" s="10">
        <f t="shared" si="7"/>
        <v>0.86171944231721342</v>
      </c>
      <c r="C85" s="10">
        <f t="shared" si="8"/>
        <v>0.74256039726748935</v>
      </c>
      <c r="D85" s="3">
        <f t="shared" si="13"/>
        <v>4</v>
      </c>
      <c r="E85" s="10">
        <f t="shared" si="9"/>
        <v>3.4468777692688537</v>
      </c>
      <c r="F85" s="10">
        <f t="shared" si="10"/>
        <v>2.9702415890699574</v>
      </c>
      <c r="G85" s="10">
        <f t="shared" si="11"/>
        <v>53.081917646740351</v>
      </c>
      <c r="H85" s="10">
        <f t="shared" si="12"/>
        <v>45.741720471677347</v>
      </c>
    </row>
    <row r="86" spans="1:8">
      <c r="A86" s="3">
        <v>7.8</v>
      </c>
      <c r="B86" s="10">
        <f t="shared" si="7"/>
        <v>0.85957798366377514</v>
      </c>
      <c r="C86" s="10">
        <f t="shared" si="8"/>
        <v>0.73887430999948123</v>
      </c>
      <c r="D86" s="3">
        <f t="shared" si="13"/>
        <v>2</v>
      </c>
      <c r="E86" s="10">
        <f t="shared" si="9"/>
        <v>1.7191559673275503</v>
      </c>
      <c r="F86" s="10">
        <f t="shared" si="10"/>
        <v>1.4777486199989625</v>
      </c>
      <c r="G86" s="10">
        <f t="shared" si="11"/>
        <v>26.818833090309784</v>
      </c>
      <c r="H86" s="10">
        <f t="shared" si="12"/>
        <v>23.052878471983814</v>
      </c>
    </row>
    <row r="87" spans="1:8">
      <c r="A87" s="3">
        <v>7.9</v>
      </c>
      <c r="B87" s="10">
        <f t="shared" si="7"/>
        <v>0.85742736308790191</v>
      </c>
      <c r="C87" s="10">
        <f t="shared" si="8"/>
        <v>0.73518168297187281</v>
      </c>
      <c r="D87" s="3">
        <f t="shared" si="13"/>
        <v>4</v>
      </c>
      <c r="E87" s="10">
        <f t="shared" si="9"/>
        <v>3.4297094523516076</v>
      </c>
      <c r="F87" s="10">
        <f t="shared" si="10"/>
        <v>2.9407267318874912</v>
      </c>
      <c r="G87" s="10">
        <f t="shared" si="11"/>
        <v>54.189409347155404</v>
      </c>
      <c r="H87" s="10">
        <f t="shared" si="12"/>
        <v>46.463482363822365</v>
      </c>
    </row>
    <row r="88" spans="1:8">
      <c r="A88" s="3">
        <v>8</v>
      </c>
      <c r="B88" s="10">
        <f t="shared" si="7"/>
        <v>0.85526757799844755</v>
      </c>
      <c r="C88" s="10">
        <f t="shared" si="8"/>
        <v>0.73148262997533053</v>
      </c>
      <c r="D88" s="3">
        <f t="shared" si="13"/>
        <v>2</v>
      </c>
      <c r="E88" s="10">
        <f t="shared" si="9"/>
        <v>1.7105351559968951</v>
      </c>
      <c r="F88" s="10">
        <f t="shared" si="10"/>
        <v>1.4629652599506611</v>
      </c>
      <c r="G88" s="10">
        <f t="shared" si="11"/>
        <v>27.368562495950322</v>
      </c>
      <c r="H88" s="10">
        <f t="shared" si="12"/>
        <v>23.407444159210577</v>
      </c>
    </row>
    <row r="89" spans="1:8">
      <c r="A89" s="3">
        <v>8.1</v>
      </c>
      <c r="B89" s="10">
        <f t="shared" si="7"/>
        <v>0.85309862635411282</v>
      </c>
      <c r="C89" s="10">
        <f t="shared" si="8"/>
        <v>0.72777726628727424</v>
      </c>
      <c r="D89" s="3">
        <f t="shared" si="13"/>
        <v>4</v>
      </c>
      <c r="E89" s="10">
        <f t="shared" si="9"/>
        <v>3.4123945054164513</v>
      </c>
      <c r="F89" s="10">
        <f t="shared" si="10"/>
        <v>2.911109065149097</v>
      </c>
      <c r="G89" s="10">
        <f t="shared" si="11"/>
        <v>55.280790987746506</v>
      </c>
      <c r="H89" s="10">
        <f t="shared" si="12"/>
        <v>47.159966855415369</v>
      </c>
    </row>
    <row r="90" spans="1:8">
      <c r="A90" s="3">
        <v>8.1999999999999993</v>
      </c>
      <c r="B90" s="10">
        <f t="shared" si="7"/>
        <v>0.85092050667076158</v>
      </c>
      <c r="C90" s="10">
        <f t="shared" si="8"/>
        <v>0.7240657086728256</v>
      </c>
      <c r="D90" s="3">
        <f t="shared" si="13"/>
        <v>2</v>
      </c>
      <c r="E90" s="10">
        <f t="shared" si="9"/>
        <v>1.7018410133415232</v>
      </c>
      <c r="F90" s="10">
        <f t="shared" si="10"/>
        <v>1.4481314173456512</v>
      </c>
      <c r="G90" s="10">
        <f t="shared" si="11"/>
        <v>27.910192618800977</v>
      </c>
      <c r="H90" s="10">
        <f t="shared" si="12"/>
        <v>23.749355244468678</v>
      </c>
    </row>
    <row r="91" spans="1:8">
      <c r="A91" s="3">
        <v>8.3000000000000007</v>
      </c>
      <c r="B91" s="10">
        <f t="shared" si="7"/>
        <v>0.84873321802876855</v>
      </c>
      <c r="C91" s="10">
        <f t="shared" si="8"/>
        <v>0.72034807538546919</v>
      </c>
      <c r="D91" s="3">
        <f t="shared" si="13"/>
        <v>4</v>
      </c>
      <c r="E91" s="10">
        <f t="shared" si="9"/>
        <v>3.3949328721150742</v>
      </c>
      <c r="F91" s="10">
        <f t="shared" si="10"/>
        <v>2.8813923015418768</v>
      </c>
      <c r="G91" s="10">
        <f t="shared" si="11"/>
        <v>56.355885677110237</v>
      </c>
      <c r="H91" s="10">
        <f t="shared" si="12"/>
        <v>47.831112205595161</v>
      </c>
    </row>
    <row r="92" spans="1:8">
      <c r="A92" s="3">
        <v>8.4</v>
      </c>
      <c r="B92" s="10">
        <f t="shared" si="7"/>
        <v>0.84653676008040379</v>
      </c>
      <c r="C92" s="10">
        <f t="shared" si="8"/>
        <v>0.71662448616742713</v>
      </c>
      <c r="D92" s="3">
        <f t="shared" si="13"/>
        <v>2</v>
      </c>
      <c r="E92" s="10">
        <f t="shared" si="9"/>
        <v>1.6930735201608076</v>
      </c>
      <c r="F92" s="10">
        <f t="shared" si="10"/>
        <v>1.4332489723348543</v>
      </c>
      <c r="G92" s="10">
        <f t="shared" si="11"/>
        <v>28.44363513870157</v>
      </c>
      <c r="H92" s="10">
        <f t="shared" si="12"/>
        <v>24.078582735225552</v>
      </c>
    </row>
    <row r="93" spans="1:8">
      <c r="A93" s="3">
        <v>8.5</v>
      </c>
      <c r="B93" s="10">
        <f t="shared" si="7"/>
        <v>0.84433113305724683</v>
      </c>
      <c r="C93" s="10">
        <f t="shared" si="8"/>
        <v>0.7128950622497342</v>
      </c>
      <c r="D93" s="3">
        <f t="shared" si="13"/>
        <v>4</v>
      </c>
      <c r="E93" s="10">
        <f t="shared" si="9"/>
        <v>3.3773245322289873</v>
      </c>
      <c r="F93" s="10">
        <f t="shared" si="10"/>
        <v>2.8515802489989368</v>
      </c>
      <c r="G93" s="10">
        <f t="shared" si="11"/>
        <v>57.414517047892787</v>
      </c>
      <c r="H93" s="10">
        <f t="shared" si="12"/>
        <v>48.476864232981924</v>
      </c>
    </row>
    <row r="94" spans="1:8">
      <c r="A94" s="3">
        <v>8.6</v>
      </c>
      <c r="B94" s="10">
        <f t="shared" si="7"/>
        <v>0.84211633777763517</v>
      </c>
      <c r="C94" s="10">
        <f t="shared" si="8"/>
        <v>0.70915992635201608</v>
      </c>
      <c r="D94" s="3">
        <f t="shared" si="13"/>
        <v>2</v>
      </c>
      <c r="E94" s="10">
        <f t="shared" si="9"/>
        <v>1.6842326755552703</v>
      </c>
      <c r="F94" s="10">
        <f t="shared" si="10"/>
        <v>1.4183198527040322</v>
      </c>
      <c r="G94" s="10">
        <f t="shared" si="11"/>
        <v>28.968802019550647</v>
      </c>
      <c r="H94" s="10">
        <f t="shared" si="12"/>
        <v>24.395101466509352</v>
      </c>
    </row>
    <row r="95" spans="1:8">
      <c r="A95" s="3">
        <v>8.6999999999999993</v>
      </c>
      <c r="B95" s="10">
        <f t="shared" si="7"/>
        <v>0.8398923756541421</v>
      </c>
      <c r="C95" s="10">
        <f t="shared" si="8"/>
        <v>0.70541920268195857</v>
      </c>
      <c r="D95" s="3">
        <f t="shared" si="13"/>
        <v>4</v>
      </c>
      <c r="E95" s="10">
        <f t="shared" si="9"/>
        <v>3.3595695026165684</v>
      </c>
      <c r="F95" s="10">
        <f t="shared" si="10"/>
        <v>2.8216768107278343</v>
      </c>
      <c r="G95" s="10">
        <f t="shared" si="11"/>
        <v>58.456509345528282</v>
      </c>
      <c r="H95" s="10">
        <f t="shared" si="12"/>
        <v>49.097176506664312</v>
      </c>
    </row>
    <row r="96" spans="1:8">
      <c r="A96" s="3">
        <v>8.8000000000000007</v>
      </c>
      <c r="B96" s="10">
        <f t="shared" si="7"/>
        <v>0.83765924870108488</v>
      </c>
      <c r="C96" s="10">
        <f t="shared" si="8"/>
        <v>0.70167301693446593</v>
      </c>
      <c r="D96" s="3">
        <f t="shared" si="13"/>
        <v>2</v>
      </c>
      <c r="E96" s="10">
        <f t="shared" si="9"/>
        <v>1.6753184974021698</v>
      </c>
      <c r="F96" s="10">
        <f t="shared" si="10"/>
        <v>1.4033460338689319</v>
      </c>
      <c r="G96" s="10">
        <f t="shared" si="11"/>
        <v>29.485605554278191</v>
      </c>
      <c r="H96" s="10">
        <f t="shared" si="12"/>
        <v>24.698890196093203</v>
      </c>
    </row>
    <row r="97" spans="1:8">
      <c r="A97" s="3">
        <v>8.9</v>
      </c>
      <c r="B97" s="10">
        <f t="shared" si="7"/>
        <v>0.83541695954206296</v>
      </c>
      <c r="C97" s="10">
        <f t="shared" si="8"/>
        <v>0.69792149629050482</v>
      </c>
      <c r="D97" s="3">
        <f t="shared" si="13"/>
        <v>4</v>
      </c>
      <c r="E97" s="10">
        <f t="shared" si="9"/>
        <v>3.3416678381682519</v>
      </c>
      <c r="F97" s="10">
        <f t="shared" si="10"/>
        <v>2.7916859851620193</v>
      </c>
      <c r="G97" s="10">
        <f t="shared" si="11"/>
        <v>59.481687519394889</v>
      </c>
      <c r="H97" s="10">
        <f t="shared" si="12"/>
        <v>49.692010535883945</v>
      </c>
    </row>
    <row r="98" spans="1:8">
      <c r="A98" s="3">
        <v>9</v>
      </c>
      <c r="B98" s="10">
        <f t="shared" si="7"/>
        <v>0.83316551141752271</v>
      </c>
      <c r="C98" s="10">
        <f t="shared" si="8"/>
        <v>0.69416476941562211</v>
      </c>
      <c r="D98" s="3">
        <f t="shared" si="13"/>
        <v>2</v>
      </c>
      <c r="E98" s="10">
        <f t="shared" si="9"/>
        <v>1.6663310228350454</v>
      </c>
      <c r="F98" s="10">
        <f t="shared" si="10"/>
        <v>1.3883295388312442</v>
      </c>
      <c r="G98" s="10">
        <f t="shared" si="11"/>
        <v>29.993958411030818</v>
      </c>
      <c r="H98" s="10">
        <f t="shared" si="12"/>
        <v>24.989931698962394</v>
      </c>
    </row>
    <row r="99" spans="1:8">
      <c r="A99" s="3">
        <v>9.1</v>
      </c>
      <c r="B99" s="10">
        <f t="shared" si="7"/>
        <v>0.83090490819235052</v>
      </c>
      <c r="C99" s="10">
        <f t="shared" si="8"/>
        <v>0.69040296645813848</v>
      </c>
      <c r="D99" s="3">
        <f t="shared" si="13"/>
        <v>4</v>
      </c>
      <c r="E99" s="10">
        <f t="shared" si="9"/>
        <v>3.3236196327694021</v>
      </c>
      <c r="F99" s="10">
        <f t="shared" si="10"/>
        <v>2.7616118658325539</v>
      </c>
      <c r="G99" s="10">
        <f t="shared" si="11"/>
        <v>60.489877316403117</v>
      </c>
      <c r="H99" s="10">
        <f t="shared" si="12"/>
        <v>50.261335958152479</v>
      </c>
    </row>
    <row r="100" spans="1:8">
      <c r="A100" s="3">
        <v>9.1999999999999993</v>
      </c>
      <c r="B100" s="10">
        <f t="shared" si="7"/>
        <v>0.82863515436349233</v>
      </c>
      <c r="C100" s="10">
        <f t="shared" si="8"/>
        <v>0.68663621904700878</v>
      </c>
      <c r="D100" s="3">
        <f t="shared" si="13"/>
        <v>2</v>
      </c>
      <c r="E100" s="10">
        <f t="shared" si="9"/>
        <v>1.6572703087269847</v>
      </c>
      <c r="F100" s="10">
        <f t="shared" si="10"/>
        <v>1.3732724380940176</v>
      </c>
      <c r="G100" s="10">
        <f t="shared" si="11"/>
        <v>30.493773680576517</v>
      </c>
      <c r="H100" s="10">
        <f t="shared" si="12"/>
        <v>25.268212860929921</v>
      </c>
    </row>
    <row r="101" spans="1:8">
      <c r="A101" s="3">
        <v>9.3000000000000007</v>
      </c>
      <c r="B101" s="10">
        <f t="shared" si="7"/>
        <v>0.82635625506759613</v>
      </c>
      <c r="C101" s="10">
        <f t="shared" si="8"/>
        <v>0.68286466028934201</v>
      </c>
      <c r="D101" s="3">
        <f t="shared" si="13"/>
        <v>4</v>
      </c>
      <c r="E101" s="10">
        <f t="shared" si="9"/>
        <v>3.3054250202703845</v>
      </c>
      <c r="F101" s="10">
        <f t="shared" si="10"/>
        <v>2.731458641157368</v>
      </c>
      <c r="G101" s="10">
        <f t="shared" si="11"/>
        <v>61.48090537702916</v>
      </c>
      <c r="H101" s="10">
        <f t="shared" si="12"/>
        <v>50.80513072552705</v>
      </c>
    </row>
    <row r="102" spans="1:8">
      <c r="A102" s="3">
        <v>9.4</v>
      </c>
      <c r="B102" s="10">
        <f t="shared" si="7"/>
        <v>0.82406821608868086</v>
      </c>
      <c r="C102" s="10">
        <f t="shared" si="8"/>
        <v>0.6790884247675808</v>
      </c>
      <c r="D102" s="3">
        <f t="shared" si="13"/>
        <v>2</v>
      </c>
      <c r="E102" s="10">
        <f t="shared" si="9"/>
        <v>1.6481364321773617</v>
      </c>
      <c r="F102" s="10">
        <f t="shared" si="10"/>
        <v>1.3581768495351616</v>
      </c>
      <c r="G102" s="10">
        <f t="shared" si="11"/>
        <v>30.984964924934403</v>
      </c>
      <c r="H102" s="10">
        <f t="shared" si="12"/>
        <v>25.533724771261038</v>
      </c>
    </row>
    <row r="103" spans="1:8">
      <c r="A103" s="3">
        <v>9.5</v>
      </c>
      <c r="B103" s="10">
        <f t="shared" si="7"/>
        <v>0.821771043865827</v>
      </c>
      <c r="C103" s="10">
        <f t="shared" si="8"/>
        <v>0.67530764853633096</v>
      </c>
      <c r="D103" s="3">
        <f t="shared" si="13"/>
        <v>4</v>
      </c>
      <c r="E103" s="10">
        <f t="shared" si="9"/>
        <v>3.287084175463308</v>
      </c>
      <c r="F103" s="10">
        <f t="shared" si="10"/>
        <v>2.7012305941453238</v>
      </c>
      <c r="G103" s="10">
        <f t="shared" si="11"/>
        <v>62.454599333802854</v>
      </c>
      <c r="H103" s="10">
        <f t="shared" si="12"/>
        <v>51.323381288761155</v>
      </c>
    </row>
    <row r="104" spans="1:8">
      <c r="A104" s="3">
        <v>9.6</v>
      </c>
      <c r="B104" s="10">
        <f t="shared" si="7"/>
        <v>0.81946474550088833</v>
      </c>
      <c r="C104" s="10">
        <f t="shared" si="8"/>
        <v>0.67152246911883562</v>
      </c>
      <c r="D104" s="3">
        <f t="shared" si="13"/>
        <v>2</v>
      </c>
      <c r="E104" s="10">
        <f t="shared" si="9"/>
        <v>1.6389294910017767</v>
      </c>
      <c r="F104" s="10">
        <f t="shared" si="10"/>
        <v>1.3430449382376712</v>
      </c>
      <c r="G104" s="10">
        <f t="shared" si="11"/>
        <v>31.46744622723411</v>
      </c>
      <c r="H104" s="10">
        <f t="shared" si="12"/>
        <v>25.786462814163286</v>
      </c>
    </row>
    <row r="105" spans="1:8">
      <c r="A105" s="3">
        <v>9.7000000000000011</v>
      </c>
      <c r="B105" s="10">
        <f t="shared" si="7"/>
        <v>0.8171493287662257</v>
      </c>
      <c r="C105" s="10">
        <f t="shared" si="8"/>
        <v>0.66773302550309321</v>
      </c>
      <c r="D105" s="3">
        <f t="shared" si="13"/>
        <v>4</v>
      </c>
      <c r="E105" s="10">
        <f t="shared" si="9"/>
        <v>3.2685973150649028</v>
      </c>
      <c r="F105" s="10">
        <f t="shared" si="10"/>
        <v>2.6709321020123729</v>
      </c>
      <c r="G105" s="10">
        <f t="shared" si="11"/>
        <v>63.410787912259124</v>
      </c>
      <c r="H105" s="10">
        <f t="shared" si="12"/>
        <v>51.816082779040038</v>
      </c>
    </row>
    <row r="106" spans="1:8">
      <c r="A106" s="3">
        <v>9.8000000000000007</v>
      </c>
      <c r="B106" s="10">
        <f t="shared" si="7"/>
        <v>0.814824802112459</v>
      </c>
      <c r="C106" s="10">
        <f t="shared" si="8"/>
        <v>0.66393945813760802</v>
      </c>
      <c r="D106" s="3">
        <f t="shared" si="13"/>
        <v>2</v>
      </c>
      <c r="E106" s="10">
        <f t="shared" si="9"/>
        <v>1.629649604224918</v>
      </c>
      <c r="F106" s="10">
        <f t="shared" si="10"/>
        <v>1.327878916275216</v>
      </c>
      <c r="G106" s="10">
        <f t="shared" si="11"/>
        <v>31.941132242808393</v>
      </c>
      <c r="H106" s="10">
        <f t="shared" si="12"/>
        <v>26.026426758994237</v>
      </c>
    </row>
    <row r="107" spans="1:8">
      <c r="A107" s="3">
        <v>9.9</v>
      </c>
      <c r="B107" s="10">
        <f t="shared" si="7"/>
        <v>0.8124911746762371</v>
      </c>
      <c r="C107" s="10">
        <f t="shared" si="8"/>
        <v>0.6601419089267716</v>
      </c>
      <c r="D107" s="3">
        <f t="shared" si="13"/>
        <v>4</v>
      </c>
      <c r="E107" s="10">
        <f t="shared" si="9"/>
        <v>3.2499646987049484</v>
      </c>
      <c r="F107" s="10">
        <f t="shared" si="10"/>
        <v>2.6405676357070864</v>
      </c>
      <c r="G107" s="10">
        <f t="shared" si="11"/>
        <v>64.349301034357978</v>
      </c>
      <c r="H107" s="10">
        <f t="shared" si="12"/>
        <v>52.283239187000312</v>
      </c>
    </row>
    <row r="108" spans="1:8">
      <c r="A108" s="3">
        <v>10</v>
      </c>
      <c r="B108" s="10">
        <f t="shared" si="7"/>
        <v>0.8101484562880259</v>
      </c>
      <c r="C108" s="10">
        <f t="shared" si="8"/>
        <v>0.65634052122587139</v>
      </c>
      <c r="D108" s="3">
        <f t="shared" si="13"/>
        <v>2</v>
      </c>
      <c r="E108" s="10">
        <f t="shared" si="9"/>
        <v>1.6202969125760518</v>
      </c>
      <c r="F108" s="10">
        <f t="shared" si="10"/>
        <v>1.3126810424517428</v>
      </c>
      <c r="G108" s="10">
        <f t="shared" si="11"/>
        <v>32.405938251521036</v>
      </c>
      <c r="H108" s="10">
        <f t="shared" si="12"/>
        <v>26.253620849034856</v>
      </c>
    </row>
    <row r="109" spans="1:8">
      <c r="A109" s="3">
        <v>10.1</v>
      </c>
      <c r="B109" s="10">
        <f t="shared" si="7"/>
        <v>0.80779665747990936</v>
      </c>
      <c r="C109" s="10">
        <f t="shared" si="8"/>
        <v>0.65253543983571405</v>
      </c>
      <c r="D109" s="3">
        <f t="shared" si="13"/>
        <v>4</v>
      </c>
      <c r="E109" s="10">
        <f t="shared" si="9"/>
        <v>3.2311866299196375</v>
      </c>
      <c r="F109" s="10">
        <f t="shared" si="10"/>
        <v>2.6101417593428562</v>
      </c>
      <c r="G109" s="10">
        <f t="shared" si="11"/>
        <v>65.269969924376667</v>
      </c>
      <c r="H109" s="10">
        <f t="shared" si="12"/>
        <v>52.724863538725693</v>
      </c>
    </row>
    <row r="110" spans="1:8">
      <c r="A110" s="3">
        <v>10.200000000000001</v>
      </c>
      <c r="B110" s="10">
        <f t="shared" si="7"/>
        <v>0.8054357894934091</v>
      </c>
      <c r="C110" s="10">
        <f t="shared" si="8"/>
        <v>0.64872681099687124</v>
      </c>
      <c r="D110" s="3">
        <f t="shared" si="13"/>
        <v>2</v>
      </c>
      <c r="E110" s="10">
        <f t="shared" si="9"/>
        <v>1.6108715789868182</v>
      </c>
      <c r="F110" s="10">
        <f t="shared" si="10"/>
        <v>1.2974536219937425</v>
      </c>
      <c r="G110" s="10">
        <f t="shared" si="11"/>
        <v>32.861780211331094</v>
      </c>
      <c r="H110" s="10">
        <f t="shared" si="12"/>
        <v>26.468053888672351</v>
      </c>
    </row>
    <row r="111" spans="1:8">
      <c r="A111" s="3">
        <v>10.3</v>
      </c>
      <c r="B111" s="10">
        <f t="shared" si="7"/>
        <v>0.8030658642873113</v>
      </c>
      <c r="C111" s="10">
        <f t="shared" si="8"/>
        <v>0.64491478238352629</v>
      </c>
      <c r="D111" s="3">
        <f t="shared" si="13"/>
        <v>4</v>
      </c>
      <c r="E111" s="10">
        <f t="shared" si="9"/>
        <v>3.2122634571492452</v>
      </c>
      <c r="F111" s="10">
        <f t="shared" si="10"/>
        <v>2.5796591295341051</v>
      </c>
      <c r="G111" s="10">
        <f t="shared" si="11"/>
        <v>66.172627217274453</v>
      </c>
      <c r="H111" s="10">
        <f t="shared" si="12"/>
        <v>53.140978068402568</v>
      </c>
    </row>
    <row r="112" spans="1:8">
      <c r="A112" s="3">
        <v>10.4</v>
      </c>
      <c r="B112" s="10">
        <f t="shared" si="7"/>
        <v>0.80068689454550945</v>
      </c>
      <c r="C112" s="10">
        <f t="shared" si="8"/>
        <v>0.64109950309693176</v>
      </c>
      <c r="D112" s="3">
        <f t="shared" si="13"/>
        <v>2</v>
      </c>
      <c r="E112" s="10">
        <f t="shared" si="9"/>
        <v>1.6013737890910189</v>
      </c>
      <c r="F112" s="10">
        <f t="shared" si="10"/>
        <v>1.2821990061938635</v>
      </c>
      <c r="G112" s="10">
        <f t="shared" si="11"/>
        <v>33.308574813093195</v>
      </c>
      <c r="H112" s="10">
        <f t="shared" si="12"/>
        <v>26.66973932883236</v>
      </c>
    </row>
    <row r="113" spans="1:8">
      <c r="A113" s="3">
        <v>10.5</v>
      </c>
      <c r="B113" s="10">
        <f t="shared" si="7"/>
        <v>0.79829889368485452</v>
      </c>
      <c r="C113" s="10">
        <f t="shared" si="8"/>
        <v>0.63728112365846268</v>
      </c>
      <c r="D113" s="3">
        <f t="shared" si="13"/>
        <v>4</v>
      </c>
      <c r="E113" s="10">
        <f t="shared" si="9"/>
        <v>3.1931955747394181</v>
      </c>
      <c r="F113" s="10">
        <f t="shared" si="10"/>
        <v>2.5491244946338507</v>
      </c>
      <c r="G113" s="10">
        <f t="shared" si="11"/>
        <v>67.057107069527774</v>
      </c>
      <c r="H113" s="10">
        <f t="shared" si="12"/>
        <v>53.531614387310867</v>
      </c>
    </row>
    <row r="114" spans="1:8">
      <c r="A114" s="3">
        <v>10.6</v>
      </c>
      <c r="B114" s="10">
        <f t="shared" si="7"/>
        <v>0.79590187586301553</v>
      </c>
      <c r="C114" s="10">
        <f t="shared" si="8"/>
        <v>0.63345979600226698</v>
      </c>
      <c r="D114" s="3">
        <f t="shared" si="13"/>
        <v>2</v>
      </c>
      <c r="E114" s="10">
        <f t="shared" si="9"/>
        <v>1.5918037517260311</v>
      </c>
      <c r="F114" s="10">
        <f t="shared" si="10"/>
        <v>1.266919592004534</v>
      </c>
      <c r="G114" s="10">
        <f t="shared" si="11"/>
        <v>33.746239536591858</v>
      </c>
      <c r="H114" s="10">
        <f t="shared" si="12"/>
        <v>26.85869535049612</v>
      </c>
    </row>
    <row r="115" spans="1:8">
      <c r="A115" s="3">
        <v>10.700000000000001</v>
      </c>
      <c r="B115" s="10">
        <f t="shared" si="7"/>
        <v>0.7934958559863452</v>
      </c>
      <c r="C115" s="10">
        <f t="shared" si="8"/>
        <v>0.62963567346750271</v>
      </c>
      <c r="D115" s="3">
        <f t="shared" si="13"/>
        <v>4</v>
      </c>
      <c r="E115" s="10">
        <f t="shared" si="9"/>
        <v>3.1739834239453808</v>
      </c>
      <c r="F115" s="10">
        <f t="shared" si="10"/>
        <v>2.5185426938700108</v>
      </c>
      <c r="G115" s="10">
        <f t="shared" si="11"/>
        <v>67.92324527243116</v>
      </c>
      <c r="H115" s="10">
        <f t="shared" si="12"/>
        <v>53.896813648818238</v>
      </c>
    </row>
    <row r="116" spans="1:8">
      <c r="A116" s="3">
        <v>10.8</v>
      </c>
      <c r="B116" s="10">
        <f t="shared" si="7"/>
        <v>0.79108084971775239</v>
      </c>
      <c r="C116" s="10">
        <f t="shared" si="8"/>
        <v>0.6258089107901611</v>
      </c>
      <c r="D116" s="3">
        <f t="shared" si="13"/>
        <v>2</v>
      </c>
      <c r="E116" s="10">
        <f t="shared" si="9"/>
        <v>1.5821616994355048</v>
      </c>
      <c r="F116" s="10">
        <f t="shared" si="10"/>
        <v>1.2516178215803222</v>
      </c>
      <c r="G116" s="10">
        <f t="shared" si="11"/>
        <v>34.174692707806905</v>
      </c>
      <c r="H116" s="10">
        <f t="shared" si="12"/>
        <v>27.03494494613496</v>
      </c>
    </row>
    <row r="117" spans="1:8">
      <c r="A117" s="3">
        <v>10.9</v>
      </c>
      <c r="B117" s="10">
        <f t="shared" si="7"/>
        <v>0.78865687348457814</v>
      </c>
      <c r="C117" s="10">
        <f t="shared" si="8"/>
        <v>0.62197966409446992</v>
      </c>
      <c r="D117" s="3">
        <f t="shared" si="13"/>
        <v>4</v>
      </c>
      <c r="E117" s="10">
        <f t="shared" si="9"/>
        <v>3.1546274939383125</v>
      </c>
      <c r="F117" s="10">
        <f t="shared" si="10"/>
        <v>2.4879186563778797</v>
      </c>
      <c r="G117" s="10">
        <f t="shared" si="11"/>
        <v>68.770879367855215</v>
      </c>
      <c r="H117" s="10">
        <f t="shared" si="12"/>
        <v>54.236626709037779</v>
      </c>
    </row>
    <row r="118" spans="1:8">
      <c r="A118" s="3">
        <v>11</v>
      </c>
      <c r="B118" s="10">
        <f t="shared" si="7"/>
        <v>0.78622394448647404</v>
      </c>
      <c r="C118" s="10">
        <f t="shared" si="8"/>
        <v>0.61814809088387024</v>
      </c>
      <c r="D118" s="3">
        <f t="shared" si="13"/>
        <v>2</v>
      </c>
      <c r="E118" s="10">
        <f t="shared" si="9"/>
        <v>1.5724478889729481</v>
      </c>
      <c r="F118" s="10">
        <f t="shared" si="10"/>
        <v>1.2362961817677405</v>
      </c>
      <c r="G118" s="10">
        <f t="shared" si="11"/>
        <v>34.593853557404856</v>
      </c>
      <c r="H118" s="10">
        <f t="shared" si="12"/>
        <v>27.19851599889029</v>
      </c>
    </row>
    <row r="119" spans="1:8">
      <c r="A119" s="3">
        <v>11.1</v>
      </c>
      <c r="B119" s="10">
        <f t="shared" si="7"/>
        <v>0.78378208070328015</v>
      </c>
      <c r="C119" s="10">
        <f t="shared" si="8"/>
        <v>0.61431435003156321</v>
      </c>
      <c r="D119" s="3">
        <f t="shared" si="13"/>
        <v>4</v>
      </c>
      <c r="E119" s="10">
        <f t="shared" si="9"/>
        <v>3.1351283228131206</v>
      </c>
      <c r="F119" s="10">
        <f t="shared" si="10"/>
        <v>2.4572574001262528</v>
      </c>
      <c r="G119" s="10">
        <f t="shared" si="11"/>
        <v>69.599848766451274</v>
      </c>
      <c r="H119" s="10">
        <f t="shared" si="12"/>
        <v>54.551114282802814</v>
      </c>
    </row>
    <row r="120" spans="1:8">
      <c r="A120" s="3">
        <v>11.200000000000001</v>
      </c>
      <c r="B120" s="10">
        <f t="shared" si="7"/>
        <v>0.7813313009029047</v>
      </c>
      <c r="C120" s="10">
        <f t="shared" si="8"/>
        <v>0.61047860177062541</v>
      </c>
      <c r="D120" s="3">
        <f t="shared" si="13"/>
        <v>2</v>
      </c>
      <c r="E120" s="10">
        <f t="shared" si="9"/>
        <v>1.5626626018058094</v>
      </c>
      <c r="F120" s="10">
        <f t="shared" si="10"/>
        <v>1.2209572035412508</v>
      </c>
      <c r="G120" s="10">
        <f t="shared" si="11"/>
        <v>35.003642280450137</v>
      </c>
      <c r="H120" s="10">
        <f t="shared" si="12"/>
        <v>27.349441359324022</v>
      </c>
    </row>
    <row r="121" spans="1:8">
      <c r="A121" s="3">
        <v>11.3</v>
      </c>
      <c r="B121" s="10">
        <f t="shared" si="7"/>
        <v>0.77887162464919746</v>
      </c>
      <c r="C121" s="10">
        <f t="shared" si="8"/>
        <v>0.60664100768368034</v>
      </c>
      <c r="D121" s="3">
        <f t="shared" si="13"/>
        <v>4</v>
      </c>
      <c r="E121" s="10">
        <f t="shared" si="9"/>
        <v>3.1154864985967898</v>
      </c>
      <c r="F121" s="10">
        <f t="shared" si="10"/>
        <v>2.4265640307347214</v>
      </c>
      <c r="G121" s="10">
        <f t="shared" si="11"/>
        <v>70.409994868287455</v>
      </c>
      <c r="H121" s="10">
        <f t="shared" si="12"/>
        <v>54.840347094604709</v>
      </c>
    </row>
    <row r="122" spans="1:8">
      <c r="A122" s="3">
        <v>11.4</v>
      </c>
      <c r="B122" s="10">
        <f t="shared" si="7"/>
        <v>0.77640307230982131</v>
      </c>
      <c r="C122" s="10">
        <f t="shared" si="8"/>
        <v>0.60280173069212961</v>
      </c>
      <c r="D122" s="3">
        <f t="shared" si="13"/>
        <v>2</v>
      </c>
      <c r="E122" s="10">
        <f t="shared" si="9"/>
        <v>1.5528061446196426</v>
      </c>
      <c r="F122" s="10">
        <f t="shared" si="10"/>
        <v>1.2056034613842592</v>
      </c>
      <c r="G122" s="10">
        <f t="shared" si="11"/>
        <v>35.403980097327853</v>
      </c>
      <c r="H122" s="10">
        <f t="shared" si="12"/>
        <v>27.487758919561109</v>
      </c>
    </row>
    <row r="123" spans="1:8">
      <c r="A123" s="3">
        <v>11.5</v>
      </c>
      <c r="B123" s="10">
        <f t="shared" si="7"/>
        <v>0.77392566506411609</v>
      </c>
      <c r="C123" s="10">
        <f t="shared" si="8"/>
        <v>0.59896093504493442</v>
      </c>
      <c r="D123" s="3">
        <f t="shared" si="13"/>
        <v>4</v>
      </c>
      <c r="E123" s="10">
        <f t="shared" si="9"/>
        <v>3.0957026602564643</v>
      </c>
      <c r="F123" s="10">
        <f t="shared" si="10"/>
        <v>2.3958437401797377</v>
      </c>
      <c r="G123" s="10">
        <f t="shared" si="11"/>
        <v>71.201161185898684</v>
      </c>
      <c r="H123" s="10">
        <f t="shared" si="12"/>
        <v>55.104406024133965</v>
      </c>
    </row>
    <row r="124" spans="1:8">
      <c r="A124" s="3">
        <v>11.6</v>
      </c>
      <c r="B124" s="10">
        <f t="shared" si="7"/>
        <v>0.7714394249109553</v>
      </c>
      <c r="C124" s="10">
        <f t="shared" si="8"/>
        <v>0.59511878630694548</v>
      </c>
      <c r="D124" s="3">
        <f t="shared" si="13"/>
        <v>2</v>
      </c>
      <c r="E124" s="10">
        <f t="shared" si="9"/>
        <v>1.5428788498219106</v>
      </c>
      <c r="F124" s="10">
        <f t="shared" si="10"/>
        <v>1.190237572613891</v>
      </c>
      <c r="G124" s="10">
        <f t="shared" si="11"/>
        <v>35.794789315868321</v>
      </c>
      <c r="H124" s="10">
        <f t="shared" si="12"/>
        <v>27.613511684642269</v>
      </c>
    </row>
    <row r="125" spans="1:8">
      <c r="A125" s="3">
        <v>11.700000000000001</v>
      </c>
      <c r="B125" s="10">
        <f t="shared" si="7"/>
        <v>0.76894437467659205</v>
      </c>
      <c r="C125" s="10">
        <f t="shared" si="8"/>
        <v>0.59127545134677517</v>
      </c>
      <c r="D125" s="3">
        <f t="shared" si="13"/>
        <v>4</v>
      </c>
      <c r="E125" s="10">
        <f t="shared" si="9"/>
        <v>3.0757774987063682</v>
      </c>
      <c r="F125" s="10">
        <f t="shared" si="10"/>
        <v>2.3651018053871007</v>
      </c>
      <c r="G125" s="10">
        <f t="shared" si="11"/>
        <v>71.973193469729026</v>
      </c>
      <c r="H125" s="10">
        <f t="shared" si="12"/>
        <v>55.343382246058162</v>
      </c>
    </row>
    <row r="126" spans="1:8">
      <c r="A126" s="3">
        <v>11.8</v>
      </c>
      <c r="B126" s="10">
        <f t="shared" si="7"/>
        <v>0.76644053802249357</v>
      </c>
      <c r="C126" s="10">
        <f t="shared" si="8"/>
        <v>0.58743109832420937</v>
      </c>
      <c r="D126" s="3">
        <f t="shared" si="13"/>
        <v>2</v>
      </c>
      <c r="E126" s="10">
        <f t="shared" si="9"/>
        <v>1.5328810760449871</v>
      </c>
      <c r="F126" s="10">
        <f t="shared" si="10"/>
        <v>1.1748621966484187</v>
      </c>
      <c r="G126" s="10">
        <f t="shared" si="11"/>
        <v>36.175993394661695</v>
      </c>
      <c r="H126" s="10">
        <f t="shared" si="12"/>
        <v>27.726747840902682</v>
      </c>
    </row>
    <row r="127" spans="1:8">
      <c r="A127" s="3">
        <v>11.9</v>
      </c>
      <c r="B127" s="10">
        <f t="shared" si="7"/>
        <v>0.76392793945316151</v>
      </c>
      <c r="C127" s="10">
        <f t="shared" si="8"/>
        <v>0.58358589667715322</v>
      </c>
      <c r="D127" s="3">
        <f t="shared" si="13"/>
        <v>4</v>
      </c>
      <c r="E127" s="10">
        <f t="shared" si="9"/>
        <v>3.055711757812646</v>
      </c>
      <c r="F127" s="10">
        <f t="shared" si="10"/>
        <v>2.3343435867086129</v>
      </c>
      <c r="G127" s="10">
        <f t="shared" si="11"/>
        <v>72.725939835940977</v>
      </c>
      <c r="H127" s="10">
        <f t="shared" si="12"/>
        <v>55.55737736366499</v>
      </c>
    </row>
    <row r="128" spans="1:8">
      <c r="A128" s="3">
        <v>12</v>
      </c>
      <c r="B128" s="10">
        <f t="shared" si="7"/>
        <v>0.76140660432393714</v>
      </c>
      <c r="C128" s="10">
        <f t="shared" si="8"/>
        <v>0.57974001710810863</v>
      </c>
      <c r="D128" s="3">
        <f t="shared" si="13"/>
        <v>2</v>
      </c>
      <c r="E128" s="10">
        <f t="shared" si="9"/>
        <v>1.5228132086478743</v>
      </c>
      <c r="F128" s="10">
        <f t="shared" si="10"/>
        <v>1.1594800342162173</v>
      </c>
      <c r="G128" s="10">
        <f t="shared" si="11"/>
        <v>36.547517007548983</v>
      </c>
      <c r="H128" s="10">
        <f t="shared" si="12"/>
        <v>27.827520821189214</v>
      </c>
    </row>
    <row r="129" spans="1:8">
      <c r="A129" s="3">
        <v>12.1</v>
      </c>
      <c r="B129" s="10">
        <f t="shared" si="7"/>
        <v>0.75887655884878713</v>
      </c>
      <c r="C129" s="10">
        <f t="shared" si="8"/>
        <v>0.5758936315701767</v>
      </c>
      <c r="D129" s="3">
        <f t="shared" si="13"/>
        <v>4</v>
      </c>
      <c r="E129" s="10">
        <f t="shared" si="9"/>
        <v>3.0355062353951485</v>
      </c>
      <c r="F129" s="10">
        <f t="shared" si="10"/>
        <v>2.3035745262807068</v>
      </c>
      <c r="G129" s="10">
        <f t="shared" si="11"/>
        <v>73.459250896562594</v>
      </c>
      <c r="H129" s="10">
        <f t="shared" si="12"/>
        <v>55.746503535993106</v>
      </c>
    </row>
    <row r="130" spans="1:8">
      <c r="A130" s="3">
        <v>12.200000000000001</v>
      </c>
      <c r="B130" s="10">
        <f t="shared" si="7"/>
        <v>0.75633783010807298</v>
      </c>
      <c r="C130" s="10">
        <f t="shared" si="8"/>
        <v>0.57204691325258827</v>
      </c>
      <c r="D130" s="3">
        <f t="shared" si="13"/>
        <v>2</v>
      </c>
      <c r="E130" s="10">
        <f t="shared" si="9"/>
        <v>1.512675660216146</v>
      </c>
      <c r="F130" s="10">
        <f t="shared" si="10"/>
        <v>1.1440938265051765</v>
      </c>
      <c r="G130" s="10">
        <f t="shared" si="11"/>
        <v>36.909286109273964</v>
      </c>
      <c r="H130" s="10">
        <f t="shared" si="12"/>
        <v>27.915889366726311</v>
      </c>
    </row>
    <row r="131" spans="1:8">
      <c r="A131" s="3">
        <v>12.3</v>
      </c>
      <c r="B131" s="10">
        <f t="shared" si="7"/>
        <v>0.75379044605629364</v>
      </c>
      <c r="C131" s="10">
        <f t="shared" si="8"/>
        <v>0.56820003656574614</v>
      </c>
      <c r="D131" s="3">
        <f t="shared" si="13"/>
        <v>4</v>
      </c>
      <c r="E131" s="10">
        <f t="shared" si="9"/>
        <v>3.0151617842251746</v>
      </c>
      <c r="F131" s="10">
        <f t="shared" si="10"/>
        <v>2.2728001462629845</v>
      </c>
      <c r="G131" s="10">
        <f t="shared" si="11"/>
        <v>74.172979891939292</v>
      </c>
      <c r="H131" s="10">
        <f t="shared" si="12"/>
        <v>55.910883598069425</v>
      </c>
    </row>
    <row r="132" spans="1:8">
      <c r="A132" s="3">
        <v>12.4</v>
      </c>
      <c r="B132" s="10">
        <f t="shared" si="7"/>
        <v>0.75123443552980795</v>
      </c>
      <c r="C132" s="10">
        <f t="shared" si="8"/>
        <v>0.56435317712578914</v>
      </c>
      <c r="D132" s="3">
        <f t="shared" si="13"/>
        <v>2</v>
      </c>
      <c r="E132" s="10">
        <f t="shared" si="9"/>
        <v>1.5024688710596159</v>
      </c>
      <c r="F132" s="10">
        <f t="shared" si="10"/>
        <v>1.1287063542515783</v>
      </c>
      <c r="G132" s="10">
        <f t="shared" si="11"/>
        <v>37.261228002278479</v>
      </c>
      <c r="H132" s="10">
        <f t="shared" si="12"/>
        <v>27.991917585439143</v>
      </c>
    </row>
    <row r="133" spans="1:8">
      <c r="A133" s="3">
        <v>12.5</v>
      </c>
      <c r="B133" s="10">
        <f t="shared" si="7"/>
        <v>0.74866982825452877</v>
      </c>
      <c r="C133" s="10">
        <f t="shared" si="8"/>
        <v>0.56050651173866561</v>
      </c>
      <c r="D133" s="3">
        <f t="shared" si="13"/>
        <v>4</v>
      </c>
      <c r="E133" s="10">
        <f t="shared" si="9"/>
        <v>2.9946793130181151</v>
      </c>
      <c r="F133" s="10">
        <f t="shared" si="10"/>
        <v>2.2420260469546625</v>
      </c>
      <c r="G133" s="10">
        <f t="shared" si="11"/>
        <v>74.86698282545288</v>
      </c>
      <c r="H133" s="10">
        <f t="shared" si="12"/>
        <v>56.050651173866562</v>
      </c>
    </row>
    <row r="134" spans="1:8">
      <c r="A134" s="3">
        <v>12.6</v>
      </c>
      <c r="B134" s="10">
        <f t="shared" si="7"/>
        <v>0.74609665485358956</v>
      </c>
      <c r="C134" s="10">
        <f t="shared" si="8"/>
        <v>0.55666021838371638</v>
      </c>
      <c r="D134" s="3">
        <f t="shared" si="13"/>
        <v>2</v>
      </c>
      <c r="E134" s="10">
        <f t="shared" si="9"/>
        <v>1.4921933097071791</v>
      </c>
      <c r="F134" s="10">
        <f t="shared" si="10"/>
        <v>1.1133204367674328</v>
      </c>
      <c r="G134" s="10">
        <f t="shared" si="11"/>
        <v>37.603271404620912</v>
      </c>
      <c r="H134" s="10">
        <f t="shared" si="12"/>
        <v>28.055675006539303</v>
      </c>
    </row>
    <row r="135" spans="1:8">
      <c r="A135" s="3">
        <v>12.700000000000001</v>
      </c>
      <c r="B135" s="10">
        <f t="shared" si="7"/>
        <v>0.7435149468549801</v>
      </c>
      <c r="C135" s="10">
        <f t="shared" si="8"/>
        <v>0.55281447619676383</v>
      </c>
      <c r="D135" s="3">
        <f t="shared" si="13"/>
        <v>4</v>
      </c>
      <c r="E135" s="10">
        <f t="shared" si="9"/>
        <v>2.9740597874199204</v>
      </c>
      <c r="F135" s="10">
        <f t="shared" si="10"/>
        <v>2.2112579047870553</v>
      </c>
      <c r="G135" s="10">
        <f t="shared" si="11"/>
        <v>75.541118600465978</v>
      </c>
      <c r="H135" s="10">
        <f t="shared" si="12"/>
        <v>56.165950781591206</v>
      </c>
    </row>
    <row r="136" spans="1:8">
      <c r="A136" s="3">
        <v>12.8</v>
      </c>
      <c r="B136" s="10">
        <f t="shared" si="7"/>
        <v>0.74092473669914827</v>
      </c>
      <c r="C136" s="10">
        <f t="shared" si="8"/>
        <v>0.5489694654527022</v>
      </c>
      <c r="D136" s="3">
        <f t="shared" si="13"/>
        <v>2</v>
      </c>
      <c r="E136" s="10">
        <f t="shared" si="9"/>
        <v>1.4818494733982965</v>
      </c>
      <c r="F136" s="10">
        <f t="shared" si="10"/>
        <v>1.0979389309054044</v>
      </c>
      <c r="G136" s="10">
        <f t="shared" si="11"/>
        <v>37.93534651899639</v>
      </c>
      <c r="H136" s="10">
        <f t="shared" si="12"/>
        <v>28.107236631178353</v>
      </c>
    </row>
    <row r="137" spans="1:8">
      <c r="A137" s="3">
        <v>12.9</v>
      </c>
      <c r="B137" s="10">
        <f t="shared" ref="B137:B200" si="14">$B$5^(($B$4^50)*(($B$4^A137)-1))</f>
        <v>0.7383260577465679</v>
      </c>
      <c r="C137" s="10">
        <f t="shared" ref="C137:C200" si="15">B137^2</f>
        <v>0.54512536754758834</v>
      </c>
      <c r="D137" s="3">
        <f t="shared" si="13"/>
        <v>4</v>
      </c>
      <c r="E137" s="10">
        <f t="shared" ref="E137:E200" si="16">B137*D137</f>
        <v>2.9533042309862716</v>
      </c>
      <c r="F137" s="10">
        <f t="shared" ref="F137:F200" si="17">C137*D137</f>
        <v>2.1805014701903533</v>
      </c>
      <c r="G137" s="10">
        <f t="shared" ref="G137:G200" si="18">2*A137*B137*D137</f>
        <v>76.195249159445808</v>
      </c>
      <c r="H137" s="10">
        <f t="shared" ref="H137:H200" si="19">2*A137*C137*D137</f>
        <v>56.256937930911121</v>
      </c>
    </row>
    <row r="138" spans="1:8">
      <c r="A138" s="3">
        <v>13</v>
      </c>
      <c r="B138" s="10">
        <f t="shared" si="14"/>
        <v>0.73571894428526829</v>
      </c>
      <c r="C138" s="10">
        <f t="shared" si="15"/>
        <v>0.54128236498022975</v>
      </c>
      <c r="D138" s="3">
        <f t="shared" si="13"/>
        <v>2</v>
      </c>
      <c r="E138" s="10">
        <f t="shared" si="16"/>
        <v>1.4714378885705366</v>
      </c>
      <c r="F138" s="10">
        <f t="shared" si="17"/>
        <v>1.0825647299604595</v>
      </c>
      <c r="G138" s="10">
        <f t="shared" si="18"/>
        <v>38.25738510283395</v>
      </c>
      <c r="H138" s="10">
        <f t="shared" si="19"/>
        <v>28.146682978971945</v>
      </c>
    </row>
    <row r="139" spans="1:8">
      <c r="A139" s="3">
        <v>13.1</v>
      </c>
      <c r="B139" s="10">
        <f t="shared" si="14"/>
        <v>0.73310343153832191</v>
      </c>
      <c r="C139" s="10">
        <f t="shared" si="15"/>
        <v>0.53744064133326308</v>
      </c>
      <c r="D139" s="3">
        <f t="shared" ref="D139:D202" si="20">IF(D138=4,2,4)</f>
        <v>4</v>
      </c>
      <c r="E139" s="10">
        <f t="shared" si="16"/>
        <v>2.9324137261532877</v>
      </c>
      <c r="F139" s="10">
        <f t="shared" si="17"/>
        <v>2.1497625653330523</v>
      </c>
      <c r="G139" s="10">
        <f t="shared" si="18"/>
        <v>76.829239625216132</v>
      </c>
      <c r="H139" s="10">
        <f t="shared" si="19"/>
        <v>56.32377921172597</v>
      </c>
    </row>
    <row r="140" spans="1:8">
      <c r="A140" s="3">
        <v>13.200000000000001</v>
      </c>
      <c r="B140" s="10">
        <f t="shared" si="14"/>
        <v>0.73047955567129363</v>
      </c>
      <c r="C140" s="10">
        <f t="shared" si="15"/>
        <v>0.53360038125373055</v>
      </c>
      <c r="D140" s="3">
        <f t="shared" si="20"/>
        <v>2</v>
      </c>
      <c r="E140" s="10">
        <f t="shared" si="16"/>
        <v>1.4609591113425873</v>
      </c>
      <c r="F140" s="10">
        <f t="shared" si="17"/>
        <v>1.0672007625074611</v>
      </c>
      <c r="G140" s="10">
        <f t="shared" si="18"/>
        <v>38.569320539444305</v>
      </c>
      <c r="H140" s="10">
        <f t="shared" si="19"/>
        <v>28.174100130196976</v>
      </c>
    </row>
    <row r="141" spans="1:8">
      <c r="A141" s="3">
        <v>13.3</v>
      </c>
      <c r="B141" s="10">
        <f t="shared" si="14"/>
        <v>0.72784735379964027</v>
      </c>
      <c r="C141" s="10">
        <f t="shared" si="15"/>
        <v>0.52976177043313877</v>
      </c>
      <c r="D141" s="3">
        <f t="shared" si="20"/>
        <v>4</v>
      </c>
      <c r="E141" s="10">
        <f t="shared" si="16"/>
        <v>2.9113894151985611</v>
      </c>
      <c r="F141" s="10">
        <f t="shared" si="17"/>
        <v>2.1190470817325551</v>
      </c>
      <c r="G141" s="10">
        <f t="shared" si="18"/>
        <v>77.442958444281729</v>
      </c>
      <c r="H141" s="10">
        <f t="shared" si="19"/>
        <v>56.366652374085966</v>
      </c>
    </row>
    <row r="142" spans="1:8">
      <c r="A142" s="3">
        <v>13.4</v>
      </c>
      <c r="B142" s="10">
        <f t="shared" si="14"/>
        <v>0.72520686399606515</v>
      </c>
      <c r="C142" s="10">
        <f t="shared" si="15"/>
        <v>0.52592499558700734</v>
      </c>
      <c r="D142" s="3">
        <f t="shared" si="20"/>
        <v>2</v>
      </c>
      <c r="E142" s="10">
        <f t="shared" si="16"/>
        <v>1.4504137279921303</v>
      </c>
      <c r="F142" s="10">
        <f t="shared" si="17"/>
        <v>1.0518499911740147</v>
      </c>
      <c r="G142" s="10">
        <f t="shared" si="18"/>
        <v>38.871087910189097</v>
      </c>
      <c r="H142" s="10">
        <f t="shared" si="19"/>
        <v>28.189579763463595</v>
      </c>
    </row>
    <row r="143" spans="1:8">
      <c r="A143" s="3">
        <v>13.5</v>
      </c>
      <c r="B143" s="10">
        <f t="shared" si="14"/>
        <v>0.72255812529782171</v>
      </c>
      <c r="C143" s="10">
        <f t="shared" si="15"/>
        <v>0.52209024443390262</v>
      </c>
      <c r="D143" s="3">
        <f t="shared" si="20"/>
        <v>4</v>
      </c>
      <c r="E143" s="10">
        <f t="shared" si="16"/>
        <v>2.8902325011912868</v>
      </c>
      <c r="F143" s="10">
        <f t="shared" si="17"/>
        <v>2.0883609777356105</v>
      </c>
      <c r="G143" s="10">
        <f t="shared" si="18"/>
        <v>78.036277532164746</v>
      </c>
      <c r="H143" s="10">
        <f t="shared" si="19"/>
        <v>56.385746398861485</v>
      </c>
    </row>
    <row r="144" spans="1:8">
      <c r="A144" s="3">
        <v>13.6</v>
      </c>
      <c r="B144" s="10">
        <f t="shared" si="14"/>
        <v>0.71990117771396467</v>
      </c>
      <c r="C144" s="10">
        <f t="shared" si="15"/>
        <v>0.51825770567395335</v>
      </c>
      <c r="D144" s="3">
        <f t="shared" si="20"/>
        <v>2</v>
      </c>
      <c r="E144" s="10">
        <f t="shared" si="16"/>
        <v>1.4398023554279293</v>
      </c>
      <c r="F144" s="10">
        <f t="shared" si="17"/>
        <v>1.0365154113479067</v>
      </c>
      <c r="G144" s="10">
        <f t="shared" si="18"/>
        <v>39.162624067639676</v>
      </c>
      <c r="H144" s="10">
        <f t="shared" si="19"/>
        <v>28.193219188663061</v>
      </c>
    </row>
    <row r="145" spans="1:8">
      <c r="A145" s="3">
        <v>13.700000000000001</v>
      </c>
      <c r="B145" s="10">
        <f t="shared" si="14"/>
        <v>0.71723606223254477</v>
      </c>
      <c r="C145" s="10">
        <f t="shared" si="15"/>
        <v>0.51442756896684683</v>
      </c>
      <c r="D145" s="3">
        <f t="shared" si="20"/>
        <v>4</v>
      </c>
      <c r="E145" s="10">
        <f t="shared" si="16"/>
        <v>2.8689442489301791</v>
      </c>
      <c r="F145" s="10">
        <f t="shared" si="17"/>
        <v>2.0577102758673873</v>
      </c>
      <c r="G145" s="10">
        <f t="shared" si="18"/>
        <v>78.609072420686914</v>
      </c>
      <c r="H145" s="10">
        <f t="shared" si="19"/>
        <v>56.381261558766418</v>
      </c>
    </row>
    <row r="146" spans="1:8">
      <c r="A146" s="3">
        <v>13.8</v>
      </c>
      <c r="B146" s="10">
        <f t="shared" si="14"/>
        <v>0.7145628208277468</v>
      </c>
      <c r="C146" s="10">
        <f t="shared" si="15"/>
        <v>0.51060002490930656</v>
      </c>
      <c r="D146" s="3">
        <f t="shared" si="20"/>
        <v>2</v>
      </c>
      <c r="E146" s="10">
        <f t="shared" si="16"/>
        <v>1.4291256416554936</v>
      </c>
      <c r="F146" s="10">
        <f t="shared" si="17"/>
        <v>1.0212000498186131</v>
      </c>
      <c r="G146" s="10">
        <f t="shared" si="18"/>
        <v>39.443867709691624</v>
      </c>
      <c r="H146" s="10">
        <f t="shared" si="19"/>
        <v>28.185121374993724</v>
      </c>
    </row>
    <row r="147" spans="1:8">
      <c r="A147" s="3">
        <v>13.9</v>
      </c>
      <c r="B147" s="10">
        <f t="shared" si="14"/>
        <v>0.71188149646696497</v>
      </c>
      <c r="C147" s="10">
        <f t="shared" si="15"/>
        <v>0.50677526501204551</v>
      </c>
      <c r="D147" s="3">
        <f t="shared" si="20"/>
        <v>4</v>
      </c>
      <c r="E147" s="10">
        <f t="shared" si="16"/>
        <v>2.8475259858678599</v>
      </c>
      <c r="F147" s="10">
        <f t="shared" si="17"/>
        <v>2.027101060048182</v>
      </c>
      <c r="G147" s="10">
        <f t="shared" si="18"/>
        <v>79.161222407126502</v>
      </c>
      <c r="H147" s="10">
        <f t="shared" si="19"/>
        <v>56.353409469339461</v>
      </c>
    </row>
    <row r="148" spans="1:8">
      <c r="A148" s="3">
        <v>14</v>
      </c>
      <c r="B148" s="10">
        <f t="shared" si="14"/>
        <v>0.70919213311781626</v>
      </c>
      <c r="C148" s="10">
        <f t="shared" si="15"/>
        <v>0.50295348167619847</v>
      </c>
      <c r="D148" s="3">
        <f t="shared" si="20"/>
        <v>2</v>
      </c>
      <c r="E148" s="10">
        <f t="shared" si="16"/>
        <v>1.4183842662356325</v>
      </c>
      <c r="F148" s="10">
        <f t="shared" si="17"/>
        <v>1.0059069633523969</v>
      </c>
      <c r="G148" s="10">
        <f t="shared" si="18"/>
        <v>39.714759454597711</v>
      </c>
      <c r="H148" s="10">
        <f t="shared" si="19"/>
        <v>28.165394973867116</v>
      </c>
    </row>
    <row r="149" spans="1:8">
      <c r="A149" s="3">
        <v>14.1</v>
      </c>
      <c r="B149" s="10">
        <f t="shared" si="14"/>
        <v>0.70649477575508457</v>
      </c>
      <c r="C149" s="10">
        <f t="shared" si="15"/>
        <v>0.49913486816922725</v>
      </c>
      <c r="D149" s="3">
        <f t="shared" si="20"/>
        <v>4</v>
      </c>
      <c r="E149" s="10">
        <f t="shared" si="16"/>
        <v>2.8259791030203383</v>
      </c>
      <c r="F149" s="10">
        <f t="shared" si="17"/>
        <v>1.996539472676909</v>
      </c>
      <c r="G149" s="10">
        <f t="shared" si="18"/>
        <v>79.692610705173536</v>
      </c>
      <c r="H149" s="10">
        <f t="shared" si="19"/>
        <v>56.302413129488833</v>
      </c>
    </row>
    <row r="150" spans="1:8">
      <c r="A150" s="3">
        <v>14.200000000000001</v>
      </c>
      <c r="B150" s="10">
        <f t="shared" si="14"/>
        <v>0.70378947036760076</v>
      </c>
      <c r="C150" s="10">
        <f t="shared" si="15"/>
        <v>0.49531961860030799</v>
      </c>
      <c r="D150" s="3">
        <f t="shared" si="20"/>
        <v>2</v>
      </c>
      <c r="E150" s="10">
        <f t="shared" si="16"/>
        <v>1.4075789407352015</v>
      </c>
      <c r="F150" s="10">
        <f t="shared" si="17"/>
        <v>0.99063923720061597</v>
      </c>
      <c r="G150" s="10">
        <f t="shared" si="18"/>
        <v>39.975241916879725</v>
      </c>
      <c r="H150" s="10">
        <f t="shared" si="19"/>
        <v>28.134154336497495</v>
      </c>
    </row>
    <row r="151" spans="1:8">
      <c r="A151" s="3">
        <v>14.3</v>
      </c>
      <c r="B151" s="10">
        <f t="shared" si="14"/>
        <v>0.70107626396504308</v>
      </c>
      <c r="C151" s="10">
        <f t="shared" si="15"/>
        <v>0.49150792789518277</v>
      </c>
      <c r="D151" s="3">
        <f t="shared" si="20"/>
        <v>4</v>
      </c>
      <c r="E151" s="10">
        <f t="shared" si="16"/>
        <v>2.8043050558601723</v>
      </c>
      <c r="F151" s="10">
        <f t="shared" si="17"/>
        <v>1.9660317115807311</v>
      </c>
      <c r="G151" s="10">
        <f t="shared" si="18"/>
        <v>80.203124597600933</v>
      </c>
      <c r="H151" s="10">
        <f t="shared" si="19"/>
        <v>56.228506951208914</v>
      </c>
    </row>
    <row r="152" spans="1:8">
      <c r="A152" s="3">
        <v>14.4</v>
      </c>
      <c r="B152" s="10">
        <f t="shared" si="14"/>
        <v>0.69835520458466838</v>
      </c>
      <c r="C152" s="10">
        <f t="shared" si="15"/>
        <v>0.487699991770494</v>
      </c>
      <c r="D152" s="3">
        <f t="shared" si="20"/>
        <v>2</v>
      </c>
      <c r="E152" s="10">
        <f t="shared" si="16"/>
        <v>1.3967104091693368</v>
      </c>
      <c r="F152" s="10">
        <f t="shared" si="17"/>
        <v>0.975399983540988</v>
      </c>
      <c r="G152" s="10">
        <f t="shared" si="18"/>
        <v>40.225259784076897</v>
      </c>
      <c r="H152" s="10">
        <f t="shared" si="19"/>
        <v>28.091519525980456</v>
      </c>
    </row>
    <row r="153" spans="1:8">
      <c r="A153" s="3">
        <v>14.5</v>
      </c>
      <c r="B153" s="10">
        <f t="shared" si="14"/>
        <v>0.69562634129796164</v>
      </c>
      <c r="C153" s="10">
        <f t="shared" si="15"/>
        <v>0.4838960067075882</v>
      </c>
      <c r="D153" s="3">
        <f t="shared" si="20"/>
        <v>4</v>
      </c>
      <c r="E153" s="10">
        <f t="shared" si="16"/>
        <v>2.7825053651918465</v>
      </c>
      <c r="F153" s="10">
        <f t="shared" si="17"/>
        <v>1.9355840268303528</v>
      </c>
      <c r="G153" s="10">
        <f t="shared" si="18"/>
        <v>80.692655590563547</v>
      </c>
      <c r="H153" s="10">
        <f t="shared" si="19"/>
        <v>56.131936778080231</v>
      </c>
    </row>
    <row r="154" spans="1:8">
      <c r="A154" s="3">
        <v>14.6</v>
      </c>
      <c r="B154" s="10">
        <f t="shared" si="14"/>
        <v>0.69288972421720652</v>
      </c>
      <c r="C154" s="10">
        <f t="shared" si="15"/>
        <v>0.48009616992579651</v>
      </c>
      <c r="D154" s="3">
        <f t="shared" si="20"/>
        <v>2</v>
      </c>
      <c r="E154" s="10">
        <f t="shared" si="16"/>
        <v>1.385779448434413</v>
      </c>
      <c r="F154" s="10">
        <f t="shared" si="17"/>
        <v>0.96019233985159302</v>
      </c>
      <c r="G154" s="10">
        <f t="shared" si="18"/>
        <v>40.46475989428486</v>
      </c>
      <c r="H154" s="10">
        <f t="shared" si="19"/>
        <v>28.037616323666516</v>
      </c>
    </row>
    <row r="155" spans="1:8">
      <c r="A155" s="3">
        <v>14.700000000000001</v>
      </c>
      <c r="B155" s="10">
        <f t="shared" si="14"/>
        <v>0.69014540450196904</v>
      </c>
      <c r="C155" s="10">
        <f t="shared" si="15"/>
        <v>0.47630067935518644</v>
      </c>
      <c r="D155" s="3">
        <f t="shared" si="20"/>
        <v>4</v>
      </c>
      <c r="E155" s="10">
        <f t="shared" si="16"/>
        <v>2.7605816180078762</v>
      </c>
      <c r="F155" s="10">
        <f t="shared" si="17"/>
        <v>1.9052027174207458</v>
      </c>
      <c r="G155" s="10">
        <f t="shared" si="18"/>
        <v>81.16109956943157</v>
      </c>
      <c r="H155" s="10">
        <f t="shared" si="19"/>
        <v>56.012959892169931</v>
      </c>
    </row>
    <row r="156" spans="1:8">
      <c r="A156" s="3">
        <v>14.8</v>
      </c>
      <c r="B156" s="10">
        <f t="shared" si="14"/>
        <v>0.68739343436549616</v>
      </c>
      <c r="C156" s="10">
        <f t="shared" si="15"/>
        <v>0.47250973360879167</v>
      </c>
      <c r="D156" s="3">
        <f t="shared" si="20"/>
        <v>2</v>
      </c>
      <c r="E156" s="10">
        <f t="shared" si="16"/>
        <v>1.3747868687309923</v>
      </c>
      <c r="F156" s="10">
        <f t="shared" si="17"/>
        <v>0.94501946721758334</v>
      </c>
      <c r="G156" s="10">
        <f t="shared" si="18"/>
        <v>40.693691314437373</v>
      </c>
      <c r="H156" s="10">
        <f t="shared" si="19"/>
        <v>27.972576229640467</v>
      </c>
    </row>
    <row r="157" spans="1:8">
      <c r="A157" s="3">
        <v>14.9</v>
      </c>
      <c r="B157" s="10">
        <f t="shared" si="14"/>
        <v>0.68463386708102236</v>
      </c>
      <c r="C157" s="10">
        <f t="shared" si="15"/>
        <v>0.46872353195431499</v>
      </c>
      <c r="D157" s="3">
        <f t="shared" si="20"/>
        <v>4</v>
      </c>
      <c r="E157" s="10">
        <f t="shared" si="16"/>
        <v>2.7385354683240895</v>
      </c>
      <c r="F157" s="10">
        <f t="shared" si="17"/>
        <v>1.8748941278172599</v>
      </c>
      <c r="G157" s="10">
        <f t="shared" si="18"/>
        <v>81.608356956057861</v>
      </c>
      <c r="H157" s="10">
        <f t="shared" si="19"/>
        <v>55.871845008954345</v>
      </c>
    </row>
    <row r="158" spans="1:8">
      <c r="A158" s="3">
        <v>15</v>
      </c>
      <c r="B158" s="10">
        <f t="shared" si="14"/>
        <v>0.68186675698798271</v>
      </c>
      <c r="C158" s="10">
        <f t="shared" si="15"/>
        <v>0.46494227428530865</v>
      </c>
      <c r="D158" s="3">
        <f t="shared" si="20"/>
        <v>2</v>
      </c>
      <c r="E158" s="10">
        <f t="shared" si="16"/>
        <v>1.3637335139759654</v>
      </c>
      <c r="F158" s="10">
        <f t="shared" si="17"/>
        <v>0.92988454857061731</v>
      </c>
      <c r="G158" s="10">
        <f t="shared" si="18"/>
        <v>40.912005419278962</v>
      </c>
      <c r="H158" s="10">
        <f t="shared" si="19"/>
        <v>27.896536457118518</v>
      </c>
    </row>
    <row r="159" spans="1:8">
      <c r="A159" s="3">
        <v>15.1</v>
      </c>
      <c r="B159" s="10">
        <f t="shared" si="14"/>
        <v>0.67909215949812785</v>
      </c>
      <c r="C159" s="10">
        <f t="shared" si="15"/>
        <v>0.46116616109183073</v>
      </c>
      <c r="D159" s="3">
        <f t="shared" si="20"/>
        <v>4</v>
      </c>
      <c r="E159" s="10">
        <f t="shared" si="16"/>
        <v>2.7163686379925114</v>
      </c>
      <c r="F159" s="10">
        <f t="shared" si="17"/>
        <v>1.8446646443673229</v>
      </c>
      <c r="G159" s="10">
        <f t="shared" si="18"/>
        <v>82.034332867373848</v>
      </c>
      <c r="H159" s="10">
        <f t="shared" si="19"/>
        <v>55.708872259893148</v>
      </c>
    </row>
    <row r="160" spans="1:8">
      <c r="A160" s="3">
        <v>15.200000000000001</v>
      </c>
      <c r="B160" s="10">
        <f t="shared" si="14"/>
        <v>0.67631013110154237</v>
      </c>
      <c r="C160" s="10">
        <f t="shared" si="15"/>
        <v>0.45739539343058544</v>
      </c>
      <c r="D160" s="3">
        <f t="shared" si="20"/>
        <v>2</v>
      </c>
      <c r="E160" s="10">
        <f t="shared" si="16"/>
        <v>1.3526202622030847</v>
      </c>
      <c r="F160" s="10">
        <f t="shared" si="17"/>
        <v>0.91479078686117088</v>
      </c>
      <c r="G160" s="10">
        <f t="shared" si="18"/>
        <v>41.119655970973781</v>
      </c>
      <c r="H160" s="10">
        <f t="shared" si="19"/>
        <v>27.809639920579595</v>
      </c>
    </row>
    <row r="161" spans="1:8">
      <c r="A161" s="3">
        <v>15.3</v>
      </c>
      <c r="B161" s="10">
        <f t="shared" si="14"/>
        <v>0.67352072937255414</v>
      </c>
      <c r="C161" s="10">
        <f t="shared" si="15"/>
        <v>0.45363017289453733</v>
      </c>
      <c r="D161" s="3">
        <f t="shared" si="20"/>
        <v>4</v>
      </c>
      <c r="E161" s="10">
        <f t="shared" si="16"/>
        <v>2.6940829174902166</v>
      </c>
      <c r="F161" s="10">
        <f t="shared" si="17"/>
        <v>1.8145206915781493</v>
      </c>
      <c r="G161" s="10">
        <f t="shared" si="18"/>
        <v>82.43893727520063</v>
      </c>
      <c r="H161" s="10">
        <f t="shared" si="19"/>
        <v>55.52433316229137</v>
      </c>
    </row>
    <row r="162" spans="1:8">
      <c r="A162" s="3">
        <v>15.4</v>
      </c>
      <c r="B162" s="10">
        <f t="shared" si="14"/>
        <v>0.67072401297554063</v>
      </c>
      <c r="C162" s="10">
        <f t="shared" si="15"/>
        <v>0.4498707015820132</v>
      </c>
      <c r="D162" s="3">
        <f t="shared" si="20"/>
        <v>2</v>
      </c>
      <c r="E162" s="10">
        <f t="shared" si="16"/>
        <v>1.3414480259510813</v>
      </c>
      <c r="F162" s="10">
        <f t="shared" si="17"/>
        <v>0.8997414031640264</v>
      </c>
      <c r="G162" s="10">
        <f t="shared" si="18"/>
        <v>41.3165991992933</v>
      </c>
      <c r="H162" s="10">
        <f t="shared" si="19"/>
        <v>27.712035217452012</v>
      </c>
    </row>
    <row r="163" spans="1:8">
      <c r="A163" s="3">
        <v>15.5</v>
      </c>
      <c r="B163" s="10">
        <f t="shared" si="14"/>
        <v>0.66792004167062369</v>
      </c>
      <c r="C163" s="10">
        <f t="shared" si="15"/>
        <v>0.44611718206528767</v>
      </c>
      <c r="D163" s="3">
        <f t="shared" si="20"/>
        <v>4</v>
      </c>
      <c r="E163" s="10">
        <f t="shared" si="16"/>
        <v>2.6716801666824948</v>
      </c>
      <c r="F163" s="10">
        <f t="shared" si="17"/>
        <v>1.7844687282611507</v>
      </c>
      <c r="G163" s="10">
        <f t="shared" si="18"/>
        <v>82.82208516715734</v>
      </c>
      <c r="H163" s="10">
        <f t="shared" si="19"/>
        <v>55.318530576095668</v>
      </c>
    </row>
    <row r="164" spans="1:8">
      <c r="A164" s="3">
        <v>15.6</v>
      </c>
      <c r="B164" s="10">
        <f t="shared" si="14"/>
        <v>0.66510887631924964</v>
      </c>
      <c r="C164" s="10">
        <f t="shared" si="15"/>
        <v>0.44236981735865494</v>
      </c>
      <c r="D164" s="3">
        <f t="shared" si="20"/>
        <v>2</v>
      </c>
      <c r="E164" s="10">
        <f t="shared" si="16"/>
        <v>1.3302177526384993</v>
      </c>
      <c r="F164" s="10">
        <f t="shared" si="17"/>
        <v>0.88473963471730988</v>
      </c>
      <c r="G164" s="10">
        <f t="shared" si="18"/>
        <v>41.502793882321178</v>
      </c>
      <c r="H164" s="10">
        <f t="shared" si="19"/>
        <v>27.603876603180069</v>
      </c>
    </row>
    <row r="165" spans="1:8">
      <c r="A165" s="3">
        <v>15.700000000000001</v>
      </c>
      <c r="B165" s="10">
        <f t="shared" si="14"/>
        <v>0.66229057888965359</v>
      </c>
      <c r="C165" s="10">
        <f t="shared" si="15"/>
        <v>0.43862881088599248</v>
      </c>
      <c r="D165" s="3">
        <f t="shared" si="20"/>
        <v>4</v>
      </c>
      <c r="E165" s="10">
        <f t="shared" si="16"/>
        <v>2.6491623155586144</v>
      </c>
      <c r="F165" s="10">
        <f t="shared" si="17"/>
        <v>1.7545152435439699</v>
      </c>
      <c r="G165" s="10">
        <f t="shared" si="18"/>
        <v>83.183696708540495</v>
      </c>
      <c r="H165" s="10">
        <f t="shared" si="19"/>
        <v>55.091778647280663</v>
      </c>
    </row>
    <row r="166" spans="1:8">
      <c r="A166" s="3">
        <v>15.8</v>
      </c>
      <c r="B166" s="10">
        <f t="shared" si="14"/>
        <v>0.65946521246220235</v>
      </c>
      <c r="C166" s="10">
        <f t="shared" si="15"/>
        <v>0.4348943664478177</v>
      </c>
      <c r="D166" s="3">
        <f t="shared" si="20"/>
        <v>2</v>
      </c>
      <c r="E166" s="10">
        <f t="shared" si="16"/>
        <v>1.3189304249244047</v>
      </c>
      <c r="F166" s="10">
        <f t="shared" si="17"/>
        <v>0.86978873289563541</v>
      </c>
      <c r="G166" s="10">
        <f t="shared" si="18"/>
        <v>41.678201427611192</v>
      </c>
      <c r="H166" s="10">
        <f t="shared" si="19"/>
        <v>27.485323959502079</v>
      </c>
    </row>
    <row r="167" spans="1:8">
      <c r="A167" s="3">
        <v>15.9</v>
      </c>
      <c r="B167" s="10">
        <f t="shared" si="14"/>
        <v>0.65663284123461219</v>
      </c>
      <c r="C167" s="10">
        <f t="shared" si="15"/>
        <v>0.43116668818783943</v>
      </c>
      <c r="D167" s="3">
        <f t="shared" si="20"/>
        <v>4</v>
      </c>
      <c r="E167" s="10">
        <f t="shared" si="16"/>
        <v>2.6265313649384487</v>
      </c>
      <c r="F167" s="10">
        <f t="shared" si="17"/>
        <v>1.7246667527513577</v>
      </c>
      <c r="G167" s="10">
        <f t="shared" si="18"/>
        <v>83.523697405042668</v>
      </c>
      <c r="H167" s="10">
        <f t="shared" si="19"/>
        <v>54.844402737493176</v>
      </c>
    </row>
    <row r="168" spans="1:8">
      <c r="A168" s="3">
        <v>16</v>
      </c>
      <c r="B168" s="10">
        <f t="shared" si="14"/>
        <v>0.65379353052704048</v>
      </c>
      <c r="C168" s="10">
        <f t="shared" si="15"/>
        <v>0.42744598055901223</v>
      </c>
      <c r="D168" s="3">
        <f t="shared" si="20"/>
        <v>2</v>
      </c>
      <c r="E168" s="10">
        <f t="shared" si="16"/>
        <v>1.307587061054081</v>
      </c>
      <c r="F168" s="10">
        <f t="shared" si="17"/>
        <v>0.85489196111802446</v>
      </c>
      <c r="G168" s="10">
        <f t="shared" si="18"/>
        <v>41.842785953730591</v>
      </c>
      <c r="H168" s="10">
        <f t="shared" si="19"/>
        <v>27.356542755776783</v>
      </c>
    </row>
    <row r="169" spans="1:8">
      <c r="A169" s="3">
        <v>16.100000000000001</v>
      </c>
      <c r="B169" s="10">
        <f t="shared" si="14"/>
        <v>0.65094734678704247</v>
      </c>
      <c r="C169" s="10">
        <f t="shared" si="15"/>
        <v>0.42373244828909012</v>
      </c>
      <c r="D169" s="3">
        <f t="shared" si="20"/>
        <v>4</v>
      </c>
      <c r="E169" s="10">
        <f t="shared" si="16"/>
        <v>2.6037893871481699</v>
      </c>
      <c r="F169" s="10">
        <f t="shared" si="17"/>
        <v>1.6949297931563605</v>
      </c>
      <c r="G169" s="10">
        <f t="shared" si="18"/>
        <v>83.842018266171081</v>
      </c>
      <c r="H169" s="10">
        <f t="shared" si="19"/>
        <v>54.576739339634813</v>
      </c>
    </row>
    <row r="170" spans="1:8">
      <c r="A170" s="3">
        <v>16.200000000000003</v>
      </c>
      <c r="B170" s="10">
        <f t="shared" si="14"/>
        <v>0.64809435759439937</v>
      </c>
      <c r="C170" s="10">
        <f t="shared" si="15"/>
        <v>0.42002629634569721</v>
      </c>
      <c r="D170" s="3">
        <f t="shared" si="20"/>
        <v>2</v>
      </c>
      <c r="E170" s="10">
        <f t="shared" si="16"/>
        <v>1.2961887151887987</v>
      </c>
      <c r="F170" s="10">
        <f t="shared" si="17"/>
        <v>0.84005259269139443</v>
      </c>
      <c r="G170" s="10">
        <f t="shared" si="18"/>
        <v>41.996514372117083</v>
      </c>
      <c r="H170" s="10">
        <f t="shared" si="19"/>
        <v>27.217704003201185</v>
      </c>
    </row>
    <row r="171" spans="1:8">
      <c r="A171" s="3">
        <v>16.3</v>
      </c>
      <c r="B171" s="10">
        <f t="shared" si="14"/>
        <v>0.64523463166579953</v>
      </c>
      <c r="C171" s="10">
        <f t="shared" si="15"/>
        <v>0.4163277299009</v>
      </c>
      <c r="D171" s="3">
        <f t="shared" si="20"/>
        <v>4</v>
      </c>
      <c r="E171" s="10">
        <f t="shared" si="16"/>
        <v>2.5809385266631981</v>
      </c>
      <c r="F171" s="10">
        <f t="shared" si="17"/>
        <v>1.6653109196036</v>
      </c>
      <c r="G171" s="10">
        <f t="shared" si="18"/>
        <v>84.138595969220262</v>
      </c>
      <c r="H171" s="10">
        <f t="shared" si="19"/>
        <v>54.289135979077365</v>
      </c>
    </row>
    <row r="172" spans="1:8">
      <c r="A172" s="3">
        <v>16.400000000000002</v>
      </c>
      <c r="B172" s="10">
        <f t="shared" si="14"/>
        <v>0.6423682388593821</v>
      </c>
      <c r="C172" s="10">
        <f t="shared" si="15"/>
        <v>0.41263695429530417</v>
      </c>
      <c r="D172" s="3">
        <f t="shared" si="20"/>
        <v>2</v>
      </c>
      <c r="E172" s="10">
        <f t="shared" si="16"/>
        <v>1.2847364777187642</v>
      </c>
      <c r="F172" s="10">
        <f t="shared" si="17"/>
        <v>0.82527390859060834</v>
      </c>
      <c r="G172" s="10">
        <f t="shared" si="18"/>
        <v>42.139356469175475</v>
      </c>
      <c r="H172" s="10">
        <f t="shared" si="19"/>
        <v>27.068984201771958</v>
      </c>
    </row>
    <row r="173" spans="1:8">
      <c r="A173" s="3">
        <v>16.500000000000004</v>
      </c>
      <c r="B173" s="10">
        <f t="shared" si="14"/>
        <v>0.63949525017913389</v>
      </c>
      <c r="C173" s="10">
        <f t="shared" si="15"/>
        <v>0.40895417500167303</v>
      </c>
      <c r="D173" s="3">
        <f t="shared" si="20"/>
        <v>4</v>
      </c>
      <c r="E173" s="10">
        <f t="shared" si="16"/>
        <v>2.5579810007165356</v>
      </c>
      <c r="F173" s="10">
        <f t="shared" si="17"/>
        <v>1.6358167000066921</v>
      </c>
      <c r="G173" s="10">
        <f t="shared" si="18"/>
        <v>84.41337302364569</v>
      </c>
      <c r="H173" s="10">
        <f t="shared" si="19"/>
        <v>53.981951100220854</v>
      </c>
    </row>
    <row r="174" spans="1:8">
      <c r="A174" s="3">
        <v>16.600000000000001</v>
      </c>
      <c r="B174" s="10">
        <f t="shared" si="14"/>
        <v>0.63661573777913505</v>
      </c>
      <c r="C174" s="10">
        <f t="shared" si="15"/>
        <v>0.40527959758807242</v>
      </c>
      <c r="D174" s="3">
        <f t="shared" si="20"/>
        <v>2</v>
      </c>
      <c r="E174" s="10">
        <f t="shared" si="16"/>
        <v>1.2732314755582701</v>
      </c>
      <c r="F174" s="10">
        <f t="shared" si="17"/>
        <v>0.81055919517614483</v>
      </c>
      <c r="G174" s="10">
        <f t="shared" si="18"/>
        <v>42.271284988534568</v>
      </c>
      <c r="H174" s="10">
        <f t="shared" si="19"/>
        <v>26.910565279848011</v>
      </c>
    </row>
    <row r="175" spans="1:8">
      <c r="A175" s="3">
        <v>16.700000000000003</v>
      </c>
      <c r="B175" s="10">
        <f t="shared" si="14"/>
        <v>0.63372977496765093</v>
      </c>
      <c r="C175" s="10">
        <f t="shared" si="15"/>
        <v>0.40161342768054947</v>
      </c>
      <c r="D175" s="3">
        <f t="shared" si="20"/>
        <v>4</v>
      </c>
      <c r="E175" s="10">
        <f t="shared" si="16"/>
        <v>2.5349190998706037</v>
      </c>
      <c r="F175" s="10">
        <f t="shared" si="17"/>
        <v>1.6064537107221979</v>
      </c>
      <c r="G175" s="10">
        <f t="shared" si="18"/>
        <v>84.666297935678173</v>
      </c>
      <c r="H175" s="10">
        <f t="shared" si="19"/>
        <v>53.655553938121422</v>
      </c>
    </row>
    <row r="176" spans="1:8">
      <c r="A176" s="3">
        <v>16.8</v>
      </c>
      <c r="B176" s="10">
        <f t="shared" si="14"/>
        <v>0.63083743621106658</v>
      </c>
      <c r="C176" s="10">
        <f t="shared" si="15"/>
        <v>0.39795587092535151</v>
      </c>
      <c r="D176" s="3">
        <f t="shared" si="20"/>
        <v>2</v>
      </c>
      <c r="E176" s="10">
        <f t="shared" si="16"/>
        <v>1.2616748724221332</v>
      </c>
      <c r="F176" s="10">
        <f t="shared" si="17"/>
        <v>0.79591174185070301</v>
      </c>
      <c r="G176" s="10">
        <f t="shared" si="18"/>
        <v>42.392275713383675</v>
      </c>
      <c r="H176" s="10">
        <f t="shared" si="19"/>
        <v>26.742634526183622</v>
      </c>
    </row>
    <row r="177" spans="1:8">
      <c r="A177" s="3">
        <v>16.900000000000002</v>
      </c>
      <c r="B177" s="10">
        <f t="shared" si="14"/>
        <v>0.62793879713765921</v>
      </c>
      <c r="C177" s="10">
        <f t="shared" si="15"/>
        <v>0.39430713295069031</v>
      </c>
      <c r="D177" s="3">
        <f t="shared" si="20"/>
        <v>4</v>
      </c>
      <c r="E177" s="10">
        <f t="shared" si="16"/>
        <v>2.5117551885506368</v>
      </c>
      <c r="F177" s="10">
        <f t="shared" si="17"/>
        <v>1.5772285318027612</v>
      </c>
      <c r="G177" s="10">
        <f t="shared" si="18"/>
        <v>84.89732537301154</v>
      </c>
      <c r="H177" s="10">
        <f t="shared" si="19"/>
        <v>53.310324374933337</v>
      </c>
    </row>
    <row r="178" spans="1:8">
      <c r="A178" s="3">
        <v>17.000000000000004</v>
      </c>
      <c r="B178" s="10">
        <f t="shared" si="14"/>
        <v>0.62503393454120604</v>
      </c>
      <c r="C178" s="10">
        <f t="shared" si="15"/>
        <v>0.39066741932806065</v>
      </c>
      <c r="D178" s="3">
        <f t="shared" si="20"/>
        <v>2</v>
      </c>
      <c r="E178" s="10">
        <f t="shared" si="16"/>
        <v>1.2500678690824121</v>
      </c>
      <c r="F178" s="10">
        <f t="shared" si="17"/>
        <v>0.7813348386561213</v>
      </c>
      <c r="G178" s="10">
        <f t="shared" si="18"/>
        <v>42.502307548802023</v>
      </c>
      <c r="H178" s="10">
        <f t="shared" si="19"/>
        <v>26.565384514308128</v>
      </c>
    </row>
    <row r="179" spans="1:8">
      <c r="A179" s="3">
        <v>17.100000000000001</v>
      </c>
      <c r="B179" s="10">
        <f t="shared" si="14"/>
        <v>0.62212292638442113</v>
      </c>
      <c r="C179" s="10">
        <f t="shared" si="15"/>
        <v>0.38703693553311586</v>
      </c>
      <c r="D179" s="3">
        <f t="shared" si="20"/>
        <v>4</v>
      </c>
      <c r="E179" s="10">
        <f t="shared" si="16"/>
        <v>2.4884917055376845</v>
      </c>
      <c r="F179" s="10">
        <f t="shared" si="17"/>
        <v>1.5481477421324634</v>
      </c>
      <c r="G179" s="10">
        <f t="shared" si="18"/>
        <v>85.106416329388821</v>
      </c>
      <c r="H179" s="10">
        <f t="shared" si="19"/>
        <v>52.946652780930251</v>
      </c>
    </row>
    <row r="180" spans="1:8">
      <c r="A180" s="3">
        <v>17.200000000000003</v>
      </c>
      <c r="B180" s="10">
        <f t="shared" si="14"/>
        <v>0.61920585180221954</v>
      </c>
      <c r="C180" s="10">
        <f t="shared" si="15"/>
        <v>0.38341588690611228</v>
      </c>
      <c r="D180" s="3">
        <f t="shared" si="20"/>
        <v>2</v>
      </c>
      <c r="E180" s="10">
        <f t="shared" si="16"/>
        <v>1.2384117036044391</v>
      </c>
      <c r="F180" s="10">
        <f t="shared" si="17"/>
        <v>0.76683177381222456</v>
      </c>
      <c r="G180" s="10">
        <f t="shared" si="18"/>
        <v>42.601362603992712</v>
      </c>
      <c r="H180" s="10">
        <f t="shared" si="19"/>
        <v>26.37901301914053</v>
      </c>
    </row>
    <row r="181" spans="1:8">
      <c r="A181" s="3">
        <v>17.3</v>
      </c>
      <c r="B181" s="10">
        <f t="shared" si="14"/>
        <v>0.61628279110480422</v>
      </c>
      <c r="C181" s="10">
        <f t="shared" si="15"/>
        <v>0.37980447861192773</v>
      </c>
      <c r="D181" s="3">
        <f t="shared" si="20"/>
        <v>4</v>
      </c>
      <c r="E181" s="10">
        <f t="shared" si="16"/>
        <v>2.4651311644192169</v>
      </c>
      <c r="F181" s="10">
        <f t="shared" si="17"/>
        <v>1.5192179144477109</v>
      </c>
      <c r="G181" s="10">
        <f t="shared" si="18"/>
        <v>85.293538288904912</v>
      </c>
      <c r="H181" s="10">
        <f t="shared" si="19"/>
        <v>52.564939839890798</v>
      </c>
    </row>
    <row r="182" spans="1:8">
      <c r="A182" s="3">
        <v>17.400000000000002</v>
      </c>
      <c r="B182" s="10">
        <f t="shared" si="14"/>
        <v>0.61335382578057063</v>
      </c>
      <c r="C182" s="10">
        <f t="shared" si="15"/>
        <v>0.37620291559966257</v>
      </c>
      <c r="D182" s="3">
        <f t="shared" si="20"/>
        <v>2</v>
      </c>
      <c r="E182" s="10">
        <f t="shared" si="16"/>
        <v>1.2267076515611413</v>
      </c>
      <c r="F182" s="10">
        <f t="shared" si="17"/>
        <v>0.75240583119932514</v>
      </c>
      <c r="G182" s="10">
        <f t="shared" si="18"/>
        <v>42.689426274327722</v>
      </c>
      <c r="H182" s="10">
        <f t="shared" si="19"/>
        <v>26.183722925736518</v>
      </c>
    </row>
    <row r="183" spans="1:8">
      <c r="A183" s="3">
        <v>17.500000000000004</v>
      </c>
      <c r="B183" s="10">
        <f t="shared" si="14"/>
        <v>0.61041903849882695</v>
      </c>
      <c r="C183" s="10">
        <f t="shared" si="15"/>
        <v>0.37261140256183239</v>
      </c>
      <c r="D183" s="3">
        <f t="shared" si="20"/>
        <v>4</v>
      </c>
      <c r="E183" s="10">
        <f t="shared" si="16"/>
        <v>2.4416761539953078</v>
      </c>
      <c r="F183" s="10">
        <f t="shared" si="17"/>
        <v>1.4904456102473296</v>
      </c>
      <c r="G183" s="10">
        <f t="shared" si="18"/>
        <v>85.458665389835787</v>
      </c>
      <c r="H183" s="10">
        <f t="shared" si="19"/>
        <v>52.165596358656543</v>
      </c>
    </row>
    <row r="184" spans="1:8">
      <c r="A184" s="3">
        <v>17.600000000000001</v>
      </c>
      <c r="B184" s="10">
        <f t="shared" si="14"/>
        <v>0.60747851311232337</v>
      </c>
      <c r="C184" s="10">
        <f t="shared" si="15"/>
        <v>0.36903014389315925</v>
      </c>
      <c r="D184" s="3">
        <f t="shared" si="20"/>
        <v>2</v>
      </c>
      <c r="E184" s="10">
        <f t="shared" si="16"/>
        <v>1.2149570262246467</v>
      </c>
      <c r="F184" s="10">
        <f t="shared" si="17"/>
        <v>0.73806028778631849</v>
      </c>
      <c r="G184" s="10">
        <f t="shared" si="18"/>
        <v>42.766487323107569</v>
      </c>
      <c r="H184" s="10">
        <f t="shared" si="19"/>
        <v>25.979722130078414</v>
      </c>
    </row>
    <row r="185" spans="1:8">
      <c r="A185" s="3">
        <v>17.700000000000003</v>
      </c>
      <c r="B185" s="10">
        <f t="shared" si="14"/>
        <v>0.60453233465958822</v>
      </c>
      <c r="C185" s="10">
        <f t="shared" si="15"/>
        <v>0.36545934364897237</v>
      </c>
      <c r="D185" s="3">
        <f t="shared" si="20"/>
        <v>4</v>
      </c>
      <c r="E185" s="10">
        <f t="shared" si="16"/>
        <v>2.4181293386383529</v>
      </c>
      <c r="F185" s="10">
        <f t="shared" si="17"/>
        <v>1.4618373745958895</v>
      </c>
      <c r="G185" s="10">
        <f t="shared" si="18"/>
        <v>85.60177858779771</v>
      </c>
      <c r="H185" s="10">
        <f t="shared" si="19"/>
        <v>51.749043060694497</v>
      </c>
    </row>
    <row r="186" spans="1:8">
      <c r="A186" s="3">
        <v>17.8</v>
      </c>
      <c r="B186" s="10">
        <f t="shared" si="14"/>
        <v>0.60158058936706693</v>
      </c>
      <c r="C186" s="10">
        <f t="shared" si="15"/>
        <v>0.36189920550322763</v>
      </c>
      <c r="D186" s="3">
        <f t="shared" si="20"/>
        <v>2</v>
      </c>
      <c r="E186" s="10">
        <f t="shared" si="16"/>
        <v>1.2031611787341339</v>
      </c>
      <c r="F186" s="10">
        <f t="shared" si="17"/>
        <v>0.72379841100645526</v>
      </c>
      <c r="G186" s="10">
        <f t="shared" si="18"/>
        <v>42.83253796293517</v>
      </c>
      <c r="H186" s="10">
        <f t="shared" si="19"/>
        <v>25.767223431829809</v>
      </c>
    </row>
    <row r="187" spans="1:8">
      <c r="A187" s="3">
        <v>17.900000000000002</v>
      </c>
      <c r="B187" s="10">
        <f t="shared" si="14"/>
        <v>0.59862336465105692</v>
      </c>
      <c r="C187" s="10">
        <f t="shared" si="15"/>
        <v>0.35834993270615229</v>
      </c>
      <c r="D187" s="3">
        <f t="shared" si="20"/>
        <v>4</v>
      </c>
      <c r="E187" s="10">
        <f t="shared" si="16"/>
        <v>2.3944934586042277</v>
      </c>
      <c r="F187" s="10">
        <f t="shared" si="17"/>
        <v>1.4333997308246091</v>
      </c>
      <c r="G187" s="10">
        <f t="shared" si="18"/>
        <v>85.722865818031366</v>
      </c>
      <c r="H187" s="10">
        <f t="shared" si="19"/>
        <v>51.315710363521013</v>
      </c>
    </row>
    <row r="188" spans="1:8">
      <c r="A188" s="3">
        <v>18.000000000000004</v>
      </c>
      <c r="B188" s="10">
        <f t="shared" si="14"/>
        <v>0.59566074911943934</v>
      </c>
      <c r="C188" s="10">
        <f t="shared" si="15"/>
        <v>0.35481172804153166</v>
      </c>
      <c r="D188" s="3">
        <f t="shared" si="20"/>
        <v>2</v>
      </c>
      <c r="E188" s="10">
        <f t="shared" si="16"/>
        <v>1.1913214982388787</v>
      </c>
      <c r="F188" s="10">
        <f t="shared" si="17"/>
        <v>0.70962345608306332</v>
      </c>
      <c r="G188" s="10">
        <f t="shared" si="18"/>
        <v>42.887573936599644</v>
      </c>
      <c r="H188" s="10">
        <f t="shared" si="19"/>
        <v>25.546444418990284</v>
      </c>
    </row>
    <row r="189" spans="1:8">
      <c r="A189" s="3">
        <v>18.100000000000001</v>
      </c>
      <c r="B189" s="10">
        <f t="shared" si="14"/>
        <v>0.59269283257319783</v>
      </c>
      <c r="C189" s="10">
        <f t="shared" si="15"/>
        <v>0.35128479378364069</v>
      </c>
      <c r="D189" s="3">
        <f t="shared" si="20"/>
        <v>4</v>
      </c>
      <c r="E189" s="10">
        <f t="shared" si="16"/>
        <v>2.3707713302927913</v>
      </c>
      <c r="F189" s="10">
        <f t="shared" si="17"/>
        <v>1.4051391751345628</v>
      </c>
      <c r="G189" s="10">
        <f t="shared" si="18"/>
        <v>85.821922156599058</v>
      </c>
      <c r="H189" s="10">
        <f t="shared" si="19"/>
        <v>50.866038139871179</v>
      </c>
    </row>
    <row r="190" spans="1:8">
      <c r="A190" s="3">
        <v>18.200000000000003</v>
      </c>
      <c r="B190" s="10">
        <f t="shared" si="14"/>
        <v>0.58971970600772361</v>
      </c>
      <c r="C190" s="10">
        <f t="shared" si="15"/>
        <v>0.34776933165383594</v>
      </c>
      <c r="D190" s="3">
        <f t="shared" si="20"/>
        <v>2</v>
      </c>
      <c r="E190" s="10">
        <f t="shared" si="16"/>
        <v>1.1794394120154472</v>
      </c>
      <c r="F190" s="10">
        <f t="shared" si="17"/>
        <v>0.69553866330767189</v>
      </c>
      <c r="G190" s="10">
        <f t="shared" si="18"/>
        <v>42.931594597362285</v>
      </c>
      <c r="H190" s="10">
        <f t="shared" si="19"/>
        <v>25.31760734439926</v>
      </c>
    </row>
    <row r="191" spans="1:8">
      <c r="A191" s="3">
        <v>18.3</v>
      </c>
      <c r="B191" s="10">
        <f t="shared" si="14"/>
        <v>0.58674146161390284</v>
      </c>
      <c r="C191" s="10">
        <f t="shared" si="15"/>
        <v>0.34426554277681903</v>
      </c>
      <c r="D191" s="3">
        <f t="shared" si="20"/>
        <v>4</v>
      </c>
      <c r="E191" s="10">
        <f t="shared" si="16"/>
        <v>2.3469658464556113</v>
      </c>
      <c r="F191" s="10">
        <f t="shared" si="17"/>
        <v>1.3770621711072761</v>
      </c>
      <c r="G191" s="10">
        <f t="shared" si="18"/>
        <v>85.898949980275376</v>
      </c>
      <c r="H191" s="10">
        <f t="shared" si="19"/>
        <v>50.400475462526309</v>
      </c>
    </row>
    <row r="192" spans="1:8">
      <c r="A192" s="3">
        <v>18.400000000000002</v>
      </c>
      <c r="B192" s="10">
        <f t="shared" si="14"/>
        <v>0.58375819277897878</v>
      </c>
      <c r="C192" s="10">
        <f t="shared" si="15"/>
        <v>0.34077362763657937</v>
      </c>
      <c r="D192" s="3">
        <f t="shared" si="20"/>
        <v>2</v>
      </c>
      <c r="E192" s="10">
        <f t="shared" si="16"/>
        <v>1.1675163855579576</v>
      </c>
      <c r="F192" s="10">
        <f t="shared" si="17"/>
        <v>0.68154725527315874</v>
      </c>
      <c r="G192" s="10">
        <f t="shared" si="18"/>
        <v>42.964602988532846</v>
      </c>
      <c r="H192" s="10">
        <f t="shared" si="19"/>
        <v>25.080938994052243</v>
      </c>
    </row>
    <row r="193" spans="1:8">
      <c r="A193" s="3">
        <v>18.500000000000004</v>
      </c>
      <c r="B193" s="10">
        <f t="shared" si="14"/>
        <v>0.58076999408718943</v>
      </c>
      <c r="C193" s="10">
        <f t="shared" si="15"/>
        <v>0.33729378603203403</v>
      </c>
      <c r="D193" s="3">
        <f t="shared" si="20"/>
        <v>4</v>
      </c>
      <c r="E193" s="10">
        <f t="shared" si="16"/>
        <v>2.3230799763487577</v>
      </c>
      <c r="F193" s="10">
        <f t="shared" si="17"/>
        <v>1.3491751441281361</v>
      </c>
      <c r="G193" s="10">
        <f t="shared" si="18"/>
        <v>85.95395912490406</v>
      </c>
      <c r="H193" s="10">
        <f t="shared" si="19"/>
        <v>49.919480332741045</v>
      </c>
    </row>
    <row r="194" spans="1:8">
      <c r="A194" s="3">
        <v>18.600000000000001</v>
      </c>
      <c r="B194" s="10">
        <f t="shared" si="14"/>
        <v>0.57777696132017098</v>
      </c>
      <c r="C194" s="10">
        <f t="shared" si="15"/>
        <v>0.33382621703237036</v>
      </c>
      <c r="D194" s="3">
        <f t="shared" si="20"/>
        <v>2</v>
      </c>
      <c r="E194" s="10">
        <f t="shared" si="16"/>
        <v>1.155553922640342</v>
      </c>
      <c r="F194" s="10">
        <f t="shared" si="17"/>
        <v>0.66765243406474073</v>
      </c>
      <c r="G194" s="10">
        <f t="shared" si="18"/>
        <v>42.986605922220726</v>
      </c>
      <c r="H194" s="10">
        <f t="shared" si="19"/>
        <v>24.836670547208357</v>
      </c>
    </row>
    <row r="195" spans="1:8">
      <c r="A195" s="3">
        <v>18.700000000000003</v>
      </c>
      <c r="B195" s="10">
        <f t="shared" si="14"/>
        <v>0.57477919145712775</v>
      </c>
      <c r="C195" s="10">
        <f t="shared" si="15"/>
        <v>0.33037111893210952</v>
      </c>
      <c r="D195" s="3">
        <f t="shared" si="20"/>
        <v>4</v>
      </c>
      <c r="E195" s="10">
        <f t="shared" si="16"/>
        <v>2.299116765828511</v>
      </c>
      <c r="F195" s="10">
        <f t="shared" si="17"/>
        <v>1.3214844757284381</v>
      </c>
      <c r="G195" s="10">
        <f t="shared" si="18"/>
        <v>85.986967041986318</v>
      </c>
      <c r="H195" s="10">
        <f t="shared" si="19"/>
        <v>49.423519392243591</v>
      </c>
    </row>
    <row r="196" spans="1:8">
      <c r="A196" s="3">
        <v>18.8</v>
      </c>
      <c r="B196" s="10">
        <f t="shared" si="14"/>
        <v>0.57177678267476084</v>
      </c>
      <c r="C196" s="10">
        <f t="shared" si="15"/>
        <v>0.32692868920590068</v>
      </c>
      <c r="D196" s="3">
        <f t="shared" si="20"/>
        <v>2</v>
      </c>
      <c r="E196" s="10">
        <f t="shared" si="16"/>
        <v>1.1435535653495217</v>
      </c>
      <c r="F196" s="10">
        <f t="shared" si="17"/>
        <v>0.65385737841180136</v>
      </c>
      <c r="G196" s="10">
        <f t="shared" si="18"/>
        <v>42.997614057142016</v>
      </c>
      <c r="H196" s="10">
        <f t="shared" si="19"/>
        <v>24.585037428283734</v>
      </c>
    </row>
    <row r="197" spans="1:8">
      <c r="A197" s="3">
        <v>18.900000000000002</v>
      </c>
      <c r="B197" s="10">
        <f t="shared" si="14"/>
        <v>0.56876983434695227</v>
      </c>
      <c r="C197" s="10">
        <f t="shared" si="15"/>
        <v>0.32349912446305951</v>
      </c>
      <c r="D197" s="3">
        <f t="shared" si="20"/>
        <v>4</v>
      </c>
      <c r="E197" s="10">
        <f t="shared" si="16"/>
        <v>2.2750793373878091</v>
      </c>
      <c r="F197" s="10">
        <f t="shared" si="17"/>
        <v>1.293996497852238</v>
      </c>
      <c r="G197" s="10">
        <f t="shared" si="18"/>
        <v>85.997998953259199</v>
      </c>
      <c r="H197" s="10">
        <f t="shared" si="19"/>
        <v>48.913067618814601</v>
      </c>
    </row>
    <row r="198" spans="1:8">
      <c r="A198" s="3">
        <v>19.000000000000004</v>
      </c>
      <c r="B198" s="10">
        <f t="shared" si="14"/>
        <v>0.56575844704420197</v>
      </c>
      <c r="C198" s="10">
        <f t="shared" si="15"/>
        <v>0.32008262040186708</v>
      </c>
      <c r="D198" s="3">
        <f t="shared" si="20"/>
        <v>2</v>
      </c>
      <c r="E198" s="10">
        <f t="shared" si="16"/>
        <v>1.1315168940884039</v>
      </c>
      <c r="F198" s="10">
        <f t="shared" si="17"/>
        <v>0.64016524080373416</v>
      </c>
      <c r="G198" s="10">
        <f t="shared" si="18"/>
        <v>42.997641975359358</v>
      </c>
      <c r="H198" s="10">
        <f t="shared" si="19"/>
        <v>24.326279150541904</v>
      </c>
    </row>
    <row r="199" spans="1:8">
      <c r="A199" s="3">
        <v>19.100000000000001</v>
      </c>
      <c r="B199" s="10">
        <f t="shared" si="14"/>
        <v>0.56274272253281032</v>
      </c>
      <c r="C199" s="10">
        <f t="shared" si="15"/>
        <v>0.31667937176363953</v>
      </c>
      <c r="D199" s="3">
        <f t="shared" si="20"/>
        <v>4</v>
      </c>
      <c r="E199" s="10">
        <f t="shared" si="16"/>
        <v>2.2509708901312413</v>
      </c>
      <c r="F199" s="10">
        <f t="shared" si="17"/>
        <v>1.2667174870545581</v>
      </c>
      <c r="G199" s="10">
        <f t="shared" si="18"/>
        <v>85.987088003013426</v>
      </c>
      <c r="H199" s="10">
        <f t="shared" si="19"/>
        <v>48.388608005484123</v>
      </c>
    </row>
    <row r="200" spans="1:8">
      <c r="A200" s="3">
        <v>19.200000000000003</v>
      </c>
      <c r="B200" s="10">
        <f t="shared" si="14"/>
        <v>0.55972276377380425</v>
      </c>
      <c r="C200" s="10">
        <f t="shared" si="15"/>
        <v>0.31328957228658588</v>
      </c>
      <c r="D200" s="3">
        <f t="shared" si="20"/>
        <v>2</v>
      </c>
      <c r="E200" s="10">
        <f t="shared" si="16"/>
        <v>1.1194455275476085</v>
      </c>
      <c r="F200" s="10">
        <f t="shared" si="17"/>
        <v>0.62657914457317176</v>
      </c>
      <c r="G200" s="10">
        <f t="shared" si="18"/>
        <v>42.98670825782817</v>
      </c>
      <c r="H200" s="10">
        <f t="shared" si="19"/>
        <v>24.060639151609799</v>
      </c>
    </row>
    <row r="201" spans="1:8">
      <c r="A201" s="3">
        <v>19.300000000000004</v>
      </c>
      <c r="B201" s="10">
        <f t="shared" ref="B201:B264" si="21">$B$5^(($B$4^50)*(($B$4^A201)-1))</f>
        <v>0.55669867492160219</v>
      </c>
      <c r="C201" s="10">
        <f t="shared" ref="C201:C264" si="22">B201^2</f>
        <v>0.3099134146594677</v>
      </c>
      <c r="D201" s="3">
        <f t="shared" si="20"/>
        <v>4</v>
      </c>
      <c r="E201" s="10">
        <f t="shared" ref="E201:E264" si="23">B201*D201</f>
        <v>2.2267946996864088</v>
      </c>
      <c r="F201" s="10">
        <f t="shared" ref="F201:F264" si="24">C201*D201</f>
        <v>1.2396536586378708</v>
      </c>
      <c r="G201" s="10">
        <f t="shared" ref="G201:G264" si="25">2*A201*B201*D201</f>
        <v>85.954275407895395</v>
      </c>
      <c r="H201" s="10">
        <f t="shared" ref="H201:H264" si="26">2*A201*C201*D201</f>
        <v>47.850631223421821</v>
      </c>
    </row>
    <row r="202" spans="1:8">
      <c r="A202" s="3">
        <v>19.400000000000002</v>
      </c>
      <c r="B202" s="10">
        <f t="shared" si="21"/>
        <v>0.55367056132241232</v>
      </c>
      <c r="C202" s="10">
        <f t="shared" si="22"/>
        <v>0.30655109047507517</v>
      </c>
      <c r="D202" s="3">
        <f t="shared" si="20"/>
        <v>2</v>
      </c>
      <c r="E202" s="10">
        <f t="shared" si="23"/>
        <v>1.1073411226448246</v>
      </c>
      <c r="F202" s="10">
        <f t="shared" si="24"/>
        <v>0.61310218095015034</v>
      </c>
      <c r="G202" s="10">
        <f t="shared" si="25"/>
        <v>42.9648355586192</v>
      </c>
      <c r="H202" s="10">
        <f t="shared" si="26"/>
        <v>23.788364620865835</v>
      </c>
    </row>
    <row r="203" spans="1:8">
      <c r="A203" s="3">
        <v>19.500000000000004</v>
      </c>
      <c r="B203" s="10">
        <f t="shared" si="21"/>
        <v>0.55063852951236147</v>
      </c>
      <c r="C203" s="10">
        <f t="shared" si="22"/>
        <v>0.3032027901835358</v>
      </c>
      <c r="D203" s="3">
        <f t="shared" ref="D203:D266" si="27">IF(D202=4,2,4)</f>
        <v>4</v>
      </c>
      <c r="E203" s="10">
        <f t="shared" si="23"/>
        <v>2.2025541180494459</v>
      </c>
      <c r="F203" s="10">
        <f t="shared" si="24"/>
        <v>1.2128111607341432</v>
      </c>
      <c r="G203" s="10">
        <f t="shared" si="25"/>
        <v>85.899610603928409</v>
      </c>
      <c r="H203" s="10">
        <f t="shared" si="26"/>
        <v>47.29963526863159</v>
      </c>
    </row>
    <row r="204" spans="1:8">
      <c r="A204" s="3">
        <v>19.600000000000001</v>
      </c>
      <c r="B204" s="10">
        <f t="shared" si="21"/>
        <v>0.54760268721534977</v>
      </c>
      <c r="C204" s="10">
        <f t="shared" si="22"/>
        <v>0.2998687030454722</v>
      </c>
      <c r="D204" s="3">
        <f t="shared" si="27"/>
        <v>2</v>
      </c>
      <c r="E204" s="10">
        <f t="shared" si="23"/>
        <v>1.0952053744306995</v>
      </c>
      <c r="F204" s="10">
        <f t="shared" si="24"/>
        <v>0.59973740609094439</v>
      </c>
      <c r="G204" s="10">
        <f t="shared" si="25"/>
        <v>42.932050677683428</v>
      </c>
      <c r="H204" s="10">
        <f t="shared" si="26"/>
        <v>23.509706318765023</v>
      </c>
    </row>
    <row r="205" spans="1:8">
      <c r="A205" s="3">
        <v>19.700000000000003</v>
      </c>
      <c r="B205" s="10">
        <f t="shared" si="21"/>
        <v>0.54456314334062617</v>
      </c>
      <c r="C205" s="10">
        <f t="shared" si="22"/>
        <v>0.29654901708502335</v>
      </c>
      <c r="D205" s="3">
        <f t="shared" si="27"/>
        <v>4</v>
      </c>
      <c r="E205" s="10">
        <f t="shared" si="23"/>
        <v>2.1782525733625047</v>
      </c>
      <c r="F205" s="10">
        <f t="shared" si="24"/>
        <v>1.1861960683400934</v>
      </c>
      <c r="G205" s="10">
        <f t="shared" si="25"/>
        <v>85.823151390482693</v>
      </c>
      <c r="H205" s="10">
        <f t="shared" si="26"/>
        <v>46.736125092599686</v>
      </c>
    </row>
    <row r="206" spans="1:8">
      <c r="A206" s="3">
        <v>19.800000000000004</v>
      </c>
      <c r="B206" s="10">
        <f t="shared" si="21"/>
        <v>0.54152000798008193</v>
      </c>
      <c r="C206" s="10">
        <f t="shared" si="22"/>
        <v>0.29324391904274799</v>
      </c>
      <c r="D206" s="3">
        <f t="shared" si="27"/>
        <v>2</v>
      </c>
      <c r="E206" s="10">
        <f t="shared" si="23"/>
        <v>1.0830400159601639</v>
      </c>
      <c r="F206" s="10">
        <f t="shared" si="24"/>
        <v>0.58648783808549598</v>
      </c>
      <c r="G206" s="10">
        <f t="shared" si="25"/>
        <v>42.8883846320225</v>
      </c>
      <c r="H206" s="10">
        <f t="shared" si="26"/>
        <v>23.224918388185646</v>
      </c>
    </row>
    <row r="207" spans="1:8">
      <c r="A207" s="3">
        <v>19.900000000000002</v>
      </c>
      <c r="B207" s="10">
        <f t="shared" si="21"/>
        <v>0.53847339240525549</v>
      </c>
      <c r="C207" s="10">
        <f t="shared" si="22"/>
        <v>0.28995359432842427</v>
      </c>
      <c r="D207" s="3">
        <f t="shared" si="27"/>
        <v>4</v>
      </c>
      <c r="E207" s="10">
        <f t="shared" si="23"/>
        <v>2.153893569621022</v>
      </c>
      <c r="F207" s="10">
        <f t="shared" si="24"/>
        <v>1.1598143773136971</v>
      </c>
      <c r="G207" s="10">
        <f t="shared" si="25"/>
        <v>85.724964070916684</v>
      </c>
      <c r="H207" s="10">
        <f t="shared" si="26"/>
        <v>46.160612217085152</v>
      </c>
    </row>
    <row r="208" spans="1:8">
      <c r="A208" s="3">
        <v>20.000000000000004</v>
      </c>
      <c r="B208" s="10">
        <f t="shared" si="21"/>
        <v>0.53542340906404828</v>
      </c>
      <c r="C208" s="10">
        <f t="shared" si="22"/>
        <v>0.28667822697376716</v>
      </c>
      <c r="D208" s="3">
        <f t="shared" si="27"/>
        <v>2</v>
      </c>
      <c r="E208" s="10">
        <f t="shared" si="23"/>
        <v>1.0708468181280966</v>
      </c>
      <c r="F208" s="10">
        <f t="shared" si="24"/>
        <v>0.57335645394753432</v>
      </c>
      <c r="G208" s="10">
        <f t="shared" si="25"/>
        <v>42.833872725123868</v>
      </c>
      <c r="H208" s="10">
        <f t="shared" si="26"/>
        <v>22.934258157901375</v>
      </c>
    </row>
    <row r="209" spans="1:8">
      <c r="A209" s="3">
        <v>20.100000000000001</v>
      </c>
      <c r="B209" s="10">
        <f t="shared" si="21"/>
        <v>0.53237017157714239</v>
      </c>
      <c r="C209" s="10">
        <f t="shared" si="22"/>
        <v>0.28341799958507602</v>
      </c>
      <c r="D209" s="3">
        <f t="shared" si="27"/>
        <v>4</v>
      </c>
      <c r="E209" s="10">
        <f t="shared" si="23"/>
        <v>2.1294806863085696</v>
      </c>
      <c r="F209" s="10">
        <f t="shared" si="24"/>
        <v>1.1336719983403041</v>
      </c>
      <c r="G209" s="10">
        <f t="shared" si="25"/>
        <v>85.605123589604503</v>
      </c>
      <c r="H209" s="10">
        <f t="shared" si="26"/>
        <v>45.573614333280226</v>
      </c>
    </row>
    <row r="210" spans="1:8">
      <c r="A210" s="3">
        <v>20.200000000000003</v>
      </c>
      <c r="B210" s="10">
        <f t="shared" si="21"/>
        <v>0.52931379473412044</v>
      </c>
      <c r="C210" s="10">
        <f t="shared" si="22"/>
        <v>0.28017309329583456</v>
      </c>
      <c r="D210" s="3">
        <f t="shared" si="27"/>
        <v>2</v>
      </c>
      <c r="E210" s="10">
        <f t="shared" si="23"/>
        <v>1.0586275894682409</v>
      </c>
      <c r="F210" s="10">
        <f t="shared" si="24"/>
        <v>0.56034618659166913</v>
      </c>
      <c r="G210" s="10">
        <f t="shared" si="25"/>
        <v>42.768554614516937</v>
      </c>
      <c r="H210" s="10">
        <f t="shared" si="26"/>
        <v>22.637985938303437</v>
      </c>
    </row>
    <row r="211" spans="1:8">
      <c r="A211" s="3">
        <v>20.300000000000004</v>
      </c>
      <c r="B211" s="10">
        <f t="shared" si="21"/>
        <v>0.52625439448928102</v>
      </c>
      <c r="C211" s="10">
        <f t="shared" si="22"/>
        <v>0.2769436877192798</v>
      </c>
      <c r="D211" s="3">
        <f t="shared" si="27"/>
        <v>4</v>
      </c>
      <c r="E211" s="10">
        <f t="shared" si="23"/>
        <v>2.1050175779571241</v>
      </c>
      <c r="F211" s="10">
        <f t="shared" si="24"/>
        <v>1.1077747508771192</v>
      </c>
      <c r="G211" s="10">
        <f t="shared" si="25"/>
        <v>85.463713665059259</v>
      </c>
      <c r="H211" s="10">
        <f t="shared" si="26"/>
        <v>44.97565488561105</v>
      </c>
    </row>
    <row r="212" spans="1:8">
      <c r="A212" s="3">
        <v>20.400000000000002</v>
      </c>
      <c r="B212" s="10">
        <f t="shared" si="21"/>
        <v>0.52319208795714489</v>
      </c>
      <c r="C212" s="10">
        <f t="shared" si="22"/>
        <v>0.27372996090095686</v>
      </c>
      <c r="D212" s="3">
        <f t="shared" si="27"/>
        <v>2</v>
      </c>
      <c r="E212" s="10">
        <f t="shared" si="23"/>
        <v>1.0463841759142898</v>
      </c>
      <c r="F212" s="10">
        <f t="shared" si="24"/>
        <v>0.54745992180191372</v>
      </c>
      <c r="G212" s="10">
        <f t="shared" si="25"/>
        <v>42.692474377303029</v>
      </c>
      <c r="H212" s="10">
        <f t="shared" si="26"/>
        <v>22.336364809518081</v>
      </c>
    </row>
    <row r="213" spans="1:8">
      <c r="A213" s="3">
        <v>20.500000000000004</v>
      </c>
      <c r="B213" s="10">
        <f t="shared" si="21"/>
        <v>0.52012699340765067</v>
      </c>
      <c r="C213" s="10">
        <f t="shared" si="22"/>
        <v>0.27053208927128231</v>
      </c>
      <c r="D213" s="3">
        <f t="shared" si="27"/>
        <v>4</v>
      </c>
      <c r="E213" s="10">
        <f t="shared" si="23"/>
        <v>2.0805079736306027</v>
      </c>
      <c r="F213" s="10">
        <f t="shared" si="24"/>
        <v>1.0821283570851292</v>
      </c>
      <c r="G213" s="10">
        <f t="shared" si="25"/>
        <v>85.300826918854725</v>
      </c>
      <c r="H213" s="10">
        <f t="shared" si="26"/>
        <v>44.367262640490303</v>
      </c>
    </row>
    <row r="214" spans="1:8">
      <c r="A214" s="3">
        <v>20.6</v>
      </c>
      <c r="B214" s="10">
        <f t="shared" si="21"/>
        <v>0.51705923026103273</v>
      </c>
      <c r="C214" s="10">
        <f t="shared" si="22"/>
        <v>0.26735024759813164</v>
      </c>
      <c r="D214" s="3">
        <f t="shared" si="27"/>
        <v>2</v>
      </c>
      <c r="E214" s="10">
        <f t="shared" si="23"/>
        <v>1.0341184605220655</v>
      </c>
      <c r="F214" s="10">
        <f t="shared" si="24"/>
        <v>0.53470049519626328</v>
      </c>
      <c r="G214" s="10">
        <f t="shared" si="25"/>
        <v>42.605680573509098</v>
      </c>
      <c r="H214" s="10">
        <f t="shared" si="26"/>
        <v>22.029660402086048</v>
      </c>
    </row>
    <row r="215" spans="1:8">
      <c r="A215" s="3">
        <v>20.700000000000003</v>
      </c>
      <c r="B215" s="10">
        <f t="shared" si="21"/>
        <v>0.51398891908237965</v>
      </c>
      <c r="C215" s="10">
        <f t="shared" si="22"/>
        <v>0.26418460893947299</v>
      </c>
      <c r="D215" s="3">
        <f t="shared" si="27"/>
        <v>4</v>
      </c>
      <c r="E215" s="10">
        <f t="shared" si="23"/>
        <v>2.0559556763295186</v>
      </c>
      <c r="F215" s="10">
        <f t="shared" si="24"/>
        <v>1.0567384357578919</v>
      </c>
      <c r="G215" s="10">
        <f t="shared" si="25"/>
        <v>85.116565000042087</v>
      </c>
      <c r="H215" s="10">
        <f t="shared" si="26"/>
        <v>43.748971240376733</v>
      </c>
    </row>
    <row r="216" spans="1:8">
      <c r="A216" s="3">
        <v>20.800000000000004</v>
      </c>
      <c r="B216" s="10">
        <f t="shared" si="21"/>
        <v>0.5109161815758676</v>
      </c>
      <c r="C216" s="10">
        <f t="shared" si="22"/>
        <v>0.26103534459606492</v>
      </c>
      <c r="D216" s="3">
        <f t="shared" si="27"/>
        <v>2</v>
      </c>
      <c r="E216" s="10">
        <f t="shared" si="23"/>
        <v>1.0218323631517352</v>
      </c>
      <c r="F216" s="10">
        <f t="shared" si="24"/>
        <v>0.52207068919212984</v>
      </c>
      <c r="G216" s="10">
        <f t="shared" si="25"/>
        <v>42.508226307112196</v>
      </c>
      <c r="H216" s="10">
        <f t="shared" si="26"/>
        <v>21.718140670392607</v>
      </c>
    </row>
    <row r="217" spans="1:8">
      <c r="A217" s="3">
        <v>20.900000000000002</v>
      </c>
      <c r="B217" s="10">
        <f t="shared" si="21"/>
        <v>0.50784114057866547</v>
      </c>
      <c r="C217" s="10">
        <f t="shared" si="22"/>
        <v>0.25790262406423986</v>
      </c>
      <c r="D217" s="3">
        <f t="shared" si="27"/>
        <v>4</v>
      </c>
      <c r="E217" s="10">
        <f t="shared" si="23"/>
        <v>2.0313645623146619</v>
      </c>
      <c r="F217" s="10">
        <f t="shared" si="24"/>
        <v>1.0316104962569594</v>
      </c>
      <c r="G217" s="10">
        <f t="shared" si="25"/>
        <v>84.911038704752869</v>
      </c>
      <c r="H217" s="10">
        <f t="shared" si="26"/>
        <v>43.121318743540911</v>
      </c>
    </row>
    <row r="218" spans="1:8">
      <c r="A218" s="3">
        <v>21.000000000000004</v>
      </c>
      <c r="B218" s="10">
        <f t="shared" si="21"/>
        <v>0.50476392005450721</v>
      </c>
      <c r="C218" s="10">
        <f t="shared" si="22"/>
        <v>0.25478661498879296</v>
      </c>
      <c r="D218" s="3">
        <f t="shared" si="27"/>
        <v>2</v>
      </c>
      <c r="E218" s="10">
        <f t="shared" si="23"/>
        <v>1.0095278401090144</v>
      </c>
      <c r="F218" s="10">
        <f t="shared" si="24"/>
        <v>0.50957322997758592</v>
      </c>
      <c r="G218" s="10">
        <f t="shared" si="25"/>
        <v>42.40016928457861</v>
      </c>
      <c r="H218" s="10">
        <f t="shared" si="26"/>
        <v>21.402075659058614</v>
      </c>
    </row>
    <row r="219" spans="1:8">
      <c r="A219" s="3">
        <v>21.1</v>
      </c>
      <c r="B219" s="10">
        <f t="shared" si="21"/>
        <v>0.501684645086929</v>
      </c>
      <c r="C219" s="10">
        <f t="shared" si="22"/>
        <v>0.25168748311599792</v>
      </c>
      <c r="D219" s="3">
        <f t="shared" si="27"/>
        <v>4</v>
      </c>
      <c r="E219" s="10">
        <f t="shared" si="23"/>
        <v>2.006738580347716</v>
      </c>
      <c r="F219" s="10">
        <f t="shared" si="24"/>
        <v>1.0067499324639917</v>
      </c>
      <c r="G219" s="10">
        <f t="shared" si="25"/>
        <v>84.684368090673615</v>
      </c>
      <c r="H219" s="10">
        <f t="shared" si="26"/>
        <v>42.484847149980453</v>
      </c>
    </row>
    <row r="220" spans="1:8">
      <c r="A220" s="3">
        <v>21.200000000000003</v>
      </c>
      <c r="B220" s="10">
        <f t="shared" si="21"/>
        <v>0.49860344187216432</v>
      </c>
      <c r="C220" s="10">
        <f t="shared" si="22"/>
        <v>0.24860539224676875</v>
      </c>
      <c r="D220" s="3">
        <f t="shared" si="27"/>
        <v>2</v>
      </c>
      <c r="E220" s="10">
        <f t="shared" si="23"/>
        <v>0.99720688374432864</v>
      </c>
      <c r="F220" s="10">
        <f t="shared" si="24"/>
        <v>0.49721078449353751</v>
      </c>
      <c r="G220" s="10">
        <f t="shared" si="25"/>
        <v>42.281571870759542</v>
      </c>
      <c r="H220" s="10">
        <f t="shared" si="26"/>
        <v>21.081737262525994</v>
      </c>
    </row>
    <row r="221" spans="1:8">
      <c r="A221" s="3">
        <v>21.300000000000004</v>
      </c>
      <c r="B221" s="10">
        <f t="shared" si="21"/>
        <v>0.49552043771169646</v>
      </c>
      <c r="C221" s="10">
        <f t="shared" si="22"/>
        <v>0.24554050418999124</v>
      </c>
      <c r="D221" s="3">
        <f t="shared" si="27"/>
        <v>4</v>
      </c>
      <c r="E221" s="10">
        <f t="shared" si="23"/>
        <v>1.9820817508467858</v>
      </c>
      <c r="F221" s="10">
        <f t="shared" si="24"/>
        <v>0.98216201675996495</v>
      </c>
      <c r="G221" s="10">
        <f t="shared" si="25"/>
        <v>84.43668258607309</v>
      </c>
      <c r="H221" s="10">
        <f t="shared" si="26"/>
        <v>41.840101913974515</v>
      </c>
    </row>
    <row r="222" spans="1:8">
      <c r="A222" s="3">
        <v>21.400000000000002</v>
      </c>
      <c r="B222" s="10">
        <f t="shared" si="21"/>
        <v>0.49243576100446235</v>
      </c>
      <c r="C222" s="10">
        <f t="shared" si="22"/>
        <v>0.24249297871604397</v>
      </c>
      <c r="D222" s="3">
        <f t="shared" si="27"/>
        <v>2</v>
      </c>
      <c r="E222" s="10">
        <f t="shared" si="23"/>
        <v>0.98487152200892469</v>
      </c>
      <c r="F222" s="10">
        <f t="shared" si="24"/>
        <v>0.48498595743208794</v>
      </c>
      <c r="G222" s="10">
        <f t="shared" si="25"/>
        <v>42.152501141981979</v>
      </c>
      <c r="H222" s="10">
        <f t="shared" si="26"/>
        <v>20.757398978093367</v>
      </c>
    </row>
    <row r="223" spans="1:8">
      <c r="A223" s="3">
        <v>21.500000000000004</v>
      </c>
      <c r="B223" s="10">
        <f t="shared" si="21"/>
        <v>0.48934954123870483</v>
      </c>
      <c r="C223" s="10">
        <f t="shared" si="22"/>
        <v>0.23946297351053089</v>
      </c>
      <c r="D223" s="3">
        <f t="shared" si="27"/>
        <v>4</v>
      </c>
      <c r="E223" s="10">
        <f t="shared" si="23"/>
        <v>1.9573981649548193</v>
      </c>
      <c r="F223" s="10">
        <f t="shared" si="24"/>
        <v>0.95785189404212356</v>
      </c>
      <c r="G223" s="10">
        <f t="shared" si="25"/>
        <v>84.168121093057252</v>
      </c>
      <c r="H223" s="10">
        <f t="shared" si="26"/>
        <v>41.18763144381132</v>
      </c>
    </row>
    <row r="224" spans="1:8">
      <c r="A224" s="3">
        <v>21.6</v>
      </c>
      <c r="B224" s="10">
        <f t="shared" si="21"/>
        <v>0.48626190898347083</v>
      </c>
      <c r="C224" s="10">
        <f t="shared" si="22"/>
        <v>0.23645064412824926</v>
      </c>
      <c r="D224" s="3">
        <f t="shared" si="27"/>
        <v>2</v>
      </c>
      <c r="E224" s="10">
        <f t="shared" si="23"/>
        <v>0.97252381796694165</v>
      </c>
      <c r="F224" s="10">
        <f t="shared" si="24"/>
        <v>0.47290128825649852</v>
      </c>
      <c r="G224" s="10">
        <f t="shared" si="25"/>
        <v>42.013028936171885</v>
      </c>
      <c r="H224" s="10">
        <f t="shared" si="26"/>
        <v>20.429335652680738</v>
      </c>
    </row>
    <row r="225" spans="1:8">
      <c r="A225" s="3">
        <v>21.700000000000003</v>
      </c>
      <c r="B225" s="10">
        <f t="shared" si="21"/>
        <v>0.4831729958797481</v>
      </c>
      <c r="C225" s="10">
        <f t="shared" si="22"/>
        <v>0.23345614394741107</v>
      </c>
      <c r="D225" s="3">
        <f t="shared" si="27"/>
        <v>4</v>
      </c>
      <c r="E225" s="10">
        <f t="shared" si="23"/>
        <v>1.9326919835189924</v>
      </c>
      <c r="F225" s="10">
        <f t="shared" si="24"/>
        <v>0.93382457578964428</v>
      </c>
      <c r="G225" s="10">
        <f t="shared" si="25"/>
        <v>83.87883208472428</v>
      </c>
      <c r="H225" s="10">
        <f t="shared" si="26"/>
        <v>40.527986589270569</v>
      </c>
    </row>
    <row r="226" spans="1:8">
      <c r="A226" s="3">
        <v>21.800000000000004</v>
      </c>
      <c r="B226" s="10">
        <f t="shared" si="21"/>
        <v>0.48008293463124263</v>
      </c>
      <c r="C226" s="10">
        <f t="shared" si="22"/>
        <v>0.23047962412414599</v>
      </c>
      <c r="D226" s="3">
        <f t="shared" si="27"/>
        <v>2</v>
      </c>
      <c r="E226" s="10">
        <f t="shared" si="23"/>
        <v>0.96016586926248526</v>
      </c>
      <c r="F226" s="10">
        <f t="shared" si="24"/>
        <v>0.46095924824829199</v>
      </c>
      <c r="G226" s="10">
        <f t="shared" si="25"/>
        <v>41.863231899844365</v>
      </c>
      <c r="H226" s="10">
        <f t="shared" si="26"/>
        <v>20.097823223625536</v>
      </c>
    </row>
    <row r="227" spans="1:8">
      <c r="A227" s="3">
        <v>21.900000000000002</v>
      </c>
      <c r="B227" s="10">
        <f t="shared" si="21"/>
        <v>0.47699185899478735</v>
      </c>
      <c r="C227" s="10">
        <f t="shared" si="22"/>
        <v>0.22752123354730311</v>
      </c>
      <c r="D227" s="3">
        <f t="shared" si="27"/>
        <v>4</v>
      </c>
      <c r="E227" s="10">
        <f t="shared" si="23"/>
        <v>1.9079674359791494</v>
      </c>
      <c r="F227" s="10">
        <f t="shared" si="24"/>
        <v>0.91008493418921244</v>
      </c>
      <c r="G227" s="10">
        <f t="shared" si="25"/>
        <v>83.568973695886754</v>
      </c>
      <c r="H227" s="10">
        <f t="shared" si="26"/>
        <v>39.861720117487508</v>
      </c>
    </row>
    <row r="228" spans="1:8">
      <c r="A228" s="3">
        <v>22.000000000000004</v>
      </c>
      <c r="B228" s="10">
        <f t="shared" si="21"/>
        <v>0.47389990377038327</v>
      </c>
      <c r="C228" s="10">
        <f t="shared" si="22"/>
        <v>0.22458111879357853</v>
      </c>
      <c r="D228" s="3">
        <f t="shared" si="27"/>
        <v>2</v>
      </c>
      <c r="E228" s="10">
        <f t="shared" si="23"/>
        <v>0.94779980754076654</v>
      </c>
      <c r="F228" s="10">
        <f t="shared" si="24"/>
        <v>0.44916223758715706</v>
      </c>
      <c r="G228" s="10">
        <f t="shared" si="25"/>
        <v>41.703191531793735</v>
      </c>
      <c r="H228" s="10">
        <f t="shared" si="26"/>
        <v>19.763138453834912</v>
      </c>
    </row>
    <row r="229" spans="1:8">
      <c r="A229" s="3">
        <v>22.1</v>
      </c>
      <c r="B229" s="10">
        <f t="shared" si="21"/>
        <v>0.47080720479086746</v>
      </c>
      <c r="C229" s="10">
        <f t="shared" si="22"/>
        <v>0.2216594240829898</v>
      </c>
      <c r="D229" s="3">
        <f t="shared" si="27"/>
        <v>4</v>
      </c>
      <c r="E229" s="10">
        <f t="shared" si="23"/>
        <v>1.8832288191634698</v>
      </c>
      <c r="F229" s="10">
        <f t="shared" si="24"/>
        <v>0.88663769633195921</v>
      </c>
      <c r="G229" s="10">
        <f t="shared" si="25"/>
        <v>83.238713807025377</v>
      </c>
      <c r="H229" s="10">
        <f t="shared" si="26"/>
        <v>39.189386177872599</v>
      </c>
    </row>
    <row r="230" spans="1:8">
      <c r="A230" s="3">
        <v>22.200000000000003</v>
      </c>
      <c r="B230" s="10">
        <f t="shared" si="21"/>
        <v>0.46771389891120402</v>
      </c>
      <c r="C230" s="10">
        <f t="shared" si="22"/>
        <v>0.21875629123471996</v>
      </c>
      <c r="D230" s="3">
        <f t="shared" si="27"/>
        <v>2</v>
      </c>
      <c r="E230" s="10">
        <f t="shared" si="23"/>
        <v>0.93542779782240804</v>
      </c>
      <c r="F230" s="10">
        <f t="shared" si="24"/>
        <v>0.43751258246943991</v>
      </c>
      <c r="G230" s="10">
        <f t="shared" si="25"/>
        <v>41.532994223314923</v>
      </c>
      <c r="H230" s="10">
        <f t="shared" si="26"/>
        <v>19.425558661643134</v>
      </c>
    </row>
    <row r="231" spans="1:8">
      <c r="A231" s="3">
        <v>22.300000000000004</v>
      </c>
      <c r="B231" s="10">
        <f t="shared" si="21"/>
        <v>0.46462012399739788</v>
      </c>
      <c r="C231" s="10">
        <f t="shared" si="22"/>
        <v>0.21587185962335739</v>
      </c>
      <c r="D231" s="3">
        <f t="shared" si="27"/>
        <v>4</v>
      </c>
      <c r="E231" s="10">
        <f t="shared" si="23"/>
        <v>1.8584804959895915</v>
      </c>
      <c r="F231" s="10">
        <f t="shared" si="24"/>
        <v>0.86348743849342957</v>
      </c>
      <c r="G231" s="10">
        <f t="shared" si="25"/>
        <v>82.888230121135791</v>
      </c>
      <c r="H231" s="10">
        <f t="shared" si="26"/>
        <v>38.511539756806968</v>
      </c>
    </row>
    <row r="232" spans="1:8">
      <c r="A232" s="3">
        <v>22.400000000000002</v>
      </c>
      <c r="B232" s="10">
        <f t="shared" si="21"/>
        <v>0.46152601891502421</v>
      </c>
      <c r="C232" s="10">
        <f t="shared" si="22"/>
        <v>0.21300626613555129</v>
      </c>
      <c r="D232" s="3">
        <f t="shared" si="27"/>
        <v>2</v>
      </c>
      <c r="E232" s="10">
        <f t="shared" si="23"/>
        <v>0.92305203783004841</v>
      </c>
      <c r="F232" s="10">
        <f t="shared" si="24"/>
        <v>0.42601253227110258</v>
      </c>
      <c r="G232" s="10">
        <f t="shared" si="25"/>
        <v>41.352731294786174</v>
      </c>
      <c r="H232" s="10">
        <f t="shared" si="26"/>
        <v>19.085361445745399</v>
      </c>
    </row>
    <row r="233" spans="1:8">
      <c r="A233" s="3">
        <v>22.500000000000004</v>
      </c>
      <c r="B233" s="10">
        <f t="shared" si="21"/>
        <v>0.45843172351737377</v>
      </c>
      <c r="C233" s="10">
        <f t="shared" si="22"/>
        <v>0.21015964512710983</v>
      </c>
      <c r="D233" s="3">
        <f t="shared" si="27"/>
        <v>4</v>
      </c>
      <c r="E233" s="10">
        <f t="shared" si="23"/>
        <v>1.8337268940694951</v>
      </c>
      <c r="F233" s="10">
        <f t="shared" si="24"/>
        <v>0.84063858050843931</v>
      </c>
      <c r="G233" s="10">
        <f t="shared" si="25"/>
        <v>82.517710233127289</v>
      </c>
      <c r="H233" s="10">
        <f t="shared" si="26"/>
        <v>37.828736122879775</v>
      </c>
    </row>
    <row r="234" spans="1:8">
      <c r="A234" s="3">
        <v>22.6</v>
      </c>
      <c r="B234" s="10">
        <f t="shared" si="21"/>
        <v>0.45533737863320978</v>
      </c>
      <c r="C234" s="10">
        <f t="shared" si="22"/>
        <v>0.20733212838056303</v>
      </c>
      <c r="D234" s="3">
        <f t="shared" si="27"/>
        <v>2</v>
      </c>
      <c r="E234" s="10">
        <f t="shared" si="23"/>
        <v>0.91067475726641955</v>
      </c>
      <c r="F234" s="10">
        <f t="shared" si="24"/>
        <v>0.41466425676112606</v>
      </c>
      <c r="G234" s="10">
        <f t="shared" si="25"/>
        <v>41.16249902844217</v>
      </c>
      <c r="H234" s="10">
        <f t="shared" si="26"/>
        <v>18.742824405602899</v>
      </c>
    </row>
    <row r="235" spans="1:8">
      <c r="A235" s="3">
        <v>22.700000000000003</v>
      </c>
      <c r="B235" s="10">
        <f t="shared" si="21"/>
        <v>0.45224312605413336</v>
      </c>
      <c r="C235" s="10">
        <f t="shared" si="22"/>
        <v>0.20452384506321475</v>
      </c>
      <c r="D235" s="3">
        <f t="shared" si="27"/>
        <v>4</v>
      </c>
      <c r="E235" s="10">
        <f t="shared" si="23"/>
        <v>1.8089725042165334</v>
      </c>
      <c r="F235" s="10">
        <f t="shared" si="24"/>
        <v>0.81809538025285899</v>
      </c>
      <c r="G235" s="10">
        <f t="shared" si="25"/>
        <v>82.127351691430633</v>
      </c>
      <c r="H235" s="10">
        <f t="shared" si="26"/>
        <v>37.141530263479801</v>
      </c>
    </row>
    <row r="236" spans="1:8">
      <c r="A236" s="3">
        <v>22.800000000000004</v>
      </c>
      <c r="B236" s="10">
        <f t="shared" si="21"/>
        <v>0.44914910852155532</v>
      </c>
      <c r="C236" s="10">
        <f t="shared" si="22"/>
        <v>0.20173492168570786</v>
      </c>
      <c r="D236" s="3">
        <f t="shared" si="27"/>
        <v>2</v>
      </c>
      <c r="E236" s="10">
        <f t="shared" si="23"/>
        <v>0.89829821704311064</v>
      </c>
      <c r="F236" s="10">
        <f t="shared" si="24"/>
        <v>0.40346984337141573</v>
      </c>
      <c r="G236" s="10">
        <f t="shared" si="25"/>
        <v>40.962398697165852</v>
      </c>
      <c r="H236" s="10">
        <f t="shared" si="26"/>
        <v>18.398224857736562</v>
      </c>
    </row>
    <row r="237" spans="1:8">
      <c r="A237" s="3">
        <v>22.900000000000002</v>
      </c>
      <c r="B237" s="10">
        <f t="shared" si="21"/>
        <v>0.44605546971327115</v>
      </c>
      <c r="C237" s="10">
        <f t="shared" si="22"/>
        <v>0.19896548206112696</v>
      </c>
      <c r="D237" s="3">
        <f t="shared" si="27"/>
        <v>4</v>
      </c>
      <c r="E237" s="10">
        <f t="shared" si="23"/>
        <v>1.7842218788530846</v>
      </c>
      <c r="F237" s="10">
        <f t="shared" si="24"/>
        <v>0.79586192824450785</v>
      </c>
      <c r="G237" s="10">
        <f t="shared" si="25"/>
        <v>81.717362051471284</v>
      </c>
      <c r="H237" s="10">
        <f t="shared" si="26"/>
        <v>36.450476313598465</v>
      </c>
    </row>
    <row r="238" spans="1:8">
      <c r="A238" s="3">
        <v>23.000000000000004</v>
      </c>
      <c r="B238" s="10">
        <f t="shared" si="21"/>
        <v>0.44296235422963742</v>
      </c>
      <c r="C238" s="10">
        <f t="shared" si="22"/>
        <v>0.19621564726466278</v>
      </c>
      <c r="D238" s="3">
        <f t="shared" si="27"/>
        <v>2</v>
      </c>
      <c r="E238" s="10">
        <f t="shared" si="23"/>
        <v>0.88592470845927485</v>
      </c>
      <c r="F238" s="10">
        <f t="shared" si="24"/>
        <v>0.39243129452932557</v>
      </c>
      <c r="G238" s="10">
        <f t="shared" si="25"/>
        <v>40.752536589126649</v>
      </c>
      <c r="H238" s="10">
        <f t="shared" si="26"/>
        <v>18.05183954834898</v>
      </c>
    </row>
    <row r="239" spans="1:8">
      <c r="A239" s="3">
        <v>23.1</v>
      </c>
      <c r="B239" s="10">
        <f t="shared" si="21"/>
        <v>0.43986990757934646</v>
      </c>
      <c r="C239" s="10">
        <f t="shared" si="22"/>
        <v>0.19348553559386281</v>
      </c>
      <c r="D239" s="3">
        <f t="shared" si="27"/>
        <v>4</v>
      </c>
      <c r="E239" s="10">
        <f t="shared" si="23"/>
        <v>1.7594796303173859</v>
      </c>
      <c r="F239" s="10">
        <f t="shared" si="24"/>
        <v>0.77394214237545123</v>
      </c>
      <c r="G239" s="10">
        <f t="shared" si="25"/>
        <v>81.287958920663229</v>
      </c>
      <c r="H239" s="10">
        <f t="shared" si="26"/>
        <v>35.756126977745851</v>
      </c>
    </row>
    <row r="240" spans="1:8">
      <c r="A240" s="3">
        <v>23.200000000000003</v>
      </c>
      <c r="B240" s="10">
        <f t="shared" si="21"/>
        <v>0.4367782761647962</v>
      </c>
      <c r="C240" s="10">
        <f t="shared" si="22"/>
        <v>0.19077526252949098</v>
      </c>
      <c r="D240" s="3">
        <f t="shared" si="27"/>
        <v>2</v>
      </c>
      <c r="E240" s="10">
        <f t="shared" si="23"/>
        <v>0.8735565523295924</v>
      </c>
      <c r="F240" s="10">
        <f t="shared" si="24"/>
        <v>0.38155052505898196</v>
      </c>
      <c r="G240" s="10">
        <f t="shared" si="25"/>
        <v>40.533024028093095</v>
      </c>
      <c r="H240" s="10">
        <f t="shared" si="26"/>
        <v>17.703944362736767</v>
      </c>
    </row>
    <row r="241" spans="1:8">
      <c r="A241" s="3">
        <v>23.300000000000004</v>
      </c>
      <c r="B241" s="10">
        <f t="shared" si="21"/>
        <v>0.43368760726705602</v>
      </c>
      <c r="C241" s="10">
        <f t="shared" si="22"/>
        <v>0.18808494069702422</v>
      </c>
      <c r="D241" s="3">
        <f t="shared" si="27"/>
        <v>4</v>
      </c>
      <c r="E241" s="10">
        <f t="shared" si="23"/>
        <v>1.7347504290682241</v>
      </c>
      <c r="F241" s="10">
        <f t="shared" si="24"/>
        <v>0.75233976278809689</v>
      </c>
      <c r="G241" s="10">
        <f t="shared" si="25"/>
        <v>80.839369994579258</v>
      </c>
      <c r="H241" s="10">
        <f t="shared" si="26"/>
        <v>35.059032945925324</v>
      </c>
    </row>
    <row r="242" spans="1:8">
      <c r="A242" s="3">
        <v>23.400000000000002</v>
      </c>
      <c r="B242" s="10">
        <f t="shared" si="21"/>
        <v>0.43059804903042215</v>
      </c>
      <c r="C242" s="10">
        <f t="shared" si="22"/>
        <v>0.18541467982880583</v>
      </c>
      <c r="D242" s="3">
        <f t="shared" si="27"/>
        <v>2</v>
      </c>
      <c r="E242" s="10">
        <f t="shared" si="23"/>
        <v>0.8611960980608443</v>
      </c>
      <c r="F242" s="10">
        <f t="shared" si="24"/>
        <v>0.37082935965761166</v>
      </c>
      <c r="G242" s="10">
        <f t="shared" si="25"/>
        <v>40.303977389247514</v>
      </c>
      <c r="H242" s="10">
        <f t="shared" si="26"/>
        <v>17.354814031976225</v>
      </c>
    </row>
    <row r="243" spans="1:8">
      <c r="A243" s="3">
        <v>23.500000000000004</v>
      </c>
      <c r="B243" s="10">
        <f t="shared" si="21"/>
        <v>0.42750975044656425</v>
      </c>
      <c r="C243" s="10">
        <f t="shared" si="22"/>
        <v>0.18276458672688364</v>
      </c>
      <c r="D243" s="3">
        <f t="shared" si="27"/>
        <v>4</v>
      </c>
      <c r="E243" s="10">
        <f t="shared" si="23"/>
        <v>1.710039001786257</v>
      </c>
      <c r="F243" s="10">
        <f t="shared" si="24"/>
        <v>0.73105834690753457</v>
      </c>
      <c r="G243" s="10">
        <f t="shared" si="25"/>
        <v>80.371833083954087</v>
      </c>
      <c r="H243" s="10">
        <f t="shared" si="26"/>
        <v>34.359742304654127</v>
      </c>
    </row>
    <row r="244" spans="1:8">
      <c r="A244" s="3">
        <v>23.6</v>
      </c>
      <c r="B244" s="10">
        <f t="shared" si="21"/>
        <v>0.42442286133826013</v>
      </c>
      <c r="C244" s="10">
        <f t="shared" si="22"/>
        <v>0.18013476522655597</v>
      </c>
      <c r="D244" s="3">
        <f t="shared" si="27"/>
        <v>2</v>
      </c>
      <c r="E244" s="10">
        <f t="shared" si="23"/>
        <v>0.84884572267652025</v>
      </c>
      <c r="F244" s="10">
        <f t="shared" si="24"/>
        <v>0.36026953045311194</v>
      </c>
      <c r="G244" s="10">
        <f t="shared" si="25"/>
        <v>40.065518110331759</v>
      </c>
      <c r="H244" s="10">
        <f t="shared" si="26"/>
        <v>17.004721837386885</v>
      </c>
    </row>
    <row r="245" spans="1:8">
      <c r="A245" s="3">
        <v>23.700000000000003</v>
      </c>
      <c r="B245" s="10">
        <f t="shared" si="21"/>
        <v>0.42133753234271504</v>
      </c>
      <c r="C245" s="10">
        <f t="shared" si="22"/>
        <v>0.17752531616064843</v>
      </c>
      <c r="D245" s="3">
        <f t="shared" si="27"/>
        <v>4</v>
      </c>
      <c r="E245" s="10">
        <f t="shared" si="23"/>
        <v>1.6853501293708602</v>
      </c>
      <c r="F245" s="10">
        <f t="shared" si="24"/>
        <v>0.71010126464259371</v>
      </c>
      <c r="G245" s="10">
        <f t="shared" si="25"/>
        <v>79.885596132178776</v>
      </c>
      <c r="H245" s="10">
        <f t="shared" si="26"/>
        <v>33.658799944058948</v>
      </c>
    </row>
    <row r="246" spans="1:8">
      <c r="A246" s="3">
        <v>23.800000000000004</v>
      </c>
      <c r="B246" s="10">
        <f t="shared" si="21"/>
        <v>0.41825391489446773</v>
      </c>
      <c r="C246" s="10">
        <f t="shared" si="22"/>
        <v>0.17493633732454866</v>
      </c>
      <c r="D246" s="3">
        <f t="shared" si="27"/>
        <v>2</v>
      </c>
      <c r="E246" s="10">
        <f t="shared" si="23"/>
        <v>0.83650782978893545</v>
      </c>
      <c r="F246" s="10">
        <f t="shared" si="24"/>
        <v>0.34987267464909733</v>
      </c>
      <c r="G246" s="10">
        <f t="shared" si="25"/>
        <v>39.817772697953338</v>
      </c>
      <c r="H246" s="10">
        <f t="shared" si="26"/>
        <v>16.653939313297037</v>
      </c>
    </row>
    <row r="247" spans="1:8">
      <c r="A247" s="3">
        <v>23.900000000000002</v>
      </c>
      <c r="B247" s="10">
        <f t="shared" si="21"/>
        <v>0.41517216120787831</v>
      </c>
      <c r="C247" s="10">
        <f t="shared" si="22"/>
        <v>0.17236792344202048</v>
      </c>
      <c r="D247" s="3">
        <f t="shared" si="27"/>
        <v>4</v>
      </c>
      <c r="E247" s="10">
        <f t="shared" si="23"/>
        <v>1.6606886448315132</v>
      </c>
      <c r="F247" s="10">
        <f t="shared" si="24"/>
        <v>0.68947169376808193</v>
      </c>
      <c r="G247" s="10">
        <f t="shared" si="25"/>
        <v>79.380917222946337</v>
      </c>
      <c r="H247" s="10">
        <f t="shared" si="26"/>
        <v>32.956746962114316</v>
      </c>
    </row>
    <row r="248" spans="1:8">
      <c r="A248" s="3">
        <v>24.000000000000004</v>
      </c>
      <c r="B248" s="10">
        <f t="shared" si="21"/>
        <v>0.41209242425919845</v>
      </c>
      <c r="C248" s="10">
        <f t="shared" si="22"/>
        <v>0.16982016613182321</v>
      </c>
      <c r="D248" s="3">
        <f t="shared" si="27"/>
        <v>2</v>
      </c>
      <c r="E248" s="10">
        <f t="shared" si="23"/>
        <v>0.82418484851839691</v>
      </c>
      <c r="F248" s="10">
        <f t="shared" si="24"/>
        <v>0.33964033226364643</v>
      </c>
      <c r="G248" s="10">
        <f t="shared" si="25"/>
        <v>39.560872728883055</v>
      </c>
      <c r="H248" s="10">
        <f t="shared" si="26"/>
        <v>16.30273594865503</v>
      </c>
    </row>
    <row r="249" spans="1:8">
      <c r="A249" s="3">
        <v>24.1</v>
      </c>
      <c r="B249" s="10">
        <f t="shared" si="21"/>
        <v>0.40901485776822188</v>
      </c>
      <c r="C249" s="10">
        <f t="shared" si="22"/>
        <v>0.16729315387515878</v>
      </c>
      <c r="D249" s="3">
        <f t="shared" si="27"/>
        <v>4</v>
      </c>
      <c r="E249" s="10">
        <f t="shared" si="23"/>
        <v>1.6360594310728875</v>
      </c>
      <c r="F249" s="10">
        <f t="shared" si="24"/>
        <v>0.66917261550063512</v>
      </c>
      <c r="G249" s="10">
        <f t="shared" si="25"/>
        <v>78.858064577713179</v>
      </c>
      <c r="H249" s="10">
        <f t="shared" si="26"/>
        <v>32.254120067130614</v>
      </c>
    </row>
    <row r="250" spans="1:8">
      <c r="A250" s="3">
        <v>24.200000000000003</v>
      </c>
      <c r="B250" s="10">
        <f t="shared" si="21"/>
        <v>0.40593961617951541</v>
      </c>
      <c r="C250" s="10">
        <f t="shared" si="22"/>
        <v>0.1647869719839723</v>
      </c>
      <c r="D250" s="3">
        <f t="shared" si="27"/>
        <v>2</v>
      </c>
      <c r="E250" s="10">
        <f t="shared" si="23"/>
        <v>0.81187923235903081</v>
      </c>
      <c r="F250" s="10">
        <f t="shared" si="24"/>
        <v>0.32957394396794459</v>
      </c>
      <c r="G250" s="10">
        <f t="shared" si="25"/>
        <v>39.294954846177099</v>
      </c>
      <c r="H250" s="10">
        <f t="shared" si="26"/>
        <v>15.95137888804852</v>
      </c>
    </row>
    <row r="251" spans="1:8">
      <c r="A251" s="3">
        <v>24.300000000000004</v>
      </c>
      <c r="B251" s="10">
        <f t="shared" si="21"/>
        <v>0.40286685464322786</v>
      </c>
      <c r="C251" s="10">
        <f t="shared" si="22"/>
        <v>0.16230170257012769</v>
      </c>
      <c r="D251" s="3">
        <f t="shared" si="27"/>
        <v>4</v>
      </c>
      <c r="E251" s="10">
        <f t="shared" si="23"/>
        <v>1.6114674185729114</v>
      </c>
      <c r="F251" s="10">
        <f t="shared" si="24"/>
        <v>0.64920681028051075</v>
      </c>
      <c r="G251" s="10">
        <f t="shared" si="25"/>
        <v>78.317316542643511</v>
      </c>
      <c r="H251" s="10">
        <f t="shared" si="26"/>
        <v>31.551450979632829</v>
      </c>
    </row>
    <row r="252" spans="1:8">
      <c r="A252" s="3">
        <v>24.400000000000002</v>
      </c>
      <c r="B252" s="10">
        <f t="shared" si="21"/>
        <v>0.39979672899547719</v>
      </c>
      <c r="C252" s="10">
        <f t="shared" si="22"/>
        <v>0.15983742451548302</v>
      </c>
      <c r="D252" s="3">
        <f t="shared" si="27"/>
        <v>2</v>
      </c>
      <c r="E252" s="10">
        <f t="shared" si="23"/>
        <v>0.79959345799095438</v>
      </c>
      <c r="F252" s="10">
        <f t="shared" si="24"/>
        <v>0.31967484903096605</v>
      </c>
      <c r="G252" s="10">
        <f t="shared" si="25"/>
        <v>39.020160749958578</v>
      </c>
      <c r="H252" s="10">
        <f t="shared" si="26"/>
        <v>15.600132632711144</v>
      </c>
    </row>
    <row r="253" spans="1:8">
      <c r="A253" s="3">
        <v>24.500000000000004</v>
      </c>
      <c r="B253" s="10">
        <f t="shared" si="21"/>
        <v>0.39672939573831589</v>
      </c>
      <c r="C253" s="10">
        <f t="shared" si="22"/>
        <v>0.15739421344288926</v>
      </c>
      <c r="D253" s="3">
        <f t="shared" si="27"/>
        <v>4</v>
      </c>
      <c r="E253" s="10">
        <f t="shared" si="23"/>
        <v>1.5869175829532636</v>
      </c>
      <c r="F253" s="10">
        <f t="shared" si="24"/>
        <v>0.62957685377155703</v>
      </c>
      <c r="G253" s="10">
        <f t="shared" si="25"/>
        <v>77.758961564709921</v>
      </c>
      <c r="H253" s="10">
        <f t="shared" si="26"/>
        <v>30.8492658348063</v>
      </c>
    </row>
    <row r="254" spans="1:8">
      <c r="A254" s="3">
        <v>24.6</v>
      </c>
      <c r="B254" s="10">
        <f t="shared" si="21"/>
        <v>0.39366501201927284</v>
      </c>
      <c r="C254" s="10">
        <f t="shared" si="22"/>
        <v>0.15497214168813422</v>
      </c>
      <c r="D254" s="3">
        <f t="shared" si="27"/>
        <v>2</v>
      </c>
      <c r="E254" s="10">
        <f t="shared" si="23"/>
        <v>0.78733002403854568</v>
      </c>
      <c r="F254" s="10">
        <f t="shared" si="24"/>
        <v>0.30994428337626845</v>
      </c>
      <c r="G254" s="10">
        <f t="shared" si="25"/>
        <v>38.736637182696448</v>
      </c>
      <c r="H254" s="10">
        <f t="shared" si="26"/>
        <v>15.249258742112408</v>
      </c>
    </row>
    <row r="255" spans="1:8">
      <c r="A255" s="3">
        <v>24.700000000000003</v>
      </c>
      <c r="B255" s="10">
        <f t="shared" si="21"/>
        <v>0.39060373561047174</v>
      </c>
      <c r="C255" s="10">
        <f t="shared" si="22"/>
        <v>0.1525712782728553</v>
      </c>
      <c r="D255" s="3">
        <f t="shared" si="27"/>
        <v>4</v>
      </c>
      <c r="E255" s="10">
        <f t="shared" si="23"/>
        <v>1.5624149424418869</v>
      </c>
      <c r="F255" s="10">
        <f t="shared" si="24"/>
        <v>0.61028511309142119</v>
      </c>
      <c r="G255" s="10">
        <f t="shared" si="25"/>
        <v>77.18329815662922</v>
      </c>
      <c r="H255" s="10">
        <f t="shared" si="26"/>
        <v>30.148084586716209</v>
      </c>
    </row>
    <row r="256" spans="1:8">
      <c r="A256" s="3">
        <v>24.800000000000004</v>
      </c>
      <c r="B256" s="10">
        <f t="shared" si="21"/>
        <v>0.3875457248873278</v>
      </c>
      <c r="C256" s="10">
        <f t="shared" si="22"/>
        <v>0.15019168887844436</v>
      </c>
      <c r="D256" s="3">
        <f t="shared" si="27"/>
        <v>2</v>
      </c>
      <c r="E256" s="10">
        <f t="shared" si="23"/>
        <v>0.77509144977465561</v>
      </c>
      <c r="F256" s="10">
        <f t="shared" si="24"/>
        <v>0.30038337775688873</v>
      </c>
      <c r="G256" s="10">
        <f t="shared" si="25"/>
        <v>38.444535908822928</v>
      </c>
      <c r="H256" s="10">
        <f t="shared" si="26"/>
        <v>14.899015536741683</v>
      </c>
    </row>
    <row r="257" spans="1:8">
      <c r="A257" s="3">
        <v>24.900000000000002</v>
      </c>
      <c r="B257" s="10">
        <f t="shared" si="21"/>
        <v>0.38449113880681973</v>
      </c>
      <c r="C257" s="10">
        <f t="shared" si="22"/>
        <v>0.14783343582096511</v>
      </c>
      <c r="D257" s="3">
        <f t="shared" si="27"/>
        <v>4</v>
      </c>
      <c r="E257" s="10">
        <f t="shared" si="23"/>
        <v>1.5379645552272789</v>
      </c>
      <c r="F257" s="10">
        <f t="shared" si="24"/>
        <v>0.59133374328386046</v>
      </c>
      <c r="G257" s="10">
        <f t="shared" si="25"/>
        <v>76.590634850318494</v>
      </c>
      <c r="H257" s="10">
        <f t="shared" si="26"/>
        <v>29.448420415536255</v>
      </c>
    </row>
    <row r="258" spans="1:8">
      <c r="A258" s="3">
        <v>25.000000000000004</v>
      </c>
      <c r="B258" s="10">
        <f t="shared" si="21"/>
        <v>0.38144013688534045</v>
      </c>
      <c r="C258" s="10">
        <f t="shared" si="22"/>
        <v>0.14549657802710725</v>
      </c>
      <c r="D258" s="3">
        <f t="shared" si="27"/>
        <v>2</v>
      </c>
      <c r="E258" s="10">
        <f t="shared" si="23"/>
        <v>0.76288027377068091</v>
      </c>
      <c r="F258" s="10">
        <f t="shared" si="24"/>
        <v>0.2909931560542145</v>
      </c>
      <c r="G258" s="10">
        <f t="shared" si="25"/>
        <v>38.144013688534052</v>
      </c>
      <c r="H258" s="10">
        <f t="shared" si="26"/>
        <v>14.549657802710726</v>
      </c>
    </row>
    <row r="259" spans="1:8">
      <c r="A259" s="3">
        <v>25.1</v>
      </c>
      <c r="B259" s="10">
        <f t="shared" si="21"/>
        <v>0.37839287917612491</v>
      </c>
      <c r="C259" s="10">
        <f t="shared" si="22"/>
        <v>0.14318117101119746</v>
      </c>
      <c r="D259" s="3">
        <f t="shared" si="27"/>
        <v>4</v>
      </c>
      <c r="E259" s="10">
        <f t="shared" si="23"/>
        <v>1.5135715167044996</v>
      </c>
      <c r="F259" s="10">
        <f t="shared" si="24"/>
        <v>0.57272468404478982</v>
      </c>
      <c r="G259" s="10">
        <f t="shared" si="25"/>
        <v>75.981290138565882</v>
      </c>
      <c r="H259" s="10">
        <f t="shared" si="26"/>
        <v>28.750779139048451</v>
      </c>
    </row>
    <row r="260" spans="1:8">
      <c r="A260" s="3">
        <v>25.200000000000003</v>
      </c>
      <c r="B260" s="10">
        <f t="shared" si="21"/>
        <v>0.37534952624625584</v>
      </c>
      <c r="C260" s="10">
        <f t="shared" si="22"/>
        <v>0.1408872668532887</v>
      </c>
      <c r="D260" s="3">
        <f t="shared" si="27"/>
        <v>2</v>
      </c>
      <c r="E260" s="10">
        <f t="shared" si="23"/>
        <v>0.75069905249251168</v>
      </c>
      <c r="F260" s="10">
        <f t="shared" si="24"/>
        <v>0.2817745337065774</v>
      </c>
      <c r="G260" s="10">
        <f t="shared" si="25"/>
        <v>37.835232245622592</v>
      </c>
      <c r="H260" s="10">
        <f t="shared" si="26"/>
        <v>14.201436498811503</v>
      </c>
    </row>
    <row r="261" spans="1:8">
      <c r="A261" s="3">
        <v>25.300000000000004</v>
      </c>
      <c r="B261" s="10">
        <f t="shared" si="21"/>
        <v>0.37231023915325112</v>
      </c>
      <c r="C261" s="10">
        <f t="shared" si="22"/>
        <v>0.13861491417835103</v>
      </c>
      <c r="D261" s="3">
        <f t="shared" si="27"/>
        <v>4</v>
      </c>
      <c r="E261" s="10">
        <f t="shared" si="23"/>
        <v>1.4892409566130045</v>
      </c>
      <c r="F261" s="10">
        <f t="shared" si="24"/>
        <v>0.55445965671340414</v>
      </c>
      <c r="G261" s="10">
        <f t="shared" si="25"/>
        <v>75.355592404618037</v>
      </c>
      <c r="H261" s="10">
        <f t="shared" si="26"/>
        <v>28.055658629698254</v>
      </c>
    </row>
    <row r="262" spans="1:8">
      <c r="A262" s="3">
        <v>25.400000000000002</v>
      </c>
      <c r="B262" s="10">
        <f t="shared" si="21"/>
        <v>0.36927517942122801</v>
      </c>
      <c r="C262" s="10">
        <f t="shared" si="22"/>
        <v>0.13636415813658015</v>
      </c>
      <c r="D262" s="3">
        <f t="shared" si="27"/>
        <v>2</v>
      </c>
      <c r="E262" s="10">
        <f t="shared" si="23"/>
        <v>0.73855035884245601</v>
      </c>
      <c r="F262" s="10">
        <f t="shared" si="24"/>
        <v>0.2727283162731603</v>
      </c>
      <c r="G262" s="10">
        <f t="shared" si="25"/>
        <v>37.518358229196771</v>
      </c>
      <c r="H262" s="10">
        <f t="shared" si="26"/>
        <v>13.854598466676544</v>
      </c>
    </row>
    <row r="263" spans="1:8">
      <c r="A263" s="3">
        <v>25.500000000000004</v>
      </c>
      <c r="B263" s="10">
        <f t="shared" si="21"/>
        <v>0.36624450901665268</v>
      </c>
      <c r="C263" s="10">
        <f t="shared" si="22"/>
        <v>0.13413504038484897</v>
      </c>
      <c r="D263" s="3">
        <f t="shared" si="27"/>
        <v>4</v>
      </c>
      <c r="E263" s="10">
        <f t="shared" si="23"/>
        <v>1.4649780360666107</v>
      </c>
      <c r="F263" s="10">
        <f t="shared" si="24"/>
        <v>0.53654016153939588</v>
      </c>
      <c r="G263" s="10">
        <f t="shared" si="25"/>
        <v>74.713879839397151</v>
      </c>
      <c r="H263" s="10">
        <f t="shared" si="26"/>
        <v>27.363548238509193</v>
      </c>
    </row>
    <row r="264" spans="1:8">
      <c r="A264" s="3">
        <v>25.6</v>
      </c>
      <c r="B264" s="10">
        <f t="shared" si="21"/>
        <v>0.36321839032367098</v>
      </c>
      <c r="C264" s="10">
        <f t="shared" si="22"/>
        <v>0.13192759906931861</v>
      </c>
      <c r="D264" s="3">
        <f t="shared" si="27"/>
        <v>2</v>
      </c>
      <c r="E264" s="10">
        <f t="shared" si="23"/>
        <v>0.72643678064734196</v>
      </c>
      <c r="F264" s="10">
        <f t="shared" si="24"/>
        <v>0.26385519813863723</v>
      </c>
      <c r="G264" s="10">
        <f t="shared" si="25"/>
        <v>37.193563169143907</v>
      </c>
      <c r="H264" s="10">
        <f t="shared" si="26"/>
        <v>13.509386144698226</v>
      </c>
    </row>
    <row r="265" spans="1:8">
      <c r="A265" s="3">
        <v>25.700000000000003</v>
      </c>
      <c r="B265" s="10">
        <f t="shared" ref="B265:B328" si="28">$B$5^(($B$4^50)*(($B$4^A265)-1))</f>
        <v>0.36019698611902384</v>
      </c>
      <c r="C265" s="10">
        <f t="shared" ref="C265:C328" si="29">B265^2</f>
        <v>0.12974186880922825</v>
      </c>
      <c r="D265" s="3">
        <f t="shared" si="27"/>
        <v>4</v>
      </c>
      <c r="E265" s="10">
        <f t="shared" ref="E265:E328" si="30">B265*D265</f>
        <v>1.4407879444760954</v>
      </c>
      <c r="F265" s="10">
        <f t="shared" ref="F265:F328" si="31">C265*D265</f>
        <v>0.518967475236913</v>
      </c>
      <c r="G265" s="10">
        <f t="shared" ref="G265:G328" si="32">2*A265*B265*D265</f>
        <v>74.056500346071317</v>
      </c>
      <c r="H265" s="10">
        <f t="shared" ref="H265:H328" si="33">2*A265*C265*D265</f>
        <v>26.674928227177332</v>
      </c>
    </row>
    <row r="266" spans="1:8">
      <c r="A266" s="3">
        <v>25.800000000000004</v>
      </c>
      <c r="B266" s="10">
        <f t="shared" si="28"/>
        <v>0.3571804595465512</v>
      </c>
      <c r="C266" s="10">
        <f t="shared" si="29"/>
        <v>0.1275778806818855</v>
      </c>
      <c r="D266" s="3">
        <f t="shared" si="27"/>
        <v>2</v>
      </c>
      <c r="E266" s="10">
        <f t="shared" si="30"/>
        <v>0.7143609190931024</v>
      </c>
      <c r="F266" s="10">
        <f t="shared" si="31"/>
        <v>0.25515576136377099</v>
      </c>
      <c r="G266" s="10">
        <f t="shared" si="32"/>
        <v>36.861023425204088</v>
      </c>
      <c r="H266" s="10">
        <f t="shared" si="33"/>
        <v>13.166037286370585</v>
      </c>
    </row>
    <row r="267" spans="1:8">
      <c r="A267" s="3">
        <v>25.900000000000002</v>
      </c>
      <c r="B267" s="10">
        <f t="shared" si="28"/>
        <v>0.35416897409128245</v>
      </c>
      <c r="C267" s="10">
        <f t="shared" si="29"/>
        <v>0.12543566220887151</v>
      </c>
      <c r="D267" s="3">
        <f t="shared" ref="D267:D330" si="34">IF(D266=4,2,4)</f>
        <v>4</v>
      </c>
      <c r="E267" s="10">
        <f t="shared" si="30"/>
        <v>1.4166758963651298</v>
      </c>
      <c r="F267" s="10">
        <f t="shared" si="31"/>
        <v>0.50174264883548603</v>
      </c>
      <c r="G267" s="10">
        <f t="shared" si="32"/>
        <v>73.383811431713724</v>
      </c>
      <c r="H267" s="10">
        <f t="shared" si="33"/>
        <v>25.990269209678178</v>
      </c>
    </row>
    <row r="268" spans="1:8">
      <c r="A268" s="3">
        <v>26.000000000000004</v>
      </c>
      <c r="B268" s="10">
        <f t="shared" si="28"/>
        <v>0.35116269355312091</v>
      </c>
      <c r="C268" s="10">
        <f t="shared" si="29"/>
        <v>0.12331523734348311</v>
      </c>
      <c r="D268" s="3">
        <f t="shared" si="34"/>
        <v>2</v>
      </c>
      <c r="E268" s="10">
        <f t="shared" si="30"/>
        <v>0.70232538710624182</v>
      </c>
      <c r="F268" s="10">
        <f t="shared" si="31"/>
        <v>0.24663047468696622</v>
      </c>
      <c r="G268" s="10">
        <f t="shared" si="32"/>
        <v>36.520920129524576</v>
      </c>
      <c r="H268" s="10">
        <f t="shared" si="33"/>
        <v>12.824784683722246</v>
      </c>
    </row>
    <row r="269" spans="1:8">
      <c r="A269" s="3">
        <v>26.1</v>
      </c>
      <c r="B269" s="10">
        <f t="shared" si="28"/>
        <v>0.34816178202011916</v>
      </c>
      <c r="C269" s="10">
        <f t="shared" si="29"/>
        <v>0.12121662645942496</v>
      </c>
      <c r="D269" s="3">
        <f t="shared" si="34"/>
        <v>4</v>
      </c>
      <c r="E269" s="10">
        <f t="shared" si="30"/>
        <v>1.3926471280804766</v>
      </c>
      <c r="F269" s="10">
        <f t="shared" si="31"/>
        <v>0.48486650583769986</v>
      </c>
      <c r="G269" s="10">
        <f t="shared" si="32"/>
        <v>72.69618008580089</v>
      </c>
      <c r="H269" s="10">
        <f t="shared" si="33"/>
        <v>25.310031604727936</v>
      </c>
    </row>
    <row r="270" spans="1:8">
      <c r="A270" s="3">
        <v>26.200000000000003</v>
      </c>
      <c r="B270" s="10">
        <f t="shared" si="28"/>
        <v>0.34516640384135311</v>
      </c>
      <c r="C270" s="10">
        <f t="shared" si="29"/>
        <v>0.11913984634077206</v>
      </c>
      <c r="D270" s="3">
        <f t="shared" si="34"/>
        <v>2</v>
      </c>
      <c r="E270" s="10">
        <f t="shared" si="30"/>
        <v>0.69033280768270622</v>
      </c>
      <c r="F270" s="10">
        <f t="shared" si="31"/>
        <v>0.23827969268154411</v>
      </c>
      <c r="G270" s="10">
        <f t="shared" si="32"/>
        <v>36.173439122573811</v>
      </c>
      <c r="H270" s="10">
        <f t="shared" si="33"/>
        <v>12.485855896512913</v>
      </c>
    </row>
    <row r="271" spans="1:8">
      <c r="A271" s="3">
        <v>26.300000000000004</v>
      </c>
      <c r="B271" s="10">
        <f t="shared" si="28"/>
        <v>0.34217672359939522</v>
      </c>
      <c r="C271" s="10">
        <f t="shared" si="29"/>
        <v>0.11708491017321691</v>
      </c>
      <c r="D271" s="3">
        <f t="shared" si="34"/>
        <v>4</v>
      </c>
      <c r="E271" s="10">
        <f t="shared" si="30"/>
        <v>1.3687068943975809</v>
      </c>
      <c r="F271" s="10">
        <f t="shared" si="31"/>
        <v>0.46833964069286765</v>
      </c>
      <c r="G271" s="10">
        <f t="shared" si="32"/>
        <v>71.993982645312769</v>
      </c>
      <c r="H271" s="10">
        <f t="shared" si="33"/>
        <v>24.634665100444842</v>
      </c>
    </row>
    <row r="272" spans="1:8">
      <c r="A272" s="3">
        <v>26.400000000000002</v>
      </c>
      <c r="B272" s="10">
        <f t="shared" si="28"/>
        <v>0.33919290608238972</v>
      </c>
      <c r="C272" s="10">
        <f t="shared" si="29"/>
        <v>0.11505182753661686</v>
      </c>
      <c r="D272" s="3">
        <f t="shared" si="34"/>
        <v>2</v>
      </c>
      <c r="E272" s="10">
        <f t="shared" si="30"/>
        <v>0.67838581216477944</v>
      </c>
      <c r="F272" s="10">
        <f t="shared" si="31"/>
        <v>0.23010365507323371</v>
      </c>
      <c r="G272" s="10">
        <f t="shared" si="32"/>
        <v>35.818770882300356</v>
      </c>
      <c r="H272" s="10">
        <f t="shared" si="33"/>
        <v>12.149472987866741</v>
      </c>
    </row>
    <row r="273" spans="1:8">
      <c r="A273" s="3">
        <v>26.500000000000004</v>
      </c>
      <c r="B273" s="10">
        <f t="shared" si="28"/>
        <v>0.33621511625573469</v>
      </c>
      <c r="C273" s="10">
        <f t="shared" si="29"/>
        <v>0.1130406043988572</v>
      </c>
      <c r="D273" s="3">
        <f t="shared" si="34"/>
        <v>4</v>
      </c>
      <c r="E273" s="10">
        <f t="shared" si="30"/>
        <v>1.3448604650229388</v>
      </c>
      <c r="F273" s="10">
        <f t="shared" si="31"/>
        <v>0.4521624175954288</v>
      </c>
      <c r="G273" s="10">
        <f t="shared" si="32"/>
        <v>71.277604646215764</v>
      </c>
      <c r="H273" s="10">
        <f t="shared" si="33"/>
        <v>23.964608132557728</v>
      </c>
    </row>
    <row r="274" spans="1:8">
      <c r="A274" s="3">
        <v>26.6</v>
      </c>
      <c r="B274" s="10">
        <f t="shared" si="28"/>
        <v>0.33324351923337531</v>
      </c>
      <c r="C274" s="10">
        <f t="shared" si="29"/>
        <v>0.11105124311104497</v>
      </c>
      <c r="D274" s="3">
        <f t="shared" si="34"/>
        <v>2</v>
      </c>
      <c r="E274" s="10">
        <f t="shared" si="30"/>
        <v>0.66648703846675061</v>
      </c>
      <c r="F274" s="10">
        <f t="shared" si="31"/>
        <v>0.22210248622208995</v>
      </c>
      <c r="G274" s="10">
        <f t="shared" si="32"/>
        <v>35.457110446431138</v>
      </c>
      <c r="H274" s="10">
        <f t="shared" si="33"/>
        <v>11.815852267015186</v>
      </c>
    </row>
    <row r="275" spans="1:8">
      <c r="A275" s="3">
        <v>26.700000000000003</v>
      </c>
      <c r="B275" s="10">
        <f t="shared" si="28"/>
        <v>0.33027828024870853</v>
      </c>
      <c r="C275" s="10">
        <f t="shared" si="29"/>
        <v>0.10908374240404445</v>
      </c>
      <c r="D275" s="3">
        <f t="shared" si="34"/>
        <v>4</v>
      </c>
      <c r="E275" s="10">
        <f t="shared" si="30"/>
        <v>1.3211131209948341</v>
      </c>
      <c r="F275" s="10">
        <f t="shared" si="31"/>
        <v>0.43633496961617779</v>
      </c>
      <c r="G275" s="10">
        <f t="shared" si="32"/>
        <v>70.547440661124156</v>
      </c>
      <c r="H275" s="10">
        <f t="shared" si="33"/>
        <v>23.300287377503896</v>
      </c>
    </row>
    <row r="276" spans="1:8">
      <c r="A276" s="3">
        <v>26.800000000000004</v>
      </c>
      <c r="B276" s="10">
        <f t="shared" si="28"/>
        <v>0.3273195646251093</v>
      </c>
      <c r="C276" s="10">
        <f t="shared" si="29"/>
        <v>0.1071380973863711</v>
      </c>
      <c r="D276" s="3">
        <f t="shared" si="34"/>
        <v>2</v>
      </c>
      <c r="E276" s="10">
        <f t="shared" si="30"/>
        <v>0.65463912925021861</v>
      </c>
      <c r="F276" s="10">
        <f t="shared" si="31"/>
        <v>0.21427619477274221</v>
      </c>
      <c r="G276" s="10">
        <f t="shared" si="32"/>
        <v>35.088657327811724</v>
      </c>
      <c r="H276" s="10">
        <f t="shared" si="33"/>
        <v>11.485204039818985</v>
      </c>
    </row>
    <row r="277" spans="1:8">
      <c r="A277" s="3">
        <v>26.900000000000002</v>
      </c>
      <c r="B277" s="10">
        <f t="shared" si="28"/>
        <v>0.32436753774607663</v>
      </c>
      <c r="C277" s="10">
        <f t="shared" si="29"/>
        <v>0.10521429954345245</v>
      </c>
      <c r="D277" s="3">
        <f t="shared" si="34"/>
        <v>4</v>
      </c>
      <c r="E277" s="10">
        <f t="shared" si="30"/>
        <v>1.2974701509843065</v>
      </c>
      <c r="F277" s="10">
        <f t="shared" si="31"/>
        <v>0.42085719817380979</v>
      </c>
      <c r="G277" s="10">
        <f t="shared" si="32"/>
        <v>69.803894122955697</v>
      </c>
      <c r="H277" s="10">
        <f t="shared" si="33"/>
        <v>22.642117261750968</v>
      </c>
    </row>
    <row r="278" spans="1:8">
      <c r="A278" s="3">
        <v>27.000000000000004</v>
      </c>
      <c r="B278" s="10">
        <f t="shared" si="28"/>
        <v>0.32142236502500865</v>
      </c>
      <c r="C278" s="10">
        <f t="shared" si="29"/>
        <v>0.10331233673826991</v>
      </c>
      <c r="D278" s="3">
        <f t="shared" si="34"/>
        <v>2</v>
      </c>
      <c r="E278" s="10">
        <f t="shared" si="30"/>
        <v>0.6428447300500173</v>
      </c>
      <c r="F278" s="10">
        <f t="shared" si="31"/>
        <v>0.20662467347653982</v>
      </c>
      <c r="G278" s="10">
        <f t="shared" si="32"/>
        <v>34.71361542270094</v>
      </c>
      <c r="H278" s="10">
        <f t="shared" si="33"/>
        <v>11.157732367733152</v>
      </c>
    </row>
    <row r="279" spans="1:8">
      <c r="A279" s="3">
        <v>27.1</v>
      </c>
      <c r="B279" s="10">
        <f t="shared" si="28"/>
        <v>0.31848421187461046</v>
      </c>
      <c r="C279" s="10">
        <f t="shared" si="29"/>
        <v>0.10143219321339177</v>
      </c>
      <c r="D279" s="3">
        <f t="shared" si="34"/>
        <v>4</v>
      </c>
      <c r="E279" s="10">
        <f t="shared" si="30"/>
        <v>1.2739368474984418</v>
      </c>
      <c r="F279" s="10">
        <f t="shared" si="31"/>
        <v>0.40572877285356707</v>
      </c>
      <c r="G279" s="10">
        <f t="shared" si="32"/>
        <v>69.047377134415555</v>
      </c>
      <c r="H279" s="10">
        <f t="shared" si="33"/>
        <v>21.990499488663335</v>
      </c>
    </row>
    <row r="280" spans="1:8">
      <c r="A280" s="3">
        <v>27.200000000000003</v>
      </c>
      <c r="B280" s="10">
        <f t="shared" si="28"/>
        <v>0.31555324367593846</v>
      </c>
      <c r="C280" s="10">
        <f t="shared" si="29"/>
        <v>9.9573849594406197E-2</v>
      </c>
      <c r="D280" s="3">
        <f t="shared" si="34"/>
        <v>2</v>
      </c>
      <c r="E280" s="10">
        <f t="shared" si="30"/>
        <v>0.63110648735187691</v>
      </c>
      <c r="F280" s="10">
        <f t="shared" si="31"/>
        <v>0.19914769918881239</v>
      </c>
      <c r="G280" s="10">
        <f t="shared" si="32"/>
        <v>34.332192911942109</v>
      </c>
      <c r="H280" s="10">
        <f t="shared" si="33"/>
        <v>10.833634835871395</v>
      </c>
    </row>
    <row r="281" spans="1:8">
      <c r="A281" s="3">
        <v>27.300000000000004</v>
      </c>
      <c r="B281" s="10">
        <f t="shared" si="28"/>
        <v>0.3126296257470888</v>
      </c>
      <c r="C281" s="10">
        <f t="shared" si="29"/>
        <v>9.7737282894764813E-2</v>
      </c>
      <c r="D281" s="3">
        <f t="shared" si="34"/>
        <v>4</v>
      </c>
      <c r="E281" s="10">
        <f t="shared" si="30"/>
        <v>1.2505185029883552</v>
      </c>
      <c r="F281" s="10">
        <f t="shared" si="31"/>
        <v>0.39094913157905925</v>
      </c>
      <c r="G281" s="10">
        <f t="shared" si="32"/>
        <v>68.278310263164201</v>
      </c>
      <c r="H281" s="10">
        <f t="shared" si="33"/>
        <v>21.345822584216638</v>
      </c>
    </row>
    <row r="282" spans="1:8">
      <c r="A282" s="3">
        <v>27.400000000000002</v>
      </c>
      <c r="B282" s="10">
        <f t="shared" si="28"/>
        <v>0.30971352331153479</v>
      </c>
      <c r="C282" s="10">
        <f t="shared" si="29"/>
        <v>9.59224665220446E-2</v>
      </c>
      <c r="D282" s="3">
        <f t="shared" si="34"/>
        <v>2</v>
      </c>
      <c r="E282" s="10">
        <f t="shared" si="30"/>
        <v>0.61942704662306958</v>
      </c>
      <c r="F282" s="10">
        <f t="shared" si="31"/>
        <v>0.1918449330440892</v>
      </c>
      <c r="G282" s="10">
        <f t="shared" si="32"/>
        <v>33.944602154944214</v>
      </c>
      <c r="H282" s="10">
        <f t="shared" si="33"/>
        <v>10.513102330816089</v>
      </c>
    </row>
    <row r="283" spans="1:8">
      <c r="A283" s="3">
        <v>27.500000000000004</v>
      </c>
      <c r="B283" s="10">
        <f t="shared" si="28"/>
        <v>0.30680510146611828</v>
      </c>
      <c r="C283" s="10">
        <f t="shared" si="29"/>
        <v>9.4129370285635131E-2</v>
      </c>
      <c r="D283" s="3">
        <f t="shared" si="34"/>
        <v>4</v>
      </c>
      <c r="E283" s="10">
        <f t="shared" si="30"/>
        <v>1.2272204058644731</v>
      </c>
      <c r="F283" s="10">
        <f t="shared" si="31"/>
        <v>0.37651748114254052</v>
      </c>
      <c r="G283" s="10">
        <f t="shared" si="32"/>
        <v>67.497122322546034</v>
      </c>
      <c r="H283" s="10">
        <f t="shared" si="33"/>
        <v>20.708461462839733</v>
      </c>
    </row>
    <row r="284" spans="1:8">
      <c r="A284" s="3">
        <v>27.6</v>
      </c>
      <c r="B284" s="10">
        <f t="shared" si="28"/>
        <v>0.30390452514870464</v>
      </c>
      <c r="C284" s="10">
        <f t="shared" si="29"/>
        <v>9.2357960405859654E-2</v>
      </c>
      <c r="D284" s="3">
        <f t="shared" si="34"/>
        <v>2</v>
      </c>
      <c r="E284" s="10">
        <f t="shared" si="30"/>
        <v>0.60780905029740928</v>
      </c>
      <c r="F284" s="10">
        <f t="shared" si="31"/>
        <v>0.18471592081171931</v>
      </c>
      <c r="G284" s="10">
        <f t="shared" si="32"/>
        <v>33.551059576416996</v>
      </c>
      <c r="H284" s="10">
        <f t="shared" si="33"/>
        <v>10.196318828806906</v>
      </c>
    </row>
    <row r="285" spans="1:8">
      <c r="A285" s="3">
        <v>27.700000000000003</v>
      </c>
      <c r="B285" s="10">
        <f t="shared" si="28"/>
        <v>0.3010119591055036</v>
      </c>
      <c r="C285" s="10">
        <f t="shared" si="29"/>
        <v>9.0608199524533375E-2</v>
      </c>
      <c r="D285" s="3">
        <f t="shared" si="34"/>
        <v>4</v>
      </c>
      <c r="E285" s="10">
        <f t="shared" si="30"/>
        <v>1.2040478364220144</v>
      </c>
      <c r="F285" s="10">
        <f t="shared" si="31"/>
        <v>0.3624327980981335</v>
      </c>
      <c r="G285" s="10">
        <f t="shared" si="32"/>
        <v>66.70425013777961</v>
      </c>
      <c r="H285" s="10">
        <f t="shared" si="33"/>
        <v>20.078777014636596</v>
      </c>
    </row>
    <row r="286" spans="1:8">
      <c r="A286" s="3">
        <v>27.800000000000004</v>
      </c>
      <c r="B286" s="10">
        <f t="shared" si="28"/>
        <v>0.29812756785806555</v>
      </c>
      <c r="C286" s="10">
        <f t="shared" si="29"/>
        <v>8.8880046716965477E-2</v>
      </c>
      <c r="D286" s="3">
        <f t="shared" si="34"/>
        <v>2</v>
      </c>
      <c r="E286" s="10">
        <f t="shared" si="30"/>
        <v>0.59625513571613109</v>
      </c>
      <c r="F286" s="10">
        <f t="shared" si="31"/>
        <v>0.17776009343393095</v>
      </c>
      <c r="G286" s="10">
        <f t="shared" si="32"/>
        <v>33.151785545816892</v>
      </c>
      <c r="H286" s="10">
        <f t="shared" si="33"/>
        <v>9.8834611949265625</v>
      </c>
    </row>
    <row r="287" spans="1:8">
      <c r="A287" s="3">
        <v>27.900000000000002</v>
      </c>
      <c r="B287" s="10">
        <f t="shared" si="28"/>
        <v>0.29525151566996038</v>
      </c>
      <c r="C287" s="10">
        <f t="shared" si="29"/>
        <v>8.7173457505408863E-2</v>
      </c>
      <c r="D287" s="3">
        <f t="shared" si="34"/>
        <v>4</v>
      </c>
      <c r="E287" s="10">
        <f t="shared" si="30"/>
        <v>1.1810060626798415</v>
      </c>
      <c r="F287" s="10">
        <f t="shared" si="31"/>
        <v>0.34869383002163545</v>
      </c>
      <c r="G287" s="10">
        <f t="shared" si="32"/>
        <v>65.900138297535165</v>
      </c>
      <c r="H287" s="10">
        <f t="shared" si="33"/>
        <v>19.457115715207259</v>
      </c>
    </row>
    <row r="288" spans="1:8">
      <c r="A288" s="3">
        <v>28.000000000000004</v>
      </c>
      <c r="B288" s="10">
        <f t="shared" si="28"/>
        <v>0.29238396651314474</v>
      </c>
      <c r="C288" s="10">
        <f t="shared" si="29"/>
        <v>8.5488383873959753E-2</v>
      </c>
      <c r="D288" s="3">
        <f t="shared" si="34"/>
        <v>2</v>
      </c>
      <c r="E288" s="10">
        <f t="shared" si="30"/>
        <v>0.58476793302628949</v>
      </c>
      <c r="F288" s="10">
        <f t="shared" si="31"/>
        <v>0.17097676774791951</v>
      </c>
      <c r="G288" s="10">
        <f t="shared" si="32"/>
        <v>32.747004249472212</v>
      </c>
      <c r="H288" s="10">
        <f t="shared" si="33"/>
        <v>9.5746989938834943</v>
      </c>
    </row>
    <row r="289" spans="1:8">
      <c r="A289" s="3">
        <v>28.1</v>
      </c>
      <c r="B289" s="10">
        <f t="shared" si="28"/>
        <v>0.28952508403402799</v>
      </c>
      <c r="C289" s="10">
        <f t="shared" si="29"/>
        <v>8.3824774284910974E-2</v>
      </c>
      <c r="D289" s="3">
        <f t="shared" si="34"/>
        <v>4</v>
      </c>
      <c r="E289" s="10">
        <f t="shared" si="30"/>
        <v>1.158100336136112</v>
      </c>
      <c r="F289" s="10">
        <f t="shared" si="31"/>
        <v>0.3352990971396439</v>
      </c>
      <c r="G289" s="10">
        <f t="shared" si="32"/>
        <v>65.085238890849496</v>
      </c>
      <c r="H289" s="10">
        <f t="shared" si="33"/>
        <v>18.843809259247987</v>
      </c>
    </row>
    <row r="290" spans="1:8">
      <c r="A290" s="3">
        <v>28.200000000000003</v>
      </c>
      <c r="B290" s="10">
        <f t="shared" si="28"/>
        <v>0.28667503151924084</v>
      </c>
      <c r="C290" s="10">
        <f t="shared" si="29"/>
        <v>8.2182573696557737E-2</v>
      </c>
      <c r="D290" s="3">
        <f t="shared" si="34"/>
        <v>2</v>
      </c>
      <c r="E290" s="10">
        <f t="shared" si="30"/>
        <v>0.57335006303848168</v>
      </c>
      <c r="F290" s="10">
        <f t="shared" si="31"/>
        <v>0.16436514739311547</v>
      </c>
      <c r="G290" s="10">
        <f t="shared" si="32"/>
        <v>32.336943555370368</v>
      </c>
      <c r="H290" s="10">
        <f t="shared" si="33"/>
        <v>9.2701943129717144</v>
      </c>
    </row>
    <row r="291" spans="1:8">
      <c r="A291" s="3">
        <v>28.300000000000004</v>
      </c>
      <c r="B291" s="10">
        <f t="shared" si="28"/>
        <v>0.28383397186112025</v>
      </c>
      <c r="C291" s="10">
        <f t="shared" si="29"/>
        <v>8.0561723582459208E-2</v>
      </c>
      <c r="D291" s="3">
        <f t="shared" si="34"/>
        <v>4</v>
      </c>
      <c r="E291" s="10">
        <f t="shared" si="30"/>
        <v>1.135335887444481</v>
      </c>
      <c r="F291" s="10">
        <f t="shared" si="31"/>
        <v>0.32224689432983683</v>
      </c>
      <c r="G291" s="10">
        <f t="shared" si="32"/>
        <v>64.26001122935763</v>
      </c>
      <c r="H291" s="10">
        <f t="shared" si="33"/>
        <v>18.239174219068769</v>
      </c>
    </row>
    <row r="292" spans="1:8">
      <c r="A292" s="3">
        <v>28.400000000000002</v>
      </c>
      <c r="B292" s="10">
        <f t="shared" si="28"/>
        <v>0.28100206752291323</v>
      </c>
      <c r="C292" s="10">
        <f t="shared" si="29"/>
        <v>7.8962161952151888E-2</v>
      </c>
      <c r="D292" s="3">
        <f t="shared" si="34"/>
        <v>2</v>
      </c>
      <c r="E292" s="10">
        <f t="shared" si="30"/>
        <v>0.56200413504582647</v>
      </c>
      <c r="F292" s="10">
        <f t="shared" si="31"/>
        <v>0.15792432390430378</v>
      </c>
      <c r="G292" s="10">
        <f t="shared" si="32"/>
        <v>31.921834870602947</v>
      </c>
      <c r="H292" s="10">
        <f t="shared" si="33"/>
        <v>8.9701015977644545</v>
      </c>
    </row>
    <row r="293" spans="1:8">
      <c r="A293" s="3">
        <v>28.500000000000004</v>
      </c>
      <c r="B293" s="10">
        <f t="shared" si="28"/>
        <v>0.2781794805037141</v>
      </c>
      <c r="C293" s="10">
        <f t="shared" si="29"/>
        <v>7.7383823373316257E-2</v>
      </c>
      <c r="D293" s="3">
        <f t="shared" si="34"/>
        <v>4</v>
      </c>
      <c r="E293" s="10">
        <f t="shared" si="30"/>
        <v>1.1127179220148564</v>
      </c>
      <c r="F293" s="10">
        <f t="shared" si="31"/>
        <v>0.30953529349326503</v>
      </c>
      <c r="G293" s="10">
        <f t="shared" si="32"/>
        <v>63.424921554846826</v>
      </c>
      <c r="H293" s="10">
        <f t="shared" si="33"/>
        <v>17.64351172911611</v>
      </c>
    </row>
    <row r="294" spans="1:8">
      <c r="A294" s="3">
        <v>28.6</v>
      </c>
      <c r="B294" s="10">
        <f t="shared" si="28"/>
        <v>0.27536637230314037</v>
      </c>
      <c r="C294" s="10">
        <f t="shared" si="29"/>
        <v>7.5826638995391715E-2</v>
      </c>
      <c r="D294" s="3">
        <f t="shared" si="34"/>
        <v>2</v>
      </c>
      <c r="E294" s="10">
        <f t="shared" si="30"/>
        <v>0.55073274460628074</v>
      </c>
      <c r="F294" s="10">
        <f t="shared" si="31"/>
        <v>0.15165327799078343</v>
      </c>
      <c r="G294" s="10">
        <f t="shared" si="32"/>
        <v>31.501912991479259</v>
      </c>
      <c r="H294" s="10">
        <f t="shared" si="33"/>
        <v>8.6745675010728132</v>
      </c>
    </row>
    <row r="295" spans="1:8">
      <c r="A295" s="3">
        <v>28.700000000000003</v>
      </c>
      <c r="B295" s="10">
        <f t="shared" si="28"/>
        <v>0.27256290388575743</v>
      </c>
      <c r="C295" s="10">
        <f t="shared" si="29"/>
        <v>7.4290536574636648E-2</v>
      </c>
      <c r="D295" s="3">
        <f t="shared" si="34"/>
        <v>4</v>
      </c>
      <c r="E295" s="10">
        <f t="shared" si="30"/>
        <v>1.0902516155430297</v>
      </c>
      <c r="F295" s="10">
        <f t="shared" si="31"/>
        <v>0.29716214629854659</v>
      </c>
      <c r="G295" s="10">
        <f t="shared" si="32"/>
        <v>62.580442732169914</v>
      </c>
      <c r="H295" s="10">
        <f t="shared" si="33"/>
        <v>17.057107197536578</v>
      </c>
    </row>
    <row r="296" spans="1:8">
      <c r="A296" s="3">
        <v>28.800000000000004</v>
      </c>
      <c r="B296" s="10">
        <f t="shared" si="28"/>
        <v>0.26976923564526423</v>
      </c>
      <c r="C296" s="10">
        <f t="shared" si="29"/>
        <v>7.2775440500630104E-2</v>
      </c>
      <c r="D296" s="3">
        <f t="shared" si="34"/>
        <v>2</v>
      </c>
      <c r="E296" s="10">
        <f t="shared" si="30"/>
        <v>0.53953847129052845</v>
      </c>
      <c r="F296" s="10">
        <f t="shared" si="31"/>
        <v>0.14555088100126021</v>
      </c>
      <c r="G296" s="10">
        <f t="shared" si="32"/>
        <v>31.077415946334444</v>
      </c>
      <c r="H296" s="10">
        <f t="shared" si="33"/>
        <v>8.3837307456725885</v>
      </c>
    </row>
    <row r="297" spans="1:8">
      <c r="A297" s="3">
        <v>28.900000000000002</v>
      </c>
      <c r="B297" s="10">
        <f t="shared" si="28"/>
        <v>0.26698552736844544</v>
      </c>
      <c r="C297" s="10">
        <f t="shared" si="29"/>
        <v>7.1281271824206932E-2</v>
      </c>
      <c r="D297" s="3">
        <f t="shared" si="34"/>
        <v>4</v>
      </c>
      <c r="E297" s="10">
        <f t="shared" si="30"/>
        <v>1.0679421094737818</v>
      </c>
      <c r="F297" s="10">
        <f t="shared" si="31"/>
        <v>0.28512508729682773</v>
      </c>
      <c r="G297" s="10">
        <f t="shared" si="32"/>
        <v>61.727053927584592</v>
      </c>
      <c r="H297" s="10">
        <f t="shared" si="33"/>
        <v>16.480230045756645</v>
      </c>
    </row>
    <row r="298" spans="1:8">
      <c r="A298" s="3">
        <v>29.000000000000004</v>
      </c>
      <c r="B298" s="10">
        <f t="shared" si="28"/>
        <v>0.26421193819890582</v>
      </c>
      <c r="C298" s="10">
        <f t="shared" si="29"/>
        <v>6.9807948286822422E-2</v>
      </c>
      <c r="D298" s="3">
        <f t="shared" si="34"/>
        <v>2</v>
      </c>
      <c r="E298" s="10">
        <f t="shared" si="30"/>
        <v>0.52842387639781163</v>
      </c>
      <c r="F298" s="10">
        <f t="shared" si="31"/>
        <v>0.13961589657364484</v>
      </c>
      <c r="G298" s="10">
        <f t="shared" si="32"/>
        <v>30.648584831073077</v>
      </c>
      <c r="H298" s="10">
        <f t="shared" si="33"/>
        <v>8.0977220012714017</v>
      </c>
    </row>
    <row r="299" spans="1:8">
      <c r="A299" s="3">
        <v>29.1</v>
      </c>
      <c r="B299" s="10">
        <f t="shared" si="28"/>
        <v>0.26144862660059209</v>
      </c>
      <c r="C299" s="10">
        <f t="shared" si="29"/>
        <v>6.8355384351335827E-2</v>
      </c>
      <c r="D299" s="3">
        <f t="shared" si="34"/>
        <v>4</v>
      </c>
      <c r="E299" s="10">
        <f t="shared" si="30"/>
        <v>1.0457945064023684</v>
      </c>
      <c r="F299" s="10">
        <f t="shared" si="31"/>
        <v>0.27342153740534331</v>
      </c>
      <c r="G299" s="10">
        <f t="shared" si="32"/>
        <v>60.865240272617839</v>
      </c>
      <c r="H299" s="10">
        <f t="shared" si="33"/>
        <v>15.913133476990982</v>
      </c>
    </row>
    <row r="300" spans="1:8">
      <c r="A300" s="3">
        <v>29.200000000000003</v>
      </c>
      <c r="B300" s="10">
        <f t="shared" si="28"/>
        <v>0.2586957503211173</v>
      </c>
      <c r="C300" s="10">
        <f t="shared" si="29"/>
        <v>6.6923491234205865E-2</v>
      </c>
      <c r="D300" s="3">
        <f t="shared" si="34"/>
        <v>2</v>
      </c>
      <c r="E300" s="10">
        <f t="shared" si="30"/>
        <v>0.5173915006422346</v>
      </c>
      <c r="F300" s="10">
        <f t="shared" si="31"/>
        <v>0.13384698246841173</v>
      </c>
      <c r="G300" s="10">
        <f t="shared" si="32"/>
        <v>30.215663637506506</v>
      </c>
      <c r="H300" s="10">
        <f t="shared" si="33"/>
        <v>7.816663776155246</v>
      </c>
    </row>
    <row r="301" spans="1:8">
      <c r="A301" s="3">
        <v>29.300000000000004</v>
      </c>
      <c r="B301" s="10">
        <f t="shared" si="28"/>
        <v>0.25595346635489657</v>
      </c>
      <c r="C301" s="10">
        <f t="shared" si="29"/>
        <v>6.5512176939087174E-2</v>
      </c>
      <c r="D301" s="3">
        <f t="shared" si="34"/>
        <v>4</v>
      </c>
      <c r="E301" s="10">
        <f t="shared" si="30"/>
        <v>1.0238138654195863</v>
      </c>
      <c r="F301" s="10">
        <f t="shared" si="31"/>
        <v>0.2620487077563487</v>
      </c>
      <c r="G301" s="10">
        <f t="shared" si="32"/>
        <v>59.995492513587763</v>
      </c>
      <c r="H301" s="10">
        <f t="shared" si="33"/>
        <v>15.356054274522036</v>
      </c>
    </row>
    <row r="302" spans="1:8">
      <c r="A302" s="3">
        <v>29.400000000000002</v>
      </c>
      <c r="B302" s="10">
        <f t="shared" si="28"/>
        <v>0.25322193090610629</v>
      </c>
      <c r="C302" s="10">
        <f t="shared" si="29"/>
        <v>6.4121346291816872E-2</v>
      </c>
      <c r="D302" s="3">
        <f t="shared" si="34"/>
        <v>2</v>
      </c>
      <c r="E302" s="10">
        <f t="shared" si="30"/>
        <v>0.50644386181221257</v>
      </c>
      <c r="F302" s="10">
        <f t="shared" si="31"/>
        <v>0.12824269258363374</v>
      </c>
      <c r="G302" s="10">
        <f t="shared" si="32"/>
        <v>29.778899074558101</v>
      </c>
      <c r="H302" s="10">
        <f t="shared" si="33"/>
        <v>7.5406703239176647</v>
      </c>
    </row>
    <row r="303" spans="1:8">
      <c r="A303" s="3">
        <v>29.500000000000004</v>
      </c>
      <c r="B303" s="10">
        <f t="shared" si="28"/>
        <v>0.25050129935147875</v>
      </c>
      <c r="C303" s="10">
        <f t="shared" si="29"/>
        <v>6.275090097677917E-2</v>
      </c>
      <c r="D303" s="3">
        <f t="shared" si="34"/>
        <v>4</v>
      </c>
      <c r="E303" s="10">
        <f t="shared" si="30"/>
        <v>1.002005197405915</v>
      </c>
      <c r="F303" s="10">
        <f t="shared" si="31"/>
        <v>0.25100360390711668</v>
      </c>
      <c r="G303" s="10">
        <f t="shared" si="32"/>
        <v>59.118306646948994</v>
      </c>
      <c r="H303" s="10">
        <f t="shared" si="33"/>
        <v>14.809212630519886</v>
      </c>
    </row>
    <row r="304" spans="1:8">
      <c r="A304" s="3">
        <v>29.6</v>
      </c>
      <c r="B304" s="10">
        <f t="shared" si="28"/>
        <v>0.24779172620294443</v>
      </c>
      <c r="C304" s="10">
        <f t="shared" si="29"/>
        <v>6.1400739574634974E-2</v>
      </c>
      <c r="D304" s="3">
        <f t="shared" si="34"/>
        <v>2</v>
      </c>
      <c r="E304" s="10">
        <f t="shared" si="30"/>
        <v>0.49558345240588886</v>
      </c>
      <c r="F304" s="10">
        <f t="shared" si="31"/>
        <v>0.12280147914926995</v>
      </c>
      <c r="G304" s="10">
        <f t="shared" si="32"/>
        <v>29.338540382428622</v>
      </c>
      <c r="H304" s="10">
        <f t="shared" si="33"/>
        <v>7.2698475656367814</v>
      </c>
    </row>
    <row r="305" spans="1:8">
      <c r="A305" s="3">
        <v>29.700000000000003</v>
      </c>
      <c r="B305" s="10">
        <f t="shared" si="28"/>
        <v>0.24509336507013282</v>
      </c>
      <c r="C305" s="10">
        <f t="shared" si="29"/>
        <v>6.0070757601401403E-2</v>
      </c>
      <c r="D305" s="3">
        <f t="shared" si="34"/>
        <v>4</v>
      </c>
      <c r="E305" s="10">
        <f t="shared" si="30"/>
        <v>0.98037346028053129</v>
      </c>
      <c r="F305" s="10">
        <f t="shared" si="31"/>
        <v>0.24028303040560561</v>
      </c>
      <c r="G305" s="10">
        <f t="shared" si="32"/>
        <v>58.234183540663565</v>
      </c>
      <c r="H305" s="10">
        <f t="shared" si="33"/>
        <v>14.272812006092975</v>
      </c>
    </row>
    <row r="306" spans="1:8">
      <c r="A306" s="3">
        <v>29.800000000000004</v>
      </c>
      <c r="B306" s="10">
        <f t="shared" si="28"/>
        <v>0.24240636862274728</v>
      </c>
      <c r="C306" s="10">
        <f t="shared" si="29"/>
        <v>5.8760847548867234E-2</v>
      </c>
      <c r="D306" s="3">
        <f t="shared" si="34"/>
        <v>2</v>
      </c>
      <c r="E306" s="10">
        <f t="shared" si="30"/>
        <v>0.48481273724549456</v>
      </c>
      <c r="F306" s="10">
        <f t="shared" si="31"/>
        <v>0.11752169509773447</v>
      </c>
      <c r="G306" s="10">
        <f t="shared" si="32"/>
        <v>28.894839139831479</v>
      </c>
      <c r="H306" s="10">
        <f t="shared" si="33"/>
        <v>7.0042930278249758</v>
      </c>
    </row>
    <row r="307" spans="1:8">
      <c r="A307" s="3">
        <v>29.900000000000002</v>
      </c>
      <c r="B307" s="10">
        <f t="shared" si="28"/>
        <v>0.2397308885528229</v>
      </c>
      <c r="C307" s="10">
        <f t="shared" si="29"/>
        <v>5.7470898926325995E-2</v>
      </c>
      <c r="D307" s="3">
        <f t="shared" si="34"/>
        <v>4</v>
      </c>
      <c r="E307" s="10">
        <f t="shared" si="30"/>
        <v>0.95892355421129161</v>
      </c>
      <c r="F307" s="10">
        <f t="shared" si="31"/>
        <v>0.22988359570530398</v>
      </c>
      <c r="G307" s="10">
        <f t="shared" si="32"/>
        <v>57.343628541835244</v>
      </c>
      <c r="H307" s="10">
        <f t="shared" si="33"/>
        <v>13.747039023177178</v>
      </c>
    </row>
    <row r="308" spans="1:8">
      <c r="A308" s="3">
        <v>30.000000000000004</v>
      </c>
      <c r="B308" s="10">
        <f t="shared" si="28"/>
        <v>0.23706707553688444</v>
      </c>
      <c r="C308" s="10">
        <f t="shared" si="29"/>
        <v>5.6200798303610876E-2</v>
      </c>
      <c r="D308" s="3">
        <f t="shared" si="34"/>
        <v>2</v>
      </c>
      <c r="E308" s="10">
        <f t="shared" si="30"/>
        <v>0.47413415107376888</v>
      </c>
      <c r="F308" s="10">
        <f t="shared" si="31"/>
        <v>0.11240159660722175</v>
      </c>
      <c r="G308" s="10">
        <f t="shared" si="32"/>
        <v>28.448049064426137</v>
      </c>
      <c r="H308" s="10">
        <f t="shared" si="33"/>
        <v>6.7440957964333057</v>
      </c>
    </row>
    <row r="309" spans="1:8">
      <c r="A309" s="3">
        <v>30.1</v>
      </c>
      <c r="B309" s="10">
        <f t="shared" si="28"/>
        <v>0.23441507919801582</v>
      </c>
      <c r="C309" s="10">
        <f t="shared" si="29"/>
        <v>5.4950429355412028E-2</v>
      </c>
      <c r="D309" s="3">
        <f t="shared" si="34"/>
        <v>4</v>
      </c>
      <c r="E309" s="10">
        <f t="shared" si="30"/>
        <v>0.9376603167920633</v>
      </c>
      <c r="F309" s="10">
        <f t="shared" si="31"/>
        <v>0.21980171742164811</v>
      </c>
      <c r="G309" s="10">
        <f t="shared" si="32"/>
        <v>56.447151070882214</v>
      </c>
      <c r="H309" s="10">
        <f t="shared" si="33"/>
        <v>13.232063388783217</v>
      </c>
    </row>
    <row r="310" spans="1:8">
      <c r="A310" s="3">
        <v>30.200000000000003</v>
      </c>
      <c r="B310" s="10">
        <f t="shared" si="28"/>
        <v>0.23177504806785323</v>
      </c>
      <c r="C310" s="10">
        <f t="shared" si="29"/>
        <v>5.3719672906855677E-2</v>
      </c>
      <c r="D310" s="3">
        <f t="shared" si="34"/>
        <v>2</v>
      </c>
      <c r="E310" s="10">
        <f t="shared" si="30"/>
        <v>0.46355009613570647</v>
      </c>
      <c r="F310" s="10">
        <f t="shared" si="31"/>
        <v>0.10743934581371135</v>
      </c>
      <c r="G310" s="10">
        <f t="shared" si="32"/>
        <v>27.998425806596675</v>
      </c>
      <c r="H310" s="10">
        <f t="shared" si="33"/>
        <v>6.489336487148166</v>
      </c>
    </row>
    <row r="311" spans="1:8">
      <c r="A311" s="3">
        <v>30.300000000000004</v>
      </c>
      <c r="B311" s="10">
        <f t="shared" si="28"/>
        <v>0.22914712954852173</v>
      </c>
      <c r="C311" s="10">
        <f t="shared" si="29"/>
        <v>5.2508406980327001E-2</v>
      </c>
      <c r="D311" s="3">
        <f t="shared" si="34"/>
        <v>4</v>
      </c>
      <c r="E311" s="10">
        <f t="shared" si="30"/>
        <v>0.91658851819408693</v>
      </c>
      <c r="F311" s="10">
        <f t="shared" si="31"/>
        <v>0.210033627921308</v>
      </c>
      <c r="G311" s="10">
        <f t="shared" si="32"/>
        <v>55.545264202561675</v>
      </c>
      <c r="H311" s="10">
        <f t="shared" si="33"/>
        <v>12.728037852031267</v>
      </c>
    </row>
    <row r="312" spans="1:8">
      <c r="A312" s="3">
        <v>30.400000000000002</v>
      </c>
      <c r="B312" s="10">
        <f t="shared" si="28"/>
        <v>0.2265314698745213</v>
      </c>
      <c r="C312" s="10">
        <f t="shared" si="29"/>
        <v>5.1316506843511155E-2</v>
      </c>
      <c r="D312" s="3">
        <f t="shared" si="34"/>
        <v>2</v>
      </c>
      <c r="E312" s="10">
        <f t="shared" si="30"/>
        <v>0.4530629397490426</v>
      </c>
      <c r="F312" s="10">
        <f t="shared" si="31"/>
        <v>0.10263301368702231</v>
      </c>
      <c r="G312" s="10">
        <f t="shared" si="32"/>
        <v>27.546226736741794</v>
      </c>
      <c r="H312" s="10">
        <f t="shared" si="33"/>
        <v>6.2400872321709571</v>
      </c>
    </row>
    <row r="313" spans="1:8">
      <c r="A313" s="3">
        <v>30.500000000000004</v>
      </c>
      <c r="B313" s="10">
        <f t="shared" si="28"/>
        <v>0.2239282140745841</v>
      </c>
      <c r="C313" s="10">
        <f t="shared" si="29"/>
        <v>5.0143845058632765E-2</v>
      </c>
      <c r="D313" s="3">
        <f t="shared" si="34"/>
        <v>4</v>
      </c>
      <c r="E313" s="10">
        <f t="shared" si="30"/>
        <v>0.89571285629833641</v>
      </c>
      <c r="F313" s="10">
        <f t="shared" si="31"/>
        <v>0.20057538023453106</v>
      </c>
      <c r="G313" s="10">
        <f t="shared" si="32"/>
        <v>54.638484234198529</v>
      </c>
      <c r="H313" s="10">
        <f t="shared" si="33"/>
        <v>12.235098194306396</v>
      </c>
    </row>
    <row r="314" spans="1:8">
      <c r="A314" s="3">
        <v>30.6</v>
      </c>
      <c r="B314" s="10">
        <f t="shared" si="28"/>
        <v>0.22133750593351523</v>
      </c>
      <c r="C314" s="10">
        <f t="shared" si="29"/>
        <v>4.8990291532868886E-2</v>
      </c>
      <c r="D314" s="3">
        <f t="shared" si="34"/>
        <v>2</v>
      </c>
      <c r="E314" s="10">
        <f t="shared" si="30"/>
        <v>0.44267501186703045</v>
      </c>
      <c r="F314" s="10">
        <f t="shared" si="31"/>
        <v>9.7980583065737772E-2</v>
      </c>
      <c r="G314" s="10">
        <f t="shared" si="32"/>
        <v>27.091710726262264</v>
      </c>
      <c r="H314" s="10">
        <f t="shared" si="33"/>
        <v>5.996411683623152</v>
      </c>
    </row>
    <row r="315" spans="1:8">
      <c r="A315" s="3">
        <v>30.700000000000003</v>
      </c>
      <c r="B315" s="10">
        <f t="shared" si="28"/>
        <v>0.2187594879540285</v>
      </c>
      <c r="C315" s="10">
        <f t="shared" si="29"/>
        <v>4.7855713569908739E-2</v>
      </c>
      <c r="D315" s="3">
        <f t="shared" si="34"/>
        <v>4</v>
      </c>
      <c r="E315" s="10">
        <f t="shared" si="30"/>
        <v>0.87503795181611399</v>
      </c>
      <c r="F315" s="10">
        <f t="shared" si="31"/>
        <v>0.19142285427963496</v>
      </c>
      <c r="G315" s="10">
        <f t="shared" si="32"/>
        <v>53.727330241509407</v>
      </c>
      <c r="H315" s="10">
        <f t="shared" si="33"/>
        <v>11.753363252769587</v>
      </c>
    </row>
    <row r="316" spans="1:8">
      <c r="A316" s="3">
        <v>30.800000000000004</v>
      </c>
      <c r="B316" s="10">
        <f t="shared" si="28"/>
        <v>0.21619430131860093</v>
      </c>
      <c r="C316" s="10">
        <f t="shared" si="29"/>
        <v>4.6739975922638011E-2</v>
      </c>
      <c r="D316" s="3">
        <f t="shared" si="34"/>
        <v>2</v>
      </c>
      <c r="E316" s="10">
        <f t="shared" si="30"/>
        <v>0.43238860263720186</v>
      </c>
      <c r="F316" s="10">
        <f t="shared" si="31"/>
        <v>9.3479951845276021E-2</v>
      </c>
      <c r="G316" s="10">
        <f t="shared" si="32"/>
        <v>26.635137922451637</v>
      </c>
      <c r="H316" s="10">
        <f t="shared" si="33"/>
        <v>5.758365033669004</v>
      </c>
    </row>
    <row r="317" spans="1:8">
      <c r="A317" s="3">
        <v>30.900000000000002</v>
      </c>
      <c r="B317" s="10">
        <f t="shared" si="28"/>
        <v>0.21364208585135203</v>
      </c>
      <c r="C317" s="10">
        <f t="shared" si="29"/>
        <v>4.5642940846916467E-2</v>
      </c>
      <c r="D317" s="3">
        <f t="shared" si="34"/>
        <v>4</v>
      </c>
      <c r="E317" s="10">
        <f t="shared" si="30"/>
        <v>0.8545683434054081</v>
      </c>
      <c r="F317" s="10">
        <f t="shared" si="31"/>
        <v>0.18257176338766587</v>
      </c>
      <c r="G317" s="10">
        <f t="shared" si="32"/>
        <v>52.812323622454223</v>
      </c>
      <c r="H317" s="10">
        <f t="shared" si="33"/>
        <v>11.282934977357751</v>
      </c>
    </row>
    <row r="318" spans="1:8">
      <c r="A318" s="3">
        <v>31.000000000000004</v>
      </c>
      <c r="B318" s="10">
        <f t="shared" si="28"/>
        <v>0.21110297997996993</v>
      </c>
      <c r="C318" s="10">
        <f t="shared" si="29"/>
        <v>4.4564468156423585E-2</v>
      </c>
      <c r="D318" s="3">
        <f t="shared" si="34"/>
        <v>2</v>
      </c>
      <c r="E318" s="10">
        <f t="shared" si="30"/>
        <v>0.42220595995993987</v>
      </c>
      <c r="F318" s="10">
        <f t="shared" si="31"/>
        <v>8.9128936312847171E-2</v>
      </c>
      <c r="G318" s="10">
        <f t="shared" si="32"/>
        <v>26.176769517516274</v>
      </c>
      <c r="H318" s="10">
        <f t="shared" si="33"/>
        <v>5.5259940513965251</v>
      </c>
    </row>
    <row r="319" spans="1:8">
      <c r="A319" s="3">
        <v>31.1</v>
      </c>
      <c r="B319" s="10">
        <f t="shared" si="28"/>
        <v>0.20857712069770079</v>
      </c>
      <c r="C319" s="10">
        <f t="shared" si="29"/>
        <v>4.3504415278543242E-2</v>
      </c>
      <c r="D319" s="3">
        <f t="shared" si="34"/>
        <v>4</v>
      </c>
      <c r="E319" s="10">
        <f t="shared" si="30"/>
        <v>0.83430848279080316</v>
      </c>
      <c r="F319" s="10">
        <f t="shared" si="31"/>
        <v>0.17401766111417297</v>
      </c>
      <c r="G319" s="10">
        <f t="shared" si="32"/>
        <v>51.893987629587961</v>
      </c>
      <c r="H319" s="10">
        <f t="shared" si="33"/>
        <v>10.823898521301558</v>
      </c>
    </row>
    <row r="320" spans="1:8">
      <c r="A320" s="3">
        <v>31.200000000000003</v>
      </c>
      <c r="B320" s="10">
        <f t="shared" si="28"/>
        <v>0.20606464352541043</v>
      </c>
      <c r="C320" s="10">
        <f t="shared" si="29"/>
        <v>4.2462637311254471E-2</v>
      </c>
      <c r="D320" s="3">
        <f t="shared" si="34"/>
        <v>2</v>
      </c>
      <c r="E320" s="10">
        <f t="shared" si="30"/>
        <v>0.41212928705082086</v>
      </c>
      <c r="F320" s="10">
        <f t="shared" si="31"/>
        <v>8.4925274622508942E-2</v>
      </c>
      <c r="G320" s="10">
        <f t="shared" si="32"/>
        <v>25.716867511971223</v>
      </c>
      <c r="H320" s="10">
        <f t="shared" si="33"/>
        <v>5.2993371364445583</v>
      </c>
    </row>
    <row r="321" spans="1:8">
      <c r="A321" s="3">
        <v>31.300000000000004</v>
      </c>
      <c r="B321" s="10">
        <f t="shared" si="28"/>
        <v>0.20356568247374679</v>
      </c>
      <c r="C321" s="10">
        <f t="shared" si="29"/>
        <v>4.1438987081002299E-2</v>
      </c>
      <c r="D321" s="3">
        <f t="shared" si="34"/>
        <v>4</v>
      </c>
      <c r="E321" s="10">
        <f t="shared" si="30"/>
        <v>0.81426272989498716</v>
      </c>
      <c r="F321" s="10">
        <f t="shared" si="31"/>
        <v>0.16575594832400919</v>
      </c>
      <c r="G321" s="10">
        <f t="shared" si="32"/>
        <v>50.972846891426201</v>
      </c>
      <c r="H321" s="10">
        <f t="shared" si="33"/>
        <v>10.376322365082977</v>
      </c>
    </row>
    <row r="322" spans="1:8">
      <c r="A322" s="3">
        <v>31.400000000000002</v>
      </c>
      <c r="B322" s="10">
        <f t="shared" si="28"/>
        <v>0.20108037000540738</v>
      </c>
      <c r="C322" s="10">
        <f t="shared" si="29"/>
        <v>4.0433315201511534E-2</v>
      </c>
      <c r="D322" s="3">
        <f t="shared" si="34"/>
        <v>2</v>
      </c>
      <c r="E322" s="10">
        <f t="shared" si="30"/>
        <v>0.40216074001081475</v>
      </c>
      <c r="F322" s="10">
        <f t="shared" si="31"/>
        <v>8.0866630403023068E-2</v>
      </c>
      <c r="G322" s="10">
        <f t="shared" si="32"/>
        <v>25.255694472679167</v>
      </c>
      <c r="H322" s="10">
        <f t="shared" si="33"/>
        <v>5.0784243893098493</v>
      </c>
    </row>
    <row r="323" spans="1:8">
      <c r="A323" s="3">
        <v>31.500000000000004</v>
      </c>
      <c r="B323" s="10">
        <f t="shared" si="28"/>
        <v>0.19860883699753804</v>
      </c>
      <c r="C323" s="10">
        <f t="shared" si="29"/>
        <v>3.9445470133514633E-2</v>
      </c>
      <c r="D323" s="3">
        <f t="shared" si="34"/>
        <v>4</v>
      </c>
      <c r="E323" s="10">
        <f t="shared" si="30"/>
        <v>0.79443534799015214</v>
      </c>
      <c r="F323" s="10">
        <f t="shared" si="31"/>
        <v>0.15778188053405853</v>
      </c>
      <c r="G323" s="10">
        <f t="shared" si="32"/>
        <v>50.049426923379592</v>
      </c>
      <c r="H323" s="10">
        <f t="shared" si="33"/>
        <v>9.940258473645688</v>
      </c>
    </row>
    <row r="324" spans="1:8">
      <c r="A324" s="3">
        <v>31.6</v>
      </c>
      <c r="B324" s="10">
        <f t="shared" si="28"/>
        <v>0.19615121270427638</v>
      </c>
      <c r="C324" s="10">
        <f t="shared" si="29"/>
        <v>3.8475298245358273E-2</v>
      </c>
      <c r="D324" s="3">
        <f t="shared" si="34"/>
        <v>2</v>
      </c>
      <c r="E324" s="10">
        <f t="shared" si="30"/>
        <v>0.39230242540855276</v>
      </c>
      <c r="F324" s="10">
        <f t="shared" si="31"/>
        <v>7.6950596490716547E-2</v>
      </c>
      <c r="G324" s="10">
        <f t="shared" si="32"/>
        <v>24.793513285820534</v>
      </c>
      <c r="H324" s="10">
        <f t="shared" si="33"/>
        <v>4.8632776982132864</v>
      </c>
    </row>
    <row r="325" spans="1:8">
      <c r="A325" s="3">
        <v>31.700000000000003</v>
      </c>
      <c r="B325" s="10">
        <f t="shared" si="28"/>
        <v>0.1937076247194556</v>
      </c>
      <c r="C325" s="10">
        <f t="shared" si="29"/>
        <v>3.7522643874453449E-2</v>
      </c>
      <c r="D325" s="3">
        <f t="shared" si="34"/>
        <v>4</v>
      </c>
      <c r="E325" s="10">
        <f t="shared" si="30"/>
        <v>0.7748304988778224</v>
      </c>
      <c r="F325" s="10">
        <f t="shared" si="31"/>
        <v>0.15009057549781379</v>
      </c>
      <c r="G325" s="10">
        <f t="shared" si="32"/>
        <v>49.124253628853943</v>
      </c>
      <c r="H325" s="10">
        <f t="shared" si="33"/>
        <v>9.5157424865613951</v>
      </c>
    </row>
    <row r="326" spans="1:8">
      <c r="A326" s="3">
        <v>31.800000000000004</v>
      </c>
      <c r="B326" s="10">
        <f t="shared" si="28"/>
        <v>0.19127819893949208</v>
      </c>
      <c r="C326" s="10">
        <f t="shared" si="29"/>
        <v>3.6587349389535909E-2</v>
      </c>
      <c r="D326" s="3">
        <f t="shared" si="34"/>
        <v>2</v>
      </c>
      <c r="E326" s="10">
        <f t="shared" si="30"/>
        <v>0.38255639787898416</v>
      </c>
      <c r="F326" s="10">
        <f t="shared" si="31"/>
        <v>7.3174698779071817E-2</v>
      </c>
      <c r="G326" s="10">
        <f t="shared" si="32"/>
        <v>24.330586905103395</v>
      </c>
      <c r="H326" s="10">
        <f t="shared" si="33"/>
        <v>4.6539108423489681</v>
      </c>
    </row>
    <row r="327" spans="1:8">
      <c r="A327" s="3">
        <v>31.900000000000002</v>
      </c>
      <c r="B327" s="10">
        <f t="shared" si="28"/>
        <v>0.18886305952646751</v>
      </c>
      <c r="C327" s="10">
        <f t="shared" si="29"/>
        <v>3.5669255253698011E-2</v>
      </c>
      <c r="D327" s="3">
        <f t="shared" si="34"/>
        <v>4</v>
      </c>
      <c r="E327" s="10">
        <f t="shared" si="30"/>
        <v>0.75545223810587003</v>
      </c>
      <c r="F327" s="10">
        <f t="shared" si="31"/>
        <v>0.14267702101479204</v>
      </c>
      <c r="G327" s="10">
        <f t="shared" si="32"/>
        <v>48.19785279115451</v>
      </c>
      <c r="H327" s="10">
        <f t="shared" si="33"/>
        <v>9.1027939407437337</v>
      </c>
    </row>
    <row r="328" spans="1:8">
      <c r="A328" s="3">
        <v>32</v>
      </c>
      <c r="B328" s="10">
        <f t="shared" si="28"/>
        <v>0.18646232887142938</v>
      </c>
      <c r="C328" s="10">
        <f t="shared" si="29"/>
        <v>3.4768200088157085E-2</v>
      </c>
      <c r="D328" s="3">
        <f t="shared" si="34"/>
        <v>2</v>
      </c>
      <c r="E328" s="10">
        <f t="shared" si="30"/>
        <v>0.37292465774285877</v>
      </c>
      <c r="F328" s="10">
        <f t="shared" si="31"/>
        <v>6.953640017631417E-2</v>
      </c>
      <c r="G328" s="10">
        <f t="shared" si="32"/>
        <v>23.867178095542961</v>
      </c>
      <c r="H328" s="10">
        <f t="shared" si="33"/>
        <v>4.4503296112841069</v>
      </c>
    </row>
    <row r="329" spans="1:8">
      <c r="A329" s="3">
        <v>32.1</v>
      </c>
      <c r="B329" s="10">
        <f t="shared" ref="B329:B392" si="35">$B$5^(($B$4^50)*(($B$4^A329)-1))</f>
        <v>0.18407612755792227</v>
      </c>
      <c r="C329" s="10">
        <f t="shared" ref="C329:C392" si="36">B329^2</f>
        <v>3.388402073672047E-2</v>
      </c>
      <c r="D329" s="3">
        <f t="shared" si="34"/>
        <v>4</v>
      </c>
      <c r="E329" s="10">
        <f t="shared" ref="E329:E392" si="37">B329*D329</f>
        <v>0.73630451023168908</v>
      </c>
      <c r="F329" s="10">
        <f t="shared" ref="F329:F392" si="38">C329*D329</f>
        <v>0.13553608294688188</v>
      </c>
      <c r="G329" s="10">
        <f t="shared" ref="G329:G392" si="39">2*A329*B329*D329</f>
        <v>47.270749556874442</v>
      </c>
      <c r="H329" s="10">
        <f t="shared" ref="H329:H392" si="40">2*A329*C329*D329</f>
        <v>8.701416525189817</v>
      </c>
    </row>
    <row r="330" spans="1:8">
      <c r="A330" s="3">
        <v>32.200000000000003</v>
      </c>
      <c r="B330" s="10">
        <f t="shared" si="35"/>
        <v>0.18170457432577905</v>
      </c>
      <c r="C330" s="10">
        <f t="shared" si="36"/>
        <v>3.3016552330912566E-2</v>
      </c>
      <c r="D330" s="3">
        <f t="shared" si="34"/>
        <v>2</v>
      </c>
      <c r="E330" s="10">
        <f t="shared" si="37"/>
        <v>0.3634091486515581</v>
      </c>
      <c r="F330" s="10">
        <f t="shared" si="38"/>
        <v>6.6033104661825132E-2</v>
      </c>
      <c r="G330" s="10">
        <f t="shared" si="39"/>
        <v>23.403549173160343</v>
      </c>
      <c r="H330" s="10">
        <f t="shared" si="40"/>
        <v>4.2525319402215391</v>
      </c>
    </row>
    <row r="331" spans="1:8">
      <c r="A331" s="3">
        <v>32.300000000000004</v>
      </c>
      <c r="B331" s="10">
        <f t="shared" si="35"/>
        <v>0.17934778603517351</v>
      </c>
      <c r="C331" s="10">
        <f t="shared" si="36"/>
        <v>3.216562835571838E-2</v>
      </c>
      <c r="D331" s="3">
        <f t="shared" ref="D331:D394" si="41">IF(D330=4,2,4)</f>
        <v>4</v>
      </c>
      <c r="E331" s="10">
        <f t="shared" si="37"/>
        <v>0.71739114414069405</v>
      </c>
      <c r="F331" s="10">
        <f t="shared" si="38"/>
        <v>0.12866251342287352</v>
      </c>
      <c r="G331" s="10">
        <f t="shared" si="39"/>
        <v>46.343467911488844</v>
      </c>
      <c r="H331" s="10">
        <f t="shared" si="40"/>
        <v>8.3115983671176306</v>
      </c>
    </row>
    <row r="332" spans="1:8">
      <c r="A332" s="3">
        <v>32.400000000000006</v>
      </c>
      <c r="B332" s="10">
        <f t="shared" si="35"/>
        <v>0.17700587763096867</v>
      </c>
      <c r="C332" s="10">
        <f t="shared" si="36"/>
        <v>3.1331080715909454E-2</v>
      </c>
      <c r="D332" s="3">
        <f t="shared" si="41"/>
        <v>2</v>
      </c>
      <c r="E332" s="10">
        <f t="shared" si="37"/>
        <v>0.35401175526193734</v>
      </c>
      <c r="F332" s="10">
        <f t="shared" si="38"/>
        <v>6.2662161431818908E-2</v>
      </c>
      <c r="G332" s="10">
        <f t="shared" si="39"/>
        <v>22.939961740973544</v>
      </c>
      <c r="H332" s="10">
        <f t="shared" si="40"/>
        <v>4.0605080607818662</v>
      </c>
    </row>
    <row r="333" spans="1:8">
      <c r="A333" s="3">
        <v>32.5</v>
      </c>
      <c r="B333" s="10">
        <f t="shared" si="35"/>
        <v>0.17467896210737305</v>
      </c>
      <c r="C333" s="10">
        <f t="shared" si="36"/>
        <v>3.051273980290907E-2</v>
      </c>
      <c r="D333" s="3">
        <f t="shared" si="41"/>
        <v>4</v>
      </c>
      <c r="E333" s="10">
        <f t="shared" si="37"/>
        <v>0.69871584842949219</v>
      </c>
      <c r="F333" s="10">
        <f t="shared" si="38"/>
        <v>0.12205095921163628</v>
      </c>
      <c r="G333" s="10">
        <f t="shared" si="39"/>
        <v>45.416530147916994</v>
      </c>
      <c r="H333" s="10">
        <f t="shared" si="40"/>
        <v>7.9333123487563579</v>
      </c>
    </row>
    <row r="334" spans="1:8">
      <c r="A334" s="3">
        <v>32.6</v>
      </c>
      <c r="B334" s="10">
        <f t="shared" si="35"/>
        <v>0.17236715047292167</v>
      </c>
      <c r="C334" s="10">
        <f t="shared" si="36"/>
        <v>2.971043456215482E-2</v>
      </c>
      <c r="D334" s="3">
        <f t="shared" si="41"/>
        <v>2</v>
      </c>
      <c r="E334" s="10">
        <f t="shared" si="37"/>
        <v>0.34473430094584334</v>
      </c>
      <c r="F334" s="10">
        <f t="shared" si="38"/>
        <v>5.942086912430964E-2</v>
      </c>
      <c r="G334" s="10">
        <f t="shared" si="39"/>
        <v>22.476676421668987</v>
      </c>
      <c r="H334" s="10">
        <f t="shared" si="40"/>
        <v>3.8742406669049889</v>
      </c>
    </row>
    <row r="335" spans="1:8">
      <c r="A335" s="3">
        <v>32.700000000000003</v>
      </c>
      <c r="B335" s="10">
        <f t="shared" si="35"/>
        <v>0.17007055171580662</v>
      </c>
      <c r="C335" s="10">
        <f t="shared" si="36"/>
        <v>2.8923992560918856E-2</v>
      </c>
      <c r="D335" s="3">
        <f t="shared" si="41"/>
        <v>4</v>
      </c>
      <c r="E335" s="10">
        <f t="shared" si="37"/>
        <v>0.68028220686322649</v>
      </c>
      <c r="F335" s="10">
        <f t="shared" si="38"/>
        <v>0.11569597024367542</v>
      </c>
      <c r="G335" s="10">
        <f t="shared" si="39"/>
        <v>44.490456328855018</v>
      </c>
      <c r="H335" s="10">
        <f t="shared" si="40"/>
        <v>7.566516453936373</v>
      </c>
    </row>
    <row r="336" spans="1:8">
      <c r="A336" s="3">
        <v>32.800000000000004</v>
      </c>
      <c r="B336" s="10">
        <f t="shared" si="35"/>
        <v>0.1677892727695717</v>
      </c>
      <c r="C336" s="10">
        <f t="shared" si="36"/>
        <v>2.8153240056541736E-2</v>
      </c>
      <c r="D336" s="3">
        <f t="shared" si="41"/>
        <v>2</v>
      </c>
      <c r="E336" s="10">
        <f t="shared" si="37"/>
        <v>0.3355785455391434</v>
      </c>
      <c r="F336" s="10">
        <f t="shared" si="38"/>
        <v>5.6306480113083472E-2</v>
      </c>
      <c r="G336" s="10">
        <f t="shared" si="39"/>
        <v>22.013952587367811</v>
      </c>
      <c r="H336" s="10">
        <f t="shared" si="40"/>
        <v>3.6937050954182764</v>
      </c>
    </row>
    <row r="337" spans="1:8">
      <c r="A337" s="3">
        <v>32.900000000000006</v>
      </c>
      <c r="B337" s="10">
        <f t="shared" si="35"/>
        <v>0.16552341847919086</v>
      </c>
      <c r="C337" s="10">
        <f t="shared" si="36"/>
        <v>2.7398002065037341E-2</v>
      </c>
      <c r="D337" s="3">
        <f t="shared" si="41"/>
        <v>4</v>
      </c>
      <c r="E337" s="10">
        <f t="shared" si="37"/>
        <v>0.66209367391676344</v>
      </c>
      <c r="F337" s="10">
        <f t="shared" si="38"/>
        <v>0.10959200826014937</v>
      </c>
      <c r="G337" s="10">
        <f t="shared" si="39"/>
        <v>43.565763743723039</v>
      </c>
      <c r="H337" s="10">
        <f t="shared" si="40"/>
        <v>7.2111541435178292</v>
      </c>
    </row>
    <row r="338" spans="1:8">
      <c r="A338" s="3">
        <v>33</v>
      </c>
      <c r="B338" s="10">
        <f t="shared" si="35"/>
        <v>0.16327309156755368</v>
      </c>
      <c r="C338" s="10">
        <f t="shared" si="36"/>
        <v>2.6658102430026767E-2</v>
      </c>
      <c r="D338" s="3">
        <f t="shared" si="41"/>
        <v>2</v>
      </c>
      <c r="E338" s="10">
        <f t="shared" si="37"/>
        <v>0.32654618313510736</v>
      </c>
      <c r="F338" s="10">
        <f t="shared" si="38"/>
        <v>5.3316204860053534E-2</v>
      </c>
      <c r="G338" s="10">
        <f t="shared" si="39"/>
        <v>21.552048086917086</v>
      </c>
      <c r="H338" s="10">
        <f t="shared" si="40"/>
        <v>3.5188695207635332</v>
      </c>
    </row>
    <row r="339" spans="1:8">
      <c r="A339" s="3">
        <v>33.1</v>
      </c>
      <c r="B339" s="10">
        <f t="shared" si="35"/>
        <v>0.1610383926023686</v>
      </c>
      <c r="C339" s="10">
        <f t="shared" si="36"/>
        <v>2.5933363891954605E-2</v>
      </c>
      <c r="D339" s="3">
        <f t="shared" si="41"/>
        <v>4</v>
      </c>
      <c r="E339" s="10">
        <f t="shared" si="37"/>
        <v>0.64415357040947441</v>
      </c>
      <c r="F339" s="10">
        <f t="shared" si="38"/>
        <v>0.10373345556781842</v>
      </c>
      <c r="G339" s="10">
        <f t="shared" si="39"/>
        <v>42.642966361107206</v>
      </c>
      <c r="H339" s="10">
        <f t="shared" si="40"/>
        <v>6.8671547585895798</v>
      </c>
    </row>
    <row r="340" spans="1:8">
      <c r="A340" s="3">
        <v>33.200000000000003</v>
      </c>
      <c r="B340" s="10">
        <f t="shared" si="35"/>
        <v>0.15881941996351986</v>
      </c>
      <c r="C340" s="10">
        <f t="shared" si="36"/>
        <v>2.5223608157548892E-2</v>
      </c>
      <c r="D340" s="3">
        <f t="shared" si="41"/>
        <v>2</v>
      </c>
      <c r="E340" s="10">
        <f t="shared" si="37"/>
        <v>0.31763883992703973</v>
      </c>
      <c r="F340" s="10">
        <f t="shared" si="38"/>
        <v>5.0447216315097784E-2</v>
      </c>
      <c r="G340" s="10">
        <f t="shared" si="39"/>
        <v>21.091218971155438</v>
      </c>
      <c r="H340" s="10">
        <f t="shared" si="40"/>
        <v>3.349695163322493</v>
      </c>
    </row>
    <row r="341" spans="1:8">
      <c r="A341" s="3">
        <v>33.300000000000004</v>
      </c>
      <c r="B341" s="10">
        <f t="shared" si="35"/>
        <v>0.15661626981087468</v>
      </c>
      <c r="C341" s="10">
        <f t="shared" si="36"/>
        <v>2.4528655969472693E-2</v>
      </c>
      <c r="D341" s="3">
        <f t="shared" si="41"/>
        <v>4</v>
      </c>
      <c r="E341" s="10">
        <f t="shared" si="37"/>
        <v>0.6264650792434987</v>
      </c>
      <c r="F341" s="10">
        <f t="shared" si="38"/>
        <v>9.8114623877890772E-2</v>
      </c>
      <c r="G341" s="10">
        <f t="shared" si="39"/>
        <v>41.722574277617021</v>
      </c>
      <c r="H341" s="10">
        <f t="shared" si="40"/>
        <v>6.5344339502675259</v>
      </c>
    </row>
    <row r="342" spans="1:8">
      <c r="A342" s="3">
        <v>33.400000000000006</v>
      </c>
      <c r="B342" s="10">
        <f t="shared" si="35"/>
        <v>0.15442903605258015</v>
      </c>
      <c r="C342" s="10">
        <f t="shared" si="36"/>
        <v>2.38483271761291E-2</v>
      </c>
      <c r="D342" s="3">
        <f t="shared" si="41"/>
        <v>2</v>
      </c>
      <c r="E342" s="10">
        <f t="shared" si="37"/>
        <v>0.30885807210516031</v>
      </c>
      <c r="F342" s="10">
        <f t="shared" si="38"/>
        <v>4.76966543522582E-2</v>
      </c>
      <c r="G342" s="10">
        <f t="shared" si="39"/>
        <v>20.631719216624713</v>
      </c>
      <c r="H342" s="10">
        <f t="shared" si="40"/>
        <v>3.1861365107308481</v>
      </c>
    </row>
    <row r="343" spans="1:8">
      <c r="A343" s="3">
        <v>33.5</v>
      </c>
      <c r="B343" s="10">
        <f t="shared" si="35"/>
        <v>0.15225781031386088</v>
      </c>
      <c r="C343" s="10">
        <f t="shared" si="36"/>
        <v>2.3182440801571638E-2</v>
      </c>
      <c r="D343" s="3">
        <f t="shared" si="41"/>
        <v>4</v>
      </c>
      <c r="E343" s="10">
        <f t="shared" si="37"/>
        <v>0.6090312412554435</v>
      </c>
      <c r="F343" s="10">
        <f t="shared" si="38"/>
        <v>9.272976320628655E-2</v>
      </c>
      <c r="G343" s="10">
        <f t="shared" si="39"/>
        <v>40.805093164114716</v>
      </c>
      <c r="H343" s="10">
        <f t="shared" si="40"/>
        <v>6.212894134821199</v>
      </c>
    </row>
    <row r="344" spans="1:8">
      <c r="A344" s="3">
        <v>33.6</v>
      </c>
      <c r="B344" s="10">
        <f t="shared" si="35"/>
        <v>0.15010268190633569</v>
      </c>
      <c r="C344" s="10">
        <f t="shared" si="36"/>
        <v>2.2530815115474594E-2</v>
      </c>
      <c r="D344" s="3">
        <f t="shared" si="41"/>
        <v>2</v>
      </c>
      <c r="E344" s="10">
        <f t="shared" si="37"/>
        <v>0.30020536381267138</v>
      </c>
      <c r="F344" s="10">
        <f t="shared" si="38"/>
        <v>4.5061630230949189E-2</v>
      </c>
      <c r="G344" s="10">
        <f t="shared" si="39"/>
        <v>20.173800448211516</v>
      </c>
      <c r="H344" s="10">
        <f t="shared" si="40"/>
        <v>3.0281415515197856</v>
      </c>
    </row>
    <row r="345" spans="1:8">
      <c r="A345" s="3">
        <v>33.700000000000003</v>
      </c>
      <c r="B345" s="10">
        <f t="shared" si="35"/>
        <v>0.14796373779787747</v>
      </c>
      <c r="C345" s="10">
        <f t="shared" si="36"/>
        <v>2.1893267703119033E-2</v>
      </c>
      <c r="D345" s="3">
        <f t="shared" si="41"/>
        <v>4</v>
      </c>
      <c r="E345" s="10">
        <f t="shared" si="37"/>
        <v>0.59185495119150988</v>
      </c>
      <c r="F345" s="10">
        <f t="shared" si="38"/>
        <v>8.7573070812476131E-2</v>
      </c>
      <c r="G345" s="10">
        <f t="shared" si="39"/>
        <v>39.891023710307771</v>
      </c>
      <c r="H345" s="10">
        <f t="shared" si="40"/>
        <v>5.9024249727608913</v>
      </c>
    </row>
    <row r="346" spans="1:8">
      <c r="A346" s="3">
        <v>33.800000000000004</v>
      </c>
      <c r="B346" s="10">
        <f t="shared" si="35"/>
        <v>0.14584106258303325</v>
      </c>
      <c r="C346" s="10">
        <f t="shared" si="36"/>
        <v>2.1269615535348223E-2</v>
      </c>
      <c r="D346" s="3">
        <f t="shared" si="41"/>
        <v>2</v>
      </c>
      <c r="E346" s="10">
        <f t="shared" si="37"/>
        <v>0.29168212516606651</v>
      </c>
      <c r="F346" s="10">
        <f t="shared" si="38"/>
        <v>4.2539231070696445E-2</v>
      </c>
      <c r="G346" s="10">
        <f t="shared" si="39"/>
        <v>19.717711661226097</v>
      </c>
      <c r="H346" s="10">
        <f t="shared" si="40"/>
        <v>2.8756520203790803</v>
      </c>
    </row>
    <row r="347" spans="1:8">
      <c r="A347" s="3">
        <v>33.900000000000006</v>
      </c>
      <c r="B347" s="10">
        <f t="shared" si="35"/>
        <v>0.14373473845402268</v>
      </c>
      <c r="C347" s="10">
        <f t="shared" si="36"/>
        <v>2.0659675038446308E-2</v>
      </c>
      <c r="D347" s="3">
        <f t="shared" si="41"/>
        <v>4</v>
      </c>
      <c r="E347" s="10">
        <f t="shared" si="37"/>
        <v>0.57493895381609073</v>
      </c>
      <c r="F347" s="10">
        <f t="shared" si="38"/>
        <v>8.263870015378523E-2</v>
      </c>
      <c r="G347" s="10">
        <f t="shared" si="39"/>
        <v>38.98086106873096</v>
      </c>
      <c r="H347" s="10">
        <f t="shared" si="40"/>
        <v>5.6029038704266396</v>
      </c>
    </row>
    <row r="348" spans="1:8">
      <c r="A348" s="3">
        <v>34</v>
      </c>
      <c r="B348" s="10">
        <f t="shared" si="35"/>
        <v>0.14164484517233963</v>
      </c>
      <c r="C348" s="10">
        <f t="shared" si="36"/>
        <v>2.0063262163896065E-2</v>
      </c>
      <c r="D348" s="3">
        <f t="shared" si="41"/>
        <v>2</v>
      </c>
      <c r="E348" s="10">
        <f t="shared" si="37"/>
        <v>0.28328969034467927</v>
      </c>
      <c r="F348" s="10">
        <f t="shared" si="38"/>
        <v>4.012652432779213E-2</v>
      </c>
      <c r="G348" s="10">
        <f t="shared" si="39"/>
        <v>19.26369894343819</v>
      </c>
      <c r="H348" s="10">
        <f t="shared" si="40"/>
        <v>2.7286036542898651</v>
      </c>
    </row>
    <row r="349" spans="1:8">
      <c r="A349" s="3">
        <v>34.1</v>
      </c>
      <c r="B349" s="10">
        <f t="shared" si="35"/>
        <v>0.13957146004096616</v>
      </c>
      <c r="C349" s="10">
        <f t="shared" si="36"/>
        <v>1.9480192457967012E-2</v>
      </c>
      <c r="D349" s="3">
        <f t="shared" si="41"/>
        <v>4</v>
      </c>
      <c r="E349" s="10">
        <f t="shared" si="37"/>
        <v>0.55828584016386462</v>
      </c>
      <c r="F349" s="10">
        <f t="shared" si="38"/>
        <v>7.7920769831868048E-2</v>
      </c>
      <c r="G349" s="10">
        <f t="shared" si="39"/>
        <v>38.075094299175568</v>
      </c>
      <c r="H349" s="10">
        <f t="shared" si="40"/>
        <v>5.3141965025334015</v>
      </c>
    </row>
    <row r="350" spans="1:8">
      <c r="A350" s="3">
        <v>34.200000000000003</v>
      </c>
      <c r="B350" s="10">
        <f t="shared" si="35"/>
        <v>0.13751465787723641</v>
      </c>
      <c r="C350" s="10">
        <f t="shared" si="36"/>
        <v>1.8910281131093377E-2</v>
      </c>
      <c r="D350" s="3">
        <f t="shared" si="41"/>
        <v>2</v>
      </c>
      <c r="E350" s="10">
        <f t="shared" si="37"/>
        <v>0.27502931575447281</v>
      </c>
      <c r="F350" s="10">
        <f t="shared" si="38"/>
        <v>3.7820562262186753E-2</v>
      </c>
      <c r="G350" s="10">
        <f t="shared" si="39"/>
        <v>18.812005197605941</v>
      </c>
      <c r="H350" s="10">
        <f t="shared" si="40"/>
        <v>2.5869264587335743</v>
      </c>
    </row>
    <row r="351" spans="1:8">
      <c r="A351" s="3">
        <v>34.300000000000004</v>
      </c>
      <c r="B351" s="10">
        <f t="shared" si="35"/>
        <v>0.13547451098634608</v>
      </c>
      <c r="C351" s="10">
        <f t="shared" si="36"/>
        <v>1.8353343126989604E-2</v>
      </c>
      <c r="D351" s="3">
        <f t="shared" si="41"/>
        <v>4</v>
      </c>
      <c r="E351" s="10">
        <f t="shared" si="37"/>
        <v>0.54189804394538432</v>
      </c>
      <c r="F351" s="10">
        <f t="shared" si="38"/>
        <v>7.3413372507958416E-2</v>
      </c>
      <c r="G351" s="10">
        <f t="shared" si="39"/>
        <v>37.174205814653369</v>
      </c>
      <c r="H351" s="10">
        <f t="shared" si="40"/>
        <v>5.0361573540459483</v>
      </c>
    </row>
    <row r="352" spans="1:8">
      <c r="A352" s="3">
        <v>34.400000000000006</v>
      </c>
      <c r="B352" s="10">
        <f t="shared" si="35"/>
        <v>0.13345108913554588</v>
      </c>
      <c r="C352" s="10">
        <f t="shared" si="36"/>
        <v>1.7809193191463409E-2</v>
      </c>
      <c r="D352" s="3">
        <f t="shared" si="41"/>
        <v>2</v>
      </c>
      <c r="E352" s="10">
        <f t="shared" si="37"/>
        <v>0.26690217827109175</v>
      </c>
      <c r="F352" s="10">
        <f t="shared" si="38"/>
        <v>3.5618386382926817E-2</v>
      </c>
      <c r="G352" s="10">
        <f t="shared" si="39"/>
        <v>18.362869865051117</v>
      </c>
      <c r="H352" s="10">
        <f t="shared" si="40"/>
        <v>2.4505449831453654</v>
      </c>
    </row>
    <row r="353" spans="1:8">
      <c r="A353" s="3">
        <v>34.5</v>
      </c>
      <c r="B353" s="10">
        <f t="shared" si="35"/>
        <v>0.13144445952903064</v>
      </c>
      <c r="C353" s="10">
        <f t="shared" si="36"/>
        <v>1.7277645940878973E-2</v>
      </c>
      <c r="D353" s="3">
        <f t="shared" si="41"/>
        <v>4</v>
      </c>
      <c r="E353" s="10">
        <f t="shared" si="37"/>
        <v>0.52577783811612255</v>
      </c>
      <c r="F353" s="10">
        <f t="shared" si="38"/>
        <v>6.9110583763515893E-2</v>
      </c>
      <c r="G353" s="10">
        <f t="shared" si="39"/>
        <v>36.278670830012459</v>
      </c>
      <c r="H353" s="10">
        <f t="shared" si="40"/>
        <v>4.768630279682597</v>
      </c>
    </row>
    <row r="354" spans="1:8">
      <c r="A354" s="3">
        <v>34.6</v>
      </c>
      <c r="B354" s="10">
        <f t="shared" si="35"/>
        <v>0.12945468678354094</v>
      </c>
      <c r="C354" s="10">
        <f t="shared" si="36"/>
        <v>1.6758515930224691E-2</v>
      </c>
      <c r="D354" s="3">
        <f t="shared" si="41"/>
        <v>2</v>
      </c>
      <c r="E354" s="10">
        <f t="shared" si="37"/>
        <v>0.25890937356708188</v>
      </c>
      <c r="F354" s="10">
        <f t="shared" si="38"/>
        <v>3.3517031860449381E-2</v>
      </c>
      <c r="G354" s="10">
        <f t="shared" si="39"/>
        <v>17.916528650842068</v>
      </c>
      <c r="H354" s="10">
        <f t="shared" si="40"/>
        <v>2.3193786047430973</v>
      </c>
    </row>
    <row r="355" spans="1:8">
      <c r="A355" s="3">
        <v>34.700000000000003</v>
      </c>
      <c r="B355" s="10">
        <f t="shared" si="35"/>
        <v>0.12748183290470141</v>
      </c>
      <c r="C355" s="10">
        <f t="shared" si="36"/>
        <v>1.6251617720742212E-2</v>
      </c>
      <c r="D355" s="3">
        <f t="shared" si="41"/>
        <v>4</v>
      </c>
      <c r="E355" s="10">
        <f t="shared" si="37"/>
        <v>0.50992733161880566</v>
      </c>
      <c r="F355" s="10">
        <f t="shared" si="38"/>
        <v>6.5006470882968848E-2</v>
      </c>
      <c r="G355" s="10">
        <f t="shared" si="39"/>
        <v>35.388956814345114</v>
      </c>
      <c r="H355" s="10">
        <f t="shared" si="40"/>
        <v>4.5114490792780382</v>
      </c>
    </row>
    <row r="356" spans="1:8">
      <c r="A356" s="3">
        <v>34.800000000000004</v>
      </c>
      <c r="B356" s="10">
        <f t="shared" si="35"/>
        <v>0.1255259572641102</v>
      </c>
      <c r="C356" s="10">
        <f t="shared" si="36"/>
        <v>1.5756765947071219E-2</v>
      </c>
      <c r="D356" s="3">
        <f t="shared" si="41"/>
        <v>2</v>
      </c>
      <c r="E356" s="10">
        <f t="shared" si="37"/>
        <v>0.2510519145282204</v>
      </c>
      <c r="F356" s="10">
        <f t="shared" si="38"/>
        <v>3.1513531894142438E-2</v>
      </c>
      <c r="G356" s="10">
        <f t="shared" si="39"/>
        <v>17.473213251164143</v>
      </c>
      <c r="H356" s="10">
        <f t="shared" si="40"/>
        <v>2.1933418198323138</v>
      </c>
    </row>
    <row r="357" spans="1:8">
      <c r="A357" s="3">
        <v>34.900000000000006</v>
      </c>
      <c r="B357" s="10">
        <f t="shared" si="35"/>
        <v>0.12358711657719909</v>
      </c>
      <c r="C357" s="10">
        <f t="shared" si="36"/>
        <v>1.5273775383866199E-2</v>
      </c>
      <c r="D357" s="3">
        <f t="shared" si="41"/>
        <v>4</v>
      </c>
      <c r="E357" s="10">
        <f t="shared" si="37"/>
        <v>0.49434846630879636</v>
      </c>
      <c r="F357" s="10">
        <f t="shared" si="38"/>
        <v>6.1095101535464796E-2</v>
      </c>
      <c r="G357" s="10">
        <f t="shared" si="39"/>
        <v>34.505522948353992</v>
      </c>
      <c r="H357" s="10">
        <f t="shared" si="40"/>
        <v>4.2644380871754439</v>
      </c>
    </row>
    <row r="358" spans="1:8">
      <c r="A358" s="3">
        <v>35</v>
      </c>
      <c r="B358" s="10">
        <f t="shared" si="35"/>
        <v>0.12166536488188501</v>
      </c>
      <c r="C358" s="10">
        <f t="shared" si="36"/>
        <v>1.4802461011842218E-2</v>
      </c>
      <c r="D358" s="3">
        <f t="shared" si="41"/>
        <v>2</v>
      </c>
      <c r="E358" s="10">
        <f t="shared" si="37"/>
        <v>0.24333072976377002</v>
      </c>
      <c r="F358" s="10">
        <f t="shared" si="38"/>
        <v>2.9604922023684435E-2</v>
      </c>
      <c r="G358" s="10">
        <f t="shared" si="39"/>
        <v>17.033151083463903</v>
      </c>
      <c r="H358" s="10">
        <f t="shared" si="40"/>
        <v>2.0723445416579103</v>
      </c>
    </row>
    <row r="359" spans="1:8">
      <c r="A359" s="3">
        <v>35.1</v>
      </c>
      <c r="B359" s="10">
        <f t="shared" si="35"/>
        <v>0.11976075351802369</v>
      </c>
      <c r="C359" s="10">
        <f t="shared" si="36"/>
        <v>1.4342638083204825E-2</v>
      </c>
      <c r="D359" s="3">
        <f t="shared" si="41"/>
        <v>4</v>
      </c>
      <c r="E359" s="10">
        <f t="shared" si="37"/>
        <v>0.47904301407209476</v>
      </c>
      <c r="F359" s="10">
        <f t="shared" si="38"/>
        <v>5.7370552332819298E-2</v>
      </c>
      <c r="G359" s="10">
        <f t="shared" si="39"/>
        <v>33.628819587861052</v>
      </c>
      <c r="H359" s="10">
        <f t="shared" si="40"/>
        <v>4.0274127737639152</v>
      </c>
    </row>
    <row r="360" spans="1:8">
      <c r="A360" s="3">
        <v>35.200000000000003</v>
      </c>
      <c r="B360" s="10">
        <f t="shared" si="35"/>
        <v>0.11787333110769828</v>
      </c>
      <c r="C360" s="10">
        <f t="shared" si="36"/>
        <v>1.389412218642507E-2</v>
      </c>
      <c r="D360" s="3">
        <f t="shared" si="41"/>
        <v>2</v>
      </c>
      <c r="E360" s="10">
        <f t="shared" si="37"/>
        <v>0.23574666221539656</v>
      </c>
      <c r="F360" s="10">
        <f t="shared" si="38"/>
        <v>2.778824437285014E-2</v>
      </c>
      <c r="G360" s="10">
        <f t="shared" si="39"/>
        <v>16.596565019963919</v>
      </c>
      <c r="H360" s="10">
        <f t="shared" si="40"/>
        <v>1.95629240384865</v>
      </c>
    </row>
    <row r="361" spans="1:8">
      <c r="A361" s="3">
        <v>35.300000000000004</v>
      </c>
      <c r="B361" s="10">
        <f t="shared" si="35"/>
        <v>0.11600314353633966</v>
      </c>
      <c r="C361" s="10">
        <f t="shared" si="36"/>
        <v>1.3456729310312622E-2</v>
      </c>
      <c r="D361" s="3">
        <f t="shared" si="41"/>
        <v>4</v>
      </c>
      <c r="E361" s="10">
        <f t="shared" si="37"/>
        <v>0.46401257414535862</v>
      </c>
      <c r="F361" s="10">
        <f t="shared" si="38"/>
        <v>5.3826917241250487E-2</v>
      </c>
      <c r="G361" s="10">
        <f t="shared" si="39"/>
        <v>32.759287734662323</v>
      </c>
      <c r="H361" s="10">
        <f t="shared" si="40"/>
        <v>3.8001803572322848</v>
      </c>
    </row>
    <row r="362" spans="1:8">
      <c r="A362" s="3">
        <v>35.400000000000006</v>
      </c>
      <c r="B362" s="10">
        <f t="shared" si="35"/>
        <v>0.11415023393471341</v>
      </c>
      <c r="C362" s="10">
        <f t="shared" si="36"/>
        <v>1.3030275907349797E-2</v>
      </c>
      <c r="D362" s="3">
        <f t="shared" si="41"/>
        <v>2</v>
      </c>
      <c r="E362" s="10">
        <f t="shared" si="37"/>
        <v>0.22830046786942682</v>
      </c>
      <c r="F362" s="10">
        <f t="shared" si="38"/>
        <v>2.6060551814699594E-2</v>
      </c>
      <c r="G362" s="10">
        <f t="shared" si="39"/>
        <v>16.16367312515542</v>
      </c>
      <c r="H362" s="10">
        <f t="shared" si="40"/>
        <v>1.8450870684807315</v>
      </c>
    </row>
    <row r="363" spans="1:8">
      <c r="A363" s="3">
        <v>35.5</v>
      </c>
      <c r="B363" s="10">
        <f t="shared" si="35"/>
        <v>0.11231464266178326</v>
      </c>
      <c r="C363" s="10">
        <f t="shared" si="36"/>
        <v>1.2614578956244064E-2</v>
      </c>
      <c r="D363" s="3">
        <f t="shared" si="41"/>
        <v>4</v>
      </c>
      <c r="E363" s="10">
        <f t="shared" si="37"/>
        <v>0.44925857064713304</v>
      </c>
      <c r="F363" s="10">
        <f t="shared" si="38"/>
        <v>5.0458315824976258E-2</v>
      </c>
      <c r="G363" s="10">
        <f t="shared" si="39"/>
        <v>31.897358515946447</v>
      </c>
      <c r="H363" s="10">
        <f t="shared" si="40"/>
        <v>3.5825404235733145</v>
      </c>
    </row>
    <row r="364" spans="1:8">
      <c r="A364" s="3">
        <v>35.6</v>
      </c>
      <c r="B364" s="10">
        <f t="shared" si="35"/>
        <v>0.11049640728846602</v>
      </c>
      <c r="C364" s="10">
        <f t="shared" si="36"/>
        <v>1.2209456023658567E-2</v>
      </c>
      <c r="D364" s="3">
        <f t="shared" si="41"/>
        <v>2</v>
      </c>
      <c r="E364" s="10">
        <f t="shared" si="37"/>
        <v>0.22099281457693204</v>
      </c>
      <c r="F364" s="10">
        <f t="shared" si="38"/>
        <v>2.4418912047317134E-2</v>
      </c>
      <c r="G364" s="10">
        <f t="shared" si="39"/>
        <v>15.734688397877562</v>
      </c>
      <c r="H364" s="10">
        <f t="shared" si="40"/>
        <v>1.73862653776898</v>
      </c>
    </row>
    <row r="365" spans="1:8">
      <c r="A365" s="3">
        <v>35.700000000000003</v>
      </c>
      <c r="B365" s="10">
        <f t="shared" si="35"/>
        <v>0.10869556258229891</v>
      </c>
      <c r="C365" s="10">
        <f t="shared" si="36"/>
        <v>1.1814725325082459E-2</v>
      </c>
      <c r="D365" s="3">
        <f t="shared" si="41"/>
        <v>4</v>
      </c>
      <c r="E365" s="10">
        <f t="shared" si="37"/>
        <v>0.43478225032919565</v>
      </c>
      <c r="F365" s="10">
        <f t="shared" si="38"/>
        <v>4.7258901300329836E-2</v>
      </c>
      <c r="G365" s="10">
        <f t="shared" si="39"/>
        <v>31.043452673504571</v>
      </c>
      <c r="H365" s="10">
        <f t="shared" si="40"/>
        <v>3.3742855528435505</v>
      </c>
    </row>
    <row r="366" spans="1:8">
      <c r="A366" s="3">
        <v>35.800000000000004</v>
      </c>
      <c r="B366" s="10">
        <f t="shared" si="35"/>
        <v>0.1069121404930328</v>
      </c>
      <c r="C366" s="10">
        <f t="shared" si="36"/>
        <v>1.1430205784801983E-2</v>
      </c>
      <c r="D366" s="3">
        <f t="shared" si="41"/>
        <v>2</v>
      </c>
      <c r="E366" s="10">
        <f t="shared" si="37"/>
        <v>0.2138242809860656</v>
      </c>
      <c r="F366" s="10">
        <f t="shared" si="38"/>
        <v>2.2860411569603965E-2</v>
      </c>
      <c r="G366" s="10">
        <f t="shared" si="39"/>
        <v>15.309818518602299</v>
      </c>
      <c r="H366" s="10">
        <f t="shared" si="40"/>
        <v>1.6368054683836442</v>
      </c>
    </row>
    <row r="367" spans="1:8">
      <c r="A367" s="3">
        <v>35.900000000000006</v>
      </c>
      <c r="B367" s="10">
        <f t="shared" si="35"/>
        <v>0.10514617013916597</v>
      </c>
      <c r="C367" s="10">
        <f t="shared" si="36"/>
        <v>1.1055717094934437E-2</v>
      </c>
      <c r="D367" s="3">
        <f t="shared" si="41"/>
        <v>4</v>
      </c>
      <c r="E367" s="10">
        <f t="shared" si="37"/>
        <v>0.42058468055666387</v>
      </c>
      <c r="F367" s="10">
        <f t="shared" si="38"/>
        <v>4.4222868379737747E-2</v>
      </c>
      <c r="G367" s="10">
        <f t="shared" si="39"/>
        <v>30.197980063968469</v>
      </c>
      <c r="H367" s="10">
        <f t="shared" si="40"/>
        <v>3.1752019496651709</v>
      </c>
    </row>
    <row r="368" spans="1:8">
      <c r="A368" s="3">
        <v>36</v>
      </c>
      <c r="B368" s="10">
        <f t="shared" si="35"/>
        <v>0.10339767779543838</v>
      </c>
      <c r="C368" s="10">
        <f t="shared" si="36"/>
        <v>1.0691079773489291E-2</v>
      </c>
      <c r="D368" s="3">
        <f t="shared" si="41"/>
        <v>2</v>
      </c>
      <c r="E368" s="10">
        <f t="shared" si="37"/>
        <v>0.20679535559087675</v>
      </c>
      <c r="F368" s="10">
        <f t="shared" si="38"/>
        <v>2.1382159546978582E-2</v>
      </c>
      <c r="G368" s="10">
        <f t="shared" si="39"/>
        <v>14.889265602543126</v>
      </c>
      <c r="H368" s="10">
        <f t="shared" si="40"/>
        <v>1.5395154873824579</v>
      </c>
    </row>
    <row r="369" spans="1:8">
      <c r="A369" s="3">
        <v>36.1</v>
      </c>
      <c r="B369" s="10">
        <f t="shared" si="35"/>
        <v>0.10166668688129205</v>
      </c>
      <c r="C369" s="10">
        <f t="shared" si="36"/>
        <v>1.033611522141868E-2</v>
      </c>
      <c r="D369" s="3">
        <f t="shared" si="41"/>
        <v>4</v>
      </c>
      <c r="E369" s="10">
        <f t="shared" si="37"/>
        <v>0.40666674752516818</v>
      </c>
      <c r="F369" s="10">
        <f t="shared" si="38"/>
        <v>4.1344460885674721E-2</v>
      </c>
      <c r="G369" s="10">
        <f t="shared" si="39"/>
        <v>29.361339171317145</v>
      </c>
      <c r="H369" s="10">
        <f t="shared" si="40"/>
        <v>2.9850700759457149</v>
      </c>
    </row>
    <row r="370" spans="1:8">
      <c r="A370" s="3">
        <v>36.200000000000003</v>
      </c>
      <c r="B370" s="10">
        <f t="shared" si="35"/>
        <v>9.9953217950328729E-2</v>
      </c>
      <c r="C370" s="10">
        <f t="shared" si="36"/>
        <v>9.9906457786259166E-3</v>
      </c>
      <c r="D370" s="3">
        <f t="shared" si="41"/>
        <v>2</v>
      </c>
      <c r="E370" s="10">
        <f t="shared" si="37"/>
        <v>0.19990643590065746</v>
      </c>
      <c r="F370" s="10">
        <f t="shared" si="38"/>
        <v>1.9981291557251833E-2</v>
      </c>
      <c r="G370" s="10">
        <f t="shared" si="39"/>
        <v>14.473225959207602</v>
      </c>
      <c r="H370" s="10">
        <f t="shared" si="40"/>
        <v>1.4466455087450327</v>
      </c>
    </row>
    <row r="371" spans="1:8">
      <c r="A371" s="3">
        <v>36.300000000000004</v>
      </c>
      <c r="B371" s="10">
        <f t="shared" si="35"/>
        <v>9.8257288680757365E-2</v>
      </c>
      <c r="C371" s="10">
        <f t="shared" si="36"/>
        <v>9.6544947788936887E-3</v>
      </c>
      <c r="D371" s="3">
        <f t="shared" si="41"/>
        <v>4</v>
      </c>
      <c r="E371" s="10">
        <f t="shared" si="37"/>
        <v>0.39302915472302946</v>
      </c>
      <c r="F371" s="10">
        <f t="shared" si="38"/>
        <v>3.8617979115574755E-2</v>
      </c>
      <c r="G371" s="10">
        <f t="shared" si="39"/>
        <v>28.533916632891941</v>
      </c>
      <c r="H371" s="10">
        <f t="shared" si="40"/>
        <v>2.8036652837907274</v>
      </c>
    </row>
    <row r="372" spans="1:8">
      <c r="A372" s="3">
        <v>36.400000000000006</v>
      </c>
      <c r="B372" s="10">
        <f t="shared" si="35"/>
        <v>9.6578913866862778E-2</v>
      </c>
      <c r="C372" s="10">
        <f t="shared" si="36"/>
        <v>9.3274866037028996E-3</v>
      </c>
      <c r="D372" s="3">
        <f t="shared" si="41"/>
        <v>2</v>
      </c>
      <c r="E372" s="10">
        <f t="shared" si="37"/>
        <v>0.19315782773372556</v>
      </c>
      <c r="F372" s="10">
        <f t="shared" si="38"/>
        <v>1.8654973207405799E-2</v>
      </c>
      <c r="G372" s="10">
        <f t="shared" si="39"/>
        <v>14.061889859015222</v>
      </c>
      <c r="H372" s="10">
        <f t="shared" si="40"/>
        <v>1.3580820494991424</v>
      </c>
    </row>
    <row r="373" spans="1:8">
      <c r="A373" s="3">
        <v>36.5</v>
      </c>
      <c r="B373" s="10">
        <f t="shared" si="35"/>
        <v>9.4918105411501266E-2</v>
      </c>
      <c r="C373" s="10">
        <f t="shared" si="36"/>
        <v>9.0094467349088655E-3</v>
      </c>
      <c r="D373" s="3">
        <f t="shared" si="41"/>
        <v>4</v>
      </c>
      <c r="E373" s="10">
        <f t="shared" si="37"/>
        <v>0.37967242164600506</v>
      </c>
      <c r="F373" s="10">
        <f t="shared" si="38"/>
        <v>3.6037786939635462E-2</v>
      </c>
      <c r="G373" s="10">
        <f t="shared" si="39"/>
        <v>27.716086780158371</v>
      </c>
      <c r="H373" s="10">
        <f t="shared" si="40"/>
        <v>2.6307584465933886</v>
      </c>
    </row>
    <row r="374" spans="1:8">
      <c r="A374" s="3">
        <v>36.6</v>
      </c>
      <c r="B374" s="10">
        <f t="shared" si="35"/>
        <v>9.3274872319635188E-2</v>
      </c>
      <c r="C374" s="10">
        <f t="shared" si="36"/>
        <v>8.7002018062442461E-3</v>
      </c>
      <c r="D374" s="3">
        <f t="shared" si="41"/>
        <v>2</v>
      </c>
      <c r="E374" s="10">
        <f t="shared" si="37"/>
        <v>0.18654974463927038</v>
      </c>
      <c r="F374" s="10">
        <f t="shared" si="38"/>
        <v>1.7400403612488492E-2</v>
      </c>
      <c r="G374" s="10">
        <f t="shared" si="39"/>
        <v>13.655441307594591</v>
      </c>
      <c r="H374" s="10">
        <f t="shared" si="40"/>
        <v>1.2737095444341577</v>
      </c>
    </row>
    <row r="375" spans="1:8">
      <c r="A375" s="3">
        <v>36.700000000000003</v>
      </c>
      <c r="B375" s="10">
        <f t="shared" si="35"/>
        <v>9.1649220692922181E-2</v>
      </c>
      <c r="C375" s="10">
        <f t="shared" si="36"/>
        <v>8.3995796536199558E-3</v>
      </c>
      <c r="D375" s="3">
        <f t="shared" si="41"/>
        <v>4</v>
      </c>
      <c r="E375" s="10">
        <f t="shared" si="37"/>
        <v>0.36659688277168873</v>
      </c>
      <c r="F375" s="10">
        <f t="shared" si="38"/>
        <v>3.3598318614479823E-2</v>
      </c>
      <c r="G375" s="10">
        <f t="shared" si="39"/>
        <v>26.908211195441954</v>
      </c>
      <c r="H375" s="10">
        <f t="shared" si="40"/>
        <v>2.4661165863028192</v>
      </c>
    </row>
    <row r="376" spans="1:8">
      <c r="A376" s="3">
        <v>36.800000000000004</v>
      </c>
      <c r="B376" s="10">
        <f t="shared" si="35"/>
        <v>9.004115372536857E-2</v>
      </c>
      <c r="C376" s="10">
        <f t="shared" si="36"/>
        <v>8.1074093641954545E-3</v>
      </c>
      <c r="D376" s="3">
        <f t="shared" si="41"/>
        <v>2</v>
      </c>
      <c r="E376" s="10">
        <f t="shared" si="37"/>
        <v>0.18008230745073714</v>
      </c>
      <c r="F376" s="10">
        <f t="shared" si="38"/>
        <v>1.6214818728390909E-2</v>
      </c>
      <c r="G376" s="10">
        <f t="shared" si="39"/>
        <v>13.254057828374256</v>
      </c>
      <c r="H376" s="10">
        <f t="shared" si="40"/>
        <v>1.1934106584095709</v>
      </c>
    </row>
    <row r="377" spans="1:8">
      <c r="A377" s="3">
        <v>36.900000000000006</v>
      </c>
      <c r="B377" s="10">
        <f t="shared" si="35"/>
        <v>8.8450671700057229E-2</v>
      </c>
      <c r="C377" s="10">
        <f t="shared" si="36"/>
        <v>7.823521324191304E-3</v>
      </c>
      <c r="D377" s="3">
        <f t="shared" si="41"/>
        <v>4</v>
      </c>
      <c r="E377" s="10">
        <f t="shared" si="37"/>
        <v>0.35380268680022892</v>
      </c>
      <c r="F377" s="10">
        <f t="shared" si="38"/>
        <v>3.1294085296765216E-2</v>
      </c>
      <c r="G377" s="10">
        <f t="shared" si="39"/>
        <v>26.110638285856897</v>
      </c>
      <c r="H377" s="10">
        <f t="shared" si="40"/>
        <v>2.3095034949012732</v>
      </c>
    </row>
    <row r="378" spans="1:8">
      <c r="A378" s="3">
        <v>37</v>
      </c>
      <c r="B378" s="10">
        <f t="shared" si="35"/>
        <v>8.6877771986964808E-2</v>
      </c>
      <c r="C378" s="10">
        <f t="shared" si="36"/>
        <v>7.5477472654190475E-3</v>
      </c>
      <c r="D378" s="3">
        <f t="shared" si="41"/>
        <v>2</v>
      </c>
      <c r="E378" s="10">
        <f t="shared" si="37"/>
        <v>0.17375554397392962</v>
      </c>
      <c r="F378" s="10">
        <f t="shared" si="38"/>
        <v>1.5095494530838095E-2</v>
      </c>
      <c r="G378" s="10">
        <f t="shared" si="39"/>
        <v>12.857910254070791</v>
      </c>
      <c r="H378" s="10">
        <f t="shared" si="40"/>
        <v>1.1170665952820191</v>
      </c>
    </row>
    <row r="379" spans="1:8">
      <c r="A379" s="3">
        <v>37.1</v>
      </c>
      <c r="B379" s="10">
        <f t="shared" si="35"/>
        <v>8.5322449041870294E-2</v>
      </c>
      <c r="C379" s="10">
        <f t="shared" si="36"/>
        <v>7.279920310502553E-3</v>
      </c>
      <c r="D379" s="3">
        <f t="shared" si="41"/>
        <v>4</v>
      </c>
      <c r="E379" s="10">
        <f t="shared" si="37"/>
        <v>0.34128979616748117</v>
      </c>
      <c r="F379" s="10">
        <f t="shared" si="38"/>
        <v>2.9119681242010212E-2</v>
      </c>
      <c r="G379" s="10">
        <f t="shared" si="39"/>
        <v>25.323702875627106</v>
      </c>
      <c r="H379" s="10">
        <f t="shared" si="40"/>
        <v>2.1606803481571579</v>
      </c>
    </row>
    <row r="380" spans="1:8">
      <c r="A380" s="3">
        <v>37.200000000000003</v>
      </c>
      <c r="B380" s="10">
        <f t="shared" si="35"/>
        <v>8.3784694406378188E-2</v>
      </c>
      <c r="C380" s="10">
        <f t="shared" si="36"/>
        <v>7.0198750167701808E-3</v>
      </c>
      <c r="D380" s="3">
        <f t="shared" si="41"/>
        <v>2</v>
      </c>
      <c r="E380" s="10">
        <f t="shared" si="37"/>
        <v>0.16756938881275638</v>
      </c>
      <c r="F380" s="10">
        <f t="shared" si="38"/>
        <v>1.4039750033540362E-2</v>
      </c>
      <c r="G380" s="10">
        <f t="shared" si="39"/>
        <v>12.467162527669075</v>
      </c>
      <c r="H380" s="10">
        <f t="shared" si="40"/>
        <v>1.044557402495403</v>
      </c>
    </row>
    <row r="381" spans="1:8">
      <c r="A381" s="3">
        <v>37.300000000000004</v>
      </c>
      <c r="B381" s="10">
        <f t="shared" si="35"/>
        <v>8.2264496709047327E-2</v>
      </c>
      <c r="C381" s="10">
        <f t="shared" si="36"/>
        <v>6.7674474187928583E-3</v>
      </c>
      <c r="D381" s="3">
        <f t="shared" si="41"/>
        <v>4</v>
      </c>
      <c r="E381" s="10">
        <f t="shared" si="37"/>
        <v>0.32905798683618931</v>
      </c>
      <c r="F381" s="10">
        <f t="shared" si="38"/>
        <v>2.7069789675171433E-2</v>
      </c>
      <c r="G381" s="10">
        <f t="shared" si="39"/>
        <v>24.547725817979725</v>
      </c>
      <c r="H381" s="10">
        <f t="shared" si="40"/>
        <v>2.0194063097677892</v>
      </c>
    </row>
    <row r="382" spans="1:8">
      <c r="A382" s="3">
        <v>37.400000000000006</v>
      </c>
      <c r="B382" s="10">
        <f t="shared" si="35"/>
        <v>8.0761841667648743E-2</v>
      </c>
      <c r="C382" s="10">
        <f t="shared" si="36"/>
        <v>6.5224750695503644E-3</v>
      </c>
      <c r="D382" s="3">
        <f t="shared" si="41"/>
        <v>2</v>
      </c>
      <c r="E382" s="10">
        <f t="shared" si="37"/>
        <v>0.16152368333529749</v>
      </c>
      <c r="F382" s="10">
        <f t="shared" si="38"/>
        <v>1.3044950139100729E-2</v>
      </c>
      <c r="G382" s="10">
        <f t="shared" si="39"/>
        <v>12.081971513480253</v>
      </c>
      <c r="H382" s="10">
        <f t="shared" si="40"/>
        <v>0.97576227040473462</v>
      </c>
    </row>
    <row r="383" spans="1:8">
      <c r="A383" s="3">
        <v>37.5</v>
      </c>
      <c r="B383" s="10">
        <f t="shared" si="35"/>
        <v>7.9276712092553353E-2</v>
      </c>
      <c r="C383" s="10">
        <f t="shared" si="36"/>
        <v>6.2847970802055947E-3</v>
      </c>
      <c r="D383" s="3">
        <f t="shared" si="41"/>
        <v>4</v>
      </c>
      <c r="E383" s="10">
        <f t="shared" si="37"/>
        <v>0.31710684837021341</v>
      </c>
      <c r="F383" s="10">
        <f t="shared" si="38"/>
        <v>2.5139188320822379E-2</v>
      </c>
      <c r="G383" s="10">
        <f t="shared" si="39"/>
        <v>23.783013627766007</v>
      </c>
      <c r="H383" s="10">
        <f t="shared" si="40"/>
        <v>1.8854391240616784</v>
      </c>
    </row>
    <row r="384" spans="1:8">
      <c r="A384" s="3">
        <v>37.6</v>
      </c>
      <c r="B384" s="10">
        <f t="shared" si="35"/>
        <v>7.7809087891256457E-2</v>
      </c>
      <c r="C384" s="10">
        <f t="shared" si="36"/>
        <v>6.0542541584692718E-3</v>
      </c>
      <c r="D384" s="3">
        <f t="shared" si="41"/>
        <v>2</v>
      </c>
      <c r="E384" s="10">
        <f t="shared" si="37"/>
        <v>0.15561817578251291</v>
      </c>
      <c r="F384" s="10">
        <f t="shared" si="38"/>
        <v>1.2108508316938544E-2</v>
      </c>
      <c r="G384" s="10">
        <f t="shared" si="39"/>
        <v>11.702486818844971</v>
      </c>
      <c r="H384" s="10">
        <f t="shared" si="40"/>
        <v>0.91055982543377856</v>
      </c>
    </row>
    <row r="385" spans="1:8">
      <c r="A385" s="3">
        <v>37.700000000000003</v>
      </c>
      <c r="B385" s="10">
        <f t="shared" si="35"/>
        <v>7.635894607404782E-2</v>
      </c>
      <c r="C385" s="10">
        <f t="shared" si="36"/>
        <v>5.830688645539343E-3</v>
      </c>
      <c r="D385" s="3">
        <f t="shared" si="41"/>
        <v>4</v>
      </c>
      <c r="E385" s="10">
        <f t="shared" si="37"/>
        <v>0.30543578429619128</v>
      </c>
      <c r="F385" s="10">
        <f t="shared" si="38"/>
        <v>2.3322754582157372E-2</v>
      </c>
      <c r="G385" s="10">
        <f t="shared" si="39"/>
        <v>23.029858135932823</v>
      </c>
      <c r="H385" s="10">
        <f t="shared" si="40"/>
        <v>1.758535695494666</v>
      </c>
    </row>
    <row r="386" spans="1:8">
      <c r="A386" s="3">
        <v>37.800000000000004</v>
      </c>
      <c r="B386" s="10">
        <f t="shared" si="35"/>
        <v>7.4926260760831531E-2</v>
      </c>
      <c r="C386" s="10">
        <f t="shared" si="36"/>
        <v>5.6139445516001224E-3</v>
      </c>
      <c r="D386" s="3">
        <f t="shared" si="41"/>
        <v>2</v>
      </c>
      <c r="E386" s="10">
        <f t="shared" si="37"/>
        <v>0.14985252152166306</v>
      </c>
      <c r="F386" s="10">
        <f t="shared" si="38"/>
        <v>1.1227889103200245E-2</v>
      </c>
      <c r="G386" s="10">
        <f t="shared" si="39"/>
        <v>11.328850627037729</v>
      </c>
      <c r="H386" s="10">
        <f t="shared" si="40"/>
        <v>0.84882841620193861</v>
      </c>
    </row>
    <row r="387" spans="1:8">
      <c r="A387" s="3">
        <v>37.900000000000006</v>
      </c>
      <c r="B387" s="10">
        <f t="shared" si="35"/>
        <v>7.3511003189100144E-2</v>
      </c>
      <c r="C387" s="10">
        <f t="shared" si="36"/>
        <v>5.4038675898678912E-3</v>
      </c>
      <c r="D387" s="3">
        <f t="shared" si="41"/>
        <v>4</v>
      </c>
      <c r="E387" s="10">
        <f t="shared" si="37"/>
        <v>0.29404401275640057</v>
      </c>
      <c r="F387" s="10">
        <f t="shared" si="38"/>
        <v>2.1615470359471565E-2</v>
      </c>
      <c r="G387" s="10">
        <f t="shared" si="39"/>
        <v>22.288536166935167</v>
      </c>
      <c r="H387" s="10">
        <f t="shared" si="40"/>
        <v>1.6384526532479449</v>
      </c>
    </row>
    <row r="388" spans="1:8">
      <c r="A388" s="3">
        <v>38</v>
      </c>
      <c r="B388" s="10">
        <f t="shared" si="35"/>
        <v>7.211314172306961E-2</v>
      </c>
      <c r="C388" s="10">
        <f t="shared" si="36"/>
        <v>5.2003052091715227E-3</v>
      </c>
      <c r="D388" s="3">
        <f t="shared" si="41"/>
        <v>2</v>
      </c>
      <c r="E388" s="10">
        <f t="shared" si="37"/>
        <v>0.14422628344613922</v>
      </c>
      <c r="F388" s="10">
        <f t="shared" si="38"/>
        <v>1.0400610418343045E-2</v>
      </c>
      <c r="G388" s="10">
        <f t="shared" si="39"/>
        <v>10.96119754190658</v>
      </c>
      <c r="H388" s="10">
        <f t="shared" si="40"/>
        <v>0.79044639179407139</v>
      </c>
    </row>
    <row r="389" spans="1:8">
      <c r="A389" s="3">
        <v>38.1</v>
      </c>
      <c r="B389" s="10">
        <f t="shared" si="35"/>
        <v>7.0732641863973419E-2</v>
      </c>
      <c r="C389" s="10">
        <f t="shared" si="36"/>
        <v>5.0031066250571252E-3</v>
      </c>
      <c r="D389" s="3">
        <f t="shared" si="41"/>
        <v>4</v>
      </c>
      <c r="E389" s="10">
        <f t="shared" si="37"/>
        <v>0.28293056745589368</v>
      </c>
      <c r="F389" s="10">
        <f t="shared" si="38"/>
        <v>2.0012426500228501E-2</v>
      </c>
      <c r="G389" s="10">
        <f t="shared" si="39"/>
        <v>21.5593092401391</v>
      </c>
      <c r="H389" s="10">
        <f t="shared" si="40"/>
        <v>1.5249468993174118</v>
      </c>
    </row>
    <row r="390" spans="1:8">
      <c r="A390" s="3">
        <v>38.200000000000003</v>
      </c>
      <c r="B390" s="10">
        <f t="shared" si="35"/>
        <v>6.93694662615299E-2</v>
      </c>
      <c r="C390" s="10">
        <f t="shared" si="36"/>
        <v>4.8121228494095352E-3</v>
      </c>
      <c r="D390" s="3">
        <f t="shared" si="41"/>
        <v>2</v>
      </c>
      <c r="E390" s="10">
        <f t="shared" si="37"/>
        <v>0.1387389325230598</v>
      </c>
      <c r="F390" s="10">
        <f t="shared" si="38"/>
        <v>9.6242456988190703E-3</v>
      </c>
      <c r="G390" s="10">
        <f t="shared" si="39"/>
        <v>10.59965444476177</v>
      </c>
      <c r="H390" s="10">
        <f t="shared" si="40"/>
        <v>0.73529237138977699</v>
      </c>
    </row>
    <row r="391" spans="1:8">
      <c r="A391" s="3">
        <v>38.300000000000004</v>
      </c>
      <c r="B391" s="10">
        <f t="shared" si="35"/>
        <v>6.8023574726568559E-2</v>
      </c>
      <c r="C391" s="10">
        <f t="shared" si="36"/>
        <v>4.6272067185810567E-3</v>
      </c>
      <c r="D391" s="3">
        <f t="shared" si="41"/>
        <v>4</v>
      </c>
      <c r="E391" s="10">
        <f t="shared" si="37"/>
        <v>0.27209429890627423</v>
      </c>
      <c r="F391" s="10">
        <f t="shared" si="38"/>
        <v>1.8508826874324227E-2</v>
      </c>
      <c r="G391" s="10">
        <f t="shared" si="39"/>
        <v>20.842423296220609</v>
      </c>
      <c r="H391" s="10">
        <f t="shared" si="40"/>
        <v>1.4177761385732359</v>
      </c>
    </row>
    <row r="392" spans="1:8">
      <c r="A392" s="3">
        <v>38.400000000000006</v>
      </c>
      <c r="B392" s="10">
        <f t="shared" si="35"/>
        <v>6.6694924244830978E-2</v>
      </c>
      <c r="C392" s="10">
        <f t="shared" si="36"/>
        <v>4.448212920023743E-3</v>
      </c>
      <c r="D392" s="3">
        <f t="shared" si="41"/>
        <v>2</v>
      </c>
      <c r="E392" s="10">
        <f t="shared" si="37"/>
        <v>0.13338984848966196</v>
      </c>
      <c r="F392" s="10">
        <f t="shared" si="38"/>
        <v>8.8964258400474859E-3</v>
      </c>
      <c r="G392" s="10">
        <f t="shared" si="39"/>
        <v>10.244340364006039</v>
      </c>
      <c r="H392" s="10">
        <f t="shared" si="40"/>
        <v>0.68324550451564703</v>
      </c>
    </row>
    <row r="393" spans="1:8">
      <c r="A393" s="3">
        <v>38.500000000000007</v>
      </c>
      <c r="B393" s="10">
        <f t="shared" ref="B393:B456" si="42">$B$5^(($B$4^50)*(($B$4^A393)-1))</f>
        <v>6.5383468991940488E-2</v>
      </c>
      <c r="C393" s="10">
        <f t="shared" ref="C393:C456" si="43">B393^2</f>
        <v>4.2749980174200432E-3</v>
      </c>
      <c r="D393" s="3">
        <f t="shared" si="41"/>
        <v>4</v>
      </c>
      <c r="E393" s="10">
        <f t="shared" ref="E393:E456" si="44">B393*D393</f>
        <v>0.26153387596776195</v>
      </c>
      <c r="F393" s="10">
        <f t="shared" ref="F393:F456" si="45">C393*D393</f>
        <v>1.7099992069680173E-2</v>
      </c>
      <c r="G393" s="10">
        <f t="shared" ref="G393:G456" si="46">2*A393*B393*D393</f>
        <v>20.138108449517674</v>
      </c>
      <c r="H393" s="10">
        <f t="shared" ref="H393:H456" si="47">2*A393*C393*D393</f>
        <v>1.3166993893653736</v>
      </c>
    </row>
    <row r="394" spans="1:8">
      <c r="A394" s="3">
        <v>38.6</v>
      </c>
      <c r="B394" s="10">
        <f t="shared" si="42"/>
        <v>6.4089160349540319E-2</v>
      </c>
      <c r="C394" s="10">
        <f t="shared" si="43"/>
        <v>4.1074204743090908E-3</v>
      </c>
      <c r="D394" s="3">
        <f t="shared" si="41"/>
        <v>2</v>
      </c>
      <c r="E394" s="10">
        <f t="shared" si="44"/>
        <v>0.12817832069908064</v>
      </c>
      <c r="F394" s="10">
        <f t="shared" si="45"/>
        <v>8.2148409486181816E-3</v>
      </c>
      <c r="G394" s="10">
        <f t="shared" si="46"/>
        <v>9.8953663579690261</v>
      </c>
      <c r="H394" s="10">
        <f t="shared" si="47"/>
        <v>0.63418572123332362</v>
      </c>
    </row>
    <row r="395" spans="1:8">
      <c r="A395" s="3">
        <v>38.700000000000003</v>
      </c>
      <c r="B395" s="10">
        <f t="shared" si="42"/>
        <v>6.2811946922600795E-2</v>
      </c>
      <c r="C395" s="10">
        <f t="shared" si="43"/>
        <v>3.9453406762076197E-3</v>
      </c>
      <c r="D395" s="3">
        <f t="shared" ref="D395:D458" si="48">IF(D394=4,2,4)</f>
        <v>4</v>
      </c>
      <c r="E395" s="10">
        <f t="shared" si="44"/>
        <v>0.25124778769040318</v>
      </c>
      <c r="F395" s="10">
        <f t="shared" si="45"/>
        <v>1.5781362704830479E-2</v>
      </c>
      <c r="G395" s="10">
        <f t="shared" si="46"/>
        <v>19.446578767237206</v>
      </c>
      <c r="H395" s="10">
        <f t="shared" si="47"/>
        <v>1.2214774733538791</v>
      </c>
    </row>
    <row r="396" spans="1:8">
      <c r="A396" s="3">
        <v>38.800000000000004</v>
      </c>
      <c r="B396" s="10">
        <f t="shared" si="42"/>
        <v>6.1551774557893943E-2</v>
      </c>
      <c r="C396" s="10">
        <f t="shared" si="43"/>
        <v>3.7886209512258003E-3</v>
      </c>
      <c r="D396" s="3">
        <f t="shared" si="48"/>
        <v>2</v>
      </c>
      <c r="E396" s="10">
        <f t="shared" si="44"/>
        <v>0.12310354911578789</v>
      </c>
      <c r="F396" s="10">
        <f t="shared" si="45"/>
        <v>7.5772419024516006E-3</v>
      </c>
      <c r="G396" s="10">
        <f t="shared" si="46"/>
        <v>9.552835411385141</v>
      </c>
      <c r="H396" s="10">
        <f t="shared" si="47"/>
        <v>0.58799397163024425</v>
      </c>
    </row>
    <row r="397" spans="1:8">
      <c r="A397" s="3">
        <v>38.900000000000006</v>
      </c>
      <c r="B397" s="10">
        <f t="shared" si="42"/>
        <v>6.0308586363630561E-2</v>
      </c>
      <c r="C397" s="10">
        <f t="shared" si="43"/>
        <v>3.6371255891794862E-3</v>
      </c>
      <c r="D397" s="3">
        <f t="shared" si="48"/>
        <v>4</v>
      </c>
      <c r="E397" s="10">
        <f t="shared" si="44"/>
        <v>0.24123434545452224</v>
      </c>
      <c r="F397" s="10">
        <f t="shared" si="45"/>
        <v>1.4548502356717945E-2</v>
      </c>
      <c r="G397" s="10">
        <f t="shared" si="46"/>
        <v>18.768032076361834</v>
      </c>
      <c r="H397" s="10">
        <f t="shared" si="47"/>
        <v>1.1318734833526563</v>
      </c>
    </row>
    <row r="398" spans="1:8">
      <c r="A398" s="3">
        <v>39.000000000000007</v>
      </c>
      <c r="B398" s="10">
        <f t="shared" si="42"/>
        <v>5.9082322730259422E-2</v>
      </c>
      <c r="C398" s="10">
        <f t="shared" si="43"/>
        <v>3.4907208592025291E-3</v>
      </c>
      <c r="D398" s="3">
        <f t="shared" si="48"/>
        <v>2</v>
      </c>
      <c r="E398" s="10">
        <f t="shared" si="44"/>
        <v>0.11816464546051884</v>
      </c>
      <c r="F398" s="10">
        <f t="shared" si="45"/>
        <v>6.9814417184050582E-3</v>
      </c>
      <c r="G398" s="10">
        <f t="shared" si="46"/>
        <v>9.2168423459204707</v>
      </c>
      <c r="H398" s="10">
        <f t="shared" si="47"/>
        <v>0.5445524540355946</v>
      </c>
    </row>
    <row r="399" spans="1:8">
      <c r="A399" s="3">
        <v>39.1</v>
      </c>
      <c r="B399" s="10">
        <f t="shared" si="42"/>
        <v>5.7872921352421849E-2</v>
      </c>
      <c r="C399" s="10">
        <f t="shared" si="43"/>
        <v>3.3492750258636047E-3</v>
      </c>
      <c r="D399" s="3">
        <f t="shared" si="48"/>
        <v>4</v>
      </c>
      <c r="E399" s="10">
        <f t="shared" si="44"/>
        <v>0.2314916854096874</v>
      </c>
      <c r="F399" s="10">
        <f t="shared" si="45"/>
        <v>1.3397100103454419E-2</v>
      </c>
      <c r="G399" s="10">
        <f t="shared" si="46"/>
        <v>18.102649799037554</v>
      </c>
      <c r="H399" s="10">
        <f t="shared" si="47"/>
        <v>1.0476532280901356</v>
      </c>
    </row>
    <row r="400" spans="1:8">
      <c r="A400" s="3">
        <v>39.200000000000003</v>
      </c>
      <c r="B400" s="10">
        <f t="shared" si="42"/>
        <v>5.6680317252057577E-2</v>
      </c>
      <c r="C400" s="10">
        <f t="shared" si="43"/>
        <v>3.2126583637938958E-3</v>
      </c>
      <c r="D400" s="3">
        <f t="shared" si="48"/>
        <v>2</v>
      </c>
      <c r="E400" s="10">
        <f t="shared" si="44"/>
        <v>0.11336063450411515</v>
      </c>
      <c r="F400" s="10">
        <f t="shared" si="45"/>
        <v>6.4253167275877916E-3</v>
      </c>
      <c r="G400" s="10">
        <f t="shared" si="46"/>
        <v>8.8874737451226284</v>
      </c>
      <c r="H400" s="10">
        <f t="shared" si="47"/>
        <v>0.50374483144288285</v>
      </c>
    </row>
    <row r="401" spans="1:8">
      <c r="A401" s="3">
        <v>39.300000000000004</v>
      </c>
      <c r="B401" s="10">
        <f t="shared" si="42"/>
        <v>5.5504442802656949E-2</v>
      </c>
      <c r="C401" s="10">
        <f t="shared" si="43"/>
        <v>3.0807431708334168E-3</v>
      </c>
      <c r="D401" s="3">
        <f t="shared" si="48"/>
        <v>4</v>
      </c>
      <c r="E401" s="10">
        <f t="shared" si="44"/>
        <v>0.2220177712106278</v>
      </c>
      <c r="F401" s="10">
        <f t="shared" si="45"/>
        <v>1.2322972683333667E-2</v>
      </c>
      <c r="G401" s="10">
        <f t="shared" si="46"/>
        <v>17.450596817155347</v>
      </c>
      <c r="H401" s="10">
        <f t="shared" si="47"/>
        <v>0.9685856529100263</v>
      </c>
    </row>
    <row r="402" spans="1:8">
      <c r="A402" s="3">
        <v>39.400000000000006</v>
      </c>
      <c r="B402" s="10">
        <f t="shared" si="42"/>
        <v>5.4345227754649811E-2</v>
      </c>
      <c r="C402" s="10">
        <f t="shared" si="43"/>
        <v>2.9534037797047602E-3</v>
      </c>
      <c r="D402" s="3">
        <f t="shared" si="48"/>
        <v>2</v>
      </c>
      <c r="E402" s="10">
        <f t="shared" si="44"/>
        <v>0.10869045550929962</v>
      </c>
      <c r="F402" s="10">
        <f t="shared" si="45"/>
        <v>5.9068075594095205E-3</v>
      </c>
      <c r="G402" s="10">
        <f t="shared" si="46"/>
        <v>8.5648078941328123</v>
      </c>
      <c r="H402" s="10">
        <f t="shared" si="47"/>
        <v>0.46545643568147027</v>
      </c>
    </row>
    <row r="403" spans="1:8">
      <c r="A403" s="3">
        <v>39.500000000000007</v>
      </c>
      <c r="B403" s="10">
        <f t="shared" si="42"/>
        <v>5.3202599261926976E-2</v>
      </c>
      <c r="C403" s="10">
        <f t="shared" si="43"/>
        <v>2.830516568225193E-3</v>
      </c>
      <c r="D403" s="3">
        <f t="shared" si="48"/>
        <v>4</v>
      </c>
      <c r="E403" s="10">
        <f t="shared" si="44"/>
        <v>0.21281039704770791</v>
      </c>
      <c r="F403" s="10">
        <f t="shared" si="45"/>
        <v>1.1322066272900772E-2</v>
      </c>
      <c r="G403" s="10">
        <f t="shared" si="46"/>
        <v>16.812021366768928</v>
      </c>
      <c r="H403" s="10">
        <f t="shared" si="47"/>
        <v>0.89444323555916116</v>
      </c>
    </row>
    <row r="404" spans="1:8">
      <c r="A404" s="3">
        <v>39.6</v>
      </c>
      <c r="B404" s="10">
        <f t="shared" si="42"/>
        <v>5.2076481909482705E-2</v>
      </c>
      <c r="C404" s="10">
        <f t="shared" si="43"/>
        <v>2.7119599680686794E-3</v>
      </c>
      <c r="D404" s="3">
        <f t="shared" si="48"/>
        <v>2</v>
      </c>
      <c r="E404" s="10">
        <f t="shared" si="44"/>
        <v>0.10415296381896541</v>
      </c>
      <c r="F404" s="10">
        <f t="shared" si="45"/>
        <v>5.4239199361373587E-3</v>
      </c>
      <c r="G404" s="10">
        <f t="shared" si="46"/>
        <v>8.2489147344620601</v>
      </c>
      <c r="H404" s="10">
        <f t="shared" si="47"/>
        <v>0.42957445894207885</v>
      </c>
    </row>
    <row r="405" spans="1:8">
      <c r="A405" s="3">
        <v>39.700000000000003</v>
      </c>
      <c r="B405" s="10">
        <f t="shared" si="42"/>
        <v>5.0966797742170486E-2</v>
      </c>
      <c r="C405" s="10">
        <f t="shared" si="43"/>
        <v>2.5976144720913147E-3</v>
      </c>
      <c r="D405" s="3">
        <f t="shared" si="48"/>
        <v>4</v>
      </c>
      <c r="E405" s="10">
        <f t="shared" si="44"/>
        <v>0.20386719096868194</v>
      </c>
      <c r="F405" s="10">
        <f t="shared" si="45"/>
        <v>1.0390457888365259E-2</v>
      </c>
      <c r="G405" s="10">
        <f t="shared" si="46"/>
        <v>16.187054962913347</v>
      </c>
      <c r="H405" s="10">
        <f t="shared" si="47"/>
        <v>0.82500235633620156</v>
      </c>
    </row>
    <row r="406" spans="1:8">
      <c r="A406" s="3">
        <v>39.800000000000004</v>
      </c>
      <c r="B406" s="10">
        <f t="shared" si="42"/>
        <v>4.9873466294562102E-2</v>
      </c>
      <c r="C406" s="10">
        <f t="shared" si="43"/>
        <v>2.4873626402348221E-3</v>
      </c>
      <c r="D406" s="3">
        <f t="shared" si="48"/>
        <v>2</v>
      </c>
      <c r="E406" s="10">
        <f t="shared" si="44"/>
        <v>9.9746932589124204E-2</v>
      </c>
      <c r="F406" s="10">
        <f t="shared" si="45"/>
        <v>4.9747252804696442E-3</v>
      </c>
      <c r="G406" s="10">
        <f t="shared" si="46"/>
        <v>7.9398558340942875</v>
      </c>
      <c r="H406" s="10">
        <f t="shared" si="47"/>
        <v>0.39598813232538371</v>
      </c>
    </row>
    <row r="407" spans="1:8">
      <c r="A407" s="3">
        <v>39.900000000000006</v>
      </c>
      <c r="B407" s="10">
        <f t="shared" si="42"/>
        <v>4.8796404621897181E-2</v>
      </c>
      <c r="C407" s="10">
        <f t="shared" si="43"/>
        <v>2.3810891040239087E-3</v>
      </c>
      <c r="D407" s="3">
        <f t="shared" si="48"/>
        <v>4</v>
      </c>
      <c r="E407" s="10">
        <f t="shared" si="44"/>
        <v>0.19518561848758872</v>
      </c>
      <c r="F407" s="10">
        <f t="shared" si="45"/>
        <v>9.5243564160956348E-3</v>
      </c>
      <c r="G407" s="10">
        <f t="shared" si="46"/>
        <v>15.575812355309582</v>
      </c>
      <c r="H407" s="10">
        <f t="shared" si="47"/>
        <v>0.76004364200443175</v>
      </c>
    </row>
    <row r="408" spans="1:8">
      <c r="A408" s="3">
        <v>40.000000000000007</v>
      </c>
      <c r="B408" s="10">
        <f t="shared" si="42"/>
        <v>4.7735527332113163E-2</v>
      </c>
      <c r="C408" s="10">
        <f t="shared" si="43"/>
        <v>2.2786805696749231E-3</v>
      </c>
      <c r="D408" s="3">
        <f t="shared" si="48"/>
        <v>2</v>
      </c>
      <c r="E408" s="10">
        <f t="shared" si="44"/>
        <v>9.5471054664226326E-2</v>
      </c>
      <c r="F408" s="10">
        <f t="shared" si="45"/>
        <v>4.5573611393498461E-3</v>
      </c>
      <c r="G408" s="10">
        <f t="shared" si="46"/>
        <v>7.6376843731381072</v>
      </c>
      <c r="H408" s="10">
        <f t="shared" si="47"/>
        <v>0.36458889114798776</v>
      </c>
    </row>
    <row r="409" spans="1:8">
      <c r="A409" s="3">
        <v>40.1</v>
      </c>
      <c r="B409" s="10">
        <f t="shared" si="42"/>
        <v>4.6690746618941521E-2</v>
      </c>
      <c r="C409" s="10">
        <f t="shared" si="43"/>
        <v>2.1800258198341992E-3</v>
      </c>
      <c r="D409" s="3">
        <f t="shared" si="48"/>
        <v>4</v>
      </c>
      <c r="E409" s="10">
        <f t="shared" si="44"/>
        <v>0.18676298647576609</v>
      </c>
      <c r="F409" s="10">
        <f t="shared" si="45"/>
        <v>8.7201032793367966E-3</v>
      </c>
      <c r="G409" s="10">
        <f t="shared" si="46"/>
        <v>14.97839151535644</v>
      </c>
      <c r="H409" s="10">
        <f t="shared" si="47"/>
        <v>0.69935228300281116</v>
      </c>
    </row>
    <row r="410" spans="1:8">
      <c r="A410" s="3">
        <v>40.200000000000003</v>
      </c>
      <c r="B410" s="10">
        <f t="shared" si="42"/>
        <v>4.5661972296056764E-2</v>
      </c>
      <c r="C410" s="10">
        <f t="shared" si="43"/>
        <v>2.0850157139658556E-3</v>
      </c>
      <c r="D410" s="3">
        <f t="shared" si="48"/>
        <v>2</v>
      </c>
      <c r="E410" s="10">
        <f t="shared" si="44"/>
        <v>9.1323944592113529E-2</v>
      </c>
      <c r="F410" s="10">
        <f t="shared" si="45"/>
        <v>4.1700314279317112E-3</v>
      </c>
      <c r="G410" s="10">
        <f t="shared" si="46"/>
        <v>7.3424451452059278</v>
      </c>
      <c r="H410" s="10">
        <f t="shared" si="47"/>
        <v>0.33527052680570962</v>
      </c>
    </row>
    <row r="411" spans="1:8">
      <c r="A411" s="3">
        <v>40.300000000000004</v>
      </c>
      <c r="B411" s="10">
        <f t="shared" si="42"/>
        <v>4.4649111832264908E-2</v>
      </c>
      <c r="C411" s="10">
        <f t="shared" si="43"/>
        <v>1.9935431874100983E-3</v>
      </c>
      <c r="D411" s="3">
        <f t="shared" si="48"/>
        <v>4</v>
      </c>
      <c r="E411" s="10">
        <f t="shared" si="44"/>
        <v>0.17859644732905963</v>
      </c>
      <c r="F411" s="10">
        <f t="shared" si="45"/>
        <v>7.974172749640393E-3</v>
      </c>
      <c r="G411" s="10">
        <f t="shared" si="46"/>
        <v>14.394873654722208</v>
      </c>
      <c r="H411" s="10">
        <f t="shared" si="47"/>
        <v>0.64271832362101577</v>
      </c>
    </row>
    <row r="412" spans="1:8">
      <c r="A412" s="3">
        <v>40.400000000000006</v>
      </c>
      <c r="B412" s="10">
        <f t="shared" si="42"/>
        <v>4.3652070387713258E-2</v>
      </c>
      <c r="C412" s="10">
        <f t="shared" si="43"/>
        <v>1.9055032491338728E-3</v>
      </c>
      <c r="D412" s="3">
        <f t="shared" si="48"/>
        <v>2</v>
      </c>
      <c r="E412" s="10">
        <f t="shared" si="44"/>
        <v>8.7304140775426517E-2</v>
      </c>
      <c r="F412" s="10">
        <f t="shared" si="45"/>
        <v>3.8110064982677457E-3</v>
      </c>
      <c r="G412" s="10">
        <f t="shared" si="46"/>
        <v>7.0541745746544633</v>
      </c>
      <c r="H412" s="10">
        <f t="shared" si="47"/>
        <v>0.3079293250600339</v>
      </c>
    </row>
    <row r="413" spans="1:8">
      <c r="A413" s="3">
        <v>40.500000000000007</v>
      </c>
      <c r="B413" s="10">
        <f t="shared" si="42"/>
        <v>4.2670750851108316E-2</v>
      </c>
      <c r="C413" s="10">
        <f t="shared" si="43"/>
        <v>1.8207929781973611E-3</v>
      </c>
      <c r="D413" s="3">
        <f t="shared" si="48"/>
        <v>4</v>
      </c>
      <c r="E413" s="10">
        <f t="shared" si="44"/>
        <v>0.17068300340443326</v>
      </c>
      <c r="F413" s="10">
        <f t="shared" si="45"/>
        <v>7.2831719127894445E-3</v>
      </c>
      <c r="G413" s="10">
        <f t="shared" si="46"/>
        <v>13.825323275759096</v>
      </c>
      <c r="H413" s="10">
        <f t="shared" si="47"/>
        <v>0.58993692493594507</v>
      </c>
    </row>
    <row r="414" spans="1:8">
      <c r="A414" s="3">
        <v>40.6</v>
      </c>
      <c r="B414" s="10">
        <f t="shared" si="42"/>
        <v>4.1705053877921928E-2</v>
      </c>
      <c r="C414" s="10">
        <f t="shared" si="43"/>
        <v>1.7393115189603709E-3</v>
      </c>
      <c r="D414" s="3">
        <f t="shared" si="48"/>
        <v>2</v>
      </c>
      <c r="E414" s="10">
        <f t="shared" si="44"/>
        <v>8.3410107755843857E-2</v>
      </c>
      <c r="F414" s="10">
        <f t="shared" si="45"/>
        <v>3.4786230379207418E-3</v>
      </c>
      <c r="G414" s="10">
        <f t="shared" si="46"/>
        <v>6.7729007497745215</v>
      </c>
      <c r="H414" s="10">
        <f t="shared" si="47"/>
        <v>0.28246419067916423</v>
      </c>
    </row>
    <row r="415" spans="1:8">
      <c r="A415" s="3">
        <v>40.700000000000003</v>
      </c>
      <c r="B415" s="10">
        <f t="shared" si="42"/>
        <v>4.0754877929569319E-2</v>
      </c>
      <c r="C415" s="10">
        <f t="shared" si="43"/>
        <v>1.6609600750540964E-3</v>
      </c>
      <c r="D415" s="3">
        <f t="shared" si="48"/>
        <v>4</v>
      </c>
      <c r="E415" s="10">
        <f t="shared" si="44"/>
        <v>0.16301951171827728</v>
      </c>
      <c r="F415" s="10">
        <f t="shared" si="45"/>
        <v>6.6438403002163854E-3</v>
      </c>
      <c r="G415" s="10">
        <f t="shared" si="46"/>
        <v>13.269788253867771</v>
      </c>
      <c r="H415" s="10">
        <f t="shared" si="47"/>
        <v>0.54080860043761381</v>
      </c>
    </row>
    <row r="416" spans="1:8">
      <c r="A416" s="3">
        <v>40.800000000000004</v>
      </c>
      <c r="B416" s="10">
        <f t="shared" si="42"/>
        <v>3.9820119313540125E-2</v>
      </c>
      <c r="C416" s="10">
        <f t="shared" si="43"/>
        <v>1.5856419021445713E-3</v>
      </c>
      <c r="D416" s="3">
        <f t="shared" si="48"/>
        <v>2</v>
      </c>
      <c r="E416" s="10">
        <f t="shared" si="44"/>
        <v>7.9640238627080251E-2</v>
      </c>
      <c r="F416" s="10">
        <f t="shared" si="45"/>
        <v>3.1712838042891427E-3</v>
      </c>
      <c r="G416" s="10">
        <f t="shared" si="46"/>
        <v>6.498643471969749</v>
      </c>
      <c r="H416" s="10">
        <f t="shared" si="47"/>
        <v>0.25877675842999409</v>
      </c>
    </row>
    <row r="417" spans="1:8">
      <c r="A417" s="3">
        <v>40.900000000000006</v>
      </c>
      <c r="B417" s="10">
        <f t="shared" si="42"/>
        <v>3.8900672224460982E-2</v>
      </c>
      <c r="C417" s="10">
        <f t="shared" si="43"/>
        <v>1.5132622995149502E-3</v>
      </c>
      <c r="D417" s="3">
        <f t="shared" si="48"/>
        <v>4</v>
      </c>
      <c r="E417" s="10">
        <f t="shared" si="44"/>
        <v>0.15560268889784393</v>
      </c>
      <c r="F417" s="10">
        <f t="shared" si="45"/>
        <v>6.0530491980598008E-3</v>
      </c>
      <c r="G417" s="10">
        <f t="shared" si="46"/>
        <v>12.728299951843635</v>
      </c>
      <c r="H417" s="10">
        <f t="shared" si="47"/>
        <v>0.49513942440129177</v>
      </c>
    </row>
    <row r="418" spans="1:8">
      <c r="A418" s="3">
        <v>41.000000000000007</v>
      </c>
      <c r="B418" s="10">
        <f t="shared" si="42"/>
        <v>3.7996428786071686E-2</v>
      </c>
      <c r="C418" s="10">
        <f t="shared" si="43"/>
        <v>1.443728600495017E-3</v>
      </c>
      <c r="D418" s="3">
        <f t="shared" si="48"/>
        <v>2</v>
      </c>
      <c r="E418" s="10">
        <f t="shared" si="44"/>
        <v>7.5992857572143371E-2</v>
      </c>
      <c r="F418" s="10">
        <f t="shared" si="45"/>
        <v>2.887457200990034E-3</v>
      </c>
      <c r="G418" s="10">
        <f t="shared" si="46"/>
        <v>6.2314143209157571</v>
      </c>
      <c r="H418" s="10">
        <f t="shared" si="47"/>
        <v>0.23677149048118284</v>
      </c>
    </row>
    <row r="419" spans="1:8">
      <c r="A419" s="3">
        <v>41.1</v>
      </c>
      <c r="B419" s="10">
        <f t="shared" si="42"/>
        <v>3.7107279094091006E-2</v>
      </c>
      <c r="C419" s="10">
        <f t="shared" si="43"/>
        <v>1.3769501617667634E-3</v>
      </c>
      <c r="D419" s="3">
        <f t="shared" si="48"/>
        <v>4</v>
      </c>
      <c r="E419" s="10">
        <f t="shared" si="44"/>
        <v>0.14842911637636402</v>
      </c>
      <c r="F419" s="10">
        <f t="shared" si="45"/>
        <v>5.5078006470670538E-3</v>
      </c>
      <c r="G419" s="10">
        <f t="shared" si="46"/>
        <v>12.200873366137124</v>
      </c>
      <c r="H419" s="10">
        <f t="shared" si="47"/>
        <v>0.45274121318891186</v>
      </c>
    </row>
    <row r="420" spans="1:8">
      <c r="A420" s="3">
        <v>41.2</v>
      </c>
      <c r="B420" s="10">
        <f t="shared" si="42"/>
        <v>3.6233111259951933E-2</v>
      </c>
      <c r="C420" s="10">
        <f t="shared" si="43"/>
        <v>1.3128383515760556E-3</v>
      </c>
      <c r="D420" s="3">
        <f t="shared" si="48"/>
        <v>2</v>
      </c>
      <c r="E420" s="10">
        <f t="shared" si="44"/>
        <v>7.2466222519903867E-2</v>
      </c>
      <c r="F420" s="10">
        <f t="shared" si="45"/>
        <v>2.6256767031521112E-3</v>
      </c>
      <c r="G420" s="10">
        <f t="shared" si="46"/>
        <v>5.9712167356400787</v>
      </c>
      <c r="H420" s="10">
        <f t="shared" si="47"/>
        <v>0.21635576033973397</v>
      </c>
    </row>
    <row r="421" spans="1:8">
      <c r="A421" s="3">
        <v>41.300000000000004</v>
      </c>
      <c r="B421" s="10">
        <f t="shared" si="42"/>
        <v>3.537381145538266E-2</v>
      </c>
      <c r="C421" s="10">
        <f t="shared" si="43"/>
        <v>1.2513065368809616E-3</v>
      </c>
      <c r="D421" s="3">
        <f t="shared" si="48"/>
        <v>4</v>
      </c>
      <c r="E421" s="10">
        <f t="shared" si="44"/>
        <v>0.14149524582153064</v>
      </c>
      <c r="F421" s="10">
        <f t="shared" si="45"/>
        <v>5.0052261475238462E-3</v>
      </c>
      <c r="G421" s="10">
        <f t="shared" si="46"/>
        <v>11.687507304858432</v>
      </c>
      <c r="H421" s="10">
        <f t="shared" si="47"/>
        <v>0.41343167978546974</v>
      </c>
    </row>
    <row r="422" spans="1:8">
      <c r="A422" s="3">
        <v>41.400000000000006</v>
      </c>
      <c r="B422" s="10">
        <f t="shared" si="42"/>
        <v>3.4529263957808601E-2</v>
      </c>
      <c r="C422" s="10">
        <f t="shared" si="43"/>
        <v>1.1922700694680201E-3</v>
      </c>
      <c r="D422" s="3">
        <f t="shared" si="48"/>
        <v>2</v>
      </c>
      <c r="E422" s="10">
        <f t="shared" si="44"/>
        <v>6.9058527915617202E-2</v>
      </c>
      <c r="F422" s="10">
        <f t="shared" si="45"/>
        <v>2.3845401389360403E-3</v>
      </c>
      <c r="G422" s="10">
        <f t="shared" si="46"/>
        <v>5.7180461114131047</v>
      </c>
      <c r="H422" s="10">
        <f t="shared" si="47"/>
        <v>0.19743992350390416</v>
      </c>
    </row>
    <row r="423" spans="1:8">
      <c r="A423" s="3">
        <v>41.500000000000007</v>
      </c>
      <c r="B423" s="10">
        <f t="shared" si="42"/>
        <v>3.3699351196552964E-2</v>
      </c>
      <c r="C423" s="10">
        <f t="shared" si="43"/>
        <v>1.1356462710686156E-3</v>
      </c>
      <c r="D423" s="3">
        <f t="shared" si="48"/>
        <v>4</v>
      </c>
      <c r="E423" s="10">
        <f t="shared" si="44"/>
        <v>0.13479740478621186</v>
      </c>
      <c r="F423" s="10">
        <f t="shared" si="45"/>
        <v>4.5425850842744624E-3</v>
      </c>
      <c r="G423" s="10">
        <f t="shared" si="46"/>
        <v>11.188184597255585</v>
      </c>
      <c r="H423" s="10">
        <f t="shared" si="47"/>
        <v>0.37703456199478047</v>
      </c>
    </row>
    <row r="424" spans="1:8">
      <c r="A424" s="3">
        <v>41.6</v>
      </c>
      <c r="B424" s="10">
        <f t="shared" si="42"/>
        <v>3.2883953799808387E-2</v>
      </c>
      <c r="C424" s="10">
        <f t="shared" si="43"/>
        <v>1.0813544175079324E-3</v>
      </c>
      <c r="D424" s="3">
        <f t="shared" si="48"/>
        <v>2</v>
      </c>
      <c r="E424" s="10">
        <f t="shared" si="44"/>
        <v>6.5767907599616773E-2</v>
      </c>
      <c r="F424" s="10">
        <f t="shared" si="45"/>
        <v>2.1627088350158648E-3</v>
      </c>
      <c r="G424" s="10">
        <f t="shared" si="46"/>
        <v>5.4718899122881162</v>
      </c>
      <c r="H424" s="10">
        <f t="shared" si="47"/>
        <v>0.17993737507331994</v>
      </c>
    </row>
    <row r="425" spans="1:8">
      <c r="A425" s="3">
        <v>41.7</v>
      </c>
      <c r="B425" s="10">
        <f t="shared" si="42"/>
        <v>3.2082950642354703E-2</v>
      </c>
      <c r="C425" s="10">
        <f t="shared" si="43"/>
        <v>1.0293157219197682E-3</v>
      </c>
      <c r="D425" s="3">
        <f t="shared" si="48"/>
        <v>4</v>
      </c>
      <c r="E425" s="10">
        <f t="shared" si="44"/>
        <v>0.12833180256941881</v>
      </c>
      <c r="F425" s="10">
        <f t="shared" si="45"/>
        <v>4.1172628876790726E-3</v>
      </c>
      <c r="G425" s="10">
        <f t="shared" si="46"/>
        <v>10.70287233428953</v>
      </c>
      <c r="H425" s="10">
        <f t="shared" si="47"/>
        <v>0.34337972483243467</v>
      </c>
    </row>
    <row r="426" spans="1:8">
      <c r="A426" s="3">
        <v>41.800000000000004</v>
      </c>
      <c r="B426" s="10">
        <f t="shared" si="42"/>
        <v>3.1296218893996912E-2</v>
      </c>
      <c r="C426" s="10">
        <f t="shared" si="43"/>
        <v>9.794533170609692E-4</v>
      </c>
      <c r="D426" s="3">
        <f t="shared" si="48"/>
        <v>2</v>
      </c>
      <c r="E426" s="10">
        <f t="shared" si="44"/>
        <v>6.2592437787993824E-2</v>
      </c>
      <c r="F426" s="10">
        <f t="shared" si="45"/>
        <v>1.9589066341219384E-3</v>
      </c>
      <c r="G426" s="10">
        <f t="shared" si="46"/>
        <v>5.2327277990762839</v>
      </c>
      <c r="H426" s="10">
        <f t="shared" si="47"/>
        <v>0.16376459461259407</v>
      </c>
    </row>
    <row r="427" spans="1:8">
      <c r="A427" s="3">
        <v>41.900000000000006</v>
      </c>
      <c r="B427" s="10">
        <f t="shared" si="42"/>
        <v>3.0523634068693243E-2</v>
      </c>
      <c r="C427" s="10">
        <f t="shared" si="43"/>
        <v>9.3169223675949083E-4</v>
      </c>
      <c r="D427" s="3">
        <f t="shared" si="48"/>
        <v>4</v>
      </c>
      <c r="E427" s="10">
        <f t="shared" si="44"/>
        <v>0.12209453627477297</v>
      </c>
      <c r="F427" s="10">
        <f t="shared" si="45"/>
        <v>3.7267689470379633E-3</v>
      </c>
      <c r="G427" s="10">
        <f t="shared" si="46"/>
        <v>10.231522139825977</v>
      </c>
      <c r="H427" s="10">
        <f t="shared" si="47"/>
        <v>0.31230323776178137</v>
      </c>
    </row>
    <row r="428" spans="1:8">
      <c r="A428" s="3">
        <v>42.000000000000007</v>
      </c>
      <c r="B428" s="10">
        <f t="shared" si="42"/>
        <v>2.9765070074348265E-2</v>
      </c>
      <c r="C428" s="10">
        <f t="shared" si="43"/>
        <v>8.8595939653086258E-4</v>
      </c>
      <c r="D428" s="3">
        <f t="shared" si="48"/>
        <v>2</v>
      </c>
      <c r="E428" s="10">
        <f t="shared" si="44"/>
        <v>5.953014014869653E-2</v>
      </c>
      <c r="F428" s="10">
        <f t="shared" si="45"/>
        <v>1.7719187930617252E-3</v>
      </c>
      <c r="G428" s="10">
        <f t="shared" si="46"/>
        <v>5.0005317724905094</v>
      </c>
      <c r="H428" s="10">
        <f t="shared" si="47"/>
        <v>0.14884117861718493</v>
      </c>
    </row>
    <row r="429" spans="1:8">
      <c r="A429" s="3">
        <v>42.1</v>
      </c>
      <c r="B429" s="10">
        <f t="shared" si="42"/>
        <v>2.9020399263239544E-2</v>
      </c>
      <c r="C429" s="10">
        <f t="shared" si="43"/>
        <v>8.4218357339783424E-4</v>
      </c>
      <c r="D429" s="3">
        <f t="shared" si="48"/>
        <v>4</v>
      </c>
      <c r="E429" s="10">
        <f t="shared" si="44"/>
        <v>0.11608159705295817</v>
      </c>
      <c r="F429" s="10">
        <f t="shared" si="45"/>
        <v>3.368734293591337E-3</v>
      </c>
      <c r="G429" s="10">
        <f t="shared" si="46"/>
        <v>9.7740704718590781</v>
      </c>
      <c r="H429" s="10">
        <f t="shared" si="47"/>
        <v>0.28364742752039057</v>
      </c>
    </row>
    <row r="430" spans="1:8">
      <c r="A430" s="3">
        <v>42.2</v>
      </c>
      <c r="B430" s="10">
        <f t="shared" si="42"/>
        <v>2.8289492483049999E-2</v>
      </c>
      <c r="C430" s="10">
        <f t="shared" si="43"/>
        <v>8.0029538494854236E-4</v>
      </c>
      <c r="D430" s="3">
        <f t="shared" si="48"/>
        <v>2</v>
      </c>
      <c r="E430" s="10">
        <f t="shared" si="44"/>
        <v>5.6578984966099997E-2</v>
      </c>
      <c r="F430" s="10">
        <f t="shared" si="45"/>
        <v>1.6005907698970847E-3</v>
      </c>
      <c r="G430" s="10">
        <f t="shared" si="46"/>
        <v>4.7752663311388401</v>
      </c>
      <c r="H430" s="10">
        <f t="shared" si="47"/>
        <v>0.13508986097931397</v>
      </c>
    </row>
    <row r="431" spans="1:8">
      <c r="A431" s="3">
        <v>42.300000000000004</v>
      </c>
      <c r="B431" s="10">
        <f t="shared" si="42"/>
        <v>2.7572219128475638E-2</v>
      </c>
      <c r="C431" s="10">
        <f t="shared" si="43"/>
        <v>7.6022726766867784E-4</v>
      </c>
      <c r="D431" s="3">
        <f t="shared" si="48"/>
        <v>4</v>
      </c>
      <c r="E431" s="10">
        <f t="shared" si="44"/>
        <v>0.11028887651390255</v>
      </c>
      <c r="F431" s="10">
        <f t="shared" si="45"/>
        <v>3.0409090706747114E-3</v>
      </c>
      <c r="G431" s="10">
        <f t="shared" si="46"/>
        <v>9.3304389530761576</v>
      </c>
      <c r="H431" s="10">
        <f t="shared" si="47"/>
        <v>0.25726090737908058</v>
      </c>
    </row>
    <row r="432" spans="1:8">
      <c r="A432" s="3">
        <v>42.400000000000006</v>
      </c>
      <c r="B432" s="10">
        <f t="shared" si="42"/>
        <v>2.6868447193376551E-2</v>
      </c>
      <c r="C432" s="10">
        <f t="shared" si="43"/>
        <v>7.2191345458326429E-4</v>
      </c>
      <c r="D432" s="3">
        <f t="shared" si="48"/>
        <v>2</v>
      </c>
      <c r="E432" s="10">
        <f t="shared" si="44"/>
        <v>5.3736894386753102E-2</v>
      </c>
      <c r="F432" s="10">
        <f t="shared" si="45"/>
        <v>1.4438269091665286E-3</v>
      </c>
      <c r="G432" s="10">
        <f t="shared" si="46"/>
        <v>4.5568886439966638</v>
      </c>
      <c r="H432" s="10">
        <f t="shared" si="47"/>
        <v>0.12243652189732164</v>
      </c>
    </row>
    <row r="433" spans="1:8">
      <c r="A433" s="3">
        <v>42.500000000000007</v>
      </c>
      <c r="B433" s="10">
        <f t="shared" si="42"/>
        <v>2.6178043323442052E-2</v>
      </c>
      <c r="C433" s="10">
        <f t="shared" si="43"/>
        <v>6.8528995224400907E-4</v>
      </c>
      <c r="D433" s="3">
        <f t="shared" si="48"/>
        <v>4</v>
      </c>
      <c r="E433" s="10">
        <f t="shared" si="44"/>
        <v>0.10471217329376821</v>
      </c>
      <c r="F433" s="10">
        <f t="shared" si="45"/>
        <v>2.7411598089760363E-3</v>
      </c>
      <c r="G433" s="10">
        <f t="shared" si="46"/>
        <v>8.9005347299702997</v>
      </c>
      <c r="H433" s="10">
        <f t="shared" si="47"/>
        <v>0.23299858376296312</v>
      </c>
    </row>
    <row r="434" spans="1:8">
      <c r="A434" s="3">
        <v>42.6</v>
      </c>
      <c r="B434" s="10">
        <f t="shared" si="42"/>
        <v>2.5500872869335903E-2</v>
      </c>
      <c r="C434" s="10">
        <f t="shared" si="43"/>
        <v>6.5029451709803187E-4</v>
      </c>
      <c r="D434" s="3">
        <f t="shared" si="48"/>
        <v>2</v>
      </c>
      <c r="E434" s="10">
        <f t="shared" si="44"/>
        <v>5.1001745738671805E-2</v>
      </c>
      <c r="F434" s="10">
        <f t="shared" si="45"/>
        <v>1.3005890341960637E-3</v>
      </c>
      <c r="G434" s="10">
        <f t="shared" si="46"/>
        <v>4.345348736934838</v>
      </c>
      <c r="H434" s="10">
        <f t="shared" si="47"/>
        <v>0.11081018571350464</v>
      </c>
    </row>
    <row r="435" spans="1:8">
      <c r="A435" s="3">
        <v>42.7</v>
      </c>
      <c r="B435" s="10">
        <f t="shared" si="42"/>
        <v>2.4836799940290612E-2</v>
      </c>
      <c r="C435" s="10">
        <f t="shared" si="43"/>
        <v>6.1686663127401981E-4</v>
      </c>
      <c r="D435" s="3">
        <f t="shared" si="48"/>
        <v>4</v>
      </c>
      <c r="E435" s="10">
        <f t="shared" si="44"/>
        <v>9.934719976116245E-2</v>
      </c>
      <c r="F435" s="10">
        <f t="shared" si="45"/>
        <v>2.4674665250960792E-3</v>
      </c>
      <c r="G435" s="10">
        <f t="shared" si="46"/>
        <v>8.4842508596032733</v>
      </c>
      <c r="H435" s="10">
        <f t="shared" si="47"/>
        <v>0.21072164124320519</v>
      </c>
    </row>
    <row r="436" spans="1:8">
      <c r="A436" s="3">
        <v>42.800000000000004</v>
      </c>
      <c r="B436" s="10">
        <f t="shared" si="42"/>
        <v>2.4185687458117899E-2</v>
      </c>
      <c r="C436" s="10">
        <f t="shared" si="43"/>
        <v>5.8494747782176137E-4</v>
      </c>
      <c r="D436" s="3">
        <f t="shared" si="48"/>
        <v>2</v>
      </c>
      <c r="E436" s="10">
        <f t="shared" si="44"/>
        <v>4.8371374916235797E-2</v>
      </c>
      <c r="F436" s="10">
        <f t="shared" si="45"/>
        <v>1.1698949556435227E-3</v>
      </c>
      <c r="G436" s="10">
        <f t="shared" si="46"/>
        <v>4.140589692829785</v>
      </c>
      <c r="H436" s="10">
        <f t="shared" si="47"/>
        <v>0.10014300820308555</v>
      </c>
    </row>
    <row r="437" spans="1:8">
      <c r="A437" s="3">
        <v>42.900000000000006</v>
      </c>
      <c r="B437" s="10">
        <f t="shared" si="42"/>
        <v>2.3547397211600447E-2</v>
      </c>
      <c r="C437" s="10">
        <f t="shared" si="43"/>
        <v>5.5447991544088854E-4</v>
      </c>
      <c r="D437" s="3">
        <f t="shared" si="48"/>
        <v>4</v>
      </c>
      <c r="E437" s="10">
        <f t="shared" si="44"/>
        <v>9.4189588846401787E-2</v>
      </c>
      <c r="F437" s="10">
        <f t="shared" si="45"/>
        <v>2.2179196617635542E-3</v>
      </c>
      <c r="G437" s="10">
        <f t="shared" si="46"/>
        <v>8.0814667230212738</v>
      </c>
      <c r="H437" s="10">
        <f t="shared" si="47"/>
        <v>0.19029750697931297</v>
      </c>
    </row>
    <row r="438" spans="1:8">
      <c r="A438" s="3">
        <v>43.000000000000007</v>
      </c>
      <c r="B438" s="10">
        <f t="shared" si="42"/>
        <v>2.2921789911233139E-2</v>
      </c>
      <c r="C438" s="10">
        <f t="shared" si="43"/>
        <v>5.2540845273470931E-4</v>
      </c>
      <c r="D438" s="3">
        <f t="shared" si="48"/>
        <v>2</v>
      </c>
      <c r="E438" s="10">
        <f t="shared" si="44"/>
        <v>4.5843579822466278E-2</v>
      </c>
      <c r="F438" s="10">
        <f t="shared" si="45"/>
        <v>1.0508169054694186E-3</v>
      </c>
      <c r="G438" s="10">
        <f t="shared" si="46"/>
        <v>3.9425478647321004</v>
      </c>
      <c r="H438" s="10">
        <f t="shared" si="47"/>
        <v>9.037025387037001E-2</v>
      </c>
    </row>
    <row r="439" spans="1:8">
      <c r="A439" s="3">
        <v>43.1</v>
      </c>
      <c r="B439" s="10">
        <f t="shared" si="42"/>
        <v>2.2308725244277849E-2</v>
      </c>
      <c r="C439" s="10">
        <f t="shared" si="43"/>
        <v>4.9767922202467979E-4</v>
      </c>
      <c r="D439" s="3">
        <f t="shared" si="48"/>
        <v>4</v>
      </c>
      <c r="E439" s="10">
        <f t="shared" si="44"/>
        <v>8.9234900977111398E-2</v>
      </c>
      <c r="F439" s="10">
        <f t="shared" si="45"/>
        <v>1.9907168880987191E-3</v>
      </c>
      <c r="G439" s="10">
        <f t="shared" si="46"/>
        <v>7.6920484642270024</v>
      </c>
      <c r="H439" s="10">
        <f t="shared" si="47"/>
        <v>0.17159979575410961</v>
      </c>
    </row>
    <row r="440" spans="1:8">
      <c r="A440" s="3">
        <v>43.2</v>
      </c>
      <c r="B440" s="10">
        <f t="shared" si="42"/>
        <v>2.1708061930097725E-2</v>
      </c>
      <c r="C440" s="10">
        <f t="shared" si="43"/>
        <v>4.7123995276095816E-4</v>
      </c>
      <c r="D440" s="3">
        <f t="shared" si="48"/>
        <v>2</v>
      </c>
      <c r="E440" s="10">
        <f t="shared" si="44"/>
        <v>4.3416123860195451E-2</v>
      </c>
      <c r="F440" s="10">
        <f t="shared" si="45"/>
        <v>9.4247990552191632E-4</v>
      </c>
      <c r="G440" s="10">
        <f t="shared" si="46"/>
        <v>3.7511531015208872</v>
      </c>
      <c r="H440" s="10">
        <f t="shared" si="47"/>
        <v>8.1430263837093578E-2</v>
      </c>
    </row>
    <row r="441" spans="1:8">
      <c r="A441" s="3">
        <v>43.300000000000004</v>
      </c>
      <c r="B441" s="10">
        <f t="shared" si="42"/>
        <v>2.111965777573669E-2</v>
      </c>
      <c r="C441" s="10">
        <f t="shared" si="43"/>
        <v>4.4603994456423522E-4</v>
      </c>
      <c r="D441" s="3">
        <f t="shared" si="48"/>
        <v>4</v>
      </c>
      <c r="E441" s="10">
        <f t="shared" si="44"/>
        <v>8.4478631102946761E-2</v>
      </c>
      <c r="F441" s="10">
        <f t="shared" si="45"/>
        <v>1.7841597782569409E-3</v>
      </c>
      <c r="G441" s="10">
        <f t="shared" si="46"/>
        <v>7.3158494535151899</v>
      </c>
      <c r="H441" s="10">
        <f t="shared" si="47"/>
        <v>0.15450823679705109</v>
      </c>
    </row>
    <row r="442" spans="1:8">
      <c r="A442" s="3">
        <v>43.400000000000006</v>
      </c>
      <c r="B442" s="10">
        <f t="shared" si="42"/>
        <v>2.054336973170702E-2</v>
      </c>
      <c r="C442" s="10">
        <f t="shared" si="43"/>
        <v>4.2203003993361614E-4</v>
      </c>
      <c r="D442" s="3">
        <f t="shared" si="48"/>
        <v>2</v>
      </c>
      <c r="E442" s="10">
        <f t="shared" si="44"/>
        <v>4.108673946341404E-2</v>
      </c>
      <c r="F442" s="10">
        <f t="shared" si="45"/>
        <v>8.4406007986723229E-4</v>
      </c>
      <c r="G442" s="10">
        <f t="shared" si="46"/>
        <v>3.566328985424339</v>
      </c>
      <c r="H442" s="10">
        <f t="shared" si="47"/>
        <v>7.3264414932475777E-2</v>
      </c>
    </row>
    <row r="443" spans="1:8">
      <c r="A443" s="3">
        <v>43.500000000000007</v>
      </c>
      <c r="B443" s="10">
        <f t="shared" si="42"/>
        <v>1.9979053947951176E-2</v>
      </c>
      <c r="C443" s="10">
        <f t="shared" si="43"/>
        <v>3.9916259665514348E-4</v>
      </c>
      <c r="D443" s="3">
        <f t="shared" si="48"/>
        <v>4</v>
      </c>
      <c r="E443" s="10">
        <f t="shared" si="44"/>
        <v>7.9916215791804704E-2</v>
      </c>
      <c r="F443" s="10">
        <f t="shared" si="45"/>
        <v>1.5966503866205739E-3</v>
      </c>
      <c r="G443" s="10">
        <f t="shared" si="46"/>
        <v>6.9527107738870102</v>
      </c>
      <c r="H443" s="10">
        <f t="shared" si="47"/>
        <v>0.13890858363598996</v>
      </c>
    </row>
    <row r="444" spans="1:8">
      <c r="A444" s="3">
        <v>43.6</v>
      </c>
      <c r="B444" s="10">
        <f t="shared" si="42"/>
        <v>1.9426565829940748E-2</v>
      </c>
      <c r="C444" s="10">
        <f t="shared" si="43"/>
        <v>3.7739145994502145E-4</v>
      </c>
      <c r="D444" s="3">
        <f t="shared" si="48"/>
        <v>2</v>
      </c>
      <c r="E444" s="10">
        <f t="shared" si="44"/>
        <v>3.8853131659881496E-2</v>
      </c>
      <c r="F444" s="10">
        <f t="shared" si="45"/>
        <v>7.5478291989004289E-4</v>
      </c>
      <c r="G444" s="10">
        <f t="shared" si="46"/>
        <v>3.3879930807416665</v>
      </c>
      <c r="H444" s="10">
        <f t="shared" si="47"/>
        <v>6.5817070614411749E-2</v>
      </c>
    </row>
    <row r="445" spans="1:8">
      <c r="A445" s="3">
        <v>43.7</v>
      </c>
      <c r="B445" s="10">
        <f t="shared" si="42"/>
        <v>1.8885760094876827E-2</v>
      </c>
      <c r="C445" s="10">
        <f t="shared" si="43"/>
        <v>3.5667193436124194E-4</v>
      </c>
      <c r="D445" s="3">
        <f t="shared" si="48"/>
        <v>4</v>
      </c>
      <c r="E445" s="10">
        <f t="shared" si="44"/>
        <v>7.5543040379507306E-2</v>
      </c>
      <c r="F445" s="10">
        <f t="shared" si="45"/>
        <v>1.4266877374449678E-3</v>
      </c>
      <c r="G445" s="10">
        <f t="shared" si="46"/>
        <v>6.6024617291689394</v>
      </c>
      <c r="H445" s="10">
        <f t="shared" si="47"/>
        <v>0.1246925082526902</v>
      </c>
    </row>
    <row r="446" spans="1:8">
      <c r="A446" s="3">
        <v>43.800000000000004</v>
      </c>
      <c r="B446" s="10">
        <f t="shared" si="42"/>
        <v>1.8356490827955773E-2</v>
      </c>
      <c r="C446" s="10">
        <f t="shared" si="43"/>
        <v>3.3696075551682442E-4</v>
      </c>
      <c r="D446" s="3">
        <f t="shared" si="48"/>
        <v>2</v>
      </c>
      <c r="E446" s="10">
        <f t="shared" si="44"/>
        <v>3.6712981655911546E-2</v>
      </c>
      <c r="F446" s="10">
        <f t="shared" si="45"/>
        <v>6.7392151103364884E-4</v>
      </c>
      <c r="G446" s="10">
        <f t="shared" si="46"/>
        <v>3.2160571930578516</v>
      </c>
      <c r="H446" s="10">
        <f t="shared" si="47"/>
        <v>5.9035524366547645E-2</v>
      </c>
    </row>
    <row r="447" spans="1:8">
      <c r="A447" s="3">
        <v>43.900000000000006</v>
      </c>
      <c r="B447" s="10">
        <f t="shared" si="42"/>
        <v>1.7838611538662931E-2</v>
      </c>
      <c r="C447" s="10">
        <f t="shared" si="43"/>
        <v>3.1821606162731828E-4</v>
      </c>
      <c r="D447" s="3">
        <f t="shared" si="48"/>
        <v>4</v>
      </c>
      <c r="E447" s="10">
        <f t="shared" si="44"/>
        <v>7.1354446154651724E-2</v>
      </c>
      <c r="F447" s="10">
        <f t="shared" si="45"/>
        <v>1.2728642465092731E-3</v>
      </c>
      <c r="G447" s="10">
        <f t="shared" si="46"/>
        <v>6.2649203723784224</v>
      </c>
      <c r="H447" s="10">
        <f t="shared" si="47"/>
        <v>0.1117574808435142</v>
      </c>
    </row>
    <row r="448" spans="1:8">
      <c r="A448" s="3">
        <v>44.000000000000007</v>
      </c>
      <c r="B448" s="10">
        <f t="shared" si="42"/>
        <v>1.7331975217058693E-2</v>
      </c>
      <c r="C448" s="10">
        <f t="shared" si="43"/>
        <v>3.0039736492473674E-4</v>
      </c>
      <c r="D448" s="3">
        <f t="shared" si="48"/>
        <v>2</v>
      </c>
      <c r="E448" s="10">
        <f t="shared" si="44"/>
        <v>3.4663950434117387E-2</v>
      </c>
      <c r="F448" s="10">
        <f t="shared" si="45"/>
        <v>6.0079472984947348E-4</v>
      </c>
      <c r="G448" s="10">
        <f t="shared" si="46"/>
        <v>3.0504276382023305</v>
      </c>
      <c r="H448" s="10">
        <f t="shared" si="47"/>
        <v>5.2869936226753678E-2</v>
      </c>
    </row>
    <row r="449" spans="1:8">
      <c r="A449" s="3">
        <v>44.1</v>
      </c>
      <c r="B449" s="10">
        <f t="shared" si="42"/>
        <v>1.68364343900194E-2</v>
      </c>
      <c r="C449" s="10">
        <f t="shared" si="43"/>
        <v>2.8346552296942791E-4</v>
      </c>
      <c r="D449" s="3">
        <f t="shared" si="48"/>
        <v>4</v>
      </c>
      <c r="E449" s="10">
        <f t="shared" si="44"/>
        <v>6.7345737560077598E-2</v>
      </c>
      <c r="F449" s="10">
        <f t="shared" si="45"/>
        <v>1.1338620918777116E-3</v>
      </c>
      <c r="G449" s="10">
        <f t="shared" si="46"/>
        <v>5.9398940527988442</v>
      </c>
      <c r="H449" s="10">
        <f t="shared" si="47"/>
        <v>0.10000663650361417</v>
      </c>
    </row>
    <row r="450" spans="1:8">
      <c r="A450" s="3">
        <v>44.2</v>
      </c>
      <c r="B450" s="10">
        <f t="shared" si="42"/>
        <v>1.6351841177396728E-2</v>
      </c>
      <c r="C450" s="10">
        <f t="shared" si="43"/>
        <v>2.673827098908072E-4</v>
      </c>
      <c r="D450" s="3">
        <f t="shared" si="48"/>
        <v>2</v>
      </c>
      <c r="E450" s="10">
        <f t="shared" si="44"/>
        <v>3.2703682354793456E-2</v>
      </c>
      <c r="F450" s="10">
        <f t="shared" si="45"/>
        <v>5.347654197816144E-4</v>
      </c>
      <c r="G450" s="10">
        <f t="shared" si="46"/>
        <v>2.8910055201637417</v>
      </c>
      <c r="H450" s="10">
        <f t="shared" si="47"/>
        <v>4.7273263108694716E-2</v>
      </c>
    </row>
    <row r="451" spans="1:8">
      <c r="A451" s="3">
        <v>44.300000000000004</v>
      </c>
      <c r="B451" s="10">
        <f t="shared" si="42"/>
        <v>1.5878047348058932E-2</v>
      </c>
      <c r="C451" s="10">
        <f t="shared" si="43"/>
        <v>2.5211238758720129E-4</v>
      </c>
      <c r="D451" s="3">
        <f t="shared" si="48"/>
        <v>4</v>
      </c>
      <c r="E451" s="10">
        <f t="shared" si="44"/>
        <v>6.3512189392235727E-2</v>
      </c>
      <c r="F451" s="10">
        <f t="shared" si="45"/>
        <v>1.0084495503488052E-3</v>
      </c>
      <c r="G451" s="10">
        <f t="shared" si="46"/>
        <v>5.6271799801520856</v>
      </c>
      <c r="H451" s="10">
        <f t="shared" si="47"/>
        <v>8.9348630160904149E-2</v>
      </c>
    </row>
    <row r="452" spans="1:8">
      <c r="A452" s="3">
        <v>44.400000000000006</v>
      </c>
      <c r="B452" s="10">
        <f t="shared" si="42"/>
        <v>1.5414904375776322E-2</v>
      </c>
      <c r="C452" s="10">
        <f t="shared" si="43"/>
        <v>2.3761927691432798E-4</v>
      </c>
      <c r="D452" s="3">
        <f t="shared" si="48"/>
        <v>2</v>
      </c>
      <c r="E452" s="10">
        <f t="shared" si="44"/>
        <v>3.0829808751552643E-2</v>
      </c>
      <c r="F452" s="10">
        <f t="shared" si="45"/>
        <v>4.7523855382865596E-4</v>
      </c>
      <c r="G452" s="10">
        <f t="shared" si="46"/>
        <v>2.7376870171378749</v>
      </c>
      <c r="H452" s="10">
        <f t="shared" si="47"/>
        <v>4.2201183579984654E-2</v>
      </c>
    </row>
    <row r="453" spans="1:8">
      <c r="A453" s="3">
        <v>44.500000000000007</v>
      </c>
      <c r="B453" s="10">
        <f t="shared" si="42"/>
        <v>1.4962263494915333E-2</v>
      </c>
      <c r="C453" s="10">
        <f t="shared" si="43"/>
        <v>2.23869328891276E-4</v>
      </c>
      <c r="D453" s="3">
        <f t="shared" si="48"/>
        <v>4</v>
      </c>
      <c r="E453" s="10">
        <f t="shared" si="44"/>
        <v>5.9849053979661331E-2</v>
      </c>
      <c r="F453" s="10">
        <f t="shared" si="45"/>
        <v>8.9547731556510399E-4</v>
      </c>
      <c r="G453" s="10">
        <f t="shared" si="46"/>
        <v>5.3265658041898591</v>
      </c>
      <c r="H453" s="10">
        <f t="shared" si="47"/>
        <v>7.9697481085294272E-2</v>
      </c>
    </row>
    <row r="454" spans="1:8">
      <c r="A454" s="3">
        <v>44.6</v>
      </c>
      <c r="B454" s="10">
        <f t="shared" si="42"/>
        <v>1.4519975755903866E-2</v>
      </c>
      <c r="C454" s="10">
        <f t="shared" si="43"/>
        <v>2.1082969595203607E-4</v>
      </c>
      <c r="D454" s="3">
        <f t="shared" si="48"/>
        <v>2</v>
      </c>
      <c r="E454" s="10">
        <f t="shared" si="44"/>
        <v>2.9039951511807733E-2</v>
      </c>
      <c r="F454" s="10">
        <f t="shared" si="45"/>
        <v>4.2165939190407214E-4</v>
      </c>
      <c r="G454" s="10">
        <f t="shared" si="46"/>
        <v>2.5903636748532497</v>
      </c>
      <c r="H454" s="10">
        <f t="shared" si="47"/>
        <v>3.7612017757843237E-2</v>
      </c>
    </row>
    <row r="455" spans="1:8">
      <c r="A455" s="3">
        <v>44.7</v>
      </c>
      <c r="B455" s="10">
        <f t="shared" si="42"/>
        <v>1.4087892080431409E-2</v>
      </c>
      <c r="C455" s="10">
        <f t="shared" si="43"/>
        <v>1.9846870326988201E-4</v>
      </c>
      <c r="D455" s="3">
        <f t="shared" si="48"/>
        <v>4</v>
      </c>
      <c r="E455" s="10">
        <f t="shared" si="44"/>
        <v>5.6351568321725637E-2</v>
      </c>
      <c r="F455" s="10">
        <f t="shared" si="45"/>
        <v>7.9387481307952805E-4</v>
      </c>
      <c r="G455" s="10">
        <f t="shared" si="46"/>
        <v>5.0378302079622719</v>
      </c>
      <c r="H455" s="10">
        <f t="shared" si="47"/>
        <v>7.0972408289309813E-2</v>
      </c>
    </row>
    <row r="456" spans="1:8">
      <c r="A456" s="3">
        <v>44.800000000000004</v>
      </c>
      <c r="B456" s="10">
        <f t="shared" si="42"/>
        <v>1.3665863316348422E-2</v>
      </c>
      <c r="C456" s="10">
        <f t="shared" si="43"/>
        <v>1.8675582018111748E-4</v>
      </c>
      <c r="D456" s="3">
        <f t="shared" si="48"/>
        <v>2</v>
      </c>
      <c r="E456" s="10">
        <f t="shared" si="44"/>
        <v>2.7331726632696843E-2</v>
      </c>
      <c r="F456" s="10">
        <f t="shared" si="45"/>
        <v>3.7351164036223495E-4</v>
      </c>
      <c r="G456" s="10">
        <f t="shared" si="46"/>
        <v>2.4489227062896375</v>
      </c>
      <c r="H456" s="10">
        <f t="shared" si="47"/>
        <v>3.3466642976456254E-2</v>
      </c>
    </row>
    <row r="457" spans="1:8">
      <c r="A457" s="3">
        <v>44.900000000000006</v>
      </c>
      <c r="B457" s="10">
        <f t="shared" ref="B457:B520" si="49">$B$5^(($B$4^50)*(($B$4^A457)-1))</f>
        <v>1.3253740292227638E-2</v>
      </c>
      <c r="C457" s="10">
        <f t="shared" ref="C457:C520" si="50">B457^2</f>
        <v>1.7566163173381836E-4</v>
      </c>
      <c r="D457" s="3">
        <f t="shared" si="48"/>
        <v>4</v>
      </c>
      <c r="E457" s="10">
        <f t="shared" ref="E457:E520" si="51">B457*D457</f>
        <v>5.3014961168910552E-2</v>
      </c>
      <c r="F457" s="10">
        <f t="shared" ref="F457:F520" si="52">C457*D457</f>
        <v>7.0264652693527343E-4</v>
      </c>
      <c r="G457" s="10">
        <f t="shared" ref="G457:G520" si="53">2*A457*B457*D457</f>
        <v>4.7607435129681681</v>
      </c>
      <c r="H457" s="10">
        <f t="shared" ref="H457:H520" si="54">2*A457*C457*D457</f>
        <v>6.3097658118787564E-2</v>
      </c>
    </row>
    <row r="458" spans="1:8">
      <c r="A458" s="3">
        <v>45.000000000000007</v>
      </c>
      <c r="B458" s="10">
        <f t="shared" si="49"/>
        <v>1.2851373871552593E-2</v>
      </c>
      <c r="C458" s="10">
        <f t="shared" si="50"/>
        <v>1.6515781038642469E-4</v>
      </c>
      <c r="D458" s="3">
        <f t="shared" si="48"/>
        <v>2</v>
      </c>
      <c r="E458" s="10">
        <f t="shared" si="51"/>
        <v>2.5702747743105187E-2</v>
      </c>
      <c r="F458" s="10">
        <f t="shared" si="52"/>
        <v>3.3031562077284938E-4</v>
      </c>
      <c r="G458" s="10">
        <f t="shared" si="53"/>
        <v>2.3132472968794673</v>
      </c>
      <c r="H458" s="10">
        <f t="shared" si="54"/>
        <v>2.9728405869556451E-2</v>
      </c>
    </row>
    <row r="459" spans="1:8">
      <c r="A459" s="3">
        <v>45.1</v>
      </c>
      <c r="B459" s="10">
        <f t="shared" si="49"/>
        <v>1.245861500649699E-2</v>
      </c>
      <c r="C459" s="10">
        <f t="shared" si="50"/>
        <v>1.5521708788011199E-4</v>
      </c>
      <c r="D459" s="3">
        <f t="shared" ref="D459:D522" si="55">IF(D458=4,2,4)</f>
        <v>4</v>
      </c>
      <c r="E459" s="10">
        <f t="shared" si="51"/>
        <v>4.9834460025987959E-2</v>
      </c>
      <c r="F459" s="10">
        <f t="shared" si="52"/>
        <v>6.2086835152044796E-4</v>
      </c>
      <c r="G459" s="10">
        <f t="shared" si="53"/>
        <v>4.4950682943441143</v>
      </c>
      <c r="H459" s="10">
        <f t="shared" si="54"/>
        <v>5.6002325307144406E-2</v>
      </c>
    </row>
    <row r="460" spans="1:8">
      <c r="A460" s="3">
        <v>45.2</v>
      </c>
      <c r="B460" s="10">
        <f t="shared" si="49"/>
        <v>1.2075314791260151E-2</v>
      </c>
      <c r="C460" s="10">
        <f t="shared" si="50"/>
        <v>1.458132273080262E-4</v>
      </c>
      <c r="D460" s="3">
        <f t="shared" si="55"/>
        <v>2</v>
      </c>
      <c r="E460" s="10">
        <f t="shared" si="51"/>
        <v>2.4150629582520303E-2</v>
      </c>
      <c r="F460" s="10">
        <f t="shared" si="52"/>
        <v>2.9162645461605239E-4</v>
      </c>
      <c r="G460" s="10">
        <f t="shared" si="53"/>
        <v>2.1832169142598357</v>
      </c>
      <c r="H460" s="10">
        <f t="shared" si="54"/>
        <v>2.6363031497291137E-2</v>
      </c>
    </row>
    <row r="461" spans="1:8">
      <c r="A461" s="3">
        <v>45.300000000000004</v>
      </c>
      <c r="B461" s="10">
        <f t="shared" si="49"/>
        <v>1.1701324514923799E-2</v>
      </c>
      <c r="C461" s="10">
        <f t="shared" si="50"/>
        <v>1.3692099540355668E-4</v>
      </c>
      <c r="D461" s="3">
        <f t="shared" si="55"/>
        <v>4</v>
      </c>
      <c r="E461" s="10">
        <f t="shared" si="51"/>
        <v>4.6805298059695195E-2</v>
      </c>
      <c r="F461" s="10">
        <f t="shared" si="52"/>
        <v>5.4768398161422673E-4</v>
      </c>
      <c r="G461" s="10">
        <f t="shared" si="53"/>
        <v>4.2405600042083851</v>
      </c>
      <c r="H461" s="10">
        <f t="shared" si="54"/>
        <v>4.9620168734248946E-2</v>
      </c>
    </row>
    <row r="462" spans="1:8">
      <c r="A462" s="3">
        <v>45.400000000000006</v>
      </c>
      <c r="B462" s="10">
        <f t="shared" si="49"/>
        <v>1.133649571379497E-2</v>
      </c>
      <c r="C462" s="10">
        <f t="shared" si="50"/>
        <v>1.2851613506889171E-4</v>
      </c>
      <c r="D462" s="3">
        <f t="shared" si="55"/>
        <v>2</v>
      </c>
      <c r="E462" s="10">
        <f t="shared" si="51"/>
        <v>2.2672991427589939E-2</v>
      </c>
      <c r="F462" s="10">
        <f t="shared" si="52"/>
        <v>2.5703227013778343E-4</v>
      </c>
      <c r="G462" s="10">
        <f t="shared" si="53"/>
        <v>2.0587076216251665</v>
      </c>
      <c r="H462" s="10">
        <f t="shared" si="54"/>
        <v>2.3338530128510736E-2</v>
      </c>
    </row>
    <row r="463" spans="1:8">
      <c r="A463" s="3">
        <v>45.500000000000007</v>
      </c>
      <c r="B463" s="10">
        <f t="shared" si="49"/>
        <v>1.0980680223201979E-2</v>
      </c>
      <c r="C463" s="10">
        <f t="shared" si="50"/>
        <v>1.2057533816421907E-4</v>
      </c>
      <c r="D463" s="3">
        <f t="shared" si="55"/>
        <v>4</v>
      </c>
      <c r="E463" s="10">
        <f t="shared" si="51"/>
        <v>4.3922720892807916E-2</v>
      </c>
      <c r="F463" s="10">
        <f t="shared" si="52"/>
        <v>4.8230135265687628E-4</v>
      </c>
      <c r="G463" s="10">
        <f t="shared" si="53"/>
        <v>3.9969676012455211</v>
      </c>
      <c r="H463" s="10">
        <f t="shared" si="54"/>
        <v>4.3889423091775751E-2</v>
      </c>
    </row>
    <row r="464" spans="1:8">
      <c r="A464" s="3">
        <v>45.6</v>
      </c>
      <c r="B464" s="10">
        <f t="shared" si="49"/>
        <v>1.0633730228709195E-2</v>
      </c>
      <c r="C464" s="10">
        <f t="shared" si="50"/>
        <v>1.1307621857696371E-4</v>
      </c>
      <c r="D464" s="3">
        <f t="shared" si="55"/>
        <v>2</v>
      </c>
      <c r="E464" s="10">
        <f t="shared" si="51"/>
        <v>2.126746045741839E-2</v>
      </c>
      <c r="F464" s="10">
        <f t="shared" si="52"/>
        <v>2.2615243715392742E-4</v>
      </c>
      <c r="G464" s="10">
        <f t="shared" si="53"/>
        <v>1.9395923937165571</v>
      </c>
      <c r="H464" s="10">
        <f t="shared" si="54"/>
        <v>2.0625102268438181E-2</v>
      </c>
    </row>
    <row r="465" spans="1:8">
      <c r="A465" s="3">
        <v>45.7</v>
      </c>
      <c r="B465" s="10">
        <f t="shared" si="49"/>
        <v>1.0295498316717951E-2</v>
      </c>
      <c r="C465" s="10">
        <f t="shared" si="50"/>
        <v>1.0599728558954215E-4</v>
      </c>
      <c r="D465" s="3">
        <f t="shared" si="55"/>
        <v>4</v>
      </c>
      <c r="E465" s="10">
        <f t="shared" si="51"/>
        <v>4.1181993266871803E-2</v>
      </c>
      <c r="F465" s="10">
        <f t="shared" si="52"/>
        <v>4.239891423581686E-4</v>
      </c>
      <c r="G465" s="10">
        <f t="shared" si="53"/>
        <v>3.7640341845920831</v>
      </c>
      <c r="H465" s="10">
        <f t="shared" si="54"/>
        <v>3.8752607611536614E-2</v>
      </c>
    </row>
    <row r="466" spans="1:8">
      <c r="A466" s="3">
        <v>45.800000000000004</v>
      </c>
      <c r="B466" s="10">
        <f t="shared" si="49"/>
        <v>9.9658375244213553E-3</v>
      </c>
      <c r="C466" s="10">
        <f t="shared" si="50"/>
        <v>9.9317917563164769E-5</v>
      </c>
      <c r="D466" s="3">
        <f t="shared" si="55"/>
        <v>2</v>
      </c>
      <c r="E466" s="10">
        <f t="shared" si="51"/>
        <v>1.9931675048842711E-2</v>
      </c>
      <c r="F466" s="10">
        <f t="shared" si="52"/>
        <v>1.9863583512632954E-4</v>
      </c>
      <c r="G466" s="10">
        <f t="shared" si="53"/>
        <v>1.8257414344739924</v>
      </c>
      <c r="H466" s="10">
        <f t="shared" si="54"/>
        <v>1.8195042497571787E-2</v>
      </c>
    </row>
    <row r="467" spans="1:8">
      <c r="A467" s="3">
        <v>45.900000000000006</v>
      </c>
      <c r="B467" s="10">
        <f t="shared" si="49"/>
        <v>9.6446013890802446E-3</v>
      </c>
      <c r="C467" s="10">
        <f t="shared" si="50"/>
        <v>9.3018335954248588E-5</v>
      </c>
      <c r="D467" s="3">
        <f t="shared" si="55"/>
        <v>4</v>
      </c>
      <c r="E467" s="10">
        <f t="shared" si="51"/>
        <v>3.8578405556320979E-2</v>
      </c>
      <c r="F467" s="10">
        <f t="shared" si="52"/>
        <v>3.7207334381699435E-4</v>
      </c>
      <c r="G467" s="10">
        <f t="shared" si="53"/>
        <v>3.5414976300702663</v>
      </c>
      <c r="H467" s="10">
        <f t="shared" si="54"/>
        <v>3.4156332962400088E-2</v>
      </c>
    </row>
    <row r="468" spans="1:8">
      <c r="A468" s="3">
        <v>46.000000000000007</v>
      </c>
      <c r="B468" s="10">
        <f t="shared" si="49"/>
        <v>9.3316439965902657E-3</v>
      </c>
      <c r="C468" s="10">
        <f t="shared" si="50"/>
        <v>8.7079579679099153E-5</v>
      </c>
      <c r="D468" s="3">
        <f t="shared" si="55"/>
        <v>2</v>
      </c>
      <c r="E468" s="10">
        <f t="shared" si="51"/>
        <v>1.8663287993180531E-2</v>
      </c>
      <c r="F468" s="10">
        <f t="shared" si="52"/>
        <v>1.7415915935819831E-4</v>
      </c>
      <c r="G468" s="10">
        <f t="shared" si="53"/>
        <v>1.7170224953726092</v>
      </c>
      <c r="H468" s="10">
        <f t="shared" si="54"/>
        <v>1.6022642660954246E-2</v>
      </c>
    </row>
    <row r="469" spans="1:8">
      <c r="A469" s="3">
        <v>46.1</v>
      </c>
      <c r="B469" s="10">
        <f t="shared" si="49"/>
        <v>9.0268200293084563E-3</v>
      </c>
      <c r="C469" s="10">
        <f t="shared" si="50"/>
        <v>8.1483479841524322E-5</v>
      </c>
      <c r="D469" s="3">
        <f t="shared" si="55"/>
        <v>4</v>
      </c>
      <c r="E469" s="10">
        <f t="shared" si="51"/>
        <v>3.6107280117233825E-2</v>
      </c>
      <c r="F469" s="10">
        <f t="shared" si="52"/>
        <v>3.2593391936609729E-4</v>
      </c>
      <c r="G469" s="10">
        <f t="shared" si="53"/>
        <v>3.3290912268089587</v>
      </c>
      <c r="H469" s="10">
        <f t="shared" si="54"/>
        <v>3.0051107365554171E-2</v>
      </c>
    </row>
    <row r="470" spans="1:8">
      <c r="A470" s="3">
        <v>46.2</v>
      </c>
      <c r="B470" s="10">
        <f t="shared" si="49"/>
        <v>8.7299848131100494E-3</v>
      </c>
      <c r="C470" s="10">
        <f t="shared" si="50"/>
        <v>7.6212634837132104E-5</v>
      </c>
      <c r="D470" s="3">
        <f t="shared" si="55"/>
        <v>2</v>
      </c>
      <c r="E470" s="10">
        <f t="shared" si="51"/>
        <v>1.7459969626220099E-2</v>
      </c>
      <c r="F470" s="10">
        <f t="shared" si="52"/>
        <v>1.5242526967426421E-4</v>
      </c>
      <c r="G470" s="10">
        <f t="shared" si="53"/>
        <v>1.6133011934627373</v>
      </c>
      <c r="H470" s="10">
        <f t="shared" si="54"/>
        <v>1.4084094917902013E-2</v>
      </c>
    </row>
    <row r="471" spans="1:8">
      <c r="A471" s="3">
        <v>46.300000000000004</v>
      </c>
      <c r="B471" s="10">
        <f t="shared" si="49"/>
        <v>8.4409943636463477E-3</v>
      </c>
      <c r="C471" s="10">
        <f t="shared" si="50"/>
        <v>7.1250385847109414E-5</v>
      </c>
      <c r="D471" s="3">
        <f t="shared" si="55"/>
        <v>4</v>
      </c>
      <c r="E471" s="10">
        <f t="shared" si="51"/>
        <v>3.3763977454585391E-2</v>
      </c>
      <c r="F471" s="10">
        <f t="shared" si="52"/>
        <v>2.8500154338843766E-4</v>
      </c>
      <c r="G471" s="10">
        <f t="shared" si="53"/>
        <v>3.1265443122946075</v>
      </c>
      <c r="H471" s="10">
        <f t="shared" si="54"/>
        <v>2.6391142917769329E-2</v>
      </c>
    </row>
    <row r="472" spans="1:8">
      <c r="A472" s="3">
        <v>46.400000000000006</v>
      </c>
      <c r="B472" s="10">
        <f t="shared" si="49"/>
        <v>8.1597054317747771E-3</v>
      </c>
      <c r="C472" s="10">
        <f t="shared" si="50"/>
        <v>6.6580792733334803E-5</v>
      </c>
      <c r="D472" s="3">
        <f t="shared" si="55"/>
        <v>2</v>
      </c>
      <c r="E472" s="10">
        <f t="shared" si="51"/>
        <v>1.6319410863549554E-2</v>
      </c>
      <c r="F472" s="10">
        <f t="shared" si="52"/>
        <v>1.3316158546666961E-4</v>
      </c>
      <c r="G472" s="10">
        <f t="shared" si="53"/>
        <v>1.5144413281373987</v>
      </c>
      <c r="H472" s="10">
        <f t="shared" si="54"/>
        <v>1.2357395131306941E-2</v>
      </c>
    </row>
    <row r="473" spans="1:8">
      <c r="A473" s="3">
        <v>46.500000000000007</v>
      </c>
      <c r="B473" s="10">
        <f t="shared" si="49"/>
        <v>7.885975548134385E-3</v>
      </c>
      <c r="C473" s="10">
        <f t="shared" si="50"/>
        <v>6.2188610345773415E-5</v>
      </c>
      <c r="D473" s="3">
        <f t="shared" si="55"/>
        <v>4</v>
      </c>
      <c r="E473" s="10">
        <f t="shared" si="51"/>
        <v>3.154390219253754E-2</v>
      </c>
      <c r="F473" s="10">
        <f t="shared" si="52"/>
        <v>2.4875444138309366E-4</v>
      </c>
      <c r="G473" s="10">
        <f t="shared" si="53"/>
        <v>2.9335829039059917</v>
      </c>
      <c r="H473" s="10">
        <f t="shared" si="54"/>
        <v>2.3134163048627712E-2</v>
      </c>
    </row>
    <row r="474" spans="1:8">
      <c r="A474" s="3">
        <v>46.6</v>
      </c>
      <c r="B474" s="10">
        <f t="shared" si="49"/>
        <v>7.6196630668391024E-3</v>
      </c>
      <c r="C474" s="10">
        <f t="shared" si="50"/>
        <v>5.8059265252151875E-5</v>
      </c>
      <c r="D474" s="3">
        <f t="shared" si="55"/>
        <v>2</v>
      </c>
      <c r="E474" s="10">
        <f t="shared" si="51"/>
        <v>1.5239326133678205E-2</v>
      </c>
      <c r="F474" s="10">
        <f t="shared" si="52"/>
        <v>1.1611853050430375E-4</v>
      </c>
      <c r="G474" s="10">
        <f t="shared" si="53"/>
        <v>1.4203051956588086</v>
      </c>
      <c r="H474" s="10">
        <f t="shared" si="54"/>
        <v>1.082224704300111E-2</v>
      </c>
    </row>
    <row r="475" spans="1:8">
      <c r="A475" s="3">
        <v>46.7</v>
      </c>
      <c r="B475" s="10">
        <f t="shared" si="49"/>
        <v>7.3606272082636977E-3</v>
      </c>
      <c r="C475" s="10">
        <f t="shared" si="50"/>
        <v>5.4178832899031837E-5</v>
      </c>
      <c r="D475" s="3">
        <f t="shared" si="55"/>
        <v>4</v>
      </c>
      <c r="E475" s="10">
        <f t="shared" si="51"/>
        <v>2.9442508833054791E-2</v>
      </c>
      <c r="F475" s="10">
        <f t="shared" si="52"/>
        <v>2.1671533159612735E-4</v>
      </c>
      <c r="G475" s="10">
        <f t="shared" si="53"/>
        <v>2.7499303250073175</v>
      </c>
      <c r="H475" s="10">
        <f t="shared" si="54"/>
        <v>2.0241211971078296E-2</v>
      </c>
    </row>
    <row r="476" spans="1:8">
      <c r="A476" s="3">
        <v>46.800000000000004</v>
      </c>
      <c r="B476" s="10">
        <f t="shared" si="49"/>
        <v>7.10872810089713E-3</v>
      </c>
      <c r="C476" s="10">
        <f t="shared" si="50"/>
        <v>5.0534015212484519E-5</v>
      </c>
      <c r="D476" s="3">
        <f t="shared" si="55"/>
        <v>2</v>
      </c>
      <c r="E476" s="10">
        <f t="shared" si="51"/>
        <v>1.421745620179426E-2</v>
      </c>
      <c r="F476" s="10">
        <f t="shared" si="52"/>
        <v>1.0106803042496904E-4</v>
      </c>
      <c r="G476" s="10">
        <f t="shared" si="53"/>
        <v>1.330753900487943</v>
      </c>
      <c r="H476" s="10">
        <f t="shared" si="54"/>
        <v>9.4599676477771025E-3</v>
      </c>
    </row>
    <row r="477" spans="1:8">
      <c r="A477" s="3">
        <v>46.900000000000006</v>
      </c>
      <c r="B477" s="10">
        <f t="shared" si="49"/>
        <v>6.8638268222389245E-3</v>
      </c>
      <c r="C477" s="10">
        <f t="shared" si="50"/>
        <v>4.7112118645686495E-5</v>
      </c>
      <c r="D477" s="3">
        <f t="shared" si="55"/>
        <v>4</v>
      </c>
      <c r="E477" s="10">
        <f t="shared" si="51"/>
        <v>2.7455307288955698E-2</v>
      </c>
      <c r="F477" s="10">
        <f t="shared" si="52"/>
        <v>1.8844847458274598E-4</v>
      </c>
      <c r="G477" s="10">
        <f t="shared" si="53"/>
        <v>2.575307823704045</v>
      </c>
      <c r="H477" s="10">
        <f t="shared" si="54"/>
        <v>1.7676466915861576E-2</v>
      </c>
    </row>
    <row r="478" spans="1:8">
      <c r="A478" s="3">
        <v>47.000000000000007</v>
      </c>
      <c r="B478" s="10">
        <f t="shared" si="49"/>
        <v>6.6257854387161506E-3</v>
      </c>
      <c r="C478" s="10">
        <f t="shared" si="50"/>
        <v>4.3901032679902972E-5</v>
      </c>
      <c r="D478" s="3">
        <f t="shared" si="55"/>
        <v>2</v>
      </c>
      <c r="E478" s="10">
        <f t="shared" si="51"/>
        <v>1.3251570877432301E-2</v>
      </c>
      <c r="F478" s="10">
        <f t="shared" si="52"/>
        <v>8.7802065359805944E-5</v>
      </c>
      <c r="G478" s="10">
        <f t="shared" si="53"/>
        <v>1.2456476624786366</v>
      </c>
      <c r="H478" s="10">
        <f t="shared" si="54"/>
        <v>8.2533941438217608E-3</v>
      </c>
    </row>
    <row r="479" spans="1:8">
      <c r="A479" s="3">
        <v>47.1</v>
      </c>
      <c r="B479" s="10">
        <f t="shared" si="49"/>
        <v>6.3944670445981533E-3</v>
      </c>
      <c r="C479" s="10">
        <f t="shared" si="50"/>
        <v>4.0889208784451839E-5</v>
      </c>
      <c r="D479" s="3">
        <f t="shared" si="55"/>
        <v>4</v>
      </c>
      <c r="E479" s="10">
        <f t="shared" si="51"/>
        <v>2.5577868178392613E-2</v>
      </c>
      <c r="F479" s="10">
        <f t="shared" si="52"/>
        <v>1.6355683513780736E-4</v>
      </c>
      <c r="G479" s="10">
        <f t="shared" si="53"/>
        <v>2.4094351824045841</v>
      </c>
      <c r="H479" s="10">
        <f t="shared" si="54"/>
        <v>1.5407053869981454E-2</v>
      </c>
    </row>
    <row r="480" spans="1:8">
      <c r="A480" s="3">
        <v>47.2</v>
      </c>
      <c r="B480" s="10">
        <f t="shared" si="49"/>
        <v>6.1697357998884046E-3</v>
      </c>
      <c r="C480" s="10">
        <f t="shared" si="50"/>
        <v>3.806563984042461E-5</v>
      </c>
      <c r="D480" s="3">
        <f t="shared" si="55"/>
        <v>2</v>
      </c>
      <c r="E480" s="10">
        <f t="shared" si="51"/>
        <v>1.2339471599776809E-2</v>
      </c>
      <c r="F480" s="10">
        <f t="shared" si="52"/>
        <v>7.613127968084922E-5</v>
      </c>
      <c r="G480" s="10">
        <f t="shared" si="53"/>
        <v>1.1648461190189308</v>
      </c>
      <c r="H480" s="10">
        <f t="shared" si="54"/>
        <v>7.1867928018721668E-3</v>
      </c>
    </row>
    <row r="481" spans="1:8">
      <c r="A481" s="3">
        <v>47.300000000000004</v>
      </c>
      <c r="B481" s="10">
        <f t="shared" si="49"/>
        <v>5.951456967173311E-3</v>
      </c>
      <c r="C481" s="10">
        <f t="shared" si="50"/>
        <v>3.5419840032115748E-5</v>
      </c>
      <c r="D481" s="3">
        <f t="shared" si="55"/>
        <v>4</v>
      </c>
      <c r="E481" s="10">
        <f t="shared" si="51"/>
        <v>2.3805827868693244E-2</v>
      </c>
      <c r="F481" s="10">
        <f t="shared" si="52"/>
        <v>1.4167936012846299E-4</v>
      </c>
      <c r="G481" s="10">
        <f t="shared" si="53"/>
        <v>2.2520313163783809</v>
      </c>
      <c r="H481" s="10">
        <f t="shared" si="54"/>
        <v>1.3402867468152601E-2</v>
      </c>
    </row>
    <row r="482" spans="1:8">
      <c r="A482" s="3">
        <v>47.400000000000006</v>
      </c>
      <c r="B482" s="10">
        <f t="shared" si="49"/>
        <v>5.7394969474085563E-3</v>
      </c>
      <c r="C482" s="10">
        <f t="shared" si="50"/>
        <v>3.2941825209312133E-5</v>
      </c>
      <c r="D482" s="3">
        <f t="shared" si="55"/>
        <v>2</v>
      </c>
      <c r="E482" s="10">
        <f t="shared" si="51"/>
        <v>1.1478993894817113E-2</v>
      </c>
      <c r="F482" s="10">
        <f t="shared" si="52"/>
        <v>6.5883650418624266E-5</v>
      </c>
      <c r="G482" s="10">
        <f t="shared" si="53"/>
        <v>1.0882086212286624</v>
      </c>
      <c r="H482" s="10">
        <f t="shared" si="54"/>
        <v>6.2457700596855814E-3</v>
      </c>
    </row>
    <row r="483" spans="1:8">
      <c r="A483" s="3">
        <v>47.500000000000007</v>
      </c>
      <c r="B483" s="10">
        <f t="shared" si="49"/>
        <v>5.5337233146255417E-3</v>
      </c>
      <c r="C483" s="10">
        <f t="shared" si="50"/>
        <v>3.0622093722830291E-5</v>
      </c>
      <c r="D483" s="3">
        <f t="shared" si="55"/>
        <v>4</v>
      </c>
      <c r="E483" s="10">
        <f t="shared" si="51"/>
        <v>2.2134893258502167E-2</v>
      </c>
      <c r="F483" s="10">
        <f t="shared" si="52"/>
        <v>1.2248837489132116E-4</v>
      </c>
      <c r="G483" s="10">
        <f t="shared" si="53"/>
        <v>2.1028148595577063</v>
      </c>
      <c r="H483" s="10">
        <f t="shared" si="54"/>
        <v>1.1636395614675513E-2</v>
      </c>
    </row>
    <row r="484" spans="1:8">
      <c r="A484" s="3">
        <v>47.6</v>
      </c>
      <c r="B484" s="10">
        <f t="shared" si="49"/>
        <v>5.334004849540561E-3</v>
      </c>
      <c r="C484" s="10">
        <f t="shared" si="50"/>
        <v>2.8451607734922224E-5</v>
      </c>
      <c r="D484" s="3">
        <f t="shared" si="55"/>
        <v>2</v>
      </c>
      <c r="E484" s="10">
        <f t="shared" si="51"/>
        <v>1.0668009699081122E-2</v>
      </c>
      <c r="F484" s="10">
        <f t="shared" si="52"/>
        <v>5.6903215469844448E-5</v>
      </c>
      <c r="G484" s="10">
        <f t="shared" si="53"/>
        <v>1.0155945233525228</v>
      </c>
      <c r="H484" s="10">
        <f t="shared" si="54"/>
        <v>5.4171861127291915E-3</v>
      </c>
    </row>
    <row r="485" spans="1:8">
      <c r="A485" s="3">
        <v>47.7</v>
      </c>
      <c r="B485" s="10">
        <f t="shared" si="49"/>
        <v>5.1402115720512514E-3</v>
      </c>
      <c r="C485" s="10">
        <f t="shared" si="50"/>
        <v>2.6421775005449596E-5</v>
      </c>
      <c r="D485" s="3">
        <f t="shared" si="55"/>
        <v>4</v>
      </c>
      <c r="E485" s="10">
        <f t="shared" si="51"/>
        <v>2.0560846288205006E-2</v>
      </c>
      <c r="F485" s="10">
        <f t="shared" si="52"/>
        <v>1.0568710002179839E-4</v>
      </c>
      <c r="G485" s="10">
        <f t="shared" si="53"/>
        <v>1.9615047358947577</v>
      </c>
      <c r="H485" s="10">
        <f t="shared" si="54"/>
        <v>1.0082549342079567E-2</v>
      </c>
    </row>
    <row r="486" spans="1:8">
      <c r="A486" s="3">
        <v>47.800000000000004</v>
      </c>
      <c r="B486" s="10">
        <f t="shared" si="49"/>
        <v>4.9522147726056166E-3</v>
      </c>
      <c r="C486" s="10">
        <f t="shared" si="50"/>
        <v>2.4524431154013297E-5</v>
      </c>
      <c r="D486" s="3">
        <f t="shared" si="55"/>
        <v>2</v>
      </c>
      <c r="E486" s="10">
        <f t="shared" si="51"/>
        <v>9.9044295452112331E-3</v>
      </c>
      <c r="F486" s="10">
        <f t="shared" si="52"/>
        <v>4.9048862308026594E-5</v>
      </c>
      <c r="G486" s="10">
        <f t="shared" si="53"/>
        <v>0.94686346452219394</v>
      </c>
      <c r="H486" s="10">
        <f t="shared" si="54"/>
        <v>4.6890712366473427E-3</v>
      </c>
    </row>
    <row r="487" spans="1:8">
      <c r="A487" s="3">
        <v>47.900000000000006</v>
      </c>
      <c r="B487" s="10">
        <f t="shared" si="49"/>
        <v>4.7698870424298769E-3</v>
      </c>
      <c r="C487" s="10">
        <f t="shared" si="50"/>
        <v>2.2751822397540438E-5</v>
      </c>
      <c r="D487" s="3">
        <f t="shared" si="55"/>
        <v>4</v>
      </c>
      <c r="E487" s="10">
        <f t="shared" si="51"/>
        <v>1.9079548169719508E-2</v>
      </c>
      <c r="F487" s="10">
        <f t="shared" si="52"/>
        <v>9.1007289590161751E-5</v>
      </c>
      <c r="G487" s="10">
        <f t="shared" si="53"/>
        <v>1.827820714659129</v>
      </c>
      <c r="H487" s="10">
        <f t="shared" si="54"/>
        <v>8.7184983427374962E-3</v>
      </c>
    </row>
    <row r="488" spans="1:8">
      <c r="A488" s="3">
        <v>48.000000000000007</v>
      </c>
      <c r="B488" s="10">
        <f t="shared" si="49"/>
        <v>4.5931023026032297E-3</v>
      </c>
      <c r="C488" s="10">
        <f t="shared" si="50"/>
        <v>2.1096588762179092E-5</v>
      </c>
      <c r="D488" s="3">
        <f t="shared" si="55"/>
        <v>2</v>
      </c>
      <c r="E488" s="10">
        <f t="shared" si="51"/>
        <v>9.1862046052064595E-3</v>
      </c>
      <c r="F488" s="10">
        <f t="shared" si="52"/>
        <v>4.2193177524358184E-5</v>
      </c>
      <c r="G488" s="10">
        <f t="shared" si="53"/>
        <v>0.88187564209982028</v>
      </c>
      <c r="H488" s="10">
        <f t="shared" si="54"/>
        <v>4.0505450423383863E-3</v>
      </c>
    </row>
    <row r="489" spans="1:8">
      <c r="A489" s="3">
        <v>48.1</v>
      </c>
      <c r="B489" s="10">
        <f t="shared" si="49"/>
        <v>4.4217358319679316E-3</v>
      </c>
      <c r="C489" s="10">
        <f t="shared" si="50"/>
        <v>1.9551747767709135E-5</v>
      </c>
      <c r="D489" s="3">
        <f t="shared" si="55"/>
        <v>4</v>
      </c>
      <c r="E489" s="10">
        <f t="shared" si="51"/>
        <v>1.7686943327871726E-2</v>
      </c>
      <c r="F489" s="10">
        <f t="shared" si="52"/>
        <v>7.8206991070836539E-5</v>
      </c>
      <c r="G489" s="10">
        <f t="shared" si="53"/>
        <v>1.70148394814126</v>
      </c>
      <c r="H489" s="10">
        <f t="shared" si="54"/>
        <v>7.523512541014475E-3</v>
      </c>
    </row>
    <row r="490" spans="1:8">
      <c r="A490" s="3">
        <v>48.2</v>
      </c>
      <c r="B490" s="10">
        <f t="shared" si="49"/>
        <v>4.2556642938649516E-3</v>
      </c>
      <c r="C490" s="10">
        <f t="shared" si="50"/>
        <v>1.8110678582077076E-5</v>
      </c>
      <c r="D490" s="3">
        <f t="shared" si="55"/>
        <v>2</v>
      </c>
      <c r="E490" s="10">
        <f t="shared" si="51"/>
        <v>8.5113285877299032E-3</v>
      </c>
      <c r="F490" s="10">
        <f t="shared" si="52"/>
        <v>3.6221357164154153E-5</v>
      </c>
      <c r="G490" s="10">
        <f t="shared" si="53"/>
        <v>0.82049207585716277</v>
      </c>
      <c r="H490" s="10">
        <f t="shared" si="54"/>
        <v>3.4917388306244606E-3</v>
      </c>
    </row>
    <row r="491" spans="1:8">
      <c r="A491" s="3">
        <v>48.300000000000004</v>
      </c>
      <c r="B491" s="10">
        <f t="shared" si="49"/>
        <v>4.094765761686504E-3</v>
      </c>
      <c r="C491" s="10">
        <f t="shared" si="50"/>
        <v>1.6767106643080055E-5</v>
      </c>
      <c r="D491" s="3">
        <f t="shared" si="55"/>
        <v>4</v>
      </c>
      <c r="E491" s="10">
        <f t="shared" si="51"/>
        <v>1.6379063046746016E-2</v>
      </c>
      <c r="F491" s="10">
        <f t="shared" si="52"/>
        <v>6.7068426572320221E-5</v>
      </c>
      <c r="G491" s="10">
        <f t="shared" si="53"/>
        <v>1.5822174903156654</v>
      </c>
      <c r="H491" s="10">
        <f t="shared" si="54"/>
        <v>6.4788100068861338E-3</v>
      </c>
    </row>
    <row r="492" spans="1:8">
      <c r="A492" s="3">
        <v>48.400000000000006</v>
      </c>
      <c r="B492" s="10">
        <f t="shared" si="49"/>
        <v>3.9389197432374377E-3</v>
      </c>
      <c r="C492" s="10">
        <f t="shared" si="50"/>
        <v>1.5515088743665682E-5</v>
      </c>
      <c r="D492" s="3">
        <f t="shared" si="55"/>
        <v>2</v>
      </c>
      <c r="E492" s="10">
        <f t="shared" si="51"/>
        <v>7.8778394864748753E-3</v>
      </c>
      <c r="F492" s="10">
        <f t="shared" si="52"/>
        <v>3.1030177487331364E-5</v>
      </c>
      <c r="G492" s="10">
        <f t="shared" si="53"/>
        <v>0.76257486229076799</v>
      </c>
      <c r="H492" s="10">
        <f t="shared" si="54"/>
        <v>3.0037211807736764E-3</v>
      </c>
    </row>
    <row r="493" spans="1:8">
      <c r="A493" s="3">
        <v>48.500000000000007</v>
      </c>
      <c r="B493" s="10">
        <f t="shared" si="49"/>
        <v>3.7880072038996493E-3</v>
      </c>
      <c r="C493" s="10">
        <f t="shared" si="50"/>
        <v>1.4348998576795639E-5</v>
      </c>
      <c r="D493" s="3">
        <f t="shared" si="55"/>
        <v>4</v>
      </c>
      <c r="E493" s="10">
        <f t="shared" si="51"/>
        <v>1.5152028815598597E-2</v>
      </c>
      <c r="F493" s="10">
        <f t="shared" si="52"/>
        <v>5.7395994307182557E-5</v>
      </c>
      <c r="G493" s="10">
        <f t="shared" si="53"/>
        <v>1.4697467951130641</v>
      </c>
      <c r="H493" s="10">
        <f t="shared" si="54"/>
        <v>5.567411447796709E-3</v>
      </c>
    </row>
    <row r="494" spans="1:8">
      <c r="A494" s="3">
        <v>48.6</v>
      </c>
      <c r="B494" s="10">
        <f t="shared" si="49"/>
        <v>3.6419105885938711E-3</v>
      </c>
      <c r="C494" s="10">
        <f t="shared" si="50"/>
        <v>1.3263512735312156E-5</v>
      </c>
      <c r="D494" s="3">
        <f t="shared" si="55"/>
        <v>2</v>
      </c>
      <c r="E494" s="10">
        <f t="shared" si="51"/>
        <v>7.2838211771877421E-3</v>
      </c>
      <c r="F494" s="10">
        <f t="shared" si="52"/>
        <v>2.6527025470624313E-5</v>
      </c>
      <c r="G494" s="10">
        <f t="shared" si="53"/>
        <v>0.70798741842264856</v>
      </c>
      <c r="H494" s="10">
        <f t="shared" si="54"/>
        <v>2.5784268757446833E-3</v>
      </c>
    </row>
    <row r="495" spans="1:8">
      <c r="A495" s="3">
        <v>48.7</v>
      </c>
      <c r="B495" s="10">
        <f t="shared" si="49"/>
        <v>3.5005138425351461E-3</v>
      </c>
      <c r="C495" s="10">
        <f t="shared" si="50"/>
        <v>1.2253597161780173E-5</v>
      </c>
      <c r="D495" s="3">
        <f t="shared" si="55"/>
        <v>4</v>
      </c>
      <c r="E495" s="10">
        <f t="shared" si="51"/>
        <v>1.4002055370140584E-2</v>
      </c>
      <c r="F495" s="10">
        <f t="shared" si="52"/>
        <v>4.9014388647120693E-5</v>
      </c>
      <c r="G495" s="10">
        <f t="shared" si="53"/>
        <v>1.363800193051693</v>
      </c>
      <c r="H495" s="10">
        <f t="shared" si="54"/>
        <v>4.7740014542295558E-3</v>
      </c>
    </row>
    <row r="496" spans="1:8">
      <c r="A496" s="3">
        <v>48.800000000000004</v>
      </c>
      <c r="B496" s="10">
        <f t="shared" si="49"/>
        <v>3.3637024307792839E-3</v>
      </c>
      <c r="C496" s="10">
        <f t="shared" si="50"/>
        <v>1.1314494042830463E-5</v>
      </c>
      <c r="D496" s="3">
        <f t="shared" si="55"/>
        <v>2</v>
      </c>
      <c r="E496" s="10">
        <f t="shared" si="51"/>
        <v>6.7274048615585677E-3</v>
      </c>
      <c r="F496" s="10">
        <f t="shared" si="52"/>
        <v>2.2628988085660927E-5</v>
      </c>
      <c r="G496" s="10">
        <f t="shared" si="53"/>
        <v>0.65659471448811624</v>
      </c>
      <c r="H496" s="10">
        <f t="shared" si="54"/>
        <v>2.2085892371605065E-3</v>
      </c>
    </row>
    <row r="497" spans="1:8">
      <c r="A497" s="3">
        <v>48.900000000000006</v>
      </c>
      <c r="B497" s="10">
        <f t="shared" si="49"/>
        <v>3.2313633565584396E-3</v>
      </c>
      <c r="C497" s="10">
        <f t="shared" si="50"/>
        <v>1.0441709142108625E-5</v>
      </c>
      <c r="D497" s="3">
        <f t="shared" si="55"/>
        <v>4</v>
      </c>
      <c r="E497" s="10">
        <f t="shared" si="51"/>
        <v>1.2925453426233758E-2</v>
      </c>
      <c r="F497" s="10">
        <f t="shared" si="52"/>
        <v>4.17668365684345E-5</v>
      </c>
      <c r="G497" s="10">
        <f t="shared" si="53"/>
        <v>1.2641093450856618</v>
      </c>
      <c r="H497" s="10">
        <f t="shared" si="54"/>
        <v>4.084796616392895E-3</v>
      </c>
    </row>
    <row r="498" spans="1:8">
      <c r="A498" s="3">
        <v>49.000000000000007</v>
      </c>
      <c r="B498" s="10">
        <f t="shared" si="49"/>
        <v>3.1033851784059321E-3</v>
      </c>
      <c r="C498" s="10">
        <f t="shared" si="50"/>
        <v>9.63099956554962E-6</v>
      </c>
      <c r="D498" s="3">
        <f t="shared" si="55"/>
        <v>2</v>
      </c>
      <c r="E498" s="10">
        <f t="shared" si="51"/>
        <v>6.2067703568118643E-3</v>
      </c>
      <c r="F498" s="10">
        <f t="shared" si="52"/>
        <v>1.926199913109924E-5</v>
      </c>
      <c r="G498" s="10">
        <f t="shared" si="53"/>
        <v>0.60826349496756282</v>
      </c>
      <c r="H498" s="10">
        <f t="shared" si="54"/>
        <v>1.8876759148477257E-3</v>
      </c>
    </row>
    <row r="499" spans="1:8">
      <c r="A499" s="3">
        <v>49.1</v>
      </c>
      <c r="B499" s="10">
        <f t="shared" si="49"/>
        <v>2.9796580260708387E-3</v>
      </c>
      <c r="C499" s="10">
        <f t="shared" si="50"/>
        <v>8.8783619523283663E-6</v>
      </c>
      <c r="D499" s="3">
        <f t="shared" si="55"/>
        <v>4</v>
      </c>
      <c r="E499" s="10">
        <f t="shared" si="51"/>
        <v>1.1918632104283355E-2</v>
      </c>
      <c r="F499" s="10">
        <f t="shared" si="52"/>
        <v>3.5513447809313465E-5</v>
      </c>
      <c r="G499" s="10">
        <f t="shared" si="53"/>
        <v>1.1704096726406255</v>
      </c>
      <c r="H499" s="10">
        <f t="shared" si="54"/>
        <v>3.4874205748745826E-3</v>
      </c>
    </row>
    <row r="500" spans="1:8">
      <c r="A500" s="3">
        <v>49.2</v>
      </c>
      <c r="B500" s="10">
        <f t="shared" si="49"/>
        <v>2.8600736152246341E-3</v>
      </c>
      <c r="C500" s="10">
        <f t="shared" si="50"/>
        <v>8.1800210845041086E-6</v>
      </c>
      <c r="D500" s="3">
        <f t="shared" si="55"/>
        <v>2</v>
      </c>
      <c r="E500" s="10">
        <f t="shared" si="51"/>
        <v>5.7201472304492683E-3</v>
      </c>
      <c r="F500" s="10">
        <f t="shared" si="52"/>
        <v>1.6360042169008217E-5</v>
      </c>
      <c r="G500" s="10">
        <f t="shared" si="53"/>
        <v>0.56286248747620804</v>
      </c>
      <c r="H500" s="10">
        <f t="shared" si="54"/>
        <v>1.6098281494304086E-3</v>
      </c>
    </row>
    <row r="501" spans="1:8">
      <c r="A501" s="3">
        <v>49.300000000000004</v>
      </c>
      <c r="B501" s="10">
        <f t="shared" si="49"/>
        <v>2.7445252609632365E-3</v>
      </c>
      <c r="C501" s="10">
        <f t="shared" si="50"/>
        <v>7.532418908065322E-6</v>
      </c>
      <c r="D501" s="3">
        <f t="shared" si="55"/>
        <v>4</v>
      </c>
      <c r="E501" s="10">
        <f t="shared" si="51"/>
        <v>1.0978101043852946E-2</v>
      </c>
      <c r="F501" s="10">
        <f t="shared" si="52"/>
        <v>3.0129675632261288E-5</v>
      </c>
      <c r="G501" s="10">
        <f t="shared" si="53"/>
        <v>1.0824407629239006</v>
      </c>
      <c r="H501" s="10">
        <f t="shared" si="54"/>
        <v>2.9707860173409633E-3</v>
      </c>
    </row>
    <row r="502" spans="1:8">
      <c r="A502" s="3">
        <v>49.400000000000006</v>
      </c>
      <c r="B502" s="10">
        <f t="shared" si="49"/>
        <v>2.6329078901086568E-3</v>
      </c>
      <c r="C502" s="10">
        <f t="shared" si="50"/>
        <v>6.9322039577964186E-6</v>
      </c>
      <c r="D502" s="3">
        <f t="shared" si="55"/>
        <v>2</v>
      </c>
      <c r="E502" s="10">
        <f t="shared" si="51"/>
        <v>5.2658157802173136E-3</v>
      </c>
      <c r="F502" s="10">
        <f t="shared" si="52"/>
        <v>1.3864407915592837E-5</v>
      </c>
      <c r="G502" s="10">
        <f t="shared" si="53"/>
        <v>0.52026259908547068</v>
      </c>
      <c r="H502" s="10">
        <f t="shared" si="54"/>
        <v>1.3698035020605725E-3</v>
      </c>
    </row>
    <row r="503" spans="1:8">
      <c r="A503" s="3">
        <v>49.500000000000007</v>
      </c>
      <c r="B503" s="10">
        <f t="shared" si="49"/>
        <v>2.5251180523162267E-3</v>
      </c>
      <c r="C503" s="10">
        <f t="shared" si="50"/>
        <v>6.3762211781332938E-6</v>
      </c>
      <c r="D503" s="3">
        <f t="shared" si="55"/>
        <v>4</v>
      </c>
      <c r="E503" s="10">
        <f t="shared" si="51"/>
        <v>1.0100472209264907E-2</v>
      </c>
      <c r="F503" s="10">
        <f t="shared" si="52"/>
        <v>2.5504884712533175E-5</v>
      </c>
      <c r="G503" s="10">
        <f t="shared" si="53"/>
        <v>0.99994674871722589</v>
      </c>
      <c r="H503" s="10">
        <f t="shared" si="54"/>
        <v>2.5249835865407849E-3</v>
      </c>
    </row>
    <row r="504" spans="1:8">
      <c r="A504" s="3">
        <v>49.6</v>
      </c>
      <c r="B504" s="10">
        <f t="shared" si="49"/>
        <v>2.4210539299939601E-3</v>
      </c>
      <c r="C504" s="10">
        <f t="shared" si="50"/>
        <v>5.8615021319391994E-6</v>
      </c>
      <c r="D504" s="3">
        <f t="shared" si="55"/>
        <v>2</v>
      </c>
      <c r="E504" s="10">
        <f t="shared" si="51"/>
        <v>4.8421078599879203E-3</v>
      </c>
      <c r="F504" s="10">
        <f t="shared" si="52"/>
        <v>1.1723004263878399E-5</v>
      </c>
      <c r="G504" s="10">
        <f t="shared" si="53"/>
        <v>0.48033709971080168</v>
      </c>
      <c r="H504" s="10">
        <f t="shared" si="54"/>
        <v>1.1629220229767371E-3</v>
      </c>
    </row>
    <row r="505" spans="1:8">
      <c r="A505" s="3">
        <v>49.7</v>
      </c>
      <c r="B505" s="10">
        <f t="shared" si="49"/>
        <v>2.3206153470421366E-3</v>
      </c>
      <c r="C505" s="10">
        <f t="shared" si="50"/>
        <v>5.3852555889274962E-6</v>
      </c>
      <c r="D505" s="3">
        <f t="shared" si="55"/>
        <v>4</v>
      </c>
      <c r="E505" s="10">
        <f t="shared" si="51"/>
        <v>9.2824613881685464E-3</v>
      </c>
      <c r="F505" s="10">
        <f t="shared" si="52"/>
        <v>2.1541022355709985E-5</v>
      </c>
      <c r="G505" s="10">
        <f t="shared" si="53"/>
        <v>0.92267666198395359</v>
      </c>
      <c r="H505" s="10">
        <f t="shared" si="54"/>
        <v>2.1411776221575726E-3</v>
      </c>
    </row>
    <row r="506" spans="1:8">
      <c r="A506" s="3">
        <v>49.800000000000004</v>
      </c>
      <c r="B506" s="10">
        <f t="shared" si="49"/>
        <v>2.2237037764222382E-3</v>
      </c>
      <c r="C506" s="10">
        <f t="shared" si="50"/>
        <v>4.9448584852745233E-6</v>
      </c>
      <c r="D506" s="3">
        <f t="shared" si="55"/>
        <v>2</v>
      </c>
      <c r="E506" s="10">
        <f t="shared" si="51"/>
        <v>4.4474075528444764E-3</v>
      </c>
      <c r="F506" s="10">
        <f t="shared" si="52"/>
        <v>9.8897169705490466E-6</v>
      </c>
      <c r="G506" s="10">
        <f t="shared" si="53"/>
        <v>0.44296179226330989</v>
      </c>
      <c r="H506" s="10">
        <f t="shared" si="54"/>
        <v>9.8501581026668524E-4</v>
      </c>
    </row>
    <row r="507" spans="1:8">
      <c r="A507" s="3">
        <v>49.900000000000006</v>
      </c>
      <c r="B507" s="10">
        <f t="shared" si="49"/>
        <v>2.1302223465652411E-3</v>
      </c>
      <c r="C507" s="10">
        <f t="shared" si="50"/>
        <v>4.5378472458059224E-6</v>
      </c>
      <c r="D507" s="3">
        <f t="shared" si="55"/>
        <v>4</v>
      </c>
      <c r="E507" s="10">
        <f t="shared" si="51"/>
        <v>8.5208893862609644E-3</v>
      </c>
      <c r="F507" s="10">
        <f t="shared" si="52"/>
        <v>1.8151388983223689E-5</v>
      </c>
      <c r="G507" s="10">
        <f t="shared" si="53"/>
        <v>0.85038476074884439</v>
      </c>
      <c r="H507" s="10">
        <f t="shared" si="54"/>
        <v>1.8115086205257244E-3</v>
      </c>
    </row>
    <row r="508" spans="1:8">
      <c r="A508" s="3">
        <v>50.000000000000007</v>
      </c>
      <c r="B508" s="10">
        <f t="shared" si="49"/>
        <v>2.0400758466307951E-3</v>
      </c>
      <c r="C508" s="10">
        <f t="shared" si="50"/>
        <v>4.1619094600063552E-6</v>
      </c>
      <c r="D508" s="3">
        <f t="shared" si="55"/>
        <v>2</v>
      </c>
      <c r="E508" s="10">
        <f t="shared" si="51"/>
        <v>4.0801516932615902E-3</v>
      </c>
      <c r="F508" s="10">
        <f t="shared" si="52"/>
        <v>8.3238189200127104E-6</v>
      </c>
      <c r="G508" s="10">
        <f t="shared" si="53"/>
        <v>0.40801516932615906</v>
      </c>
      <c r="H508" s="10">
        <f t="shared" si="54"/>
        <v>8.3238189200127112E-4</v>
      </c>
    </row>
    <row r="509" spans="1:8">
      <c r="A509" s="3">
        <v>50.1</v>
      </c>
      <c r="B509" s="10">
        <f t="shared" si="49"/>
        <v>1.9531707306294642E-3</v>
      </c>
      <c r="C509" s="10">
        <f t="shared" si="50"/>
        <v>3.8148759029876351E-6</v>
      </c>
      <c r="D509" s="3">
        <f t="shared" si="55"/>
        <v>4</v>
      </c>
      <c r="E509" s="10">
        <f t="shared" si="51"/>
        <v>7.8126829225178569E-3</v>
      </c>
      <c r="F509" s="10">
        <f t="shared" si="52"/>
        <v>1.525950361195054E-5</v>
      </c>
      <c r="G509" s="10">
        <f t="shared" si="53"/>
        <v>0.78283082883628929</v>
      </c>
      <c r="H509" s="10">
        <f t="shared" si="54"/>
        <v>1.5290022619174441E-3</v>
      </c>
    </row>
    <row r="510" spans="1:8">
      <c r="A510" s="3">
        <v>50.2</v>
      </c>
      <c r="B510" s="10">
        <f t="shared" si="49"/>
        <v>1.8694151204215531E-3</v>
      </c>
      <c r="C510" s="10">
        <f t="shared" si="50"/>
        <v>3.49471289246073E-6</v>
      </c>
      <c r="D510" s="3">
        <f t="shared" si="55"/>
        <v>2</v>
      </c>
      <c r="E510" s="10">
        <f t="shared" si="51"/>
        <v>3.7388302408431062E-3</v>
      </c>
      <c r="F510" s="10">
        <f t="shared" si="52"/>
        <v>6.9894257849214599E-6</v>
      </c>
      <c r="G510" s="10">
        <f t="shared" si="53"/>
        <v>0.37537855618064786</v>
      </c>
      <c r="H510" s="10">
        <f t="shared" si="54"/>
        <v>7.0173834880611456E-4</v>
      </c>
    </row>
    <row r="511" spans="1:8">
      <c r="A511" s="3">
        <v>50.300000000000004</v>
      </c>
      <c r="B511" s="10">
        <f t="shared" si="49"/>
        <v>1.7887188076069953E-3</v>
      </c>
      <c r="C511" s="10">
        <f t="shared" si="50"/>
        <v>3.1995149726869909E-6</v>
      </c>
      <c r="D511" s="3">
        <f t="shared" si="55"/>
        <v>4</v>
      </c>
      <c r="E511" s="10">
        <f t="shared" si="51"/>
        <v>7.1548752304279812E-3</v>
      </c>
      <c r="F511" s="10">
        <f t="shared" si="52"/>
        <v>1.2798059890747963E-5</v>
      </c>
      <c r="G511" s="10">
        <f t="shared" si="53"/>
        <v>0.71978044818105491</v>
      </c>
      <c r="H511" s="10">
        <f t="shared" si="54"/>
        <v>1.2874848250092451E-3</v>
      </c>
    </row>
    <row r="512" spans="1:8">
      <c r="A512" s="3">
        <v>50.400000000000006</v>
      </c>
      <c r="B512" s="10">
        <f t="shared" si="49"/>
        <v>1.710993254321542E-3</v>
      </c>
      <c r="C512" s="10">
        <f t="shared" si="50"/>
        <v>2.9274979163338208E-6</v>
      </c>
      <c r="D512" s="3">
        <f t="shared" si="55"/>
        <v>2</v>
      </c>
      <c r="E512" s="10">
        <f t="shared" si="51"/>
        <v>3.4219865086430839E-3</v>
      </c>
      <c r="F512" s="10">
        <f t="shared" si="52"/>
        <v>5.8549958326676415E-6</v>
      </c>
      <c r="G512" s="10">
        <f t="shared" si="53"/>
        <v>0.34493624007122292</v>
      </c>
      <c r="H512" s="10">
        <f t="shared" si="54"/>
        <v>5.9018357993289835E-4</v>
      </c>
    </row>
    <row r="513" spans="1:8">
      <c r="A513" s="3">
        <v>50.500000000000007</v>
      </c>
      <c r="B513" s="10">
        <f t="shared" si="49"/>
        <v>1.6361515929559456E-3</v>
      </c>
      <c r="C513" s="10">
        <f t="shared" si="50"/>
        <v>2.6769920351322781E-6</v>
      </c>
      <c r="D513" s="3">
        <f t="shared" si="55"/>
        <v>4</v>
      </c>
      <c r="E513" s="10">
        <f t="shared" si="51"/>
        <v>6.5446063718237824E-3</v>
      </c>
      <c r="F513" s="10">
        <f t="shared" si="52"/>
        <v>1.0707968140529113E-5</v>
      </c>
      <c r="G513" s="10">
        <f t="shared" si="53"/>
        <v>0.66100524355420209</v>
      </c>
      <c r="H513" s="10">
        <f t="shared" si="54"/>
        <v>1.0815047821934405E-3</v>
      </c>
    </row>
    <row r="514" spans="1:8">
      <c r="A514" s="3">
        <v>50.6</v>
      </c>
      <c r="B514" s="10">
        <f t="shared" si="49"/>
        <v>1.564108624815236E-3</v>
      </c>
      <c r="C514" s="10">
        <f t="shared" si="50"/>
        <v>2.4464357902214089E-6</v>
      </c>
      <c r="D514" s="3">
        <f t="shared" si="55"/>
        <v>2</v>
      </c>
      <c r="E514" s="10">
        <f t="shared" si="51"/>
        <v>3.1282172496304721E-3</v>
      </c>
      <c r="F514" s="10">
        <f t="shared" si="52"/>
        <v>4.8928715804428178E-6</v>
      </c>
      <c r="G514" s="10">
        <f t="shared" si="53"/>
        <v>0.3165755856626038</v>
      </c>
      <c r="H514" s="10">
        <f t="shared" si="54"/>
        <v>4.9515860394081315E-4</v>
      </c>
    </row>
    <row r="515" spans="1:8">
      <c r="A515" s="3">
        <v>50.7</v>
      </c>
      <c r="B515" s="10">
        <f t="shared" si="49"/>
        <v>1.4947808177365402E-3</v>
      </c>
      <c r="C515" s="10">
        <f t="shared" si="50"/>
        <v>2.2343696930731199E-6</v>
      </c>
      <c r="D515" s="3">
        <f t="shared" si="55"/>
        <v>4</v>
      </c>
      <c r="E515" s="10">
        <f t="shared" si="51"/>
        <v>5.9791232709461607E-3</v>
      </c>
      <c r="F515" s="10">
        <f t="shared" si="52"/>
        <v>8.9374787722924797E-6</v>
      </c>
      <c r="G515" s="10">
        <f t="shared" si="53"/>
        <v>0.60628309967394078</v>
      </c>
      <c r="H515" s="10">
        <f t="shared" si="54"/>
        <v>9.0626034751045746E-4</v>
      </c>
    </row>
    <row r="516" spans="1:8">
      <c r="A516" s="3">
        <v>50.800000000000004</v>
      </c>
      <c r="B516" s="10">
        <f t="shared" si="49"/>
        <v>1.4280863026845374E-3</v>
      </c>
      <c r="C516" s="10">
        <f t="shared" si="50"/>
        <v>2.0394304879151925E-6</v>
      </c>
      <c r="D516" s="3">
        <f t="shared" si="55"/>
        <v>2</v>
      </c>
      <c r="E516" s="10">
        <f t="shared" si="51"/>
        <v>2.8561726053690749E-3</v>
      </c>
      <c r="F516" s="10">
        <f t="shared" si="52"/>
        <v>4.078860975830385E-6</v>
      </c>
      <c r="G516" s="10">
        <f t="shared" si="53"/>
        <v>0.29018713670549801</v>
      </c>
      <c r="H516" s="10">
        <f t="shared" si="54"/>
        <v>4.1441227514436716E-4</v>
      </c>
    </row>
    <row r="517" spans="1:8">
      <c r="A517" s="3">
        <v>50.900000000000006</v>
      </c>
      <c r="B517" s="10">
        <f t="shared" si="49"/>
        <v>1.3639448693444909E-3</v>
      </c>
      <c r="C517" s="10">
        <f t="shared" si="50"/>
        <v>1.8603456066111604E-6</v>
      </c>
      <c r="D517" s="3">
        <f t="shared" si="55"/>
        <v>4</v>
      </c>
      <c r="E517" s="10">
        <f t="shared" si="51"/>
        <v>5.4557794773779636E-3</v>
      </c>
      <c r="F517" s="10">
        <f t="shared" si="52"/>
        <v>7.4413824264446415E-6</v>
      </c>
      <c r="G517" s="10">
        <f t="shared" si="53"/>
        <v>0.55539835079707678</v>
      </c>
      <c r="H517" s="10">
        <f t="shared" si="54"/>
        <v>7.5753273101206457E-4</v>
      </c>
    </row>
    <row r="518" spans="1:8">
      <c r="A518" s="3">
        <v>51.000000000000007</v>
      </c>
      <c r="B518" s="10">
        <f t="shared" si="49"/>
        <v>1.3022779607338136E-3</v>
      </c>
      <c r="C518" s="10">
        <f t="shared" si="50"/>
        <v>1.6959278870130201E-6</v>
      </c>
      <c r="D518" s="3">
        <f t="shared" si="55"/>
        <v>2</v>
      </c>
      <c r="E518" s="10">
        <f t="shared" si="51"/>
        <v>2.6045559214676272E-3</v>
      </c>
      <c r="F518" s="10">
        <f t="shared" si="52"/>
        <v>3.3918557740260403E-6</v>
      </c>
      <c r="G518" s="10">
        <f t="shared" si="53"/>
        <v>0.26566470398969799</v>
      </c>
      <c r="H518" s="10">
        <f t="shared" si="54"/>
        <v>3.4596928895065616E-4</v>
      </c>
    </row>
    <row r="519" spans="1:8">
      <c r="A519" s="3">
        <v>51.1</v>
      </c>
      <c r="B519" s="10">
        <f t="shared" si="49"/>
        <v>1.243008666853623E-3</v>
      </c>
      <c r="C519" s="10">
        <f t="shared" si="50"/>
        <v>1.5450705458732211E-6</v>
      </c>
      <c r="D519" s="3">
        <f t="shared" si="55"/>
        <v>4</v>
      </c>
      <c r="E519" s="10">
        <f t="shared" si="51"/>
        <v>4.9720346674144919E-3</v>
      </c>
      <c r="F519" s="10">
        <f t="shared" si="52"/>
        <v>6.1802821834928844E-6</v>
      </c>
      <c r="G519" s="10">
        <f t="shared" si="53"/>
        <v>0.50814194300976112</v>
      </c>
      <c r="H519" s="10">
        <f t="shared" si="54"/>
        <v>6.3162483915297281E-4</v>
      </c>
    </row>
    <row r="520" spans="1:8">
      <c r="A520" s="3">
        <v>51.2</v>
      </c>
      <c r="B520" s="10">
        <f t="shared" si="49"/>
        <v>1.1860617174027372E-3</v>
      </c>
      <c r="C520" s="10">
        <f t="shared" si="50"/>
        <v>1.4067423974883306E-6</v>
      </c>
      <c r="D520" s="3">
        <f t="shared" si="55"/>
        <v>2</v>
      </c>
      <c r="E520" s="10">
        <f t="shared" si="51"/>
        <v>2.3721234348054745E-3</v>
      </c>
      <c r="F520" s="10">
        <f t="shared" si="52"/>
        <v>2.8134847949766611E-6</v>
      </c>
      <c r="G520" s="10">
        <f t="shared" si="53"/>
        <v>0.2429054397240806</v>
      </c>
      <c r="H520" s="10">
        <f t="shared" si="54"/>
        <v>2.881008430056101E-4</v>
      </c>
    </row>
    <row r="521" spans="1:8">
      <c r="A521" s="3">
        <v>51.300000000000004</v>
      </c>
      <c r="B521" s="10">
        <f t="shared" ref="B521:B584" si="56">$B$5^(($B$4^50)*(($B$4^A521)-1))</f>
        <v>1.1313634735771812E-3</v>
      </c>
      <c r="C521" s="10">
        <f t="shared" ref="C521:C584" si="57">B521^2</f>
        <v>1.2799833093446252E-6</v>
      </c>
      <c r="D521" s="3">
        <f t="shared" si="55"/>
        <v>4</v>
      </c>
      <c r="E521" s="10">
        <f t="shared" ref="E521:E584" si="58">B521*D521</f>
        <v>4.5254538943087248E-3</v>
      </c>
      <c r="F521" s="10">
        <f t="shared" ref="F521:F584" si="59">C521*D521</f>
        <v>5.119933237378501E-6</v>
      </c>
      <c r="G521" s="10">
        <f t="shared" ref="G521:G584" si="60">2*A521*B521*D521</f>
        <v>0.46431156955607522</v>
      </c>
      <c r="H521" s="10">
        <f t="shared" ref="H521:H584" si="61">2*A521*C521*D521</f>
        <v>5.2530515015503424E-4</v>
      </c>
    </row>
    <row r="522" spans="1:8">
      <c r="A522" s="3">
        <v>51.400000000000006</v>
      </c>
      <c r="B522" s="10">
        <f t="shared" si="56"/>
        <v>1.0788419189788102E-3</v>
      </c>
      <c r="C522" s="10">
        <f t="shared" si="57"/>
        <v>1.1638998861458817E-6</v>
      </c>
      <c r="D522" s="3">
        <f t="shared" si="55"/>
        <v>2</v>
      </c>
      <c r="E522" s="10">
        <f t="shared" si="58"/>
        <v>2.1576838379576205E-3</v>
      </c>
      <c r="F522" s="10">
        <f t="shared" si="59"/>
        <v>2.3277997722917635E-6</v>
      </c>
      <c r="G522" s="10">
        <f t="shared" si="60"/>
        <v>0.22180989854204342</v>
      </c>
      <c r="H522" s="10">
        <f t="shared" si="61"/>
        <v>2.392978165915933E-4</v>
      </c>
    </row>
    <row r="523" spans="1:8">
      <c r="A523" s="3">
        <v>51.500000000000007</v>
      </c>
      <c r="B523" s="10">
        <f t="shared" si="56"/>
        <v>1.0284266496575836E-3</v>
      </c>
      <c r="C523" s="10">
        <f t="shared" si="57"/>
        <v>1.0576613737259223E-6</v>
      </c>
      <c r="D523" s="3">
        <f t="shared" ref="D523:D586" si="62">IF(D522=4,2,4)</f>
        <v>4</v>
      </c>
      <c r="E523" s="10">
        <f t="shared" si="58"/>
        <v>4.1137065986303345E-3</v>
      </c>
      <c r="F523" s="10">
        <f t="shared" si="59"/>
        <v>4.2306454949036891E-6</v>
      </c>
      <c r="G523" s="10">
        <f t="shared" si="60"/>
        <v>0.42371177965892454</v>
      </c>
      <c r="H523" s="10">
        <f t="shared" si="61"/>
        <v>4.3575648597508004E-4</v>
      </c>
    </row>
    <row r="524" spans="1:8">
      <c r="A524" s="3">
        <v>51.6</v>
      </c>
      <c r="B524" s="10">
        <f t="shared" si="56"/>
        <v>9.8004886331231277E-4</v>
      </c>
      <c r="C524" s="10">
        <f t="shared" si="57"/>
        <v>9.6049577447975637E-7</v>
      </c>
      <c r="D524" s="3">
        <f t="shared" si="62"/>
        <v>2</v>
      </c>
      <c r="E524" s="10">
        <f t="shared" si="58"/>
        <v>1.9600977266246255E-3</v>
      </c>
      <c r="F524" s="10">
        <f t="shared" si="59"/>
        <v>1.9209915489595127E-6</v>
      </c>
      <c r="G524" s="10">
        <f t="shared" si="60"/>
        <v>0.20228208538766135</v>
      </c>
      <c r="H524" s="10">
        <f t="shared" si="61"/>
        <v>1.9824632785262172E-4</v>
      </c>
    </row>
    <row r="525" spans="1:8">
      <c r="A525" s="3">
        <v>51.7</v>
      </c>
      <c r="B525" s="10">
        <f t="shared" si="56"/>
        <v>9.3364134767547611E-4</v>
      </c>
      <c r="C525" s="10">
        <f t="shared" si="57"/>
        <v>8.7168616608927924E-7</v>
      </c>
      <c r="D525" s="3">
        <f t="shared" si="62"/>
        <v>4</v>
      </c>
      <c r="E525" s="10">
        <f t="shared" si="58"/>
        <v>3.7345653907019044E-3</v>
      </c>
      <c r="F525" s="10">
        <f t="shared" si="59"/>
        <v>3.486744664357117E-6</v>
      </c>
      <c r="G525" s="10">
        <f t="shared" si="60"/>
        <v>0.38615406139857694</v>
      </c>
      <c r="H525" s="10">
        <f t="shared" si="61"/>
        <v>3.6052939829452589E-4</v>
      </c>
    </row>
    <row r="526" spans="1:8">
      <c r="A526" s="3">
        <v>51.800000000000004</v>
      </c>
      <c r="B526" s="10">
        <f t="shared" si="56"/>
        <v>8.8913846810814701E-4</v>
      </c>
      <c r="C526" s="10">
        <f t="shared" si="57"/>
        <v>7.905672154697024E-7</v>
      </c>
      <c r="D526" s="3">
        <f t="shared" si="62"/>
        <v>2</v>
      </c>
      <c r="E526" s="10">
        <f t="shared" si="58"/>
        <v>1.778276936216294E-3</v>
      </c>
      <c r="F526" s="10">
        <f t="shared" si="59"/>
        <v>1.5811344309394048E-6</v>
      </c>
      <c r="G526" s="10">
        <f t="shared" si="60"/>
        <v>0.18422949059200808</v>
      </c>
      <c r="H526" s="10">
        <f t="shared" si="61"/>
        <v>1.6380552704532236E-4</v>
      </c>
    </row>
    <row r="527" spans="1:8">
      <c r="A527" s="3">
        <v>51.900000000000006</v>
      </c>
      <c r="B527" s="10">
        <f t="shared" si="56"/>
        <v>8.4647615443142758E-4</v>
      </c>
      <c r="C527" s="10">
        <f t="shared" si="57"/>
        <v>7.1652188002101807E-7</v>
      </c>
      <c r="D527" s="3">
        <f t="shared" si="62"/>
        <v>4</v>
      </c>
      <c r="E527" s="10">
        <f t="shared" si="58"/>
        <v>3.3859046177257103E-3</v>
      </c>
      <c r="F527" s="10">
        <f t="shared" si="59"/>
        <v>2.8660875200840723E-6</v>
      </c>
      <c r="G527" s="10">
        <f t="shared" si="60"/>
        <v>0.35145689931992879</v>
      </c>
      <c r="H527" s="10">
        <f t="shared" si="61"/>
        <v>2.9749988458472671E-4</v>
      </c>
    </row>
    <row r="528" spans="1:8">
      <c r="A528" s="3">
        <v>52.000000000000007</v>
      </c>
      <c r="B528" s="10">
        <f t="shared" si="56"/>
        <v>8.0559188702147714E-4</v>
      </c>
      <c r="C528" s="10">
        <f t="shared" si="57"/>
        <v>6.4897828843482443E-7</v>
      </c>
      <c r="D528" s="3">
        <f t="shared" si="62"/>
        <v>2</v>
      </c>
      <c r="E528" s="10">
        <f t="shared" si="58"/>
        <v>1.6111837740429543E-3</v>
      </c>
      <c r="F528" s="10">
        <f t="shared" si="59"/>
        <v>1.2979565768696489E-6</v>
      </c>
      <c r="G528" s="10">
        <f t="shared" si="60"/>
        <v>0.16756311250046727</v>
      </c>
      <c r="H528" s="10">
        <f t="shared" si="61"/>
        <v>1.349874839944435E-4</v>
      </c>
    </row>
    <row r="529" spans="1:8">
      <c r="A529" s="3">
        <v>52.1</v>
      </c>
      <c r="B529" s="10">
        <f t="shared" si="56"/>
        <v>7.6642468219532956E-4</v>
      </c>
      <c r="C529" s="10">
        <f t="shared" si="57"/>
        <v>5.8740679347821188E-7</v>
      </c>
      <c r="D529" s="3">
        <f t="shared" si="62"/>
        <v>4</v>
      </c>
      <c r="E529" s="10">
        <f t="shared" si="58"/>
        <v>3.0656987287813182E-3</v>
      </c>
      <c r="F529" s="10">
        <f t="shared" si="59"/>
        <v>2.3496271739128475E-6</v>
      </c>
      <c r="G529" s="10">
        <f t="shared" si="60"/>
        <v>0.31944580753901336</v>
      </c>
      <c r="H529" s="10">
        <f t="shared" si="61"/>
        <v>2.4483115152171872E-4</v>
      </c>
    </row>
    <row r="530" spans="1:8">
      <c r="A530" s="3">
        <v>52.2</v>
      </c>
      <c r="B530" s="10">
        <f t="shared" si="56"/>
        <v>7.2891507691524892E-4</v>
      </c>
      <c r="C530" s="10">
        <f t="shared" si="57"/>
        <v>5.3131718935436321E-7</v>
      </c>
      <c r="D530" s="3">
        <f t="shared" si="62"/>
        <v>2</v>
      </c>
      <c r="E530" s="10">
        <f t="shared" si="58"/>
        <v>1.4578301538304978E-3</v>
      </c>
      <c r="F530" s="10">
        <f t="shared" si="59"/>
        <v>1.0626343787087264E-6</v>
      </c>
      <c r="G530" s="10">
        <f t="shared" si="60"/>
        <v>0.15219746805990397</v>
      </c>
      <c r="H530" s="10">
        <f t="shared" si="61"/>
        <v>1.1093902913719105E-4</v>
      </c>
    </row>
    <row r="531" spans="1:8">
      <c r="A531" s="3">
        <v>52.300000000000004</v>
      </c>
      <c r="B531" s="10">
        <f t="shared" si="56"/>
        <v>6.9300511283960638E-4</v>
      </c>
      <c r="C531" s="10">
        <f t="shared" si="57"/>
        <v>4.8025608642183557E-7</v>
      </c>
      <c r="D531" s="3">
        <f t="shared" si="62"/>
        <v>4</v>
      </c>
      <c r="E531" s="10">
        <f t="shared" si="58"/>
        <v>2.7720204513584255E-3</v>
      </c>
      <c r="F531" s="10">
        <f t="shared" si="59"/>
        <v>1.9210243456873423E-6</v>
      </c>
      <c r="G531" s="10">
        <f t="shared" si="60"/>
        <v>0.28995333921209132</v>
      </c>
      <c r="H531" s="10">
        <f t="shared" si="61"/>
        <v>2.0093914655889601E-4</v>
      </c>
    </row>
    <row r="532" spans="1:8">
      <c r="A532" s="3">
        <v>52.400000000000006</v>
      </c>
      <c r="B532" s="10">
        <f t="shared" si="56"/>
        <v>6.5863831974845332E-4</v>
      </c>
      <c r="C532" s="10">
        <f t="shared" si="57"/>
        <v>4.3380443624106582E-7</v>
      </c>
      <c r="D532" s="3">
        <f t="shared" si="62"/>
        <v>2</v>
      </c>
      <c r="E532" s="10">
        <f t="shared" si="58"/>
        <v>1.3172766394969066E-3</v>
      </c>
      <c r="F532" s="10">
        <f t="shared" si="59"/>
        <v>8.6760887248213164E-7</v>
      </c>
      <c r="G532" s="10">
        <f t="shared" si="60"/>
        <v>0.13805059181927584</v>
      </c>
      <c r="H532" s="10">
        <f t="shared" si="61"/>
        <v>9.0925409836127411E-5</v>
      </c>
    </row>
    <row r="533" spans="1:8">
      <c r="A533" s="3">
        <v>52.500000000000007</v>
      </c>
      <c r="B533" s="10">
        <f t="shared" si="56"/>
        <v>6.2575969837233472E-4</v>
      </c>
      <c r="C533" s="10">
        <f t="shared" si="57"/>
        <v>3.9157520010703534E-7</v>
      </c>
      <c r="D533" s="3">
        <f t="shared" si="62"/>
        <v>4</v>
      </c>
      <c r="E533" s="10">
        <f t="shared" si="58"/>
        <v>2.5030387934893389E-3</v>
      </c>
      <c r="F533" s="10">
        <f t="shared" si="59"/>
        <v>1.5663008004281414E-6</v>
      </c>
      <c r="G533" s="10">
        <f t="shared" si="60"/>
        <v>0.2628190733163806</v>
      </c>
      <c r="H533" s="10">
        <f t="shared" si="61"/>
        <v>1.6446158404495486E-4</v>
      </c>
    </row>
    <row r="534" spans="1:8">
      <c r="A534" s="3">
        <v>52.6</v>
      </c>
      <c r="B534" s="10">
        <f t="shared" si="56"/>
        <v>5.943157026529316E-4</v>
      </c>
      <c r="C534" s="10">
        <f t="shared" si="57"/>
        <v>3.5321115441984779E-7</v>
      </c>
      <c r="D534" s="3">
        <f t="shared" si="62"/>
        <v>2</v>
      </c>
      <c r="E534" s="10">
        <f t="shared" si="58"/>
        <v>1.1886314053058632E-3</v>
      </c>
      <c r="F534" s="10">
        <f t="shared" si="59"/>
        <v>7.0642230883969558E-7</v>
      </c>
      <c r="G534" s="10">
        <f t="shared" si="60"/>
        <v>0.12504402383817681</v>
      </c>
      <c r="H534" s="10">
        <f t="shared" si="61"/>
        <v>7.4315626889935981E-5</v>
      </c>
    </row>
    <row r="535" spans="1:8">
      <c r="A535" s="3">
        <v>52.7</v>
      </c>
      <c r="B535" s="10">
        <f t="shared" si="56"/>
        <v>5.6425422146432489E-4</v>
      </c>
      <c r="C535" s="10">
        <f t="shared" si="57"/>
        <v>3.1838282644031139E-7</v>
      </c>
      <c r="D535" s="3">
        <f t="shared" si="62"/>
        <v>4</v>
      </c>
      <c r="E535" s="10">
        <f t="shared" si="58"/>
        <v>2.2570168858572996E-3</v>
      </c>
      <c r="F535" s="10">
        <f t="shared" si="59"/>
        <v>1.2735313057612456E-6</v>
      </c>
      <c r="G535" s="10">
        <f t="shared" si="60"/>
        <v>0.23788957976935937</v>
      </c>
      <c r="H535" s="10">
        <f t="shared" si="61"/>
        <v>1.3423019962723528E-4</v>
      </c>
    </row>
    <row r="536" spans="1:8">
      <c r="A536" s="3">
        <v>52.800000000000004</v>
      </c>
      <c r="B536" s="10">
        <f t="shared" si="56"/>
        <v>5.3552455982378087E-4</v>
      </c>
      <c r="C536" s="10">
        <f t="shared" si="57"/>
        <v>2.8678655417445425E-7</v>
      </c>
      <c r="D536" s="3">
        <f t="shared" si="62"/>
        <v>2</v>
      </c>
      <c r="E536" s="10">
        <f t="shared" si="58"/>
        <v>1.0710491196475617E-3</v>
      </c>
      <c r="F536" s="10">
        <f t="shared" si="59"/>
        <v>5.7357310834890851E-7</v>
      </c>
      <c r="G536" s="10">
        <f t="shared" si="60"/>
        <v>0.11310278703478253</v>
      </c>
      <c r="H536" s="10">
        <f t="shared" si="61"/>
        <v>6.0569320241644742E-5</v>
      </c>
    </row>
    <row r="537" spans="1:8">
      <c r="A537" s="3">
        <v>52.900000000000006</v>
      </c>
      <c r="B537" s="10">
        <f t="shared" si="56"/>
        <v>5.0807741962091777E-4</v>
      </c>
      <c r="C537" s="10">
        <f t="shared" si="57"/>
        <v>2.5814266432865014E-7</v>
      </c>
      <c r="D537" s="3">
        <f t="shared" si="62"/>
        <v>4</v>
      </c>
      <c r="E537" s="10">
        <f t="shared" si="58"/>
        <v>2.0323096784836711E-3</v>
      </c>
      <c r="F537" s="10">
        <f t="shared" si="59"/>
        <v>1.0325706573146006E-6</v>
      </c>
      <c r="G537" s="10">
        <f t="shared" si="60"/>
        <v>0.21501836398357244</v>
      </c>
      <c r="H537" s="10">
        <f t="shared" si="61"/>
        <v>1.0924597554388476E-4</v>
      </c>
    </row>
    <row r="538" spans="1:8">
      <c r="A538" s="3">
        <v>53.000000000000007</v>
      </c>
      <c r="B538" s="10">
        <f t="shared" si="56"/>
        <v>4.8186487989425038E-4</v>
      </c>
      <c r="C538" s="10">
        <f t="shared" si="57"/>
        <v>2.3219376247550035E-7</v>
      </c>
      <c r="D538" s="3">
        <f t="shared" si="62"/>
        <v>2</v>
      </c>
      <c r="E538" s="10">
        <f t="shared" si="58"/>
        <v>9.6372975978850075E-4</v>
      </c>
      <c r="F538" s="10">
        <f t="shared" si="59"/>
        <v>4.6438752495100069E-7</v>
      </c>
      <c r="G538" s="10">
        <f t="shared" si="60"/>
        <v>0.10215535453758109</v>
      </c>
      <c r="H538" s="10">
        <f t="shared" si="61"/>
        <v>4.9225077644806082E-5</v>
      </c>
    </row>
    <row r="539" spans="1:8">
      <c r="A539" s="3">
        <v>53.1</v>
      </c>
      <c r="B539" s="10">
        <f t="shared" si="56"/>
        <v>4.568403766839712E-4</v>
      </c>
      <c r="C539" s="10">
        <f t="shared" si="57"/>
        <v>2.0870312976875271E-7</v>
      </c>
      <c r="D539" s="3">
        <f t="shared" si="62"/>
        <v>4</v>
      </c>
      <c r="E539" s="10">
        <f t="shared" si="58"/>
        <v>1.8273615067358848E-3</v>
      </c>
      <c r="F539" s="10">
        <f t="shared" si="59"/>
        <v>8.3481251907501083E-7</v>
      </c>
      <c r="G539" s="10">
        <f t="shared" si="60"/>
        <v>0.19406579201535099</v>
      </c>
      <c r="H539" s="10">
        <f t="shared" si="61"/>
        <v>8.8657089525766156E-5</v>
      </c>
    </row>
    <row r="540" spans="1:8">
      <c r="A540" s="3">
        <v>53.2</v>
      </c>
      <c r="B540" s="10">
        <f t="shared" si="56"/>
        <v>4.3295868248981721E-4</v>
      </c>
      <c r="C540" s="10">
        <f t="shared" si="57"/>
        <v>1.8745322074331835E-7</v>
      </c>
      <c r="D540" s="3">
        <f t="shared" si="62"/>
        <v>2</v>
      </c>
      <c r="E540" s="10">
        <f t="shared" si="58"/>
        <v>8.6591736497963442E-4</v>
      </c>
      <c r="F540" s="10">
        <f t="shared" si="59"/>
        <v>3.749064414866367E-7</v>
      </c>
      <c r="G540" s="10">
        <f t="shared" si="60"/>
        <v>9.2133607633833103E-2</v>
      </c>
      <c r="H540" s="10">
        <f t="shared" si="61"/>
        <v>3.9890045374178149E-5</v>
      </c>
    </row>
    <row r="541" spans="1:8">
      <c r="A541" s="3">
        <v>53.300000000000004</v>
      </c>
      <c r="B541" s="10">
        <f t="shared" si="56"/>
        <v>4.1017588536275596E-4</v>
      </c>
      <c r="C541" s="10">
        <f t="shared" si="57"/>
        <v>1.6824425693312073E-7</v>
      </c>
      <c r="D541" s="3">
        <f t="shared" si="62"/>
        <v>4</v>
      </c>
      <c r="E541" s="10">
        <f t="shared" si="58"/>
        <v>1.6407035414510239E-3</v>
      </c>
      <c r="F541" s="10">
        <f t="shared" si="59"/>
        <v>6.7297702773248291E-7</v>
      </c>
      <c r="G541" s="10">
        <f t="shared" si="60"/>
        <v>0.17489899751867916</v>
      </c>
      <c r="H541" s="10">
        <f t="shared" si="61"/>
        <v>7.173935115628268E-5</v>
      </c>
    </row>
    <row r="542" spans="1:8">
      <c r="A542" s="3">
        <v>53.400000000000006</v>
      </c>
      <c r="B542" s="10">
        <f t="shared" si="56"/>
        <v>3.8844936765901052E-4</v>
      </c>
      <c r="C542" s="10">
        <f t="shared" si="57"/>
        <v>1.5089291123468514E-7</v>
      </c>
      <c r="D542" s="3">
        <f t="shared" si="62"/>
        <v>2</v>
      </c>
      <c r="E542" s="10">
        <f t="shared" si="58"/>
        <v>7.7689873531802103E-4</v>
      </c>
      <c r="F542" s="10">
        <f t="shared" si="59"/>
        <v>3.0178582246937027E-7</v>
      </c>
      <c r="G542" s="10">
        <f t="shared" si="60"/>
        <v>8.2972784931964652E-2</v>
      </c>
      <c r="H542" s="10">
        <f t="shared" si="61"/>
        <v>3.223072583972875E-5</v>
      </c>
    </row>
    <row r="543" spans="1:8">
      <c r="A543" s="3">
        <v>53.500000000000007</v>
      </c>
      <c r="B543" s="10">
        <f t="shared" si="56"/>
        <v>3.6773778448485677E-4</v>
      </c>
      <c r="C543" s="10">
        <f t="shared" si="57"/>
        <v>1.3523107813783097E-7</v>
      </c>
      <c r="D543" s="3">
        <f t="shared" si="62"/>
        <v>4</v>
      </c>
      <c r="E543" s="10">
        <f t="shared" si="58"/>
        <v>1.4709511379394271E-3</v>
      </c>
      <c r="F543" s="10">
        <f t="shared" si="59"/>
        <v>5.4092431255132387E-7</v>
      </c>
      <c r="G543" s="10">
        <f t="shared" si="60"/>
        <v>0.15739177175951871</v>
      </c>
      <c r="H543" s="10">
        <f t="shared" si="61"/>
        <v>5.787890144299166E-5</v>
      </c>
    </row>
    <row r="544" spans="1:8">
      <c r="A544" s="3">
        <v>53.6</v>
      </c>
      <c r="B544" s="10">
        <f t="shared" si="56"/>
        <v>3.4800104186030392E-4</v>
      </c>
      <c r="C544" s="10">
        <f t="shared" si="57"/>
        <v>1.21104725135857E-7</v>
      </c>
      <c r="D544" s="3">
        <f t="shared" si="62"/>
        <v>2</v>
      </c>
      <c r="E544" s="10">
        <f t="shared" si="58"/>
        <v>6.9600208372060785E-4</v>
      </c>
      <c r="F544" s="10">
        <f t="shared" si="59"/>
        <v>2.4220945027171399E-7</v>
      </c>
      <c r="G544" s="10">
        <f t="shared" si="60"/>
        <v>7.4611423374849162E-2</v>
      </c>
      <c r="H544" s="10">
        <f t="shared" si="61"/>
        <v>2.5964853069127742E-5</v>
      </c>
    </row>
    <row r="545" spans="1:8">
      <c r="A545" s="3">
        <v>53.7</v>
      </c>
      <c r="B545" s="10">
        <f t="shared" si="56"/>
        <v>3.2920027462956332E-4</v>
      </c>
      <c r="C545" s="10">
        <f t="shared" si="57"/>
        <v>1.0837282081617991E-7</v>
      </c>
      <c r="D545" s="3">
        <f t="shared" si="62"/>
        <v>4</v>
      </c>
      <c r="E545" s="10">
        <f t="shared" si="58"/>
        <v>1.3168010985182533E-3</v>
      </c>
      <c r="F545" s="10">
        <f t="shared" si="59"/>
        <v>4.3349128326471965E-7</v>
      </c>
      <c r="G545" s="10">
        <f t="shared" si="60"/>
        <v>0.14142443798086041</v>
      </c>
      <c r="H545" s="10">
        <f t="shared" si="61"/>
        <v>4.6556963822630891E-5</v>
      </c>
    </row>
    <row r="546" spans="1:8">
      <c r="A546" s="3">
        <v>53.800000000000004</v>
      </c>
      <c r="B546" s="10">
        <f t="shared" si="56"/>
        <v>3.1129782414590287E-4</v>
      </c>
      <c r="C546" s="10">
        <f t="shared" si="57"/>
        <v>9.6906335317973474E-8</v>
      </c>
      <c r="D546" s="3">
        <f t="shared" si="62"/>
        <v>2</v>
      </c>
      <c r="E546" s="10">
        <f t="shared" si="58"/>
        <v>6.2259564829180575E-4</v>
      </c>
      <c r="F546" s="10">
        <f t="shared" si="59"/>
        <v>1.9381267063594695E-7</v>
      </c>
      <c r="G546" s="10">
        <f t="shared" si="60"/>
        <v>6.6991291756198307E-2</v>
      </c>
      <c r="H546" s="10">
        <f t="shared" si="61"/>
        <v>2.0854243360427893E-5</v>
      </c>
    </row>
    <row r="547" spans="1:8">
      <c r="A547" s="3">
        <v>53.900000000000006</v>
      </c>
      <c r="B547" s="10">
        <f t="shared" si="56"/>
        <v>2.9425721575810081E-4</v>
      </c>
      <c r="C547" s="10">
        <f t="shared" si="57"/>
        <v>8.658730902570949E-8</v>
      </c>
      <c r="D547" s="3">
        <f t="shared" si="62"/>
        <v>4</v>
      </c>
      <c r="E547" s="10">
        <f t="shared" si="58"/>
        <v>1.1770288630324032E-3</v>
      </c>
      <c r="F547" s="10">
        <f t="shared" si="59"/>
        <v>3.4634923610283796E-7</v>
      </c>
      <c r="G547" s="10">
        <f t="shared" si="60"/>
        <v>0.12688371143489308</v>
      </c>
      <c r="H547" s="10">
        <f t="shared" si="61"/>
        <v>3.7336447651885934E-5</v>
      </c>
    </row>
    <row r="548" spans="1:8">
      <c r="A548" s="3">
        <v>54.000000000000007</v>
      </c>
      <c r="B548" s="10">
        <f t="shared" si="56"/>
        <v>2.7804313612542339E-4</v>
      </c>
      <c r="C548" s="10">
        <f t="shared" si="57"/>
        <v>7.7307985546460717E-8</v>
      </c>
      <c r="D548" s="3">
        <f t="shared" si="62"/>
        <v>2</v>
      </c>
      <c r="E548" s="10">
        <f t="shared" si="58"/>
        <v>5.5608627225084677E-4</v>
      </c>
      <c r="F548" s="10">
        <f t="shared" si="59"/>
        <v>1.5461597109292143E-7</v>
      </c>
      <c r="G548" s="10">
        <f t="shared" si="60"/>
        <v>6.0057317403091462E-2</v>
      </c>
      <c r="H548" s="10">
        <f t="shared" si="61"/>
        <v>1.6698524878035517E-5</v>
      </c>
    </row>
    <row r="549" spans="1:8">
      <c r="A549" s="3">
        <v>54.1</v>
      </c>
      <c r="B549" s="10">
        <f t="shared" si="56"/>
        <v>2.6262141038757927E-4</v>
      </c>
      <c r="C549" s="10">
        <f t="shared" si="57"/>
        <v>6.8970005193961327E-8</v>
      </c>
      <c r="D549" s="3">
        <f t="shared" si="62"/>
        <v>4</v>
      </c>
      <c r="E549" s="10">
        <f t="shared" si="58"/>
        <v>1.0504856415503171E-3</v>
      </c>
      <c r="F549" s="10">
        <f t="shared" si="59"/>
        <v>2.7588002077584531E-7</v>
      </c>
      <c r="G549" s="10">
        <f t="shared" si="60"/>
        <v>0.11366254641574432</v>
      </c>
      <c r="H549" s="10">
        <f t="shared" si="61"/>
        <v>2.9850218247946463E-5</v>
      </c>
    </row>
    <row r="550" spans="1:8">
      <c r="A550" s="3">
        <v>54.2</v>
      </c>
      <c r="B550" s="10">
        <f t="shared" si="56"/>
        <v>2.4795897921570781E-4</v>
      </c>
      <c r="C550" s="10">
        <f t="shared" si="57"/>
        <v>6.1483655373695824E-8</v>
      </c>
      <c r="D550" s="3">
        <f t="shared" si="62"/>
        <v>2</v>
      </c>
      <c r="E550" s="10">
        <f t="shared" si="58"/>
        <v>4.9591795843141563E-4</v>
      </c>
      <c r="F550" s="10">
        <f t="shared" si="59"/>
        <v>1.2296731074739165E-7</v>
      </c>
      <c r="G550" s="10">
        <f t="shared" si="60"/>
        <v>5.3757506693965458E-2</v>
      </c>
      <c r="H550" s="10">
        <f t="shared" si="61"/>
        <v>1.3329656485017256E-5</v>
      </c>
    </row>
    <row r="551" spans="1:8">
      <c r="A551" s="3">
        <v>54.300000000000004</v>
      </c>
      <c r="B551" s="10">
        <f t="shared" si="56"/>
        <v>2.3402387576999643E-4</v>
      </c>
      <c r="C551" s="10">
        <f t="shared" si="57"/>
        <v>5.4767174430410725E-8</v>
      </c>
      <c r="D551" s="3">
        <f t="shared" si="62"/>
        <v>4</v>
      </c>
      <c r="E551" s="10">
        <f t="shared" si="58"/>
        <v>9.3609550307998573E-4</v>
      </c>
      <c r="F551" s="10">
        <f t="shared" si="59"/>
        <v>2.190686977216429E-7</v>
      </c>
      <c r="G551" s="10">
        <f t="shared" si="60"/>
        <v>0.10165997163448645</v>
      </c>
      <c r="H551" s="10">
        <f t="shared" si="61"/>
        <v>2.379086057257042E-5</v>
      </c>
    </row>
    <row r="552" spans="1:8">
      <c r="A552" s="3">
        <v>54.400000000000006</v>
      </c>
      <c r="B552" s="10">
        <f t="shared" si="56"/>
        <v>2.2078520258898561E-4</v>
      </c>
      <c r="C552" s="10">
        <f t="shared" si="57"/>
        <v>4.8746105682259419E-8</v>
      </c>
      <c r="D552" s="3">
        <f t="shared" si="62"/>
        <v>2</v>
      </c>
      <c r="E552" s="10">
        <f t="shared" si="58"/>
        <v>4.4157040517797121E-4</v>
      </c>
      <c r="F552" s="10">
        <f t="shared" si="59"/>
        <v>9.7492211364518837E-8</v>
      </c>
      <c r="G552" s="10">
        <f t="shared" si="60"/>
        <v>4.8042860083363274E-2</v>
      </c>
      <c r="H552" s="10">
        <f t="shared" si="61"/>
        <v>1.060715259645965E-5</v>
      </c>
    </row>
    <row r="553" spans="1:8">
      <c r="A553" s="3">
        <v>54.500000000000007</v>
      </c>
      <c r="B553" s="10">
        <f t="shared" si="56"/>
        <v>2.082131084351758E-4</v>
      </c>
      <c r="C553" s="10">
        <f t="shared" si="57"/>
        <v>4.3352698524238274E-8</v>
      </c>
      <c r="D553" s="3">
        <f t="shared" si="62"/>
        <v>4</v>
      </c>
      <c r="E553" s="10">
        <f t="shared" si="58"/>
        <v>8.3285243374070321E-4</v>
      </c>
      <c r="F553" s="10">
        <f t="shared" si="59"/>
        <v>1.734107940969531E-7</v>
      </c>
      <c r="G553" s="10">
        <f t="shared" si="60"/>
        <v>9.0780915277736657E-2</v>
      </c>
      <c r="H553" s="10">
        <f t="shared" si="61"/>
        <v>1.8901776556567891E-5</v>
      </c>
    </row>
    <row r="554" spans="1:8">
      <c r="A554" s="3">
        <v>54.6</v>
      </c>
      <c r="B554" s="10">
        <f t="shared" si="56"/>
        <v>1.9627876512091485E-4</v>
      </c>
      <c r="C554" s="10">
        <f t="shared" si="57"/>
        <v>3.852535363739126E-8</v>
      </c>
      <c r="D554" s="3">
        <f t="shared" si="62"/>
        <v>2</v>
      </c>
      <c r="E554" s="10">
        <f t="shared" si="58"/>
        <v>3.9255753024182969E-4</v>
      </c>
      <c r="F554" s="10">
        <f t="shared" si="59"/>
        <v>7.7050707274782519E-8</v>
      </c>
      <c r="G554" s="10">
        <f t="shared" si="60"/>
        <v>4.2867282302407807E-2</v>
      </c>
      <c r="H554" s="10">
        <f t="shared" si="61"/>
        <v>8.4139372344062516E-6</v>
      </c>
    </row>
    <row r="555" spans="1:8">
      <c r="A555" s="3">
        <v>54.7</v>
      </c>
      <c r="B555" s="10">
        <f t="shared" si="56"/>
        <v>1.8495434433805723E-4</v>
      </c>
      <c r="C555" s="10">
        <f t="shared" si="57"/>
        <v>3.4208109489520645E-8</v>
      </c>
      <c r="D555" s="3">
        <f t="shared" si="62"/>
        <v>4</v>
      </c>
      <c r="E555" s="10">
        <f t="shared" si="58"/>
        <v>7.3981737735222893E-4</v>
      </c>
      <c r="F555" s="10">
        <f t="shared" si="59"/>
        <v>1.3683243795808258E-7</v>
      </c>
      <c r="G555" s="10">
        <f t="shared" si="60"/>
        <v>8.0936021082333845E-2</v>
      </c>
      <c r="H555" s="10">
        <f t="shared" si="61"/>
        <v>1.4969468712614235E-5</v>
      </c>
    </row>
    <row r="556" spans="1:8">
      <c r="A556" s="3">
        <v>54.800000000000004</v>
      </c>
      <c r="B556" s="10">
        <f t="shared" si="56"/>
        <v>1.7421299451423348E-4</v>
      </c>
      <c r="C556" s="10">
        <f t="shared" si="57"/>
        <v>3.035016745761634E-8</v>
      </c>
      <c r="D556" s="3">
        <f t="shared" si="62"/>
        <v>2</v>
      </c>
      <c r="E556" s="10">
        <f t="shared" si="58"/>
        <v>3.4842598902846695E-4</v>
      </c>
      <c r="F556" s="10">
        <f t="shared" si="59"/>
        <v>6.070033491523268E-8</v>
      </c>
      <c r="G556" s="10">
        <f t="shared" si="60"/>
        <v>3.8187488397519981E-2</v>
      </c>
      <c r="H556" s="10">
        <f t="shared" si="61"/>
        <v>6.6527567067095023E-6</v>
      </c>
    </row>
    <row r="557" spans="1:8">
      <c r="A557" s="3">
        <v>54.900000000000006</v>
      </c>
      <c r="B557" s="10">
        <f t="shared" si="56"/>
        <v>1.6402881771795927E-4</v>
      </c>
      <c r="C557" s="10">
        <f t="shared" si="57"/>
        <v>2.6905453041951511E-8</v>
      </c>
      <c r="D557" s="3">
        <f t="shared" si="62"/>
        <v>4</v>
      </c>
      <c r="E557" s="10">
        <f t="shared" si="58"/>
        <v>6.5611527087183709E-4</v>
      </c>
      <c r="F557" s="10">
        <f t="shared" si="59"/>
        <v>1.0762181216780604E-7</v>
      </c>
      <c r="G557" s="10">
        <f t="shared" si="60"/>
        <v>7.2041456741727725E-2</v>
      </c>
      <c r="H557" s="10">
        <f t="shared" si="61"/>
        <v>1.1816874976025105E-5</v>
      </c>
    </row>
    <row r="558" spans="1:8">
      <c r="A558" s="3">
        <v>55.000000000000007</v>
      </c>
      <c r="B558" s="10">
        <f t="shared" si="56"/>
        <v>1.5437684663421682E-4</v>
      </c>
      <c r="C558" s="10">
        <f t="shared" si="57"/>
        <v>2.3832210776724503E-8</v>
      </c>
      <c r="D558" s="3">
        <f t="shared" si="62"/>
        <v>2</v>
      </c>
      <c r="E558" s="10">
        <f t="shared" si="58"/>
        <v>3.0875369326843364E-4</v>
      </c>
      <c r="F558" s="10">
        <f t="shared" si="59"/>
        <v>4.7664421553449006E-8</v>
      </c>
      <c r="G558" s="10">
        <f t="shared" si="60"/>
        <v>3.3962906259527706E-2</v>
      </c>
      <c r="H558" s="10">
        <f t="shared" si="61"/>
        <v>5.2430863708793914E-6</v>
      </c>
    </row>
    <row r="559" spans="1:8">
      <c r="A559" s="3">
        <v>55.1</v>
      </c>
      <c r="B559" s="10">
        <f t="shared" si="56"/>
        <v>1.4523302163142117E-4</v>
      </c>
      <c r="C559" s="10">
        <f t="shared" si="57"/>
        <v>2.1092630572192848E-8</v>
      </c>
      <c r="D559" s="3">
        <f t="shared" si="62"/>
        <v>4</v>
      </c>
      <c r="E559" s="10">
        <f t="shared" si="58"/>
        <v>5.8093208652568466E-4</v>
      </c>
      <c r="F559" s="10">
        <f t="shared" si="59"/>
        <v>8.4370522288771394E-8</v>
      </c>
      <c r="G559" s="10">
        <f t="shared" si="60"/>
        <v>6.4018715935130449E-2</v>
      </c>
      <c r="H559" s="10">
        <f t="shared" si="61"/>
        <v>9.2976315562226081E-6</v>
      </c>
    </row>
    <row r="560" spans="1:8">
      <c r="A560" s="3">
        <v>55.2</v>
      </c>
      <c r="B560" s="10">
        <f t="shared" si="56"/>
        <v>1.3657416794006291E-4</v>
      </c>
      <c r="C560" s="10">
        <f t="shared" si="57"/>
        <v>1.8652503348520506E-8</v>
      </c>
      <c r="D560" s="3">
        <f t="shared" si="62"/>
        <v>2</v>
      </c>
      <c r="E560" s="10">
        <f t="shared" si="58"/>
        <v>2.7314833588012582E-4</v>
      </c>
      <c r="F560" s="10">
        <f t="shared" si="59"/>
        <v>3.7305006697041012E-8</v>
      </c>
      <c r="G560" s="10">
        <f t="shared" si="60"/>
        <v>3.0155576281165893E-2</v>
      </c>
      <c r="H560" s="10">
        <f t="shared" si="61"/>
        <v>4.1184727393533279E-6</v>
      </c>
    </row>
    <row r="561" spans="1:8">
      <c r="A561" s="3">
        <v>55.300000000000004</v>
      </c>
      <c r="B561" s="10">
        <f t="shared" si="56"/>
        <v>1.2837797296261225E-4</v>
      </c>
      <c r="C561" s="10">
        <f t="shared" si="57"/>
        <v>1.6480903941989201E-8</v>
      </c>
      <c r="D561" s="3">
        <f t="shared" si="62"/>
        <v>4</v>
      </c>
      <c r="E561" s="10">
        <f t="shared" si="58"/>
        <v>5.1351189185044898E-4</v>
      </c>
      <c r="F561" s="10">
        <f t="shared" si="59"/>
        <v>6.5923615767956805E-8</v>
      </c>
      <c r="G561" s="10">
        <f t="shared" si="60"/>
        <v>5.6794415238659662E-2</v>
      </c>
      <c r="H561" s="10">
        <f t="shared" si="61"/>
        <v>7.2911519039360234E-6</v>
      </c>
    </row>
    <row r="562" spans="1:8">
      <c r="A562" s="3">
        <v>55.400000000000006</v>
      </c>
      <c r="B562" s="10">
        <f t="shared" si="56"/>
        <v>1.2062296373353691E-4</v>
      </c>
      <c r="C562" s="10">
        <f t="shared" si="57"/>
        <v>1.4549899379862161E-8</v>
      </c>
      <c r="D562" s="3">
        <f t="shared" si="62"/>
        <v>2</v>
      </c>
      <c r="E562" s="10">
        <f t="shared" si="58"/>
        <v>2.4124592746707383E-4</v>
      </c>
      <c r="F562" s="10">
        <f t="shared" si="59"/>
        <v>2.9099798759724322E-8</v>
      </c>
      <c r="G562" s="10">
        <f t="shared" si="60"/>
        <v>2.6730048763351784E-2</v>
      </c>
      <c r="H562" s="10">
        <f t="shared" si="61"/>
        <v>3.2242577025774553E-6</v>
      </c>
    </row>
    <row r="563" spans="1:8">
      <c r="A563" s="3">
        <v>55.500000000000007</v>
      </c>
      <c r="B563" s="10">
        <f t="shared" si="56"/>
        <v>1.1328848454762273E-4</v>
      </c>
      <c r="C563" s="10">
        <f t="shared" si="57"/>
        <v>1.2834280731096955E-8</v>
      </c>
      <c r="D563" s="3">
        <f t="shared" si="62"/>
        <v>4</v>
      </c>
      <c r="E563" s="10">
        <f t="shared" si="58"/>
        <v>4.5315393819049093E-4</v>
      </c>
      <c r="F563" s="10">
        <f t="shared" si="59"/>
        <v>5.1337122924387818E-8</v>
      </c>
      <c r="G563" s="10">
        <f t="shared" si="60"/>
        <v>5.0300087139144502E-2</v>
      </c>
      <c r="H563" s="10">
        <f t="shared" si="61"/>
        <v>5.6984206446070485E-6</v>
      </c>
    </row>
    <row r="564" spans="1:8">
      <c r="A564" s="3">
        <v>55.6</v>
      </c>
      <c r="B564" s="10">
        <f t="shared" si="56"/>
        <v>1.063546747740098E-4</v>
      </c>
      <c r="C564" s="10">
        <f t="shared" si="57"/>
        <v>1.1311316846285397E-8</v>
      </c>
      <c r="D564" s="3">
        <f t="shared" si="62"/>
        <v>2</v>
      </c>
      <c r="E564" s="10">
        <f t="shared" si="58"/>
        <v>2.127093495480196E-4</v>
      </c>
      <c r="F564" s="10">
        <f t="shared" si="59"/>
        <v>2.2622633692570794E-8</v>
      </c>
      <c r="G564" s="10">
        <f t="shared" si="60"/>
        <v>2.365327966973978E-2</v>
      </c>
      <c r="H564" s="10">
        <f t="shared" si="61"/>
        <v>2.5156368666138725E-6</v>
      </c>
    </row>
    <row r="565" spans="1:8">
      <c r="A565" s="3">
        <v>55.7</v>
      </c>
      <c r="B565" s="10">
        <f t="shared" si="56"/>
        <v>9.9802446872644768E-5</v>
      </c>
      <c r="C565" s="10">
        <f t="shared" si="57"/>
        <v>9.960528401767082E-9</v>
      </c>
      <c r="D565" s="3">
        <f t="shared" si="62"/>
        <v>4</v>
      </c>
      <c r="E565" s="10">
        <f t="shared" si="58"/>
        <v>3.9920978749057907E-4</v>
      </c>
      <c r="F565" s="10">
        <f t="shared" si="59"/>
        <v>3.9842113607068328E-8</v>
      </c>
      <c r="G565" s="10">
        <f t="shared" si="60"/>
        <v>4.4471970326450512E-2</v>
      </c>
      <c r="H565" s="10">
        <f t="shared" si="61"/>
        <v>4.4384114558274117E-6</v>
      </c>
    </row>
    <row r="566" spans="1:8">
      <c r="A566" s="3">
        <v>55.800000000000004</v>
      </c>
      <c r="B566" s="10">
        <f t="shared" si="56"/>
        <v>9.3613464629103014E-5</v>
      </c>
      <c r="C566" s="10">
        <f t="shared" si="57"/>
        <v>8.7634807598643214E-9</v>
      </c>
      <c r="D566" s="3">
        <f t="shared" si="62"/>
        <v>2</v>
      </c>
      <c r="E566" s="10">
        <f t="shared" si="58"/>
        <v>1.8722692925820603E-4</v>
      </c>
      <c r="F566" s="10">
        <f t="shared" si="59"/>
        <v>1.7526961519728643E-8</v>
      </c>
      <c r="G566" s="10">
        <f t="shared" si="60"/>
        <v>2.0894525305215794E-2</v>
      </c>
      <c r="H566" s="10">
        <f t="shared" si="61"/>
        <v>1.9560089056017165E-6</v>
      </c>
    </row>
    <row r="567" spans="1:8">
      <c r="A567" s="3">
        <v>55.900000000000006</v>
      </c>
      <c r="B567" s="10">
        <f t="shared" si="56"/>
        <v>8.777012162296106E-5</v>
      </c>
      <c r="C567" s="10">
        <f t="shared" si="57"/>
        <v>7.7035942497093763E-9</v>
      </c>
      <c r="D567" s="3">
        <f t="shared" si="62"/>
        <v>4</v>
      </c>
      <c r="E567" s="10">
        <f t="shared" si="58"/>
        <v>3.5108048649184424E-4</v>
      </c>
      <c r="F567" s="10">
        <f t="shared" si="59"/>
        <v>3.0814376998837505E-8</v>
      </c>
      <c r="G567" s="10">
        <f t="shared" si="60"/>
        <v>3.9250798389788191E-2</v>
      </c>
      <c r="H567" s="10">
        <f t="shared" si="61"/>
        <v>3.4450473484700333E-6</v>
      </c>
    </row>
    <row r="568" spans="1:8">
      <c r="A568" s="3">
        <v>56.000000000000007</v>
      </c>
      <c r="B568" s="10">
        <f t="shared" si="56"/>
        <v>8.2255519944177019E-5</v>
      </c>
      <c r="C568" s="10">
        <f t="shared" si="57"/>
        <v>6.7659705612869032E-9</v>
      </c>
      <c r="D568" s="3">
        <f t="shared" si="62"/>
        <v>2</v>
      </c>
      <c r="E568" s="10">
        <f t="shared" si="58"/>
        <v>1.6451103988835404E-4</v>
      </c>
      <c r="F568" s="10">
        <f t="shared" si="59"/>
        <v>1.3531941122573806E-8</v>
      </c>
      <c r="G568" s="10">
        <f t="shared" si="60"/>
        <v>1.8425236467495654E-2</v>
      </c>
      <c r="H568" s="10">
        <f t="shared" si="61"/>
        <v>1.5155774057282665E-6</v>
      </c>
    </row>
    <row r="569" spans="1:8">
      <c r="A569" s="3">
        <v>56.1</v>
      </c>
      <c r="B569" s="10">
        <f t="shared" si="56"/>
        <v>7.7053449171142726E-5</v>
      </c>
      <c r="C569" s="10">
        <f t="shared" si="57"/>
        <v>5.9372340291698756E-9</v>
      </c>
      <c r="D569" s="3">
        <f t="shared" si="62"/>
        <v>4</v>
      </c>
      <c r="E569" s="10">
        <f t="shared" si="58"/>
        <v>3.0821379668457091E-4</v>
      </c>
      <c r="F569" s="10">
        <f t="shared" si="59"/>
        <v>2.3748936116679502E-8</v>
      </c>
      <c r="G569" s="10">
        <f t="shared" si="60"/>
        <v>3.4581587988008859E-2</v>
      </c>
      <c r="H569" s="10">
        <f t="shared" si="61"/>
        <v>2.6646306322914403E-6</v>
      </c>
    </row>
    <row r="570" spans="1:8">
      <c r="A570" s="3">
        <v>56.2</v>
      </c>
      <c r="B570" s="10">
        <f t="shared" si="56"/>
        <v>7.2148365623330441E-5</v>
      </c>
      <c r="C570" s="10">
        <f t="shared" si="57"/>
        <v>5.2053866621177701E-9</v>
      </c>
      <c r="D570" s="3">
        <f t="shared" si="62"/>
        <v>2</v>
      </c>
      <c r="E570" s="10">
        <f t="shared" si="58"/>
        <v>1.4429673124666088E-4</v>
      </c>
      <c r="F570" s="10">
        <f t="shared" si="59"/>
        <v>1.041077332423554E-8</v>
      </c>
      <c r="G570" s="10">
        <f t="shared" si="60"/>
        <v>1.6218952592124684E-2</v>
      </c>
      <c r="H570" s="10">
        <f t="shared" si="61"/>
        <v>1.1701709216440749E-6</v>
      </c>
    </row>
    <row r="571" spans="1:8">
      <c r="A571" s="3">
        <v>56.300000000000004</v>
      </c>
      <c r="B571" s="10">
        <f t="shared" si="56"/>
        <v>6.752537190069118E-5</v>
      </c>
      <c r="C571" s="10">
        <f t="shared" si="57"/>
        <v>4.5596758503266537E-9</v>
      </c>
      <c r="D571" s="3">
        <f t="shared" si="62"/>
        <v>4</v>
      </c>
      <c r="E571" s="10">
        <f t="shared" si="58"/>
        <v>2.7010148760276472E-4</v>
      </c>
      <c r="F571" s="10">
        <f t="shared" si="59"/>
        <v>1.8238703401306615E-8</v>
      </c>
      <c r="G571" s="10">
        <f t="shared" si="60"/>
        <v>3.0413427504071309E-2</v>
      </c>
      <c r="H571" s="10">
        <f t="shared" si="61"/>
        <v>2.053678002987125E-6</v>
      </c>
    </row>
    <row r="572" spans="1:8">
      <c r="A572" s="3">
        <v>56.400000000000006</v>
      </c>
      <c r="B572" s="10">
        <f t="shared" si="56"/>
        <v>6.3170196721184081E-5</v>
      </c>
      <c r="C572" s="10">
        <f t="shared" si="57"/>
        <v>3.9904737537930964E-9</v>
      </c>
      <c r="D572" s="3">
        <f t="shared" si="62"/>
        <v>2</v>
      </c>
      <c r="E572" s="10">
        <f t="shared" si="58"/>
        <v>1.2634039344236816E-4</v>
      </c>
      <c r="F572" s="10">
        <f t="shared" si="59"/>
        <v>7.9809475075861928E-9</v>
      </c>
      <c r="G572" s="10">
        <f t="shared" si="60"/>
        <v>1.425119638029913E-2</v>
      </c>
      <c r="H572" s="10">
        <f t="shared" si="61"/>
        <v>9.0025087885572264E-7</v>
      </c>
    </row>
    <row r="573" spans="1:8">
      <c r="A573" s="3">
        <v>56.500000000000007</v>
      </c>
      <c r="B573" s="10">
        <f t="shared" si="56"/>
        <v>5.9069175067084574E-5</v>
      </c>
      <c r="C573" s="10">
        <f t="shared" si="57"/>
        <v>3.4891674431058858E-9</v>
      </c>
      <c r="D573" s="3">
        <f t="shared" si="62"/>
        <v>4</v>
      </c>
      <c r="E573" s="10">
        <f t="shared" si="58"/>
        <v>2.362767002683383E-4</v>
      </c>
      <c r="F573" s="10">
        <f t="shared" si="59"/>
        <v>1.3956669772423543E-8</v>
      </c>
      <c r="G573" s="10">
        <f t="shared" si="60"/>
        <v>2.6699267130322231E-2</v>
      </c>
      <c r="H573" s="10">
        <f t="shared" si="61"/>
        <v>1.5771036842838606E-6</v>
      </c>
    </row>
    <row r="574" spans="1:8">
      <c r="A574" s="3">
        <v>56.6</v>
      </c>
      <c r="B574" s="10">
        <f t="shared" si="56"/>
        <v>5.5209228649938541E-5</v>
      </c>
      <c r="C574" s="10">
        <f t="shared" si="57"/>
        <v>3.0480589281211948E-9</v>
      </c>
      <c r="D574" s="3">
        <f t="shared" si="62"/>
        <v>2</v>
      </c>
      <c r="E574" s="10">
        <f t="shared" si="58"/>
        <v>1.1041845729987708E-4</v>
      </c>
      <c r="F574" s="10">
        <f t="shared" si="59"/>
        <v>6.0961178562423896E-9</v>
      </c>
      <c r="G574" s="10">
        <f t="shared" si="60"/>
        <v>1.2499369366346087E-2</v>
      </c>
      <c r="H574" s="10">
        <f t="shared" si="61"/>
        <v>6.9008054132663856E-7</v>
      </c>
    </row>
    <row r="575" spans="1:8">
      <c r="A575" s="3">
        <v>56.7</v>
      </c>
      <c r="B575" s="10">
        <f t="shared" si="56"/>
        <v>5.1577846703294314E-5</v>
      </c>
      <c r="C575" s="10">
        <f t="shared" si="57"/>
        <v>2.660274270548528E-9</v>
      </c>
      <c r="D575" s="3">
        <f t="shared" si="62"/>
        <v>4</v>
      </c>
      <c r="E575" s="10">
        <f t="shared" si="58"/>
        <v>2.0631138681317726E-4</v>
      </c>
      <c r="F575" s="10">
        <f t="shared" si="59"/>
        <v>1.0641097082194112E-8</v>
      </c>
      <c r="G575" s="10">
        <f t="shared" si="60"/>
        <v>2.3395711264614302E-2</v>
      </c>
      <c r="H575" s="10">
        <f t="shared" si="61"/>
        <v>1.2067004091208124E-6</v>
      </c>
    </row>
    <row r="576" spans="1:8">
      <c r="A576" s="3">
        <v>56.800000000000004</v>
      </c>
      <c r="B576" s="10">
        <f t="shared" si="56"/>
        <v>4.8163067111602469E-5</v>
      </c>
      <c r="C576" s="10">
        <f t="shared" si="57"/>
        <v>2.3196810335967234E-9</v>
      </c>
      <c r="D576" s="3">
        <f t="shared" si="62"/>
        <v>2</v>
      </c>
      <c r="E576" s="10">
        <f t="shared" si="58"/>
        <v>9.6326134223204937E-5</v>
      </c>
      <c r="F576" s="10">
        <f t="shared" si="59"/>
        <v>4.6393620671934468E-9</v>
      </c>
      <c r="G576" s="10">
        <f t="shared" si="60"/>
        <v>1.0942648847756082E-2</v>
      </c>
      <c r="H576" s="10">
        <f t="shared" si="61"/>
        <v>5.2703153083317561E-7</v>
      </c>
    </row>
    <row r="577" spans="1:8">
      <c r="A577" s="3">
        <v>56.900000000000006</v>
      </c>
      <c r="B577" s="10">
        <f t="shared" si="56"/>
        <v>4.4953457882921433E-5</v>
      </c>
      <c r="C577" s="10">
        <f t="shared" si="57"/>
        <v>2.0208133756315913E-9</v>
      </c>
      <c r="D577" s="3">
        <f t="shared" si="62"/>
        <v>4</v>
      </c>
      <c r="E577" s="10">
        <f t="shared" si="58"/>
        <v>1.7981383153168573E-4</v>
      </c>
      <c r="F577" s="10">
        <f t="shared" si="59"/>
        <v>8.0832535025263652E-9</v>
      </c>
      <c r="G577" s="10">
        <f t="shared" si="60"/>
        <v>2.046281402830584E-2</v>
      </c>
      <c r="H577" s="10">
        <f t="shared" si="61"/>
        <v>9.1987424858750041E-7</v>
      </c>
    </row>
    <row r="578" spans="1:8">
      <c r="A578" s="3">
        <v>57.000000000000007</v>
      </c>
      <c r="B578" s="10">
        <f t="shared" si="56"/>
        <v>4.193809897236814E-5</v>
      </c>
      <c r="C578" s="10">
        <f t="shared" si="57"/>
        <v>1.7588041454161456E-9</v>
      </c>
      <c r="D578" s="3">
        <f t="shared" si="62"/>
        <v>2</v>
      </c>
      <c r="E578" s="10">
        <f t="shared" si="58"/>
        <v>8.387619794473628E-5</v>
      </c>
      <c r="F578" s="10">
        <f t="shared" si="59"/>
        <v>3.5176082908322912E-9</v>
      </c>
      <c r="G578" s="10">
        <f t="shared" si="60"/>
        <v>9.5618865656999369E-3</v>
      </c>
      <c r="H578" s="10">
        <f t="shared" si="61"/>
        <v>4.0100734515488126E-7</v>
      </c>
    </row>
    <row r="579" spans="1:8">
      <c r="A579" s="3">
        <v>57.1</v>
      </c>
      <c r="B579" s="10">
        <f t="shared" si="56"/>
        <v>3.9106564462508399E-5</v>
      </c>
      <c r="C579" s="10">
        <f t="shared" si="57"/>
        <v>1.5293233840603248E-9</v>
      </c>
      <c r="D579" s="3">
        <f t="shared" si="62"/>
        <v>4</v>
      </c>
      <c r="E579" s="10">
        <f t="shared" si="58"/>
        <v>1.564262578500336E-4</v>
      </c>
      <c r="F579" s="10">
        <f t="shared" si="59"/>
        <v>6.1172935362412993E-9</v>
      </c>
      <c r="G579" s="10">
        <f t="shared" si="60"/>
        <v>1.7863878646473836E-2</v>
      </c>
      <c r="H579" s="10">
        <f t="shared" si="61"/>
        <v>6.9859492183875634E-7</v>
      </c>
    </row>
    <row r="580" spans="1:8">
      <c r="A580" s="3">
        <v>57.2</v>
      </c>
      <c r="B580" s="10">
        <f t="shared" si="56"/>
        <v>3.6448905106200127E-5</v>
      </c>
      <c r="C580" s="10">
        <f t="shared" si="57"/>
        <v>1.3285226834407817E-9</v>
      </c>
      <c r="D580" s="3">
        <f t="shared" si="62"/>
        <v>2</v>
      </c>
      <c r="E580" s="10">
        <f t="shared" si="58"/>
        <v>7.2897810212400253E-5</v>
      </c>
      <c r="F580" s="10">
        <f t="shared" si="59"/>
        <v>2.6570453668815633E-9</v>
      </c>
      <c r="G580" s="10">
        <f t="shared" si="60"/>
        <v>8.3395094882985892E-3</v>
      </c>
      <c r="H580" s="10">
        <f t="shared" si="61"/>
        <v>3.0396598997125086E-7</v>
      </c>
    </row>
    <row r="581" spans="1:8">
      <c r="A581" s="3">
        <v>57.300000000000004</v>
      </c>
      <c r="B581" s="10">
        <f t="shared" si="56"/>
        <v>3.3955631236700344E-5</v>
      </c>
      <c r="C581" s="10">
        <f t="shared" si="57"/>
        <v>1.1529848926827801E-9</v>
      </c>
      <c r="D581" s="3">
        <f t="shared" si="62"/>
        <v>4</v>
      </c>
      <c r="E581" s="10">
        <f t="shared" si="58"/>
        <v>1.3582252494680138E-4</v>
      </c>
      <c r="F581" s="10">
        <f t="shared" si="59"/>
        <v>4.6119395707311206E-9</v>
      </c>
      <c r="G581" s="10">
        <f t="shared" si="60"/>
        <v>1.5565261358903439E-2</v>
      </c>
      <c r="H581" s="10">
        <f t="shared" si="61"/>
        <v>5.2852827480578643E-7</v>
      </c>
    </row>
    <row r="582" spans="1:8">
      <c r="A582" s="3">
        <v>57.400000000000006</v>
      </c>
      <c r="B582" s="10">
        <f t="shared" si="56"/>
        <v>3.1617696049167331E-5</v>
      </c>
      <c r="C582" s="10">
        <f t="shared" si="57"/>
        <v>9.9967870345753142E-10</v>
      </c>
      <c r="D582" s="3">
        <f t="shared" si="62"/>
        <v>2</v>
      </c>
      <c r="E582" s="10">
        <f t="shared" si="58"/>
        <v>6.3235392098334663E-5</v>
      </c>
      <c r="F582" s="10">
        <f t="shared" si="59"/>
        <v>1.9993574069150628E-9</v>
      </c>
      <c r="G582" s="10">
        <f t="shared" si="60"/>
        <v>7.2594230128888203E-3</v>
      </c>
      <c r="H582" s="10">
        <f t="shared" si="61"/>
        <v>2.2952623031384924E-7</v>
      </c>
    </row>
    <row r="583" spans="1:8">
      <c r="A583" s="3">
        <v>57.500000000000007</v>
      </c>
      <c r="B583" s="10">
        <f t="shared" si="56"/>
        <v>2.9426479257034268E-5</v>
      </c>
      <c r="C583" s="10">
        <f t="shared" si="57"/>
        <v>8.6591768146466808E-10</v>
      </c>
      <c r="D583" s="3">
        <f t="shared" si="62"/>
        <v>4</v>
      </c>
      <c r="E583" s="10">
        <f t="shared" si="58"/>
        <v>1.1770591702813707E-4</v>
      </c>
      <c r="F583" s="10">
        <f t="shared" si="59"/>
        <v>3.4636707258586723E-9</v>
      </c>
      <c r="G583" s="10">
        <f t="shared" si="60"/>
        <v>1.3536180458235765E-2</v>
      </c>
      <c r="H583" s="10">
        <f t="shared" si="61"/>
        <v>3.9832213347374737E-7</v>
      </c>
    </row>
    <row r="584" spans="1:8">
      <c r="A584" s="3">
        <v>57.6</v>
      </c>
      <c r="B584" s="10">
        <f t="shared" si="56"/>
        <v>2.737377112607385E-5</v>
      </c>
      <c r="C584" s="10">
        <f t="shared" si="57"/>
        <v>7.4932334566267441E-10</v>
      </c>
      <c r="D584" s="3">
        <f t="shared" si="62"/>
        <v>2</v>
      </c>
      <c r="E584" s="10">
        <f t="shared" si="58"/>
        <v>5.4747542252147701E-5</v>
      </c>
      <c r="F584" s="10">
        <f t="shared" si="59"/>
        <v>1.4986466913253488E-9</v>
      </c>
      <c r="G584" s="10">
        <f t="shared" si="60"/>
        <v>6.3069168674474152E-3</v>
      </c>
      <c r="H584" s="10">
        <f t="shared" si="61"/>
        <v>1.7264409884068018E-7</v>
      </c>
    </row>
    <row r="585" spans="1:8">
      <c r="A585" s="3">
        <v>57.7</v>
      </c>
      <c r="B585" s="10">
        <f t="shared" ref="B585:B648" si="63">$B$5^(($B$4^50)*(($B$4^A585)-1))</f>
        <v>2.545175688834915E-5</v>
      </c>
      <c r="C585" s="10">
        <f t="shared" ref="C585:C648" si="64">B585^2</f>
        <v>6.4779192870362839E-10</v>
      </c>
      <c r="D585" s="3">
        <f t="shared" si="62"/>
        <v>4</v>
      </c>
      <c r="E585" s="10">
        <f t="shared" ref="E585:E648" si="65">B585*D585</f>
        <v>1.018070275533966E-4</v>
      </c>
      <c r="F585" s="10">
        <f t="shared" ref="F585:F648" si="66">C585*D585</f>
        <v>2.5911677148145135E-9</v>
      </c>
      <c r="G585" s="10">
        <f t="shared" ref="G585:G648" si="67">2*A585*B585*D585</f>
        <v>1.1748530979661968E-2</v>
      </c>
      <c r="H585" s="10">
        <f t="shared" ref="H585:H648" si="68">2*A585*C585*D585</f>
        <v>2.9902075428959487E-7</v>
      </c>
    </row>
    <row r="586" spans="1:8">
      <c r="A586" s="3">
        <v>57.800000000000004</v>
      </c>
      <c r="B586" s="10">
        <f t="shared" si="63"/>
        <v>2.3653001537627985E-5</v>
      </c>
      <c r="C586" s="10">
        <f t="shared" si="64"/>
        <v>5.594644817390318E-10</v>
      </c>
      <c r="D586" s="3">
        <f t="shared" si="62"/>
        <v>2</v>
      </c>
      <c r="E586" s="10">
        <f t="shared" si="65"/>
        <v>4.7306003075255969E-5</v>
      </c>
      <c r="F586" s="10">
        <f t="shared" si="66"/>
        <v>1.1189289634780636E-9</v>
      </c>
      <c r="G586" s="10">
        <f t="shared" si="67"/>
        <v>5.4685739554995901E-3</v>
      </c>
      <c r="H586" s="10">
        <f t="shared" si="68"/>
        <v>1.2934818817806416E-7</v>
      </c>
    </row>
    <row r="587" spans="1:8">
      <c r="A587" s="3">
        <v>57.900000000000006</v>
      </c>
      <c r="B587" s="10">
        <f t="shared" si="63"/>
        <v>2.1970435007239724E-5</v>
      </c>
      <c r="C587" s="10">
        <f t="shared" si="64"/>
        <v>4.827000144073448E-10</v>
      </c>
      <c r="D587" s="3">
        <f t="shared" ref="D587:D650" si="69">IF(D586=4,2,4)</f>
        <v>4</v>
      </c>
      <c r="E587" s="10">
        <f t="shared" si="65"/>
        <v>8.7881740028958896E-5</v>
      </c>
      <c r="F587" s="10">
        <f t="shared" si="66"/>
        <v>1.9308000576293792E-9</v>
      </c>
      <c r="G587" s="10">
        <f t="shared" si="67"/>
        <v>1.0176705495353442E-2</v>
      </c>
      <c r="H587" s="10">
        <f t="shared" si="68"/>
        <v>2.2358664667348213E-7</v>
      </c>
    </row>
    <row r="588" spans="1:8">
      <c r="A588" s="3">
        <v>58.000000000000007</v>
      </c>
      <c r="B588" s="10">
        <f t="shared" si="63"/>
        <v>2.0397337730782229E-5</v>
      </c>
      <c r="C588" s="10">
        <f t="shared" si="64"/>
        <v>4.160513865035923E-10</v>
      </c>
      <c r="D588" s="3">
        <f t="shared" si="69"/>
        <v>2</v>
      </c>
      <c r="E588" s="10">
        <f t="shared" si="65"/>
        <v>4.0794675461564458E-5</v>
      </c>
      <c r="F588" s="10">
        <f t="shared" si="66"/>
        <v>8.321027730071846E-10</v>
      </c>
      <c r="G588" s="10">
        <f t="shared" si="67"/>
        <v>4.7321823535414779E-3</v>
      </c>
      <c r="H588" s="10">
        <f t="shared" si="68"/>
        <v>9.652392166883343E-8</v>
      </c>
    </row>
    <row r="589" spans="1:8">
      <c r="A589" s="3">
        <v>58.1</v>
      </c>
      <c r="B589" s="10">
        <f t="shared" si="63"/>
        <v>1.8927326585520702E-5</v>
      </c>
      <c r="C589" s="10">
        <f t="shared" si="64"/>
        <v>3.5824369167495874E-10</v>
      </c>
      <c r="D589" s="3">
        <f t="shared" si="69"/>
        <v>4</v>
      </c>
      <c r="E589" s="10">
        <f t="shared" si="65"/>
        <v>7.5709306342082807E-5</v>
      </c>
      <c r="F589" s="10">
        <f t="shared" si="66"/>
        <v>1.432974766699835E-9</v>
      </c>
      <c r="G589" s="10">
        <f t="shared" si="67"/>
        <v>8.7974213969500229E-3</v>
      </c>
      <c r="H589" s="10">
        <f t="shared" si="68"/>
        <v>1.6651166789052082E-7</v>
      </c>
    </row>
    <row r="590" spans="1:8">
      <c r="A590" s="3">
        <v>58.2</v>
      </c>
      <c r="B590" s="10">
        <f t="shared" si="63"/>
        <v>1.7554341217786615E-5</v>
      </c>
      <c r="C590" s="10">
        <f t="shared" si="64"/>
        <v>3.0815489559048206E-10</v>
      </c>
      <c r="D590" s="3">
        <f t="shared" si="69"/>
        <v>2</v>
      </c>
      <c r="E590" s="10">
        <f t="shared" si="65"/>
        <v>3.5108682435573231E-5</v>
      </c>
      <c r="F590" s="10">
        <f t="shared" si="66"/>
        <v>6.1630979118096412E-10</v>
      </c>
      <c r="G590" s="10">
        <f t="shared" si="67"/>
        <v>4.0866506355007239E-3</v>
      </c>
      <c r="H590" s="10">
        <f t="shared" si="68"/>
        <v>7.1738459693464221E-8</v>
      </c>
    </row>
    <row r="591" spans="1:8">
      <c r="A591" s="3">
        <v>58.300000000000004</v>
      </c>
      <c r="B591" s="10">
        <f t="shared" si="63"/>
        <v>1.6272630749164802E-5</v>
      </c>
      <c r="C591" s="10">
        <f t="shared" si="64"/>
        <v>2.647985114986638E-10</v>
      </c>
      <c r="D591" s="3">
        <f t="shared" si="69"/>
        <v>4</v>
      </c>
      <c r="E591" s="10">
        <f t="shared" si="65"/>
        <v>6.5090522996659206E-5</v>
      </c>
      <c r="F591" s="10">
        <f t="shared" si="66"/>
        <v>1.0591940459946552E-9</v>
      </c>
      <c r="G591" s="10">
        <f t="shared" si="67"/>
        <v>7.5895549814104643E-3</v>
      </c>
      <c r="H591" s="10">
        <f t="shared" si="68"/>
        <v>1.2350202576297681E-7</v>
      </c>
    </row>
    <row r="592" spans="1:8">
      <c r="A592" s="3">
        <v>58.400000000000006</v>
      </c>
      <c r="B592" s="10">
        <f t="shared" si="63"/>
        <v>1.5076740861756166E-5</v>
      </c>
      <c r="C592" s="10">
        <f t="shared" si="64"/>
        <v>2.2730811501254804E-10</v>
      </c>
      <c r="D592" s="3">
        <f t="shared" si="69"/>
        <v>2</v>
      </c>
      <c r="E592" s="10">
        <f t="shared" si="65"/>
        <v>3.0153481723512331E-5</v>
      </c>
      <c r="F592" s="10">
        <f t="shared" si="66"/>
        <v>4.5461623002509608E-10</v>
      </c>
      <c r="G592" s="10">
        <f t="shared" si="67"/>
        <v>3.5219266653062405E-3</v>
      </c>
      <c r="H592" s="10">
        <f t="shared" si="68"/>
        <v>5.3099175666931228E-8</v>
      </c>
    </row>
    <row r="593" spans="1:8">
      <c r="A593" s="3">
        <v>58.500000000000007</v>
      </c>
      <c r="B593" s="10">
        <f t="shared" si="63"/>
        <v>1.3961501260332391E-5</v>
      </c>
      <c r="C593" s="10">
        <f t="shared" si="64"/>
        <v>1.9492351744226294E-10</v>
      </c>
      <c r="D593" s="3">
        <f t="shared" si="69"/>
        <v>4</v>
      </c>
      <c r="E593" s="10">
        <f t="shared" si="65"/>
        <v>5.5846005041329564E-5</v>
      </c>
      <c r="F593" s="10">
        <f t="shared" si="66"/>
        <v>7.7969406976905175E-10</v>
      </c>
      <c r="G593" s="10">
        <f t="shared" si="67"/>
        <v>6.5339825898355595E-3</v>
      </c>
      <c r="H593" s="10">
        <f t="shared" si="68"/>
        <v>9.1224206162979068E-8</v>
      </c>
    </row>
    <row r="594" spans="1:8">
      <c r="A594" s="3">
        <v>58.6</v>
      </c>
      <c r="B594" s="10">
        <f t="shared" si="63"/>
        <v>1.2922013508737971E-5</v>
      </c>
      <c r="C594" s="10">
        <f t="shared" si="64"/>
        <v>1.6697843312000661E-10</v>
      </c>
      <c r="D594" s="3">
        <f t="shared" si="69"/>
        <v>2</v>
      </c>
      <c r="E594" s="10">
        <f t="shared" si="65"/>
        <v>2.5844027017475942E-5</v>
      </c>
      <c r="F594" s="10">
        <f t="shared" si="66"/>
        <v>3.3395686624001322E-10</v>
      </c>
      <c r="G594" s="10">
        <f t="shared" si="67"/>
        <v>3.0289199664481803E-3</v>
      </c>
      <c r="H594" s="10">
        <f t="shared" si="68"/>
        <v>3.9139744723329552E-8</v>
      </c>
    </row>
    <row r="595" spans="1:8">
      <c r="A595" s="3">
        <v>58.7</v>
      </c>
      <c r="B595" s="10">
        <f t="shared" si="63"/>
        <v>1.195363923746412E-5</v>
      </c>
      <c r="C595" s="10">
        <f t="shared" si="64"/>
        <v>1.4288949101944178E-10</v>
      </c>
      <c r="D595" s="3">
        <f t="shared" si="69"/>
        <v>4</v>
      </c>
      <c r="E595" s="10">
        <f t="shared" si="65"/>
        <v>4.781455694985648E-5</v>
      </c>
      <c r="F595" s="10">
        <f t="shared" si="66"/>
        <v>5.715579640777671E-10</v>
      </c>
      <c r="G595" s="10">
        <f t="shared" si="67"/>
        <v>5.6134289859131508E-3</v>
      </c>
      <c r="H595" s="10">
        <f t="shared" si="68"/>
        <v>6.7100904982729858E-8</v>
      </c>
    </row>
    <row r="596" spans="1:8">
      <c r="A596" s="3">
        <v>58.800000000000004</v>
      </c>
      <c r="B596" s="10">
        <f t="shared" si="63"/>
        <v>1.1051988718907802E-5</v>
      </c>
      <c r="C596" s="10">
        <f t="shared" si="64"/>
        <v>1.221464546428653E-10</v>
      </c>
      <c r="D596" s="3">
        <f t="shared" si="69"/>
        <v>2</v>
      </c>
      <c r="E596" s="10">
        <f t="shared" si="65"/>
        <v>2.2103977437815604E-5</v>
      </c>
      <c r="F596" s="10">
        <f t="shared" si="66"/>
        <v>2.442929092857306E-10</v>
      </c>
      <c r="G596" s="10">
        <f t="shared" si="67"/>
        <v>2.599427746687115E-3</v>
      </c>
      <c r="H596" s="10">
        <f t="shared" si="68"/>
        <v>2.8728846132001921E-8</v>
      </c>
    </row>
    <row r="597" spans="1:8">
      <c r="A597" s="3">
        <v>58.900000000000006</v>
      </c>
      <c r="B597" s="10">
        <f t="shared" si="63"/>
        <v>1.0212909806435161E-5</v>
      </c>
      <c r="C597" s="10">
        <f t="shared" si="64"/>
        <v>1.0430352671437948E-10</v>
      </c>
      <c r="D597" s="3">
        <f t="shared" si="69"/>
        <v>4</v>
      </c>
      <c r="E597" s="10">
        <f t="shared" si="65"/>
        <v>4.0851639225740644E-5</v>
      </c>
      <c r="F597" s="10">
        <f t="shared" si="66"/>
        <v>4.1721410685751791E-10</v>
      </c>
      <c r="G597" s="10">
        <f t="shared" si="67"/>
        <v>4.8123231007922481E-3</v>
      </c>
      <c r="H597" s="10">
        <f t="shared" si="68"/>
        <v>4.9147821787815614E-8</v>
      </c>
    </row>
    <row r="598" spans="1:8">
      <c r="A598" s="3">
        <v>59.000000000000007</v>
      </c>
      <c r="B598" s="10">
        <f t="shared" si="63"/>
        <v>9.4324772330057351E-6</v>
      </c>
      <c r="C598" s="10">
        <f t="shared" si="64"/>
        <v>8.8971626751171528E-11</v>
      </c>
      <c r="D598" s="3">
        <f t="shared" si="69"/>
        <v>2</v>
      </c>
      <c r="E598" s="10">
        <f t="shared" si="65"/>
        <v>1.886495446601147E-5</v>
      </c>
      <c r="F598" s="10">
        <f t="shared" si="66"/>
        <v>1.7794325350234306E-10</v>
      </c>
      <c r="G598" s="10">
        <f t="shared" si="67"/>
        <v>2.2260646269893539E-3</v>
      </c>
      <c r="H598" s="10">
        <f t="shared" si="68"/>
        <v>2.0997303913276482E-8</v>
      </c>
    </row>
    <row r="599" spans="1:8">
      <c r="A599" s="3">
        <v>59.1</v>
      </c>
      <c r="B599" s="10">
        <f t="shared" si="63"/>
        <v>8.7069822647635043E-6</v>
      </c>
      <c r="C599" s="10">
        <f t="shared" si="64"/>
        <v>7.5811540158906208E-11</v>
      </c>
      <c r="D599" s="3">
        <f t="shared" si="69"/>
        <v>4</v>
      </c>
      <c r="E599" s="10">
        <f t="shared" si="65"/>
        <v>3.4827929059054017E-5</v>
      </c>
      <c r="F599" s="10">
        <f t="shared" si="66"/>
        <v>3.0324616063562483E-10</v>
      </c>
      <c r="G599" s="10">
        <f t="shared" si="67"/>
        <v>4.1166612147801847E-3</v>
      </c>
      <c r="H599" s="10">
        <f t="shared" si="68"/>
        <v>3.5843696187130855E-8</v>
      </c>
    </row>
    <row r="600" spans="1:8">
      <c r="A600" s="3">
        <v>59.2</v>
      </c>
      <c r="B600" s="10">
        <f t="shared" si="63"/>
        <v>8.0329227046792882E-6</v>
      </c>
      <c r="C600" s="10">
        <f t="shared" si="64"/>
        <v>6.4527847179352015E-11</v>
      </c>
      <c r="D600" s="3">
        <f t="shared" si="69"/>
        <v>2</v>
      </c>
      <c r="E600" s="10">
        <f t="shared" si="65"/>
        <v>1.6065845409358576E-5</v>
      </c>
      <c r="F600" s="10">
        <f t="shared" si="66"/>
        <v>1.2905569435870403E-10</v>
      </c>
      <c r="G600" s="10">
        <f t="shared" si="67"/>
        <v>1.9021960964680556E-3</v>
      </c>
      <c r="H600" s="10">
        <f t="shared" si="68"/>
        <v>1.5280194212070558E-8</v>
      </c>
    </row>
    <row r="601" spans="1:8">
      <c r="A601" s="3">
        <v>59.300000000000004</v>
      </c>
      <c r="B601" s="10">
        <f t="shared" si="63"/>
        <v>7.4069932410261554E-6</v>
      </c>
      <c r="C601" s="10">
        <f t="shared" si="64"/>
        <v>5.4863548872607153E-11</v>
      </c>
      <c r="D601" s="3">
        <f t="shared" si="69"/>
        <v>4</v>
      </c>
      <c r="E601" s="10">
        <f t="shared" si="65"/>
        <v>2.9627972964104622E-5</v>
      </c>
      <c r="F601" s="10">
        <f t="shared" si="66"/>
        <v>2.1945419549042861E-10</v>
      </c>
      <c r="G601" s="10">
        <f t="shared" si="67"/>
        <v>3.5138775935428085E-3</v>
      </c>
      <c r="H601" s="10">
        <f t="shared" si="68"/>
        <v>2.6027267585164835E-8</v>
      </c>
    </row>
    <row r="602" spans="1:8">
      <c r="A602" s="3">
        <v>59.400000000000006</v>
      </c>
      <c r="B602" s="10">
        <f t="shared" si="63"/>
        <v>6.8260761351884565E-6</v>
      </c>
      <c r="C602" s="10">
        <f t="shared" si="64"/>
        <v>4.6595315403389375E-11</v>
      </c>
      <c r="D602" s="3">
        <f t="shared" si="69"/>
        <v>2</v>
      </c>
      <c r="E602" s="10">
        <f t="shared" si="65"/>
        <v>1.3652152270376913E-5</v>
      </c>
      <c r="F602" s="10">
        <f t="shared" si="66"/>
        <v>9.3190630806778751E-11</v>
      </c>
      <c r="G602" s="10">
        <f t="shared" si="67"/>
        <v>1.6218756897207775E-3</v>
      </c>
      <c r="H602" s="10">
        <f t="shared" si="68"/>
        <v>1.1071046939845317E-8</v>
      </c>
    </row>
    <row r="603" spans="1:8">
      <c r="A603" s="3">
        <v>59.500000000000007</v>
      </c>
      <c r="B603" s="10">
        <f t="shared" si="63"/>
        <v>6.2872322430469712E-6</v>
      </c>
      <c r="C603" s="10">
        <f t="shared" si="64"/>
        <v>3.9529289278009447E-11</v>
      </c>
      <c r="D603" s="3">
        <f t="shared" si="69"/>
        <v>4</v>
      </c>
      <c r="E603" s="10">
        <f t="shared" si="65"/>
        <v>2.5148928972187885E-5</v>
      </c>
      <c r="F603" s="10">
        <f t="shared" si="66"/>
        <v>1.5811715711203779E-10</v>
      </c>
      <c r="G603" s="10">
        <f t="shared" si="67"/>
        <v>2.9927225476903585E-3</v>
      </c>
      <c r="H603" s="10">
        <f t="shared" si="68"/>
        <v>1.88159416963325E-8</v>
      </c>
    </row>
    <row r="604" spans="1:8">
      <c r="A604" s="3">
        <v>59.6</v>
      </c>
      <c r="B604" s="10">
        <f t="shared" si="63"/>
        <v>5.7876923639450702E-6</v>
      </c>
      <c r="C604" s="10">
        <f t="shared" si="64"/>
        <v>3.3497382899668073E-11</v>
      </c>
      <c r="D604" s="3">
        <f t="shared" si="69"/>
        <v>2</v>
      </c>
      <c r="E604" s="10">
        <f t="shared" si="65"/>
        <v>1.157538472789014E-5</v>
      </c>
      <c r="F604" s="10">
        <f t="shared" si="66"/>
        <v>6.6994765799336146E-11</v>
      </c>
      <c r="G604" s="10">
        <f t="shared" si="67"/>
        <v>1.3797858595645048E-3</v>
      </c>
      <c r="H604" s="10">
        <f t="shared" si="68"/>
        <v>7.9857760832808692E-9</v>
      </c>
    </row>
    <row r="605" spans="1:8">
      <c r="A605" s="3">
        <v>59.7</v>
      </c>
      <c r="B605" s="10">
        <f t="shared" si="63"/>
        <v>5.3248489110233547E-6</v>
      </c>
      <c r="C605" s="10">
        <f t="shared" si="64"/>
        <v>2.8354015925226607E-11</v>
      </c>
      <c r="D605" s="3">
        <f t="shared" si="69"/>
        <v>4</v>
      </c>
      <c r="E605" s="10">
        <f t="shared" si="65"/>
        <v>2.1299395644093419E-5</v>
      </c>
      <c r="F605" s="10">
        <f t="shared" si="66"/>
        <v>1.1341606370090643E-10</v>
      </c>
      <c r="G605" s="10">
        <f t="shared" si="67"/>
        <v>2.5431478399047542E-3</v>
      </c>
      <c r="H605" s="10">
        <f t="shared" si="68"/>
        <v>1.3541878005888228E-8</v>
      </c>
    </row>
    <row r="606" spans="1:8">
      <c r="A606" s="3">
        <v>59.800000000000004</v>
      </c>
      <c r="B606" s="10">
        <f t="shared" si="63"/>
        <v>4.896247896515765E-6</v>
      </c>
      <c r="C606" s="10">
        <f t="shared" si="64"/>
        <v>2.3973243464135055E-11</v>
      </c>
      <c r="D606" s="3">
        <f t="shared" si="69"/>
        <v>2</v>
      </c>
      <c r="E606" s="10">
        <f t="shared" si="65"/>
        <v>9.7924957930315301E-6</v>
      </c>
      <c r="F606" s="10">
        <f t="shared" si="66"/>
        <v>4.794648692827011E-11</v>
      </c>
      <c r="G606" s="10">
        <f t="shared" si="67"/>
        <v>1.171182496846571E-3</v>
      </c>
      <c r="H606" s="10">
        <f t="shared" si="68"/>
        <v>5.7343998366211058E-9</v>
      </c>
    </row>
    <row r="607" spans="1:8">
      <c r="A607" s="3">
        <v>59.900000000000006</v>
      </c>
      <c r="B607" s="10">
        <f t="shared" si="63"/>
        <v>4.499581225423204E-6</v>
      </c>
      <c r="C607" s="10">
        <f t="shared" si="64"/>
        <v>2.0246231204180981E-11</v>
      </c>
      <c r="D607" s="3">
        <f t="shared" si="69"/>
        <v>4</v>
      </c>
      <c r="E607" s="10">
        <f t="shared" si="65"/>
        <v>1.7998324901692816E-5</v>
      </c>
      <c r="F607" s="10">
        <f t="shared" si="66"/>
        <v>8.0984924816723925E-11</v>
      </c>
      <c r="G607" s="10">
        <f t="shared" si="67"/>
        <v>2.1561993232227994E-3</v>
      </c>
      <c r="H607" s="10">
        <f t="shared" si="68"/>
        <v>9.7019939930435264E-9</v>
      </c>
    </row>
    <row r="608" spans="1:8">
      <c r="A608" s="3">
        <v>60.000000000000007</v>
      </c>
      <c r="B608" s="10">
        <f t="shared" si="63"/>
        <v>4.1326792908252357E-6</v>
      </c>
      <c r="C608" s="10">
        <f t="shared" si="64"/>
        <v>1.7079038120815772E-11</v>
      </c>
      <c r="D608" s="3">
        <f t="shared" si="69"/>
        <v>2</v>
      </c>
      <c r="E608" s="10">
        <f t="shared" si="65"/>
        <v>8.2653585816504714E-6</v>
      </c>
      <c r="F608" s="10">
        <f t="shared" si="66"/>
        <v>3.4158076241631544E-11</v>
      </c>
      <c r="G608" s="10">
        <f t="shared" si="67"/>
        <v>9.9184302979805667E-4</v>
      </c>
      <c r="H608" s="10">
        <f t="shared" si="68"/>
        <v>4.0989691489957855E-9</v>
      </c>
    </row>
    <row r="609" spans="1:8">
      <c r="A609" s="3">
        <v>60.1</v>
      </c>
      <c r="B609" s="10">
        <f t="shared" si="63"/>
        <v>3.7935038639551951E-6</v>
      </c>
      <c r="C609" s="10">
        <f t="shared" si="64"/>
        <v>1.4390671565842997E-11</v>
      </c>
      <c r="D609" s="3">
        <f t="shared" si="69"/>
        <v>4</v>
      </c>
      <c r="E609" s="10">
        <f t="shared" si="65"/>
        <v>1.5174015455820781E-5</v>
      </c>
      <c r="F609" s="10">
        <f t="shared" si="66"/>
        <v>5.7562686263371986E-11</v>
      </c>
      <c r="G609" s="10">
        <f t="shared" si="67"/>
        <v>1.8239166577896579E-3</v>
      </c>
      <c r="H609" s="10">
        <f t="shared" si="68"/>
        <v>6.9190348888573132E-9</v>
      </c>
    </row>
    <row r="610" spans="1:8">
      <c r="A610" s="3">
        <v>60.2</v>
      </c>
      <c r="B610" s="10">
        <f t="shared" si="63"/>
        <v>3.4801412720452478E-6</v>
      </c>
      <c r="C610" s="10">
        <f t="shared" si="64"/>
        <v>1.2111383273392716E-11</v>
      </c>
      <c r="D610" s="3">
        <f t="shared" si="69"/>
        <v>2</v>
      </c>
      <c r="E610" s="10">
        <f t="shared" si="65"/>
        <v>6.9602825440904956E-6</v>
      </c>
      <c r="F610" s="10">
        <f t="shared" si="66"/>
        <v>2.4222766546785431E-11</v>
      </c>
      <c r="G610" s="10">
        <f t="shared" si="67"/>
        <v>8.3801801830849572E-4</v>
      </c>
      <c r="H610" s="10">
        <f t="shared" si="68"/>
        <v>2.916421092232966E-9</v>
      </c>
    </row>
    <row r="611" spans="1:8">
      <c r="A611" s="3">
        <v>60.300000000000004</v>
      </c>
      <c r="B611" s="10">
        <f t="shared" si="63"/>
        <v>3.1907958568503197E-6</v>
      </c>
      <c r="C611" s="10">
        <f t="shared" si="64"/>
        <v>1.0181178200093165E-11</v>
      </c>
      <c r="D611" s="3">
        <f t="shared" si="69"/>
        <v>4</v>
      </c>
      <c r="E611" s="10">
        <f t="shared" si="65"/>
        <v>1.2763183427401279E-5</v>
      </c>
      <c r="F611" s="10">
        <f t="shared" si="66"/>
        <v>4.072471280037266E-11</v>
      </c>
      <c r="G611" s="10">
        <f t="shared" si="67"/>
        <v>1.5392399213445943E-3</v>
      </c>
      <c r="H611" s="10">
        <f t="shared" si="68"/>
        <v>4.9114003637249434E-9</v>
      </c>
    </row>
    <row r="612" spans="1:8">
      <c r="A612" s="3">
        <v>60.400000000000006</v>
      </c>
      <c r="B612" s="10">
        <f t="shared" si="63"/>
        <v>2.9237837066780078E-6</v>
      </c>
      <c r="C612" s="10">
        <f t="shared" si="64"/>
        <v>8.5485111634357902E-12</v>
      </c>
      <c r="D612" s="3">
        <f t="shared" si="69"/>
        <v>2</v>
      </c>
      <c r="E612" s="10">
        <f t="shared" si="65"/>
        <v>5.8475674133560156E-6</v>
      </c>
      <c r="F612" s="10">
        <f t="shared" si="66"/>
        <v>1.709702232687158E-11</v>
      </c>
      <c r="G612" s="10">
        <f t="shared" si="67"/>
        <v>7.0638614353340677E-4</v>
      </c>
      <c r="H612" s="10">
        <f t="shared" si="68"/>
        <v>2.0653202970860873E-9</v>
      </c>
    </row>
    <row r="613" spans="1:8">
      <c r="A613" s="3">
        <v>60.500000000000007</v>
      </c>
      <c r="B613" s="10">
        <f t="shared" si="63"/>
        <v>2.6775266546881013E-6</v>
      </c>
      <c r="C613" s="10">
        <f t="shared" si="64"/>
        <v>7.169148986565255E-12</v>
      </c>
      <c r="D613" s="3">
        <f t="shared" si="69"/>
        <v>4</v>
      </c>
      <c r="E613" s="10">
        <f t="shared" si="65"/>
        <v>1.0710106618752405E-5</v>
      </c>
      <c r="F613" s="10">
        <f t="shared" si="66"/>
        <v>2.867659594626102E-11</v>
      </c>
      <c r="G613" s="10">
        <f t="shared" si="67"/>
        <v>1.2959229008690412E-3</v>
      </c>
      <c r="H613" s="10">
        <f t="shared" si="68"/>
        <v>3.4698681094975839E-9</v>
      </c>
    </row>
    <row r="614" spans="1:8">
      <c r="A614" s="3">
        <v>60.6</v>
      </c>
      <c r="B614" s="10">
        <f t="shared" si="63"/>
        <v>2.4505465361787844E-6</v>
      </c>
      <c r="C614" s="10">
        <f t="shared" si="64"/>
        <v>6.0051783259778381E-12</v>
      </c>
      <c r="D614" s="3">
        <f t="shared" si="69"/>
        <v>2</v>
      </c>
      <c r="E614" s="10">
        <f t="shared" si="65"/>
        <v>4.9010930723575689E-6</v>
      </c>
      <c r="F614" s="10">
        <f t="shared" si="66"/>
        <v>1.2010356651955676E-11</v>
      </c>
      <c r="G614" s="10">
        <f t="shared" si="67"/>
        <v>5.9401248036973736E-4</v>
      </c>
      <c r="H614" s="10">
        <f t="shared" si="68"/>
        <v>1.455655226217028E-9</v>
      </c>
    </row>
    <row r="615" spans="1:8">
      <c r="A615" s="3">
        <v>60.7</v>
      </c>
      <c r="B615" s="10">
        <f t="shared" si="63"/>
        <v>2.2414596975454294E-6</v>
      </c>
      <c r="C615" s="10">
        <f t="shared" si="64"/>
        <v>5.0241415757204474E-12</v>
      </c>
      <c r="D615" s="3">
        <f t="shared" si="69"/>
        <v>4</v>
      </c>
      <c r="E615" s="10">
        <f t="shared" si="65"/>
        <v>8.9658387901817175E-6</v>
      </c>
      <c r="F615" s="10">
        <f t="shared" si="66"/>
        <v>2.009656630288179E-11</v>
      </c>
      <c r="G615" s="10">
        <f t="shared" si="67"/>
        <v>1.0884528291280606E-3</v>
      </c>
      <c r="H615" s="10">
        <f t="shared" si="68"/>
        <v>2.4397231491698495E-9</v>
      </c>
    </row>
    <row r="616" spans="1:8">
      <c r="A616" s="3">
        <v>60.800000000000004</v>
      </c>
      <c r="B616" s="10">
        <f t="shared" si="63"/>
        <v>2.0489717495827397E-6</v>
      </c>
      <c r="C616" s="10">
        <f t="shared" si="64"/>
        <v>4.1982852305881531E-12</v>
      </c>
      <c r="D616" s="3">
        <f t="shared" si="69"/>
        <v>2</v>
      </c>
      <c r="E616" s="10">
        <f t="shared" si="65"/>
        <v>4.0979434991654794E-6</v>
      </c>
      <c r="F616" s="10">
        <f t="shared" si="66"/>
        <v>8.3965704611763061E-12</v>
      </c>
      <c r="G616" s="10">
        <f t="shared" si="67"/>
        <v>4.9830992949852237E-4</v>
      </c>
      <c r="H616" s="10">
        <f t="shared" si="68"/>
        <v>1.0210229680790389E-9</v>
      </c>
    </row>
    <row r="617" spans="1:8">
      <c r="A617" s="3">
        <v>60.900000000000006</v>
      </c>
      <c r="B617" s="10">
        <f t="shared" si="63"/>
        <v>1.8718725578005595E-6</v>
      </c>
      <c r="C617" s="10">
        <f t="shared" si="64"/>
        <v>3.5039068726468093E-12</v>
      </c>
      <c r="D617" s="3">
        <f t="shared" si="69"/>
        <v>4</v>
      </c>
      <c r="E617" s="10">
        <f t="shared" si="65"/>
        <v>7.4874902312022381E-6</v>
      </c>
      <c r="F617" s="10">
        <f t="shared" si="66"/>
        <v>1.4015627490587237E-11</v>
      </c>
      <c r="G617" s="10">
        <f t="shared" si="67"/>
        <v>9.1197631016043271E-4</v>
      </c>
      <c r="H617" s="10">
        <f t="shared" si="68"/>
        <v>1.7071034283535255E-9</v>
      </c>
    </row>
    <row r="618" spans="1:8">
      <c r="A618" s="3">
        <v>61.000000000000007</v>
      </c>
      <c r="B618" s="10">
        <f t="shared" si="63"/>
        <v>1.7090314624370466E-6</v>
      </c>
      <c r="C618" s="10">
        <f t="shared" si="64"/>
        <v>2.9207885395997104E-12</v>
      </c>
      <c r="D618" s="3">
        <f t="shared" si="69"/>
        <v>2</v>
      </c>
      <c r="E618" s="10">
        <f t="shared" si="65"/>
        <v>3.4180629248740932E-6</v>
      </c>
      <c r="F618" s="10">
        <f t="shared" si="66"/>
        <v>5.8415770791994208E-12</v>
      </c>
      <c r="G618" s="10">
        <f t="shared" si="67"/>
        <v>4.1700367683463943E-4</v>
      </c>
      <c r="H618" s="10">
        <f t="shared" si="68"/>
        <v>7.1267240366232947E-10</v>
      </c>
    </row>
    <row r="619" spans="1:8">
      <c r="A619" s="3">
        <v>61.1</v>
      </c>
      <c r="B619" s="10">
        <f t="shared" si="63"/>
        <v>1.5593927208807825E-6</v>
      </c>
      <c r="C619" s="10">
        <f t="shared" si="64"/>
        <v>2.4317056579359698E-12</v>
      </c>
      <c r="D619" s="3">
        <f t="shared" si="69"/>
        <v>4</v>
      </c>
      <c r="E619" s="10">
        <f t="shared" si="65"/>
        <v>6.2375708835231298E-6</v>
      </c>
      <c r="F619" s="10">
        <f t="shared" si="66"/>
        <v>9.7268226317438794E-12</v>
      </c>
      <c r="G619" s="10">
        <f t="shared" si="67"/>
        <v>7.622311619665265E-4</v>
      </c>
      <c r="H619" s="10">
        <f t="shared" si="68"/>
        <v>1.1886177255991022E-9</v>
      </c>
    </row>
    <row r="620" spans="1:8">
      <c r="A620" s="3">
        <v>61.2</v>
      </c>
      <c r="B620" s="10">
        <f t="shared" si="63"/>
        <v>1.4219711652526699E-6</v>
      </c>
      <c r="C620" s="10">
        <f t="shared" si="64"/>
        <v>2.0220019948100358E-12</v>
      </c>
      <c r="D620" s="3">
        <f t="shared" si="69"/>
        <v>2</v>
      </c>
      <c r="E620" s="10">
        <f t="shared" si="65"/>
        <v>2.8439423305053399E-6</v>
      </c>
      <c r="F620" s="10">
        <f t="shared" si="66"/>
        <v>4.0440039896200716E-12</v>
      </c>
      <c r="G620" s="10">
        <f t="shared" si="67"/>
        <v>3.4809854125385361E-4</v>
      </c>
      <c r="H620" s="10">
        <f t="shared" si="68"/>
        <v>4.9498608832949678E-10</v>
      </c>
    </row>
    <row r="621" spans="1:8">
      <c r="A621" s="3">
        <v>61.300000000000004</v>
      </c>
      <c r="B621" s="10">
        <f t="shared" si="63"/>
        <v>1.2958480679513352E-6</v>
      </c>
      <c r="C621" s="10">
        <f t="shared" si="64"/>
        <v>1.6792222152132084E-12</v>
      </c>
      <c r="D621" s="3">
        <f t="shared" si="69"/>
        <v>4</v>
      </c>
      <c r="E621" s="10">
        <f t="shared" si="65"/>
        <v>5.1833922718053409E-6</v>
      </c>
      <c r="F621" s="10">
        <f t="shared" si="66"/>
        <v>6.7168888608528336E-12</v>
      </c>
      <c r="G621" s="10">
        <f t="shared" si="67"/>
        <v>6.3548389252333481E-4</v>
      </c>
      <c r="H621" s="10">
        <f t="shared" si="68"/>
        <v>8.2349057434055744E-10</v>
      </c>
    </row>
    <row r="622" spans="1:8">
      <c r="A622" s="3">
        <v>61.400000000000006</v>
      </c>
      <c r="B622" s="10">
        <f t="shared" si="63"/>
        <v>1.1801672080289154E-6</v>
      </c>
      <c r="C622" s="10">
        <f t="shared" si="64"/>
        <v>1.3927946389067652E-12</v>
      </c>
      <c r="D622" s="3">
        <f t="shared" si="69"/>
        <v>2</v>
      </c>
      <c r="E622" s="10">
        <f t="shared" si="65"/>
        <v>2.3603344160578307E-6</v>
      </c>
      <c r="F622" s="10">
        <f t="shared" si="66"/>
        <v>2.7855892778135305E-12</v>
      </c>
      <c r="G622" s="10">
        <f t="shared" si="67"/>
        <v>2.8984906629190166E-4</v>
      </c>
      <c r="H622" s="10">
        <f t="shared" si="68"/>
        <v>3.420703633155016E-10</v>
      </c>
    </row>
    <row r="623" spans="1:8">
      <c r="A623" s="3">
        <v>61.500000000000007</v>
      </c>
      <c r="B623" s="10">
        <f t="shared" si="63"/>
        <v>1.0741311313385383E-6</v>
      </c>
      <c r="C623" s="10">
        <f t="shared" si="64"/>
        <v>1.1537576873106082E-12</v>
      </c>
      <c r="D623" s="3">
        <f t="shared" si="69"/>
        <v>4</v>
      </c>
      <c r="E623" s="10">
        <f t="shared" si="65"/>
        <v>4.2965245253541531E-6</v>
      </c>
      <c r="F623" s="10">
        <f t="shared" si="66"/>
        <v>4.6150307492424326E-12</v>
      </c>
      <c r="G623" s="10">
        <f t="shared" si="67"/>
        <v>5.2847251661856086E-4</v>
      </c>
      <c r="H623" s="10">
        <f t="shared" si="68"/>
        <v>5.6764878215681931E-10</v>
      </c>
    </row>
    <row r="624" spans="1:8">
      <c r="A624" s="3">
        <v>61.6</v>
      </c>
      <c r="B624" s="10">
        <f t="shared" si="63"/>
        <v>9.7699759747955532E-7</v>
      </c>
      <c r="C624" s="10">
        <f t="shared" si="64"/>
        <v>9.5452430548082312E-13</v>
      </c>
      <c r="D624" s="3">
        <f t="shared" si="69"/>
        <v>2</v>
      </c>
      <c r="E624" s="10">
        <f t="shared" si="65"/>
        <v>1.9539951949591106E-6</v>
      </c>
      <c r="F624" s="10">
        <f t="shared" si="66"/>
        <v>1.9090486109616462E-12</v>
      </c>
      <c r="G624" s="10">
        <f t="shared" si="67"/>
        <v>2.4073220801896245E-4</v>
      </c>
      <c r="H624" s="10">
        <f t="shared" si="68"/>
        <v>2.3519478887047482E-10</v>
      </c>
    </row>
    <row r="625" spans="1:8">
      <c r="A625" s="3">
        <v>61.7</v>
      </c>
      <c r="B625" s="10">
        <f t="shared" si="63"/>
        <v>8.8807620666003412E-7</v>
      </c>
      <c r="C625" s="10">
        <f t="shared" si="64"/>
        <v>7.8867934883567559E-13</v>
      </c>
      <c r="D625" s="3">
        <f t="shared" si="69"/>
        <v>4</v>
      </c>
      <c r="E625" s="10">
        <f t="shared" si="65"/>
        <v>3.5523048266401365E-6</v>
      </c>
      <c r="F625" s="10">
        <f t="shared" si="66"/>
        <v>3.1547173953427024E-12</v>
      </c>
      <c r="G625" s="10">
        <f t="shared" si="67"/>
        <v>4.3835441560739286E-4</v>
      </c>
      <c r="H625" s="10">
        <f t="shared" si="68"/>
        <v>3.8929212658528949E-10</v>
      </c>
    </row>
    <row r="626" spans="1:8">
      <c r="A626" s="3">
        <v>61.800000000000004</v>
      </c>
      <c r="B626" s="10">
        <f t="shared" si="63"/>
        <v>8.0672519969883593E-7</v>
      </c>
      <c r="C626" s="10">
        <f t="shared" si="64"/>
        <v>6.5080554782912667E-13</v>
      </c>
      <c r="D626" s="3">
        <f t="shared" si="69"/>
        <v>2</v>
      </c>
      <c r="E626" s="10">
        <f t="shared" si="65"/>
        <v>1.6134503993976719E-6</v>
      </c>
      <c r="F626" s="10">
        <f t="shared" si="66"/>
        <v>1.3016110956582533E-12</v>
      </c>
      <c r="G626" s="10">
        <f t="shared" si="67"/>
        <v>1.9942246936555225E-4</v>
      </c>
      <c r="H626" s="10">
        <f t="shared" si="68"/>
        <v>1.6087913142336012E-10</v>
      </c>
    </row>
    <row r="627" spans="1:8">
      <c r="A627" s="3">
        <v>61.900000000000006</v>
      </c>
      <c r="B627" s="10">
        <f t="shared" si="63"/>
        <v>7.3234842449993533E-7</v>
      </c>
      <c r="C627" s="10">
        <f t="shared" si="64"/>
        <v>5.3633421486753743E-13</v>
      </c>
      <c r="D627" s="3">
        <f t="shared" si="69"/>
        <v>4</v>
      </c>
      <c r="E627" s="10">
        <f t="shared" si="65"/>
        <v>2.9293936979997413E-6</v>
      </c>
      <c r="F627" s="10">
        <f t="shared" si="66"/>
        <v>2.1453368594701497E-12</v>
      </c>
      <c r="G627" s="10">
        <f t="shared" si="67"/>
        <v>3.6265893981236803E-4</v>
      </c>
      <c r="H627" s="10">
        <f t="shared" si="68"/>
        <v>2.6559270320240456E-10</v>
      </c>
    </row>
    <row r="628" spans="1:8">
      <c r="A628" s="3">
        <v>62.000000000000007</v>
      </c>
      <c r="B628" s="10">
        <f t="shared" si="63"/>
        <v>6.6439246244954349E-7</v>
      </c>
      <c r="C628" s="10">
        <f t="shared" si="64"/>
        <v>4.4141734415976806E-13</v>
      </c>
      <c r="D628" s="3">
        <f t="shared" si="69"/>
        <v>2</v>
      </c>
      <c r="E628" s="10">
        <f t="shared" si="65"/>
        <v>1.328784924899087E-6</v>
      </c>
      <c r="F628" s="10">
        <f t="shared" si="66"/>
        <v>8.8283468831953612E-13</v>
      </c>
      <c r="G628" s="10">
        <f t="shared" si="67"/>
        <v>1.647693306874868E-4</v>
      </c>
      <c r="H628" s="10">
        <f t="shared" si="68"/>
        <v>1.0947150135162249E-10</v>
      </c>
    </row>
    <row r="629" spans="1:8">
      <c r="A629" s="3">
        <v>62.1</v>
      </c>
      <c r="B629" s="10">
        <f t="shared" si="63"/>
        <v>6.0234390831135297E-7</v>
      </c>
      <c r="C629" s="10">
        <f t="shared" si="64"/>
        <v>3.6281818387979561E-13</v>
      </c>
      <c r="D629" s="3">
        <f t="shared" si="69"/>
        <v>4</v>
      </c>
      <c r="E629" s="10">
        <f t="shared" si="65"/>
        <v>2.4093756332454119E-6</v>
      </c>
      <c r="F629" s="10">
        <f t="shared" si="66"/>
        <v>1.4512727355191824E-12</v>
      </c>
      <c r="G629" s="10">
        <f t="shared" si="67"/>
        <v>2.9924445364908016E-4</v>
      </c>
      <c r="H629" s="10">
        <f t="shared" si="68"/>
        <v>1.8024807375148246E-10</v>
      </c>
    </row>
    <row r="630" spans="1:8">
      <c r="A630" s="3">
        <v>62.2</v>
      </c>
      <c r="B630" s="10">
        <f t="shared" si="63"/>
        <v>5.457267973256338E-7</v>
      </c>
      <c r="C630" s="10">
        <f t="shared" si="64"/>
        <v>2.9781773731929339E-13</v>
      </c>
      <c r="D630" s="3">
        <f t="shared" si="69"/>
        <v>2</v>
      </c>
      <c r="E630" s="10">
        <f t="shared" si="65"/>
        <v>1.0914535946512676E-6</v>
      </c>
      <c r="F630" s="10">
        <f t="shared" si="66"/>
        <v>5.9563547463858678E-13</v>
      </c>
      <c r="G630" s="10">
        <f t="shared" si="67"/>
        <v>1.357768271746177E-4</v>
      </c>
      <c r="H630" s="10">
        <f t="shared" si="68"/>
        <v>7.4097053045040197E-11</v>
      </c>
    </row>
    <row r="631" spans="1:8">
      <c r="A631" s="3">
        <v>62.300000000000004</v>
      </c>
      <c r="B631" s="10">
        <f t="shared" si="63"/>
        <v>4.9410017335415957E-7</v>
      </c>
      <c r="C631" s="10">
        <f t="shared" si="64"/>
        <v>2.4413498130861051E-13</v>
      </c>
      <c r="D631" s="3">
        <f t="shared" si="69"/>
        <v>4</v>
      </c>
      <c r="E631" s="10">
        <f t="shared" si="65"/>
        <v>1.9764006934166383E-6</v>
      </c>
      <c r="F631" s="10">
        <f t="shared" si="66"/>
        <v>9.7653992523444204E-13</v>
      </c>
      <c r="G631" s="10">
        <f t="shared" si="67"/>
        <v>2.4625952639971313E-4</v>
      </c>
      <c r="H631" s="10">
        <f t="shared" si="68"/>
        <v>1.216768746842115E-10</v>
      </c>
    </row>
    <row r="632" spans="1:8">
      <c r="A632" s="3">
        <v>62.400000000000006</v>
      </c>
      <c r="B632" s="10">
        <f t="shared" si="63"/>
        <v>4.4705579205369052E-7</v>
      </c>
      <c r="C632" s="10">
        <f t="shared" si="64"/>
        <v>1.9985888120875258E-13</v>
      </c>
      <c r="D632" s="3">
        <f t="shared" si="69"/>
        <v>2</v>
      </c>
      <c r="E632" s="10">
        <f t="shared" si="65"/>
        <v>8.9411158410738105E-7</v>
      </c>
      <c r="F632" s="10">
        <f t="shared" si="66"/>
        <v>3.9971776241750515E-13</v>
      </c>
      <c r="G632" s="10">
        <f t="shared" si="67"/>
        <v>1.1158512569660117E-4</v>
      </c>
      <c r="H632" s="10">
        <f t="shared" si="68"/>
        <v>4.9884776749704644E-11</v>
      </c>
    </row>
    <row r="633" spans="1:8">
      <c r="A633" s="3">
        <v>62.500000000000007</v>
      </c>
      <c r="B633" s="10">
        <f t="shared" si="63"/>
        <v>4.0421595320579299E-7</v>
      </c>
      <c r="C633" s="10">
        <f t="shared" si="64"/>
        <v>1.6339053682606783E-13</v>
      </c>
      <c r="D633" s="3">
        <f t="shared" si="69"/>
        <v>4</v>
      </c>
      <c r="E633" s="10">
        <f t="shared" si="65"/>
        <v>1.616863812823172E-6</v>
      </c>
      <c r="F633" s="10">
        <f t="shared" si="66"/>
        <v>6.5356214730427132E-13</v>
      </c>
      <c r="G633" s="10">
        <f t="shared" si="67"/>
        <v>2.0210797660289651E-4</v>
      </c>
      <c r="H633" s="10">
        <f t="shared" si="68"/>
        <v>8.1695268413033919E-11</v>
      </c>
    </row>
    <row r="634" spans="1:8">
      <c r="A634" s="3">
        <v>62.6</v>
      </c>
      <c r="B634" s="10">
        <f t="shared" si="63"/>
        <v>3.6523145647964118E-7</v>
      </c>
      <c r="C634" s="10">
        <f t="shared" si="64"/>
        <v>1.3339401680224002E-13</v>
      </c>
      <c r="D634" s="3">
        <f t="shared" si="69"/>
        <v>2</v>
      </c>
      <c r="E634" s="10">
        <f t="shared" si="65"/>
        <v>7.3046291295928235E-7</v>
      </c>
      <c r="F634" s="10">
        <f t="shared" si="66"/>
        <v>2.6678803360448004E-13</v>
      </c>
      <c r="G634" s="10">
        <f t="shared" si="67"/>
        <v>9.1453956702502152E-5</v>
      </c>
      <c r="H634" s="10">
        <f t="shared" si="68"/>
        <v>3.34018618072809E-11</v>
      </c>
    </row>
    <row r="635" spans="1:8">
      <c r="A635" s="3">
        <v>62.7</v>
      </c>
      <c r="B635" s="10">
        <f t="shared" si="63"/>
        <v>3.2977967505603352E-7</v>
      </c>
      <c r="C635" s="10">
        <f t="shared" si="64"/>
        <v>1.0875463408006306E-13</v>
      </c>
      <c r="D635" s="3">
        <f t="shared" si="69"/>
        <v>4</v>
      </c>
      <c r="E635" s="10">
        <f t="shared" si="65"/>
        <v>1.3191187002241341E-6</v>
      </c>
      <c r="F635" s="10">
        <f t="shared" si="66"/>
        <v>4.3501853632025224E-13</v>
      </c>
      <c r="G635" s="10">
        <f t="shared" si="67"/>
        <v>1.6541748500810644E-4</v>
      </c>
      <c r="H635" s="10">
        <f t="shared" si="68"/>
        <v>5.4551324454559635E-11</v>
      </c>
    </row>
    <row r="636" spans="1:8">
      <c r="A636" s="3">
        <v>62.800000000000004</v>
      </c>
      <c r="B636" s="10">
        <f t="shared" si="63"/>
        <v>2.9756274169530639E-7</v>
      </c>
      <c r="C636" s="10">
        <f t="shared" si="64"/>
        <v>8.8543585245227635E-14</v>
      </c>
      <c r="D636" s="3">
        <f t="shared" si="69"/>
        <v>2</v>
      </c>
      <c r="E636" s="10">
        <f t="shared" si="65"/>
        <v>5.9512548339061277E-7</v>
      </c>
      <c r="F636" s="10">
        <f t="shared" si="66"/>
        <v>1.7708717049045527E-13</v>
      </c>
      <c r="G636" s="10">
        <f t="shared" si="67"/>
        <v>7.474776071386097E-5</v>
      </c>
      <c r="H636" s="10">
        <f t="shared" si="68"/>
        <v>2.2242148613601184E-11</v>
      </c>
    </row>
    <row r="637" spans="1:8">
      <c r="A637" s="3">
        <v>62.900000000000006</v>
      </c>
      <c r="B637" s="10">
        <f t="shared" si="63"/>
        <v>2.6830584198803614E-7</v>
      </c>
      <c r="C637" s="10">
        <f t="shared" si="64"/>
        <v>7.1988024844909012E-14</v>
      </c>
      <c r="D637" s="3">
        <f t="shared" si="69"/>
        <v>4</v>
      </c>
      <c r="E637" s="10">
        <f t="shared" si="65"/>
        <v>1.0732233679521446E-6</v>
      </c>
      <c r="F637" s="10">
        <f t="shared" si="66"/>
        <v>2.8795209937963605E-13</v>
      </c>
      <c r="G637" s="10">
        <f t="shared" si="67"/>
        <v>1.350114996883798E-4</v>
      </c>
      <c r="H637" s="10">
        <f t="shared" si="68"/>
        <v>3.6224374101958221E-11</v>
      </c>
    </row>
    <row r="638" spans="1:8">
      <c r="A638" s="3">
        <v>63.000000000000007</v>
      </c>
      <c r="B638" s="10">
        <f t="shared" si="63"/>
        <v>2.4175560968523459E-7</v>
      </c>
      <c r="C638" s="10">
        <f t="shared" si="64"/>
        <v>5.844577481427949E-14</v>
      </c>
      <c r="D638" s="3">
        <f t="shared" si="69"/>
        <v>2</v>
      </c>
      <c r="E638" s="10">
        <f t="shared" si="65"/>
        <v>4.8351121937046918E-7</v>
      </c>
      <c r="F638" s="10">
        <f t="shared" si="66"/>
        <v>1.1689154962855898E-13</v>
      </c>
      <c r="G638" s="10">
        <f t="shared" si="67"/>
        <v>6.0922413640679126E-5</v>
      </c>
      <c r="H638" s="10">
        <f t="shared" si="68"/>
        <v>1.4728335253198433E-11</v>
      </c>
    </row>
    <row r="639" spans="1:8">
      <c r="A639" s="3">
        <v>63.1</v>
      </c>
      <c r="B639" s="10">
        <f t="shared" si="63"/>
        <v>2.1767861916367516E-7</v>
      </c>
      <c r="C639" s="10">
        <f t="shared" si="64"/>
        <v>4.7383981241004326E-14</v>
      </c>
      <c r="D639" s="3">
        <f t="shared" si="69"/>
        <v>4</v>
      </c>
      <c r="E639" s="10">
        <f t="shared" si="65"/>
        <v>8.7071447665470065E-7</v>
      </c>
      <c r="F639" s="10">
        <f t="shared" si="66"/>
        <v>1.895359249640173E-13</v>
      </c>
      <c r="G639" s="10">
        <f t="shared" si="67"/>
        <v>1.0988416695382322E-4</v>
      </c>
      <c r="H639" s="10">
        <f t="shared" si="68"/>
        <v>2.3919433730458983E-11</v>
      </c>
    </row>
    <row r="640" spans="1:8">
      <c r="A640" s="3">
        <v>63.2</v>
      </c>
      <c r="B640" s="10">
        <f t="shared" si="63"/>
        <v>1.9585997024125495E-7</v>
      </c>
      <c r="C640" s="10">
        <f t="shared" si="64"/>
        <v>3.8361127942905276E-14</v>
      </c>
      <c r="D640" s="3">
        <f t="shared" si="69"/>
        <v>2</v>
      </c>
      <c r="E640" s="10">
        <f t="shared" si="65"/>
        <v>3.9171994048250989E-7</v>
      </c>
      <c r="F640" s="10">
        <f t="shared" si="66"/>
        <v>7.6722255885810552E-14</v>
      </c>
      <c r="G640" s="10">
        <f t="shared" si="67"/>
        <v>4.951340047698925E-5</v>
      </c>
      <c r="H640" s="10">
        <f t="shared" si="68"/>
        <v>9.6976931439664548E-12</v>
      </c>
    </row>
    <row r="641" spans="1:8">
      <c r="A641" s="3">
        <v>63.300000000000004</v>
      </c>
      <c r="B641" s="10">
        <f t="shared" si="63"/>
        <v>1.761019607169917E-7</v>
      </c>
      <c r="C641" s="10">
        <f t="shared" si="64"/>
        <v>3.1011900568368884E-14</v>
      </c>
      <c r="D641" s="3">
        <f t="shared" si="69"/>
        <v>4</v>
      </c>
      <c r="E641" s="10">
        <f t="shared" si="65"/>
        <v>7.0440784286796678E-7</v>
      </c>
      <c r="F641" s="10">
        <f t="shared" si="66"/>
        <v>1.2404760227347553E-13</v>
      </c>
      <c r="G641" s="10">
        <f t="shared" si="67"/>
        <v>8.9178032907084602E-5</v>
      </c>
      <c r="H641" s="10">
        <f t="shared" si="68"/>
        <v>1.5704426447822003E-11</v>
      </c>
    </row>
    <row r="642" spans="1:8">
      <c r="A642" s="3">
        <v>63.400000000000006</v>
      </c>
      <c r="B642" s="10">
        <f t="shared" si="63"/>
        <v>1.5822284216940374E-7</v>
      </c>
      <c r="C642" s="10">
        <f t="shared" si="64"/>
        <v>2.5034467784164045E-14</v>
      </c>
      <c r="D642" s="3">
        <f t="shared" si="69"/>
        <v>2</v>
      </c>
      <c r="E642" s="10">
        <f t="shared" si="65"/>
        <v>3.1644568433880748E-7</v>
      </c>
      <c r="F642" s="10">
        <f t="shared" si="66"/>
        <v>5.006893556832809E-14</v>
      </c>
      <c r="G642" s="10">
        <f t="shared" si="67"/>
        <v>4.0125312774160792E-5</v>
      </c>
      <c r="H642" s="10">
        <f t="shared" si="68"/>
        <v>6.3487410300640026E-12</v>
      </c>
    </row>
    <row r="643" spans="1:8">
      <c r="A643" s="3">
        <v>63.500000000000007</v>
      </c>
      <c r="B643" s="10">
        <f t="shared" si="63"/>
        <v>1.4205565470571964E-7</v>
      </c>
      <c r="C643" s="10">
        <f t="shared" si="64"/>
        <v>2.0179809033870644E-14</v>
      </c>
      <c r="D643" s="3">
        <f t="shared" si="69"/>
        <v>4</v>
      </c>
      <c r="E643" s="10">
        <f t="shared" si="65"/>
        <v>5.6822261882287854E-7</v>
      </c>
      <c r="F643" s="10">
        <f t="shared" si="66"/>
        <v>8.0719236135482576E-14</v>
      </c>
      <c r="G643" s="10">
        <f t="shared" si="67"/>
        <v>7.2164272590505583E-5</v>
      </c>
      <c r="H643" s="10">
        <f t="shared" si="68"/>
        <v>1.0251342989206288E-11</v>
      </c>
    </row>
    <row r="644" spans="1:8">
      <c r="A644" s="3">
        <v>63.6</v>
      </c>
      <c r="B644" s="10">
        <f t="shared" si="63"/>
        <v>1.2744713651195495E-7</v>
      </c>
      <c r="C644" s="10">
        <f t="shared" si="64"/>
        <v>1.6242772605096882E-14</v>
      </c>
      <c r="D644" s="3">
        <f t="shared" si="69"/>
        <v>2</v>
      </c>
      <c r="E644" s="10">
        <f t="shared" si="65"/>
        <v>2.548942730239099E-7</v>
      </c>
      <c r="F644" s="10">
        <f t="shared" si="66"/>
        <v>3.2485545210193764E-14</v>
      </c>
      <c r="G644" s="10">
        <f t="shared" si="67"/>
        <v>3.2422551528641343E-5</v>
      </c>
      <c r="H644" s="10">
        <f t="shared" si="68"/>
        <v>4.1321613507366472E-12</v>
      </c>
    </row>
    <row r="645" spans="1:8">
      <c r="A645" s="3">
        <v>63.7</v>
      </c>
      <c r="B645" s="10">
        <f t="shared" si="63"/>
        <v>1.1425670421011839E-7</v>
      </c>
      <c r="C645" s="10">
        <f t="shared" si="64"/>
        <v>1.3054594456958487E-14</v>
      </c>
      <c r="D645" s="3">
        <f t="shared" si="69"/>
        <v>4</v>
      </c>
      <c r="E645" s="10">
        <f t="shared" si="65"/>
        <v>4.5702681684047358E-7</v>
      </c>
      <c r="F645" s="10">
        <f t="shared" si="66"/>
        <v>5.2218377827833946E-14</v>
      </c>
      <c r="G645" s="10">
        <f t="shared" si="67"/>
        <v>5.8225216465476334E-5</v>
      </c>
      <c r="H645" s="10">
        <f t="shared" si="68"/>
        <v>6.6526213352660452E-12</v>
      </c>
    </row>
    <row r="646" spans="1:8">
      <c r="A646" s="3">
        <v>63.800000000000004</v>
      </c>
      <c r="B646" s="10">
        <f t="shared" si="63"/>
        <v>1.023555001834117E-7</v>
      </c>
      <c r="C646" s="10">
        <f t="shared" si="64"/>
        <v>1.0476648417796393E-14</v>
      </c>
      <c r="D646" s="3">
        <f t="shared" si="69"/>
        <v>2</v>
      </c>
      <c r="E646" s="10">
        <f t="shared" si="65"/>
        <v>2.0471100036682341E-7</v>
      </c>
      <c r="F646" s="10">
        <f t="shared" si="66"/>
        <v>2.0953296835592787E-14</v>
      </c>
      <c r="G646" s="10">
        <f t="shared" si="67"/>
        <v>2.6121123646806667E-5</v>
      </c>
      <c r="H646" s="10">
        <f t="shared" si="68"/>
        <v>2.6736406762216398E-12</v>
      </c>
    </row>
    <row r="647" spans="1:8">
      <c r="A647" s="3">
        <v>63.900000000000006</v>
      </c>
      <c r="B647" s="10">
        <f t="shared" si="63"/>
        <v>9.162550318286986E-8</v>
      </c>
      <c r="C647" s="10">
        <f t="shared" si="64"/>
        <v>8.3952328335140953E-15</v>
      </c>
      <c r="D647" s="3">
        <f t="shared" si="69"/>
        <v>4</v>
      </c>
      <c r="E647" s="10">
        <f t="shared" si="65"/>
        <v>3.6650201273147944E-7</v>
      </c>
      <c r="F647" s="10">
        <f t="shared" si="66"/>
        <v>3.3580931334056381E-14</v>
      </c>
      <c r="G647" s="10">
        <f t="shared" si="67"/>
        <v>4.6838957227083074E-5</v>
      </c>
      <c r="H647" s="10">
        <f t="shared" si="68"/>
        <v>4.2916430244924058E-12</v>
      </c>
    </row>
    <row r="648" spans="1:8">
      <c r="A648" s="3">
        <v>64</v>
      </c>
      <c r="B648" s="10">
        <f t="shared" si="63"/>
        <v>8.1958698679269578E-8</v>
      </c>
      <c r="C648" s="10">
        <f t="shared" si="64"/>
        <v>6.7172282891993046E-15</v>
      </c>
      <c r="D648" s="3">
        <f t="shared" si="69"/>
        <v>2</v>
      </c>
      <c r="E648" s="10">
        <f t="shared" si="65"/>
        <v>1.6391739735853916E-7</v>
      </c>
      <c r="F648" s="10">
        <f t="shared" si="66"/>
        <v>1.3434456578398609E-14</v>
      </c>
      <c r="G648" s="10">
        <f t="shared" si="67"/>
        <v>2.0981426861893012E-5</v>
      </c>
      <c r="H648" s="10">
        <f t="shared" si="68"/>
        <v>1.719610442035022E-12</v>
      </c>
    </row>
    <row r="649" spans="1:8">
      <c r="A649" s="3">
        <v>64.099999999999994</v>
      </c>
      <c r="B649" s="10">
        <f t="shared" ref="B649:B708" si="70">$B$5^(($B$4^50)*(($B$4^A649)-1))</f>
        <v>7.3256305572006669E-8</v>
      </c>
      <c r="C649" s="10">
        <f t="shared" ref="C649:C708" si="71">B649^2</f>
        <v>5.3664863060592154E-15</v>
      </c>
      <c r="D649" s="3">
        <f t="shared" si="69"/>
        <v>4</v>
      </c>
      <c r="E649" s="10">
        <f t="shared" ref="E649:E708" si="72">B649*D649</f>
        <v>2.9302522228802667E-7</v>
      </c>
      <c r="F649" s="10">
        <f t="shared" ref="F649:F708" si="73">C649*D649</f>
        <v>2.1465945224236862E-14</v>
      </c>
      <c r="G649" s="10">
        <f t="shared" ref="G649:G708" si="74">2*A649*B649*D649</f>
        <v>3.7565833497325016E-5</v>
      </c>
      <c r="H649" s="10">
        <f t="shared" ref="H649:H708" si="75">2*A649*C649*D649</f>
        <v>2.7519341777471653E-12</v>
      </c>
    </row>
    <row r="650" spans="1:8">
      <c r="A650" s="3">
        <v>64.2</v>
      </c>
      <c r="B650" s="10">
        <f t="shared" si="70"/>
        <v>6.5428056011935435E-8</v>
      </c>
      <c r="C650" s="10">
        <f t="shared" si="71"/>
        <v>4.2808305135009604E-15</v>
      </c>
      <c r="D650" s="3">
        <f t="shared" si="69"/>
        <v>2</v>
      </c>
      <c r="E650" s="10">
        <f t="shared" si="72"/>
        <v>1.3085611202387087E-7</v>
      </c>
      <c r="F650" s="10">
        <f t="shared" si="73"/>
        <v>8.5616610270019209E-15</v>
      </c>
      <c r="G650" s="10">
        <f t="shared" si="74"/>
        <v>1.680192478386502E-5</v>
      </c>
      <c r="H650" s="10">
        <f t="shared" si="75"/>
        <v>1.0993172758670467E-12</v>
      </c>
    </row>
    <row r="651" spans="1:8">
      <c r="A651" s="3">
        <v>64.3</v>
      </c>
      <c r="B651" s="10">
        <f t="shared" si="70"/>
        <v>5.8391525237199687E-8</v>
      </c>
      <c r="C651" s="10">
        <f t="shared" si="71"/>
        <v>3.4095702195265279E-15</v>
      </c>
      <c r="D651" s="3">
        <f t="shared" ref="D651:D707" si="76">IF(D650=4,2,4)</f>
        <v>4</v>
      </c>
      <c r="E651" s="10">
        <f t="shared" si="72"/>
        <v>2.3356610094879875E-7</v>
      </c>
      <c r="F651" s="10">
        <f t="shared" si="73"/>
        <v>1.3638280878106112E-14</v>
      </c>
      <c r="G651" s="10">
        <f t="shared" si="74"/>
        <v>3.0036600582015518E-5</v>
      </c>
      <c r="H651" s="10">
        <f t="shared" si="75"/>
        <v>1.7538829209244458E-12</v>
      </c>
    </row>
    <row r="652" spans="1:8">
      <c r="A652" s="3">
        <v>64.399999999999991</v>
      </c>
      <c r="B652" s="10">
        <f t="shared" si="70"/>
        <v>5.2071508460566462E-8</v>
      </c>
      <c r="C652" s="10">
        <f t="shared" si="71"/>
        <v>2.7114419933588445E-15</v>
      </c>
      <c r="D652" s="3">
        <f t="shared" si="76"/>
        <v>2</v>
      </c>
      <c r="E652" s="10">
        <f t="shared" si="72"/>
        <v>1.0414301692113292E-7</v>
      </c>
      <c r="F652" s="10">
        <f t="shared" si="73"/>
        <v>5.422883986717689E-15</v>
      </c>
      <c r="G652" s="10">
        <f t="shared" si="74"/>
        <v>1.3413620579441918E-5</v>
      </c>
      <c r="H652" s="10">
        <f t="shared" si="75"/>
        <v>6.9846745748923823E-13</v>
      </c>
    </row>
    <row r="653" spans="1:8">
      <c r="A653" s="3">
        <v>64.5</v>
      </c>
      <c r="B653" s="10">
        <f t="shared" si="70"/>
        <v>4.6399441982475232E-8</v>
      </c>
      <c r="C653" s="10">
        <f t="shared" si="71"/>
        <v>2.1529082162850852E-15</v>
      </c>
      <c r="D653" s="3">
        <f t="shared" si="76"/>
        <v>4</v>
      </c>
      <c r="E653" s="10">
        <f t="shared" si="72"/>
        <v>1.8559776792990093E-7</v>
      </c>
      <c r="F653" s="10">
        <f t="shared" si="73"/>
        <v>8.6116328651403409E-15</v>
      </c>
      <c r="G653" s="10">
        <f t="shared" si="74"/>
        <v>2.394211206295722E-5</v>
      </c>
      <c r="H653" s="10">
        <f t="shared" si="75"/>
        <v>1.1109006396031039E-12</v>
      </c>
    </row>
    <row r="654" spans="1:8">
      <c r="A654" s="3">
        <v>64.599999999999994</v>
      </c>
      <c r="B654" s="10">
        <f t="shared" si="70"/>
        <v>4.1312865836687367E-8</v>
      </c>
      <c r="C654" s="10">
        <f t="shared" si="71"/>
        <v>1.7067528836401303E-15</v>
      </c>
      <c r="D654" s="3">
        <f t="shared" si="76"/>
        <v>2</v>
      </c>
      <c r="E654" s="10">
        <f t="shared" si="72"/>
        <v>8.2625731673374734E-8</v>
      </c>
      <c r="F654" s="10">
        <f t="shared" si="73"/>
        <v>3.4135057672802605E-15</v>
      </c>
      <c r="G654" s="10">
        <f t="shared" si="74"/>
        <v>1.0675244532200014E-5</v>
      </c>
      <c r="H654" s="10">
        <f t="shared" si="75"/>
        <v>4.4102494513260962E-13</v>
      </c>
    </row>
    <row r="655" spans="1:8">
      <c r="A655" s="3">
        <v>64.7</v>
      </c>
      <c r="B655" s="10">
        <f t="shared" si="70"/>
        <v>3.6754925404377797E-8</v>
      </c>
      <c r="C655" s="10">
        <f t="shared" si="71"/>
        <v>1.3509245414813763E-15</v>
      </c>
      <c r="D655" s="3">
        <f t="shared" si="76"/>
        <v>4</v>
      </c>
      <c r="E655" s="10">
        <f t="shared" si="72"/>
        <v>1.4701970161751119E-7</v>
      </c>
      <c r="F655" s="10">
        <f t="shared" si="73"/>
        <v>5.4036981659255052E-15</v>
      </c>
      <c r="G655" s="10">
        <f t="shared" si="74"/>
        <v>1.9024349389305949E-5</v>
      </c>
      <c r="H655" s="10">
        <f t="shared" si="75"/>
        <v>6.9923854267076035E-13</v>
      </c>
    </row>
    <row r="656" spans="1:8">
      <c r="A656" s="3">
        <v>64.8</v>
      </c>
      <c r="B656" s="10">
        <f t="shared" si="70"/>
        <v>3.2673909557975059E-8</v>
      </c>
      <c r="C656" s="10">
        <f t="shared" si="71"/>
        <v>1.0675843658027339E-15</v>
      </c>
      <c r="D656" s="3">
        <f t="shared" si="76"/>
        <v>2</v>
      </c>
      <c r="E656" s="10">
        <f t="shared" si="72"/>
        <v>6.5347819115950118E-8</v>
      </c>
      <c r="F656" s="10">
        <f t="shared" si="73"/>
        <v>2.1351687316054678E-15</v>
      </c>
      <c r="G656" s="10">
        <f t="shared" si="74"/>
        <v>8.4690773574271349E-6</v>
      </c>
      <c r="H656" s="10">
        <f t="shared" si="75"/>
        <v>2.767178676160686E-13</v>
      </c>
    </row>
    <row r="657" spans="1:8">
      <c r="A657" s="3">
        <v>64.899999999999991</v>
      </c>
      <c r="B657" s="10">
        <f t="shared" si="70"/>
        <v>2.902282301772355E-8</v>
      </c>
      <c r="C657" s="10">
        <f t="shared" si="71"/>
        <v>8.423242559181039E-16</v>
      </c>
      <c r="D657" s="3">
        <f t="shared" si="76"/>
        <v>4</v>
      </c>
      <c r="E657" s="10">
        <f t="shared" si="72"/>
        <v>1.160912920708942E-7</v>
      </c>
      <c r="F657" s="10">
        <f t="shared" si="73"/>
        <v>3.3692970236724156E-15</v>
      </c>
      <c r="G657" s="10">
        <f t="shared" si="74"/>
        <v>1.5068649710802066E-5</v>
      </c>
      <c r="H657" s="10">
        <f t="shared" si="75"/>
        <v>4.3733475367267948E-13</v>
      </c>
    </row>
    <row r="658" spans="1:8">
      <c r="A658" s="3">
        <v>65</v>
      </c>
      <c r="B658" s="10">
        <f t="shared" si="70"/>
        <v>2.575899072190696E-8</v>
      </c>
      <c r="C658" s="10">
        <f t="shared" si="71"/>
        <v>6.6352560301128882E-16</v>
      </c>
      <c r="D658" s="3">
        <f t="shared" si="76"/>
        <v>2</v>
      </c>
      <c r="E658" s="10">
        <f t="shared" si="72"/>
        <v>5.151798144381392E-8</v>
      </c>
      <c r="F658" s="10">
        <f t="shared" si="73"/>
        <v>1.3270512060225776E-15</v>
      </c>
      <c r="G658" s="10">
        <f t="shared" si="74"/>
        <v>6.6973375876958099E-6</v>
      </c>
      <c r="H658" s="10">
        <f t="shared" si="75"/>
        <v>1.7251665678293509E-13</v>
      </c>
    </row>
    <row r="659" spans="1:8">
      <c r="A659" s="3">
        <v>65.099999999999994</v>
      </c>
      <c r="B659" s="10">
        <f t="shared" si="70"/>
        <v>2.2843692125775635E-8</v>
      </c>
      <c r="C659" s="10">
        <f t="shared" si="71"/>
        <v>5.2183426993722379E-16</v>
      </c>
      <c r="D659" s="3">
        <f t="shared" si="76"/>
        <v>4</v>
      </c>
      <c r="E659" s="10">
        <f t="shared" si="72"/>
        <v>9.1374768503102539E-8</v>
      </c>
      <c r="F659" s="10">
        <f t="shared" si="73"/>
        <v>2.0873370797488952E-15</v>
      </c>
      <c r="G659" s="10">
        <f t="shared" si="74"/>
        <v>1.1896994859103949E-5</v>
      </c>
      <c r="H659" s="10">
        <f t="shared" si="75"/>
        <v>2.7177128778330613E-13</v>
      </c>
    </row>
    <row r="660" spans="1:8">
      <c r="A660" s="3">
        <v>65.2</v>
      </c>
      <c r="B660" s="10">
        <f t="shared" si="70"/>
        <v>2.0241823454507715E-8</v>
      </c>
      <c r="C660" s="10">
        <f t="shared" si="71"/>
        <v>4.0973141676345866E-16</v>
      </c>
      <c r="D660" s="3">
        <f t="shared" si="76"/>
        <v>2</v>
      </c>
      <c r="E660" s="10">
        <f t="shared" si="72"/>
        <v>4.048364690901543E-8</v>
      </c>
      <c r="F660" s="10">
        <f t="shared" si="73"/>
        <v>8.1946283352691732E-16</v>
      </c>
      <c r="G660" s="10">
        <f t="shared" si="74"/>
        <v>5.2790675569356127E-6</v>
      </c>
      <c r="H660" s="10">
        <f t="shared" si="75"/>
        <v>1.0685795349191003E-13</v>
      </c>
    </row>
    <row r="661" spans="1:8">
      <c r="A661" s="3">
        <v>65.3</v>
      </c>
      <c r="B661" s="10">
        <f t="shared" si="70"/>
        <v>1.7921586041853079E-8</v>
      </c>
      <c r="C661" s="10">
        <f t="shared" si="71"/>
        <v>3.2118324625554311E-16</v>
      </c>
      <c r="D661" s="3">
        <f t="shared" si="76"/>
        <v>4</v>
      </c>
      <c r="E661" s="10">
        <f t="shared" si="72"/>
        <v>7.1686344167412318E-8</v>
      </c>
      <c r="F661" s="10">
        <f t="shared" si="73"/>
        <v>1.2847329850221724E-15</v>
      </c>
      <c r="G661" s="10">
        <f t="shared" si="74"/>
        <v>9.3622365482640489E-6</v>
      </c>
      <c r="H661" s="10">
        <f t="shared" si="75"/>
        <v>1.6778612784389571E-13</v>
      </c>
    </row>
    <row r="662" spans="1:8">
      <c r="A662" s="3">
        <v>65.399999999999991</v>
      </c>
      <c r="B662" s="10">
        <f t="shared" si="70"/>
        <v>1.5854198988684631E-8</v>
      </c>
      <c r="C662" s="10">
        <f t="shared" si="71"/>
        <v>2.5135562557280877E-16</v>
      </c>
      <c r="D662" s="3">
        <f t="shared" si="76"/>
        <v>2</v>
      </c>
      <c r="E662" s="10">
        <f t="shared" si="72"/>
        <v>3.1708397977369261E-8</v>
      </c>
      <c r="F662" s="10">
        <f t="shared" si="73"/>
        <v>5.0271125114561754E-16</v>
      </c>
      <c r="G662" s="10">
        <f t="shared" si="74"/>
        <v>4.1474584554398992E-6</v>
      </c>
      <c r="H662" s="10">
        <f t="shared" si="75"/>
        <v>6.5754631649846767E-14</v>
      </c>
    </row>
    <row r="663" spans="1:8">
      <c r="A663" s="3">
        <v>65.5</v>
      </c>
      <c r="B663" s="10">
        <f t="shared" si="70"/>
        <v>1.401363447422308E-8</v>
      </c>
      <c r="C663" s="10">
        <f t="shared" si="71"/>
        <v>1.9638195117713358E-16</v>
      </c>
      <c r="D663" s="3">
        <f t="shared" si="76"/>
        <v>4</v>
      </c>
      <c r="E663" s="10">
        <f t="shared" si="72"/>
        <v>5.605453789689232E-8</v>
      </c>
      <c r="F663" s="10">
        <f t="shared" si="73"/>
        <v>7.855278047085343E-16</v>
      </c>
      <c r="G663" s="10">
        <f t="shared" si="74"/>
        <v>7.343144464492894E-6</v>
      </c>
      <c r="H663" s="10">
        <f t="shared" si="75"/>
        <v>1.0290414241681799E-13</v>
      </c>
    </row>
    <row r="664" spans="1:8">
      <c r="A664" s="3">
        <v>65.599999999999994</v>
      </c>
      <c r="B664" s="10">
        <f t="shared" si="70"/>
        <v>1.2376374147482082E-8</v>
      </c>
      <c r="C664" s="10">
        <f t="shared" si="71"/>
        <v>1.5317463703846284E-16</v>
      </c>
      <c r="D664" s="3">
        <f t="shared" si="76"/>
        <v>2</v>
      </c>
      <c r="E664" s="10">
        <f t="shared" si="72"/>
        <v>2.4752748294964165E-8</v>
      </c>
      <c r="F664" s="10">
        <f t="shared" si="73"/>
        <v>3.0634927407692567E-16</v>
      </c>
      <c r="G664" s="10">
        <f t="shared" si="74"/>
        <v>3.247560576299298E-6</v>
      </c>
      <c r="H664" s="10">
        <f t="shared" si="75"/>
        <v>4.0193024758892643E-14</v>
      </c>
    </row>
    <row r="665" spans="1:8">
      <c r="A665" s="3">
        <v>65.7</v>
      </c>
      <c r="B665" s="10">
        <f t="shared" si="70"/>
        <v>1.0921185117370548E-8</v>
      </c>
      <c r="C665" s="10">
        <f t="shared" si="71"/>
        <v>1.1927228436787594E-16</v>
      </c>
      <c r="D665" s="3">
        <f t="shared" si="76"/>
        <v>4</v>
      </c>
      <c r="E665" s="10">
        <f t="shared" si="72"/>
        <v>4.3684740469482192E-8</v>
      </c>
      <c r="F665" s="10">
        <f t="shared" si="73"/>
        <v>4.7708913747150377E-16</v>
      </c>
      <c r="G665" s="10">
        <f t="shared" si="74"/>
        <v>5.7401748976899604E-6</v>
      </c>
      <c r="H665" s="10">
        <f t="shared" si="75"/>
        <v>6.2689512663755601E-14</v>
      </c>
    </row>
    <row r="666" spans="1:8">
      <c r="A666" s="3">
        <v>65.8</v>
      </c>
      <c r="B666" s="10">
        <f t="shared" si="70"/>
        <v>9.6289141470051608E-9</v>
      </c>
      <c r="C666" s="10">
        <f t="shared" si="71"/>
        <v>9.2715987650396123E-17</v>
      </c>
      <c r="D666" s="3">
        <f t="shared" si="76"/>
        <v>2</v>
      </c>
      <c r="E666" s="10">
        <f t="shared" si="72"/>
        <v>1.9257828294010322E-8</v>
      </c>
      <c r="F666" s="10">
        <f t="shared" si="73"/>
        <v>1.8543197530079225E-16</v>
      </c>
      <c r="G666" s="10">
        <f t="shared" si="74"/>
        <v>2.5343302034917581E-6</v>
      </c>
      <c r="H666" s="10">
        <f t="shared" si="75"/>
        <v>2.440284794958426E-14</v>
      </c>
    </row>
    <row r="667" spans="1:8">
      <c r="A667" s="3">
        <v>65.899999999999991</v>
      </c>
      <c r="B667" s="10">
        <f t="shared" si="70"/>
        <v>8.482298741134114E-9</v>
      </c>
      <c r="C667" s="10">
        <f t="shared" si="71"/>
        <v>7.1949391933845377E-17</v>
      </c>
      <c r="D667" s="3">
        <f t="shared" si="76"/>
        <v>4</v>
      </c>
      <c r="E667" s="10">
        <f t="shared" si="72"/>
        <v>3.3929194964536456E-8</v>
      </c>
      <c r="F667" s="10">
        <f t="shared" si="73"/>
        <v>2.8779756773538151E-16</v>
      </c>
      <c r="G667" s="10">
        <f t="shared" si="74"/>
        <v>4.4718678963259043E-6</v>
      </c>
      <c r="H667" s="10">
        <f t="shared" si="75"/>
        <v>3.7931719427523277E-14</v>
      </c>
    </row>
    <row r="668" spans="1:8">
      <c r="A668" s="3">
        <v>66</v>
      </c>
      <c r="B668" s="10">
        <f t="shared" si="70"/>
        <v>7.4657938952375797E-9</v>
      </c>
      <c r="C668" s="10">
        <f t="shared" si="71"/>
        <v>5.5738078486166711E-17</v>
      </c>
      <c r="D668" s="3">
        <f t="shared" si="76"/>
        <v>2</v>
      </c>
      <c r="E668" s="10">
        <f t="shared" si="72"/>
        <v>1.4931587790475159E-8</v>
      </c>
      <c r="F668" s="10">
        <f t="shared" si="73"/>
        <v>1.1147615697233342E-16</v>
      </c>
      <c r="G668" s="10">
        <f t="shared" si="74"/>
        <v>1.970969588342721E-6</v>
      </c>
      <c r="H668" s="10">
        <f t="shared" si="75"/>
        <v>1.4714852720348012E-14</v>
      </c>
    </row>
    <row r="669" spans="1:8">
      <c r="A669" s="3">
        <v>66.099999999999994</v>
      </c>
      <c r="B669" s="10">
        <f t="shared" si="70"/>
        <v>6.5654133508962062E-9</v>
      </c>
      <c r="C669" s="10">
        <f t="shared" si="71"/>
        <v>4.310465246812615E-17</v>
      </c>
      <c r="D669" s="3">
        <f t="shared" si="76"/>
        <v>4</v>
      </c>
      <c r="E669" s="10">
        <f t="shared" si="72"/>
        <v>2.6261653403584825E-8</v>
      </c>
      <c r="F669" s="10">
        <f t="shared" si="73"/>
        <v>1.724186098725046E-16</v>
      </c>
      <c r="G669" s="10">
        <f t="shared" si="74"/>
        <v>3.4717905799539134E-6</v>
      </c>
      <c r="H669" s="10">
        <f t="shared" si="75"/>
        <v>2.2793740225145107E-14</v>
      </c>
    </row>
    <row r="670" spans="1:8">
      <c r="A670" s="3">
        <v>66.2</v>
      </c>
      <c r="B670" s="10">
        <f t="shared" si="70"/>
        <v>5.7685842744981401E-9</v>
      </c>
      <c r="C670" s="10">
        <f t="shared" si="71"/>
        <v>3.3276564531987231E-17</v>
      </c>
      <c r="D670" s="3">
        <f t="shared" si="76"/>
        <v>2</v>
      </c>
      <c r="E670" s="10">
        <f t="shared" si="72"/>
        <v>1.153716854899628E-8</v>
      </c>
      <c r="F670" s="10">
        <f t="shared" si="73"/>
        <v>6.6553129063974463E-17</v>
      </c>
      <c r="G670" s="10">
        <f t="shared" si="74"/>
        <v>1.5275211158871076E-6</v>
      </c>
      <c r="H670" s="10">
        <f t="shared" si="75"/>
        <v>8.811634288070219E-15</v>
      </c>
    </row>
    <row r="671" spans="1:8">
      <c r="A671" s="3">
        <v>66.3</v>
      </c>
      <c r="B671" s="10">
        <f t="shared" si="70"/>
        <v>5.0640143453236828E-9</v>
      </c>
      <c r="C671" s="10">
        <f t="shared" si="71"/>
        <v>2.5644241289644047E-17</v>
      </c>
      <c r="D671" s="3">
        <f t="shared" si="76"/>
        <v>4</v>
      </c>
      <c r="E671" s="10">
        <f t="shared" si="72"/>
        <v>2.0256057381294731E-8</v>
      </c>
      <c r="F671" s="10">
        <f t="shared" si="73"/>
        <v>1.0257696515857619E-16</v>
      </c>
      <c r="G671" s="10">
        <f t="shared" si="74"/>
        <v>2.6859532087596813E-6</v>
      </c>
      <c r="H671" s="10">
        <f t="shared" si="75"/>
        <v>1.3601705580027202E-14</v>
      </c>
    </row>
    <row r="672" spans="1:8">
      <c r="A672" s="3">
        <v>66.399999999999991</v>
      </c>
      <c r="B672" s="10">
        <f t="shared" si="70"/>
        <v>4.4415703046639566E-9</v>
      </c>
      <c r="C672" s="10">
        <f t="shared" si="71"/>
        <v>1.9727546771272673E-17</v>
      </c>
      <c r="D672" s="3">
        <f t="shared" si="76"/>
        <v>2</v>
      </c>
      <c r="E672" s="10">
        <f t="shared" si="72"/>
        <v>8.8831406093279133E-9</v>
      </c>
      <c r="F672" s="10">
        <f t="shared" si="73"/>
        <v>3.9455093542545347E-17</v>
      </c>
      <c r="G672" s="10">
        <f t="shared" si="74"/>
        <v>1.1796810729187466E-6</v>
      </c>
      <c r="H672" s="10">
        <f t="shared" si="75"/>
        <v>5.2396364224500213E-15</v>
      </c>
    </row>
    <row r="673" spans="1:8">
      <c r="A673" s="3">
        <v>66.5</v>
      </c>
      <c r="B673" s="10">
        <f t="shared" si="70"/>
        <v>3.8921670798883819E-9</v>
      </c>
      <c r="C673" s="10">
        <f t="shared" si="71"/>
        <v>1.5148964577766855E-17</v>
      </c>
      <c r="D673" s="3">
        <f t="shared" si="76"/>
        <v>4</v>
      </c>
      <c r="E673" s="10">
        <f t="shared" si="72"/>
        <v>1.5568668319553528E-8</v>
      </c>
      <c r="F673" s="10">
        <f t="shared" si="73"/>
        <v>6.0595858311067421E-17</v>
      </c>
      <c r="G673" s="10">
        <f t="shared" si="74"/>
        <v>2.0706328865006191E-6</v>
      </c>
      <c r="H673" s="10">
        <f t="shared" si="75"/>
        <v>8.0592491553719664E-15</v>
      </c>
    </row>
    <row r="674" spans="1:8">
      <c r="A674" s="3">
        <v>66.599999999999994</v>
      </c>
      <c r="B674" s="10">
        <f t="shared" si="70"/>
        <v>3.4076666564513287E-9</v>
      </c>
      <c r="C674" s="10">
        <f t="shared" si="71"/>
        <v>1.1612192041490178E-17</v>
      </c>
      <c r="D674" s="3">
        <f t="shared" si="76"/>
        <v>2</v>
      </c>
      <c r="E674" s="10">
        <f t="shared" si="72"/>
        <v>6.8153333129026574E-9</v>
      </c>
      <c r="F674" s="10">
        <f t="shared" si="73"/>
        <v>2.3224384082980355E-17</v>
      </c>
      <c r="G674" s="10">
        <f t="shared" si="74"/>
        <v>9.0780239727863385E-7</v>
      </c>
      <c r="H674" s="10">
        <f t="shared" si="75"/>
        <v>3.0934879598529832E-15</v>
      </c>
    </row>
    <row r="675" spans="1:8">
      <c r="A675" s="3">
        <v>66.7</v>
      </c>
      <c r="B675" s="10">
        <f t="shared" si="70"/>
        <v>2.9807859267622193E-9</v>
      </c>
      <c r="C675" s="10">
        <f t="shared" si="71"/>
        <v>8.8850847411837028E-18</v>
      </c>
      <c r="D675" s="3">
        <f t="shared" si="76"/>
        <v>4</v>
      </c>
      <c r="E675" s="10">
        <f t="shared" si="72"/>
        <v>1.1923143707048877E-8</v>
      </c>
      <c r="F675" s="10">
        <f t="shared" si="73"/>
        <v>3.5540338964734811E-17</v>
      </c>
      <c r="G675" s="10">
        <f t="shared" si="74"/>
        <v>1.5905473705203202E-6</v>
      </c>
      <c r="H675" s="10">
        <f t="shared" si="75"/>
        <v>4.7410812178956243E-15</v>
      </c>
    </row>
    <row r="676" spans="1:8">
      <c r="A676" s="3">
        <v>66.8</v>
      </c>
      <c r="B676" s="10">
        <f t="shared" si="70"/>
        <v>2.6050127977673046E-9</v>
      </c>
      <c r="C676" s="10">
        <f t="shared" si="71"/>
        <v>6.7860916765314397E-18</v>
      </c>
      <c r="D676" s="3">
        <f t="shared" si="76"/>
        <v>2</v>
      </c>
      <c r="E676" s="10">
        <f t="shared" si="72"/>
        <v>5.2100255955346093E-9</v>
      </c>
      <c r="F676" s="10">
        <f t="shared" si="73"/>
        <v>1.3572183353062879E-17</v>
      </c>
      <c r="G676" s="10">
        <f t="shared" si="74"/>
        <v>6.9605941956342372E-7</v>
      </c>
      <c r="H676" s="10">
        <f t="shared" si="75"/>
        <v>1.8132436959692008E-15</v>
      </c>
    </row>
    <row r="677" spans="1:8">
      <c r="A677" s="3">
        <v>66.899999999999991</v>
      </c>
      <c r="B677" s="10">
        <f t="shared" si="70"/>
        <v>2.274529889081505E-9</v>
      </c>
      <c r="C677" s="10">
        <f t="shared" si="71"/>
        <v>5.173486216325123E-18</v>
      </c>
      <c r="D677" s="3">
        <f t="shared" si="76"/>
        <v>4</v>
      </c>
      <c r="E677" s="10">
        <f t="shared" si="72"/>
        <v>9.0981195563260199E-9</v>
      </c>
      <c r="F677" s="10">
        <f t="shared" si="73"/>
        <v>2.0693944865300492E-17</v>
      </c>
      <c r="G677" s="10">
        <f t="shared" si="74"/>
        <v>1.2173283966364212E-6</v>
      </c>
      <c r="H677" s="10">
        <f t="shared" si="75"/>
        <v>2.7688498229772057E-15</v>
      </c>
    </row>
    <row r="678" spans="1:8">
      <c r="A678" s="3">
        <v>67</v>
      </c>
      <c r="B678" s="10">
        <f t="shared" si="70"/>
        <v>1.9841452006886859E-9</v>
      </c>
      <c r="C678" s="10">
        <f t="shared" si="71"/>
        <v>3.9368321774159457E-18</v>
      </c>
      <c r="D678" s="3">
        <f t="shared" si="76"/>
        <v>2</v>
      </c>
      <c r="E678" s="10">
        <f t="shared" si="72"/>
        <v>3.9682904013773718E-9</v>
      </c>
      <c r="F678" s="10">
        <f t="shared" si="73"/>
        <v>7.8736643548318914E-18</v>
      </c>
      <c r="G678" s="10">
        <f t="shared" si="74"/>
        <v>5.3175091378456782E-7</v>
      </c>
      <c r="H678" s="10">
        <f t="shared" si="75"/>
        <v>1.0550710235474734E-15</v>
      </c>
    </row>
    <row r="679" spans="1:8">
      <c r="A679" s="3">
        <v>67.099999999999994</v>
      </c>
      <c r="B679" s="10">
        <f t="shared" si="70"/>
        <v>1.7292291736873822E-9</v>
      </c>
      <c r="C679" s="10">
        <f t="shared" si="71"/>
        <v>2.9902335351315467E-18</v>
      </c>
      <c r="D679" s="3">
        <f t="shared" si="76"/>
        <v>4</v>
      </c>
      <c r="E679" s="10">
        <f t="shared" si="72"/>
        <v>6.9169166947495289E-9</v>
      </c>
      <c r="F679" s="10">
        <f t="shared" si="73"/>
        <v>1.1960934140526187E-17</v>
      </c>
      <c r="G679" s="10">
        <f t="shared" si="74"/>
        <v>9.2825022043538671E-7</v>
      </c>
      <c r="H679" s="10">
        <f t="shared" si="75"/>
        <v>1.6051573616586141E-15</v>
      </c>
    </row>
    <row r="680" spans="1:8">
      <c r="A680" s="3">
        <v>67.2</v>
      </c>
      <c r="B680" s="10">
        <f t="shared" si="70"/>
        <v>1.5056576094108973E-9</v>
      </c>
      <c r="C680" s="10">
        <f t="shared" si="71"/>
        <v>2.2670048367769382E-18</v>
      </c>
      <c r="D680" s="3">
        <f t="shared" si="76"/>
        <v>2</v>
      </c>
      <c r="E680" s="10">
        <f t="shared" si="72"/>
        <v>3.0113152188217946E-9</v>
      </c>
      <c r="F680" s="10">
        <f t="shared" si="73"/>
        <v>4.5340096735538764E-18</v>
      </c>
      <c r="G680" s="10">
        <f t="shared" si="74"/>
        <v>4.0472076540964923E-7</v>
      </c>
      <c r="H680" s="10">
        <f t="shared" si="75"/>
        <v>6.09370900125641E-16</v>
      </c>
    </row>
    <row r="681" spans="1:8">
      <c r="A681" s="3">
        <v>67.3</v>
      </c>
      <c r="B681" s="10">
        <f t="shared" si="70"/>
        <v>1.3097599515889772E-9</v>
      </c>
      <c r="C681" s="10">
        <f t="shared" si="71"/>
        <v>1.7154711307863597E-18</v>
      </c>
      <c r="D681" s="3">
        <f t="shared" si="76"/>
        <v>4</v>
      </c>
      <c r="E681" s="10">
        <f t="shared" si="72"/>
        <v>5.2390398063559087E-9</v>
      </c>
      <c r="F681" s="10">
        <f t="shared" si="73"/>
        <v>6.8618845231454389E-18</v>
      </c>
      <c r="G681" s="10">
        <f t="shared" si="74"/>
        <v>7.0517475793550528E-7</v>
      </c>
      <c r="H681" s="10">
        <f t="shared" si="75"/>
        <v>9.2360965681537611E-16</v>
      </c>
    </row>
    <row r="682" spans="1:8">
      <c r="A682" s="3">
        <v>67.399999999999991</v>
      </c>
      <c r="B682" s="10">
        <f t="shared" si="70"/>
        <v>1.1382724731672308E-9</v>
      </c>
      <c r="C682" s="10">
        <f t="shared" si="71"/>
        <v>1.2956642231702442E-18</v>
      </c>
      <c r="D682" s="3">
        <f t="shared" si="76"/>
        <v>2</v>
      </c>
      <c r="E682" s="10">
        <f t="shared" si="72"/>
        <v>2.2765449463344616E-9</v>
      </c>
      <c r="F682" s="10">
        <f t="shared" si="73"/>
        <v>2.5913284463404885E-18</v>
      </c>
      <c r="G682" s="10">
        <f t="shared" si="74"/>
        <v>3.0687825876588538E-7</v>
      </c>
      <c r="H682" s="10">
        <f t="shared" si="75"/>
        <v>3.4931107456669779E-16</v>
      </c>
    </row>
    <row r="683" spans="1:8">
      <c r="A683" s="3">
        <v>67.5</v>
      </c>
      <c r="B683" s="10">
        <f t="shared" si="70"/>
        <v>9.8829594403851216E-10</v>
      </c>
      <c r="C683" s="10">
        <f t="shared" si="71"/>
        <v>9.767288730029739E-19</v>
      </c>
      <c r="D683" s="3">
        <f t="shared" si="76"/>
        <v>4</v>
      </c>
      <c r="E683" s="10">
        <f t="shared" si="72"/>
        <v>3.9531837761540486E-9</v>
      </c>
      <c r="F683" s="10">
        <f t="shared" si="73"/>
        <v>3.9069154920118956E-18</v>
      </c>
      <c r="G683" s="10">
        <f t="shared" si="74"/>
        <v>5.3367980978079655E-7</v>
      </c>
      <c r="H683" s="10">
        <f t="shared" si="75"/>
        <v>5.2743359142160586E-16</v>
      </c>
    </row>
    <row r="684" spans="1:8">
      <c r="A684" s="3">
        <v>67.599999999999994</v>
      </c>
      <c r="B684" s="10">
        <f t="shared" si="70"/>
        <v>8.5725738839373545E-10</v>
      </c>
      <c r="C684" s="10">
        <f t="shared" si="71"/>
        <v>7.3489022995564777E-19</v>
      </c>
      <c r="D684" s="3">
        <f t="shared" si="76"/>
        <v>2</v>
      </c>
      <c r="E684" s="10">
        <f t="shared" si="72"/>
        <v>1.7145147767874709E-9</v>
      </c>
      <c r="F684" s="10">
        <f t="shared" si="73"/>
        <v>1.4697804599112955E-18</v>
      </c>
      <c r="G684" s="10">
        <f t="shared" si="74"/>
        <v>2.3180239782166604E-7</v>
      </c>
      <c r="H684" s="10">
        <f t="shared" si="75"/>
        <v>1.9871431818000714E-16</v>
      </c>
    </row>
    <row r="685" spans="1:8">
      <c r="A685" s="3">
        <v>67.7</v>
      </c>
      <c r="B685" s="10">
        <f t="shared" si="70"/>
        <v>7.4287557075506301E-10</v>
      </c>
      <c r="C685" s="10">
        <f t="shared" si="71"/>
        <v>5.5186411362466062E-19</v>
      </c>
      <c r="D685" s="3">
        <f t="shared" si="76"/>
        <v>4</v>
      </c>
      <c r="E685" s="10">
        <f t="shared" si="72"/>
        <v>2.9715022830202521E-9</v>
      </c>
      <c r="F685" s="10">
        <f t="shared" si="73"/>
        <v>2.2074564544986425E-18</v>
      </c>
      <c r="G685" s="10">
        <f t="shared" si="74"/>
        <v>4.0234140912094213E-7</v>
      </c>
      <c r="H685" s="10">
        <f t="shared" si="75"/>
        <v>2.9888960393911622E-16</v>
      </c>
    </row>
    <row r="686" spans="1:8">
      <c r="A686" s="3">
        <v>67.8</v>
      </c>
      <c r="B686" s="10">
        <f t="shared" si="70"/>
        <v>6.4312987812006488E-10</v>
      </c>
      <c r="C686" s="10">
        <f t="shared" si="71"/>
        <v>4.136160401307295E-19</v>
      </c>
      <c r="D686" s="3">
        <f t="shared" si="76"/>
        <v>2</v>
      </c>
      <c r="E686" s="10">
        <f t="shared" si="72"/>
        <v>1.2862597562401298E-9</v>
      </c>
      <c r="F686" s="10">
        <f t="shared" si="73"/>
        <v>8.2723208026145901E-19</v>
      </c>
      <c r="G686" s="10">
        <f t="shared" si="74"/>
        <v>1.7441682294616159E-7</v>
      </c>
      <c r="H686" s="10">
        <f t="shared" si="75"/>
        <v>1.1217267008345384E-16</v>
      </c>
    </row>
    <row r="687" spans="1:8">
      <c r="A687" s="3">
        <v>67.899999999999991</v>
      </c>
      <c r="B687" s="10">
        <f t="shared" si="70"/>
        <v>5.5623229211527931E-10</v>
      </c>
      <c r="C687" s="10">
        <f t="shared" si="71"/>
        <v>3.093943627918174E-19</v>
      </c>
      <c r="D687" s="3">
        <f t="shared" si="76"/>
        <v>4</v>
      </c>
      <c r="E687" s="10">
        <f t="shared" si="72"/>
        <v>2.2249291684611172E-9</v>
      </c>
      <c r="F687" s="10">
        <f t="shared" si="73"/>
        <v>1.2375774511672696E-18</v>
      </c>
      <c r="G687" s="10">
        <f t="shared" si="74"/>
        <v>3.0214538107701966E-7</v>
      </c>
      <c r="H687" s="10">
        <f t="shared" si="75"/>
        <v>1.680630178685152E-16</v>
      </c>
    </row>
    <row r="688" spans="1:8">
      <c r="A688" s="3">
        <v>68</v>
      </c>
      <c r="B688" s="10">
        <f t="shared" si="70"/>
        <v>4.8060216973081488E-10</v>
      </c>
      <c r="C688" s="10">
        <f t="shared" si="71"/>
        <v>2.3097844554996697E-19</v>
      </c>
      <c r="D688" s="3">
        <f t="shared" si="76"/>
        <v>2</v>
      </c>
      <c r="E688" s="10">
        <f t="shared" si="72"/>
        <v>9.6120433946162975E-10</v>
      </c>
      <c r="F688" s="10">
        <f t="shared" si="73"/>
        <v>4.6195689109993395E-19</v>
      </c>
      <c r="G688" s="10">
        <f t="shared" si="74"/>
        <v>1.3072379016678164E-7</v>
      </c>
      <c r="H688" s="10">
        <f t="shared" si="75"/>
        <v>6.2826137189591019E-17</v>
      </c>
    </row>
    <row r="689" spans="1:8">
      <c r="A689" s="3">
        <v>68.099999999999994</v>
      </c>
      <c r="B689" s="10">
        <f t="shared" si="70"/>
        <v>4.1484357417647924E-10</v>
      </c>
      <c r="C689" s="10">
        <f t="shared" si="71"/>
        <v>1.7209519103551602E-19</v>
      </c>
      <c r="D689" s="3">
        <f t="shared" si="76"/>
        <v>4</v>
      </c>
      <c r="E689" s="10">
        <f t="shared" si="72"/>
        <v>1.6593742967059169E-9</v>
      </c>
      <c r="F689" s="10">
        <f t="shared" si="73"/>
        <v>6.8838076414206409E-19</v>
      </c>
      <c r="G689" s="10">
        <f t="shared" si="74"/>
        <v>2.2600677921134588E-7</v>
      </c>
      <c r="H689" s="10">
        <f t="shared" si="75"/>
        <v>9.3757460076149121E-17</v>
      </c>
    </row>
    <row r="690" spans="1:8">
      <c r="A690" s="3">
        <v>68.2</v>
      </c>
      <c r="B690" s="10">
        <f t="shared" si="70"/>
        <v>3.5772491875723457E-10</v>
      </c>
      <c r="C690" s="10">
        <f t="shared" si="71"/>
        <v>1.2796711749987006E-19</v>
      </c>
      <c r="D690" s="3">
        <f t="shared" si="76"/>
        <v>2</v>
      </c>
      <c r="E690" s="10">
        <f t="shared" si="72"/>
        <v>7.1544983751446914E-10</v>
      </c>
      <c r="F690" s="10">
        <f t="shared" si="73"/>
        <v>2.5593423499974013E-19</v>
      </c>
      <c r="G690" s="10">
        <f t="shared" si="74"/>
        <v>9.7587357836973594E-8</v>
      </c>
      <c r="H690" s="10">
        <f t="shared" si="75"/>
        <v>3.4909429653964556E-17</v>
      </c>
    </row>
    <row r="691" spans="1:8">
      <c r="A691" s="3">
        <v>68.3</v>
      </c>
      <c r="B691" s="10">
        <f t="shared" si="70"/>
        <v>3.0816070649773115E-10</v>
      </c>
      <c r="C691" s="10">
        <f t="shared" si="71"/>
        <v>9.4963021029180802E-20</v>
      </c>
      <c r="D691" s="3">
        <f t="shared" si="76"/>
        <v>4</v>
      </c>
      <c r="E691" s="10">
        <f t="shared" si="72"/>
        <v>1.2326428259909246E-9</v>
      </c>
      <c r="F691" s="10">
        <f t="shared" si="73"/>
        <v>3.7985208411672321E-19</v>
      </c>
      <c r="G691" s="10">
        <f t="shared" si="74"/>
        <v>1.6837901003036029E-7</v>
      </c>
      <c r="H691" s="10">
        <f t="shared" si="75"/>
        <v>5.1887794690344386E-17</v>
      </c>
    </row>
    <row r="692" spans="1:8">
      <c r="A692" s="3">
        <v>68.399999999999991</v>
      </c>
      <c r="B692" s="10">
        <f t="shared" si="70"/>
        <v>2.6519516664384693E-10</v>
      </c>
      <c r="C692" s="10">
        <f t="shared" si="71"/>
        <v>7.0328476411257744E-20</v>
      </c>
      <c r="D692" s="3">
        <f t="shared" si="76"/>
        <v>2</v>
      </c>
      <c r="E692" s="10">
        <f t="shared" si="72"/>
        <v>5.3039033328769385E-10</v>
      </c>
      <c r="F692" s="10">
        <f t="shared" si="73"/>
        <v>1.4065695282251549E-19</v>
      </c>
      <c r="G692" s="10">
        <f t="shared" si="74"/>
        <v>7.2557397593756507E-8</v>
      </c>
      <c r="H692" s="10">
        <f t="shared" si="75"/>
        <v>1.9241871146120116E-17</v>
      </c>
    </row>
    <row r="693" spans="1:8">
      <c r="A693" s="3">
        <v>68.5</v>
      </c>
      <c r="B693" s="10">
        <f t="shared" si="70"/>
        <v>2.2798760620959333E-10</v>
      </c>
      <c r="C693" s="10">
        <f t="shared" si="71"/>
        <v>5.1978348585180601E-20</v>
      </c>
      <c r="D693" s="3">
        <f t="shared" si="76"/>
        <v>4</v>
      </c>
      <c r="E693" s="10">
        <f t="shared" si="72"/>
        <v>9.1195042483837332E-10</v>
      </c>
      <c r="F693" s="10">
        <f t="shared" si="73"/>
        <v>2.079133943407224E-19</v>
      </c>
      <c r="G693" s="10">
        <f t="shared" si="74"/>
        <v>1.2493720820285715E-7</v>
      </c>
      <c r="H693" s="10">
        <f t="shared" si="75"/>
        <v>2.8484135024678969E-17</v>
      </c>
    </row>
    <row r="694" spans="1:8">
      <c r="A694" s="3">
        <v>68.599999999999994</v>
      </c>
      <c r="B694" s="10">
        <f t="shared" si="70"/>
        <v>1.9579931050718493E-10</v>
      </c>
      <c r="C694" s="10">
        <f t="shared" si="71"/>
        <v>3.8337369995089017E-20</v>
      </c>
      <c r="D694" s="3">
        <f t="shared" si="76"/>
        <v>2</v>
      </c>
      <c r="E694" s="10">
        <f t="shared" si="72"/>
        <v>3.9159862101436986E-10</v>
      </c>
      <c r="F694" s="10">
        <f t="shared" si="73"/>
        <v>7.6674739990178034E-20</v>
      </c>
      <c r="G694" s="10">
        <f t="shared" si="74"/>
        <v>5.3727330803171538E-8</v>
      </c>
      <c r="H694" s="10">
        <f t="shared" si="75"/>
        <v>1.0519774326652425E-17</v>
      </c>
    </row>
    <row r="695" spans="1:8">
      <c r="A695" s="3">
        <v>68.7</v>
      </c>
      <c r="B695" s="10">
        <f t="shared" si="70"/>
        <v>1.6798184116963959E-10</v>
      </c>
      <c r="C695" s="10">
        <f t="shared" si="71"/>
        <v>2.821789896274202E-20</v>
      </c>
      <c r="D695" s="3">
        <f t="shared" si="76"/>
        <v>4</v>
      </c>
      <c r="E695" s="10">
        <f t="shared" si="72"/>
        <v>6.7192736467855836E-10</v>
      </c>
      <c r="F695" s="10">
        <f t="shared" si="73"/>
        <v>1.1287159585096808E-19</v>
      </c>
      <c r="G695" s="10">
        <f t="shared" si="74"/>
        <v>9.2322819906833927E-8</v>
      </c>
      <c r="H695" s="10">
        <f t="shared" si="75"/>
        <v>1.5508557269923015E-17</v>
      </c>
    </row>
    <row r="696" spans="1:8">
      <c r="A696" s="3">
        <v>68.8</v>
      </c>
      <c r="B696" s="10">
        <f t="shared" si="70"/>
        <v>1.4396659362549424E-10</v>
      </c>
      <c r="C696" s="10">
        <f t="shared" si="71"/>
        <v>2.07263800801282E-20</v>
      </c>
      <c r="D696" s="3">
        <f t="shared" si="76"/>
        <v>2</v>
      </c>
      <c r="E696" s="10">
        <f t="shared" si="72"/>
        <v>2.8793318725098848E-10</v>
      </c>
      <c r="F696" s="10">
        <f t="shared" si="73"/>
        <v>4.1452760160256401E-20</v>
      </c>
      <c r="G696" s="10">
        <f t="shared" si="74"/>
        <v>3.9619606565736012E-8</v>
      </c>
      <c r="H696" s="10">
        <f t="shared" si="75"/>
        <v>5.7038997980512802E-18</v>
      </c>
    </row>
    <row r="697" spans="1:8">
      <c r="A697" s="3">
        <v>68.899999999999991</v>
      </c>
      <c r="B697" s="10">
        <f t="shared" si="70"/>
        <v>1.2325548838372917E-10</v>
      </c>
      <c r="C697" s="10">
        <f t="shared" si="71"/>
        <v>1.5191915416711596E-20</v>
      </c>
      <c r="D697" s="3">
        <f t="shared" si="76"/>
        <v>4</v>
      </c>
      <c r="E697" s="10">
        <f t="shared" si="72"/>
        <v>4.9302195353491666E-10</v>
      </c>
      <c r="F697" s="10">
        <f t="shared" si="73"/>
        <v>6.0767661666846385E-20</v>
      </c>
      <c r="G697" s="10">
        <f t="shared" si="74"/>
        <v>6.7938425197111504E-8</v>
      </c>
      <c r="H697" s="10">
        <f t="shared" si="75"/>
        <v>8.3737837776914313E-18</v>
      </c>
    </row>
    <row r="698" spans="1:8">
      <c r="A698" s="3">
        <v>69</v>
      </c>
      <c r="B698" s="10">
        <f t="shared" si="70"/>
        <v>1.0541268190301059E-10</v>
      </c>
      <c r="C698" s="10">
        <f t="shared" si="71"/>
        <v>1.1111833505985296E-20</v>
      </c>
      <c r="D698" s="3">
        <f t="shared" si="76"/>
        <v>2</v>
      </c>
      <c r="E698" s="10">
        <f t="shared" si="72"/>
        <v>2.1082536380602118E-10</v>
      </c>
      <c r="F698" s="10">
        <f t="shared" si="73"/>
        <v>2.2223667011970592E-20</v>
      </c>
      <c r="G698" s="10">
        <f t="shared" si="74"/>
        <v>2.9093900205230922E-8</v>
      </c>
      <c r="H698" s="10">
        <f t="shared" si="75"/>
        <v>3.0668660476519417E-18</v>
      </c>
    </row>
    <row r="699" spans="1:8">
      <c r="A699" s="3">
        <v>69.099999999999994</v>
      </c>
      <c r="B699" s="10">
        <f t="shared" si="70"/>
        <v>9.0057193316943711E-11</v>
      </c>
      <c r="C699" s="10">
        <f t="shared" si="71"/>
        <v>8.110298068125371E-21</v>
      </c>
      <c r="D699" s="3">
        <f t="shared" si="76"/>
        <v>4</v>
      </c>
      <c r="E699" s="10">
        <f t="shared" si="72"/>
        <v>3.6022877326777485E-10</v>
      </c>
      <c r="F699" s="10">
        <f t="shared" si="73"/>
        <v>3.2441192272501484E-20</v>
      </c>
      <c r="G699" s="10">
        <f t="shared" si="74"/>
        <v>4.9783616465606481E-8</v>
      </c>
      <c r="H699" s="10">
        <f t="shared" si="75"/>
        <v>4.483372772059705E-18</v>
      </c>
    </row>
    <row r="700" spans="1:8">
      <c r="A700" s="3">
        <v>69.2</v>
      </c>
      <c r="B700" s="10">
        <f t="shared" si="70"/>
        <v>7.6856352928735807E-11</v>
      </c>
      <c r="C700" s="10">
        <f t="shared" si="71"/>
        <v>5.9068989855063971E-21</v>
      </c>
      <c r="D700" s="3">
        <f t="shared" si="76"/>
        <v>2</v>
      </c>
      <c r="E700" s="10">
        <f t="shared" si="72"/>
        <v>1.5371270585747161E-10</v>
      </c>
      <c r="F700" s="10">
        <f t="shared" si="73"/>
        <v>1.1813797971012794E-20</v>
      </c>
      <c r="G700" s="10">
        <f t="shared" si="74"/>
        <v>2.1273838490674074E-8</v>
      </c>
      <c r="H700" s="10">
        <f t="shared" si="75"/>
        <v>1.6350296391881708E-18</v>
      </c>
    </row>
    <row r="701" spans="1:8">
      <c r="A701" s="3">
        <v>69.3</v>
      </c>
      <c r="B701" s="10">
        <f t="shared" si="70"/>
        <v>6.5519987232489188E-11</v>
      </c>
      <c r="C701" s="10">
        <f t="shared" si="71"/>
        <v>4.2928687269455465E-21</v>
      </c>
      <c r="D701" s="3">
        <f t="shared" si="76"/>
        <v>4</v>
      </c>
      <c r="E701" s="10">
        <f t="shared" si="72"/>
        <v>2.6207994892995675E-10</v>
      </c>
      <c r="F701" s="10">
        <f t="shared" si="73"/>
        <v>1.7171474907782186E-20</v>
      </c>
      <c r="G701" s="10">
        <f t="shared" si="74"/>
        <v>3.6324280921692004E-8</v>
      </c>
      <c r="H701" s="10">
        <f t="shared" si="75"/>
        <v>2.3799664222186108E-18</v>
      </c>
    </row>
    <row r="702" spans="1:8">
      <c r="A702" s="3">
        <v>69.399999999999991</v>
      </c>
      <c r="B702" s="10">
        <f t="shared" si="70"/>
        <v>5.5795263321455779E-11</v>
      </c>
      <c r="C702" s="10">
        <f t="shared" si="71"/>
        <v>3.1131114091105886E-21</v>
      </c>
      <c r="D702" s="3">
        <f t="shared" si="76"/>
        <v>2</v>
      </c>
      <c r="E702" s="10">
        <f t="shared" si="72"/>
        <v>1.1159052664291156E-10</v>
      </c>
      <c r="F702" s="10">
        <f t="shared" si="73"/>
        <v>6.2262228182211772E-21</v>
      </c>
      <c r="G702" s="10">
        <f t="shared" si="74"/>
        <v>1.5488765098036121E-8</v>
      </c>
      <c r="H702" s="10">
        <f t="shared" si="75"/>
        <v>8.6419972716909932E-19</v>
      </c>
    </row>
    <row r="703" spans="1:8">
      <c r="A703" s="3">
        <v>69.5</v>
      </c>
      <c r="B703" s="10">
        <f t="shared" si="70"/>
        <v>4.746212295727052E-11</v>
      </c>
      <c r="C703" s="10">
        <f t="shared" si="71"/>
        <v>2.2526531156110651E-21</v>
      </c>
      <c r="D703" s="3">
        <f t="shared" si="76"/>
        <v>4</v>
      </c>
      <c r="E703" s="10">
        <f t="shared" si="72"/>
        <v>1.8984849182908208E-10</v>
      </c>
      <c r="F703" s="10">
        <f t="shared" si="73"/>
        <v>9.0106124624442606E-21</v>
      </c>
      <c r="G703" s="10">
        <f t="shared" si="74"/>
        <v>2.6388940364242408E-8</v>
      </c>
      <c r="H703" s="10">
        <f t="shared" si="75"/>
        <v>1.2524751322797522E-18</v>
      </c>
    </row>
    <row r="704" spans="1:8">
      <c r="A704" s="3">
        <v>69.599999999999994</v>
      </c>
      <c r="B704" s="10">
        <f t="shared" si="70"/>
        <v>4.0329243349843394E-11</v>
      </c>
      <c r="C704" s="10">
        <f t="shared" si="71"/>
        <v>1.6264478691708876E-21</v>
      </c>
      <c r="D704" s="3">
        <f t="shared" si="76"/>
        <v>2</v>
      </c>
      <c r="E704" s="10">
        <f t="shared" si="72"/>
        <v>8.0658486699686787E-11</v>
      </c>
      <c r="F704" s="10">
        <f t="shared" si="73"/>
        <v>3.2528957383417752E-21</v>
      </c>
      <c r="G704" s="10">
        <f t="shared" si="74"/>
        <v>1.12276613485964E-8</v>
      </c>
      <c r="H704" s="10">
        <f t="shared" si="75"/>
        <v>4.5280308677717506E-19</v>
      </c>
    </row>
    <row r="705" spans="1:8">
      <c r="A705" s="3">
        <v>69.7</v>
      </c>
      <c r="B705" s="10">
        <f t="shared" si="70"/>
        <v>3.4230467881666908E-11</v>
      </c>
      <c r="C705" s="10">
        <f t="shared" si="71"/>
        <v>1.1717249313978297E-21</v>
      </c>
      <c r="D705" s="3">
        <f t="shared" si="76"/>
        <v>4</v>
      </c>
      <c r="E705" s="10">
        <f t="shared" si="72"/>
        <v>1.3692187152666763E-10</v>
      </c>
      <c r="F705" s="10">
        <f t="shared" si="73"/>
        <v>4.6868997255913189E-21</v>
      </c>
      <c r="G705" s="10">
        <f t="shared" si="74"/>
        <v>1.9086908890817468E-8</v>
      </c>
      <c r="H705" s="10">
        <f t="shared" si="75"/>
        <v>6.533538217474299E-19</v>
      </c>
    </row>
    <row r="706" spans="1:8">
      <c r="A706" s="3">
        <v>69.8</v>
      </c>
      <c r="B706" s="10">
        <f t="shared" si="70"/>
        <v>2.9021655647653535E-11</v>
      </c>
      <c r="C706" s="10">
        <f t="shared" si="71"/>
        <v>8.4225649653098038E-22</v>
      </c>
      <c r="D706" s="3">
        <f t="shared" si="76"/>
        <v>2</v>
      </c>
      <c r="E706" s="10">
        <f t="shared" si="72"/>
        <v>5.8043311295307071E-11</v>
      </c>
      <c r="F706" s="10">
        <f t="shared" si="73"/>
        <v>1.6845129930619608E-21</v>
      </c>
      <c r="G706" s="10">
        <f t="shared" si="74"/>
        <v>8.1028462568248667E-9</v>
      </c>
      <c r="H706" s="10">
        <f t="shared" si="75"/>
        <v>2.3515801383144973E-19</v>
      </c>
    </row>
    <row r="707" spans="1:8">
      <c r="A707" s="3">
        <v>69.899999999999991</v>
      </c>
      <c r="B707" s="10">
        <f t="shared" si="70"/>
        <v>2.4577903813924874E-11</v>
      </c>
      <c r="C707" s="10">
        <f t="shared" si="71"/>
        <v>6.0407335588654289E-22</v>
      </c>
      <c r="D707" s="3">
        <f t="shared" si="76"/>
        <v>4</v>
      </c>
      <c r="E707" s="10">
        <f t="shared" si="72"/>
        <v>9.8311615255699495E-11</v>
      </c>
      <c r="F707" s="10">
        <f t="shared" si="73"/>
        <v>2.4162934235461716E-21</v>
      </c>
      <c r="G707" s="10">
        <f t="shared" si="74"/>
        <v>1.3743963812746788E-8</v>
      </c>
      <c r="H707" s="10">
        <f t="shared" si="75"/>
        <v>3.3779782061175476E-19</v>
      </c>
    </row>
    <row r="708" spans="1:8">
      <c r="A708" s="3">
        <v>70</v>
      </c>
      <c r="B708" s="10">
        <f t="shared" si="70"/>
        <v>2.0791101465715967E-11</v>
      </c>
      <c r="C708" s="10">
        <f t="shared" si="71"/>
        <v>4.3226990015769661E-22</v>
      </c>
      <c r="D708" s="3">
        <v>1</v>
      </c>
      <c r="E708" s="10">
        <f t="shared" si="72"/>
        <v>2.0791101465715967E-11</v>
      </c>
      <c r="F708" s="10">
        <f t="shared" si="73"/>
        <v>4.3226990015769661E-22</v>
      </c>
      <c r="G708" s="10">
        <f t="shared" si="74"/>
        <v>2.9107542052002353E-9</v>
      </c>
      <c r="H708" s="10">
        <f t="shared" si="75"/>
        <v>6.051778602207753E-20</v>
      </c>
    </row>
    <row r="709" spans="1:8">
      <c r="E709" s="19">
        <f>SUM(E8:E708)/30</f>
        <v>21.201817160358679</v>
      </c>
      <c r="F709" s="19">
        <f>SUM(F8:F708)/30</f>
        <v>14.769348886309578</v>
      </c>
      <c r="G709" s="19">
        <f t="shared" ref="G709:H709" si="77">SUM(G8:G708)/30</f>
        <v>575.40302634303055</v>
      </c>
      <c r="H709" s="19">
        <f t="shared" si="77"/>
        <v>298.24860974663318</v>
      </c>
    </row>
    <row r="710" spans="1:8">
      <c r="D710" s="56" t="s">
        <v>63</v>
      </c>
      <c r="E710" s="49">
        <f>E709-F709</f>
        <v>6.4324682740491017</v>
      </c>
      <c r="F710" s="19"/>
    </row>
    <row r="711" spans="1:8">
      <c r="F711" s="56" t="s">
        <v>34</v>
      </c>
      <c r="G711" s="57">
        <f>G709-E709^2</f>
        <v>125.88597544175076</v>
      </c>
      <c r="H711" s="57">
        <f>H709-F709^2</f>
        <v>80.114943221099225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38"/>
  <sheetViews>
    <sheetView tabSelected="1" zoomScale="125" zoomScaleNormal="125" zoomScalePageLayoutView="125" workbookViewId="0"/>
  </sheetViews>
  <sheetFormatPr baseColWidth="10" defaultRowHeight="12" x14ac:dyDescent="0"/>
  <cols>
    <col min="4" max="4" width="10.83203125" style="8"/>
    <col min="17" max="17" width="10.83203125" customWidth="1"/>
    <col min="18" max="18" width="10.83203125" style="8"/>
  </cols>
  <sheetData>
    <row r="1" spans="1:58" ht="15">
      <c r="A1" s="70" t="s">
        <v>724</v>
      </c>
    </row>
    <row r="2" spans="1:58" ht="15">
      <c r="A2" s="71"/>
      <c r="B2" s="87"/>
      <c r="C2" s="87"/>
      <c r="D2" s="10"/>
      <c r="E2" s="87"/>
      <c r="F2" s="87"/>
    </row>
    <row r="3" spans="1:58">
      <c r="A3" s="23" t="s">
        <v>1</v>
      </c>
      <c r="B3" s="87"/>
      <c r="C3" s="87"/>
      <c r="D3" s="10"/>
      <c r="E3" s="87" t="s">
        <v>871</v>
      </c>
      <c r="F3" s="87" t="s">
        <v>872</v>
      </c>
      <c r="H3" s="1" t="s">
        <v>2</v>
      </c>
      <c r="O3" s="1" t="s">
        <v>3</v>
      </c>
      <c r="V3" s="1" t="s">
        <v>4</v>
      </c>
      <c r="X3" s="87"/>
      <c r="Y3" s="87"/>
      <c r="Z3" s="87"/>
      <c r="AA3" s="87"/>
      <c r="AB3" s="87"/>
      <c r="AC3" s="87"/>
      <c r="AD3" s="87"/>
      <c r="AE3" s="87"/>
      <c r="AF3" s="87"/>
      <c r="AO3" s="87"/>
      <c r="AP3" s="87"/>
      <c r="AQ3" s="87"/>
      <c r="AR3" s="87"/>
      <c r="AW3" s="23" t="s">
        <v>852</v>
      </c>
      <c r="AX3" s="87"/>
      <c r="AY3" s="87"/>
      <c r="BB3" s="12"/>
      <c r="BC3" s="5"/>
      <c r="BD3" s="87"/>
      <c r="BE3" s="87"/>
    </row>
    <row r="4" spans="1:58">
      <c r="A4" s="87"/>
      <c r="B4" s="87"/>
      <c r="C4" s="87"/>
      <c r="D4" s="10"/>
      <c r="E4" s="87" t="s">
        <v>75</v>
      </c>
      <c r="F4" s="87" t="s">
        <v>75</v>
      </c>
      <c r="O4" s="87"/>
      <c r="P4" s="87"/>
      <c r="Q4" s="87" t="s">
        <v>380</v>
      </c>
      <c r="R4" s="10" t="s">
        <v>382</v>
      </c>
      <c r="S4" s="87"/>
      <c r="T4" s="87"/>
      <c r="X4" s="87"/>
      <c r="Y4" s="87"/>
      <c r="Z4" s="87"/>
      <c r="AA4" s="87"/>
      <c r="AB4" s="87"/>
      <c r="AC4" s="87"/>
      <c r="AD4" s="87"/>
      <c r="AE4" s="87"/>
      <c r="AF4" s="87"/>
      <c r="AO4" s="87"/>
      <c r="AP4" s="87"/>
      <c r="AQ4" s="87"/>
      <c r="AR4" s="87"/>
      <c r="AW4" s="87"/>
      <c r="AX4" s="87"/>
      <c r="AY4" s="87"/>
      <c r="BB4" s="12"/>
      <c r="BC4" s="5"/>
      <c r="BD4" s="87"/>
      <c r="BE4" s="87"/>
    </row>
    <row r="5" spans="1:58" ht="14" customHeight="1">
      <c r="A5" s="87" t="s">
        <v>0</v>
      </c>
      <c r="B5" s="87" t="s">
        <v>866</v>
      </c>
      <c r="C5" s="7" t="s">
        <v>867</v>
      </c>
      <c r="D5" s="26" t="s">
        <v>868</v>
      </c>
      <c r="E5" s="87" t="s">
        <v>86</v>
      </c>
      <c r="F5" s="87" t="s">
        <v>86</v>
      </c>
      <c r="H5" s="87" t="s">
        <v>0</v>
      </c>
      <c r="I5" s="91" t="s">
        <v>813</v>
      </c>
      <c r="J5" s="91" t="s">
        <v>814</v>
      </c>
      <c r="O5" s="87" t="s">
        <v>0</v>
      </c>
      <c r="P5" s="87" t="s">
        <v>869</v>
      </c>
      <c r="Q5" s="7" t="s">
        <v>867</v>
      </c>
      <c r="R5" s="26" t="s">
        <v>868</v>
      </c>
      <c r="S5" s="87" t="s">
        <v>811</v>
      </c>
      <c r="T5" s="87" t="s">
        <v>812</v>
      </c>
      <c r="X5" s="87"/>
      <c r="Y5" s="87"/>
      <c r="Z5" s="87"/>
      <c r="AA5" s="87"/>
      <c r="AB5" s="87"/>
      <c r="AC5" s="87"/>
      <c r="AD5" s="87"/>
      <c r="AE5" s="87"/>
      <c r="AF5" s="87"/>
      <c r="AO5" s="87"/>
      <c r="AP5" s="87"/>
      <c r="AQ5" s="87"/>
      <c r="AR5" s="87"/>
      <c r="AW5" s="87"/>
      <c r="AX5" s="87"/>
      <c r="AY5" s="87"/>
      <c r="BB5" s="12"/>
      <c r="BC5" s="5"/>
      <c r="BD5" s="87" t="s">
        <v>23</v>
      </c>
      <c r="BE5" s="87" t="s">
        <v>832</v>
      </c>
      <c r="BF5" t="s">
        <v>833</v>
      </c>
    </row>
    <row r="6" spans="1:58" ht="14" customHeight="1">
      <c r="A6" s="87">
        <v>0</v>
      </c>
      <c r="B6" s="10">
        <f>1.05^-A6</f>
        <v>1</v>
      </c>
      <c r="C6" s="10">
        <f>EXP(-0.025*A6)</f>
        <v>1</v>
      </c>
      <c r="D6" s="10">
        <f>2*(EXP(-0.025*A6)-EXP(-0.03*A6))</f>
        <v>0</v>
      </c>
      <c r="E6" s="10">
        <f>B6*C6</f>
        <v>1</v>
      </c>
      <c r="F6" s="10">
        <f>B6*D6</f>
        <v>0</v>
      </c>
      <c r="H6" s="87">
        <v>0</v>
      </c>
      <c r="I6" s="81">
        <f t="shared" ref="I6:I37" si="0">-PP+(pzz*I7+pzo*(50000+J7)+100000*pzt)/1.05^(1/12)</f>
        <v>2.5920599000528455E-11</v>
      </c>
      <c r="J6" s="81"/>
      <c r="L6" s="9" t="s">
        <v>815</v>
      </c>
      <c r="M6" s="10">
        <f>EXP(-0.025/12)</f>
        <v>0.99791883529929926</v>
      </c>
      <c r="O6" s="87">
        <v>0</v>
      </c>
      <c r="P6" s="10">
        <f>1.0525^-O6</f>
        <v>1</v>
      </c>
      <c r="Q6" s="10">
        <f>EXP(-0.025*O6)</f>
        <v>1</v>
      </c>
      <c r="R6" s="10">
        <f>2*(EXP(-0.025*O6)-EXP(-0.03*O6))</f>
        <v>0</v>
      </c>
      <c r="S6" s="10">
        <f>P6*Q6</f>
        <v>1</v>
      </c>
      <c r="T6" s="10">
        <f>P6*R6</f>
        <v>0</v>
      </c>
      <c r="V6" s="87" t="s">
        <v>0</v>
      </c>
      <c r="W6" s="80" t="s">
        <v>824</v>
      </c>
      <c r="X6" s="87" t="s">
        <v>761</v>
      </c>
      <c r="Y6" s="87" t="s">
        <v>762</v>
      </c>
      <c r="Z6" s="87" t="s">
        <v>763</v>
      </c>
      <c r="AA6" s="87" t="s">
        <v>825</v>
      </c>
      <c r="AB6" s="87" t="s">
        <v>826</v>
      </c>
      <c r="AC6" s="87" t="s">
        <v>827</v>
      </c>
      <c r="AD6" s="87" t="s">
        <v>828</v>
      </c>
      <c r="AE6" s="87" t="s">
        <v>829</v>
      </c>
      <c r="AF6" s="87" t="s">
        <v>830</v>
      </c>
      <c r="AH6" s="80" t="s">
        <v>831</v>
      </c>
      <c r="AM6" s="87" t="s">
        <v>0</v>
      </c>
      <c r="AN6" s="7" t="s">
        <v>834</v>
      </c>
      <c r="AO6" s="87" t="s">
        <v>763</v>
      </c>
      <c r="AP6" s="87" t="s">
        <v>827</v>
      </c>
      <c r="AQ6" s="87" t="s">
        <v>826</v>
      </c>
      <c r="AR6" s="87" t="s">
        <v>836</v>
      </c>
      <c r="AW6" s="87" t="s">
        <v>0</v>
      </c>
      <c r="AX6" s="87" t="s">
        <v>830</v>
      </c>
      <c r="AY6" s="87" t="s">
        <v>835</v>
      </c>
      <c r="AZ6" s="87" t="s">
        <v>836</v>
      </c>
      <c r="BA6" s="87" t="s">
        <v>837</v>
      </c>
      <c r="BB6" s="342" t="s">
        <v>489</v>
      </c>
      <c r="BC6" s="5" t="s">
        <v>85</v>
      </c>
      <c r="BD6" s="87" t="s">
        <v>838</v>
      </c>
      <c r="BE6" s="87" t="s">
        <v>839</v>
      </c>
      <c r="BF6" s="87" t="s">
        <v>840</v>
      </c>
    </row>
    <row r="7" spans="1:58" ht="14" customHeight="1">
      <c r="A7" s="19">
        <f>A6+1/12</f>
        <v>8.3333333333333329E-2</v>
      </c>
      <c r="B7" s="10">
        <f t="shared" ref="B7:B70" si="1">1.05^-A7</f>
        <v>0.99594240735106698</v>
      </c>
      <c r="C7" s="10">
        <f t="shared" ref="C7:C70" si="2">EXP(-0.025*A7)</f>
        <v>0.99791883529929926</v>
      </c>
      <c r="D7" s="10">
        <f t="shared" ref="D7:D70" si="3">2*(EXP(-0.025*A7)-EXP(-0.03*A7))</f>
        <v>8.3142580367834285E-4</v>
      </c>
      <c r="E7" s="10">
        <f t="shared" ref="E7:E70" si="4">B7*C7</f>
        <v>0.99386968716895707</v>
      </c>
      <c r="F7" s="10">
        <f t="shared" ref="F7:F70" si="5">B7*D7</f>
        <v>8.2805221644920439E-4</v>
      </c>
      <c r="H7" s="19">
        <f>H6+1/12</f>
        <v>8.3333333333333329E-2</v>
      </c>
      <c r="I7" s="81">
        <f t="shared" si="0"/>
        <v>279.31623593388241</v>
      </c>
      <c r="J7" s="81">
        <f t="shared" ref="J7:J38" si="6">(poo*J8+50000*pot)/1.05^(1/12)</f>
        <v>10301.487768635745</v>
      </c>
      <c r="L7" s="9" t="s">
        <v>816</v>
      </c>
      <c r="M7" s="10">
        <f>2*(EXP(-0.025/12)-EXP(-0.03/12))</f>
        <v>8.3142580367834285E-4</v>
      </c>
      <c r="O7" s="19">
        <f>O6+1/12</f>
        <v>8.3333333333333329E-2</v>
      </c>
      <c r="P7" s="10">
        <f t="shared" ref="P7:P70" si="7">1.0525^-O7</f>
        <v>0.99574505416104986</v>
      </c>
      <c r="Q7" s="10">
        <f t="shared" ref="Q7:Q70" si="8">EXP(-0.025*O7)</f>
        <v>0.99791883529929926</v>
      </c>
      <c r="R7" s="10">
        <f t="shared" ref="R7:R70" si="9">2*(EXP(-0.025*O7)-EXP(-0.03*O7))</f>
        <v>8.3142580367834285E-4</v>
      </c>
      <c r="S7" s="10">
        <f t="shared" ref="S7:S70" si="10">P7*Q7</f>
        <v>0.99367274470343248</v>
      </c>
      <c r="T7" s="10">
        <f t="shared" ref="T7:T70" si="11">P7*R7</f>
        <v>8.2788813191458596E-4</v>
      </c>
      <c r="V7" s="19">
        <v>0</v>
      </c>
      <c r="W7" s="80"/>
      <c r="X7" s="87"/>
      <c r="Y7" s="12">
        <f>1000+0.05*X8</f>
        <v>1024.2136673662826</v>
      </c>
      <c r="Z7" s="87"/>
      <c r="AA7" s="87"/>
      <c r="AB7" s="87"/>
      <c r="AC7" s="87"/>
      <c r="AD7" s="87"/>
      <c r="AE7" s="87"/>
      <c r="AF7" s="81">
        <f>-Y7</f>
        <v>-1024.2136673662826</v>
      </c>
      <c r="AM7" s="19">
        <f>1/12</f>
        <v>8.3333333333333329E-2</v>
      </c>
      <c r="AN7" s="12"/>
      <c r="AO7" s="87"/>
      <c r="AP7" s="368"/>
      <c r="AQ7" s="87"/>
      <c r="AR7" s="334">
        <v>0</v>
      </c>
      <c r="AT7" s="9" t="s">
        <v>845</v>
      </c>
      <c r="AU7" s="10">
        <f>EXP(-0.03/12)</f>
        <v>0.99750312239746008</v>
      </c>
      <c r="AW7" s="19">
        <v>0</v>
      </c>
      <c r="AX7" s="12">
        <v>-1024.2136673662826</v>
      </c>
      <c r="AY7" s="87">
        <v>1</v>
      </c>
      <c r="BA7" s="87">
        <v>0</v>
      </c>
      <c r="BB7" s="12">
        <f>AX7*AY7</f>
        <v>-1024.2136673662826</v>
      </c>
      <c r="BC7" s="5">
        <f>1.15^-AW7</f>
        <v>1</v>
      </c>
      <c r="BD7" s="12">
        <f>BB7*BC7</f>
        <v>-1024.2136673662826</v>
      </c>
      <c r="BE7" s="5">
        <f>BC7*AY8</f>
        <v>1</v>
      </c>
      <c r="BF7" s="12">
        <f>BD7</f>
        <v>-1024.2136673662826</v>
      </c>
    </row>
    <row r="8" spans="1:58" ht="14" customHeight="1">
      <c r="A8" s="19">
        <f t="shared" ref="A8:A71" si="12">A7+1/12</f>
        <v>0.16666666666666666</v>
      </c>
      <c r="B8" s="10">
        <f t="shared" si="1"/>
        <v>0.99190127876023881</v>
      </c>
      <c r="C8" s="10">
        <f t="shared" si="2"/>
        <v>0.99584200184510996</v>
      </c>
      <c r="D8" s="10">
        <f t="shared" si="3"/>
        <v>1.6590453048552778E-3</v>
      </c>
      <c r="E8" s="10">
        <f t="shared" si="4"/>
        <v>0.98777695507332064</v>
      </c>
      <c r="F8" s="10">
        <f t="shared" si="5"/>
        <v>1.6456091594071202E-3</v>
      </c>
      <c r="H8" s="19">
        <f t="shared" ref="H8:H71" si="13">H7+1/12</f>
        <v>0.16666666666666666</v>
      </c>
      <c r="I8" s="81">
        <f t="shared" si="0"/>
        <v>560.40306602483724</v>
      </c>
      <c r="J8" s="81">
        <f t="shared" si="6"/>
        <v>10244.191918190561</v>
      </c>
      <c r="L8" s="9" t="s">
        <v>817</v>
      </c>
      <c r="M8" s="10">
        <f>1-pzz-pzo</f>
        <v>1.249738897022401E-3</v>
      </c>
      <c r="O8" s="19">
        <f t="shared" ref="O8:O71" si="14">O7+1/12</f>
        <v>0.16666666666666666</v>
      </c>
      <c r="P8" s="10">
        <f t="shared" si="7"/>
        <v>0.99150821288619206</v>
      </c>
      <c r="Q8" s="10">
        <f t="shared" si="8"/>
        <v>0.99584200184510996</v>
      </c>
      <c r="R8" s="10">
        <f t="shared" si="9"/>
        <v>1.6590453048552778E-3</v>
      </c>
      <c r="S8" s="10">
        <f t="shared" si="10"/>
        <v>0.98738552356645293</v>
      </c>
      <c r="T8" s="10">
        <f t="shared" si="11"/>
        <v>1.6449570453142843E-3</v>
      </c>
      <c r="V8" s="19">
        <v>8.3333333333333301E-2</v>
      </c>
      <c r="W8" s="12">
        <v>0</v>
      </c>
      <c r="X8" s="12">
        <f>P$133</f>
        <v>484.27334732565134</v>
      </c>
      <c r="Y8" s="87">
        <v>0</v>
      </c>
      <c r="Z8" s="12">
        <f>(1.07^(1/12)-1)*(W8+X8-Y8)</f>
        <v>2.7381519130246437</v>
      </c>
      <c r="AA8" s="12">
        <f>AK$9*50000</f>
        <v>41.553972421115581</v>
      </c>
      <c r="AB8" s="12">
        <f>AH9*AK$9</f>
        <v>8.5613547726869843</v>
      </c>
      <c r="AC8" s="12">
        <f>AK$10*100000</f>
        <v>124.92186421141677</v>
      </c>
      <c r="AD8" s="12">
        <f>AK$13*(W8+X8)*0.8</f>
        <v>0.32237853431656383</v>
      </c>
      <c r="AE8" s="12">
        <f>AK$8*W9</f>
        <v>278.50275048868809</v>
      </c>
      <c r="AF8" s="81">
        <f>W8+X8-Y8+Z8-AA8-AB8-AC8-AD8-AE8</f>
        <v>33.149178810451986</v>
      </c>
      <c r="AJ8" s="9" t="s">
        <v>847</v>
      </c>
      <c r="AK8" s="10">
        <f>EXP(-0.035/12)</f>
        <v>0.99708758267324893</v>
      </c>
      <c r="AM8" s="19">
        <f>AM7+1/12</f>
        <v>0.16666666666666666</v>
      </c>
      <c r="AN8" s="12">
        <v>10301.487768635745</v>
      </c>
      <c r="AO8" s="12">
        <f>(1.07^(1/12)-1)*AN8</f>
        <v>58.246109550443641</v>
      </c>
      <c r="AP8" s="12">
        <f>AU$8*50000</f>
        <v>124.84388012699577</v>
      </c>
      <c r="AQ8" s="12">
        <f>AU$7*AN9</f>
        <v>10218.613424833911</v>
      </c>
      <c r="AR8" s="12">
        <f>AN8+AO8-AP8-AQ8</f>
        <v>16.276573225282846</v>
      </c>
      <c r="AT8" s="9" t="s">
        <v>846</v>
      </c>
      <c r="AU8" s="10">
        <f>1-AU7</f>
        <v>2.4968776025399153E-3</v>
      </c>
      <c r="AW8" s="19">
        <v>8.3333333333333301E-2</v>
      </c>
      <c r="AX8" s="12">
        <v>33.149178810452099</v>
      </c>
      <c r="AY8" s="87">
        <f>EXP(-0.035*AW7)</f>
        <v>1</v>
      </c>
      <c r="AZ8" s="12">
        <v>0</v>
      </c>
      <c r="BA8" s="87">
        <f>2*(EXP(-0.03*AW7)-EXP(-0.035*AW7))</f>
        <v>0</v>
      </c>
      <c r="BB8" s="12">
        <f>AX8*AY8+AZ8*BA8</f>
        <v>33.149178810452099</v>
      </c>
      <c r="BC8" s="5">
        <f t="shared" ref="BC8:BC71" si="15">1.15^-AW8</f>
        <v>0.9884207332283691</v>
      </c>
      <c r="BD8" s="12">
        <f t="shared" ref="BD8:BD71" si="16">BB8*BC8</f>
        <v>32.765335625745379</v>
      </c>
      <c r="BE8" s="5">
        <f t="shared" ref="BE8:BE71" si="17">BC8*AY9</f>
        <v>0.98554203955879482</v>
      </c>
      <c r="BF8" s="12">
        <f>BF7+BD8</f>
        <v>-991.44833174053724</v>
      </c>
    </row>
    <row r="9" spans="1:58" ht="14" customHeight="1">
      <c r="A9" s="19">
        <f t="shared" si="12"/>
        <v>0.25</v>
      </c>
      <c r="B9" s="10">
        <f t="shared" si="1"/>
        <v>0.98787654742307407</v>
      </c>
      <c r="C9" s="10">
        <f t="shared" si="2"/>
        <v>0.9937694906233947</v>
      </c>
      <c r="D9" s="10">
        <f t="shared" si="3"/>
        <v>2.4828716085125713E-3</v>
      </c>
      <c r="E9" s="10">
        <f t="shared" si="4"/>
        <v>0.98172157333142618</v>
      </c>
      <c r="F9" s="10">
        <f t="shared" si="5"/>
        <v>2.4527706323121735E-3</v>
      </c>
      <c r="H9" s="19">
        <f t="shared" si="13"/>
        <v>0.25</v>
      </c>
      <c r="I9" s="81">
        <f t="shared" si="0"/>
        <v>843.27172598204311</v>
      </c>
      <c r="J9" s="81">
        <f t="shared" si="6"/>
        <v>10186.518634227383</v>
      </c>
      <c r="L9" s="9" t="s">
        <v>818</v>
      </c>
      <c r="M9" s="10">
        <f>EXP(-0.03/12)</f>
        <v>0.99750312239746008</v>
      </c>
      <c r="O9" s="19">
        <f t="shared" si="14"/>
        <v>0.25</v>
      </c>
      <c r="P9" s="10">
        <f t="shared" si="7"/>
        <v>0.98728939914148728</v>
      </c>
      <c r="Q9" s="10">
        <f t="shared" si="8"/>
        <v>0.9937694906233947</v>
      </c>
      <c r="R9" s="10">
        <f t="shared" si="9"/>
        <v>2.4828716085125713E-3</v>
      </c>
      <c r="S9" s="10">
        <f t="shared" si="10"/>
        <v>0.98113808328271324</v>
      </c>
      <c r="T9" s="10">
        <f t="shared" si="11"/>
        <v>2.4513128185138346E-3</v>
      </c>
      <c r="V9" s="19">
        <v>0.1666666666666666</v>
      </c>
      <c r="W9" s="12">
        <v>279.31623593386479</v>
      </c>
      <c r="X9" s="12">
        <f>X8</f>
        <v>484.27334732565134</v>
      </c>
      <c r="Y9" s="12">
        <f>0.05*X9</f>
        <v>24.213667366282568</v>
      </c>
      <c r="Z9" s="12">
        <f t="shared" ref="Z9:Z72" si="18">(1.07^(1/12)-1)*(W9+X9-Y9)</f>
        <v>4.1805389244062754</v>
      </c>
      <c r="AA9" s="12">
        <f t="shared" ref="AA9:AA72" si="19">AK$9*50000</f>
        <v>41.553972421115581</v>
      </c>
      <c r="AB9" s="12">
        <f t="shared" ref="AB9:AB72" si="20">AH10*AK$9</f>
        <v>8.513737368902115</v>
      </c>
      <c r="AC9" s="12">
        <f t="shared" ref="AC9:AC72" si="21">AK$10*100000</f>
        <v>124.92186421141677</v>
      </c>
      <c r="AD9" s="12">
        <f t="shared" ref="AD9:AD72" si="22">AK$13*(W9+X9)*0.8</f>
        <v>0.5083180646426616</v>
      </c>
      <c r="AE9" s="12">
        <f t="shared" ref="AE9:AE72" si="23">AK$8*W10</f>
        <v>558.77093842536442</v>
      </c>
      <c r="AF9" s="81">
        <f>W9+X9-Y9+Z9-AA9-AB9-AC9-AD9-AE9</f>
        <v>9.2876243261982836</v>
      </c>
      <c r="AH9" s="12">
        <v>10301.487768635745</v>
      </c>
      <c r="AJ9" s="9" t="s">
        <v>848</v>
      </c>
      <c r="AK9" s="10">
        <f>2*(EXP(-0.03/12)-EXP(-0.035/12))</f>
        <v>8.3107944842231163E-4</v>
      </c>
      <c r="AM9" s="19">
        <f t="shared" ref="AM9:AM72" si="24">AM8+1/12</f>
        <v>0.25</v>
      </c>
      <c r="AN9" s="12">
        <v>10244.191918190561</v>
      </c>
      <c r="AO9" s="12">
        <f t="shared" ref="AO9:AO72" si="25">(1.07^(1/12)-1)*AN9</f>
        <v>57.922150481931546</v>
      </c>
      <c r="AP9" s="12">
        <f t="shared" ref="AP9:AP72" si="26">AU$8*50000</f>
        <v>124.84388012699577</v>
      </c>
      <c r="AQ9" s="12">
        <f t="shared" ref="AQ9:AQ72" si="27">AU$7*AN10</f>
        <v>10161.084144001725</v>
      </c>
      <c r="AR9" s="12">
        <f t="shared" ref="AR9:AR72" si="28">AN9+AO9-AP9-AQ9</f>
        <v>16.186044543772368</v>
      </c>
      <c r="AW9" s="19">
        <v>0.1666666666666666</v>
      </c>
      <c r="AX9" s="12">
        <v>9.287624326198511</v>
      </c>
      <c r="AY9" s="5">
        <f t="shared" ref="AY9:AY72" si="29">EXP(-0.035*AW8)</f>
        <v>0.99708758267324893</v>
      </c>
      <c r="AZ9" s="12">
        <f>AR8</f>
        <v>16.276573225282846</v>
      </c>
      <c r="BA9" s="5">
        <f t="shared" ref="BA9:BA72" si="30">2*(EXP(-0.03*AW8)-EXP(-0.035*AW8))</f>
        <v>8.3107944842231163E-4</v>
      </c>
      <c r="BB9" s="12">
        <f t="shared" ref="BB9:BB72" si="31">AX9*AY9+AZ9*BA9</f>
        <v>9.2741020136848089</v>
      </c>
      <c r="BC9" s="5">
        <f t="shared" si="15"/>
        <v>0.9769755458757069</v>
      </c>
      <c r="BD9" s="12">
        <f t="shared" si="16"/>
        <v>9.0605708773267093</v>
      </c>
      <c r="BE9" s="5">
        <f t="shared" si="17"/>
        <v>0.97129311173770916</v>
      </c>
      <c r="BF9" s="12">
        <f t="shared" ref="BF9:BF72" si="32">BF8+BD9</f>
        <v>-982.38776086321059</v>
      </c>
    </row>
    <row r="10" spans="1:58" ht="14" customHeight="1">
      <c r="A10" s="19">
        <f t="shared" si="12"/>
        <v>0.33333333333333331</v>
      </c>
      <c r="B10" s="10">
        <f t="shared" si="1"/>
        <v>0.98386814680619694</v>
      </c>
      <c r="C10" s="10">
        <f t="shared" si="2"/>
        <v>0.99170129263887596</v>
      </c>
      <c r="D10" s="10">
        <f t="shared" si="3"/>
        <v>3.302917779415715E-3</v>
      </c>
      <c r="E10" s="10">
        <f t="shared" si="4"/>
        <v>0.97570331297392088</v>
      </c>
      <c r="F10" s="10">
        <f t="shared" si="5"/>
        <v>3.2496355946869788E-3</v>
      </c>
      <c r="H10" s="19">
        <f t="shared" si="13"/>
        <v>0.33333333333333331</v>
      </c>
      <c r="I10" s="81">
        <f t="shared" si="0"/>
        <v>1127.9335228894213</v>
      </c>
      <c r="J10" s="81">
        <f t="shared" si="6"/>
        <v>10128.465430421991</v>
      </c>
      <c r="L10" s="9" t="s">
        <v>819</v>
      </c>
      <c r="M10" s="10">
        <f>1-poo</f>
        <v>2.4968776025399153E-3</v>
      </c>
      <c r="O10" s="19">
        <f t="shared" si="14"/>
        <v>0.33333333333333331</v>
      </c>
      <c r="P10" s="10">
        <f t="shared" si="7"/>
        <v>0.98308853622077041</v>
      </c>
      <c r="Q10" s="10">
        <f t="shared" si="8"/>
        <v>0.99170129263887596</v>
      </c>
      <c r="R10" s="10">
        <f t="shared" si="9"/>
        <v>3.302917779415715E-3</v>
      </c>
      <c r="S10" s="10">
        <f t="shared" si="10"/>
        <v>0.97493017214859845</v>
      </c>
      <c r="T10" s="10">
        <f t="shared" si="11"/>
        <v>3.2470606050233526E-3</v>
      </c>
      <c r="V10" s="19">
        <v>0.25</v>
      </c>
      <c r="W10" s="12">
        <v>560.40306602481951</v>
      </c>
      <c r="X10" s="12">
        <f t="shared" ref="X10:X73" si="33">X9</f>
        <v>484.27334732565134</v>
      </c>
      <c r="Y10" s="12">
        <f t="shared" ref="Y10:Y73" si="34">0.05*X10</f>
        <v>24.213667366282568</v>
      </c>
      <c r="Z10" s="12">
        <f t="shared" si="18"/>
        <v>5.7698447282254168</v>
      </c>
      <c r="AA10" s="12">
        <f t="shared" si="19"/>
        <v>41.553972421115581</v>
      </c>
      <c r="AB10" s="12">
        <f t="shared" si="20"/>
        <v>8.4658062878772924</v>
      </c>
      <c r="AC10" s="12">
        <f t="shared" si="21"/>
        <v>124.92186421141677</v>
      </c>
      <c r="AD10" s="12">
        <f t="shared" si="22"/>
        <v>0.6954362713348744</v>
      </c>
      <c r="AE10" s="12">
        <f t="shared" si="23"/>
        <v>840.81576679611624</v>
      </c>
      <c r="AF10" s="81">
        <f t="shared" ref="AF10:AF73" si="35">W10+X10-Y10+Z10-AA10-AB10-AC10-AD10-AE10</f>
        <v>9.7797447245529838</v>
      </c>
      <c r="AH10" s="12">
        <v>10244.191918190561</v>
      </c>
      <c r="AJ10" s="9" t="s">
        <v>849</v>
      </c>
      <c r="AK10" s="10">
        <f>(5/7)*(1-EXP(-0.035/12))-2*(EXP(-0.03/12)-EXP(-0.035/12))</f>
        <v>1.2492186421141677E-3</v>
      </c>
      <c r="AM10" s="19">
        <f t="shared" si="24"/>
        <v>0.33333333333333331</v>
      </c>
      <c r="AN10" s="12">
        <v>10186.518634227383</v>
      </c>
      <c r="AO10" s="12">
        <f t="shared" si="25"/>
        <v>57.596057349434624</v>
      </c>
      <c r="AP10" s="12">
        <f t="shared" si="26"/>
        <v>124.84388012699577</v>
      </c>
      <c r="AQ10" s="12">
        <f t="shared" si="27"/>
        <v>10103.175891940671</v>
      </c>
      <c r="AR10" s="12">
        <f t="shared" si="28"/>
        <v>16.094919509150714</v>
      </c>
      <c r="AW10" s="19">
        <v>0.25</v>
      </c>
      <c r="AX10" s="12">
        <v>9.7797447245532112</v>
      </c>
      <c r="AY10" s="5">
        <f t="shared" si="29"/>
        <v>0.99418364752118304</v>
      </c>
      <c r="AZ10" s="12">
        <f t="shared" ref="AZ10:AZ73" si="36">AR9</f>
        <v>16.186044543772368</v>
      </c>
      <c r="BA10" s="5">
        <f t="shared" si="30"/>
        <v>1.6576633429985499E-3</v>
      </c>
      <c r="BB10" s="12">
        <f t="shared" si="31"/>
        <v>9.7496932947907116</v>
      </c>
      <c r="BC10" s="5">
        <f t="shared" si="15"/>
        <v>0.96566288540065248</v>
      </c>
      <c r="BD10" s="12">
        <f t="shared" si="16"/>
        <v>9.414916958818992</v>
      </c>
      <c r="BE10" s="5">
        <f t="shared" si="17"/>
        <v>0.95725019435139036</v>
      </c>
      <c r="BF10" s="12">
        <f t="shared" si="32"/>
        <v>-972.97284390439154</v>
      </c>
    </row>
    <row r="11" spans="1:58">
      <c r="A11" s="19">
        <f t="shared" si="12"/>
        <v>0.41666666666666663</v>
      </c>
      <c r="B11" s="10">
        <f t="shared" si="1"/>
        <v>0.97987601064619689</v>
      </c>
      <c r="C11" s="10">
        <f t="shared" si="2"/>
        <v>0.98963739891499658</v>
      </c>
      <c r="D11" s="10">
        <f t="shared" si="3"/>
        <v>4.1191968422302772E-3</v>
      </c>
      <c r="E11" s="10">
        <f t="shared" si="4"/>
        <v>0.96972194643510579</v>
      </c>
      <c r="F11" s="10">
        <f t="shared" si="5"/>
        <v>4.0363021688310154E-3</v>
      </c>
      <c r="H11" s="19">
        <f t="shared" si="13"/>
        <v>0.41666666666666663</v>
      </c>
      <c r="I11" s="81">
        <f t="shared" si="0"/>
        <v>1414.3998356595546</v>
      </c>
      <c r="J11" s="81">
        <f t="shared" si="6"/>
        <v>10070.029804071635</v>
      </c>
      <c r="O11" s="19">
        <f t="shared" si="14"/>
        <v>0.41666666666666663</v>
      </c>
      <c r="P11" s="10">
        <f t="shared" si="7"/>
        <v>0.97890554774425842</v>
      </c>
      <c r="Q11" s="10">
        <f t="shared" si="8"/>
        <v>0.98963739891499658</v>
      </c>
      <c r="R11" s="10">
        <f t="shared" si="9"/>
        <v>4.1191968422302772E-3</v>
      </c>
      <c r="S11" s="10">
        <f t="shared" si="10"/>
        <v>0.9687615400530879</v>
      </c>
      <c r="T11" s="10">
        <f t="shared" si="11"/>
        <v>4.0323046411098488E-3</v>
      </c>
      <c r="V11" s="19">
        <v>0.3333333333333332</v>
      </c>
      <c r="W11" s="12">
        <v>843.2717259820256</v>
      </c>
      <c r="X11" s="12">
        <f t="shared" si="33"/>
        <v>484.27334732565134</v>
      </c>
      <c r="Y11" s="12">
        <f t="shared" si="34"/>
        <v>24.213667366282568</v>
      </c>
      <c r="Z11" s="12">
        <f t="shared" si="18"/>
        <v>7.3692252571639649</v>
      </c>
      <c r="AA11" s="12">
        <f t="shared" si="19"/>
        <v>41.553972421115581</v>
      </c>
      <c r="AB11" s="12">
        <f t="shared" si="20"/>
        <v>8.4175594632795594</v>
      </c>
      <c r="AC11" s="12">
        <f t="shared" si="21"/>
        <v>124.92186421141677</v>
      </c>
      <c r="AD11" s="12">
        <f t="shared" si="22"/>
        <v>0.88374063395298263</v>
      </c>
      <c r="AE11" s="12">
        <f t="shared" si="23"/>
        <v>1124.6485097539173</v>
      </c>
      <c r="AF11" s="81">
        <f t="shared" si="35"/>
        <v>10.274984714875927</v>
      </c>
      <c r="AH11" s="12">
        <v>10186.518634227383</v>
      </c>
      <c r="AJ11" s="9" t="s">
        <v>845</v>
      </c>
      <c r="AK11" s="10">
        <f>EXP(-0.03/12)</f>
        <v>0.99750312239746008</v>
      </c>
      <c r="AM11" s="19">
        <f t="shared" si="24"/>
        <v>0.41666666666666663</v>
      </c>
      <c r="AN11" s="12">
        <v>10128.465430421991</v>
      </c>
      <c r="AO11" s="12">
        <f t="shared" si="25"/>
        <v>57.267816094914274</v>
      </c>
      <c r="AP11" s="12">
        <f t="shared" si="26"/>
        <v>124.84388012699577</v>
      </c>
      <c r="AQ11" s="12">
        <f t="shared" si="27"/>
        <v>10044.886172196939</v>
      </c>
      <c r="AR11" s="12">
        <f t="shared" si="28"/>
        <v>16.003194192971932</v>
      </c>
      <c r="AW11" s="19">
        <v>0.3333333333333332</v>
      </c>
      <c r="AX11" s="12">
        <v>10.274984714876155</v>
      </c>
      <c r="AY11" s="5">
        <f t="shared" si="29"/>
        <v>0.99128816984016976</v>
      </c>
      <c r="AZ11" s="12">
        <f t="shared" si="36"/>
        <v>16.094919509150714</v>
      </c>
      <c r="BA11" s="5">
        <f t="shared" si="30"/>
        <v>2.4797699579373056E-3</v>
      </c>
      <c r="BB11" s="12">
        <f t="shared" si="31"/>
        <v>10.225382491019513</v>
      </c>
      <c r="BC11" s="5">
        <f t="shared" si="15"/>
        <v>0.9544812172391357</v>
      </c>
      <c r="BD11" s="12">
        <f t="shared" si="16"/>
        <v>9.7599355267640497</v>
      </c>
      <c r="BE11" s="5">
        <f t="shared" si="17"/>
        <v>0.94341030890912214</v>
      </c>
      <c r="BF11" s="12">
        <f t="shared" si="32"/>
        <v>-963.21290837762751</v>
      </c>
    </row>
    <row r="12" spans="1:58">
      <c r="A12" s="19">
        <f t="shared" si="12"/>
        <v>0.49999999999999994</v>
      </c>
      <c r="B12" s="10">
        <f t="shared" si="1"/>
        <v>0.97590007294853309</v>
      </c>
      <c r="C12" s="10">
        <f t="shared" si="2"/>
        <v>0.98757780049388144</v>
      </c>
      <c r="D12" s="10">
        <f t="shared" si="3"/>
        <v>4.931721781637588E-3</v>
      </c>
      <c r="E12" s="10">
        <f t="shared" si="4"/>
        <v>0.96377724754433081</v>
      </c>
      <c r="F12" s="10">
        <f t="shared" si="5"/>
        <v>4.8128676464619918E-3</v>
      </c>
      <c r="H12" s="19">
        <f t="shared" si="13"/>
        <v>0.49999999999999994</v>
      </c>
      <c r="I12" s="81">
        <f t="shared" si="0"/>
        <v>1702.6821154904728</v>
      </c>
      <c r="J12" s="81">
        <f t="shared" si="6"/>
        <v>10011.209235987133</v>
      </c>
      <c r="O12" s="19">
        <f t="shared" si="14"/>
        <v>0.49999999999999994</v>
      </c>
      <c r="P12" s="10">
        <f t="shared" si="7"/>
        <v>0.97474035765715861</v>
      </c>
      <c r="Q12" s="10">
        <f t="shared" si="8"/>
        <v>0.98757780049388144</v>
      </c>
      <c r="R12" s="10">
        <f t="shared" si="9"/>
        <v>4.931721781637588E-3</v>
      </c>
      <c r="S12" s="10">
        <f t="shared" si="10"/>
        <v>0.96263193846767603</v>
      </c>
      <c r="T12" s="10">
        <f t="shared" si="11"/>
        <v>4.8071482532990222E-3</v>
      </c>
      <c r="V12" s="19">
        <v>0.41666666666666652</v>
      </c>
      <c r="W12" s="12">
        <v>1127.9335228894038</v>
      </c>
      <c r="X12" s="12">
        <f t="shared" si="33"/>
        <v>484.27334732565134</v>
      </c>
      <c r="Y12" s="12">
        <f t="shared" si="34"/>
        <v>24.213667366282568</v>
      </c>
      <c r="Z12" s="12">
        <f t="shared" si="18"/>
        <v>8.9787444431183143</v>
      </c>
      <c r="AA12" s="12">
        <f t="shared" si="19"/>
        <v>41.553972421115581</v>
      </c>
      <c r="AB12" s="12">
        <f t="shared" si="20"/>
        <v>8.3689948151640934</v>
      </c>
      <c r="AC12" s="12">
        <f t="shared" si="21"/>
        <v>124.92186421141677</v>
      </c>
      <c r="AD12" s="12">
        <f t="shared" si="22"/>
        <v>1.0732386795706155</v>
      </c>
      <c r="AE12" s="12">
        <f t="shared" si="23"/>
        <v>1410.2805130712084</v>
      </c>
      <c r="AF12" s="81">
        <f t="shared" si="35"/>
        <v>10.773364093415466</v>
      </c>
      <c r="AH12" s="12">
        <v>10128.465430421991</v>
      </c>
      <c r="AJ12" s="9" t="s">
        <v>850</v>
      </c>
      <c r="AK12" s="10">
        <f>1-EXP(-0.03/12)</f>
        <v>2.4968776025399153E-3</v>
      </c>
      <c r="AM12" s="19">
        <f t="shared" si="24"/>
        <v>0.49999999999999994</v>
      </c>
      <c r="AN12" s="12">
        <v>10070.029804071635</v>
      </c>
      <c r="AO12" s="12">
        <f t="shared" si="25"/>
        <v>56.937412567725268</v>
      </c>
      <c r="AP12" s="12">
        <f t="shared" si="26"/>
        <v>124.84388012699577</v>
      </c>
      <c r="AQ12" s="12">
        <f t="shared" si="27"/>
        <v>9986.2124718714567</v>
      </c>
      <c r="AR12" s="12">
        <f t="shared" si="28"/>
        <v>15.910864640909494</v>
      </c>
      <c r="AW12" s="19">
        <v>0.41666666666666652</v>
      </c>
      <c r="AX12" s="12">
        <v>10.773364093415694</v>
      </c>
      <c r="AY12" s="5">
        <f t="shared" si="29"/>
        <v>0.98840112499852384</v>
      </c>
      <c r="AZ12" s="12">
        <f t="shared" si="36"/>
        <v>16.003194192971932</v>
      </c>
      <c r="BA12" s="5">
        <f t="shared" si="30"/>
        <v>3.2974175012885354E-3</v>
      </c>
      <c r="BB12" s="12">
        <f t="shared" si="31"/>
        <v>10.701174402559198</v>
      </c>
      <c r="BC12" s="5">
        <f t="shared" si="15"/>
        <v>0.94342902459621281</v>
      </c>
      <c r="BD12" s="12">
        <f t="shared" si="16"/>
        <v>10.095798528640385</v>
      </c>
      <c r="BE12" s="5">
        <f t="shared" si="17"/>
        <v>0.92977051998308891</v>
      </c>
      <c r="BF12" s="12">
        <f t="shared" si="32"/>
        <v>-953.11710984898718</v>
      </c>
    </row>
    <row r="13" spans="1:58">
      <c r="A13" s="19">
        <f t="shared" si="12"/>
        <v>0.58333333333333326</v>
      </c>
      <c r="B13" s="10">
        <f t="shared" si="1"/>
        <v>0.97194026798644406</v>
      </c>
      <c r="C13" s="10">
        <f t="shared" si="2"/>
        <v>0.98552248843629786</v>
      </c>
      <c r="D13" s="10">
        <f t="shared" si="3"/>
        <v>5.7405055424493145E-3</v>
      </c>
      <c r="E13" s="10">
        <f t="shared" si="4"/>
        <v>0.95786899151744254</v>
      </c>
      <c r="F13" s="10">
        <f t="shared" si="5"/>
        <v>5.5794284953058545E-3</v>
      </c>
      <c r="H13" s="19">
        <f t="shared" si="13"/>
        <v>0.58333333333333326</v>
      </c>
      <c r="I13" s="81">
        <f t="shared" si="0"/>
        <v>1992.791886325344</v>
      </c>
      <c r="J13" s="81">
        <f t="shared" si="6"/>
        <v>9952.0011903842751</v>
      </c>
      <c r="O13" s="19">
        <f t="shared" si="14"/>
        <v>0.58333333333333326</v>
      </c>
      <c r="P13" s="10">
        <f t="shared" si="7"/>
        <v>0.97059289022828854</v>
      </c>
      <c r="Q13" s="10">
        <f t="shared" si="8"/>
        <v>0.98552248843629786</v>
      </c>
      <c r="R13" s="10">
        <f t="shared" si="9"/>
        <v>5.7405055424493145E-3</v>
      </c>
      <c r="S13" s="10">
        <f t="shared" si="10"/>
        <v>0.95654112043636141</v>
      </c>
      <c r="T13" s="10">
        <f t="shared" si="11"/>
        <v>5.5716938658173891E-3</v>
      </c>
      <c r="V13" s="19">
        <v>0.5</v>
      </c>
      <c r="W13" s="12">
        <v>1414.3998356595371</v>
      </c>
      <c r="X13" s="12">
        <f t="shared" si="33"/>
        <v>484.27334732565134</v>
      </c>
      <c r="Y13" s="12">
        <f t="shared" si="34"/>
        <v>24.213667366282568</v>
      </c>
      <c r="Z13" s="12">
        <f t="shared" si="18"/>
        <v>10.598466624114559</v>
      </c>
      <c r="AA13" s="12">
        <f t="shared" si="19"/>
        <v>41.553972421115581</v>
      </c>
      <c r="AB13" s="12">
        <f t="shared" si="20"/>
        <v>8.3201102498845376</v>
      </c>
      <c r="AC13" s="12">
        <f t="shared" si="21"/>
        <v>124.92186421141677</v>
      </c>
      <c r="AD13" s="12">
        <f t="shared" si="22"/>
        <v>1.2639379830774102</v>
      </c>
      <c r="AE13" s="12">
        <f t="shared" si="23"/>
        <v>1697.7231945953517</v>
      </c>
      <c r="AF13" s="81">
        <f t="shared" si="35"/>
        <v>11.274902782174422</v>
      </c>
      <c r="AH13" s="12">
        <v>10070.029804071635</v>
      </c>
      <c r="AJ13" s="9" t="s">
        <v>851</v>
      </c>
      <c r="AK13" s="10">
        <f>1-AK8-AK9-AK10</f>
        <v>8.3211923621459181E-4</v>
      </c>
      <c r="AM13" s="19">
        <f t="shared" si="24"/>
        <v>0.58333333333333326</v>
      </c>
      <c r="AN13" s="12">
        <v>10011.209235987133</v>
      </c>
      <c r="AO13" s="12">
        <f t="shared" si="25"/>
        <v>56.604832524005722</v>
      </c>
      <c r="AP13" s="12">
        <f t="shared" si="26"/>
        <v>124.84388012699577</v>
      </c>
      <c r="AQ13" s="12">
        <f t="shared" si="27"/>
        <v>9927.1522615115537</v>
      </c>
      <c r="AR13" s="12">
        <f t="shared" si="28"/>
        <v>15.81792687259076</v>
      </c>
      <c r="AW13" s="19">
        <v>0.5</v>
      </c>
      <c r="AX13" s="12">
        <v>11.274902782174649</v>
      </c>
      <c r="AY13" s="5">
        <f t="shared" si="29"/>
        <v>0.98552248843629786</v>
      </c>
      <c r="AZ13" s="12">
        <f t="shared" si="36"/>
        <v>15.910864640909494</v>
      </c>
      <c r="BA13" s="5">
        <f t="shared" si="30"/>
        <v>4.1106241151671608E-3</v>
      </c>
      <c r="BB13" s="12">
        <f t="shared" si="31"/>
        <v>11.177073830652182</v>
      </c>
      <c r="BC13" s="5">
        <f t="shared" si="15"/>
        <v>0.93250480824031379</v>
      </c>
      <c r="BD13" s="12">
        <f t="shared" si="16"/>
        <v>10.422675089140142</v>
      </c>
      <c r="BE13" s="5">
        <f t="shared" si="17"/>
        <v>0.91632793458577477</v>
      </c>
      <c r="BF13" s="12">
        <f t="shared" si="32"/>
        <v>-942.69443475984701</v>
      </c>
    </row>
    <row r="14" spans="1:58">
      <c r="A14" s="19">
        <f t="shared" si="12"/>
        <v>0.66666666666666663</v>
      </c>
      <c r="B14" s="10">
        <f t="shared" si="1"/>
        <v>0.96799653029986032</v>
      </c>
      <c r="C14" s="10">
        <f t="shared" si="2"/>
        <v>0.98347145382161749</v>
      </c>
      <c r="D14" s="10">
        <f t="shared" si="3"/>
        <v>6.5455610297244782E-3</v>
      </c>
      <c r="E14" s="10">
        <f t="shared" si="4"/>
        <v>0.95199695494828507</v>
      </c>
      <c r="F14" s="10">
        <f t="shared" si="5"/>
        <v>6.3360803656392758E-3</v>
      </c>
      <c r="H14" s="19">
        <f t="shared" si="13"/>
        <v>0.66666666666666663</v>
      </c>
      <c r="I14" s="81">
        <f t="shared" si="0"/>
        <v>2284.7407453150931</v>
      </c>
      <c r="J14" s="81">
        <f t="shared" si="6"/>
        <v>9892.403114774499</v>
      </c>
      <c r="O14" s="19">
        <f t="shared" si="14"/>
        <v>0.66666666666666663</v>
      </c>
      <c r="P14" s="10">
        <f t="shared" si="7"/>
        <v>0.96646307004869714</v>
      </c>
      <c r="Q14" s="10">
        <f t="shared" si="8"/>
        <v>0.98347145382161749</v>
      </c>
      <c r="R14" s="10">
        <f t="shared" si="9"/>
        <v>6.5455610297244782E-3</v>
      </c>
      <c r="S14" s="10">
        <f t="shared" si="10"/>
        <v>0.95048884056569594</v>
      </c>
      <c r="T14" s="10">
        <f t="shared" si="11"/>
        <v>6.3260430079786307E-3</v>
      </c>
      <c r="V14" s="19">
        <v>0.58333333333333315</v>
      </c>
      <c r="W14" s="12">
        <v>1702.6821154904553</v>
      </c>
      <c r="X14" s="12">
        <f t="shared" si="33"/>
        <v>484.27334732565134</v>
      </c>
      <c r="Y14" s="12">
        <f t="shared" si="34"/>
        <v>24.213667366282568</v>
      </c>
      <c r="Z14" s="12">
        <f t="shared" si="18"/>
        <v>12.228456546891223</v>
      </c>
      <c r="AA14" s="12">
        <f t="shared" si="19"/>
        <v>41.553972421115581</v>
      </c>
      <c r="AB14" s="12">
        <f t="shared" si="20"/>
        <v>8.2709036600027517</v>
      </c>
      <c r="AC14" s="12">
        <f t="shared" si="21"/>
        <v>124.92186421141677</v>
      </c>
      <c r="AD14" s="12">
        <f t="shared" si="22"/>
        <v>1.4558461674830943</v>
      </c>
      <c r="AE14" s="12">
        <f t="shared" si="23"/>
        <v>1986.9880447069836</v>
      </c>
      <c r="AF14" s="81">
        <f t="shared" si="35"/>
        <v>11.779620829713622</v>
      </c>
      <c r="AH14" s="12">
        <v>10011.209235987133</v>
      </c>
      <c r="AJ14" s="9"/>
      <c r="AK14" s="4"/>
      <c r="AM14" s="19">
        <f t="shared" si="24"/>
        <v>0.66666666666666663</v>
      </c>
      <c r="AN14" s="12">
        <v>9952.0011903842751</v>
      </c>
      <c r="AO14" s="12">
        <f t="shared" si="25"/>
        <v>56.270061626063047</v>
      </c>
      <c r="AP14" s="12">
        <f t="shared" si="26"/>
        <v>124.84388012699577</v>
      </c>
      <c r="AQ14" s="12">
        <f t="shared" si="27"/>
        <v>9867.7029950019223</v>
      </c>
      <c r="AR14" s="12">
        <f t="shared" si="28"/>
        <v>15.72437688142054</v>
      </c>
      <c r="AW14" s="19">
        <v>0.58333333333333315</v>
      </c>
      <c r="AX14" s="12">
        <v>11.779620829713622</v>
      </c>
      <c r="AY14" s="5">
        <f t="shared" si="29"/>
        <v>0.9826522356650732</v>
      </c>
      <c r="AZ14" s="12">
        <f t="shared" si="36"/>
        <v>15.81792687259076</v>
      </c>
      <c r="BA14" s="5">
        <f t="shared" si="30"/>
        <v>4.9194078759788873E-3</v>
      </c>
      <c r="BB14" s="12">
        <f t="shared" si="31"/>
        <v>11.653085577643637</v>
      </c>
      <c r="BC14" s="5">
        <f t="shared" si="15"/>
        <v>0.92170708629987086</v>
      </c>
      <c r="BD14" s="12">
        <f t="shared" si="16"/>
        <v>10.740731554172964</v>
      </c>
      <c r="BE14" s="5">
        <f t="shared" si="17"/>
        <v>0.90307970155636241</v>
      </c>
      <c r="BF14" s="12">
        <f t="shared" si="32"/>
        <v>-931.95370320567406</v>
      </c>
    </row>
    <row r="15" spans="1:58">
      <c r="A15" s="19">
        <f t="shared" si="12"/>
        <v>0.75</v>
      </c>
      <c r="B15" s="10">
        <f t="shared" si="1"/>
        <v>0.96406879469432316</v>
      </c>
      <c r="C15" s="10">
        <f t="shared" si="2"/>
        <v>0.98142468774777714</v>
      </c>
      <c r="D15" s="10">
        <f t="shared" si="3"/>
        <v>7.3469011088815872E-3</v>
      </c>
      <c r="E15" s="10">
        <f t="shared" si="4"/>
        <v>0.94616091580025197</v>
      </c>
      <c r="F15" s="10">
        <f t="shared" si="5"/>
        <v>7.082918096777858E-3</v>
      </c>
      <c r="H15" s="19">
        <f t="shared" si="13"/>
        <v>0.75</v>
      </c>
      <c r="I15" s="81">
        <f t="shared" si="0"/>
        <v>2578.5403632839657</v>
      </c>
      <c r="J15" s="81">
        <f t="shared" si="6"/>
        <v>9832.412439854852</v>
      </c>
      <c r="O15" s="19">
        <f t="shared" si="14"/>
        <v>0.75</v>
      </c>
      <c r="P15" s="10">
        <f t="shared" si="7"/>
        <v>0.96235082203029443</v>
      </c>
      <c r="Q15" s="10">
        <f t="shared" si="8"/>
        <v>0.98142468774777714</v>
      </c>
      <c r="R15" s="10">
        <f t="shared" si="9"/>
        <v>7.3469011088815872E-3</v>
      </c>
      <c r="S15" s="10">
        <f t="shared" si="10"/>
        <v>0.94447485501489836</v>
      </c>
      <c r="T15" s="10">
        <f t="shared" si="11"/>
        <v>7.0702963215074771E-3</v>
      </c>
      <c r="V15" s="19">
        <v>0.66666666666666641</v>
      </c>
      <c r="W15" s="12">
        <v>1992.7918863253265</v>
      </c>
      <c r="X15" s="12">
        <f t="shared" si="33"/>
        <v>484.27334732565134</v>
      </c>
      <c r="Y15" s="12">
        <f t="shared" si="34"/>
        <v>24.213667366282568</v>
      </c>
      <c r="Z15" s="12">
        <f t="shared" si="18"/>
        <v>13.868779369498411</v>
      </c>
      <c r="AA15" s="12">
        <f t="shared" si="19"/>
        <v>41.553972421115581</v>
      </c>
      <c r="AB15" s="12">
        <f t="shared" si="20"/>
        <v>8.221372924197949</v>
      </c>
      <c r="AC15" s="12">
        <f t="shared" si="21"/>
        <v>124.92186421141677</v>
      </c>
      <c r="AD15" s="12">
        <f t="shared" si="22"/>
        <v>1.6489709042234972</v>
      </c>
      <c r="AE15" s="12">
        <f t="shared" si="23"/>
        <v>2278.0866267812862</v>
      </c>
      <c r="AF15" s="81">
        <f t="shared" si="35"/>
        <v>12.287538411953392</v>
      </c>
      <c r="AH15" s="12">
        <v>9952.0011903842751</v>
      </c>
      <c r="AJ15" s="9"/>
      <c r="AK15" s="4"/>
      <c r="AM15" s="19">
        <f t="shared" si="24"/>
        <v>0.75</v>
      </c>
      <c r="AN15" s="12">
        <v>9892.403114774499</v>
      </c>
      <c r="AO15" s="12">
        <f t="shared" si="25"/>
        <v>55.9330854417558</v>
      </c>
      <c r="AP15" s="12">
        <f t="shared" si="26"/>
        <v>124.84388012699577</v>
      </c>
      <c r="AQ15" s="12">
        <f t="shared" si="27"/>
        <v>9807.8621094548434</v>
      </c>
      <c r="AR15" s="12">
        <f t="shared" si="28"/>
        <v>15.630210634417381</v>
      </c>
      <c r="AW15" s="19">
        <v>0.66666666666666641</v>
      </c>
      <c r="AX15" s="12">
        <v>12.287538411953392</v>
      </c>
      <c r="AY15" s="5">
        <f t="shared" si="29"/>
        <v>0.97979034226775152</v>
      </c>
      <c r="AZ15" s="12">
        <f t="shared" si="36"/>
        <v>15.72437688142054</v>
      </c>
      <c r="BA15" s="5">
        <f t="shared" si="30"/>
        <v>5.7237867946433596E-3</v>
      </c>
      <c r="BB15" s="12">
        <f t="shared" si="31"/>
        <v>12.129214447023829</v>
      </c>
      <c r="BC15" s="5">
        <f t="shared" si="15"/>
        <v>0.91103439406230213</v>
      </c>
      <c r="BD15" s="12">
        <f t="shared" si="16"/>
        <v>11.050131534196074</v>
      </c>
      <c r="BE15" s="5">
        <f t="shared" si="17"/>
        <v>0.89002301095600533</v>
      </c>
      <c r="BF15" s="12">
        <f t="shared" si="32"/>
        <v>-920.90357167147795</v>
      </c>
    </row>
    <row r="16" spans="1:58">
      <c r="A16" s="19">
        <f t="shared" si="12"/>
        <v>0.83333333333333337</v>
      </c>
      <c r="B16" s="10">
        <f t="shared" si="1"/>
        <v>0.96015699623990569</v>
      </c>
      <c r="C16" s="10">
        <f t="shared" si="2"/>
        <v>0.97938218133124011</v>
      </c>
      <c r="D16" s="10">
        <f t="shared" si="3"/>
        <v>8.1445386058149882E-3</v>
      </c>
      <c r="E16" s="10">
        <f t="shared" si="4"/>
        <v>0.9403606533978901</v>
      </c>
      <c r="F16" s="10">
        <f t="shared" si="5"/>
        <v>7.8200357235192683E-3</v>
      </c>
      <c r="H16" s="19">
        <f t="shared" si="13"/>
        <v>0.83333333333333337</v>
      </c>
      <c r="I16" s="81">
        <f t="shared" si="0"/>
        <v>2874.2024851980555</v>
      </c>
      <c r="J16" s="81">
        <f t="shared" si="6"/>
        <v>9772.0265793972303</v>
      </c>
      <c r="O16" s="19">
        <f t="shared" si="14"/>
        <v>0.83333333333333337</v>
      </c>
      <c r="P16" s="10">
        <f t="shared" si="7"/>
        <v>0.95825607140448643</v>
      </c>
      <c r="Q16" s="10">
        <f t="shared" si="8"/>
        <v>0.97938218133124011</v>
      </c>
      <c r="R16" s="10">
        <f t="shared" si="9"/>
        <v>8.1445386058149882E-3</v>
      </c>
      <c r="S16" s="10">
        <f t="shared" si="10"/>
        <v>0.93849892148603054</v>
      </c>
      <c r="T16" s="10">
        <f t="shared" si="11"/>
        <v>7.8045535678104442E-3</v>
      </c>
      <c r="V16" s="19">
        <v>0.75</v>
      </c>
      <c r="W16" s="12">
        <v>2284.7407453150759</v>
      </c>
      <c r="X16" s="12">
        <f t="shared" si="33"/>
        <v>484.27334732565134</v>
      </c>
      <c r="Y16" s="12">
        <f t="shared" si="34"/>
        <v>24.213667366282568</v>
      </c>
      <c r="Z16" s="12">
        <f t="shared" si="18"/>
        <v>15.519500663913535</v>
      </c>
      <c r="AA16" s="12">
        <f t="shared" si="19"/>
        <v>41.553972421115581</v>
      </c>
      <c r="AB16" s="12">
        <f t="shared" si="20"/>
        <v>8.1715159071752463</v>
      </c>
      <c r="AC16" s="12">
        <f t="shared" si="21"/>
        <v>124.92186421141677</v>
      </c>
      <c r="AD16" s="12">
        <f t="shared" si="22"/>
        <v>1.8433199134685143</v>
      </c>
      <c r="AE16" s="12">
        <f t="shared" si="23"/>
        <v>2571.0305776521936</v>
      </c>
      <c r="AF16" s="81">
        <f t="shared" si="35"/>
        <v>12.798675832988465</v>
      </c>
      <c r="AH16" s="12">
        <v>9892.403114774499</v>
      </c>
      <c r="AM16" s="19">
        <f t="shared" si="24"/>
        <v>0.83333333333333337</v>
      </c>
      <c r="AN16" s="12">
        <v>9832.412439854852</v>
      </c>
      <c r="AO16" s="12">
        <f t="shared" si="25"/>
        <v>55.593889443871547</v>
      </c>
      <c r="AP16" s="12">
        <f t="shared" si="26"/>
        <v>124.84388012699577</v>
      </c>
      <c r="AQ16" s="12">
        <f t="shared" si="27"/>
        <v>9747.6270250997095</v>
      </c>
      <c r="AR16" s="12">
        <f t="shared" si="28"/>
        <v>15.535424072018941</v>
      </c>
      <c r="AW16" s="19">
        <v>0.75</v>
      </c>
      <c r="AX16" s="12">
        <v>12.79867583298892</v>
      </c>
      <c r="AY16" s="5">
        <f t="shared" si="29"/>
        <v>0.97693678389834759</v>
      </c>
      <c r="AZ16" s="12">
        <f t="shared" si="36"/>
        <v>15.630210634417381</v>
      </c>
      <c r="BA16" s="5">
        <f t="shared" si="30"/>
        <v>6.5237788168155397E-3</v>
      </c>
      <c r="BB16" s="12">
        <f t="shared" si="31"/>
        <v>12.605465243476877</v>
      </c>
      <c r="BC16" s="5">
        <f t="shared" si="15"/>
        <v>0.90048528377532355</v>
      </c>
      <c r="BD16" s="12">
        <f t="shared" si="16"/>
        <v>11.351035946892253</v>
      </c>
      <c r="BE16" s="5">
        <f t="shared" si="17"/>
        <v>0.87715509347184084</v>
      </c>
      <c r="BF16" s="12">
        <f t="shared" si="32"/>
        <v>-909.55253572458571</v>
      </c>
    </row>
    <row r="17" spans="1:58">
      <c r="A17" s="19">
        <f t="shared" si="12"/>
        <v>0.91666666666666674</v>
      </c>
      <c r="B17" s="10">
        <f t="shared" si="1"/>
        <v>0.95626107027014118</v>
      </c>
      <c r="C17" s="10">
        <f t="shared" si="2"/>
        <v>0.97734392570695827</v>
      </c>
      <c r="D17" s="10">
        <f t="shared" si="3"/>
        <v>8.938486307008553E-3</v>
      </c>
      <c r="E17" s="10">
        <f t="shared" si="4"/>
        <v>0.93459594841855731</v>
      </c>
      <c r="F17" s="10">
        <f t="shared" si="5"/>
        <v>8.5475264825350013E-3</v>
      </c>
      <c r="H17" s="19">
        <f t="shared" si="13"/>
        <v>0.91666666666666674</v>
      </c>
      <c r="I17" s="81">
        <f t="shared" si="0"/>
        <v>3171.7389306368154</v>
      </c>
      <c r="J17" s="81">
        <f t="shared" si="6"/>
        <v>9711.2429301368829</v>
      </c>
      <c r="O17" s="19">
        <f t="shared" si="14"/>
        <v>0.91666666666666674</v>
      </c>
      <c r="P17" s="10">
        <f t="shared" si="7"/>
        <v>0.95417874372081524</v>
      </c>
      <c r="Q17" s="10">
        <f t="shared" si="8"/>
        <v>0.97734392570695827</v>
      </c>
      <c r="R17" s="10">
        <f t="shared" si="9"/>
        <v>8.938486307008553E-3</v>
      </c>
      <c r="S17" s="10">
        <f t="shared" si="10"/>
        <v>0.93256079921423518</v>
      </c>
      <c r="T17" s="10">
        <f t="shared" si="11"/>
        <v>8.5289136351871311E-3</v>
      </c>
      <c r="V17" s="19">
        <v>0.83333333333333304</v>
      </c>
      <c r="W17" s="12">
        <v>2578.5403632839489</v>
      </c>
      <c r="X17" s="12">
        <f t="shared" si="33"/>
        <v>484.27334732565134</v>
      </c>
      <c r="Y17" s="12">
        <f t="shared" si="34"/>
        <v>24.213667366282568</v>
      </c>
      <c r="Z17" s="12">
        <f t="shared" si="18"/>
        <v>17.18068641867367</v>
      </c>
      <c r="AA17" s="12">
        <f t="shared" si="19"/>
        <v>41.553972421115581</v>
      </c>
      <c r="AB17" s="12">
        <f t="shared" si="20"/>
        <v>8.1213304595736187</v>
      </c>
      <c r="AC17" s="12">
        <f t="shared" si="21"/>
        <v>124.92186421141677</v>
      </c>
      <c r="AD17" s="12">
        <f t="shared" si="22"/>
        <v>2.0389009644320324</v>
      </c>
      <c r="AE17" s="12">
        <f t="shared" si="23"/>
        <v>2865.8316080795571</v>
      </c>
      <c r="AF17" s="81">
        <f t="shared" si="35"/>
        <v>13.313053525896066</v>
      </c>
      <c r="AH17" s="12">
        <v>9832.412439854852</v>
      </c>
      <c r="AM17" s="19">
        <f t="shared" si="24"/>
        <v>0.91666666666666674</v>
      </c>
      <c r="AN17" s="12">
        <v>9772.0265793972303</v>
      </c>
      <c r="AO17" s="12">
        <f t="shared" si="25"/>
        <v>55.252459009500583</v>
      </c>
      <c r="AP17" s="12">
        <f t="shared" si="26"/>
        <v>124.84388012699577</v>
      </c>
      <c r="AQ17" s="12">
        <f t="shared" si="27"/>
        <v>9686.9951451718007</v>
      </c>
      <c r="AR17" s="12">
        <f t="shared" si="28"/>
        <v>15.440013107934647</v>
      </c>
      <c r="AW17" s="19">
        <v>0.83333333333333304</v>
      </c>
      <c r="AX17" s="12">
        <v>13.313053525896066</v>
      </c>
      <c r="AY17" s="5">
        <f t="shared" si="29"/>
        <v>0.97409153628178147</v>
      </c>
      <c r="AZ17" s="12">
        <f t="shared" si="36"/>
        <v>15.535424072018941</v>
      </c>
      <c r="BA17" s="5">
        <f t="shared" si="30"/>
        <v>7.3194018231097502E-3</v>
      </c>
      <c r="BB17" s="12">
        <f t="shared" si="31"/>
        <v>13.081842772917206</v>
      </c>
      <c r="BC17" s="5">
        <f t="shared" si="15"/>
        <v>0.89005832445056154</v>
      </c>
      <c r="BD17" s="12">
        <f t="shared" si="16"/>
        <v>11.643603059188376</v>
      </c>
      <c r="BE17" s="5">
        <f t="shared" si="17"/>
        <v>0.86447321982962355</v>
      </c>
      <c r="BF17" s="12">
        <f t="shared" si="32"/>
        <v>-897.90893266539729</v>
      </c>
    </row>
    <row r="18" spans="1:58">
      <c r="A18" s="19">
        <f t="shared" si="12"/>
        <v>1</v>
      </c>
      <c r="B18" s="10">
        <f t="shared" si="1"/>
        <v>0.95238095238095233</v>
      </c>
      <c r="C18" s="10">
        <f t="shared" si="2"/>
        <v>0.97530991202833262</v>
      </c>
      <c r="D18" s="10">
        <f t="shared" si="3"/>
        <v>9.728756959648921E-3</v>
      </c>
      <c r="E18" s="10">
        <f t="shared" si="4"/>
        <v>0.92886658288412627</v>
      </c>
      <c r="F18" s="10">
        <f t="shared" si="5"/>
        <v>9.2654828187132571E-3</v>
      </c>
      <c r="H18" s="19">
        <f t="shared" si="13"/>
        <v>1</v>
      </c>
      <c r="I18" s="81">
        <f t="shared" si="0"/>
        <v>3471.1615942675694</v>
      </c>
      <c r="J18" s="81">
        <f t="shared" si="6"/>
        <v>9650.0588716601869</v>
      </c>
      <c r="O18" s="19">
        <f t="shared" si="14"/>
        <v>1</v>
      </c>
      <c r="P18" s="10">
        <f t="shared" si="7"/>
        <v>0.95011876484560576</v>
      </c>
      <c r="Q18" s="10">
        <f t="shared" si="8"/>
        <v>0.97530991202833262</v>
      </c>
      <c r="R18" s="10">
        <f t="shared" si="9"/>
        <v>9.728756959648921E-3</v>
      </c>
      <c r="S18" s="10">
        <f t="shared" si="10"/>
        <v>0.92666024895803578</v>
      </c>
      <c r="T18" s="10">
        <f t="shared" si="11"/>
        <v>9.2434745459847242E-3</v>
      </c>
      <c r="V18" s="19">
        <v>0.9166666666666663</v>
      </c>
      <c r="W18" s="12">
        <v>2874.2024851980391</v>
      </c>
      <c r="X18" s="12">
        <f t="shared" si="33"/>
        <v>484.27334732565134</v>
      </c>
      <c r="Y18" s="12">
        <f t="shared" si="34"/>
        <v>24.213667366282568</v>
      </c>
      <c r="Z18" s="12">
        <f t="shared" si="18"/>
        <v>18.852403041524678</v>
      </c>
      <c r="AA18" s="12">
        <f t="shared" si="19"/>
        <v>41.553972421115581</v>
      </c>
      <c r="AB18" s="12">
        <f t="shared" si="20"/>
        <v>8.0708144178732333</v>
      </c>
      <c r="AC18" s="12">
        <f t="shared" si="21"/>
        <v>124.92186421141677</v>
      </c>
      <c r="AD18" s="12">
        <f t="shared" si="22"/>
        <v>2.2357218756838231</v>
      </c>
      <c r="AE18" s="12">
        <f t="shared" si="23"/>
        <v>3162.5015032192819</v>
      </c>
      <c r="AF18" s="81">
        <f t="shared" si="35"/>
        <v>13.830692053560597</v>
      </c>
      <c r="AH18" s="12">
        <v>9772.0265793972303</v>
      </c>
      <c r="AK18" s="14"/>
      <c r="AM18" s="19">
        <f t="shared" si="24"/>
        <v>1</v>
      </c>
      <c r="AN18" s="12">
        <v>9711.2429301368829</v>
      </c>
      <c r="AO18" s="12">
        <f t="shared" si="25"/>
        <v>54.908779419405533</v>
      </c>
      <c r="AP18" s="12">
        <f t="shared" si="26"/>
        <v>124.84388012699577</v>
      </c>
      <c r="AQ18" s="12">
        <f t="shared" si="27"/>
        <v>9625.9638558003462</v>
      </c>
      <c r="AR18" s="12">
        <f t="shared" si="28"/>
        <v>15.343973628947424</v>
      </c>
      <c r="AW18" s="19">
        <v>0.9166666666666663</v>
      </c>
      <c r="AX18" s="12">
        <v>13.830692053561052</v>
      </c>
      <c r="AY18" s="5">
        <f t="shared" si="29"/>
        <v>0.97125457521367287</v>
      </c>
      <c r="AZ18" s="12">
        <f t="shared" si="36"/>
        <v>15.440013107934647</v>
      </c>
      <c r="BA18" s="5">
        <f t="shared" si="30"/>
        <v>8.1106736293197201E-3</v>
      </c>
      <c r="BB18" s="12">
        <f t="shared" si="31"/>
        <v>13.558351842543438</v>
      </c>
      <c r="BC18" s="5">
        <f t="shared" si="15"/>
        <v>0.87975210166943774</v>
      </c>
      <c r="BD18" s="12">
        <f t="shared" si="16"/>
        <v>11.927988528651284</v>
      </c>
      <c r="BE18" s="5">
        <f t="shared" si="17"/>
        <v>0.85197470021484567</v>
      </c>
      <c r="BF18" s="12">
        <f t="shared" si="32"/>
        <v>-885.98094413674596</v>
      </c>
    </row>
    <row r="19" spans="1:58">
      <c r="A19" s="19">
        <f t="shared" si="12"/>
        <v>1.0833333333333333</v>
      </c>
      <c r="B19" s="10">
        <f t="shared" si="1"/>
        <v>0.94851657842958759</v>
      </c>
      <c r="C19" s="10">
        <f t="shared" si="2"/>
        <v>0.97328013146717574</v>
      </c>
      <c r="D19" s="10">
        <f t="shared" si="3"/>
        <v>1.0515363271739409E-2</v>
      </c>
      <c r="E19" s="10">
        <f t="shared" si="4"/>
        <v>0.92317234015274474</v>
      </c>
      <c r="F19" s="10">
        <f t="shared" si="5"/>
        <v>9.9739963914544181E-3</v>
      </c>
      <c r="H19" s="19">
        <f t="shared" si="13"/>
        <v>1.0833333333333333</v>
      </c>
      <c r="I19" s="81">
        <f t="shared" si="0"/>
        <v>3772.4824463230448</v>
      </c>
      <c r="J19" s="81">
        <f t="shared" si="6"/>
        <v>9588.4717662916682</v>
      </c>
      <c r="O19" s="19">
        <f t="shared" si="14"/>
        <v>1.0833333333333333</v>
      </c>
      <c r="P19" s="10">
        <f t="shared" si="7"/>
        <v>0.94607606096061747</v>
      </c>
      <c r="Q19" s="10">
        <f t="shared" si="8"/>
        <v>0.97328013146717574</v>
      </c>
      <c r="R19" s="10">
        <f t="shared" si="9"/>
        <v>1.0515363271739409E-2</v>
      </c>
      <c r="S19" s="10">
        <f t="shared" si="10"/>
        <v>0.92079703298969751</v>
      </c>
      <c r="T19" s="10">
        <f t="shared" si="11"/>
        <v>9.9483334636971711E-3</v>
      </c>
      <c r="V19" s="19">
        <v>1</v>
      </c>
      <c r="W19" s="12">
        <v>3171.7389306367995</v>
      </c>
      <c r="X19" s="12">
        <f t="shared" si="33"/>
        <v>484.27334732565134</v>
      </c>
      <c r="Y19" s="12">
        <f t="shared" si="34"/>
        <v>24.213667366282568</v>
      </c>
      <c r="Z19" s="12">
        <f t="shared" si="18"/>
        <v>20.534717362087207</v>
      </c>
      <c r="AA19" s="12">
        <f t="shared" si="19"/>
        <v>41.553972421115581</v>
      </c>
      <c r="AB19" s="12">
        <f t="shared" si="20"/>
        <v>8.0199656043021825</v>
      </c>
      <c r="AC19" s="12">
        <f t="shared" si="21"/>
        <v>124.92186421141677</v>
      </c>
      <c r="AD19" s="12">
        <f t="shared" si="22"/>
        <v>2.4337905154634276</v>
      </c>
      <c r="AE19" s="12">
        <f t="shared" si="23"/>
        <v>3461.0521230964564</v>
      </c>
      <c r="AF19" s="81">
        <f t="shared" si="35"/>
        <v>14.351612109500365</v>
      </c>
      <c r="AH19" s="12">
        <v>9711.2429301368829</v>
      </c>
      <c r="AM19" s="19">
        <f t="shared" si="24"/>
        <v>1.0833333333333333</v>
      </c>
      <c r="AN19" s="12">
        <v>9650.0588716601869</v>
      </c>
      <c r="AO19" s="12">
        <f t="shared" si="25"/>
        <v>54.562835857386787</v>
      </c>
      <c r="AP19" s="12">
        <f t="shared" si="26"/>
        <v>124.84388012699577</v>
      </c>
      <c r="AQ19" s="12">
        <f t="shared" si="27"/>
        <v>9564.5305258958288</v>
      </c>
      <c r="AR19" s="12">
        <f t="shared" si="28"/>
        <v>15.247301494749991</v>
      </c>
      <c r="AW19" s="19">
        <v>1</v>
      </c>
      <c r="AX19" s="12">
        <v>14.351612109500365</v>
      </c>
      <c r="AY19" s="5">
        <f t="shared" si="29"/>
        <v>0.96842587656013435</v>
      </c>
      <c r="AZ19" s="12">
        <f t="shared" si="36"/>
        <v>15.343973628947424</v>
      </c>
      <c r="BA19" s="5">
        <f t="shared" si="30"/>
        <v>8.8976119866392978E-3</v>
      </c>
      <c r="BB19" s="12">
        <f t="shared" si="31"/>
        <v>14.03499726087753</v>
      </c>
      <c r="BC19" s="5">
        <f t="shared" si="15"/>
        <v>0.86956521739130443</v>
      </c>
      <c r="BD19" s="12">
        <f t="shared" si="16"/>
        <v>12.204345444241332</v>
      </c>
      <c r="BE19" s="5">
        <f t="shared" si="17"/>
        <v>0.83965688370223179</v>
      </c>
      <c r="BF19" s="12">
        <f t="shared" si="32"/>
        <v>-873.77659869250465</v>
      </c>
    </row>
    <row r="20" spans="1:58">
      <c r="A20" s="19">
        <f t="shared" si="12"/>
        <v>1.1666666666666665</v>
      </c>
      <c r="B20" s="10">
        <f t="shared" si="1"/>
        <v>0.94466788453356076</v>
      </c>
      <c r="C20" s="10">
        <f t="shared" si="2"/>
        <v>0.97125457521367287</v>
      </c>
      <c r="D20" s="10">
        <f t="shared" si="3"/>
        <v>1.1298317912212807E-2</v>
      </c>
      <c r="E20" s="10">
        <f t="shared" si="4"/>
        <v>0.91751300491064258</v>
      </c>
      <c r="F20" s="10">
        <f t="shared" si="5"/>
        <v>1.067315808091771E-2</v>
      </c>
      <c r="H20" s="19">
        <f t="shared" si="13"/>
        <v>1.1666666666666665</v>
      </c>
      <c r="I20" s="81">
        <f t="shared" si="0"/>
        <v>4075.7135330819478</v>
      </c>
      <c r="J20" s="81">
        <f t="shared" si="6"/>
        <v>9526.4789589803095</v>
      </c>
      <c r="O20" s="19">
        <f t="shared" si="14"/>
        <v>1.1666666666666665</v>
      </c>
      <c r="P20" s="10">
        <f t="shared" si="7"/>
        <v>0.94205055856170283</v>
      </c>
      <c r="Q20" s="10">
        <f t="shared" si="8"/>
        <v>0.97125457521367287</v>
      </c>
      <c r="R20" s="10">
        <f t="shared" si="9"/>
        <v>1.1298317912212807E-2</v>
      </c>
      <c r="S20" s="10">
        <f t="shared" si="10"/>
        <v>0.91497091508564998</v>
      </c>
      <c r="T20" s="10">
        <f t="shared" si="11"/>
        <v>1.0643586700007767E-2</v>
      </c>
      <c r="V20" s="19">
        <v>1.0833333333333328</v>
      </c>
      <c r="W20" s="12">
        <v>3471.1615942675539</v>
      </c>
      <c r="X20" s="12">
        <f t="shared" si="33"/>
        <v>484.27334732565134</v>
      </c>
      <c r="Y20" s="12">
        <f t="shared" si="34"/>
        <v>24.213667366282568</v>
      </c>
      <c r="Z20" s="12">
        <f t="shared" si="18"/>
        <v>22.227696634539637</v>
      </c>
      <c r="AA20" s="12">
        <f t="shared" si="19"/>
        <v>41.553972421115581</v>
      </c>
      <c r="AB20" s="12">
        <f t="shared" si="20"/>
        <v>7.9687818267425881</v>
      </c>
      <c r="AC20" s="12">
        <f t="shared" si="21"/>
        <v>124.92186421141677</v>
      </c>
      <c r="AD20" s="12">
        <f t="shared" si="22"/>
        <v>2.6331148019960371</v>
      </c>
      <c r="AE20" s="12">
        <f t="shared" si="23"/>
        <v>3761.4954030814943</v>
      </c>
      <c r="AF20" s="81">
        <f t="shared" si="35"/>
        <v>14.875834518697047</v>
      </c>
      <c r="AH20" s="12">
        <v>9650.0588716601869</v>
      </c>
      <c r="AM20" s="19">
        <f t="shared" si="24"/>
        <v>1.1666666666666665</v>
      </c>
      <c r="AN20" s="12">
        <v>9588.4717662916682</v>
      </c>
      <c r="AO20" s="12">
        <f t="shared" si="25"/>
        <v>54.214613409643732</v>
      </c>
      <c r="AP20" s="12">
        <f t="shared" si="26"/>
        <v>124.84388012699577</v>
      </c>
      <c r="AQ20" s="12">
        <f t="shared" si="27"/>
        <v>9502.6925070365633</v>
      </c>
      <c r="AR20" s="12">
        <f t="shared" si="28"/>
        <v>15.14999253775386</v>
      </c>
      <c r="AW20" s="19">
        <v>1.0833333333333328</v>
      </c>
      <c r="AX20" s="12">
        <v>14.875834518697502</v>
      </c>
      <c r="AY20" s="5">
        <f t="shared" si="29"/>
        <v>0.96560541625756646</v>
      </c>
      <c r="AZ20" s="12">
        <f t="shared" si="36"/>
        <v>15.247301494749991</v>
      </c>
      <c r="BA20" s="5">
        <f t="shared" si="30"/>
        <v>9.6802345818833846E-3</v>
      </c>
      <c r="BB20" s="12">
        <f t="shared" si="31"/>
        <v>14.511783837815459</v>
      </c>
      <c r="BC20" s="5">
        <f t="shared" si="15"/>
        <v>0.85949628976379944</v>
      </c>
      <c r="BD20" s="12">
        <f t="shared" si="16"/>
        <v>12.472824366456658</v>
      </c>
      <c r="BE20" s="5">
        <f t="shared" si="17"/>
        <v>0.82751715769347944</v>
      </c>
      <c r="BF20" s="12">
        <f t="shared" si="32"/>
        <v>-861.30377432604803</v>
      </c>
    </row>
    <row r="21" spans="1:58">
      <c r="A21" s="19">
        <f t="shared" si="12"/>
        <v>1.2499999999999998</v>
      </c>
      <c r="B21" s="10">
        <f t="shared" si="1"/>
        <v>0.94083480706959433</v>
      </c>
      <c r="C21" s="10">
        <f t="shared" si="2"/>
        <v>0.96923323447634413</v>
      </c>
      <c r="D21" s="10">
        <f t="shared" si="3"/>
        <v>1.2077633511044628E-2</v>
      </c>
      <c r="E21" s="10">
        <f t="shared" si="4"/>
        <v>0.91188836316399013</v>
      </c>
      <c r="F21" s="10">
        <f t="shared" si="5"/>
        <v>1.1363057994220939E-2</v>
      </c>
      <c r="H21" s="19">
        <f t="shared" si="13"/>
        <v>1.2499999999999998</v>
      </c>
      <c r="I21" s="81">
        <f t="shared" si="0"/>
        <v>4380.8669773525953</v>
      </c>
      <c r="J21" s="81">
        <f t="shared" si="6"/>
        <v>9464.0777771850717</v>
      </c>
      <c r="O21" s="19">
        <f t="shared" si="14"/>
        <v>1.2499999999999998</v>
      </c>
      <c r="P21" s="10">
        <f t="shared" si="7"/>
        <v>0.93804218445747001</v>
      </c>
      <c r="Q21" s="10">
        <f t="shared" si="8"/>
        <v>0.96923323447634413</v>
      </c>
      <c r="R21" s="10">
        <f t="shared" si="9"/>
        <v>1.2077633511044628E-2</v>
      </c>
      <c r="S21" s="10">
        <f t="shared" si="10"/>
        <v>0.90918166051696903</v>
      </c>
      <c r="T21" s="10">
        <f t="shared" si="11"/>
        <v>1.1329329721777045E-2</v>
      </c>
      <c r="V21" s="19">
        <v>1.1666666666666663</v>
      </c>
      <c r="W21" s="12">
        <v>3772.4824463230298</v>
      </c>
      <c r="X21" s="12">
        <f t="shared" si="33"/>
        <v>484.27334732565134</v>
      </c>
      <c r="Y21" s="12">
        <f t="shared" si="34"/>
        <v>24.213667366282568</v>
      </c>
      <c r="Z21" s="12">
        <f t="shared" si="18"/>
        <v>23.931408540318134</v>
      </c>
      <c r="AA21" s="12">
        <f t="shared" si="19"/>
        <v>41.553972421115581</v>
      </c>
      <c r="AB21" s="12">
        <f t="shared" si="20"/>
        <v>7.9172608786361129</v>
      </c>
      <c r="AC21" s="12">
        <f t="shared" si="21"/>
        <v>124.92186421141677</v>
      </c>
      <c r="AD21" s="12">
        <f t="shared" si="22"/>
        <v>2.8337027038103835</v>
      </c>
      <c r="AE21" s="12">
        <f t="shared" si="23"/>
        <v>4063.8433543693113</v>
      </c>
      <c r="AF21" s="81">
        <f t="shared" si="35"/>
        <v>15.403380238426507</v>
      </c>
      <c r="AH21" s="12">
        <v>9588.4717662916682</v>
      </c>
      <c r="AM21" s="19">
        <f t="shared" si="24"/>
        <v>1.2499999999999998</v>
      </c>
      <c r="AN21" s="12">
        <v>9526.4789589803095</v>
      </c>
      <c r="AO21" s="12">
        <f t="shared" si="25"/>
        <v>53.864097064131911</v>
      </c>
      <c r="AP21" s="12">
        <f t="shared" si="26"/>
        <v>124.84388012699577</v>
      </c>
      <c r="AQ21" s="12">
        <f t="shared" si="27"/>
        <v>9440.4471333545225</v>
      </c>
      <c r="AR21" s="12">
        <f t="shared" si="28"/>
        <v>15.052042562923816</v>
      </c>
      <c r="AW21" s="19">
        <v>1.1666666666666663</v>
      </c>
      <c r="AX21" s="12">
        <v>15.403380238426507</v>
      </c>
      <c r="AY21" s="5">
        <f t="shared" si="29"/>
        <v>0.96279317031245326</v>
      </c>
      <c r="AZ21" s="12">
        <f t="shared" si="36"/>
        <v>15.14999253775386</v>
      </c>
      <c r="BA21" s="5">
        <f t="shared" si="30"/>
        <v>1.0458559037705539E-2</v>
      </c>
      <c r="BB21" s="12">
        <f t="shared" si="31"/>
        <v>14.988716384659748</v>
      </c>
      <c r="BC21" s="5">
        <f t="shared" si="15"/>
        <v>0.84954395293539742</v>
      </c>
      <c r="BD21" s="12">
        <f t="shared" si="16"/>
        <v>12.733573366851401</v>
      </c>
      <c r="BE21" s="5">
        <f t="shared" si="17"/>
        <v>0.81555294736312856</v>
      </c>
      <c r="BF21" s="12">
        <f t="shared" si="32"/>
        <v>-848.57020095919665</v>
      </c>
    </row>
    <row r="22" spans="1:58">
      <c r="A22" s="19">
        <f t="shared" si="12"/>
        <v>1.333333333333333</v>
      </c>
      <c r="B22" s="10">
        <f t="shared" si="1"/>
        <v>0.93701728267256856</v>
      </c>
      <c r="C22" s="10">
        <f t="shared" si="2"/>
        <v>0.9672161004820059</v>
      </c>
      <c r="D22" s="10">
        <f t="shared" si="3"/>
        <v>1.2853322659365451E-2</v>
      </c>
      <c r="E22" s="10">
        <f t="shared" si="4"/>
        <v>0.90629820223080726</v>
      </c>
      <c r="F22" s="10">
        <f t="shared" si="5"/>
        <v>1.2043785471592367E-2</v>
      </c>
      <c r="H22" s="19">
        <f t="shared" si="13"/>
        <v>1.333333333333333</v>
      </c>
      <c r="I22" s="81">
        <f t="shared" si="0"/>
        <v>4687.9549789596258</v>
      </c>
      <c r="J22" s="81">
        <f t="shared" si="6"/>
        <v>9401.2655307596888</v>
      </c>
      <c r="O22" s="19">
        <f t="shared" si="14"/>
        <v>1.333333333333333</v>
      </c>
      <c r="P22" s="10">
        <f t="shared" si="7"/>
        <v>0.93405086576795293</v>
      </c>
      <c r="Q22" s="10">
        <f t="shared" si="8"/>
        <v>0.9672161004820059</v>
      </c>
      <c r="R22" s="10">
        <f t="shared" si="9"/>
        <v>1.2853322659365451E-2</v>
      </c>
      <c r="S22" s="10">
        <f t="shared" si="10"/>
        <v>0.90342903603992097</v>
      </c>
      <c r="T22" s="10">
        <f t="shared" si="11"/>
        <v>1.2005657157975146E-2</v>
      </c>
      <c r="V22" s="19">
        <v>1.25</v>
      </c>
      <c r="W22" s="12">
        <v>4075.7135330819328</v>
      </c>
      <c r="X22" s="12">
        <f t="shared" si="33"/>
        <v>484.27334732565134</v>
      </c>
      <c r="Y22" s="12">
        <f t="shared" si="34"/>
        <v>24.213667366282568</v>
      </c>
      <c r="Z22" s="12">
        <f t="shared" si="18"/>
        <v>25.645921190833874</v>
      </c>
      <c r="AA22" s="12">
        <f t="shared" si="19"/>
        <v>41.553972421115581</v>
      </c>
      <c r="AB22" s="12">
        <f t="shared" si="20"/>
        <v>7.8654005388888262</v>
      </c>
      <c r="AC22" s="12">
        <f t="shared" si="21"/>
        <v>124.92186421141677</v>
      </c>
      <c r="AD22" s="12">
        <f t="shared" si="22"/>
        <v>3.0355622400586544</v>
      </c>
      <c r="AE22" s="12">
        <f t="shared" si="23"/>
        <v>4368.1080644615477</v>
      </c>
      <c r="AF22" s="81">
        <f t="shared" si="35"/>
        <v>15.934270359108268</v>
      </c>
      <c r="AH22" s="12">
        <v>9526.4789589803095</v>
      </c>
      <c r="AM22" s="19">
        <f t="shared" si="24"/>
        <v>1.333333333333333</v>
      </c>
      <c r="AN22" s="12">
        <v>9464.0777771850717</v>
      </c>
      <c r="AO22" s="12">
        <f t="shared" si="25"/>
        <v>53.511271709915732</v>
      </c>
      <c r="AP22" s="12">
        <f t="shared" si="26"/>
        <v>124.84388012699577</v>
      </c>
      <c r="AQ22" s="12">
        <f t="shared" si="27"/>
        <v>9377.7917214204044</v>
      </c>
      <c r="AR22" s="12">
        <f t="shared" si="28"/>
        <v>14.953447347588735</v>
      </c>
      <c r="AW22" s="19">
        <v>1.25</v>
      </c>
      <c r="AX22" s="12">
        <v>15.934270359108268</v>
      </c>
      <c r="AY22" s="5">
        <f t="shared" si="29"/>
        <v>0.95998911480115767</v>
      </c>
      <c r="AZ22" s="12">
        <f t="shared" si="36"/>
        <v>15.052042562923816</v>
      </c>
      <c r="BA22" s="5">
        <f t="shared" si="30"/>
        <v>1.123260291281758E-2</v>
      </c>
      <c r="BB22" s="12">
        <f t="shared" si="31"/>
        <v>15.465799714178823</v>
      </c>
      <c r="BC22" s="5">
        <f t="shared" si="15"/>
        <v>0.83970685687013269</v>
      </c>
      <c r="BD22" s="12">
        <f t="shared" si="16"/>
        <v>12.986738066976097</v>
      </c>
      <c r="BE22" s="5">
        <f t="shared" si="17"/>
        <v>0.80376171511244421</v>
      </c>
      <c r="BF22" s="12">
        <f t="shared" si="32"/>
        <v>-835.58346289222061</v>
      </c>
    </row>
    <row r="23" spans="1:58">
      <c r="A23" s="19">
        <f t="shared" si="12"/>
        <v>1.4166666666666663</v>
      </c>
      <c r="B23" s="10">
        <f t="shared" si="1"/>
        <v>0.93321524823447322</v>
      </c>
      <c r="C23" s="10">
        <f t="shared" si="2"/>
        <v>0.96520316447573329</v>
      </c>
      <c r="D23" s="10">
        <f t="shared" si="3"/>
        <v>1.3625397909572623E-2</v>
      </c>
      <c r="E23" s="10">
        <f t="shared" si="4"/>
        <v>0.90074231073292055</v>
      </c>
      <c r="F23" s="10">
        <f t="shared" si="5"/>
        <v>1.2715429092475288E-2</v>
      </c>
      <c r="H23" s="19">
        <f t="shared" si="13"/>
        <v>1.4166666666666663</v>
      </c>
      <c r="I23" s="81">
        <f t="shared" si="0"/>
        <v>4996.9898152338137</v>
      </c>
      <c r="J23" s="81">
        <f t="shared" si="6"/>
        <v>9338.0395118366923</v>
      </c>
      <c r="O23" s="19">
        <f t="shared" si="14"/>
        <v>1.4166666666666663</v>
      </c>
      <c r="P23" s="10">
        <f t="shared" si="7"/>
        <v>0.93007652992328593</v>
      </c>
      <c r="Q23" s="10">
        <f t="shared" si="8"/>
        <v>0.96520316447573329</v>
      </c>
      <c r="R23" s="10">
        <f t="shared" si="9"/>
        <v>1.3625397909572623E-2</v>
      </c>
      <c r="S23" s="10">
        <f t="shared" si="10"/>
        <v>0.89771280988656466</v>
      </c>
      <c r="T23" s="10">
        <f t="shared" si="11"/>
        <v>1.26726628065593E-2</v>
      </c>
      <c r="V23" s="19">
        <v>1.3333333333333328</v>
      </c>
      <c r="W23" s="12">
        <v>4380.8669773525808</v>
      </c>
      <c r="X23" s="12">
        <f t="shared" si="33"/>
        <v>484.27334732565134</v>
      </c>
      <c r="Y23" s="12">
        <f t="shared" si="34"/>
        <v>24.213667366282568</v>
      </c>
      <c r="Z23" s="12">
        <f t="shared" si="18"/>
        <v>27.37130313020759</v>
      </c>
      <c r="AA23" s="12">
        <f t="shared" si="19"/>
        <v>41.553972421115581</v>
      </c>
      <c r="AB23" s="12">
        <f t="shared" si="20"/>
        <v>7.8131985717754526</v>
      </c>
      <c r="AC23" s="12">
        <f t="shared" si="21"/>
        <v>124.92186421141677</v>
      </c>
      <c r="AD23" s="12">
        <f t="shared" si="22"/>
        <v>3.2387014808384493</v>
      </c>
      <c r="AE23" s="12">
        <f t="shared" si="23"/>
        <v>4674.3016976518602</v>
      </c>
      <c r="AF23" s="81">
        <f t="shared" si="35"/>
        <v>16.468526105150886</v>
      </c>
      <c r="AH23" s="12">
        <v>9464.0777771850717</v>
      </c>
      <c r="AM23" s="19">
        <f t="shared" si="24"/>
        <v>1.4166666666666663</v>
      </c>
      <c r="AN23" s="12">
        <v>9401.2655307596888</v>
      </c>
      <c r="AO23" s="12">
        <f t="shared" si="25"/>
        <v>53.156122136517091</v>
      </c>
      <c r="AP23" s="12">
        <f t="shared" si="26"/>
        <v>124.84388012699577</v>
      </c>
      <c r="AQ23" s="12">
        <f t="shared" si="27"/>
        <v>9314.7235701279551</v>
      </c>
      <c r="AR23" s="12">
        <f t="shared" si="28"/>
        <v>14.854202641256052</v>
      </c>
      <c r="AW23" s="19">
        <v>1.3333333333333328</v>
      </c>
      <c r="AX23" s="12">
        <v>16.468526105150886</v>
      </c>
      <c r="AY23" s="5">
        <f t="shared" si="29"/>
        <v>0.95719322586971833</v>
      </c>
      <c r="AZ23" s="12">
        <f t="shared" si="36"/>
        <v>14.953447347588735</v>
      </c>
      <c r="BA23" s="5">
        <f t="shared" si="30"/>
        <v>1.2002383702206965E-2</v>
      </c>
      <c r="BB23" s="12">
        <f t="shared" si="31"/>
        <v>15.943038640645554</v>
      </c>
      <c r="BC23" s="5">
        <f t="shared" si="15"/>
        <v>0.82998366716446592</v>
      </c>
      <c r="BD23" s="12">
        <f t="shared" si="16"/>
        <v>13.232461676707779</v>
      </c>
      <c r="BE23" s="5">
        <f t="shared" si="17"/>
        <v>0.79214096003119339</v>
      </c>
      <c r="BF23" s="12">
        <f t="shared" si="32"/>
        <v>-822.35100121551284</v>
      </c>
    </row>
    <row r="24" spans="1:58">
      <c r="A24" s="19">
        <f t="shared" si="12"/>
        <v>1.4999999999999996</v>
      </c>
      <c r="B24" s="10">
        <f t="shared" si="1"/>
        <v>0.92942864090336497</v>
      </c>
      <c r="C24" s="10">
        <f t="shared" si="2"/>
        <v>0.96319441772082182</v>
      </c>
      <c r="D24" s="10">
        <f t="shared" si="3"/>
        <v>1.4393871775443712E-2</v>
      </c>
      <c r="E24" s="10">
        <f t="shared" si="4"/>
        <v>0.89522047858797138</v>
      </c>
      <c r="F24" s="10">
        <f t="shared" si="5"/>
        <v>1.3378076681587954E-2</v>
      </c>
      <c r="H24" s="19">
        <f t="shared" si="13"/>
        <v>1.4999999999999996</v>
      </c>
      <c r="I24" s="81">
        <f t="shared" si="0"/>
        <v>5307.9838415049962</v>
      </c>
      <c r="J24" s="81">
        <f t="shared" si="6"/>
        <v>9274.3969947106762</v>
      </c>
      <c r="O24" s="19">
        <f t="shared" si="14"/>
        <v>1.4999999999999996</v>
      </c>
      <c r="P24" s="10">
        <f t="shared" si="7"/>
        <v>0.92611910466238367</v>
      </c>
      <c r="Q24" s="10">
        <f t="shared" si="8"/>
        <v>0.96319441772082182</v>
      </c>
      <c r="R24" s="10">
        <f t="shared" si="9"/>
        <v>1.4393871775443712E-2</v>
      </c>
      <c r="S24" s="10">
        <f t="shared" si="10"/>
        <v>0.89203275175541352</v>
      </c>
      <c r="T24" s="10">
        <f t="shared" si="11"/>
        <v>1.3330439641299084E-2</v>
      </c>
      <c r="V24" s="19">
        <v>1.4166666666666661</v>
      </c>
      <c r="W24" s="12">
        <v>4687.9549789596113</v>
      </c>
      <c r="X24" s="12">
        <f t="shared" si="33"/>
        <v>484.27334732565134</v>
      </c>
      <c r="Y24" s="12">
        <f t="shared" si="34"/>
        <v>24.213667366282568</v>
      </c>
      <c r="Z24" s="12">
        <f t="shared" si="18"/>
        <v>29.107623338021483</v>
      </c>
      <c r="AA24" s="12">
        <f t="shared" si="19"/>
        <v>41.553972421115581</v>
      </c>
      <c r="AB24" s="12">
        <f t="shared" si="20"/>
        <v>7.7606527268429906</v>
      </c>
      <c r="AC24" s="12">
        <f t="shared" si="21"/>
        <v>124.92186421141677</v>
      </c>
      <c r="AD24" s="12">
        <f t="shared" si="22"/>
        <v>3.4431285475167757</v>
      </c>
      <c r="AE24" s="12">
        <f t="shared" si="23"/>
        <v>4982.4364955143146</v>
      </c>
      <c r="AF24" s="81">
        <f t="shared" si="35"/>
        <v>17.006168835795506</v>
      </c>
      <c r="AH24" s="12">
        <v>9401.2655307596888</v>
      </c>
      <c r="AM24" s="19">
        <f t="shared" si="24"/>
        <v>1.4999999999999996</v>
      </c>
      <c r="AN24" s="12">
        <v>9338.0395118366923</v>
      </c>
      <c r="AO24" s="12">
        <f t="shared" si="25"/>
        <v>52.798633033259627</v>
      </c>
      <c r="AP24" s="12">
        <f t="shared" si="26"/>
        <v>124.84388012699577</v>
      </c>
      <c r="AQ24" s="12">
        <f t="shared" si="27"/>
        <v>9251.239960577519</v>
      </c>
      <c r="AR24" s="12">
        <f t="shared" si="28"/>
        <v>14.754304165437134</v>
      </c>
      <c r="AW24" s="19">
        <v>1.4166666666666661</v>
      </c>
      <c r="AX24" s="12">
        <v>17.006168835795506</v>
      </c>
      <c r="AY24" s="5">
        <f t="shared" si="29"/>
        <v>0.95440547973364664</v>
      </c>
      <c r="AZ24" s="12">
        <f t="shared" si="36"/>
        <v>14.854202641256052</v>
      </c>
      <c r="BA24" s="5">
        <f t="shared" si="30"/>
        <v>1.2767918837353065E-2</v>
      </c>
      <c r="BB24" s="12">
        <f t="shared" si="31"/>
        <v>16.420437979875956</v>
      </c>
      <c r="BC24" s="5">
        <f t="shared" si="15"/>
        <v>0.82037306486627204</v>
      </c>
      <c r="BD24" s="12">
        <f t="shared" si="16"/>
        <v>13.470885031997375</v>
      </c>
      <c r="BE24" s="5">
        <f t="shared" si="17"/>
        <v>0.78068821736720406</v>
      </c>
      <c r="BF24" s="12">
        <f t="shared" si="32"/>
        <v>-808.8801161835155</v>
      </c>
    </row>
    <row r="25" spans="1:58">
      <c r="A25" s="19">
        <f t="shared" si="12"/>
        <v>1.5833333333333328</v>
      </c>
      <c r="B25" s="10">
        <f t="shared" si="1"/>
        <v>0.92565739808232761</v>
      </c>
      <c r="C25" s="10">
        <f t="shared" si="2"/>
        <v>0.96118985149874914</v>
      </c>
      <c r="D25" s="10">
        <f t="shared" si="3"/>
        <v>1.5158756732245537E-2</v>
      </c>
      <c r="E25" s="10">
        <f t="shared" si="4"/>
        <v>0.88973249700147095</v>
      </c>
      <c r="F25" s="10">
        <f t="shared" si="5"/>
        <v>1.4031815314933371E-2</v>
      </c>
      <c r="H25" s="19">
        <f t="shared" si="13"/>
        <v>1.5833333333333328</v>
      </c>
      <c r="I25" s="81">
        <f t="shared" si="0"/>
        <v>5620.9494915981413</v>
      </c>
      <c r="J25" s="81">
        <f t="shared" si="6"/>
        <v>9210.3352357207841</v>
      </c>
      <c r="O25" s="19">
        <f t="shared" si="14"/>
        <v>1.5833333333333328</v>
      </c>
      <c r="P25" s="10">
        <f t="shared" si="7"/>
        <v>0.9221785180316282</v>
      </c>
      <c r="Q25" s="10">
        <f t="shared" si="8"/>
        <v>0.96118985149874914</v>
      </c>
      <c r="R25" s="10">
        <f t="shared" si="9"/>
        <v>1.5158756732245537E-2</v>
      </c>
      <c r="S25" s="10">
        <f t="shared" si="10"/>
        <v>0.88638863280215729</v>
      </c>
      <c r="T25" s="10">
        <f t="shared" si="11"/>
        <v>1.3979079818544156E-2</v>
      </c>
      <c r="V25" s="19">
        <v>1.5</v>
      </c>
      <c r="W25" s="12">
        <v>4996.9898152338001</v>
      </c>
      <c r="X25" s="12">
        <f t="shared" si="33"/>
        <v>484.27334732565134</v>
      </c>
      <c r="Y25" s="12">
        <f t="shared" si="34"/>
        <v>24.213667366282568</v>
      </c>
      <c r="Z25" s="12">
        <f t="shared" si="18"/>
        <v>30.854951232088734</v>
      </c>
      <c r="AA25" s="12">
        <f t="shared" si="19"/>
        <v>41.553972421115581</v>
      </c>
      <c r="AB25" s="12">
        <f t="shared" si="20"/>
        <v>7.7077607388136933</v>
      </c>
      <c r="AC25" s="12">
        <f t="shared" si="21"/>
        <v>124.92186421141677</v>
      </c>
      <c r="AD25" s="12">
        <f t="shared" si="22"/>
        <v>3.6488516130561188</v>
      </c>
      <c r="AE25" s="12">
        <f t="shared" si="23"/>
        <v>5292.5247773948686</v>
      </c>
      <c r="AF25" s="81">
        <f t="shared" si="35"/>
        <v>17.54722004598716</v>
      </c>
      <c r="AH25" s="12">
        <v>9338.0395118366923</v>
      </c>
      <c r="AM25" s="19">
        <f t="shared" si="24"/>
        <v>1.5833333333333328</v>
      </c>
      <c r="AN25" s="12">
        <v>9274.3969947106762</v>
      </c>
      <c r="AO25" s="12">
        <f t="shared" si="25"/>
        <v>52.438788988608707</v>
      </c>
      <c r="AP25" s="12">
        <f t="shared" si="26"/>
        <v>124.84388012699577</v>
      </c>
      <c r="AQ25" s="12">
        <f t="shared" si="27"/>
        <v>9187.3381559588288</v>
      </c>
      <c r="AR25" s="12">
        <f t="shared" si="28"/>
        <v>14.653747613461746</v>
      </c>
      <c r="AW25" s="19">
        <v>1.5</v>
      </c>
      <c r="AX25" s="12">
        <v>17.54722004598716</v>
      </c>
      <c r="AY25" s="5">
        <f t="shared" si="29"/>
        <v>0.95162585267772415</v>
      </c>
      <c r="AZ25" s="12">
        <f t="shared" si="36"/>
        <v>14.754304165437134</v>
      </c>
      <c r="BA25" s="5">
        <f t="shared" si="30"/>
        <v>1.3529225686445656E-2</v>
      </c>
      <c r="BB25" s="12">
        <f t="shared" si="31"/>
        <v>16.898002549286851</v>
      </c>
      <c r="BC25" s="5">
        <f t="shared" si="15"/>
        <v>0.81087374629592512</v>
      </c>
      <c r="BD25" s="12">
        <f t="shared" si="16"/>
        <v>13.702146632058321</v>
      </c>
      <c r="BE25" s="5">
        <f t="shared" si="17"/>
        <v>0.76940105800359404</v>
      </c>
      <c r="BF25" s="12">
        <f t="shared" si="32"/>
        <v>-795.17796955145718</v>
      </c>
    </row>
    <row r="26" spans="1:58">
      <c r="A26" s="19">
        <f t="shared" si="12"/>
        <v>1.6666666666666661</v>
      </c>
      <c r="B26" s="10">
        <f t="shared" si="1"/>
        <v>0.92190145742843832</v>
      </c>
      <c r="C26" s="10">
        <f t="shared" si="2"/>
        <v>0.95918945710913817</v>
      </c>
      <c r="D26" s="10">
        <f t="shared" si="3"/>
        <v>1.59200652168483E-2</v>
      </c>
      <c r="E26" s="10">
        <f t="shared" si="4"/>
        <v>0.884278158458907</v>
      </c>
      <c r="F26" s="10">
        <f t="shared" si="5"/>
        <v>1.4676731325768235E-2</v>
      </c>
      <c r="H26" s="19">
        <f t="shared" si="13"/>
        <v>1.6666666666666661</v>
      </c>
      <c r="I26" s="81">
        <f t="shared" si="0"/>
        <v>5935.8992783325748</v>
      </c>
      <c r="J26" s="81">
        <f t="shared" si="6"/>
        <v>9145.851473132434</v>
      </c>
      <c r="O26" s="19">
        <f t="shared" si="14"/>
        <v>1.6666666666666661</v>
      </c>
      <c r="P26" s="10">
        <f t="shared" si="7"/>
        <v>0.91825469838356033</v>
      </c>
      <c r="Q26" s="10">
        <f t="shared" si="8"/>
        <v>0.95918945710913817</v>
      </c>
      <c r="R26" s="10">
        <f t="shared" si="9"/>
        <v>1.59200652168483E-2</v>
      </c>
      <c r="S26" s="10">
        <f t="shared" si="10"/>
        <v>0.88078022563044267</v>
      </c>
      <c r="T26" s="10">
        <f t="shared" si="11"/>
        <v>1.4618674683943646E-2</v>
      </c>
      <c r="V26" s="19">
        <v>1.5833333333333328</v>
      </c>
      <c r="W26" s="12">
        <v>5307.9838415049826</v>
      </c>
      <c r="X26" s="12">
        <f t="shared" si="33"/>
        <v>484.27334732565134</v>
      </c>
      <c r="Y26" s="12">
        <f t="shared" si="34"/>
        <v>24.213667366282568</v>
      </c>
      <c r="Z26" s="12">
        <f t="shared" si="18"/>
        <v>32.613356671240531</v>
      </c>
      <c r="AA26" s="12">
        <f t="shared" si="19"/>
        <v>41.553972421115581</v>
      </c>
      <c r="AB26" s="12">
        <f t="shared" si="20"/>
        <v>7.6545203274874112</v>
      </c>
      <c r="AC26" s="12">
        <f t="shared" si="21"/>
        <v>124.92186421141677</v>
      </c>
      <c r="AD26" s="12">
        <f t="shared" si="22"/>
        <v>3.8558789023425803</v>
      </c>
      <c r="AE26" s="12">
        <f t="shared" si="23"/>
        <v>5604.5789409060053</v>
      </c>
      <c r="AF26" s="81">
        <f t="shared" si="35"/>
        <v>18.091701367224232</v>
      </c>
      <c r="AH26" s="12">
        <v>9274.3969947106762</v>
      </c>
      <c r="AM26" s="19">
        <f t="shared" si="24"/>
        <v>1.6666666666666661</v>
      </c>
      <c r="AN26" s="12">
        <v>9210.3352357207841</v>
      </c>
      <c r="AO26" s="12">
        <f t="shared" si="25"/>
        <v>52.076574489506939</v>
      </c>
      <c r="AP26" s="12">
        <f t="shared" si="26"/>
        <v>124.84388012699577</v>
      </c>
      <c r="AQ26" s="12">
        <f t="shared" si="27"/>
        <v>9123.0154014330128</v>
      </c>
      <c r="AR26" s="12">
        <f t="shared" si="28"/>
        <v>14.552528650283421</v>
      </c>
      <c r="AW26" s="19">
        <v>1.5833333333333328</v>
      </c>
      <c r="AX26" s="12">
        <v>18.091701367224232</v>
      </c>
      <c r="AY26" s="5">
        <f t="shared" si="29"/>
        <v>0.94885432105580125</v>
      </c>
      <c r="AZ26" s="12">
        <f t="shared" si="36"/>
        <v>14.653747613461746</v>
      </c>
      <c r="BA26" s="5">
        <f t="shared" si="30"/>
        <v>1.4286321554597414E-2</v>
      </c>
      <c r="BB26" s="12">
        <f t="shared" si="31"/>
        <v>17.375737167927689</v>
      </c>
      <c r="BC26" s="5">
        <f t="shared" si="15"/>
        <v>0.80148442286945298</v>
      </c>
      <c r="BD26" s="12">
        <f t="shared" si="16"/>
        <v>13.926382675967828</v>
      </c>
      <c r="BE26" s="5">
        <f t="shared" si="17"/>
        <v>0.75827708794355686</v>
      </c>
      <c r="BF26" s="12">
        <f t="shared" si="32"/>
        <v>-781.25158687548935</v>
      </c>
    </row>
    <row r="27" spans="1:58">
      <c r="A27" s="19">
        <f t="shared" si="12"/>
        <v>1.7499999999999993</v>
      </c>
      <c r="B27" s="10">
        <f t="shared" si="1"/>
        <v>0.91816075685173626</v>
      </c>
      <c r="C27" s="10">
        <f t="shared" si="2"/>
        <v>0.95719322586971833</v>
      </c>
      <c r="D27" s="10">
        <f t="shared" si="3"/>
        <v>1.6677809627834161E-2</v>
      </c>
      <c r="E27" s="10">
        <f t="shared" si="4"/>
        <v>0.8788572567178955</v>
      </c>
      <c r="F27" s="10">
        <f t="shared" si="5"/>
        <v>1.5312910310521387E-2</v>
      </c>
      <c r="H27" s="19">
        <f t="shared" si="13"/>
        <v>1.7499999999999993</v>
      </c>
      <c r="I27" s="81">
        <f t="shared" si="0"/>
        <v>6252.8457940243843</v>
      </c>
      <c r="J27" s="81">
        <f t="shared" si="6"/>
        <v>9080.9429270182573</v>
      </c>
      <c r="O27" s="19">
        <f t="shared" si="14"/>
        <v>1.7499999999999993</v>
      </c>
      <c r="P27" s="10">
        <f t="shared" si="7"/>
        <v>0.91434757437557679</v>
      </c>
      <c r="Q27" s="10">
        <f t="shared" si="8"/>
        <v>0.95719322586971833</v>
      </c>
      <c r="R27" s="10">
        <f t="shared" si="9"/>
        <v>1.6677809627834161E-2</v>
      </c>
      <c r="S27" s="10">
        <f t="shared" si="10"/>
        <v>0.87520730428271054</v>
      </c>
      <c r="T27" s="10">
        <f t="shared" si="11"/>
        <v>1.5249314779107806E-2</v>
      </c>
      <c r="V27" s="19">
        <v>1.6666666666666661</v>
      </c>
      <c r="W27" s="12">
        <v>5620.9494915981286</v>
      </c>
      <c r="X27" s="12">
        <f t="shared" si="33"/>
        <v>484.27334732565134</v>
      </c>
      <c r="Y27" s="12">
        <f t="shared" si="34"/>
        <v>24.213667366282568</v>
      </c>
      <c r="Z27" s="12">
        <f t="shared" si="18"/>
        <v>34.382909958130988</v>
      </c>
      <c r="AA27" s="12">
        <f t="shared" si="19"/>
        <v>41.553972421115581</v>
      </c>
      <c r="AB27" s="12">
        <f t="shared" si="20"/>
        <v>7.6009291976432891</v>
      </c>
      <c r="AC27" s="12">
        <f t="shared" si="21"/>
        <v>124.92186421141677</v>
      </c>
      <c r="AD27" s="12">
        <f t="shared" si="22"/>
        <v>4.0642186925161097</v>
      </c>
      <c r="AE27" s="12">
        <f t="shared" si="23"/>
        <v>5918.6114624244983</v>
      </c>
      <c r="AF27" s="81">
        <f t="shared" si="35"/>
        <v>18.639634568437941</v>
      </c>
      <c r="AH27" s="12">
        <v>9210.3352357207841</v>
      </c>
      <c r="AM27" s="19">
        <f t="shared" si="24"/>
        <v>1.7499999999999993</v>
      </c>
      <c r="AN27" s="12">
        <v>9145.851473132434</v>
      </c>
      <c r="AO27" s="12">
        <f t="shared" si="25"/>
        <v>51.711973920705482</v>
      </c>
      <c r="AP27" s="12">
        <f t="shared" si="26"/>
        <v>124.84388012699577</v>
      </c>
      <c r="AQ27" s="12">
        <f t="shared" si="27"/>
        <v>9058.2689240138425</v>
      </c>
      <c r="AR27" s="12">
        <f t="shared" si="28"/>
        <v>14.450642912301191</v>
      </c>
      <c r="AW27" s="19">
        <v>1.6666666666666661</v>
      </c>
      <c r="AX27" s="12">
        <v>18.639634568437941</v>
      </c>
      <c r="AY27" s="5">
        <f t="shared" si="29"/>
        <v>0.94609086129059572</v>
      </c>
      <c r="AZ27" s="12">
        <f t="shared" si="36"/>
        <v>14.552528650283421</v>
      </c>
      <c r="BA27" s="5">
        <f t="shared" si="30"/>
        <v>1.5039223684061298E-2</v>
      </c>
      <c r="BB27" s="12">
        <f t="shared" si="31"/>
        <v>17.853646656535737</v>
      </c>
      <c r="BC27" s="5">
        <f t="shared" si="15"/>
        <v>0.79220382092374098</v>
      </c>
      <c r="BD27" s="12">
        <f t="shared" si="16"/>
        <v>14.143727098729984</v>
      </c>
      <c r="BE27" s="5">
        <f t="shared" si="17"/>
        <v>0.74731394780259663</v>
      </c>
      <c r="BF27" s="12">
        <f t="shared" si="32"/>
        <v>-767.10785977675937</v>
      </c>
    </row>
    <row r="28" spans="1:58">
      <c r="A28" s="19">
        <f t="shared" si="12"/>
        <v>1.8333333333333326</v>
      </c>
      <c r="B28" s="10">
        <f t="shared" si="1"/>
        <v>0.91443523451419584</v>
      </c>
      <c r="C28" s="10">
        <f t="shared" si="2"/>
        <v>0.95520114911628839</v>
      </c>
      <c r="D28" s="10">
        <f t="shared" si="3"/>
        <v>1.7432002325608931E-2</v>
      </c>
      <c r="E28" s="10">
        <f t="shared" si="4"/>
        <v>0.87346958680038256</v>
      </c>
      <c r="F28" s="10">
        <f t="shared" si="5"/>
        <v>1.5940437134670211E-2</v>
      </c>
      <c r="H28" s="19">
        <f t="shared" si="13"/>
        <v>1.8333333333333326</v>
      </c>
      <c r="I28" s="81">
        <f t="shared" si="0"/>
        <v>6571.8017109920238</v>
      </c>
      <c r="J28" s="81">
        <f t="shared" si="6"/>
        <v>9015.6067991382552</v>
      </c>
      <c r="O28" s="19">
        <f t="shared" si="14"/>
        <v>1.8333333333333326</v>
      </c>
      <c r="P28" s="10">
        <f t="shared" si="7"/>
        <v>0.91045707496863337</v>
      </c>
      <c r="Q28" s="10">
        <f t="shared" si="8"/>
        <v>0.95520114911628839</v>
      </c>
      <c r="R28" s="10">
        <f t="shared" si="9"/>
        <v>1.7432002325608931E-2</v>
      </c>
      <c r="S28" s="10">
        <f t="shared" si="10"/>
        <v>0.86966964423109328</v>
      </c>
      <c r="T28" s="10">
        <f t="shared" si="11"/>
        <v>1.5871089848220322E-2</v>
      </c>
      <c r="V28" s="19">
        <v>1.75</v>
      </c>
      <c r="W28" s="12">
        <v>5935.899278332563</v>
      </c>
      <c r="X28" s="12">
        <f t="shared" si="33"/>
        <v>484.27334732565134</v>
      </c>
      <c r="Y28" s="12">
        <f t="shared" si="34"/>
        <v>24.213667366282568</v>
      </c>
      <c r="Z28" s="12">
        <f t="shared" si="18"/>
        <v>36.163681842059766</v>
      </c>
      <c r="AA28" s="12">
        <f t="shared" si="19"/>
        <v>41.553972421115581</v>
      </c>
      <c r="AB28" s="12">
        <f t="shared" si="20"/>
        <v>7.5469850389408251</v>
      </c>
      <c r="AC28" s="12">
        <f t="shared" si="21"/>
        <v>124.92186421141677</v>
      </c>
      <c r="AD28" s="12">
        <f t="shared" si="22"/>
        <v>4.2738793133028352</v>
      </c>
      <c r="AE28" s="12">
        <f t="shared" si="23"/>
        <v>6234.6348975923529</v>
      </c>
      <c r="AF28" s="81">
        <f t="shared" si="35"/>
        <v>19.191041556862729</v>
      </c>
      <c r="AH28" s="12">
        <v>9145.851473132434</v>
      </c>
      <c r="AM28" s="19">
        <f t="shared" si="24"/>
        <v>1.8333333333333326</v>
      </c>
      <c r="AN28" s="12">
        <v>9080.9429270182573</v>
      </c>
      <c r="AO28" s="12">
        <f t="shared" si="25"/>
        <v>51.344971564090827</v>
      </c>
      <c r="AP28" s="12">
        <f t="shared" si="26"/>
        <v>124.84388012699577</v>
      </c>
      <c r="AQ28" s="12">
        <f t="shared" si="27"/>
        <v>8993.095932448181</v>
      </c>
      <c r="AR28" s="12">
        <f t="shared" si="28"/>
        <v>14.348086007172242</v>
      </c>
      <c r="AW28" s="19">
        <v>1.75</v>
      </c>
      <c r="AX28" s="12">
        <v>19.191041556862729</v>
      </c>
      <c r="AY28" s="5">
        <f t="shared" si="29"/>
        <v>0.94333544987349216</v>
      </c>
      <c r="AZ28" s="12">
        <f t="shared" si="36"/>
        <v>14.450642912301191</v>
      </c>
      <c r="BA28" s="5">
        <f t="shared" si="30"/>
        <v>1.5787949254443712E-2</v>
      </c>
      <c r="BB28" s="12">
        <f t="shared" si="31"/>
        <v>18.331735837577483</v>
      </c>
      <c r="BC28" s="5">
        <f t="shared" si="15"/>
        <v>0.78303068154375965</v>
      </c>
      <c r="BD28" s="12">
        <f t="shared" si="16"/>
        <v>14.35431160677846</v>
      </c>
      <c r="BE28" s="5">
        <f t="shared" si="17"/>
        <v>0.73650931230810579</v>
      </c>
      <c r="BF28" s="12">
        <f t="shared" si="32"/>
        <v>-752.75354816998095</v>
      </c>
    </row>
    <row r="29" spans="1:58">
      <c r="A29" s="19">
        <f t="shared" si="12"/>
        <v>1.9166666666666659</v>
      </c>
      <c r="B29" s="10">
        <f t="shared" si="1"/>
        <v>0.91072482882870598</v>
      </c>
      <c r="C29" s="10">
        <f t="shared" si="2"/>
        <v>0.95321321820267879</v>
      </c>
      <c r="D29" s="10">
        <f t="shared" si="3"/>
        <v>1.8182655632513089E-2</v>
      </c>
      <c r="E29" s="10">
        <f t="shared" si="4"/>
        <v>0.86811494498489461</v>
      </c>
      <c r="F29" s="10">
        <f t="shared" si="5"/>
        <v>1.6559395938571791E-2</v>
      </c>
      <c r="H29" s="19">
        <f t="shared" si="13"/>
        <v>1.9166666666666659</v>
      </c>
      <c r="I29" s="81">
        <f t="shared" si="0"/>
        <v>6892.7797820651322</v>
      </c>
      <c r="J29" s="81">
        <f t="shared" si="6"/>
        <v>8949.8402728191631</v>
      </c>
      <c r="O29" s="19">
        <f t="shared" si="14"/>
        <v>1.9166666666666659</v>
      </c>
      <c r="P29" s="10">
        <f t="shared" si="7"/>
        <v>0.90658312942595276</v>
      </c>
      <c r="Q29" s="10">
        <f t="shared" si="8"/>
        <v>0.95321321820267879</v>
      </c>
      <c r="R29" s="10">
        <f t="shared" si="9"/>
        <v>1.8182655632513089E-2</v>
      </c>
      <c r="S29" s="10">
        <f t="shared" si="10"/>
        <v>0.86416702236836807</v>
      </c>
      <c r="T29" s="10">
        <f t="shared" si="11"/>
        <v>1.6484088844598142E-2</v>
      </c>
      <c r="V29" s="19">
        <v>1.8333333333333326</v>
      </c>
      <c r="W29" s="12">
        <v>6252.8457940243725</v>
      </c>
      <c r="X29" s="12">
        <f t="shared" si="33"/>
        <v>484.27334732565134</v>
      </c>
      <c r="Y29" s="12">
        <f t="shared" si="34"/>
        <v>24.213667366282568</v>
      </c>
      <c r="Z29" s="12">
        <f t="shared" si="18"/>
        <v>37.955743521812785</v>
      </c>
      <c r="AA29" s="12">
        <f t="shared" si="19"/>
        <v>41.553972421115581</v>
      </c>
      <c r="AB29" s="12">
        <f t="shared" si="20"/>
        <v>7.4926855258202636</v>
      </c>
      <c r="AC29" s="12">
        <f t="shared" si="21"/>
        <v>124.92186421141677</v>
      </c>
      <c r="AD29" s="12">
        <f t="shared" si="22"/>
        <v>4.484869147349511</v>
      </c>
      <c r="AE29" s="12">
        <f t="shared" si="23"/>
        <v>6552.6618818209472</v>
      </c>
      <c r="AF29" s="81">
        <f t="shared" si="35"/>
        <v>19.745944378904824</v>
      </c>
      <c r="AH29" s="12">
        <v>9080.9429270182573</v>
      </c>
      <c r="AM29" s="19">
        <f t="shared" si="24"/>
        <v>1.9166666666666659</v>
      </c>
      <c r="AN29" s="12">
        <v>9015.6067991382552</v>
      </c>
      <c r="AO29" s="12">
        <f t="shared" si="25"/>
        <v>50.975551598007193</v>
      </c>
      <c r="AP29" s="12">
        <f t="shared" si="26"/>
        <v>124.84388012699577</v>
      </c>
      <c r="AQ29" s="12">
        <f t="shared" si="27"/>
        <v>8927.4936170956516</v>
      </c>
      <c r="AR29" s="12">
        <f t="shared" si="28"/>
        <v>14.244853513615453</v>
      </c>
      <c r="AW29" s="19">
        <v>1.8333333333333326</v>
      </c>
      <c r="AX29" s="12">
        <v>19.745944378904824</v>
      </c>
      <c r="AY29" s="5">
        <f t="shared" si="29"/>
        <v>0.94058806336434209</v>
      </c>
      <c r="AZ29" s="12">
        <f t="shared" si="36"/>
        <v>14.348086007172242</v>
      </c>
      <c r="BA29" s="5">
        <f t="shared" si="30"/>
        <v>1.6532515382918334E-2</v>
      </c>
      <c r="BB29" s="12">
        <f t="shared" si="31"/>
        <v>18.810009535283118</v>
      </c>
      <c r="BC29" s="5">
        <f t="shared" si="15"/>
        <v>0.77396376039179271</v>
      </c>
      <c r="BD29" s="12">
        <f t="shared" si="16"/>
        <v>14.558265712933199</v>
      </c>
      <c r="BE29" s="5">
        <f t="shared" si="17"/>
        <v>0.72586088980617613</v>
      </c>
      <c r="BF29" s="12">
        <f t="shared" si="32"/>
        <v>-738.19528245704771</v>
      </c>
    </row>
    <row r="30" spans="1:58">
      <c r="A30" s="19">
        <f t="shared" si="12"/>
        <v>1.9999999999999991</v>
      </c>
      <c r="B30" s="10">
        <f t="shared" si="1"/>
        <v>0.90702947845804982</v>
      </c>
      <c r="C30" s="10">
        <f t="shared" si="2"/>
        <v>0.95122942450071402</v>
      </c>
      <c r="D30" s="10">
        <f t="shared" si="3"/>
        <v>1.8929781832930592E-2</v>
      </c>
      <c r="E30" s="10">
        <f t="shared" si="4"/>
        <v>0.86279312879883352</v>
      </c>
      <c r="F30" s="10">
        <f t="shared" si="5"/>
        <v>1.7169870143247702E-2</v>
      </c>
      <c r="H30" s="19">
        <f t="shared" si="13"/>
        <v>1.9999999999999991</v>
      </c>
      <c r="I30" s="81">
        <f t="shared" si="0"/>
        <v>7215.7928410966006</v>
      </c>
      <c r="J30" s="81">
        <f t="shared" si="6"/>
        <v>8883.6405128330243</v>
      </c>
      <c r="O30" s="19">
        <f t="shared" si="14"/>
        <v>1.9999999999999991</v>
      </c>
      <c r="P30" s="10">
        <f t="shared" si="7"/>
        <v>0.90272566731173942</v>
      </c>
      <c r="Q30" s="10">
        <f t="shared" si="8"/>
        <v>0.95122942450071402</v>
      </c>
      <c r="R30" s="10">
        <f t="shared" si="9"/>
        <v>1.8929781832930592E-2</v>
      </c>
      <c r="S30" s="10">
        <f t="shared" si="10"/>
        <v>0.85869921699896889</v>
      </c>
      <c r="T30" s="10">
        <f t="shared" si="11"/>
        <v>1.708839993719791E-2</v>
      </c>
      <c r="V30" s="19">
        <v>1.9166666666666659</v>
      </c>
      <c r="W30" s="12">
        <v>6571.8017109920129</v>
      </c>
      <c r="X30" s="12">
        <f t="shared" si="33"/>
        <v>484.27334732565134</v>
      </c>
      <c r="Y30" s="12">
        <f t="shared" si="34"/>
        <v>24.213667366282568</v>
      </c>
      <c r="Z30" s="12">
        <f t="shared" si="18"/>
        <v>39.759166648520988</v>
      </c>
      <c r="AA30" s="12">
        <f t="shared" si="19"/>
        <v>41.553972421115581</v>
      </c>
      <c r="AB30" s="12">
        <f t="shared" si="20"/>
        <v>7.4380283174023409</v>
      </c>
      <c r="AC30" s="12">
        <f t="shared" si="21"/>
        <v>124.92186421141677</v>
      </c>
      <c r="AD30" s="12">
        <f t="shared" si="22"/>
        <v>4.6971966305601009</v>
      </c>
      <c r="AE30" s="12">
        <f t="shared" si="23"/>
        <v>6872.7051307983565</v>
      </c>
      <c r="AF30" s="81">
        <f t="shared" si="35"/>
        <v>20.304365221051739</v>
      </c>
      <c r="AH30" s="12">
        <v>9015.6067991382552</v>
      </c>
      <c r="AM30" s="19">
        <f t="shared" si="24"/>
        <v>1.9999999999999991</v>
      </c>
      <c r="AN30" s="12">
        <v>8949.8402728191631</v>
      </c>
      <c r="AO30" s="12">
        <f t="shared" si="25"/>
        <v>50.603698096574426</v>
      </c>
      <c r="AP30" s="12">
        <f t="shared" si="26"/>
        <v>124.84388012699577</v>
      </c>
      <c r="AQ30" s="12">
        <f t="shared" si="27"/>
        <v>8861.4591498075151</v>
      </c>
      <c r="AR30" s="12">
        <f t="shared" si="28"/>
        <v>14.140940981227686</v>
      </c>
      <c r="AW30" s="19">
        <v>1.9166666666666659</v>
      </c>
      <c r="AX30" s="12">
        <v>20.304365221051739</v>
      </c>
      <c r="AY30" s="5">
        <f t="shared" si="29"/>
        <v>0.93784867839126451</v>
      </c>
      <c r="AZ30" s="12">
        <f t="shared" si="36"/>
        <v>14.244853513615453</v>
      </c>
      <c r="BA30" s="5">
        <f t="shared" si="30"/>
        <v>1.7272939124438835E-2</v>
      </c>
      <c r="BB30" s="12">
        <f t="shared" si="31"/>
        <v>19.28847257571416</v>
      </c>
      <c r="BC30" s="5">
        <f t="shared" si="15"/>
        <v>0.76500182753864154</v>
      </c>
      <c r="BD30" s="12">
        <f t="shared" si="16"/>
        <v>14.755716770850301</v>
      </c>
      <c r="BE30" s="5">
        <f t="shared" si="17"/>
        <v>0.71536642177554044</v>
      </c>
      <c r="BF30" s="12">
        <f t="shared" si="32"/>
        <v>-723.4395656861974</v>
      </c>
    </row>
    <row r="31" spans="1:58">
      <c r="A31" s="19">
        <f t="shared" si="12"/>
        <v>2.0833333333333326</v>
      </c>
      <c r="B31" s="10">
        <f t="shared" si="1"/>
        <v>0.90334912231389286</v>
      </c>
      <c r="C31" s="10">
        <f t="shared" si="2"/>
        <v>0.9492497594001752</v>
      </c>
      <c r="D31" s="10">
        <f t="shared" si="3"/>
        <v>1.9673393173398779E-2</v>
      </c>
      <c r="E31" s="10">
        <f t="shared" si="4"/>
        <v>0.85750393701082228</v>
      </c>
      <c r="F31" s="10">
        <f t="shared" si="5"/>
        <v>1.7771942456125917E-2</v>
      </c>
      <c r="H31" s="19">
        <f t="shared" si="13"/>
        <v>2.0833333333333326</v>
      </c>
      <c r="I31" s="81">
        <f t="shared" si="0"/>
        <v>7540.8538034778912</v>
      </c>
      <c r="J31" s="81">
        <f t="shared" si="6"/>
        <v>8817.0046652749588</v>
      </c>
      <c r="O31" s="19">
        <f t="shared" si="14"/>
        <v>2.0833333333333326</v>
      </c>
      <c r="P31" s="10">
        <f t="shared" si="7"/>
        <v>0.89888461848989787</v>
      </c>
      <c r="Q31" s="10">
        <f t="shared" si="8"/>
        <v>0.9492497594001752</v>
      </c>
      <c r="R31" s="10">
        <f t="shared" si="9"/>
        <v>1.9673393173398779E-2</v>
      </c>
      <c r="S31" s="10">
        <f t="shared" si="10"/>
        <v>0.8532660078300538</v>
      </c>
      <c r="T31" s="10">
        <f t="shared" si="11"/>
        <v>1.7684110517072322E-2</v>
      </c>
      <c r="V31" s="19">
        <v>2</v>
      </c>
      <c r="W31" s="12">
        <v>6892.7797820651222</v>
      </c>
      <c r="X31" s="12">
        <f t="shared" si="33"/>
        <v>484.27334732565134</v>
      </c>
      <c r="Y31" s="12">
        <f t="shared" si="34"/>
        <v>24.213667366282568</v>
      </c>
      <c r="Z31" s="12">
        <f t="shared" si="18"/>
        <v>41.574023328537251</v>
      </c>
      <c r="AA31" s="12">
        <f t="shared" si="19"/>
        <v>41.553972421115581</v>
      </c>
      <c r="AB31" s="12">
        <f t="shared" si="20"/>
        <v>7.3830110573873711</v>
      </c>
      <c r="AC31" s="12">
        <f t="shared" si="21"/>
        <v>124.92186421141677</v>
      </c>
      <c r="AD31" s="12">
        <f t="shared" si="22"/>
        <v>4.910870252434492</v>
      </c>
      <c r="AE31" s="12">
        <f t="shared" si="23"/>
        <v>7194.7774409999356</v>
      </c>
      <c r="AF31" s="81">
        <f t="shared" si="35"/>
        <v>20.866326410738111</v>
      </c>
      <c r="AH31" s="12">
        <v>8949.8402728191631</v>
      </c>
      <c r="AM31" s="19">
        <f t="shared" si="24"/>
        <v>2.0833333333333326</v>
      </c>
      <c r="AN31" s="12">
        <v>8883.6405128330243</v>
      </c>
      <c r="AO31" s="12">
        <f t="shared" si="25"/>
        <v>50.229395029001466</v>
      </c>
      <c r="AP31" s="12">
        <f t="shared" si="26"/>
        <v>124.84388012699577</v>
      </c>
      <c r="AQ31" s="12">
        <f t="shared" si="27"/>
        <v>8794.9896838047443</v>
      </c>
      <c r="AR31" s="12">
        <f t="shared" si="28"/>
        <v>14.03634393028733</v>
      </c>
      <c r="AW31" s="19">
        <v>2</v>
      </c>
      <c r="AX31" s="12">
        <v>20.866326410738111</v>
      </c>
      <c r="AY31" s="5">
        <f t="shared" si="29"/>
        <v>0.93511727165044722</v>
      </c>
      <c r="AZ31" s="12">
        <f t="shared" si="36"/>
        <v>14.140940981227686</v>
      </c>
      <c r="BA31" s="5">
        <f t="shared" si="30"/>
        <v>1.8009237471950046E-2</v>
      </c>
      <c r="BB31" s="12">
        <f t="shared" si="31"/>
        <v>19.767129786784853</v>
      </c>
      <c r="BC31" s="5">
        <f t="shared" si="15"/>
        <v>0.7561436672967865</v>
      </c>
      <c r="BD31" s="12">
        <f t="shared" si="16"/>
        <v>14.946790008911044</v>
      </c>
      <c r="BE31" s="5">
        <f t="shared" si="17"/>
        <v>0.70502368234854318</v>
      </c>
      <c r="BF31" s="12">
        <f t="shared" si="32"/>
        <v>-708.49277567728632</v>
      </c>
    </row>
    <row r="32" spans="1:58">
      <c r="A32" s="19">
        <f t="shared" si="12"/>
        <v>2.1666666666666661</v>
      </c>
      <c r="B32" s="10">
        <f t="shared" si="1"/>
        <v>0.89968369955577199</v>
      </c>
      <c r="C32" s="10">
        <f t="shared" si="2"/>
        <v>0.94727421430876291</v>
      </c>
      <c r="D32" s="10">
        <f t="shared" si="3"/>
        <v>2.0413501862718952E-2</v>
      </c>
      <c r="E32" s="10">
        <f t="shared" si="4"/>
        <v>0.85224716962309499</v>
      </c>
      <c r="F32" s="10">
        <f t="shared" si="5"/>
        <v>1.8365694876739631E-2</v>
      </c>
      <c r="H32" s="19">
        <f t="shared" si="13"/>
        <v>2.1666666666666661</v>
      </c>
      <c r="I32" s="81">
        <f t="shared" si="0"/>
        <v>7867.9756666576441</v>
      </c>
      <c r="J32" s="81">
        <f t="shared" si="6"/>
        <v>8749.9298574401364</v>
      </c>
      <c r="O32" s="19">
        <f t="shared" si="14"/>
        <v>2.1666666666666661</v>
      </c>
      <c r="P32" s="10">
        <f t="shared" si="7"/>
        <v>0.8950599131227579</v>
      </c>
      <c r="Q32" s="10">
        <f t="shared" si="8"/>
        <v>0.94727421430876291</v>
      </c>
      <c r="R32" s="10">
        <f t="shared" si="9"/>
        <v>2.0413501862718952E-2</v>
      </c>
      <c r="S32" s="10">
        <f t="shared" si="10"/>
        <v>0.84786717596263006</v>
      </c>
      <c r="T32" s="10">
        <f t="shared" si="11"/>
        <v>1.8271307203776482E-2</v>
      </c>
      <c r="V32" s="19">
        <v>2.0833333333333326</v>
      </c>
      <c r="W32" s="12">
        <v>7215.7928410965915</v>
      </c>
      <c r="X32" s="12">
        <f t="shared" si="33"/>
        <v>484.27334732565134</v>
      </c>
      <c r="Y32" s="12">
        <f t="shared" si="34"/>
        <v>24.213667366282568</v>
      </c>
      <c r="Z32" s="12">
        <f t="shared" si="18"/>
        <v>43.400386126331696</v>
      </c>
      <c r="AA32" s="12">
        <f t="shared" si="19"/>
        <v>41.553972421115581</v>
      </c>
      <c r="AB32" s="12">
        <f t="shared" si="20"/>
        <v>7.3276313739536612</v>
      </c>
      <c r="AC32" s="12">
        <f t="shared" si="21"/>
        <v>124.92186421141677</v>
      </c>
      <c r="AD32" s="12">
        <f t="shared" si="22"/>
        <v>5.1258985564093758</v>
      </c>
      <c r="AE32" s="12">
        <f t="shared" si="23"/>
        <v>7518.8916902021365</v>
      </c>
      <c r="AF32" s="81">
        <f t="shared" si="35"/>
        <v>21.431850417260648</v>
      </c>
      <c r="AH32" s="12">
        <v>8883.6405128330243</v>
      </c>
      <c r="AM32" s="19">
        <f t="shared" si="24"/>
        <v>2.1666666666666661</v>
      </c>
      <c r="AN32" s="12">
        <v>8817.0046652749588</v>
      </c>
      <c r="AO32" s="12">
        <f t="shared" si="25"/>
        <v>49.852626258895192</v>
      </c>
      <c r="AP32" s="12">
        <f t="shared" si="26"/>
        <v>124.84388012699577</v>
      </c>
      <c r="AQ32" s="12">
        <f t="shared" si="27"/>
        <v>8728.0823535552991</v>
      </c>
      <c r="AR32" s="12">
        <f t="shared" si="28"/>
        <v>13.931057851559672</v>
      </c>
      <c r="AW32" s="19">
        <v>2.0833333333333326</v>
      </c>
      <c r="AX32" s="12">
        <v>21.431850417260648</v>
      </c>
      <c r="AY32" s="5">
        <f t="shared" si="29"/>
        <v>0.93239381990594827</v>
      </c>
      <c r="AZ32" s="12">
        <f t="shared" si="36"/>
        <v>14.03634393028733</v>
      </c>
      <c r="BA32" s="5">
        <f t="shared" si="30"/>
        <v>1.8741427356600893E-2</v>
      </c>
      <c r="BB32" s="12">
        <f t="shared" si="31"/>
        <v>20.245985998324294</v>
      </c>
      <c r="BC32" s="5">
        <f t="shared" si="15"/>
        <v>0.7473880780554778</v>
      </c>
      <c r="BD32" s="12">
        <f t="shared" si="16"/>
        <v>15.131608563625708</v>
      </c>
      <c r="BE32" s="5">
        <f t="shared" si="17"/>
        <v>0.69483047783903529</v>
      </c>
      <c r="BF32" s="12">
        <f t="shared" si="32"/>
        <v>-693.3611671136606</v>
      </c>
    </row>
    <row r="33" spans="1:58">
      <c r="A33" s="19">
        <f t="shared" si="12"/>
        <v>2.2499999999999996</v>
      </c>
      <c r="B33" s="10">
        <f t="shared" si="1"/>
        <v>0.89603314959008984</v>
      </c>
      <c r="C33" s="10">
        <f t="shared" si="2"/>
        <v>0.94530278065205953</v>
      </c>
      <c r="D33" s="10">
        <f t="shared" si="3"/>
        <v>2.1150120072063849E-2</v>
      </c>
      <c r="E33" s="10">
        <f t="shared" si="4"/>
        <v>0.84702262786393478</v>
      </c>
      <c r="F33" s="10">
        <f t="shared" si="5"/>
        <v>1.895120870237995E-2</v>
      </c>
      <c r="H33" s="19">
        <f t="shared" si="13"/>
        <v>2.2499999999999996</v>
      </c>
      <c r="I33" s="81">
        <f t="shared" si="0"/>
        <v>8197.1715106635766</v>
      </c>
      <c r="J33" s="81">
        <f t="shared" si="6"/>
        <v>8682.413197699927</v>
      </c>
      <c r="O33" s="19">
        <f t="shared" si="14"/>
        <v>2.2499999999999996</v>
      </c>
      <c r="P33" s="10">
        <f t="shared" si="7"/>
        <v>0.89125148166980517</v>
      </c>
      <c r="Q33" s="10">
        <f t="shared" si="8"/>
        <v>0.94530278065205953</v>
      </c>
      <c r="R33" s="10">
        <f t="shared" si="9"/>
        <v>2.1150120072063849E-2</v>
      </c>
      <c r="S33" s="10">
        <f t="shared" si="10"/>
        <v>0.84250250388273484</v>
      </c>
      <c r="T33" s="10">
        <f t="shared" si="11"/>
        <v>1.8850075851721191E-2</v>
      </c>
      <c r="V33" s="19">
        <v>2.1666666666666656</v>
      </c>
      <c r="W33" s="12">
        <v>7540.8538034778821</v>
      </c>
      <c r="X33" s="12">
        <f t="shared" si="33"/>
        <v>484.27334732565134</v>
      </c>
      <c r="Y33" s="12">
        <f t="shared" si="34"/>
        <v>24.213667366282568</v>
      </c>
      <c r="Z33" s="12">
        <f t="shared" si="18"/>
        <v>45.238328067405391</v>
      </c>
      <c r="AA33" s="12">
        <f t="shared" si="19"/>
        <v>41.553972421115581</v>
      </c>
      <c r="AB33" s="12">
        <f t="shared" si="20"/>
        <v>7.2718868796552645</v>
      </c>
      <c r="AC33" s="12">
        <f t="shared" si="21"/>
        <v>124.92186421141677</v>
      </c>
      <c r="AD33" s="12">
        <f t="shared" si="22"/>
        <v>5.3422901402012961</v>
      </c>
      <c r="AE33" s="12">
        <f t="shared" si="23"/>
        <v>7845.0608379996065</v>
      </c>
      <c r="AF33" s="81">
        <f t="shared" si="35"/>
        <v>22.000959852661254</v>
      </c>
      <c r="AH33" s="12">
        <v>8817.0046652749588</v>
      </c>
      <c r="AM33" s="19">
        <f t="shared" si="24"/>
        <v>2.2499999999999996</v>
      </c>
      <c r="AN33" s="12">
        <v>8749.9298574401364</v>
      </c>
      <c r="AO33" s="12">
        <f t="shared" si="25"/>
        <v>49.473375543564835</v>
      </c>
      <c r="AP33" s="12">
        <f t="shared" si="26"/>
        <v>124.84388012699577</v>
      </c>
      <c r="AQ33" s="12">
        <f t="shared" si="27"/>
        <v>8660.7342746505929</v>
      </c>
      <c r="AR33" s="12">
        <f t="shared" si="28"/>
        <v>13.825078206113176</v>
      </c>
      <c r="AW33" s="19">
        <v>2.1666666666666656</v>
      </c>
      <c r="AX33" s="12">
        <v>22.000959852661254</v>
      </c>
      <c r="AY33" s="5">
        <f t="shared" si="29"/>
        <v>0.92967829998949858</v>
      </c>
      <c r="AZ33" s="12">
        <f t="shared" si="36"/>
        <v>13.931057851559672</v>
      </c>
      <c r="BA33" s="5">
        <f t="shared" si="30"/>
        <v>1.9469525647954455E-2</v>
      </c>
      <c r="BB33" s="12">
        <f t="shared" si="31"/>
        <v>20.725046042103401</v>
      </c>
      <c r="BC33" s="5">
        <f t="shared" si="15"/>
        <v>0.738733872117737</v>
      </c>
      <c r="BD33" s="12">
        <f t="shared" si="16"/>
        <v>15.310293512501424</v>
      </c>
      <c r="BE33" s="5">
        <f t="shared" si="17"/>
        <v>0.68478464627709479</v>
      </c>
      <c r="BF33" s="12">
        <f t="shared" si="32"/>
        <v>-678.0508736011592</v>
      </c>
    </row>
    <row r="34" spans="1:58">
      <c r="A34" s="19">
        <f t="shared" si="12"/>
        <v>2.333333333333333</v>
      </c>
      <c r="B34" s="10">
        <f t="shared" si="1"/>
        <v>0.89239741206911283</v>
      </c>
      <c r="C34" s="10">
        <f t="shared" si="2"/>
        <v>0.94333544987349216</v>
      </c>
      <c r="D34" s="10">
        <f t="shared" si="3"/>
        <v>2.1883259935087773E-2</v>
      </c>
      <c r="E34" s="10">
        <f t="shared" si="4"/>
        <v>0.84183011418015674</v>
      </c>
      <c r="F34" s="10">
        <f t="shared" si="5"/>
        <v>1.9528564533708031E-2</v>
      </c>
      <c r="H34" s="19">
        <f t="shared" si="13"/>
        <v>2.333333333333333</v>
      </c>
      <c r="I34" s="81">
        <f t="shared" si="0"/>
        <v>8528.4544986277197</v>
      </c>
      <c r="J34" s="81">
        <f t="shared" si="6"/>
        <v>8614.4517753772434</v>
      </c>
      <c r="O34" s="19">
        <f t="shared" si="14"/>
        <v>2.333333333333333</v>
      </c>
      <c r="P34" s="10">
        <f t="shared" si="7"/>
        <v>0.88745925488641608</v>
      </c>
      <c r="Q34" s="10">
        <f t="shared" si="8"/>
        <v>0.94333544987349216</v>
      </c>
      <c r="R34" s="10">
        <f t="shared" si="9"/>
        <v>2.1883259935087773E-2</v>
      </c>
      <c r="S34" s="10">
        <f t="shared" si="10"/>
        <v>0.83717177545267141</v>
      </c>
      <c r="T34" s="10">
        <f t="shared" si="11"/>
        <v>1.9420501556478759E-2</v>
      </c>
      <c r="V34" s="19">
        <v>2.25</v>
      </c>
      <c r="W34" s="12">
        <v>7867.9756666576359</v>
      </c>
      <c r="X34" s="12">
        <f t="shared" si="33"/>
        <v>484.27334732565134</v>
      </c>
      <c r="Y34" s="12">
        <f t="shared" si="34"/>
        <v>24.213667366282568</v>
      </c>
      <c r="Z34" s="12">
        <f t="shared" si="18"/>
        <v>47.087922641222619</v>
      </c>
      <c r="AA34" s="12">
        <f t="shared" si="19"/>
        <v>41.553972421115581</v>
      </c>
      <c r="AB34" s="12">
        <f t="shared" si="20"/>
        <v>7.2157751713190539</v>
      </c>
      <c r="AC34" s="12">
        <f t="shared" si="21"/>
        <v>124.92186421141677</v>
      </c>
      <c r="AD34" s="12">
        <f t="shared" si="22"/>
        <v>5.5600536561518812</v>
      </c>
      <c r="AE34" s="12">
        <f t="shared" si="23"/>
        <v>8173.297926325562</v>
      </c>
      <c r="AF34" s="81">
        <f t="shared" si="35"/>
        <v>22.573677472662894</v>
      </c>
      <c r="AH34" s="12">
        <v>8749.9298574401364</v>
      </c>
      <c r="AM34" s="19">
        <f t="shared" si="24"/>
        <v>2.333333333333333</v>
      </c>
      <c r="AN34" s="12">
        <v>8682.413197699927</v>
      </c>
      <c r="AO34" s="12">
        <f t="shared" si="25"/>
        <v>49.091626533321715</v>
      </c>
      <c r="AP34" s="12">
        <f t="shared" si="26"/>
        <v>124.84388012699577</v>
      </c>
      <c r="AQ34" s="12">
        <f t="shared" si="27"/>
        <v>8592.9425436811434</v>
      </c>
      <c r="AR34" s="12">
        <f t="shared" si="28"/>
        <v>13.718400425110303</v>
      </c>
      <c r="AW34" s="19">
        <v>2.25</v>
      </c>
      <c r="AX34" s="12">
        <v>22.573677472662894</v>
      </c>
      <c r="AY34" s="5">
        <f t="shared" si="29"/>
        <v>0.92697068880030464</v>
      </c>
      <c r="AZ34" s="12">
        <f t="shared" si="36"/>
        <v>13.825078206113176</v>
      </c>
      <c r="BA34" s="5">
        <f t="shared" si="30"/>
        <v>2.0193549154197576E-2</v>
      </c>
      <c r="BB34" s="12">
        <f t="shared" si="31"/>
        <v>21.204314751906015</v>
      </c>
      <c r="BC34" s="5">
        <f t="shared" si="15"/>
        <v>0.7301798755392459</v>
      </c>
      <c r="BD34" s="12">
        <f t="shared" si="16"/>
        <v>15.48296390644173</v>
      </c>
      <c r="BE34" s="5">
        <f t="shared" si="17"/>
        <v>0.67488405695047593</v>
      </c>
      <c r="BF34" s="12">
        <f t="shared" si="32"/>
        <v>-662.56790969471751</v>
      </c>
    </row>
    <row r="35" spans="1:58">
      <c r="A35" s="19">
        <f t="shared" si="12"/>
        <v>2.4166666666666665</v>
      </c>
      <c r="B35" s="10">
        <f t="shared" si="1"/>
        <v>0.88877642688997438</v>
      </c>
      <c r="C35" s="10">
        <f t="shared" si="2"/>
        <v>0.94137221343429578</v>
      </c>
      <c r="D35" s="10">
        <f t="shared" si="3"/>
        <v>2.2612933548034508E-2</v>
      </c>
      <c r="E35" s="10">
        <f t="shared" si="4"/>
        <v>0.83666943222963974</v>
      </c>
      <c r="F35" s="10">
        <f t="shared" si="5"/>
        <v>2.0097842280322541E-2</v>
      </c>
      <c r="H35" s="19">
        <f t="shared" si="13"/>
        <v>2.4166666666666665</v>
      </c>
      <c r="I35" s="81">
        <f t="shared" si="0"/>
        <v>8861.8378773149852</v>
      </c>
      <c r="J35" s="81">
        <f t="shared" si="6"/>
        <v>8546.0426606210603</v>
      </c>
      <c r="O35" s="19">
        <f t="shared" si="14"/>
        <v>2.4166666666666665</v>
      </c>
      <c r="P35" s="10">
        <f t="shared" si="7"/>
        <v>0.88368316382259948</v>
      </c>
      <c r="Q35" s="10">
        <f t="shared" si="8"/>
        <v>0.94137221343429578</v>
      </c>
      <c r="R35" s="10">
        <f t="shared" si="9"/>
        <v>2.2612933548034508E-2</v>
      </c>
      <c r="S35" s="10">
        <f t="shared" si="10"/>
        <v>0.83187477590230186</v>
      </c>
      <c r="T35" s="10">
        <f t="shared" si="11"/>
        <v>1.9982668661037335E-2</v>
      </c>
      <c r="V35" s="19">
        <v>2.3333333333333326</v>
      </c>
      <c r="W35" s="12">
        <v>8197.1715106635693</v>
      </c>
      <c r="X35" s="12">
        <f t="shared" si="33"/>
        <v>484.27334732565134</v>
      </c>
      <c r="Y35" s="12">
        <f t="shared" si="34"/>
        <v>24.213667366282568</v>
      </c>
      <c r="Z35" s="12">
        <f t="shared" si="18"/>
        <v>48.949243804161753</v>
      </c>
      <c r="AA35" s="12">
        <f t="shared" si="19"/>
        <v>41.553972421115581</v>
      </c>
      <c r="AB35" s="12">
        <f t="shared" si="20"/>
        <v>7.1592938299411228</v>
      </c>
      <c r="AC35" s="12">
        <f t="shared" si="21"/>
        <v>124.92186421141677</v>
      </c>
      <c r="AD35" s="12">
        <f t="shared" si="22"/>
        <v>5.7791978115752691</v>
      </c>
      <c r="AE35" s="12">
        <f t="shared" si="23"/>
        <v>8503.6160799755016</v>
      </c>
      <c r="AF35" s="81">
        <f t="shared" si="35"/>
        <v>23.15002617754908</v>
      </c>
      <c r="AH35" s="12">
        <v>8682.413197699927</v>
      </c>
      <c r="AM35" s="19">
        <f t="shared" si="24"/>
        <v>2.4166666666666665</v>
      </c>
      <c r="AN35" s="12">
        <v>8614.4517753772434</v>
      </c>
      <c r="AO35" s="12">
        <f t="shared" si="25"/>
        <v>48.707362770774409</v>
      </c>
      <c r="AP35" s="12">
        <f t="shared" si="26"/>
        <v>124.84388012699577</v>
      </c>
      <c r="AQ35" s="12">
        <f t="shared" si="27"/>
        <v>8524.7042381114043</v>
      </c>
      <c r="AR35" s="12">
        <f t="shared" si="28"/>
        <v>13.611019909618335</v>
      </c>
      <c r="AW35" s="19">
        <v>2.3333333333333326</v>
      </c>
      <c r="AX35" s="12">
        <v>23.15002617754908</v>
      </c>
      <c r="AY35" s="5">
        <f t="shared" si="29"/>
        <v>0.92427096330485226</v>
      </c>
      <c r="AZ35" s="12">
        <f t="shared" si="36"/>
        <v>13.718400425110303</v>
      </c>
      <c r="BA35" s="5">
        <f t="shared" si="30"/>
        <v>2.0913514622350471E-2</v>
      </c>
      <c r="BB35" s="12">
        <f t="shared" si="31"/>
        <v>21.683796963541635</v>
      </c>
      <c r="BC35" s="5">
        <f t="shared" si="15"/>
        <v>0.72172492796910082</v>
      </c>
      <c r="BD35" s="12">
        <f t="shared" si="16"/>
        <v>15.649736801608693</v>
      </c>
      <c r="BE35" s="5">
        <f t="shared" si="17"/>
        <v>0.66512660995268602</v>
      </c>
      <c r="BF35" s="12">
        <f t="shared" si="32"/>
        <v>-646.91817289310882</v>
      </c>
    </row>
    <row r="36" spans="1:58">
      <c r="A36" s="19">
        <f t="shared" si="12"/>
        <v>2.5</v>
      </c>
      <c r="B36" s="10">
        <f t="shared" si="1"/>
        <v>0.88517013419368074</v>
      </c>
      <c r="C36" s="10">
        <f t="shared" si="2"/>
        <v>0.93941306281347581</v>
      </c>
      <c r="D36" s="10">
        <f t="shared" si="3"/>
        <v>2.33391529698459E-2</v>
      </c>
      <c r="E36" s="10">
        <f t="shared" si="4"/>
        <v>0.83154038687390097</v>
      </c>
      <c r="F36" s="10">
        <f t="shared" si="5"/>
        <v>2.0659121166285339E-2</v>
      </c>
      <c r="H36" s="19">
        <f t="shared" si="13"/>
        <v>2.5</v>
      </c>
      <c r="I36" s="81">
        <f t="shared" si="0"/>
        <v>9197.3349776551058</v>
      </c>
      <c r="J36" s="81">
        <f t="shared" si="6"/>
        <v>8477.1829042801073</v>
      </c>
      <c r="O36" s="19">
        <f t="shared" si="14"/>
        <v>2.5</v>
      </c>
      <c r="P36" s="10">
        <f t="shared" si="7"/>
        <v>0.87992313982174208</v>
      </c>
      <c r="Q36" s="10">
        <f t="shared" si="8"/>
        <v>0.93941306281347581</v>
      </c>
      <c r="R36" s="10">
        <f t="shared" si="9"/>
        <v>2.33391529698459E-2</v>
      </c>
      <c r="S36" s="10">
        <f t="shared" si="10"/>
        <v>0.82661129182039306</v>
      </c>
      <c r="T36" s="10">
        <f t="shared" si="11"/>
        <v>2.0536660762006741E-2</v>
      </c>
      <c r="V36" s="19">
        <v>2.4166666666666656</v>
      </c>
      <c r="W36" s="12">
        <v>8528.4544986277124</v>
      </c>
      <c r="X36" s="12">
        <f t="shared" si="33"/>
        <v>484.27334732565134</v>
      </c>
      <c r="Y36" s="12">
        <f t="shared" si="34"/>
        <v>24.213667366282568</v>
      </c>
      <c r="Z36" s="12">
        <f t="shared" si="18"/>
        <v>50.822365982485053</v>
      </c>
      <c r="AA36" s="12">
        <f t="shared" si="19"/>
        <v>41.553972421115581</v>
      </c>
      <c r="AB36" s="12">
        <f t="shared" si="20"/>
        <v>7.1024404205824956</v>
      </c>
      <c r="AC36" s="12">
        <f t="shared" si="21"/>
        <v>124.92186421141677</v>
      </c>
      <c r="AD36" s="12">
        <f t="shared" si="22"/>
        <v>5.9997313691077583</v>
      </c>
      <c r="AE36" s="12">
        <f t="shared" si="23"/>
        <v>8836.0285071342278</v>
      </c>
      <c r="AF36" s="81">
        <f t="shared" si="35"/>
        <v>23.730029013117019</v>
      </c>
      <c r="AH36" s="12">
        <v>8614.4517753772434</v>
      </c>
      <c r="AM36" s="19">
        <f t="shared" si="24"/>
        <v>2.5</v>
      </c>
      <c r="AN36" s="12">
        <v>8546.0426606210603</v>
      </c>
      <c r="AO36" s="12">
        <f t="shared" si="25"/>
        <v>48.320567690119262</v>
      </c>
      <c r="AP36" s="12">
        <f t="shared" si="26"/>
        <v>124.84388012699577</v>
      </c>
      <c r="AQ36" s="12">
        <f t="shared" si="27"/>
        <v>8456.0164161537759</v>
      </c>
      <c r="AR36" s="12">
        <f t="shared" si="28"/>
        <v>13.502932030409283</v>
      </c>
      <c r="AW36" s="19">
        <v>2.4166666666666656</v>
      </c>
      <c r="AX36" s="12">
        <v>23.730029013117019</v>
      </c>
      <c r="AY36" s="5">
        <f t="shared" si="29"/>
        <v>0.92157910053671033</v>
      </c>
      <c r="AZ36" s="12">
        <f t="shared" si="36"/>
        <v>13.611019909618335</v>
      </c>
      <c r="BA36" s="5">
        <f t="shared" si="30"/>
        <v>2.1629438738475892E-2</v>
      </c>
      <c r="BB36" s="12">
        <f t="shared" si="31"/>
        <v>22.163497514921691</v>
      </c>
      <c r="BC36" s="5">
        <f t="shared" si="15"/>
        <v>0.71336788249241068</v>
      </c>
      <c r="BD36" s="12">
        <f t="shared" si="16"/>
        <v>15.810727290845493</v>
      </c>
      <c r="BE36" s="5">
        <f t="shared" si="17"/>
        <v>0.65551023573759726</v>
      </c>
      <c r="BF36" s="12">
        <f t="shared" si="32"/>
        <v>-631.10744560226328</v>
      </c>
    </row>
    <row r="37" spans="1:58">
      <c r="A37" s="19">
        <f t="shared" si="12"/>
        <v>2.5833333333333335</v>
      </c>
      <c r="B37" s="10">
        <f t="shared" si="1"/>
        <v>0.8815784743641214</v>
      </c>
      <c r="C37" s="10">
        <f t="shared" si="2"/>
        <v>0.93745798950777115</v>
      </c>
      <c r="D37" s="10">
        <f t="shared" si="3"/>
        <v>2.4061930222268657E-2</v>
      </c>
      <c r="E37" s="10">
        <f t="shared" si="4"/>
        <v>0.82644278417071737</v>
      </c>
      <c r="F37" s="10">
        <f t="shared" si="5"/>
        <v>2.1212479735603546E-2</v>
      </c>
      <c r="H37" s="19">
        <f t="shared" si="13"/>
        <v>2.5833333333333335</v>
      </c>
      <c r="I37" s="81">
        <f t="shared" si="0"/>
        <v>9534.9592152779605</v>
      </c>
      <c r="J37" s="81">
        <f t="shared" si="6"/>
        <v>8407.8695377757267</v>
      </c>
      <c r="O37" s="19">
        <f t="shared" si="14"/>
        <v>2.5833333333333335</v>
      </c>
      <c r="P37" s="10">
        <f t="shared" si="7"/>
        <v>0.87617911451936159</v>
      </c>
      <c r="Q37" s="10">
        <f t="shared" si="8"/>
        <v>0.93745798950777115</v>
      </c>
      <c r="R37" s="10">
        <f t="shared" si="9"/>
        <v>2.4061930222268657E-2</v>
      </c>
      <c r="S37" s="10">
        <f t="shared" si="10"/>
        <v>0.82138111114601986</v>
      </c>
      <c r="T37" s="10">
        <f t="shared" si="11"/>
        <v>2.1082560715774017E-2</v>
      </c>
      <c r="V37" s="19">
        <v>2.5</v>
      </c>
      <c r="W37" s="12">
        <v>8861.837877314978</v>
      </c>
      <c r="X37" s="12">
        <f t="shared" si="33"/>
        <v>484.27334732565134</v>
      </c>
      <c r="Y37" s="12">
        <f t="shared" si="34"/>
        <v>24.213667366282568</v>
      </c>
      <c r="Z37" s="12">
        <f t="shared" si="18"/>
        <v>52.707364075327241</v>
      </c>
      <c r="AA37" s="12">
        <f t="shared" si="19"/>
        <v>41.553972421115581</v>
      </c>
      <c r="AB37" s="12">
        <f t="shared" si="20"/>
        <v>7.0452124922641612</v>
      </c>
      <c r="AC37" s="12">
        <f t="shared" si="21"/>
        <v>124.92186421141677</v>
      </c>
      <c r="AD37" s="12">
        <f t="shared" si="22"/>
        <v>6.2216631470596679</v>
      </c>
      <c r="AE37" s="12">
        <f t="shared" si="23"/>
        <v>9170.5484999062428</v>
      </c>
      <c r="AF37" s="81">
        <f t="shared" si="35"/>
        <v>24.313709171574374</v>
      </c>
      <c r="AH37" s="12">
        <v>8546.0426606210603</v>
      </c>
      <c r="AM37" s="19">
        <f t="shared" si="24"/>
        <v>2.5833333333333335</v>
      </c>
      <c r="AN37" s="12">
        <v>8477.1829042801073</v>
      </c>
      <c r="AO37" s="12">
        <f t="shared" si="25"/>
        <v>47.931224616426213</v>
      </c>
      <c r="AP37" s="12">
        <f t="shared" si="26"/>
        <v>124.84388012699577</v>
      </c>
      <c r="AQ37" s="12">
        <f t="shared" si="27"/>
        <v>8386.8761166417771</v>
      </c>
      <c r="AR37" s="12">
        <f t="shared" si="28"/>
        <v>13.394132127761623</v>
      </c>
      <c r="AW37" s="19">
        <v>2.5</v>
      </c>
      <c r="AX37" s="12">
        <v>24.313709171574374</v>
      </c>
      <c r="AY37" s="5">
        <f t="shared" si="29"/>
        <v>0.91889507759633549</v>
      </c>
      <c r="AZ37" s="12">
        <f t="shared" si="36"/>
        <v>13.502932030409283</v>
      </c>
      <c r="BA37" s="5">
        <f t="shared" si="30"/>
        <v>2.2341338127886079E-2</v>
      </c>
      <c r="BB37" s="12">
        <f t="shared" si="31"/>
        <v>22.643421246077803</v>
      </c>
      <c r="BC37" s="5">
        <f t="shared" si="15"/>
        <v>0.70510760547471751</v>
      </c>
      <c r="BD37" s="12">
        <f t="shared" si="16"/>
        <v>15.966048534577265</v>
      </c>
      <c r="BE37" s="5">
        <f t="shared" si="17"/>
        <v>0.64603289468049785</v>
      </c>
      <c r="BF37" s="12">
        <f t="shared" si="32"/>
        <v>-615.14139706768606</v>
      </c>
    </row>
    <row r="38" spans="1:58">
      <c r="A38" s="19">
        <f t="shared" si="12"/>
        <v>2.666666666666667</v>
      </c>
      <c r="B38" s="10">
        <f t="shared" si="1"/>
        <v>0.87800138802708416</v>
      </c>
      <c r="C38" s="10">
        <f t="shared" si="2"/>
        <v>0.93550698503161778</v>
      </c>
      <c r="D38" s="10">
        <f t="shared" si="3"/>
        <v>2.4781277289964043E-2</v>
      </c>
      <c r="E38" s="10">
        <f t="shared" si="4"/>
        <v>0.82137643136679306</v>
      </c>
      <c r="F38" s="10">
        <f t="shared" si="5"/>
        <v>2.1757995857672487E-2</v>
      </c>
      <c r="H38" s="19">
        <f t="shared" si="13"/>
        <v>2.666666666666667</v>
      </c>
      <c r="I38" s="81">
        <f t="shared" ref="I38:I69" si="37">-PP+(pzz*I39+pzo*(50000+J39)+100000*pzt)/1.05^(1/12)</f>
        <v>9874.7240910523087</v>
      </c>
      <c r="J38" s="81">
        <f t="shared" si="6"/>
        <v>8338.0995729739025</v>
      </c>
      <c r="O38" s="19">
        <f t="shared" si="14"/>
        <v>2.666666666666667</v>
      </c>
      <c r="P38" s="10">
        <f t="shared" si="7"/>
        <v>0.87245101984186246</v>
      </c>
      <c r="Q38" s="10">
        <f t="shared" si="8"/>
        <v>0.93550698503161778</v>
      </c>
      <c r="R38" s="10">
        <f t="shared" si="9"/>
        <v>2.4781277289964043E-2</v>
      </c>
      <c r="S38" s="10">
        <f t="shared" si="10"/>
        <v>0.81618402316002092</v>
      </c>
      <c r="T38" s="10">
        <f t="shared" si="11"/>
        <v>2.1620450644613116E-2</v>
      </c>
      <c r="V38" s="19">
        <v>2.5833333333333321</v>
      </c>
      <c r="W38" s="12">
        <v>9197.3349776550986</v>
      </c>
      <c r="X38" s="12">
        <f t="shared" si="33"/>
        <v>484.27334732565134</v>
      </c>
      <c r="Y38" s="12">
        <f t="shared" si="34"/>
        <v>24.213667366282568</v>
      </c>
      <c r="Z38" s="12">
        <f t="shared" si="18"/>
        <v>54.604313457703178</v>
      </c>
      <c r="AA38" s="12">
        <f t="shared" si="19"/>
        <v>41.553972421115581</v>
      </c>
      <c r="AB38" s="12">
        <f t="shared" si="20"/>
        <v>6.9876075778614073</v>
      </c>
      <c r="AC38" s="12">
        <f t="shared" si="21"/>
        <v>124.92186421141677</v>
      </c>
      <c r="AD38" s="12">
        <f t="shared" si="22"/>
        <v>6.4450020197694533</v>
      </c>
      <c r="AE38" s="12">
        <f t="shared" si="23"/>
        <v>9507.1894348495134</v>
      </c>
      <c r="AF38" s="81">
        <f t="shared" si="35"/>
        <v>24.901089992494235</v>
      </c>
      <c r="AH38" s="12">
        <v>8477.1829042801073</v>
      </c>
      <c r="AM38" s="19">
        <f t="shared" si="24"/>
        <v>2.666666666666667</v>
      </c>
      <c r="AN38" s="12">
        <v>8407.8695377757267</v>
      </c>
      <c r="AO38" s="12">
        <f t="shared" si="25"/>
        <v>47.539316764919938</v>
      </c>
      <c r="AP38" s="12">
        <f t="shared" si="26"/>
        <v>124.84388012699577</v>
      </c>
      <c r="AQ38" s="12">
        <f t="shared" si="27"/>
        <v>8317.280358902397</v>
      </c>
      <c r="AR38" s="12">
        <f t="shared" si="28"/>
        <v>13.284615511254742</v>
      </c>
      <c r="AW38" s="19">
        <v>2.5833333333333321</v>
      </c>
      <c r="AX38" s="12">
        <v>24.901089992494235</v>
      </c>
      <c r="AY38" s="5">
        <f t="shared" si="29"/>
        <v>0.91621887165087756</v>
      </c>
      <c r="AZ38" s="12">
        <f t="shared" si="36"/>
        <v>13.394132127761623</v>
      </c>
      <c r="BA38" s="5">
        <f t="shared" si="30"/>
        <v>2.3049229355350587E-2</v>
      </c>
      <c r="BB38" s="12">
        <f t="shared" si="31"/>
        <v>23.123572999228674</v>
      </c>
      <c r="BC38" s="5">
        <f t="shared" si="15"/>
        <v>0.69694297640822001</v>
      </c>
      <c r="BD38" s="12">
        <f t="shared" si="16"/>
        <v>16.115811791275181</v>
      </c>
      <c r="BE38" s="5">
        <f t="shared" si="17"/>
        <v>0.63669257664549006</v>
      </c>
      <c r="BF38" s="12">
        <f t="shared" si="32"/>
        <v>-599.02558527641088</v>
      </c>
    </row>
    <row r="39" spans="1:58">
      <c r="A39" s="19">
        <f t="shared" si="12"/>
        <v>2.7500000000000004</v>
      </c>
      <c r="B39" s="10">
        <f t="shared" si="1"/>
        <v>0.87443881604927254</v>
      </c>
      <c r="C39" s="10">
        <f t="shared" si="2"/>
        <v>0.93356004091711098</v>
      </c>
      <c r="D39" s="10">
        <f t="shared" si="3"/>
        <v>2.5497206120612903E-2</v>
      </c>
      <c r="E39" s="10">
        <f t="shared" si="4"/>
        <v>0.81634113689046894</v>
      </c>
      <c r="F39" s="10">
        <f t="shared" si="5"/>
        <v>2.2295746732673011E-2</v>
      </c>
      <c r="H39" s="19">
        <f t="shared" si="13"/>
        <v>2.7500000000000004</v>
      </c>
      <c r="I39" s="81">
        <f t="shared" si="37"/>
        <v>10216.643191627953</v>
      </c>
      <c r="J39" s="81">
        <f t="shared" ref="J39:J70" si="38">(poo*J40+50000*pot)/1.05^(1/12)</f>
        <v>8267.8700020564356</v>
      </c>
      <c r="O39" s="19">
        <f t="shared" si="14"/>
        <v>2.7500000000000004</v>
      </c>
      <c r="P39" s="10">
        <f t="shared" si="7"/>
        <v>0.86873878800529858</v>
      </c>
      <c r="Q39" s="10">
        <f t="shared" si="8"/>
        <v>0.93356004091711098</v>
      </c>
      <c r="R39" s="10">
        <f t="shared" si="9"/>
        <v>2.5497206120612903E-2</v>
      </c>
      <c r="S39" s="10">
        <f t="shared" si="10"/>
        <v>0.81101981847650795</v>
      </c>
      <c r="T39" s="10">
        <f t="shared" si="11"/>
        <v>2.2150411942742535E-2</v>
      </c>
      <c r="V39" s="19">
        <v>2.6666666666666656</v>
      </c>
      <c r="W39" s="12">
        <v>9534.9592152779533</v>
      </c>
      <c r="X39" s="12">
        <f t="shared" si="33"/>
        <v>484.27334732565134</v>
      </c>
      <c r="Y39" s="12">
        <f t="shared" si="34"/>
        <v>24.213667366282568</v>
      </c>
      <c r="Z39" s="12">
        <f t="shared" si="18"/>
        <v>56.513289983534662</v>
      </c>
      <c r="AA39" s="12">
        <f t="shared" si="19"/>
        <v>41.553972421115581</v>
      </c>
      <c r="AB39" s="12">
        <f t="shared" si="20"/>
        <v>6.9296231939974628</v>
      </c>
      <c r="AC39" s="12">
        <f t="shared" si="21"/>
        <v>124.92186421141677</v>
      </c>
      <c r="AD39" s="12">
        <f t="shared" si="22"/>
        <v>6.669756917960064</v>
      </c>
      <c r="AE39" s="12">
        <f t="shared" si="23"/>
        <v>9845.9647735126346</v>
      </c>
      <c r="AF39" s="81">
        <f t="shared" si="35"/>
        <v>25.492194963733709</v>
      </c>
      <c r="AH39" s="12">
        <v>8407.8695377757267</v>
      </c>
      <c r="AM39" s="19">
        <f t="shared" si="24"/>
        <v>2.7500000000000004</v>
      </c>
      <c r="AN39" s="12">
        <v>8338.0995729739025</v>
      </c>
      <c r="AO39" s="12">
        <f t="shared" si="25"/>
        <v>47.144827240256276</v>
      </c>
      <c r="AP39" s="12">
        <f t="shared" si="26"/>
        <v>124.84388012699577</v>
      </c>
      <c r="AQ39" s="12">
        <f t="shared" si="27"/>
        <v>8247.2261426275891</v>
      </c>
      <c r="AR39" s="12">
        <f t="shared" si="28"/>
        <v>13.174377459574316</v>
      </c>
      <c r="AW39" s="19">
        <v>2.6666666666666656</v>
      </c>
      <c r="AX39" s="12">
        <v>25.492194963733709</v>
      </c>
      <c r="AY39" s="5">
        <f t="shared" si="29"/>
        <v>0.91355045993398531</v>
      </c>
      <c r="AZ39" s="12">
        <f t="shared" si="36"/>
        <v>13.284615511254742</v>
      </c>
      <c r="BA39" s="5">
        <f t="shared" si="30"/>
        <v>2.3753128925303235E-2</v>
      </c>
      <c r="BB39" s="12">
        <f t="shared" si="31"/>
        <v>23.603957618807669</v>
      </c>
      <c r="BC39" s="5">
        <f t="shared" si="15"/>
        <v>0.68887288775977484</v>
      </c>
      <c r="BD39" s="12">
        <f t="shared" si="16"/>
        <v>16.260126447427378</v>
      </c>
      <c r="BE39" s="5">
        <f t="shared" si="17"/>
        <v>0.62748730055914059</v>
      </c>
      <c r="BF39" s="12">
        <f t="shared" si="32"/>
        <v>-582.76545882898347</v>
      </c>
    </row>
    <row r="40" spans="1:58">
      <c r="A40" s="19">
        <f t="shared" si="12"/>
        <v>2.8333333333333339</v>
      </c>
      <c r="B40" s="10">
        <f t="shared" si="1"/>
        <v>0.87089069953732934</v>
      </c>
      <c r="C40" s="10">
        <f t="shared" si="2"/>
        <v>0.9316171487139695</v>
      </c>
      <c r="D40" s="10">
        <f t="shared" si="3"/>
        <v>2.6209728625024242E-2</v>
      </c>
      <c r="E40" s="10">
        <f t="shared" si="4"/>
        <v>0.81133671034448107</v>
      </c>
      <c r="F40" s="10">
        <f t="shared" si="5"/>
        <v>2.2825808896930928E-2</v>
      </c>
      <c r="H40" s="19">
        <f t="shared" si="13"/>
        <v>2.8333333333333339</v>
      </c>
      <c r="I40" s="81">
        <f t="shared" si="37"/>
        <v>10560.730189981356</v>
      </c>
      <c r="J40" s="81">
        <f t="shared" si="38"/>
        <v>8197.1777973912758</v>
      </c>
      <c r="O40" s="19">
        <f t="shared" si="14"/>
        <v>2.8333333333333339</v>
      </c>
      <c r="P40" s="10">
        <f t="shared" si="7"/>
        <v>0.86504235151414088</v>
      </c>
      <c r="Q40" s="10">
        <f t="shared" si="8"/>
        <v>0.9316171487139695</v>
      </c>
      <c r="R40" s="10">
        <f t="shared" si="9"/>
        <v>2.6209728625024242E-2</v>
      </c>
      <c r="S40" s="10">
        <f t="shared" si="10"/>
        <v>0.80588828903443122</v>
      </c>
      <c r="T40" s="10">
        <f t="shared" si="11"/>
        <v>2.2672525282338461E-2</v>
      </c>
      <c r="V40" s="19">
        <v>2.75</v>
      </c>
      <c r="W40" s="12">
        <v>9874.7240910523014</v>
      </c>
      <c r="X40" s="12">
        <f t="shared" si="33"/>
        <v>484.27334732565134</v>
      </c>
      <c r="Y40" s="12">
        <f t="shared" si="34"/>
        <v>24.213667366282568</v>
      </c>
      <c r="Z40" s="12">
        <f t="shared" si="18"/>
        <v>58.434369988696524</v>
      </c>
      <c r="AA40" s="12">
        <f t="shared" si="19"/>
        <v>41.553972421115581</v>
      </c>
      <c r="AB40" s="12">
        <f t="shared" si="20"/>
        <v>6.8712568409364394</v>
      </c>
      <c r="AC40" s="12">
        <f t="shared" si="21"/>
        <v>124.92186421141677</v>
      </c>
      <c r="AD40" s="12">
        <f t="shared" si="22"/>
        <v>6.8959368290975807</v>
      </c>
      <c r="AE40" s="12">
        <f t="shared" si="23"/>
        <v>10186.888062975415</v>
      </c>
      <c r="AF40" s="81">
        <f t="shared" si="35"/>
        <v>26.087047722383431</v>
      </c>
      <c r="AH40" s="12">
        <v>8338.0995729739025</v>
      </c>
      <c r="AM40" s="19">
        <f t="shared" si="24"/>
        <v>2.8333333333333339</v>
      </c>
      <c r="AN40" s="12">
        <v>8267.8700020564356</v>
      </c>
      <c r="AO40" s="12">
        <f t="shared" si="25"/>
        <v>46.747739035793828</v>
      </c>
      <c r="AP40" s="12">
        <f t="shared" si="26"/>
        <v>124.84388012699577</v>
      </c>
      <c r="AQ40" s="12">
        <f t="shared" si="27"/>
        <v>8176.710447744932</v>
      </c>
      <c r="AR40" s="12">
        <f t="shared" si="28"/>
        <v>13.063413220302209</v>
      </c>
      <c r="AW40" s="19">
        <v>2.75</v>
      </c>
      <c r="AX40" s="12">
        <v>26.087047722383431</v>
      </c>
      <c r="AY40" s="5">
        <f t="shared" si="29"/>
        <v>0.91088981974561212</v>
      </c>
      <c r="AZ40" s="12">
        <f t="shared" si="36"/>
        <v>13.174377459574316</v>
      </c>
      <c r="BA40" s="5">
        <f t="shared" si="30"/>
        <v>2.4453053282047499E-2</v>
      </c>
      <c r="BB40" s="12">
        <f t="shared" si="31"/>
        <v>24.084579951513803</v>
      </c>
      <c r="BC40" s="5">
        <f t="shared" si="15"/>
        <v>0.68089624482066069</v>
      </c>
      <c r="BD40" s="12">
        <f t="shared" si="16"/>
        <v>16.399100047068718</v>
      </c>
      <c r="BE40" s="5">
        <f t="shared" si="17"/>
        <v>0.61841511399029792</v>
      </c>
      <c r="BF40" s="12">
        <f t="shared" si="32"/>
        <v>-566.36635878191476</v>
      </c>
    </row>
    <row r="41" spans="1:58">
      <c r="A41" s="19">
        <f t="shared" si="12"/>
        <v>2.9166666666666674</v>
      </c>
      <c r="B41" s="10">
        <f t="shared" si="1"/>
        <v>0.86735697983686277</v>
      </c>
      <c r="C41" s="10">
        <f t="shared" si="2"/>
        <v>0.92967829998949847</v>
      </c>
      <c r="D41" s="10">
        <f t="shared" si="3"/>
        <v>2.6918856677241809E-2</v>
      </c>
      <c r="E41" s="10">
        <f t="shared" si="4"/>
        <v>0.80636296249876027</v>
      </c>
      <c r="F41" s="10">
        <f t="shared" si="5"/>
        <v>2.3348258228233824E-2</v>
      </c>
      <c r="H41" s="19">
        <f t="shared" si="13"/>
        <v>2.9166666666666674</v>
      </c>
      <c r="I41" s="81">
        <f t="shared" si="37"/>
        <v>10906.998845964734</v>
      </c>
      <c r="J41" s="81">
        <f t="shared" si="38"/>
        <v>8126.0199114019997</v>
      </c>
      <c r="O41" s="19">
        <f t="shared" si="14"/>
        <v>2.9166666666666674</v>
      </c>
      <c r="P41" s="10">
        <f t="shared" si="7"/>
        <v>0.86136164316005015</v>
      </c>
      <c r="Q41" s="10">
        <f t="shared" si="8"/>
        <v>0.92967829998949847</v>
      </c>
      <c r="R41" s="10">
        <f t="shared" si="9"/>
        <v>2.6918856677241809E-2</v>
      </c>
      <c r="S41" s="10">
        <f t="shared" si="10"/>
        <v>0.80078922808919639</v>
      </c>
      <c r="T41" s="10">
        <f t="shared" si="11"/>
        <v>2.3186870619498891E-2</v>
      </c>
      <c r="V41" s="19">
        <v>2.8333333333333321</v>
      </c>
      <c r="W41" s="12">
        <v>10216.643191627945</v>
      </c>
      <c r="X41" s="12">
        <f t="shared" si="33"/>
        <v>484.27334732565134</v>
      </c>
      <c r="Y41" s="12">
        <f t="shared" si="34"/>
        <v>24.213667366282568</v>
      </c>
      <c r="Z41" s="12">
        <f t="shared" si="18"/>
        <v>60.367630294082055</v>
      </c>
      <c r="AA41" s="12">
        <f t="shared" si="19"/>
        <v>41.553972421115581</v>
      </c>
      <c r="AB41" s="12">
        <f t="shared" si="20"/>
        <v>6.812506002475561</v>
      </c>
      <c r="AC41" s="12">
        <f t="shared" si="21"/>
        <v>124.92186421141677</v>
      </c>
      <c r="AD41" s="12">
        <f t="shared" si="22"/>
        <v>7.1235507977521282</v>
      </c>
      <c r="AE41" s="12">
        <f t="shared" si="23"/>
        <v>10529.972936392904</v>
      </c>
      <c r="AF41" s="81">
        <f t="shared" si="35"/>
        <v>26.685672055731629</v>
      </c>
      <c r="AH41" s="12">
        <v>8267.8700020564356</v>
      </c>
      <c r="AM41" s="19">
        <f t="shared" si="24"/>
        <v>2.9166666666666674</v>
      </c>
      <c r="AN41" s="12">
        <v>8197.1777973912758</v>
      </c>
      <c r="AO41" s="12">
        <f t="shared" si="25"/>
        <v>46.348035032860807</v>
      </c>
      <c r="AP41" s="12">
        <f t="shared" si="26"/>
        <v>124.84388012699577</v>
      </c>
      <c r="AQ41" s="12">
        <f t="shared" si="27"/>
        <v>8105.7302342874264</v>
      </c>
      <c r="AR41" s="12">
        <f t="shared" si="28"/>
        <v>12.951718009714568</v>
      </c>
      <c r="AW41" s="19">
        <v>2.8333333333333321</v>
      </c>
      <c r="AX41" s="12">
        <v>26.685672055731629</v>
      </c>
      <c r="AY41" s="5">
        <f t="shared" si="29"/>
        <v>0.9082369284518238</v>
      </c>
      <c r="AZ41" s="12">
        <f t="shared" si="36"/>
        <v>13.063413220302209</v>
      </c>
      <c r="BA41" s="5">
        <f t="shared" si="30"/>
        <v>2.5149018809961454E-2</v>
      </c>
      <c r="BB41" s="12">
        <f t="shared" si="31"/>
        <v>24.565444846370038</v>
      </c>
      <c r="BC41" s="5">
        <f t="shared" si="15"/>
        <v>0.67301196555808063</v>
      </c>
      <c r="BD41" s="12">
        <f t="shared" si="16"/>
        <v>16.532838320864123</v>
      </c>
      <c r="BE41" s="5">
        <f t="shared" si="17"/>
        <v>0.60947409273598285</v>
      </c>
      <c r="BF41" s="12">
        <f t="shared" si="32"/>
        <v>-549.83352046105063</v>
      </c>
    </row>
    <row r="42" spans="1:58">
      <c r="A42" s="19">
        <f t="shared" si="12"/>
        <v>3.0000000000000009</v>
      </c>
      <c r="B42" s="10">
        <f t="shared" si="1"/>
        <v>0.86383759853147601</v>
      </c>
      <c r="C42" s="10">
        <f t="shared" si="2"/>
        <v>0.92774348632855286</v>
      </c>
      <c r="D42" s="10">
        <f t="shared" si="3"/>
        <v>2.7624602114649344E-2</v>
      </c>
      <c r="E42" s="10">
        <f t="shared" si="4"/>
        <v>0.80141970528327633</v>
      </c>
      <c r="F42" s="10">
        <f t="shared" si="5"/>
        <v>2.3863169951106222E-2</v>
      </c>
      <c r="H42" s="19">
        <f t="shared" si="13"/>
        <v>3.0000000000000009</v>
      </c>
      <c r="I42" s="81">
        <f t="shared" si="37"/>
        <v>11255.463006858639</v>
      </c>
      <c r="J42" s="81">
        <f t="shared" si="38"/>
        <v>8054.393276436429</v>
      </c>
      <c r="O42" s="19">
        <f t="shared" si="14"/>
        <v>3.0000000000000009</v>
      </c>
      <c r="P42" s="10">
        <f t="shared" si="7"/>
        <v>0.85769659602065507</v>
      </c>
      <c r="Q42" s="10">
        <f t="shared" si="8"/>
        <v>0.92774348632855286</v>
      </c>
      <c r="R42" s="10">
        <f t="shared" si="9"/>
        <v>2.7624602114649344E-2</v>
      </c>
      <c r="S42" s="10">
        <f t="shared" si="10"/>
        <v>0.79572243020433497</v>
      </c>
      <c r="T42" s="10">
        <f t="shared" si="11"/>
        <v>2.3693527200159731E-2</v>
      </c>
      <c r="V42" s="19">
        <v>2.9166666666666656</v>
      </c>
      <c r="W42" s="12">
        <v>10560.730189981348</v>
      </c>
      <c r="X42" s="12">
        <f t="shared" si="33"/>
        <v>484.27334732565134</v>
      </c>
      <c r="Y42" s="12">
        <f t="shared" si="34"/>
        <v>24.213667366282568</v>
      </c>
      <c r="Z42" s="12">
        <f t="shared" si="18"/>
        <v>62.313148208688077</v>
      </c>
      <c r="AA42" s="12">
        <f t="shared" si="19"/>
        <v>41.553972421115581</v>
      </c>
      <c r="AB42" s="12">
        <f t="shared" si="20"/>
        <v>6.7533681458366956</v>
      </c>
      <c r="AC42" s="12">
        <f t="shared" si="21"/>
        <v>124.92186421141677</v>
      </c>
      <c r="AD42" s="12">
        <f t="shared" si="22"/>
        <v>7.3526079259610926</v>
      </c>
      <c r="AE42" s="12">
        <f t="shared" si="23"/>
        <v>10875.233113542885</v>
      </c>
      <c r="AF42" s="81">
        <f t="shared" si="35"/>
        <v>27.28809190218999</v>
      </c>
      <c r="AH42" s="12">
        <v>8197.1777973912758</v>
      </c>
      <c r="AM42" s="19">
        <f t="shared" si="24"/>
        <v>3.0000000000000009</v>
      </c>
      <c r="AN42" s="12">
        <v>8126.0199114019997</v>
      </c>
      <c r="AO42" s="12">
        <f t="shared" si="25"/>
        <v>45.945698000017032</v>
      </c>
      <c r="AP42" s="12">
        <f t="shared" si="26"/>
        <v>124.84388012699577</v>
      </c>
      <c r="AQ42" s="12">
        <f t="shared" si="27"/>
        <v>8034.2824422624471</v>
      </c>
      <c r="AR42" s="12">
        <f t="shared" si="28"/>
        <v>12.83928701257355</v>
      </c>
      <c r="AW42" s="19">
        <v>2.9166666666666656</v>
      </c>
      <c r="AX42" s="12">
        <v>27.28809190218999</v>
      </c>
      <c r="AY42" s="5">
        <f t="shared" si="29"/>
        <v>0.90559176348460557</v>
      </c>
      <c r="AZ42" s="12">
        <f t="shared" si="36"/>
        <v>12.951718009714568</v>
      </c>
      <c r="BA42" s="5">
        <f t="shared" si="30"/>
        <v>2.5841041833703615E-2</v>
      </c>
      <c r="BB42" s="12">
        <f t="shared" si="31"/>
        <v>25.046557154741585</v>
      </c>
      <c r="BC42" s="5">
        <f t="shared" si="15"/>
        <v>0.66521898046838401</v>
      </c>
      <c r="BD42" s="12">
        <f t="shared" si="16"/>
        <v>16.661445214720306</v>
      </c>
      <c r="BE42" s="5">
        <f t="shared" si="17"/>
        <v>0.60066234041326672</v>
      </c>
      <c r="BF42" s="12">
        <f t="shared" si="32"/>
        <v>-533.17207524633034</v>
      </c>
    </row>
    <row r="43" spans="1:58">
      <c r="A43" s="19">
        <f t="shared" si="12"/>
        <v>3.0833333333333344</v>
      </c>
      <c r="B43" s="10">
        <f t="shared" si="1"/>
        <v>0.86033249744180262</v>
      </c>
      <c r="C43" s="10">
        <f t="shared" si="2"/>
        <v>0.92581269933350085</v>
      </c>
      <c r="D43" s="10">
        <f t="shared" si="3"/>
        <v>2.8326976738078269E-2</v>
      </c>
      <c r="E43" s="10">
        <f t="shared" si="4"/>
        <v>0.79650675178092756</v>
      </c>
      <c r="F43" s="10">
        <f t="shared" si="5"/>
        <v>2.4370618642046725E-2</v>
      </c>
      <c r="H43" s="19">
        <f t="shared" si="13"/>
        <v>3.0833333333333344</v>
      </c>
      <c r="I43" s="81">
        <f t="shared" si="37"/>
        <v>11606.136607928065</v>
      </c>
      <c r="J43" s="81">
        <f t="shared" si="38"/>
        <v>7982.2948046343827</v>
      </c>
      <c r="O43" s="19">
        <f t="shared" si="14"/>
        <v>3.0833333333333344</v>
      </c>
      <c r="P43" s="10">
        <f t="shared" si="7"/>
        <v>0.8540471434583351</v>
      </c>
      <c r="Q43" s="10">
        <f t="shared" si="8"/>
        <v>0.92581269933350085</v>
      </c>
      <c r="R43" s="10">
        <f t="shared" si="9"/>
        <v>2.8326976738078269E-2</v>
      </c>
      <c r="S43" s="10">
        <f t="shared" si="10"/>
        <v>0.79068769124322691</v>
      </c>
      <c r="T43" s="10">
        <f t="shared" si="11"/>
        <v>2.4192573565966453E-2</v>
      </c>
      <c r="V43" s="19">
        <v>3</v>
      </c>
      <c r="W43" s="12">
        <v>10906.998845964727</v>
      </c>
      <c r="X43" s="12">
        <f t="shared" si="33"/>
        <v>484.27334732565134</v>
      </c>
      <c r="Y43" s="12">
        <f t="shared" si="34"/>
        <v>24.213667366282568</v>
      </c>
      <c r="Z43" s="12">
        <f t="shared" si="18"/>
        <v>64.271001532719524</v>
      </c>
      <c r="AA43" s="12">
        <f t="shared" si="19"/>
        <v>41.553972421115581</v>
      </c>
      <c r="AB43" s="12">
        <f t="shared" si="20"/>
        <v>6.6938407215571631</v>
      </c>
      <c r="AC43" s="12">
        <f t="shared" si="21"/>
        <v>124.92186421141677</v>
      </c>
      <c r="AD43" s="12">
        <f t="shared" si="22"/>
        <v>7.5831173735946464</v>
      </c>
      <c r="AE43" s="12">
        <f t="shared" si="23"/>
        <v>11222.682401376851</v>
      </c>
      <c r="AF43" s="81">
        <f t="shared" si="35"/>
        <v>27.894331352279551</v>
      </c>
      <c r="AH43" s="12">
        <v>8126.0199114019997</v>
      </c>
      <c r="AM43" s="19">
        <f t="shared" si="24"/>
        <v>3.0833333333333344</v>
      </c>
      <c r="AN43" s="12">
        <v>8054.393276436429</v>
      </c>
      <c r="AO43" s="12">
        <f t="shared" si="25"/>
        <v>45.540710592311086</v>
      </c>
      <c r="AP43" s="12">
        <f t="shared" si="26"/>
        <v>124.84388012699577</v>
      </c>
      <c r="AQ43" s="12">
        <f t="shared" si="27"/>
        <v>7962.36399151982</v>
      </c>
      <c r="AR43" s="12">
        <f t="shared" si="28"/>
        <v>12.726115381924501</v>
      </c>
      <c r="AW43" s="19">
        <v>3</v>
      </c>
      <c r="AX43" s="12">
        <v>27.894331352279551</v>
      </c>
      <c r="AY43" s="5">
        <f t="shared" si="29"/>
        <v>0.90295430234166996</v>
      </c>
      <c r="AZ43" s="12">
        <f t="shared" si="36"/>
        <v>12.83928701257355</v>
      </c>
      <c r="BA43" s="5">
        <f t="shared" si="30"/>
        <v>2.6529138618415438E-2</v>
      </c>
      <c r="BB43" s="12">
        <f t="shared" si="31"/>
        <v>25.527921730403136</v>
      </c>
      <c r="BC43" s="5">
        <f t="shared" si="15"/>
        <v>0.65751623243198831</v>
      </c>
      <c r="BD43" s="12">
        <f t="shared" si="16"/>
        <v>16.785022917993352</v>
      </c>
      <c r="BE43" s="5">
        <f t="shared" si="17"/>
        <v>0.59197798805704993</v>
      </c>
      <c r="BF43" s="12">
        <f t="shared" si="32"/>
        <v>-516.38705232833695</v>
      </c>
    </row>
    <row r="44" spans="1:58">
      <c r="A44" s="19">
        <f t="shared" si="12"/>
        <v>3.1666666666666679</v>
      </c>
      <c r="B44" s="10">
        <f t="shared" si="1"/>
        <v>0.85684161862454467</v>
      </c>
      <c r="C44" s="10">
        <f t="shared" si="2"/>
        <v>0.92388593062418745</v>
      </c>
      <c r="D44" s="10">
        <f t="shared" si="3"/>
        <v>2.9025992311912052E-2</v>
      </c>
      <c r="E44" s="10">
        <f t="shared" si="4"/>
        <v>0.79162391622047257</v>
      </c>
      <c r="F44" s="10">
        <f t="shared" si="5"/>
        <v>2.4870678234722311E-2</v>
      </c>
      <c r="H44" s="19">
        <f t="shared" si="13"/>
        <v>3.1666666666666679</v>
      </c>
      <c r="I44" s="81">
        <f t="shared" si="37"/>
        <v>11959.033672982101</v>
      </c>
      <c r="J44" s="81">
        <f t="shared" si="38"/>
        <v>7909.721387794556</v>
      </c>
      <c r="O44" s="19">
        <f t="shared" si="14"/>
        <v>3.1666666666666679</v>
      </c>
      <c r="P44" s="10">
        <f t="shared" si="7"/>
        <v>0.8504132191190098</v>
      </c>
      <c r="Q44" s="10">
        <f t="shared" si="8"/>
        <v>0.92388593062418745</v>
      </c>
      <c r="R44" s="10">
        <f t="shared" si="9"/>
        <v>2.9025992311912052E-2</v>
      </c>
      <c r="S44" s="10">
        <f t="shared" si="10"/>
        <v>0.7856848083608774</v>
      </c>
      <c r="T44" s="10">
        <f t="shared" si="11"/>
        <v>2.4684087560096758E-2</v>
      </c>
      <c r="V44" s="19">
        <v>3.0833333333333321</v>
      </c>
      <c r="W44" s="12">
        <v>11255.463006858632</v>
      </c>
      <c r="X44" s="12">
        <f t="shared" si="33"/>
        <v>484.27334732565134</v>
      </c>
      <c r="Y44" s="12">
        <f t="shared" si="34"/>
        <v>24.213667366282568</v>
      </c>
      <c r="Z44" s="12">
        <f t="shared" si="18"/>
        <v>66.241268560713849</v>
      </c>
      <c r="AA44" s="12">
        <f t="shared" si="19"/>
        <v>41.553972421115581</v>
      </c>
      <c r="AB44" s="12">
        <f t="shared" si="20"/>
        <v>6.6339211633798261</v>
      </c>
      <c r="AC44" s="12">
        <f t="shared" si="21"/>
        <v>124.92186421141677</v>
      </c>
      <c r="AD44" s="12">
        <f t="shared" si="22"/>
        <v>7.8150883587236031</v>
      </c>
      <c r="AE44" s="12">
        <f t="shared" si="23"/>
        <v>11572.334694574489</v>
      </c>
      <c r="AF44" s="81">
        <f t="shared" si="35"/>
        <v>28.504414649589307</v>
      </c>
      <c r="AH44" s="12">
        <v>8054.393276436429</v>
      </c>
      <c r="AM44" s="19">
        <f t="shared" si="24"/>
        <v>3.1666666666666679</v>
      </c>
      <c r="AN44" s="12">
        <v>7982.2948046343827</v>
      </c>
      <c r="AO44" s="12">
        <f t="shared" si="25"/>
        <v>45.13305535053258</v>
      </c>
      <c r="AP44" s="12">
        <f t="shared" si="26"/>
        <v>124.84388012699577</v>
      </c>
      <c r="AQ44" s="12">
        <f t="shared" si="27"/>
        <v>7889.9717816190405</v>
      </c>
      <c r="AR44" s="12">
        <f t="shared" si="28"/>
        <v>12.612198238878591</v>
      </c>
      <c r="AW44" s="19">
        <v>3.0833333333333321</v>
      </c>
      <c r="AX44" s="12">
        <v>28.504414649589307</v>
      </c>
      <c r="AY44" s="5">
        <f t="shared" si="29"/>
        <v>0.90032452258626561</v>
      </c>
      <c r="AZ44" s="12">
        <f t="shared" si="36"/>
        <v>12.726115381924501</v>
      </c>
      <c r="BA44" s="5">
        <f t="shared" si="30"/>
        <v>2.7213325369925156E-2</v>
      </c>
      <c r="BB44" s="12">
        <f t="shared" si="31"/>
        <v>26.00954342957597</v>
      </c>
      <c r="BC44" s="5">
        <f t="shared" si="15"/>
        <v>0.6499026765699808</v>
      </c>
      <c r="BD44" s="12">
        <f t="shared" si="16"/>
        <v>16.903671891244581</v>
      </c>
      <c r="BE44" s="5">
        <f t="shared" si="17"/>
        <v>0.58341919372365703</v>
      </c>
      <c r="BF44" s="12">
        <f t="shared" si="32"/>
        <v>-499.48338043709236</v>
      </c>
    </row>
    <row r="45" spans="1:58">
      <c r="A45" s="19">
        <f t="shared" si="12"/>
        <v>3.2500000000000013</v>
      </c>
      <c r="B45" s="10">
        <f t="shared" si="1"/>
        <v>0.85336490437151402</v>
      </c>
      <c r="C45" s="10">
        <f t="shared" si="2"/>
        <v>0.92196317183789833</v>
      </c>
      <c r="D45" s="10">
        <f t="shared" si="3"/>
        <v>2.9721660564193231E-2</v>
      </c>
      <c r="E45" s="10">
        <f t="shared" si="4"/>
        <v>0.78677101396950588</v>
      </c>
      <c r="F45" s="10">
        <f t="shared" si="5"/>
        <v>2.5363422025125357E-2</v>
      </c>
      <c r="H45" s="19">
        <f t="shared" si="13"/>
        <v>3.2500000000000013</v>
      </c>
      <c r="I45" s="81">
        <f t="shared" si="37"/>
        <v>12314.168314937127</v>
      </c>
      <c r="J45" s="81">
        <f t="shared" si="38"/>
        <v>7836.6698972405247</v>
      </c>
      <c r="O45" s="19">
        <f t="shared" si="14"/>
        <v>3.2500000000000013</v>
      </c>
      <c r="P45" s="10">
        <f t="shared" si="7"/>
        <v>0.8467947569309312</v>
      </c>
      <c r="Q45" s="10">
        <f t="shared" si="8"/>
        <v>0.92196317183789833</v>
      </c>
      <c r="R45" s="10">
        <f t="shared" si="9"/>
        <v>2.9721660564193231E-2</v>
      </c>
      <c r="S45" s="10">
        <f t="shared" si="10"/>
        <v>0.78071357999574342</v>
      </c>
      <c r="T45" s="10">
        <f t="shared" si="11"/>
        <v>2.516814633303965E-2</v>
      </c>
      <c r="V45" s="19">
        <v>3.1666666666666656</v>
      </c>
      <c r="W45" s="12">
        <v>11606.136607928058</v>
      </c>
      <c r="X45" s="12">
        <f t="shared" si="33"/>
        <v>484.27334732565134</v>
      </c>
      <c r="Y45" s="12">
        <f t="shared" si="34"/>
        <v>24.213667366282568</v>
      </c>
      <c r="Z45" s="12">
        <f t="shared" si="18"/>
        <v>68.22402808468533</v>
      </c>
      <c r="AA45" s="12">
        <f t="shared" si="19"/>
        <v>41.553972421115581</v>
      </c>
      <c r="AB45" s="12">
        <f t="shared" si="20"/>
        <v>6.5736068881424607</v>
      </c>
      <c r="AC45" s="12">
        <f t="shared" si="21"/>
        <v>124.92186421141677</v>
      </c>
      <c r="AD45" s="12">
        <f t="shared" si="22"/>
        <v>8.048530157989612</v>
      </c>
      <c r="AE45" s="12">
        <f t="shared" si="23"/>
        <v>11924.2039761017</v>
      </c>
      <c r="AF45" s="81">
        <f t="shared" si="35"/>
        <v>29.118366191745736</v>
      </c>
      <c r="AH45" s="12">
        <v>7982.2948046343827</v>
      </c>
      <c r="AM45" s="19">
        <f t="shared" si="24"/>
        <v>3.2500000000000013</v>
      </c>
      <c r="AN45" s="12">
        <v>7909.721387794556</v>
      </c>
      <c r="AO45" s="12">
        <f t="shared" si="25"/>
        <v>44.722714700459427</v>
      </c>
      <c r="AP45" s="12">
        <f t="shared" si="26"/>
        <v>124.84388012699577</v>
      </c>
      <c r="AQ45" s="12">
        <f t="shared" si="27"/>
        <v>7817.1026916956062</v>
      </c>
      <c r="AR45" s="12">
        <f t="shared" si="28"/>
        <v>12.497530672413632</v>
      </c>
      <c r="AW45" s="19">
        <v>3.1666666666666656</v>
      </c>
      <c r="AX45" s="12">
        <v>29.118366191745736</v>
      </c>
      <c r="AY45" s="5">
        <f t="shared" si="29"/>
        <v>0.89770240184698646</v>
      </c>
      <c r="AZ45" s="12">
        <f t="shared" si="36"/>
        <v>12.612198238878591</v>
      </c>
      <c r="BA45" s="5">
        <f t="shared" si="30"/>
        <v>2.7893618234950512E-2</v>
      </c>
      <c r="BB45" s="12">
        <f t="shared" si="31"/>
        <v>26.491427110969031</v>
      </c>
      <c r="BC45" s="5">
        <f t="shared" si="15"/>
        <v>0.64237728010238015</v>
      </c>
      <c r="BD45" s="12">
        <f t="shared" si="16"/>
        <v>17.017490893574742</v>
      </c>
      <c r="BE45" s="5">
        <f t="shared" si="17"/>
        <v>0.57498414210016058</v>
      </c>
      <c r="BF45" s="12">
        <f t="shared" si="32"/>
        <v>-482.46588954351762</v>
      </c>
    </row>
    <row r="46" spans="1:58">
      <c r="A46" s="19">
        <f t="shared" si="12"/>
        <v>3.3333333333333348</v>
      </c>
      <c r="B46" s="10">
        <f t="shared" si="1"/>
        <v>0.84990229720867871</v>
      </c>
      <c r="C46" s="10">
        <f t="shared" si="2"/>
        <v>0.92004441462932318</v>
      </c>
      <c r="D46" s="10">
        <f t="shared" si="3"/>
        <v>3.0413993186727328E-2</v>
      </c>
      <c r="E46" s="10">
        <f t="shared" si="4"/>
        <v>0.78194786152747586</v>
      </c>
      <c r="F46" s="10">
        <f t="shared" si="5"/>
        <v>2.584892267668866E-2</v>
      </c>
      <c r="H46" s="19">
        <f t="shared" si="13"/>
        <v>3.3333333333333348</v>
      </c>
      <c r="I46" s="81">
        <f t="shared" si="37"/>
        <v>12671.55473638363</v>
      </c>
      <c r="J46" s="81">
        <f t="shared" si="38"/>
        <v>7763.1371836858671</v>
      </c>
      <c r="O46" s="19">
        <f t="shared" si="14"/>
        <v>3.3333333333333348</v>
      </c>
      <c r="P46" s="10">
        <f t="shared" si="7"/>
        <v>0.84319169110348324</v>
      </c>
      <c r="Q46" s="10">
        <f t="shared" si="8"/>
        <v>0.92004441462932318</v>
      </c>
      <c r="R46" s="10">
        <f t="shared" si="9"/>
        <v>3.0413993186727328E-2</v>
      </c>
      <c r="S46" s="10">
        <f t="shared" si="10"/>
        <v>0.77577380586161337</v>
      </c>
      <c r="T46" s="10">
        <f t="shared" si="11"/>
        <v>2.5644826348326433E-2</v>
      </c>
      <c r="V46" s="19">
        <v>3.25</v>
      </c>
      <c r="W46" s="12">
        <v>11959.033672982094</v>
      </c>
      <c r="X46" s="12">
        <f t="shared" si="33"/>
        <v>484.27334732565134</v>
      </c>
      <c r="Y46" s="12">
        <f t="shared" si="34"/>
        <v>24.213667366282568</v>
      </c>
      <c r="Z46" s="12">
        <f t="shared" si="18"/>
        <v>70.219359397289466</v>
      </c>
      <c r="AA46" s="12">
        <f t="shared" si="19"/>
        <v>41.553972421115581</v>
      </c>
      <c r="AB46" s="12">
        <f t="shared" si="20"/>
        <v>6.5128952956663886</v>
      </c>
      <c r="AC46" s="12">
        <f t="shared" si="21"/>
        <v>124.92186421141677</v>
      </c>
      <c r="AD46" s="12">
        <f t="shared" si="22"/>
        <v>8.2834521069777196</v>
      </c>
      <c r="AE46" s="12">
        <f t="shared" si="23"/>
        <v>12278.304317772168</v>
      </c>
      <c r="AF46" s="81">
        <f t="shared" si="35"/>
        <v>29.736210531407778</v>
      </c>
      <c r="AH46" s="12">
        <v>7909.721387794556</v>
      </c>
      <c r="AM46" s="19">
        <f t="shared" si="24"/>
        <v>3.3333333333333348</v>
      </c>
      <c r="AN46" s="12">
        <v>7836.6698972405247</v>
      </c>
      <c r="AO46" s="12">
        <f t="shared" si="25"/>
        <v>44.309670952100277</v>
      </c>
      <c r="AP46" s="12">
        <f t="shared" si="26"/>
        <v>124.84388012699577</v>
      </c>
      <c r="AQ46" s="12">
        <f t="shared" si="27"/>
        <v>7743.7535803264773</v>
      </c>
      <c r="AR46" s="12">
        <f t="shared" si="28"/>
        <v>12.382107739152161</v>
      </c>
      <c r="AW46" s="19">
        <v>3.25</v>
      </c>
      <c r="AX46" s="12">
        <v>29.736210531407778</v>
      </c>
      <c r="AY46" s="5">
        <f t="shared" si="29"/>
        <v>0.89508791781758124</v>
      </c>
      <c r="AZ46" s="12">
        <f t="shared" si="36"/>
        <v>12.497530672413632</v>
      </c>
      <c r="BA46" s="5">
        <f t="shared" si="30"/>
        <v>2.8570033301300368E-2</v>
      </c>
      <c r="BB46" s="12">
        <f t="shared" si="31"/>
        <v>26.973577635837898</v>
      </c>
      <c r="BC46" s="5">
        <f t="shared" si="15"/>
        <v>0.63493902220803988</v>
      </c>
      <c r="BD46" s="12">
        <f t="shared" si="16"/>
        <v>17.126577009551568</v>
      </c>
      <c r="BE46" s="5">
        <f t="shared" si="17"/>
        <v>0.56667104411935609</v>
      </c>
      <c r="BF46" s="12">
        <f t="shared" si="32"/>
        <v>-465.33931253396605</v>
      </c>
    </row>
    <row r="47" spans="1:58">
      <c r="A47" s="19">
        <f t="shared" si="12"/>
        <v>3.4166666666666683</v>
      </c>
      <c r="B47" s="10">
        <f t="shared" si="1"/>
        <v>0.84645373989521355</v>
      </c>
      <c r="C47" s="10">
        <f t="shared" si="2"/>
        <v>0.91812965067051977</v>
      </c>
      <c r="D47" s="10">
        <f t="shared" si="3"/>
        <v>3.1103001835188548E-2</v>
      </c>
      <c r="E47" s="10">
        <f t="shared" si="4"/>
        <v>0.77715427651874747</v>
      </c>
      <c r="F47" s="10">
        <f t="shared" si="5"/>
        <v>2.6327252225363036E-2</v>
      </c>
      <c r="H47" s="19">
        <f t="shared" si="13"/>
        <v>3.4166666666666683</v>
      </c>
      <c r="I47" s="81">
        <f t="shared" si="37"/>
        <v>13031.207230156588</v>
      </c>
      <c r="J47" s="81">
        <f t="shared" si="38"/>
        <v>7689.1200770983978</v>
      </c>
      <c r="O47" s="19">
        <f t="shared" si="14"/>
        <v>3.4166666666666683</v>
      </c>
      <c r="P47" s="10">
        <f t="shared" si="7"/>
        <v>0.83960395612598515</v>
      </c>
      <c r="Q47" s="10">
        <f t="shared" si="8"/>
        <v>0.91812965067051977</v>
      </c>
      <c r="R47" s="10">
        <f t="shared" si="9"/>
        <v>3.1103001835188548E-2</v>
      </c>
      <c r="S47" s="10">
        <f t="shared" si="10"/>
        <v>0.77086528693953715</v>
      </c>
      <c r="T47" s="10">
        <f t="shared" si="11"/>
        <v>2.6114203388218082E-2</v>
      </c>
      <c r="V47" s="19">
        <v>3.3333333333333321</v>
      </c>
      <c r="W47" s="12">
        <v>12314.16831493712</v>
      </c>
      <c r="X47" s="12">
        <f t="shared" si="33"/>
        <v>484.27334732565134</v>
      </c>
      <c r="Y47" s="12">
        <f t="shared" si="34"/>
        <v>24.213667366282568</v>
      </c>
      <c r="Z47" s="12">
        <f t="shared" si="18"/>
        <v>72.227342295007304</v>
      </c>
      <c r="AA47" s="12">
        <f t="shared" si="19"/>
        <v>41.553972421115581</v>
      </c>
      <c r="AB47" s="12">
        <f t="shared" si="20"/>
        <v>6.451783768644388</v>
      </c>
      <c r="AC47" s="12">
        <f t="shared" si="21"/>
        <v>124.92186421141677</v>
      </c>
      <c r="AD47" s="12">
        <f t="shared" si="22"/>
        <v>8.5198636005912878</v>
      </c>
      <c r="AE47" s="12">
        <f t="shared" si="23"/>
        <v>12634.649880812505</v>
      </c>
      <c r="AF47" s="81">
        <f t="shared" si="35"/>
        <v>30.357972377223632</v>
      </c>
      <c r="AH47" s="12">
        <v>7836.6698972405247</v>
      </c>
      <c r="AM47" s="19">
        <f t="shared" si="24"/>
        <v>3.4166666666666683</v>
      </c>
      <c r="AN47" s="12">
        <v>7763.1371836858671</v>
      </c>
      <c r="AO47" s="12">
        <f t="shared" si="25"/>
        <v>43.89390629893181</v>
      </c>
      <c r="AP47" s="12">
        <f t="shared" si="26"/>
        <v>124.84388012699577</v>
      </c>
      <c r="AQ47" s="12">
        <f t="shared" si="27"/>
        <v>7669.921285394651</v>
      </c>
      <c r="AR47" s="12">
        <f t="shared" si="28"/>
        <v>12.26592446315226</v>
      </c>
      <c r="AW47" s="19">
        <v>3.3333333333333321</v>
      </c>
      <c r="AX47" s="12">
        <v>30.357972377223632</v>
      </c>
      <c r="AY47" s="5">
        <f t="shared" si="29"/>
        <v>0.89248104825676378</v>
      </c>
      <c r="AZ47" s="12">
        <f t="shared" si="36"/>
        <v>12.382107739152161</v>
      </c>
      <c r="BA47" s="5">
        <f t="shared" si="30"/>
        <v>2.9242586598075881E-2</v>
      </c>
      <c r="BB47" s="12">
        <f t="shared" si="31"/>
        <v>27.455999868003289</v>
      </c>
      <c r="BC47" s="5">
        <f t="shared" si="15"/>
        <v>0.62758689388617472</v>
      </c>
      <c r="BD47" s="12">
        <f t="shared" si="16"/>
        <v>17.231025675699406</v>
      </c>
      <c r="BE47" s="5">
        <f t="shared" si="17"/>
        <v>0.5584781365803021</v>
      </c>
      <c r="BF47" s="12">
        <f t="shared" si="32"/>
        <v>-448.10828685826664</v>
      </c>
    </row>
    <row r="48" spans="1:58">
      <c r="A48" s="19">
        <f t="shared" si="12"/>
        <v>3.5000000000000018</v>
      </c>
      <c r="B48" s="10">
        <f t="shared" si="1"/>
        <v>0.843019175422553</v>
      </c>
      <c r="C48" s="10">
        <f t="shared" si="2"/>
        <v>0.91621887165087756</v>
      </c>
      <c r="D48" s="10">
        <f t="shared" si="3"/>
        <v>3.1788698129223913E-2</v>
      </c>
      <c r="E48" s="10">
        <f t="shared" si="4"/>
        <v>0.77239007768570478</v>
      </c>
      <c r="F48" s="10">
        <f t="shared" si="5"/>
        <v>2.6798482084654796E-2</v>
      </c>
      <c r="H48" s="19">
        <f t="shared" si="13"/>
        <v>3.5000000000000018</v>
      </c>
      <c r="I48" s="81">
        <f t="shared" si="37"/>
        <v>13393.140179909527</v>
      </c>
      <c r="J48" s="81">
        <f t="shared" si="38"/>
        <v>7614.6153865635024</v>
      </c>
      <c r="O48" s="19">
        <f t="shared" si="14"/>
        <v>3.5000000000000018</v>
      </c>
      <c r="P48" s="10">
        <f t="shared" si="7"/>
        <v>0.83603148676650074</v>
      </c>
      <c r="Q48" s="10">
        <f t="shared" si="8"/>
        <v>0.91621887165087756</v>
      </c>
      <c r="R48" s="10">
        <f t="shared" si="9"/>
        <v>3.1788698129223913E-2</v>
      </c>
      <c r="S48" s="10">
        <f t="shared" si="10"/>
        <v>0.76598782546980893</v>
      </c>
      <c r="T48" s="10">
        <f t="shared" si="11"/>
        <v>2.6576352559346549E-2</v>
      </c>
      <c r="V48" s="19">
        <v>3.4166666666666652</v>
      </c>
      <c r="W48" s="12">
        <v>12671.554736383623</v>
      </c>
      <c r="X48" s="12">
        <f t="shared" si="33"/>
        <v>484.27334732565134</v>
      </c>
      <c r="Y48" s="12">
        <f t="shared" si="34"/>
        <v>24.213667366282568</v>
      </c>
      <c r="Z48" s="12">
        <f t="shared" si="18"/>
        <v>74.248057081350325</v>
      </c>
      <c r="AA48" s="12">
        <f t="shared" si="19"/>
        <v>41.553972421115581</v>
      </c>
      <c r="AB48" s="12">
        <f t="shared" si="20"/>
        <v>6.3902696725278592</v>
      </c>
      <c r="AC48" s="12">
        <f t="shared" si="21"/>
        <v>124.92186421141677</v>
      </c>
      <c r="AD48" s="12">
        <f t="shared" si="22"/>
        <v>8.7577740934293118</v>
      </c>
      <c r="AE48" s="12">
        <f t="shared" si="23"/>
        <v>12993.254916430989</v>
      </c>
      <c r="AF48" s="81">
        <f t="shared" si="35"/>
        <v>30.983676594863937</v>
      </c>
      <c r="AH48" s="12">
        <v>7763.1371836858671</v>
      </c>
      <c r="AM48" s="19">
        <f t="shared" si="24"/>
        <v>3.5000000000000018</v>
      </c>
      <c r="AN48" s="12">
        <v>7689.1200770983978</v>
      </c>
      <c r="AO48" s="12">
        <f t="shared" si="25"/>
        <v>43.47540281713119</v>
      </c>
      <c r="AP48" s="12">
        <f t="shared" si="26"/>
        <v>124.84388012699577</v>
      </c>
      <c r="AQ48" s="12">
        <f t="shared" si="27"/>
        <v>7595.6026239528364</v>
      </c>
      <c r="AR48" s="12">
        <f t="shared" si="28"/>
        <v>12.148975835696547</v>
      </c>
      <c r="AW48" s="19">
        <v>3.4166666666666652</v>
      </c>
      <c r="AX48" s="12">
        <v>30.983676594863937</v>
      </c>
      <c r="AY48" s="5">
        <f t="shared" si="29"/>
        <v>0.88988177098802379</v>
      </c>
      <c r="AZ48" s="12">
        <f t="shared" si="36"/>
        <v>12.26592446315226</v>
      </c>
      <c r="BA48" s="5">
        <f t="shared" si="30"/>
        <v>2.9911294095871677E-2</v>
      </c>
      <c r="BB48" s="12">
        <f t="shared" si="31"/>
        <v>27.938698673932798</v>
      </c>
      <c r="BC48" s="5">
        <f t="shared" si="15"/>
        <v>0.6203198978194876</v>
      </c>
      <c r="BD48" s="12">
        <f t="shared" si="16"/>
        <v>17.330930706623448</v>
      </c>
      <c r="BE48" s="5">
        <f t="shared" si="17"/>
        <v>0.55040368177434629</v>
      </c>
      <c r="BF48" s="12">
        <f t="shared" si="32"/>
        <v>-430.77735615164318</v>
      </c>
    </row>
    <row r="49" spans="1:58">
      <c r="A49" s="19">
        <f t="shared" si="12"/>
        <v>3.5833333333333353</v>
      </c>
      <c r="B49" s="10">
        <f t="shared" si="1"/>
        <v>0.83959854701344894</v>
      </c>
      <c r="C49" s="10">
        <f t="shared" si="2"/>
        <v>0.91431206927708186</v>
      </c>
      <c r="D49" s="10">
        <f t="shared" si="3"/>
        <v>3.2471093652558736E-2</v>
      </c>
      <c r="E49" s="10">
        <f t="shared" si="4"/>
        <v>0.76765508488189782</v>
      </c>
      <c r="F49" s="10">
        <f t="shared" si="5"/>
        <v>2.726268305062594E-2</v>
      </c>
      <c r="H49" s="19">
        <f t="shared" si="13"/>
        <v>3.5833333333333353</v>
      </c>
      <c r="I49" s="81">
        <f t="shared" si="37"/>
        <v>13757.368060692204</v>
      </c>
      <c r="J49" s="81">
        <f t="shared" si="38"/>
        <v>7539.6199001465802</v>
      </c>
      <c r="O49" s="19">
        <f t="shared" si="14"/>
        <v>3.5833333333333353</v>
      </c>
      <c r="P49" s="10">
        <f t="shared" si="7"/>
        <v>0.83247421807065236</v>
      </c>
      <c r="Q49" s="10">
        <f t="shared" si="8"/>
        <v>0.91431206927708186</v>
      </c>
      <c r="R49" s="10">
        <f t="shared" si="9"/>
        <v>3.2471093652558736E-2</v>
      </c>
      <c r="S49" s="10">
        <f t="shared" si="10"/>
        <v>0.76114122494399883</v>
      </c>
      <c r="T49" s="10">
        <f t="shared" si="11"/>
        <v>2.7031348298312757E-2</v>
      </c>
      <c r="V49" s="19">
        <v>3.5</v>
      </c>
      <c r="W49" s="12">
        <v>13031.20723015658</v>
      </c>
      <c r="X49" s="12">
        <f t="shared" si="33"/>
        <v>484.27334732565134</v>
      </c>
      <c r="Y49" s="12">
        <f t="shared" si="34"/>
        <v>24.213667366282568</v>
      </c>
      <c r="Z49" s="12">
        <f t="shared" si="18"/>
        <v>76.281584570085499</v>
      </c>
      <c r="AA49" s="12">
        <f t="shared" si="19"/>
        <v>41.553972421115581</v>
      </c>
      <c r="AB49" s="12">
        <f t="shared" si="20"/>
        <v>6.3283503554132432</v>
      </c>
      <c r="AC49" s="12">
        <f t="shared" si="21"/>
        <v>124.92186421141677</v>
      </c>
      <c r="AD49" s="12">
        <f t="shared" si="22"/>
        <v>8.9971931001661325</v>
      </c>
      <c r="AE49" s="12">
        <f t="shared" si="23"/>
        <v>13354.133766389945</v>
      </c>
      <c r="AF49" s="81">
        <f t="shared" si="35"/>
        <v>31.613348207978561</v>
      </c>
      <c r="AH49" s="12">
        <v>7689.1200770983978</v>
      </c>
      <c r="AM49" s="19">
        <f t="shared" si="24"/>
        <v>3.5833333333333353</v>
      </c>
      <c r="AN49" s="12">
        <v>7614.6153865635024</v>
      </c>
      <c r="AO49" s="12">
        <f t="shared" si="25"/>
        <v>43.054142464803256</v>
      </c>
      <c r="AP49" s="12">
        <f t="shared" si="26"/>
        <v>124.84388012699577</v>
      </c>
      <c r="AQ49" s="12">
        <f t="shared" si="27"/>
        <v>7520.7943920862399</v>
      </c>
      <c r="AR49" s="12">
        <f t="shared" si="28"/>
        <v>12.031256815070265</v>
      </c>
      <c r="AW49" s="19">
        <v>3.5</v>
      </c>
      <c r="AX49" s="12">
        <v>31.613348207978561</v>
      </c>
      <c r="AY49" s="5">
        <f t="shared" si="29"/>
        <v>0.88729006389943843</v>
      </c>
      <c r="AZ49" s="12">
        <f t="shared" si="36"/>
        <v>12.148975835696547</v>
      </c>
      <c r="BA49" s="5">
        <f t="shared" si="30"/>
        <v>3.0576171706974353E-2</v>
      </c>
      <c r="BB49" s="12">
        <f t="shared" si="31"/>
        <v>28.421678922748637</v>
      </c>
      <c r="BC49" s="5">
        <f t="shared" si="15"/>
        <v>0.61313704823888482</v>
      </c>
      <c r="BD49" s="12">
        <f t="shared" si="16"/>
        <v>17.426384320687426</v>
      </c>
      <c r="BE49" s="5">
        <f t="shared" si="17"/>
        <v>0.5424459671165589</v>
      </c>
      <c r="BF49" s="12">
        <f t="shared" si="32"/>
        <v>-413.35097183095576</v>
      </c>
    </row>
    <row r="50" spans="1:58">
      <c r="A50" s="19">
        <f t="shared" si="12"/>
        <v>3.6666666666666687</v>
      </c>
      <c r="B50" s="10">
        <f t="shared" si="1"/>
        <v>0.83619179812103239</v>
      </c>
      <c r="C50" s="10">
        <f t="shared" si="2"/>
        <v>0.91240923527307771</v>
      </c>
      <c r="D50" s="10">
        <f t="shared" si="3"/>
        <v>3.315019995309898E-2</v>
      </c>
      <c r="E50" s="10">
        <f t="shared" si="4"/>
        <v>0.762949119065231</v>
      </c>
      <c r="F50" s="10">
        <f t="shared" si="5"/>
        <v>2.7719925306853601E-2</v>
      </c>
      <c r="H50" s="19">
        <f t="shared" si="13"/>
        <v>3.6666666666666687</v>
      </c>
      <c r="I50" s="81">
        <f t="shared" si="37"/>
        <v>14123.905439531978</v>
      </c>
      <c r="J50" s="81">
        <f t="shared" si="38"/>
        <v>7464.1303847545714</v>
      </c>
      <c r="O50" s="19">
        <f t="shared" si="14"/>
        <v>3.6666666666666687</v>
      </c>
      <c r="P50" s="10">
        <f t="shared" si="7"/>
        <v>0.82893208536043939</v>
      </c>
      <c r="Q50" s="10">
        <f t="shared" si="8"/>
        <v>0.91240923527307771</v>
      </c>
      <c r="R50" s="10">
        <f t="shared" si="9"/>
        <v>3.315019995309898E-2</v>
      </c>
      <c r="S50" s="10">
        <f t="shared" si="10"/>
        <v>0.75632529009703608</v>
      </c>
      <c r="T50" s="10">
        <f t="shared" si="11"/>
        <v>2.7479264377237876E-2</v>
      </c>
      <c r="V50" s="19">
        <v>3.5833333333333321</v>
      </c>
      <c r="W50" s="12">
        <v>13393.14017990952</v>
      </c>
      <c r="X50" s="12">
        <f t="shared" si="33"/>
        <v>484.27334732565134</v>
      </c>
      <c r="Y50" s="12">
        <f t="shared" si="34"/>
        <v>24.213667366282568</v>
      </c>
      <c r="Z50" s="12">
        <f t="shared" si="18"/>
        <v>78.328006088481075</v>
      </c>
      <c r="AA50" s="12">
        <f t="shared" si="19"/>
        <v>41.553972421115581</v>
      </c>
      <c r="AB50" s="12">
        <f t="shared" si="20"/>
        <v>6.2660231479277044</v>
      </c>
      <c r="AC50" s="12">
        <f t="shared" si="21"/>
        <v>124.92186421141677</v>
      </c>
      <c r="AD50" s="12">
        <f t="shared" si="22"/>
        <v>9.2381301959335822</v>
      </c>
      <c r="AE50" s="12">
        <f t="shared" si="23"/>
        <v>13717.300863581746</v>
      </c>
      <c r="AF50" s="81">
        <f t="shared" si="35"/>
        <v>32.247012399229789</v>
      </c>
      <c r="AH50" s="12">
        <v>7614.6153865635024</v>
      </c>
      <c r="AM50" s="19">
        <f t="shared" si="24"/>
        <v>3.6666666666666687</v>
      </c>
      <c r="AN50" s="12">
        <v>7539.6199001465802</v>
      </c>
      <c r="AO50" s="12">
        <f t="shared" si="25"/>
        <v>42.630107081202794</v>
      </c>
      <c r="AP50" s="12">
        <f t="shared" si="26"/>
        <v>124.84388012699577</v>
      </c>
      <c r="AQ50" s="12">
        <f t="shared" si="27"/>
        <v>7445.4933647744401</v>
      </c>
      <c r="AR50" s="12">
        <f t="shared" si="28"/>
        <v>11.912762326346638</v>
      </c>
      <c r="AW50" s="19">
        <v>3.5833333333333321</v>
      </c>
      <c r="AX50" s="12">
        <v>32.247012399229789</v>
      </c>
      <c r="AY50" s="5">
        <f t="shared" si="29"/>
        <v>0.88470590494348356</v>
      </c>
      <c r="AZ50" s="12">
        <f t="shared" si="36"/>
        <v>12.031256815070265</v>
      </c>
      <c r="BA50" s="5">
        <f t="shared" si="30"/>
        <v>3.1237235285564102E-2</v>
      </c>
      <c r="BB50" s="12">
        <f t="shared" si="31"/>
        <v>28.90494548629772</v>
      </c>
      <c r="BC50" s="5">
        <f t="shared" si="15"/>
        <v>0.60603737078975661</v>
      </c>
      <c r="BD50" s="12">
        <f t="shared" si="16"/>
        <v>17.517477165337112</v>
      </c>
      <c r="BE50" s="5">
        <f t="shared" si="17"/>
        <v>0.53460330478249662</v>
      </c>
      <c r="BF50" s="12">
        <f t="shared" si="32"/>
        <v>-395.83349466561867</v>
      </c>
    </row>
    <row r="51" spans="1:58">
      <c r="A51" s="19">
        <f t="shared" si="12"/>
        <v>3.7500000000000022</v>
      </c>
      <c r="B51" s="10">
        <f t="shared" si="1"/>
        <v>0.83279887242787853</v>
      </c>
      <c r="C51" s="10">
        <f t="shared" si="2"/>
        <v>0.91051036138003405</v>
      </c>
      <c r="D51" s="10">
        <f t="shared" si="3"/>
        <v>3.3826028543036957E-2</v>
      </c>
      <c r="E51" s="10">
        <f t="shared" si="4"/>
        <v>0.75827200229119252</v>
      </c>
      <c r="F51" s="10">
        <f t="shared" si="5"/>
        <v>2.8170278429354413E-2</v>
      </c>
      <c r="H51" s="19">
        <f t="shared" si="13"/>
        <v>3.7500000000000022</v>
      </c>
      <c r="I51" s="81">
        <f t="shared" si="37"/>
        <v>14492.766976018889</v>
      </c>
      <c r="J51" s="81">
        <f t="shared" si="38"/>
        <v>7388.1435859965804</v>
      </c>
      <c r="O51" s="19">
        <f t="shared" si="14"/>
        <v>3.7500000000000022</v>
      </c>
      <c r="P51" s="10">
        <f t="shared" si="7"/>
        <v>0.82540502423306272</v>
      </c>
      <c r="Q51" s="10">
        <f t="shared" si="8"/>
        <v>0.91051036138003405</v>
      </c>
      <c r="R51" s="10">
        <f t="shared" si="9"/>
        <v>3.3826028543036957E-2</v>
      </c>
      <c r="S51" s="10">
        <f t="shared" si="10"/>
        <v>0.75153982689934173</v>
      </c>
      <c r="T51" s="10">
        <f t="shared" si="11"/>
        <v>2.7920173909273691E-2</v>
      </c>
      <c r="V51" s="19">
        <v>3.6666666666666652</v>
      </c>
      <c r="W51" s="12">
        <v>13757.368060692197</v>
      </c>
      <c r="X51" s="12">
        <f t="shared" si="33"/>
        <v>484.27334732565134</v>
      </c>
      <c r="Y51" s="12">
        <f t="shared" si="34"/>
        <v>24.213667366282568</v>
      </c>
      <c r="Z51" s="12">
        <f t="shared" si="18"/>
        <v>80.387403480572843</v>
      </c>
      <c r="AA51" s="12">
        <f t="shared" si="19"/>
        <v>41.553972421115581</v>
      </c>
      <c r="AB51" s="12">
        <f t="shared" si="20"/>
        <v>6.2032853631140457</v>
      </c>
      <c r="AC51" s="12">
        <f t="shared" si="21"/>
        <v>124.92186421141677</v>
      </c>
      <c r="AD51" s="12">
        <f t="shared" si="22"/>
        <v>9.480595016705534</v>
      </c>
      <c r="AE51" s="12">
        <f t="shared" si="23"/>
        <v>14082.770732608484</v>
      </c>
      <c r="AF51" s="81">
        <f t="shared" si="35"/>
        <v>32.884694511303678</v>
      </c>
      <c r="AH51" s="12">
        <v>7539.6199001465802</v>
      </c>
      <c r="AM51" s="19">
        <f t="shared" si="24"/>
        <v>3.7500000000000022</v>
      </c>
      <c r="AN51" s="12">
        <v>7464.1303847545714</v>
      </c>
      <c r="AO51" s="12">
        <f t="shared" si="25"/>
        <v>42.203278385951613</v>
      </c>
      <c r="AP51" s="12">
        <f t="shared" si="26"/>
        <v>124.84388012699577</v>
      </c>
      <c r="AQ51" s="12">
        <f t="shared" si="27"/>
        <v>7369.6962957523565</v>
      </c>
      <c r="AR51" s="12">
        <f t="shared" si="28"/>
        <v>11.793487261170412</v>
      </c>
      <c r="AW51" s="19">
        <v>3.6666666666666652</v>
      </c>
      <c r="AX51" s="12">
        <v>32.884694511303678</v>
      </c>
      <c r="AY51" s="5">
        <f t="shared" si="29"/>
        <v>0.88212927213684722</v>
      </c>
      <c r="AZ51" s="12">
        <f t="shared" si="36"/>
        <v>11.912762326346638</v>
      </c>
      <c r="BA51" s="5">
        <f t="shared" si="30"/>
        <v>3.1894500627910771E-2</v>
      </c>
      <c r="BB51" s="12">
        <f t="shared" si="31"/>
        <v>29.388503239196705</v>
      </c>
      <c r="BC51" s="5">
        <f t="shared" si="15"/>
        <v>0.5990199023998044</v>
      </c>
      <c r="BD51" s="12">
        <f t="shared" si="16"/>
        <v>17.604298342019945</v>
      </c>
      <c r="BE51" s="5">
        <f t="shared" si="17"/>
        <v>0.52687403135021382</v>
      </c>
      <c r="BF51" s="12">
        <f t="shared" si="32"/>
        <v>-378.22919632359873</v>
      </c>
    </row>
    <row r="52" spans="1:58">
      <c r="A52" s="19">
        <f t="shared" si="12"/>
        <v>3.8333333333333357</v>
      </c>
      <c r="B52" s="10">
        <f t="shared" si="1"/>
        <v>0.82941971384507551</v>
      </c>
      <c r="C52" s="10">
        <f t="shared" si="2"/>
        <v>0.90861543935630762</v>
      </c>
      <c r="D52" s="10">
        <f t="shared" si="3"/>
        <v>3.4498590898952575E-2</v>
      </c>
      <c r="E52" s="10">
        <f t="shared" si="4"/>
        <v>0.75362355770612621</v>
      </c>
      <c r="F52" s="10">
        <f t="shared" si="5"/>
        <v>2.861381139146757E-2</v>
      </c>
      <c r="H52" s="19">
        <f t="shared" si="13"/>
        <v>3.8333333333333357</v>
      </c>
      <c r="I52" s="81">
        <f t="shared" si="37"/>
        <v>14863.967422894453</v>
      </c>
      <c r="J52" s="81">
        <f t="shared" si="38"/>
        <v>7311.6562280435755</v>
      </c>
      <c r="O52" s="19">
        <f t="shared" si="14"/>
        <v>3.8333333333333357</v>
      </c>
      <c r="P52" s="10">
        <f t="shared" si="7"/>
        <v>0.82189297055975374</v>
      </c>
      <c r="Q52" s="10">
        <f t="shared" si="8"/>
        <v>0.90861543935630762</v>
      </c>
      <c r="R52" s="10">
        <f t="shared" si="9"/>
        <v>3.4498590898952575E-2</v>
      </c>
      <c r="S52" s="10">
        <f t="shared" si="10"/>
        <v>0.74678464254901145</v>
      </c>
      <c r="T52" s="10">
        <f t="shared" si="11"/>
        <v>2.8354149354065817E-2</v>
      </c>
      <c r="V52" s="19">
        <v>3.75</v>
      </c>
      <c r="W52" s="12">
        <v>14123.905439531971</v>
      </c>
      <c r="X52" s="12">
        <f t="shared" si="33"/>
        <v>484.27334732565134</v>
      </c>
      <c r="Y52" s="12">
        <f t="shared" si="34"/>
        <v>24.213667366282568</v>
      </c>
      <c r="Z52" s="12">
        <f t="shared" si="18"/>
        <v>82.459859110451362</v>
      </c>
      <c r="AA52" s="12">
        <f t="shared" si="19"/>
        <v>41.553972421115581</v>
      </c>
      <c r="AB52" s="12">
        <f t="shared" si="20"/>
        <v>6.1401342963148773</v>
      </c>
      <c r="AC52" s="12">
        <f t="shared" si="21"/>
        <v>124.92186421141677</v>
      </c>
      <c r="AD52" s="12">
        <f t="shared" si="22"/>
        <v>9.7245972596849342</v>
      </c>
      <c r="AE52" s="12">
        <f t="shared" si="23"/>
        <v>14450.557990365358</v>
      </c>
      <c r="AF52" s="81">
        <f t="shared" si="35"/>
        <v>33.526420047901411</v>
      </c>
      <c r="AH52" s="12">
        <v>7464.1303847545714</v>
      </c>
      <c r="AM52" s="19">
        <f t="shared" si="24"/>
        <v>3.8333333333333357</v>
      </c>
      <c r="AN52" s="12">
        <v>7388.1435859965804</v>
      </c>
      <c r="AO52" s="12">
        <f t="shared" si="25"/>
        <v>41.773637978250427</v>
      </c>
      <c r="AP52" s="12">
        <f t="shared" si="26"/>
        <v>124.84388012699577</v>
      </c>
      <c r="AQ52" s="12">
        <f t="shared" si="27"/>
        <v>7293.3999173703023</v>
      </c>
      <c r="AR52" s="12">
        <f t="shared" si="28"/>
        <v>11.673426477532303</v>
      </c>
      <c r="AW52" s="19">
        <v>3.75</v>
      </c>
      <c r="AX52" s="12">
        <v>33.526420047901411</v>
      </c>
      <c r="AY52" s="5">
        <f t="shared" si="29"/>
        <v>0.87956014356024148</v>
      </c>
      <c r="AZ52" s="12">
        <f t="shared" si="36"/>
        <v>11.793487261170412</v>
      </c>
      <c r="BA52" s="5">
        <f t="shared" si="30"/>
        <v>3.2547983472573705E-2</v>
      </c>
      <c r="BB52" s="12">
        <f t="shared" si="31"/>
        <v>29.872357058853705</v>
      </c>
      <c r="BC52" s="5">
        <f t="shared" si="15"/>
        <v>0.59208369114840065</v>
      </c>
      <c r="BD52" s="12">
        <f t="shared" si="16"/>
        <v>17.686935430709084</v>
      </c>
      <c r="BE52" s="5">
        <f t="shared" si="17"/>
        <v>0.519256507447454</v>
      </c>
      <c r="BF52" s="12">
        <f t="shared" si="32"/>
        <v>-360.54226089288966</v>
      </c>
    </row>
    <row r="53" spans="1:58">
      <c r="A53" s="19">
        <f t="shared" si="12"/>
        <v>3.9166666666666692</v>
      </c>
      <c r="B53" s="10">
        <f t="shared" si="1"/>
        <v>0.82605426651129765</v>
      </c>
      <c r="C53" s="10">
        <f t="shared" si="2"/>
        <v>0.90672446097740755</v>
      </c>
      <c r="D53" s="10">
        <f t="shared" si="3"/>
        <v>3.5167898461919034E-2</v>
      </c>
      <c r="E53" s="10">
        <f t="shared" si="4"/>
        <v>0.74900360954054412</v>
      </c>
      <c r="F53" s="10">
        <f t="shared" si="5"/>
        <v>2.905059256870432E-2</v>
      </c>
      <c r="H53" s="19">
        <f t="shared" si="13"/>
        <v>3.9166666666666692</v>
      </c>
      <c r="I53" s="81">
        <f t="shared" si="37"/>
        <v>15237.521626644215</v>
      </c>
      <c r="J53" s="81">
        <f t="shared" si="38"/>
        <v>7234.6650134871679</v>
      </c>
      <c r="O53" s="19">
        <f t="shared" si="14"/>
        <v>3.9166666666666692</v>
      </c>
      <c r="P53" s="10">
        <f t="shared" si="7"/>
        <v>0.81839586048460811</v>
      </c>
      <c r="Q53" s="10">
        <f t="shared" si="8"/>
        <v>0.90672446097740755</v>
      </c>
      <c r="R53" s="10">
        <f t="shared" si="9"/>
        <v>3.5167898461919034E-2</v>
      </c>
      <c r="S53" s="10">
        <f t="shared" si="10"/>
        <v>0.74205954546404795</v>
      </c>
      <c r="T53" s="10">
        <f t="shared" si="11"/>
        <v>2.8781262523177555E-2</v>
      </c>
      <c r="V53" s="19">
        <v>3.8333333333333317</v>
      </c>
      <c r="W53" s="12">
        <v>14492.766976018882</v>
      </c>
      <c r="X53" s="12">
        <f t="shared" si="33"/>
        <v>484.27334732565134</v>
      </c>
      <c r="Y53" s="12">
        <f t="shared" si="34"/>
        <v>24.213667366282568</v>
      </c>
      <c r="Z53" s="12">
        <f t="shared" si="18"/>
        <v>84.545455865570062</v>
      </c>
      <c r="AA53" s="12">
        <f t="shared" si="19"/>
        <v>41.553972421115581</v>
      </c>
      <c r="AB53" s="12">
        <f t="shared" si="20"/>
        <v>6.0765672250560145</v>
      </c>
      <c r="AC53" s="12">
        <f t="shared" si="21"/>
        <v>124.92186421141677</v>
      </c>
      <c r="AD53" s="12">
        <f t="shared" si="22"/>
        <v>9.9701466836932795</v>
      </c>
      <c r="AE53" s="12">
        <f t="shared" si="23"/>
        <v>14820.677346627745</v>
      </c>
      <c r="AF53" s="81">
        <f t="shared" si="35"/>
        <v>34.172214674792485</v>
      </c>
      <c r="AH53" s="12">
        <v>7388.1435859965804</v>
      </c>
      <c r="AM53" s="19">
        <f t="shared" si="24"/>
        <v>3.9166666666666692</v>
      </c>
      <c r="AN53" s="12">
        <v>7311.6562280435755</v>
      </c>
      <c r="AO53" s="12">
        <f t="shared" si="25"/>
        <v>41.341167336085626</v>
      </c>
      <c r="AP53" s="12">
        <f t="shared" si="26"/>
        <v>124.84388012699577</v>
      </c>
      <c r="AQ53" s="12">
        <f t="shared" si="27"/>
        <v>7216.6009404531123</v>
      </c>
      <c r="AR53" s="12">
        <f t="shared" si="28"/>
        <v>11.55257479955344</v>
      </c>
      <c r="AW53" s="19">
        <v>3.8333333333333317</v>
      </c>
      <c r="AX53" s="12">
        <v>34.172214674792485</v>
      </c>
      <c r="AY53" s="5">
        <f t="shared" si="29"/>
        <v>0.876998497358217</v>
      </c>
      <c r="AZ53" s="12">
        <f t="shared" si="36"/>
        <v>11.673426477532303</v>
      </c>
      <c r="BA53" s="5">
        <f t="shared" si="30"/>
        <v>3.3197699500597366E-2</v>
      </c>
      <c r="BB53" s="12">
        <f t="shared" si="31"/>
        <v>30.356511825538856</v>
      </c>
      <c r="BC53" s="5">
        <f t="shared" si="15"/>
        <v>0.58522779613746156</v>
      </c>
      <c r="BD53" s="12">
        <f t="shared" si="16"/>
        <v>17.765474514080896</v>
      </c>
      <c r="BE53" s="5">
        <f t="shared" si="17"/>
        <v>0.51174911740394047</v>
      </c>
      <c r="BF53" s="12">
        <f t="shared" si="32"/>
        <v>-342.77678637880877</v>
      </c>
    </row>
    <row r="54" spans="1:58">
      <c r="A54" s="19">
        <f t="shared" si="12"/>
        <v>4.0000000000000027</v>
      </c>
      <c r="B54" s="10">
        <f t="shared" si="1"/>
        <v>0.82270247479188163</v>
      </c>
      <c r="C54" s="10">
        <f t="shared" si="2"/>
        <v>0.90483741803595952</v>
      </c>
      <c r="D54" s="10">
        <f t="shared" si="3"/>
        <v>3.5833962637604078E-2</v>
      </c>
      <c r="E54" s="10">
        <f t="shared" si="4"/>
        <v>0.74441198310248025</v>
      </c>
      <c r="F54" s="10">
        <f t="shared" si="5"/>
        <v>2.9480689743556696E-2</v>
      </c>
      <c r="H54" s="19">
        <f t="shared" si="13"/>
        <v>4.0000000000000027</v>
      </c>
      <c r="I54" s="81">
        <f t="shared" si="37"/>
        <v>15613.444528094069</v>
      </c>
      <c r="J54" s="81">
        <f t="shared" si="38"/>
        <v>7157.1666231974568</v>
      </c>
      <c r="O54" s="19">
        <f t="shared" si="14"/>
        <v>4.0000000000000027</v>
      </c>
      <c r="P54" s="10">
        <f t="shared" si="7"/>
        <v>0.81491363042342502</v>
      </c>
      <c r="Q54" s="10">
        <f t="shared" si="8"/>
        <v>0.90483741803595952</v>
      </c>
      <c r="R54" s="10">
        <f t="shared" si="9"/>
        <v>3.5833962637604078E-2</v>
      </c>
      <c r="S54" s="10">
        <f t="shared" si="10"/>
        <v>0.73736434527464201</v>
      </c>
      <c r="T54" s="10">
        <f t="shared" si="11"/>
        <v>2.9201584585467309E-2</v>
      </c>
      <c r="V54" s="19">
        <v>3.9166666666666652</v>
      </c>
      <c r="W54" s="12">
        <v>14863.967422894446</v>
      </c>
      <c r="X54" s="12">
        <f t="shared" si="33"/>
        <v>484.27334732565134</v>
      </c>
      <c r="Y54" s="12">
        <f t="shared" si="34"/>
        <v>24.213667366282568</v>
      </c>
      <c r="Z54" s="12">
        <f t="shared" si="18"/>
        <v>86.644277160074296</v>
      </c>
      <c r="AA54" s="12">
        <f t="shared" si="19"/>
        <v>41.553972421115581</v>
      </c>
      <c r="AB54" s="12">
        <f t="shared" si="20"/>
        <v>6.012581408929111</v>
      </c>
      <c r="AC54" s="12">
        <f t="shared" si="21"/>
        <v>124.92186421141677</v>
      </c>
      <c r="AD54" s="12">
        <f t="shared" si="22"/>
        <v>10.217253109562565</v>
      </c>
      <c r="AE54" s="12">
        <f t="shared" si="23"/>
        <v>15193.143604642024</v>
      </c>
      <c r="AF54" s="81">
        <f t="shared" si="35"/>
        <v>34.822104220840629</v>
      </c>
      <c r="AH54" s="12">
        <v>7311.6562280435755</v>
      </c>
      <c r="AM54" s="19">
        <f t="shared" si="24"/>
        <v>4.0000000000000027</v>
      </c>
      <c r="AN54" s="12">
        <v>7234.6650134871679</v>
      </c>
      <c r="AO54" s="12">
        <f t="shared" si="25"/>
        <v>40.905847815430782</v>
      </c>
      <c r="AP54" s="12">
        <f t="shared" si="26"/>
        <v>124.84388012699577</v>
      </c>
      <c r="AQ54" s="12">
        <f t="shared" si="27"/>
        <v>7139.2960541583489</v>
      </c>
      <c r="AR54" s="12">
        <f t="shared" si="28"/>
        <v>11.430927017254362</v>
      </c>
      <c r="AW54" s="19">
        <v>3.9166666666666652</v>
      </c>
      <c r="AX54" s="12">
        <v>34.822104220840629</v>
      </c>
      <c r="AY54" s="5">
        <f t="shared" si="29"/>
        <v>0.8744443117389763</v>
      </c>
      <c r="AZ54" s="12">
        <f t="shared" si="36"/>
        <v>11.55257479955344</v>
      </c>
      <c r="BA54" s="5">
        <f t="shared" si="30"/>
        <v>3.3843664335710288E-2</v>
      </c>
      <c r="BB54" s="12">
        <f t="shared" si="31"/>
        <v>30.840972422425157</v>
      </c>
      <c r="BC54" s="5">
        <f t="shared" si="15"/>
        <v>0.57845128736381235</v>
      </c>
      <c r="BD54" s="12">
        <f t="shared" si="16"/>
        <v>17.840000201303667</v>
      </c>
      <c r="BE54" s="5">
        <f t="shared" si="17"/>
        <v>0.50435026890869272</v>
      </c>
      <c r="BF54" s="12">
        <f t="shared" si="32"/>
        <v>-324.9367861775051</v>
      </c>
    </row>
    <row r="55" spans="1:58">
      <c r="A55" s="19">
        <f t="shared" si="12"/>
        <v>4.0833333333333357</v>
      </c>
      <c r="B55" s="10">
        <f t="shared" si="1"/>
        <v>0.81936428327790733</v>
      </c>
      <c r="C55" s="10">
        <f t="shared" si="2"/>
        <v>0.90295430234166985</v>
      </c>
      <c r="D55" s="10">
        <f t="shared" si="3"/>
        <v>3.64967947963728E-2</v>
      </c>
      <c r="E55" s="10">
        <f t="shared" si="4"/>
        <v>0.73984850477088515</v>
      </c>
      <c r="F55" s="10">
        <f t="shared" si="5"/>
        <v>2.9904170110270856E-2</v>
      </c>
      <c r="H55" s="19">
        <f t="shared" si="13"/>
        <v>4.0833333333333357</v>
      </c>
      <c r="I55" s="81">
        <f t="shared" si="37"/>
        <v>15991.751163010378</v>
      </c>
      <c r="J55" s="81">
        <f t="shared" si="38"/>
        <v>7079.1577161799414</v>
      </c>
      <c r="O55" s="19">
        <f t="shared" si="14"/>
        <v>4.0833333333333357</v>
      </c>
      <c r="P55" s="10">
        <f t="shared" si="7"/>
        <v>0.81144621706255127</v>
      </c>
      <c r="Q55" s="10">
        <f t="shared" si="8"/>
        <v>0.90295430234166985</v>
      </c>
      <c r="R55" s="10">
        <f t="shared" si="9"/>
        <v>3.64967947963728E-2</v>
      </c>
      <c r="S55" s="10">
        <f t="shared" si="10"/>
        <v>0.73269885281550318</v>
      </c>
      <c r="T55" s="10">
        <f t="shared" si="11"/>
        <v>2.9615186072424915E-2</v>
      </c>
      <c r="V55" s="19">
        <v>4</v>
      </c>
      <c r="W55" s="12">
        <v>15237.521626644208</v>
      </c>
      <c r="X55" s="12">
        <f t="shared" si="33"/>
        <v>484.27334732565134</v>
      </c>
      <c r="Y55" s="12">
        <f t="shared" si="34"/>
        <v>24.213667366282568</v>
      </c>
      <c r="Z55" s="12">
        <f t="shared" si="18"/>
        <v>88.756406938151869</v>
      </c>
      <c r="AA55" s="12">
        <f t="shared" si="19"/>
        <v>41.553972421115581</v>
      </c>
      <c r="AB55" s="12">
        <f t="shared" si="20"/>
        <v>5.9481740894735209</v>
      </c>
      <c r="AC55" s="12">
        <f t="shared" si="21"/>
        <v>124.92186421141677</v>
      </c>
      <c r="AD55" s="12">
        <f t="shared" si="22"/>
        <v>10.465926420529767</v>
      </c>
      <c r="AE55" s="12">
        <f t="shared" si="23"/>
        <v>15567.971661720174</v>
      </c>
      <c r="AF55" s="81">
        <f t="shared" si="35"/>
        <v>35.476114679018792</v>
      </c>
      <c r="AH55" s="12">
        <v>7234.6650134871679</v>
      </c>
      <c r="AM55" s="19">
        <f t="shared" si="24"/>
        <v>4.0833333333333357</v>
      </c>
      <c r="AN55" s="12">
        <v>7157.1666231974568</v>
      </c>
      <c r="AO55" s="12">
        <f t="shared" si="25"/>
        <v>40.467660649442877</v>
      </c>
      <c r="AP55" s="12">
        <f t="shared" si="26"/>
        <v>124.84388012699577</v>
      </c>
      <c r="AQ55" s="12">
        <f t="shared" si="27"/>
        <v>7061.4819258335638</v>
      </c>
      <c r="AR55" s="12">
        <f t="shared" si="28"/>
        <v>11.30847788634037</v>
      </c>
      <c r="AW55" s="19">
        <v>4</v>
      </c>
      <c r="AX55" s="12">
        <v>35.476114679018792</v>
      </c>
      <c r="AY55" s="5">
        <f t="shared" si="29"/>
        <v>0.8718975649741888</v>
      </c>
      <c r="AZ55" s="12">
        <f t="shared" si="36"/>
        <v>11.430927017254362</v>
      </c>
      <c r="BA55" s="5">
        <f t="shared" si="30"/>
        <v>3.4485893544518698E-2</v>
      </c>
      <c r="BB55" s="12">
        <f t="shared" si="31"/>
        <v>31.325743735613759</v>
      </c>
      <c r="BC55" s="5">
        <f t="shared" si="15"/>
        <v>0.57175324559303342</v>
      </c>
      <c r="BD55" s="12">
        <f t="shared" si="16"/>
        <v>17.910595651452802</v>
      </c>
      <c r="BE55" s="5">
        <f t="shared" si="17"/>
        <v>0.49705839267229962</v>
      </c>
      <c r="BF55" s="12">
        <f t="shared" si="32"/>
        <v>-307.02619052605229</v>
      </c>
    </row>
    <row r="56" spans="1:58">
      <c r="A56" s="19">
        <f t="shared" si="12"/>
        <v>4.1666666666666687</v>
      </c>
      <c r="B56" s="10">
        <f t="shared" si="1"/>
        <v>0.81603963678528069</v>
      </c>
      <c r="C56" s="10">
        <f t="shared" si="2"/>
        <v>0.90107510572129057</v>
      </c>
      <c r="D56" s="10">
        <f t="shared" si="3"/>
        <v>3.7156406273390452E-2</v>
      </c>
      <c r="E56" s="10">
        <f t="shared" si="4"/>
        <v>0.73531300198906036</v>
      </c>
      <c r="F56" s="10">
        <f t="shared" si="5"/>
        <v>3.032110027958387E-2</v>
      </c>
      <c r="H56" s="19">
        <f t="shared" si="13"/>
        <v>4.1666666666666687</v>
      </c>
      <c r="I56" s="81">
        <f t="shared" si="37"/>
        <v>16372.456662703915</v>
      </c>
      <c r="J56" s="81">
        <f t="shared" si="38"/>
        <v>7000.6349294314878</v>
      </c>
      <c r="O56" s="19">
        <f t="shared" si="14"/>
        <v>4.1666666666666687</v>
      </c>
      <c r="P56" s="10">
        <f t="shared" si="7"/>
        <v>0.80799355735772904</v>
      </c>
      <c r="Q56" s="10">
        <f t="shared" si="8"/>
        <v>0.90107510572129057</v>
      </c>
      <c r="R56" s="10">
        <f t="shared" si="9"/>
        <v>3.7156406273390452E-2</v>
      </c>
      <c r="S56" s="10">
        <f t="shared" si="10"/>
        <v>0.72806288011823739</v>
      </c>
      <c r="T56" s="10">
        <f t="shared" si="11"/>
        <v>3.0022136883465791E-2</v>
      </c>
      <c r="V56" s="19">
        <v>4.0833333333333321</v>
      </c>
      <c r="W56" s="12">
        <v>15613.444528094062</v>
      </c>
      <c r="X56" s="12">
        <f t="shared" si="33"/>
        <v>484.27334732565134</v>
      </c>
      <c r="Y56" s="12">
        <f t="shared" si="34"/>
        <v>24.213667366282568</v>
      </c>
      <c r="Z56" s="12">
        <f t="shared" si="18"/>
        <v>90.881929677404571</v>
      </c>
      <c r="AA56" s="12">
        <f t="shared" si="19"/>
        <v>41.553972421115581</v>
      </c>
      <c r="AB56" s="12">
        <f t="shared" si="20"/>
        <v>5.8833424900573768</v>
      </c>
      <c r="AC56" s="12">
        <f t="shared" si="21"/>
        <v>124.92186421141677</v>
      </c>
      <c r="AD56" s="12">
        <f t="shared" si="22"/>
        <v>10.716176562633787</v>
      </c>
      <c r="AE56" s="12">
        <f t="shared" si="23"/>
        <v>15945.176509838127</v>
      </c>
      <c r="AF56" s="81">
        <f t="shared" si="35"/>
        <v>36.134272207485992</v>
      </c>
      <c r="AH56" s="12">
        <v>7157.1666231974568</v>
      </c>
      <c r="AM56" s="19">
        <f t="shared" si="24"/>
        <v>4.1666666666666687</v>
      </c>
      <c r="AN56" s="12">
        <v>7079.1577161799414</v>
      </c>
      <c r="AO56" s="12">
        <f t="shared" si="25"/>
        <v>40.026586947653271</v>
      </c>
      <c r="AP56" s="12">
        <f t="shared" si="26"/>
        <v>124.84388012699577</v>
      </c>
      <c r="AQ56" s="12">
        <f t="shared" si="27"/>
        <v>6983.1552008726321</v>
      </c>
      <c r="AR56" s="12">
        <f t="shared" si="28"/>
        <v>11.185222127966881</v>
      </c>
      <c r="AW56" s="19">
        <v>4.0833333333333321</v>
      </c>
      <c r="AX56" s="12">
        <v>36.134272207485992</v>
      </c>
      <c r="AY56" s="5">
        <f t="shared" si="29"/>
        <v>0.86935823539880586</v>
      </c>
      <c r="AZ56" s="12">
        <f t="shared" si="36"/>
        <v>11.30847788634037</v>
      </c>
      <c r="BA56" s="5">
        <f t="shared" si="30"/>
        <v>3.5124402636703245E-2</v>
      </c>
      <c r="BB56" s="12">
        <f t="shared" si="31"/>
        <v>31.81083065420821</v>
      </c>
      <c r="BC56" s="5">
        <f t="shared" si="15"/>
        <v>0.56513276223476594</v>
      </c>
      <c r="BD56" s="12">
        <f t="shared" si="16"/>
        <v>17.977342596595051</v>
      </c>
      <c r="BE56" s="5">
        <f t="shared" si="17"/>
        <v>0.48987194209407448</v>
      </c>
      <c r="BF56" s="12">
        <f t="shared" si="32"/>
        <v>-289.04884792945722</v>
      </c>
    </row>
    <row r="57" spans="1:58">
      <c r="A57" s="19">
        <f t="shared" si="12"/>
        <v>4.2500000000000018</v>
      </c>
      <c r="B57" s="10">
        <f t="shared" si="1"/>
        <v>0.81272848035382284</v>
      </c>
      <c r="C57" s="10">
        <f t="shared" si="2"/>
        <v>0.89919982001858323</v>
      </c>
      <c r="D57" s="10">
        <f t="shared" si="3"/>
        <v>3.781280836872436E-2</v>
      </c>
      <c r="E57" s="10">
        <f t="shared" si="4"/>
        <v>0.7308053032581342</v>
      </c>
      <c r="F57" s="10">
        <f t="shared" si="5"/>
        <v>3.0731546283423665E-2</v>
      </c>
      <c r="H57" s="19">
        <f t="shared" si="13"/>
        <v>4.2500000000000018</v>
      </c>
      <c r="I57" s="81">
        <f t="shared" si="37"/>
        <v>16755.576254637654</v>
      </c>
      <c r="J57" s="81">
        <f t="shared" si="38"/>
        <v>6921.5948777953499</v>
      </c>
      <c r="O57" s="19">
        <f t="shared" si="14"/>
        <v>4.2500000000000018</v>
      </c>
      <c r="P57" s="10">
        <f t="shared" si="7"/>
        <v>0.80455558853295128</v>
      </c>
      <c r="Q57" s="10">
        <f t="shared" si="8"/>
        <v>0.89919982001858323</v>
      </c>
      <c r="R57" s="10">
        <f t="shared" si="9"/>
        <v>3.781280836872436E-2</v>
      </c>
      <c r="S57" s="10">
        <f t="shared" si="10"/>
        <v>0.7234562404037751</v>
      </c>
      <c r="T57" s="10">
        <f t="shared" si="11"/>
        <v>3.0422506291182733E-2</v>
      </c>
      <c r="V57" s="19">
        <v>4.1666666666666652</v>
      </c>
      <c r="W57" s="12">
        <v>15991.751163010371</v>
      </c>
      <c r="X57" s="12">
        <f t="shared" si="33"/>
        <v>484.27334732565134</v>
      </c>
      <c r="Y57" s="12">
        <f t="shared" si="34"/>
        <v>24.213667366282568</v>
      </c>
      <c r="Z57" s="12">
        <f t="shared" si="18"/>
        <v>93.020930392241411</v>
      </c>
      <c r="AA57" s="12">
        <f t="shared" si="19"/>
        <v>41.553972421115581</v>
      </c>
      <c r="AB57" s="12">
        <f t="shared" si="20"/>
        <v>5.8180838157578894</v>
      </c>
      <c r="AC57" s="12">
        <f t="shared" si="21"/>
        <v>124.92186421141677</v>
      </c>
      <c r="AD57" s="12">
        <f t="shared" si="22"/>
        <v>10.968013545114964</v>
      </c>
      <c r="AE57" s="12">
        <f t="shared" si="23"/>
        <v>16324.773236237968</v>
      </c>
      <c r="AF57" s="81">
        <f t="shared" si="35"/>
        <v>36.796603130607764</v>
      </c>
      <c r="AH57" s="12">
        <v>7079.1577161799414</v>
      </c>
      <c r="AM57" s="19">
        <f t="shared" si="24"/>
        <v>4.2500000000000018</v>
      </c>
      <c r="AN57" s="12">
        <v>7000.6349294314878</v>
      </c>
      <c r="AO57" s="12">
        <f t="shared" si="25"/>
        <v>39.582607695153293</v>
      </c>
      <c r="AP57" s="12">
        <f t="shared" si="26"/>
        <v>124.84388012699577</v>
      </c>
      <c r="AQ57" s="12">
        <f t="shared" si="27"/>
        <v>6904.3125025711279</v>
      </c>
      <c r="AR57" s="12">
        <f t="shared" si="28"/>
        <v>11.061154428517511</v>
      </c>
      <c r="AW57" s="19">
        <v>4.1666666666666652</v>
      </c>
      <c r="AX57" s="12">
        <v>36.796603130607764</v>
      </c>
      <c r="AY57" s="5">
        <f t="shared" si="29"/>
        <v>0.86682630141087658</v>
      </c>
      <c r="AZ57" s="12">
        <f t="shared" si="36"/>
        <v>11.185222127966881</v>
      </c>
      <c r="BA57" s="5">
        <f t="shared" si="30"/>
        <v>3.575920706521396E-2</v>
      </c>
      <c r="BB57" s="12">
        <f t="shared" si="31"/>
        <v>32.29623807033299</v>
      </c>
      <c r="BC57" s="5">
        <f t="shared" si="15"/>
        <v>0.55858893921946096</v>
      </c>
      <c r="BD57" s="12">
        <f t="shared" si="16"/>
        <v>18.040321364486477</v>
      </c>
      <c r="BE57" s="5">
        <f t="shared" si="17"/>
        <v>0.48278939293402207</v>
      </c>
      <c r="BF57" s="12">
        <f t="shared" si="32"/>
        <v>-271.00852656497074</v>
      </c>
    </row>
    <row r="58" spans="1:58">
      <c r="A58" s="19">
        <f t="shared" si="12"/>
        <v>4.3333333333333348</v>
      </c>
      <c r="B58" s="10">
        <f t="shared" si="1"/>
        <v>0.80943075924636065</v>
      </c>
      <c r="C58" s="10">
        <f t="shared" si="2"/>
        <v>0.897328437094284</v>
      </c>
      <c r="D58" s="10">
        <f t="shared" si="3"/>
        <v>3.84660123474454E-2</v>
      </c>
      <c r="E58" s="10">
        <f t="shared" si="4"/>
        <v>0.72632523813057648</v>
      </c>
      <c r="F58" s="10">
        <f t="shared" si="5"/>
        <v>3.1135573579572612E-2</v>
      </c>
      <c r="H58" s="19">
        <f t="shared" si="13"/>
        <v>4.3333333333333348</v>
      </c>
      <c r="I58" s="81">
        <f t="shared" si="37"/>
        <v>17141.125263038422</v>
      </c>
      <c r="J58" s="81">
        <f t="shared" si="38"/>
        <v>6842.0341538152325</v>
      </c>
      <c r="O58" s="19">
        <f t="shared" si="14"/>
        <v>4.3333333333333348</v>
      </c>
      <c r="P58" s="10">
        <f t="shared" si="7"/>
        <v>0.80113224807931904</v>
      </c>
      <c r="Q58" s="10">
        <f t="shared" si="8"/>
        <v>0.897328437094284</v>
      </c>
      <c r="R58" s="10">
        <f t="shared" si="9"/>
        <v>3.84660123474454E-2</v>
      </c>
      <c r="S58" s="10">
        <f t="shared" si="10"/>
        <v>0.71887874807484553</v>
      </c>
      <c r="T58" s="10">
        <f t="shared" si="11"/>
        <v>3.0816362946555778E-2</v>
      </c>
      <c r="V58" s="19">
        <v>4.25</v>
      </c>
      <c r="W58" s="12">
        <v>16372.456662703908</v>
      </c>
      <c r="X58" s="12">
        <f t="shared" si="33"/>
        <v>484.27334732565134</v>
      </c>
      <c r="Y58" s="12">
        <f t="shared" si="34"/>
        <v>24.213667366282568</v>
      </c>
      <c r="Z58" s="12">
        <f t="shared" si="18"/>
        <v>95.173494637293444</v>
      </c>
      <c r="AA58" s="12">
        <f t="shared" si="19"/>
        <v>41.553972421115581</v>
      </c>
      <c r="AB58" s="12">
        <f t="shared" si="20"/>
        <v>5.7523952532408567</v>
      </c>
      <c r="AC58" s="12">
        <f t="shared" si="21"/>
        <v>124.92186421141677</v>
      </c>
      <c r="AD58" s="12">
        <f t="shared" si="22"/>
        <v>11.221447440817109</v>
      </c>
      <c r="AE58" s="12">
        <f t="shared" si="23"/>
        <v>16706.777024033941</v>
      </c>
      <c r="AF58" s="81">
        <f t="shared" si="35"/>
        <v>37.463133940036641</v>
      </c>
      <c r="AH58" s="12">
        <v>7000.6349294314878</v>
      </c>
      <c r="AM58" s="19">
        <f t="shared" si="24"/>
        <v>4.3333333333333348</v>
      </c>
      <c r="AN58" s="12">
        <v>6921.5948777953499</v>
      </c>
      <c r="AO58" s="12">
        <f t="shared" si="25"/>
        <v>39.13570375177455</v>
      </c>
      <c r="AP58" s="12">
        <f t="shared" si="26"/>
        <v>124.84388012699577</v>
      </c>
      <c r="AQ58" s="12">
        <f t="shared" si="27"/>
        <v>6824.9504319807584</v>
      </c>
      <c r="AR58" s="12">
        <f t="shared" si="28"/>
        <v>10.936269439370335</v>
      </c>
      <c r="AW58" s="19">
        <v>4.25</v>
      </c>
      <c r="AX58" s="12">
        <v>37.463133940036641</v>
      </c>
      <c r="AY58" s="5">
        <f t="shared" si="29"/>
        <v>0.86430174147136407</v>
      </c>
      <c r="AZ58" s="12">
        <f t="shared" si="36"/>
        <v>11.061154428517511</v>
      </c>
      <c r="BA58" s="5">
        <f t="shared" si="30"/>
        <v>3.6390322226462768E-2</v>
      </c>
      <c r="BB58" s="12">
        <f t="shared" si="31"/>
        <v>32.781970879199051</v>
      </c>
      <c r="BC58" s="5">
        <f t="shared" si="15"/>
        <v>0.55212088887655653</v>
      </c>
      <c r="BD58" s="12">
        <f t="shared" si="16"/>
        <v>18.099610900948772</v>
      </c>
      <c r="BE58" s="5">
        <f t="shared" si="17"/>
        <v>0.47580924298954841</v>
      </c>
      <c r="BF58" s="12">
        <f t="shared" si="32"/>
        <v>-252.90891566402198</v>
      </c>
    </row>
    <row r="59" spans="1:58">
      <c r="A59" s="19">
        <f t="shared" si="12"/>
        <v>4.4166666666666679</v>
      </c>
      <c r="B59" s="10">
        <f t="shared" si="1"/>
        <v>0.80614641894782246</v>
      </c>
      <c r="C59" s="10">
        <f t="shared" si="2"/>
        <v>0.89546094882606841</v>
      </c>
      <c r="D59" s="10">
        <f t="shared" si="3"/>
        <v>3.9116029439730582E-2</v>
      </c>
      <c r="E59" s="10">
        <f t="shared" si="4"/>
        <v>0.72187263720375439</v>
      </c>
      <c r="F59" s="10">
        <f t="shared" si="5"/>
        <v>3.1533247056296405E-2</v>
      </c>
      <c r="H59" s="19">
        <f t="shared" si="13"/>
        <v>4.4166666666666679</v>
      </c>
      <c r="I59" s="81">
        <f t="shared" si="37"/>
        <v>17529.119109512456</v>
      </c>
      <c r="J59" s="81">
        <f t="shared" si="38"/>
        <v>6761.9493275883942</v>
      </c>
      <c r="O59" s="19">
        <f t="shared" si="14"/>
        <v>4.4166666666666679</v>
      </c>
      <c r="P59" s="10">
        <f t="shared" si="7"/>
        <v>0.79772347375390518</v>
      </c>
      <c r="Q59" s="10">
        <f t="shared" si="8"/>
        <v>0.89546094882606841</v>
      </c>
      <c r="R59" s="10">
        <f t="shared" si="9"/>
        <v>3.9116029439730582E-2</v>
      </c>
      <c r="S59" s="10">
        <f t="shared" si="10"/>
        <v>0.71433021870849922</v>
      </c>
      <c r="T59" s="10">
        <f t="shared" si="11"/>
        <v>3.1203774884121901E-2</v>
      </c>
      <c r="V59" s="19">
        <v>4.3333333333333313</v>
      </c>
      <c r="W59" s="12">
        <v>16755.576254637646</v>
      </c>
      <c r="X59" s="12">
        <f t="shared" si="33"/>
        <v>484.27334732565134</v>
      </c>
      <c r="Y59" s="12">
        <f t="shared" si="34"/>
        <v>24.213667366282568</v>
      </c>
      <c r="Z59" s="12">
        <f t="shared" si="18"/>
        <v>97.339708510850201</v>
      </c>
      <c r="AA59" s="12">
        <f t="shared" si="19"/>
        <v>41.553972421115581</v>
      </c>
      <c r="AB59" s="12">
        <f t="shared" si="20"/>
        <v>5.6862739706393812</v>
      </c>
      <c r="AC59" s="12">
        <f t="shared" si="21"/>
        <v>124.92186421141677</v>
      </c>
      <c r="AD59" s="12">
        <f t="shared" si="22"/>
        <v>11.476488386592109</v>
      </c>
      <c r="AE59" s="12">
        <f t="shared" si="23"/>
        <v>17091.203152822331</v>
      </c>
      <c r="AF59" s="81">
        <f t="shared" si="35"/>
        <v>38.13389129576899</v>
      </c>
      <c r="AH59" s="12">
        <v>6921.5948777953499</v>
      </c>
      <c r="AM59" s="19">
        <f t="shared" si="24"/>
        <v>4.4166666666666679</v>
      </c>
      <c r="AN59" s="12">
        <v>6842.0341538152325</v>
      </c>
      <c r="AO59" s="12">
        <f t="shared" si="25"/>
        <v>38.685855851263746</v>
      </c>
      <c r="AP59" s="12">
        <f t="shared" si="26"/>
        <v>124.84388012699577</v>
      </c>
      <c r="AQ59" s="12">
        <f t="shared" si="27"/>
        <v>6745.0655677628292</v>
      </c>
      <c r="AR59" s="12">
        <f t="shared" si="28"/>
        <v>10.81056177667142</v>
      </c>
      <c r="AW59" s="19">
        <v>4.3333333333333313</v>
      </c>
      <c r="AX59" s="12">
        <v>38.13389129576899</v>
      </c>
      <c r="AY59" s="5">
        <f t="shared" si="29"/>
        <v>0.86178453410396161</v>
      </c>
      <c r="AZ59" s="12">
        <f t="shared" si="36"/>
        <v>10.936269439370335</v>
      </c>
      <c r="BA59" s="5">
        <f t="shared" si="30"/>
        <v>3.7017763460519104E-2</v>
      </c>
      <c r="BB59" s="12">
        <f t="shared" si="31"/>
        <v>33.268033979142515</v>
      </c>
      <c r="BC59" s="5">
        <f t="shared" si="15"/>
        <v>0.54572773381406514</v>
      </c>
      <c r="BD59" s="12">
        <f t="shared" si="16"/>
        <v>18.155288791886761</v>
      </c>
      <c r="BE59" s="5">
        <f t="shared" si="17"/>
        <v>0.46893001177684601</v>
      </c>
      <c r="BF59" s="12">
        <f t="shared" si="32"/>
        <v>-234.75362687213521</v>
      </c>
    </row>
    <row r="60" spans="1:58">
      <c r="A60" s="19">
        <f t="shared" si="12"/>
        <v>4.5000000000000009</v>
      </c>
      <c r="B60" s="10">
        <f t="shared" si="1"/>
        <v>0.80287540516433609</v>
      </c>
      <c r="C60" s="10">
        <f t="shared" si="2"/>
        <v>0.89359734710851568</v>
      </c>
      <c r="D60" s="10">
        <f t="shared" si="3"/>
        <v>3.9762870840962528E-2</v>
      </c>
      <c r="E60" s="10">
        <f t="shared" si="4"/>
        <v>0.7174473321135254</v>
      </c>
      <c r="F60" s="10">
        <f t="shared" si="5"/>
        <v>3.1924631036934957E-2</v>
      </c>
      <c r="H60" s="19">
        <f t="shared" si="13"/>
        <v>4.5000000000000009</v>
      </c>
      <c r="I60" s="81">
        <f t="shared" si="37"/>
        <v>17919.573313664874</v>
      </c>
      <c r="J60" s="81">
        <f t="shared" si="38"/>
        <v>6681.3369466177837</v>
      </c>
      <c r="O60" s="19">
        <f t="shared" si="14"/>
        <v>4.5000000000000009</v>
      </c>
      <c r="P60" s="10">
        <f t="shared" si="7"/>
        <v>0.79432920357862313</v>
      </c>
      <c r="Q60" s="10">
        <f t="shared" si="8"/>
        <v>0.89359734710851568</v>
      </c>
      <c r="R60" s="10">
        <f t="shared" si="9"/>
        <v>3.9762870840962528E-2</v>
      </c>
      <c r="S60" s="10">
        <f t="shared" si="10"/>
        <v>0.70981046904867773</v>
      </c>
      <c r="T60" s="10">
        <f t="shared" si="11"/>
        <v>3.1584809527101423E-2</v>
      </c>
      <c r="V60" s="19">
        <v>4.4166666666666652</v>
      </c>
      <c r="W60" s="12">
        <v>17141.125263038415</v>
      </c>
      <c r="X60" s="12">
        <f t="shared" si="33"/>
        <v>484.27334732565134</v>
      </c>
      <c r="Y60" s="12">
        <f t="shared" si="34"/>
        <v>24.213667366282568</v>
      </c>
      <c r="Z60" s="12">
        <f t="shared" si="18"/>
        <v>99.519658658318079</v>
      </c>
      <c r="AA60" s="12">
        <f t="shared" si="19"/>
        <v>41.553972421115581</v>
      </c>
      <c r="AB60" s="12">
        <f t="shared" si="20"/>
        <v>5.6197171174317839</v>
      </c>
      <c r="AC60" s="12">
        <f t="shared" si="21"/>
        <v>124.92186421141677</v>
      </c>
      <c r="AD60" s="12">
        <f t="shared" si="22"/>
        <v>11.733146583707102</v>
      </c>
      <c r="AE60" s="12">
        <f t="shared" si="23"/>
        <v>17478.066999295221</v>
      </c>
      <c r="AF60" s="81">
        <f t="shared" si="35"/>
        <v>38.808902027209115</v>
      </c>
      <c r="AH60" s="12">
        <v>6842.0341538152325</v>
      </c>
      <c r="AM60" s="19">
        <f t="shared" si="24"/>
        <v>4.5000000000000009</v>
      </c>
      <c r="AN60" s="12">
        <v>6761.9493275883942</v>
      </c>
      <c r="AO60" s="12">
        <f t="shared" si="25"/>
        <v>38.233044600452111</v>
      </c>
      <c r="AP60" s="12">
        <f t="shared" si="26"/>
        <v>124.84388012699577</v>
      </c>
      <c r="AQ60" s="12">
        <f t="shared" si="27"/>
        <v>6664.6544660407517</v>
      </c>
      <c r="AR60" s="12">
        <f t="shared" si="28"/>
        <v>10.684026021099271</v>
      </c>
      <c r="AW60" s="19">
        <v>4.4166666666666652</v>
      </c>
      <c r="AX60" s="12">
        <v>38.808902027209115</v>
      </c>
      <c r="AY60" s="5">
        <f t="shared" si="29"/>
        <v>0.8592746578949112</v>
      </c>
      <c r="AZ60" s="12">
        <f t="shared" si="36"/>
        <v>10.81056177667142</v>
      </c>
      <c r="BA60" s="5">
        <f t="shared" si="30"/>
        <v>3.7641546051300434E-2</v>
      </c>
      <c r="BB60" s="12">
        <f t="shared" si="31"/>
        <v>33.754432271664243</v>
      </c>
      <c r="BC60" s="5">
        <f t="shared" si="15"/>
        <v>0.53940860679955449</v>
      </c>
      <c r="BD60" s="12">
        <f t="shared" si="16"/>
        <v>18.20743128496833</v>
      </c>
      <c r="BE60" s="5">
        <f t="shared" si="17"/>
        <v>0.46215024021688245</v>
      </c>
      <c r="BF60" s="12">
        <f t="shared" si="32"/>
        <v>-216.54619558716689</v>
      </c>
    </row>
    <row r="61" spans="1:58">
      <c r="A61" s="19">
        <f t="shared" si="12"/>
        <v>4.5833333333333339</v>
      </c>
      <c r="B61" s="10">
        <f t="shared" si="1"/>
        <v>0.79961766382233246</v>
      </c>
      <c r="C61" s="10">
        <f t="shared" si="2"/>
        <v>0.89173762385307354</v>
      </c>
      <c r="D61" s="10">
        <f t="shared" si="3"/>
        <v>4.0406547711831386E-2</v>
      </c>
      <c r="E61" s="10">
        <f t="shared" si="4"/>
        <v>0.71304915552787251</v>
      </c>
      <c r="F61" s="10">
        <f t="shared" si="5"/>
        <v>3.2309789284460225E-2</v>
      </c>
      <c r="H61" s="19">
        <f t="shared" si="13"/>
        <v>4.5833333333333339</v>
      </c>
      <c r="I61" s="81">
        <f t="shared" si="37"/>
        <v>18312.503493723096</v>
      </c>
      <c r="J61" s="81">
        <f t="shared" si="38"/>
        <v>6600.1935356631984</v>
      </c>
      <c r="O61" s="19">
        <f t="shared" si="14"/>
        <v>4.5833333333333339</v>
      </c>
      <c r="P61" s="10">
        <f t="shared" si="7"/>
        <v>0.79094937583909974</v>
      </c>
      <c r="Q61" s="10">
        <f t="shared" si="8"/>
        <v>0.89173762385307354</v>
      </c>
      <c r="R61" s="10">
        <f t="shared" si="9"/>
        <v>4.0406547711831386E-2</v>
      </c>
      <c r="S61" s="10">
        <f t="shared" si="10"/>
        <v>0.70531931699883044</v>
      </c>
      <c r="T61" s="10">
        <f t="shared" si="11"/>
        <v>3.1959533692485838E-2</v>
      </c>
      <c r="V61" s="19">
        <v>4.5</v>
      </c>
      <c r="W61" s="12">
        <v>17529.119109512449</v>
      </c>
      <c r="X61" s="12">
        <f t="shared" si="33"/>
        <v>484.27334732565134</v>
      </c>
      <c r="Y61" s="12">
        <f t="shared" si="34"/>
        <v>24.213667366282568</v>
      </c>
      <c r="Z61" s="12">
        <f t="shared" si="18"/>
        <v>101.71343227570087</v>
      </c>
      <c r="AA61" s="12">
        <f t="shared" si="19"/>
        <v>41.553972421115581</v>
      </c>
      <c r="AB61" s="12">
        <f t="shared" si="20"/>
        <v>5.5527218243187191</v>
      </c>
      <c r="AC61" s="12">
        <f t="shared" si="21"/>
        <v>124.92186421141677</v>
      </c>
      <c r="AD61" s="12">
        <f t="shared" si="22"/>
        <v>11.991432298254248</v>
      </c>
      <c r="AE61" s="12">
        <f t="shared" si="23"/>
        <v>17867.384037858163</v>
      </c>
      <c r="AF61" s="81">
        <f t="shared" si="35"/>
        <v>39.488193134249741</v>
      </c>
      <c r="AH61" s="12">
        <v>6761.9493275883942</v>
      </c>
      <c r="AM61" s="19">
        <f t="shared" si="24"/>
        <v>4.5833333333333339</v>
      </c>
      <c r="AN61" s="12">
        <v>6681.3369466177837</v>
      </c>
      <c r="AO61" s="12">
        <f t="shared" si="25"/>
        <v>37.777250478419376</v>
      </c>
      <c r="AP61" s="12">
        <f t="shared" si="26"/>
        <v>124.84388012699577</v>
      </c>
      <c r="AQ61" s="12">
        <f t="shared" si="27"/>
        <v>6583.713660251572</v>
      </c>
      <c r="AR61" s="12">
        <f t="shared" si="28"/>
        <v>10.556656717635633</v>
      </c>
      <c r="AW61" s="19">
        <v>4.5</v>
      </c>
      <c r="AX61" s="12">
        <v>39.488193134249741</v>
      </c>
      <c r="AY61" s="5">
        <f t="shared" si="29"/>
        <v>0.85677209149281996</v>
      </c>
      <c r="AZ61" s="12">
        <f t="shared" si="36"/>
        <v>10.684026021099271</v>
      </c>
      <c r="BA61" s="5">
        <f t="shared" si="30"/>
        <v>3.826168522676654E-2</v>
      </c>
      <c r="BB61" s="12">
        <f t="shared" si="31"/>
        <v>34.241170661477447</v>
      </c>
      <c r="BC61" s="5">
        <f t="shared" si="15"/>
        <v>0.53316265064250867</v>
      </c>
      <c r="BD61" s="12">
        <f t="shared" si="16"/>
        <v>18.256113310975817</v>
      </c>
      <c r="BE61" s="5">
        <f t="shared" si="17"/>
        <v>0.45546849032593328</v>
      </c>
      <c r="BF61" s="12">
        <f t="shared" si="32"/>
        <v>-198.29008227619107</v>
      </c>
    </row>
    <row r="62" spans="1:58">
      <c r="A62" s="19">
        <f t="shared" si="12"/>
        <v>4.666666666666667</v>
      </c>
      <c r="B62" s="10">
        <f t="shared" si="1"/>
        <v>0.79637314106764989</v>
      </c>
      <c r="C62" s="10">
        <f t="shared" si="2"/>
        <v>0.88988177098802379</v>
      </c>
      <c r="D62" s="10">
        <f t="shared" si="3"/>
        <v>4.1047071178435868E-2</v>
      </c>
      <c r="E62" s="10">
        <f t="shared" si="4"/>
        <v>0.70867794114057558</v>
      </c>
      <c r="F62" s="10">
        <f t="shared" si="5"/>
        <v>3.2688785005998373E-2</v>
      </c>
      <c r="H62" s="19">
        <f t="shared" si="13"/>
        <v>4.666666666666667</v>
      </c>
      <c r="I62" s="81">
        <f t="shared" si="37"/>
        <v>18707.925367164233</v>
      </c>
      <c r="J62" s="81">
        <f t="shared" si="38"/>
        <v>6518.5155965914664</v>
      </c>
      <c r="O62" s="19">
        <f t="shared" si="14"/>
        <v>4.666666666666667</v>
      </c>
      <c r="P62" s="10">
        <f t="shared" si="7"/>
        <v>0.7875839290835529</v>
      </c>
      <c r="Q62" s="10">
        <f t="shared" si="8"/>
        <v>0.88988177098802379</v>
      </c>
      <c r="R62" s="10">
        <f t="shared" si="9"/>
        <v>4.1047071178435868E-2</v>
      </c>
      <c r="S62" s="10">
        <f t="shared" si="10"/>
        <v>0.7008565816145782</v>
      </c>
      <c r="T62" s="10">
        <f t="shared" si="11"/>
        <v>3.2328013596084781E-2</v>
      </c>
      <c r="V62" s="19">
        <v>4.5833333333333313</v>
      </c>
      <c r="W62" s="12">
        <v>17919.573313664867</v>
      </c>
      <c r="X62" s="12">
        <f t="shared" si="33"/>
        <v>484.27334732565134</v>
      </c>
      <c r="Y62" s="12">
        <f t="shared" si="34"/>
        <v>24.213667366282568</v>
      </c>
      <c r="Z62" s="12">
        <f t="shared" si="18"/>
        <v>103.92111711310226</v>
      </c>
      <c r="AA62" s="12">
        <f t="shared" si="19"/>
        <v>41.553972421115581</v>
      </c>
      <c r="AB62" s="12">
        <f t="shared" si="20"/>
        <v>5.4852852030994779</v>
      </c>
      <c r="AC62" s="12">
        <f t="shared" si="21"/>
        <v>124.92186421141677</v>
      </c>
      <c r="AD62" s="12">
        <f t="shared" si="22"/>
        <v>12.251355861563118</v>
      </c>
      <c r="AE62" s="12">
        <f t="shared" si="23"/>
        <v>18259.169841251784</v>
      </c>
      <c r="AF62" s="81">
        <f t="shared" si="35"/>
        <v>40.17179178835795</v>
      </c>
      <c r="AH62" s="12">
        <v>6681.3369466177837</v>
      </c>
      <c r="AM62" s="19">
        <f t="shared" si="24"/>
        <v>4.666666666666667</v>
      </c>
      <c r="AN62" s="12">
        <v>6600.1935356631984</v>
      </c>
      <c r="AO62" s="12">
        <f t="shared" si="25"/>
        <v>37.318453835652178</v>
      </c>
      <c r="AP62" s="12">
        <f t="shared" si="26"/>
        <v>124.84388012699577</v>
      </c>
      <c r="AQ62" s="12">
        <f t="shared" si="27"/>
        <v>6502.2396609965299</v>
      </c>
      <c r="AR62" s="12">
        <f t="shared" si="28"/>
        <v>10.428448375324479</v>
      </c>
      <c r="AW62" s="19">
        <v>4.5833333333333313</v>
      </c>
      <c r="AX62" s="12">
        <v>40.17179178835795</v>
      </c>
      <c r="AY62" s="5">
        <f t="shared" si="29"/>
        <v>0.85427681360847951</v>
      </c>
      <c r="AZ62" s="12">
        <f t="shared" si="36"/>
        <v>10.556656717635633</v>
      </c>
      <c r="BA62" s="5">
        <f t="shared" si="30"/>
        <v>3.8878196159109812E-2</v>
      </c>
      <c r="BB62" s="12">
        <f t="shared" si="31"/>
        <v>34.728254056554334</v>
      </c>
      <c r="BC62" s="5">
        <f t="shared" si="15"/>
        <v>0.52698901807804932</v>
      </c>
      <c r="BD62" s="12">
        <f t="shared" si="16"/>
        <v>18.301408504828601</v>
      </c>
      <c r="BE62" s="5">
        <f t="shared" si="17"/>
        <v>0.44888334491058557</v>
      </c>
      <c r="BF62" s="12">
        <f t="shared" si="32"/>
        <v>-179.98867377136247</v>
      </c>
    </row>
    <row r="63" spans="1:58">
      <c r="A63" s="19">
        <f t="shared" si="12"/>
        <v>4.75</v>
      </c>
      <c r="B63" s="10">
        <f t="shared" si="1"/>
        <v>0.79314178326464624</v>
      </c>
      <c r="C63" s="10">
        <f t="shared" si="2"/>
        <v>0.88802978045844649</v>
      </c>
      <c r="D63" s="10">
        <f t="shared" si="3"/>
        <v>4.168445233238316E-2</v>
      </c>
      <c r="E63" s="10">
        <f t="shared" si="4"/>
        <v>0.70433352366492452</v>
      </c>
      <c r="F63" s="10">
        <f t="shared" si="5"/>
        <v>3.3061680857316519E-2</v>
      </c>
      <c r="H63" s="19">
        <f t="shared" si="13"/>
        <v>4.75</v>
      </c>
      <c r="I63" s="81">
        <f t="shared" si="37"/>
        <v>19105.854751346465</v>
      </c>
      <c r="J63" s="81">
        <f t="shared" si="38"/>
        <v>6436.2996082256423</v>
      </c>
      <c r="O63" s="19">
        <f t="shared" si="14"/>
        <v>4.75</v>
      </c>
      <c r="P63" s="10">
        <f t="shared" si="7"/>
        <v>0.7842328021216749</v>
      </c>
      <c r="Q63" s="10">
        <f t="shared" si="8"/>
        <v>0.88802978045844649</v>
      </c>
      <c r="R63" s="10">
        <f t="shared" si="9"/>
        <v>4.168445233238316E-2</v>
      </c>
      <c r="S63" s="10">
        <f t="shared" si="10"/>
        <v>0.69642208309642328</v>
      </c>
      <c r="T63" s="10">
        <f t="shared" si="11"/>
        <v>3.2690314857532231E-2</v>
      </c>
      <c r="V63" s="19">
        <v>4.6666666666666652</v>
      </c>
      <c r="W63" s="12">
        <v>18312.503493723092</v>
      </c>
      <c r="X63" s="12">
        <f t="shared" si="33"/>
        <v>484.27334732565134</v>
      </c>
      <c r="Y63" s="12">
        <f t="shared" si="34"/>
        <v>24.213667366282568</v>
      </c>
      <c r="Z63" s="12">
        <f t="shared" si="18"/>
        <v>106.1428014782508</v>
      </c>
      <c r="AA63" s="12">
        <f t="shared" si="19"/>
        <v>41.553972421115581</v>
      </c>
      <c r="AB63" s="12">
        <f t="shared" si="20"/>
        <v>5.4174043465474719</v>
      </c>
      <c r="AC63" s="12">
        <f t="shared" si="21"/>
        <v>124.92186421141677</v>
      </c>
      <c r="AD63" s="12">
        <f t="shared" si="22"/>
        <v>12.512927670615689</v>
      </c>
      <c r="AE63" s="12">
        <f t="shared" si="23"/>
        <v>18653.440081177334</v>
      </c>
      <c r="AF63" s="81">
        <f t="shared" si="35"/>
        <v>40.859725333681126</v>
      </c>
      <c r="AH63" s="12">
        <v>6600.1935356631984</v>
      </c>
      <c r="AM63" s="19">
        <f t="shared" si="24"/>
        <v>4.75</v>
      </c>
      <c r="AN63" s="12">
        <v>6518.5155965914664</v>
      </c>
      <c r="AO63" s="12">
        <f t="shared" si="25"/>
        <v>36.856634893196976</v>
      </c>
      <c r="AP63" s="12">
        <f t="shared" si="26"/>
        <v>124.84388012699577</v>
      </c>
      <c r="AQ63" s="12">
        <f t="shared" si="27"/>
        <v>6420.2289558906268</v>
      </c>
      <c r="AR63" s="12">
        <f t="shared" si="28"/>
        <v>10.299395467040995</v>
      </c>
      <c r="AW63" s="19">
        <v>4.6666666666666652</v>
      </c>
      <c r="AX63" s="12">
        <v>40.859725333681126</v>
      </c>
      <c r="AY63" s="5">
        <f t="shared" si="29"/>
        <v>0.85178880301468451</v>
      </c>
      <c r="AZ63" s="12">
        <f t="shared" si="36"/>
        <v>10.428448375324479</v>
      </c>
      <c r="BA63" s="5">
        <f t="shared" si="30"/>
        <v>3.9491093964946877E-2</v>
      </c>
      <c r="BB63" s="12">
        <f t="shared" si="31"/>
        <v>35.215687368183559</v>
      </c>
      <c r="BC63" s="5">
        <f t="shared" si="15"/>
        <v>0.52088687165200376</v>
      </c>
      <c r="BD63" s="12">
        <f t="shared" si="16"/>
        <v>18.343389226288121</v>
      </c>
      <c r="BE63" s="5">
        <f t="shared" si="17"/>
        <v>0.44239340726715243</v>
      </c>
      <c r="BF63" s="12">
        <f t="shared" si="32"/>
        <v>-161.64528454507436</v>
      </c>
    </row>
    <row r="64" spans="1:58">
      <c r="A64" s="19">
        <f t="shared" si="12"/>
        <v>4.833333333333333</v>
      </c>
      <c r="B64" s="10">
        <f t="shared" si="1"/>
        <v>0.78992353699531004</v>
      </c>
      <c r="C64" s="10">
        <f t="shared" si="2"/>
        <v>0.88618164422618528</v>
      </c>
      <c r="D64" s="10">
        <f t="shared" si="3"/>
        <v>4.2318702230887961E-2</v>
      </c>
      <c r="E64" s="10">
        <f t="shared" si="4"/>
        <v>0.7000157388274677</v>
      </c>
      <c r="F64" s="10">
        <f t="shared" si="5"/>
        <v>3.3428538947274336E-2</v>
      </c>
      <c r="H64" s="19">
        <f t="shared" si="13"/>
        <v>4.833333333333333</v>
      </c>
      <c r="I64" s="81">
        <f t="shared" si="37"/>
        <v>19506.307564144452</v>
      </c>
      <c r="J64" s="81">
        <f t="shared" si="38"/>
        <v>6353.5420261932031</v>
      </c>
      <c r="O64" s="19">
        <f t="shared" si="14"/>
        <v>4.833333333333333</v>
      </c>
      <c r="P64" s="10">
        <f t="shared" si="7"/>
        <v>0.78089593402351898</v>
      </c>
      <c r="Q64" s="10">
        <f t="shared" si="8"/>
        <v>0.88618164422618528</v>
      </c>
      <c r="R64" s="10">
        <f t="shared" si="9"/>
        <v>4.2318702230887961E-2</v>
      </c>
      <c r="S64" s="10">
        <f t="shared" si="10"/>
        <v>0.69201564278250471</v>
      </c>
      <c r="T64" s="10">
        <f t="shared" si="11"/>
        <v>3.3046502505252429E-2</v>
      </c>
      <c r="V64" s="19">
        <v>4.75</v>
      </c>
      <c r="W64" s="12">
        <v>18707.925367164229</v>
      </c>
      <c r="X64" s="12">
        <f t="shared" si="33"/>
        <v>484.27334732565134</v>
      </c>
      <c r="Y64" s="12">
        <f t="shared" si="34"/>
        <v>24.213667366282568</v>
      </c>
      <c r="Z64" s="12">
        <f t="shared" si="18"/>
        <v>108.37857424004716</v>
      </c>
      <c r="AA64" s="12">
        <f t="shared" si="19"/>
        <v>41.553972421115581</v>
      </c>
      <c r="AB64" s="12">
        <f t="shared" si="20"/>
        <v>5.349076328284907</v>
      </c>
      <c r="AC64" s="12">
        <f t="shared" si="21"/>
        <v>124.92186421141677</v>
      </c>
      <c r="AD64" s="12">
        <f t="shared" si="22"/>
        <v>12.776158188463993</v>
      </c>
      <c r="AE64" s="12">
        <f t="shared" si="23"/>
        <v>19050.210528926251</v>
      </c>
      <c r="AF64" s="81">
        <f t="shared" si="35"/>
        <v>41.552021288112883</v>
      </c>
      <c r="AH64" s="12">
        <v>6518.5155965914664</v>
      </c>
      <c r="AM64" s="19">
        <f t="shared" si="24"/>
        <v>4.833333333333333</v>
      </c>
      <c r="AN64" s="12">
        <v>6436.2996082256423</v>
      </c>
      <c r="AO64" s="12">
        <f t="shared" si="25"/>
        <v>36.391773741807384</v>
      </c>
      <c r="AP64" s="12">
        <f t="shared" si="26"/>
        <v>124.84388012699577</v>
      </c>
      <c r="AQ64" s="12">
        <f t="shared" si="27"/>
        <v>6337.6780094112055</v>
      </c>
      <c r="AR64" s="12">
        <f t="shared" si="28"/>
        <v>10.169492429248749</v>
      </c>
      <c r="AW64" s="19">
        <v>4.75</v>
      </c>
      <c r="AX64" s="12">
        <v>41.552021288112883</v>
      </c>
      <c r="AY64" s="5">
        <f t="shared" si="29"/>
        <v>0.84930803854605197</v>
      </c>
      <c r="AZ64" s="12">
        <f t="shared" si="36"/>
        <v>10.299395467040995</v>
      </c>
      <c r="BA64" s="5">
        <f t="shared" si="30"/>
        <v>4.0100393705507775E-2</v>
      </c>
      <c r="BB64" s="12">
        <f t="shared" si="31"/>
        <v>35.703475510988014</v>
      </c>
      <c r="BC64" s="5">
        <f t="shared" si="15"/>
        <v>0.51485538360730487</v>
      </c>
      <c r="BD64" s="12">
        <f t="shared" si="16"/>
        <v>18.382126580323749</v>
      </c>
      <c r="BE64" s="5">
        <f t="shared" si="17"/>
        <v>0.43599730088543387</v>
      </c>
      <c r="BF64" s="12">
        <f t="shared" si="32"/>
        <v>-143.2631579647506</v>
      </c>
    </row>
    <row r="65" spans="1:58">
      <c r="A65" s="19">
        <f t="shared" si="12"/>
        <v>4.9166666666666661</v>
      </c>
      <c r="B65" s="10">
        <f t="shared" si="1"/>
        <v>0.78671834905837879</v>
      </c>
      <c r="C65" s="10">
        <f t="shared" si="2"/>
        <v>0.88433735426981286</v>
      </c>
      <c r="D65" s="10">
        <f t="shared" si="3"/>
        <v>4.2949831896874846E-2</v>
      </c>
      <c r="E65" s="10">
        <f t="shared" si="4"/>
        <v>0.69572442336180185</v>
      </c>
      <c r="F65" s="10">
        <f t="shared" si="5"/>
        <v>3.3789420842244275E-2</v>
      </c>
      <c r="H65" s="19">
        <f t="shared" si="13"/>
        <v>4.9166666666666661</v>
      </c>
      <c r="I65" s="81">
        <f t="shared" si="37"/>
        <v>19909.299824588776</v>
      </c>
      <c r="J65" s="81">
        <f t="shared" si="38"/>
        <v>6270.2392827732529</v>
      </c>
      <c r="O65" s="19">
        <f t="shared" si="14"/>
        <v>4.9166666666666661</v>
      </c>
      <c r="P65" s="10">
        <f t="shared" si="7"/>
        <v>0.77757326411839256</v>
      </c>
      <c r="Q65" s="10">
        <f t="shared" si="8"/>
        <v>0.88433735426981286</v>
      </c>
      <c r="R65" s="10">
        <f t="shared" si="9"/>
        <v>4.2949831896874846E-2</v>
      </c>
      <c r="S65" s="10">
        <f t="shared" si="10"/>
        <v>0.68763708314140171</v>
      </c>
      <c r="T65" s="10">
        <f t="shared" si="11"/>
        <v>3.3396640981389225E-2</v>
      </c>
      <c r="V65" s="19">
        <v>4.8333333333333313</v>
      </c>
      <c r="W65" s="12">
        <v>19105.854751346462</v>
      </c>
      <c r="X65" s="12">
        <f t="shared" si="33"/>
        <v>484.27334732565134</v>
      </c>
      <c r="Y65" s="12">
        <f t="shared" si="34"/>
        <v>24.213667366282568</v>
      </c>
      <c r="Z65" s="12">
        <f t="shared" si="18"/>
        <v>110.62852483213415</v>
      </c>
      <c r="AA65" s="12">
        <f t="shared" si="19"/>
        <v>41.553972421115581</v>
      </c>
      <c r="AB65" s="12">
        <f t="shared" si="20"/>
        <v>5.2802982026566232</v>
      </c>
      <c r="AC65" s="12">
        <f t="shared" si="21"/>
        <v>124.92186421141677</v>
      </c>
      <c r="AD65" s="12">
        <f t="shared" si="22"/>
        <v>13.041057944650442</v>
      </c>
      <c r="AE65" s="12">
        <f t="shared" si="23"/>
        <v>19449.497056013697</v>
      </c>
      <c r="AF65" s="81">
        <f t="shared" si="35"/>
        <v>42.248707344428112</v>
      </c>
      <c r="AH65" s="12">
        <v>6436.2996082256423</v>
      </c>
      <c r="AM65" s="19">
        <f t="shared" si="24"/>
        <v>4.9166666666666661</v>
      </c>
      <c r="AN65" s="12">
        <v>6353.5420261932031</v>
      </c>
      <c r="AO65" s="12">
        <f t="shared" si="25"/>
        <v>35.92385034108586</v>
      </c>
      <c r="AP65" s="12">
        <f t="shared" si="26"/>
        <v>124.84388012699577</v>
      </c>
      <c r="AQ65" s="12">
        <f t="shared" si="27"/>
        <v>6254.5832627455302</v>
      </c>
      <c r="AR65" s="12">
        <f t="shared" si="28"/>
        <v>10.038733661763217</v>
      </c>
      <c r="AW65" s="19">
        <v>4.8333333333333313</v>
      </c>
      <c r="AX65" s="12">
        <v>42.248707344428112</v>
      </c>
      <c r="AY65" s="5">
        <f t="shared" si="29"/>
        <v>0.84683449909884145</v>
      </c>
      <c r="AZ65" s="12">
        <f t="shared" si="36"/>
        <v>10.169492429248749</v>
      </c>
      <c r="BA65" s="5">
        <f t="shared" si="30"/>
        <v>4.0706110386826921E-2</v>
      </c>
      <c r="BB65" s="12">
        <f t="shared" si="31"/>
        <v>36.191623402995326</v>
      </c>
      <c r="BC65" s="5">
        <f t="shared" si="15"/>
        <v>0.50889373577170582</v>
      </c>
      <c r="BD65" s="12">
        <f t="shared" si="16"/>
        <v>18.417690437192988</v>
      </c>
      <c r="BE65" s="5">
        <f t="shared" si="17"/>
        <v>0.42969366915676027</v>
      </c>
      <c r="BF65" s="12">
        <f t="shared" si="32"/>
        <v>-124.84546752755762</v>
      </c>
    </row>
    <row r="66" spans="1:58">
      <c r="A66" s="19">
        <f t="shared" si="12"/>
        <v>4.9999999999999991</v>
      </c>
      <c r="B66" s="10">
        <f t="shared" si="1"/>
        <v>0.78352616646845896</v>
      </c>
      <c r="C66" s="10">
        <f t="shared" si="2"/>
        <v>0.88249690258459546</v>
      </c>
      <c r="D66" s="10">
        <f t="shared" si="3"/>
        <v>4.3577852319075294E-2</v>
      </c>
      <c r="E66" s="10">
        <f t="shared" si="4"/>
        <v>0.69145941500239716</v>
      </c>
      <c r="F66" s="10">
        <f t="shared" si="5"/>
        <v>3.4144387570493706E-2</v>
      </c>
      <c r="H66" s="19">
        <f t="shared" si="13"/>
        <v>4.9999999999999991</v>
      </c>
      <c r="I66" s="81">
        <f t="shared" si="37"/>
        <v>20314.847653509474</v>
      </c>
      <c r="J66" s="81">
        <f t="shared" si="38"/>
        <v>6186.3877867427136</v>
      </c>
      <c r="O66" s="19">
        <f t="shared" si="14"/>
        <v>4.9999999999999991</v>
      </c>
      <c r="P66" s="10">
        <f t="shared" si="7"/>
        <v>0.77426473199375323</v>
      </c>
      <c r="Q66" s="10">
        <f t="shared" si="8"/>
        <v>0.88249690258459546</v>
      </c>
      <c r="R66" s="10">
        <f t="shared" si="9"/>
        <v>4.3577852319075294E-2</v>
      </c>
      <c r="S66" s="10">
        <f t="shared" si="10"/>
        <v>0.68328622776497916</v>
      </c>
      <c r="T66" s="10">
        <f t="shared" si="11"/>
        <v>3.3740794146692191E-2</v>
      </c>
      <c r="V66" s="19">
        <v>4.9166666666666652</v>
      </c>
      <c r="W66" s="12">
        <v>19506.307564144448</v>
      </c>
      <c r="X66" s="12">
        <f t="shared" si="33"/>
        <v>484.27334732565134</v>
      </c>
      <c r="Y66" s="12">
        <f t="shared" si="34"/>
        <v>24.213667366282568</v>
      </c>
      <c r="Z66" s="12">
        <f t="shared" si="18"/>
        <v>112.89274325648935</v>
      </c>
      <c r="AA66" s="12">
        <f t="shared" si="19"/>
        <v>41.553972421115581</v>
      </c>
      <c r="AB66" s="12">
        <f t="shared" si="20"/>
        <v>5.2110670046031062</v>
      </c>
      <c r="AC66" s="12">
        <f t="shared" si="21"/>
        <v>124.92186421141677</v>
      </c>
      <c r="AD66" s="12">
        <f t="shared" si="22"/>
        <v>13.307637535630798</v>
      </c>
      <c r="AE66" s="12">
        <f t="shared" si="23"/>
        <v>19851.315634816157</v>
      </c>
      <c r="AF66" s="81">
        <f t="shared" si="35"/>
        <v>42.949811371381656</v>
      </c>
      <c r="AH66" s="12">
        <v>6353.5420261932031</v>
      </c>
      <c r="AM66" s="19">
        <f t="shared" si="24"/>
        <v>4.9999999999999991</v>
      </c>
      <c r="AN66" s="12">
        <v>6270.2392827732529</v>
      </c>
      <c r="AO66" s="12">
        <f t="shared" si="25"/>
        <v>35.452844518619742</v>
      </c>
      <c r="AP66" s="12">
        <f t="shared" si="26"/>
        <v>124.84388012699577</v>
      </c>
      <c r="AQ66" s="12">
        <f t="shared" si="27"/>
        <v>6170.9411336373696</v>
      </c>
      <c r="AR66" s="12">
        <f t="shared" si="28"/>
        <v>9.9071135275071356</v>
      </c>
      <c r="AW66" s="19">
        <v>4.9166666666666652</v>
      </c>
      <c r="AX66" s="12">
        <v>42.949811371381656</v>
      </c>
      <c r="AY66" s="5">
        <f t="shared" si="29"/>
        <v>0.84436816363077538</v>
      </c>
      <c r="AZ66" s="12">
        <f t="shared" si="36"/>
        <v>10.038733661763217</v>
      </c>
      <c r="BA66" s="5">
        <f t="shared" si="30"/>
        <v>4.1308258959931843E-2</v>
      </c>
      <c r="BB66" s="12">
        <f t="shared" si="31"/>
        <v>36.680135965671624</v>
      </c>
      <c r="BC66" s="5">
        <f t="shared" si="15"/>
        <v>0.50300111944679338</v>
      </c>
      <c r="BD66" s="12">
        <f t="shared" si="16"/>
        <v>18.450149452193415</v>
      </c>
      <c r="BE66" s="5">
        <f t="shared" si="17"/>
        <v>0.42348117508625549</v>
      </c>
      <c r="BF66" s="12">
        <f t="shared" si="32"/>
        <v>-106.3953180753642</v>
      </c>
    </row>
    <row r="67" spans="1:58">
      <c r="A67" s="19">
        <f t="shared" si="12"/>
        <v>5.0833333333333321</v>
      </c>
      <c r="B67" s="10">
        <f t="shared" si="1"/>
        <v>0.78034693645514985</v>
      </c>
      <c r="C67" s="10">
        <f t="shared" si="2"/>
        <v>0.88066028118245865</v>
      </c>
      <c r="D67" s="10">
        <f t="shared" si="3"/>
        <v>4.4202774452127835E-2</v>
      </c>
      <c r="E67" s="10">
        <f t="shared" si="4"/>
        <v>0.68722055247846248</v>
      </c>
      <c r="F67" s="10">
        <f t="shared" si="5"/>
        <v>3.4493499626535924E-2</v>
      </c>
      <c r="H67" s="19">
        <f t="shared" si="13"/>
        <v>5.0833333333333321</v>
      </c>
      <c r="I67" s="81">
        <f t="shared" si="37"/>
        <v>20722.967274183658</v>
      </c>
      <c r="J67" s="81">
        <f t="shared" si="38"/>
        <v>6101.983923221509</v>
      </c>
      <c r="O67" s="19">
        <f t="shared" si="14"/>
        <v>5.0833333333333321</v>
      </c>
      <c r="P67" s="10">
        <f t="shared" si="7"/>
        <v>0.77097027749411051</v>
      </c>
      <c r="Q67" s="10">
        <f t="shared" si="8"/>
        <v>0.88066028118245865</v>
      </c>
      <c r="R67" s="10">
        <f t="shared" si="9"/>
        <v>4.4202774452127835E-2</v>
      </c>
      <c r="S67" s="10">
        <f t="shared" si="10"/>
        <v>0.67896290136128157</v>
      </c>
      <c r="T67" s="10">
        <f t="shared" si="11"/>
        <v>3.4079025285366576E-2</v>
      </c>
      <c r="V67" s="19">
        <v>5</v>
      </c>
      <c r="W67" s="12">
        <v>19909.299824588772</v>
      </c>
      <c r="X67" s="12">
        <f t="shared" si="33"/>
        <v>484.27334732565134</v>
      </c>
      <c r="Y67" s="12">
        <f t="shared" si="34"/>
        <v>24.213667366282568</v>
      </c>
      <c r="Z67" s="12">
        <f t="shared" si="18"/>
        <v>115.17132008704066</v>
      </c>
      <c r="AA67" s="12">
        <f t="shared" si="19"/>
        <v>41.553972421115581</v>
      </c>
      <c r="AB67" s="12">
        <f t="shared" si="20"/>
        <v>5.1413797495326596</v>
      </c>
      <c r="AC67" s="12">
        <f t="shared" si="21"/>
        <v>124.92186421141677</v>
      </c>
      <c r="AD67" s="12">
        <f t="shared" si="22"/>
        <v>13.575907625199859</v>
      </c>
      <c r="AE67" s="12">
        <f t="shared" si="23"/>
        <v>20255.682339213083</v>
      </c>
      <c r="AF67" s="81">
        <f t="shared" si="35"/>
        <v>43.655361414832441</v>
      </c>
      <c r="AH67" s="12">
        <v>6270.2392827732529</v>
      </c>
      <c r="AM67" s="19">
        <f t="shared" si="24"/>
        <v>5.0833333333333321</v>
      </c>
      <c r="AN67" s="12">
        <v>6186.3877867427136</v>
      </c>
      <c r="AO67" s="12">
        <f t="shared" si="25"/>
        <v>34.978735969111632</v>
      </c>
      <c r="AP67" s="12">
        <f t="shared" si="26"/>
        <v>124.84388012699577</v>
      </c>
      <c r="AQ67" s="12">
        <f t="shared" si="27"/>
        <v>6086.7480162325583</v>
      </c>
      <c r="AR67" s="12">
        <f t="shared" si="28"/>
        <v>9.7746263522712979</v>
      </c>
      <c r="AW67" s="19">
        <v>5</v>
      </c>
      <c r="AX67" s="12">
        <v>43.655361414832441</v>
      </c>
      <c r="AY67" s="5">
        <f t="shared" si="29"/>
        <v>0.84190901116086014</v>
      </c>
      <c r="AZ67" s="12">
        <f t="shared" si="36"/>
        <v>9.9071135275071356</v>
      </c>
      <c r="BA67" s="5">
        <f t="shared" si="30"/>
        <v>4.1906854321030584E-2</v>
      </c>
      <c r="BB67" s="12">
        <f t="shared" si="31"/>
        <v>37.169018123970702</v>
      </c>
      <c r="BC67" s="5">
        <f t="shared" si="15"/>
        <v>0.49717673529828987</v>
      </c>
      <c r="BD67" s="12">
        <f t="shared" si="16"/>
        <v>18.479571085118721</v>
      </c>
      <c r="BE67" s="5">
        <f t="shared" si="17"/>
        <v>0.41735850100926325</v>
      </c>
      <c r="BF67" s="12">
        <f t="shared" si="32"/>
        <v>-87.915746990245481</v>
      </c>
    </row>
    <row r="68" spans="1:58">
      <c r="A68" s="19">
        <f t="shared" si="12"/>
        <v>5.1666666666666652</v>
      </c>
      <c r="B68" s="10">
        <f t="shared" si="1"/>
        <v>0.77718060646217213</v>
      </c>
      <c r="C68" s="10">
        <f t="shared" si="2"/>
        <v>0.87882748209195249</v>
      </c>
      <c r="D68" s="10">
        <f t="shared" si="3"/>
        <v>4.4824609216677747E-2</v>
      </c>
      <c r="E68" s="10">
        <f t="shared" si="4"/>
        <v>0.68300767550784736</v>
      </c>
      <c r="F68" s="10">
        <f t="shared" si="5"/>
        <v>3.4836816975447479E-2</v>
      </c>
      <c r="H68" s="19">
        <f t="shared" si="13"/>
        <v>5.1666666666666652</v>
      </c>
      <c r="I68" s="81">
        <f t="shared" si="37"/>
        <v>21133.67501298726</v>
      </c>
      <c r="J68" s="81">
        <f t="shared" si="38"/>
        <v>6017.0240535167204</v>
      </c>
      <c r="O68" s="19">
        <f t="shared" si="14"/>
        <v>5.1666666666666652</v>
      </c>
      <c r="P68" s="10">
        <f t="shared" si="7"/>
        <v>0.76768984071993274</v>
      </c>
      <c r="Q68" s="10">
        <f t="shared" si="8"/>
        <v>0.87882748209195249</v>
      </c>
      <c r="R68" s="10">
        <f t="shared" si="9"/>
        <v>4.4824609216677747E-2</v>
      </c>
      <c r="S68" s="10">
        <f t="shared" si="10"/>
        <v>0.67466692974747056</v>
      </c>
      <c r="T68" s="10">
        <f t="shared" si="11"/>
        <v>3.441139710988457E-2</v>
      </c>
      <c r="V68" s="19">
        <v>5.0833333333333313</v>
      </c>
      <c r="W68" s="12">
        <v>20314.847653509471</v>
      </c>
      <c r="X68" s="12">
        <f t="shared" si="33"/>
        <v>484.27334732565134</v>
      </c>
      <c r="Y68" s="12">
        <f t="shared" si="34"/>
        <v>24.213667366282568</v>
      </c>
      <c r="Z68" s="12">
        <f t="shared" si="18"/>
        <v>117.46434647330484</v>
      </c>
      <c r="AA68" s="12">
        <f t="shared" si="19"/>
        <v>41.553972421115581</v>
      </c>
      <c r="AB68" s="12">
        <f t="shared" si="20"/>
        <v>5.0712334331927451</v>
      </c>
      <c r="AC68" s="12">
        <f t="shared" si="21"/>
        <v>124.92186421141677</v>
      </c>
      <c r="AD68" s="12">
        <f t="shared" si="22"/>
        <v>13.845878944919839</v>
      </c>
      <c r="AE68" s="12">
        <f t="shared" si="23"/>
        <v>20662.613345232628</v>
      </c>
      <c r="AF68" s="81">
        <f t="shared" si="35"/>
        <v>44.36538569887125</v>
      </c>
      <c r="AH68" s="12">
        <v>6186.3877867427136</v>
      </c>
      <c r="AM68" s="19">
        <f t="shared" si="24"/>
        <v>5.1666666666666652</v>
      </c>
      <c r="AN68" s="12">
        <v>6101.983923221509</v>
      </c>
      <c r="AO68" s="12">
        <f t="shared" si="25"/>
        <v>34.501504253504031</v>
      </c>
      <c r="AP68" s="12">
        <f t="shared" si="26"/>
        <v>124.84388012699577</v>
      </c>
      <c r="AQ68" s="12">
        <f t="shared" si="27"/>
        <v>6002.0002809235502</v>
      </c>
      <c r="AR68" s="12">
        <f t="shared" si="28"/>
        <v>9.641266424467176</v>
      </c>
      <c r="AW68" s="19">
        <v>5.0833333333333313</v>
      </c>
      <c r="AX68" s="12">
        <v>44.36538569887125</v>
      </c>
      <c r="AY68" s="5">
        <f t="shared" si="29"/>
        <v>0.83945702076920736</v>
      </c>
      <c r="AZ68" s="12">
        <f t="shared" si="36"/>
        <v>9.7746263522712979</v>
      </c>
      <c r="BA68" s="5">
        <f t="shared" si="30"/>
        <v>4.2501911311700891E-2</v>
      </c>
      <c r="BB68" s="12">
        <f t="shared" si="31"/>
        <v>37.658274806380511</v>
      </c>
      <c r="BC68" s="5">
        <f t="shared" si="15"/>
        <v>0.49141979324762269</v>
      </c>
      <c r="BD68" s="12">
        <f t="shared" si="16"/>
        <v>18.506021619413669</v>
      </c>
      <c r="BE68" s="5">
        <f t="shared" si="17"/>
        <v>0.41132434831187087</v>
      </c>
      <c r="BF68" s="12">
        <f t="shared" si="32"/>
        <v>-69.409725370831808</v>
      </c>
    </row>
    <row r="69" spans="1:58">
      <c r="A69" s="19">
        <f t="shared" si="12"/>
        <v>5.2499999999999982</v>
      </c>
      <c r="B69" s="10">
        <f t="shared" si="1"/>
        <v>0.77402712414649799</v>
      </c>
      <c r="C69" s="10">
        <f t="shared" si="2"/>
        <v>0.876998497358217</v>
      </c>
      <c r="D69" s="10">
        <f t="shared" si="3"/>
        <v>4.5443367499474974E-2</v>
      </c>
      <c r="E69" s="10">
        <f t="shared" si="4"/>
        <v>0.67882062479098082</v>
      </c>
      <c r="F69" s="10">
        <f t="shared" si="5"/>
        <v>3.517439905715105E-2</v>
      </c>
      <c r="H69" s="19">
        <f t="shared" si="13"/>
        <v>5.2499999999999982</v>
      </c>
      <c r="I69" s="81">
        <f t="shared" si="37"/>
        <v>21546.987300050921</v>
      </c>
      <c r="J69" s="81">
        <f t="shared" si="38"/>
        <v>5931.5045149657235</v>
      </c>
      <c r="O69" s="19">
        <f t="shared" si="14"/>
        <v>5.2499999999999982</v>
      </c>
      <c r="P69" s="10">
        <f t="shared" si="7"/>
        <v>0.76442336202655725</v>
      </c>
      <c r="Q69" s="10">
        <f t="shared" si="8"/>
        <v>0.876998497358217</v>
      </c>
      <c r="R69" s="10">
        <f t="shared" si="9"/>
        <v>4.5443367499474974E-2</v>
      </c>
      <c r="S69" s="10">
        <f t="shared" si="10"/>
        <v>0.67039813984280705</v>
      </c>
      <c r="T69" s="10">
        <f t="shared" si="11"/>
        <v>3.4737971765757041E-2</v>
      </c>
      <c r="V69" s="19">
        <v>5.1666666666666643</v>
      </c>
      <c r="W69" s="12">
        <v>20722.967274183655</v>
      </c>
      <c r="X69" s="12">
        <f t="shared" si="33"/>
        <v>484.27334732565134</v>
      </c>
      <c r="Y69" s="12">
        <f t="shared" si="34"/>
        <v>24.213667366282568</v>
      </c>
      <c r="Z69" s="12">
        <f t="shared" si="18"/>
        <v>119.77191414404936</v>
      </c>
      <c r="AA69" s="12">
        <f t="shared" si="19"/>
        <v>41.553972421115581</v>
      </c>
      <c r="AB69" s="12">
        <f t="shared" si="20"/>
        <v>5.0006250315404577</v>
      </c>
      <c r="AC69" s="12">
        <f t="shared" si="21"/>
        <v>124.92186421141677</v>
      </c>
      <c r="AD69" s="12">
        <f t="shared" si="22"/>
        <v>14.117562294551513</v>
      </c>
      <c r="AE69" s="12">
        <f t="shared" si="23"/>
        <v>21072.124931701506</v>
      </c>
      <c r="AF69" s="81">
        <f t="shared" si="35"/>
        <v>45.079912626941223</v>
      </c>
      <c r="AH69" s="12">
        <v>6101.983923221509</v>
      </c>
      <c r="AM69" s="19">
        <f t="shared" si="24"/>
        <v>5.2499999999999982</v>
      </c>
      <c r="AN69" s="12">
        <v>6017.0240535167204</v>
      </c>
      <c r="AO69" s="12">
        <f t="shared" si="25"/>
        <v>34.021128798098147</v>
      </c>
      <c r="AP69" s="12">
        <f t="shared" si="26"/>
        <v>124.84388012699577</v>
      </c>
      <c r="AQ69" s="12">
        <f t="shared" si="27"/>
        <v>5916.6942741929415</v>
      </c>
      <c r="AR69" s="12">
        <f t="shared" si="28"/>
        <v>9.507027994881355</v>
      </c>
      <c r="AW69" s="19">
        <v>5.1666666666666643</v>
      </c>
      <c r="AX69" s="12">
        <v>45.079912626941223</v>
      </c>
      <c r="AY69" s="5">
        <f t="shared" si="29"/>
        <v>0.83701217159685637</v>
      </c>
      <c r="AZ69" s="12">
        <f t="shared" si="36"/>
        <v>9.641266424467176</v>
      </c>
      <c r="BA69" s="5">
        <f t="shared" si="30"/>
        <v>4.3093444719076723E-2</v>
      </c>
      <c r="BB69" s="12">
        <f t="shared" si="31"/>
        <v>38.147910944957282</v>
      </c>
      <c r="BC69" s="5">
        <f t="shared" si="15"/>
        <v>0.48572951236474882</v>
      </c>
      <c r="BD69" s="12">
        <f t="shared" si="16"/>
        <v>18.529566181027963</v>
      </c>
      <c r="BE69" s="5">
        <f t="shared" si="17"/>
        <v>0.40537743715547331</v>
      </c>
      <c r="BF69" s="12">
        <f t="shared" si="32"/>
        <v>-50.880159189803848</v>
      </c>
    </row>
    <row r="70" spans="1:58">
      <c r="A70" s="19">
        <f t="shared" si="12"/>
        <v>5.3333333333333313</v>
      </c>
      <c r="B70" s="10">
        <f t="shared" si="1"/>
        <v>0.77088643737748652</v>
      </c>
      <c r="C70" s="10">
        <f t="shared" si="2"/>
        <v>0.87517331904294748</v>
      </c>
      <c r="D70" s="10">
        <f t="shared" si="3"/>
        <v>4.6059060153472053E-2</v>
      </c>
      <c r="E70" s="10">
        <f t="shared" si="4"/>
        <v>0.67465924200484817</v>
      </c>
      <c r="F70" s="10">
        <f t="shared" si="5"/>
        <v>3.5506304790665418E-2</v>
      </c>
      <c r="H70" s="19">
        <f t="shared" si="13"/>
        <v>5.3333333333333313</v>
      </c>
      <c r="I70" s="81">
        <f t="shared" ref="I70:I101" si="39">-PP+(pzz*I71+pzo*(50000+J71)+100000*pzt)/1.05^(1/12)</f>
        <v>21962.92066992008</v>
      </c>
      <c r="J70" s="81">
        <f t="shared" si="38"/>
        <v>5845.4216207782911</v>
      </c>
      <c r="O70" s="19">
        <f t="shared" si="14"/>
        <v>5.3333333333333313</v>
      </c>
      <c r="P70" s="10">
        <f t="shared" si="7"/>
        <v>0.76117078202310606</v>
      </c>
      <c r="Q70" s="10">
        <f t="shared" si="8"/>
        <v>0.87517331904294748</v>
      </c>
      <c r="R70" s="10">
        <f t="shared" si="9"/>
        <v>4.6059060153472053E-2</v>
      </c>
      <c r="S70" s="10">
        <f t="shared" si="10"/>
        <v>0.66615635966167763</v>
      </c>
      <c r="T70" s="10">
        <f t="shared" si="11"/>
        <v>3.5058810836267607E-2</v>
      </c>
      <c r="V70" s="19">
        <v>5.25</v>
      </c>
      <c r="W70" s="12">
        <v>21133.675012987256</v>
      </c>
      <c r="X70" s="12">
        <f t="shared" si="33"/>
        <v>484.27334732565134</v>
      </c>
      <c r="Y70" s="12">
        <f t="shared" si="34"/>
        <v>24.213667366282568</v>
      </c>
      <c r="Z70" s="12">
        <f t="shared" si="18"/>
        <v>122.09411541097739</v>
      </c>
      <c r="AA70" s="12">
        <f t="shared" si="19"/>
        <v>41.553972421115581</v>
      </c>
      <c r="AB70" s="12">
        <f t="shared" si="20"/>
        <v>4.9295515006121642</v>
      </c>
      <c r="AC70" s="12">
        <f t="shared" si="21"/>
        <v>124.92186421141677</v>
      </c>
      <c r="AD70" s="12">
        <f t="shared" si="22"/>
        <v>14.390968542488052</v>
      </c>
      <c r="AE70" s="12">
        <f t="shared" si="23"/>
        <v>21484.233480898965</v>
      </c>
      <c r="AF70" s="81">
        <f t="shared" si="35"/>
        <v>45.798970783005643</v>
      </c>
      <c r="AH70" s="12">
        <v>6017.0240535167204</v>
      </c>
      <c r="AM70" s="19">
        <f t="shared" si="24"/>
        <v>5.3333333333333313</v>
      </c>
      <c r="AN70" s="12">
        <v>5931.5045149657235</v>
      </c>
      <c r="AO70" s="12">
        <f t="shared" si="25"/>
        <v>33.537588893666999</v>
      </c>
      <c r="AP70" s="12">
        <f t="shared" si="26"/>
        <v>124.84388012699577</v>
      </c>
      <c r="AQ70" s="12">
        <f t="shared" si="27"/>
        <v>5830.8263184559673</v>
      </c>
      <c r="AR70" s="12">
        <f t="shared" si="28"/>
        <v>9.3719052764272419</v>
      </c>
      <c r="AW70" s="19">
        <v>5.25</v>
      </c>
      <c r="AX70" s="12">
        <v>45.798970783005643</v>
      </c>
      <c r="AY70" s="5">
        <f t="shared" si="29"/>
        <v>0.83457444284559612</v>
      </c>
      <c r="AZ70" s="12">
        <f t="shared" si="36"/>
        <v>9.507027994881355</v>
      </c>
      <c r="BA70" s="5">
        <f t="shared" si="30"/>
        <v>4.3681469276035001E-2</v>
      </c>
      <c r="BB70" s="12">
        <f t="shared" si="31"/>
        <v>38.637931475393479</v>
      </c>
      <c r="BC70" s="5">
        <f t="shared" si="15"/>
        <v>0.48010512076222306</v>
      </c>
      <c r="BD70" s="12">
        <f t="shared" si="16"/>
        <v>18.550268756996285</v>
      </c>
      <c r="BE70" s="5">
        <f t="shared" si="17"/>
        <v>0.3995165062053222</v>
      </c>
      <c r="BF70" s="12">
        <f t="shared" si="32"/>
        <v>-32.329890432807559</v>
      </c>
    </row>
    <row r="71" spans="1:58">
      <c r="A71" s="19">
        <f t="shared" si="12"/>
        <v>5.4166666666666643</v>
      </c>
      <c r="B71" s="10">
        <f t="shared" ref="B71:B126" si="40">1.05^-A71</f>
        <v>0.76775849423602149</v>
      </c>
      <c r="C71" s="10">
        <f t="shared" ref="C71:C126" si="41">EXP(-0.025*A71)</f>
        <v>0.87335193922436016</v>
      </c>
      <c r="D71" s="10">
        <f t="shared" ref="D71:D126" si="42">2*(EXP(-0.025*A71)-EXP(-0.03*A71))</f>
        <v>4.6671697997923811E-2</v>
      </c>
      <c r="E71" s="10">
        <f t="shared" ref="E71:E125" si="43">B71*C71</f>
        <v>0.67052336979700411</v>
      </c>
      <c r="F71" s="10">
        <f t="shared" ref="F71:F125" si="44">B71*D71</f>
        <v>3.5832592578324322E-2</v>
      </c>
      <c r="H71" s="19">
        <f t="shared" si="13"/>
        <v>5.4166666666666643</v>
      </c>
      <c r="I71" s="81">
        <f t="shared" si="39"/>
        <v>22381.491762219244</v>
      </c>
      <c r="J71" s="81">
        <f t="shared" ref="J71:J102" si="45">(poo*J72+50000*pot)/1.05^(1/12)</f>
        <v>5758.7716598776497</v>
      </c>
      <c r="O71" s="19">
        <f t="shared" si="14"/>
        <v>5.4166666666666643</v>
      </c>
      <c r="P71" s="10">
        <f t="shared" ref="P71:P126" si="46">1.0525^-O71</f>
        <v>0.75793204157140648</v>
      </c>
      <c r="Q71" s="10">
        <f t="shared" ref="Q71:Q126" si="47">EXP(-0.025*O71)</f>
        <v>0.87335193922436016</v>
      </c>
      <c r="R71" s="10">
        <f t="shared" ref="R71:R126" si="48">2*(EXP(-0.025*O71)-EXP(-0.03*O71))</f>
        <v>4.6671697997923811E-2</v>
      </c>
      <c r="S71" s="10">
        <f t="shared" ref="S71:S125" si="49">P71*Q71</f>
        <v>0.6619414183066662</v>
      </c>
      <c r="T71" s="10">
        <f t="shared" ref="T71:T125" si="50">P71*R71</f>
        <v>3.5373975347170517E-2</v>
      </c>
      <c r="V71" s="19">
        <v>5.3333333333333313</v>
      </c>
      <c r="W71" s="12">
        <v>21546.987300050918</v>
      </c>
      <c r="X71" s="12">
        <f t="shared" si="33"/>
        <v>484.27334732565134</v>
      </c>
      <c r="Y71" s="12">
        <f t="shared" si="34"/>
        <v>24.213667366282568</v>
      </c>
      <c r="Z71" s="12">
        <f t="shared" si="18"/>
        <v>124.43104317243633</v>
      </c>
      <c r="AA71" s="12">
        <f t="shared" si="19"/>
        <v>41.553972421115581</v>
      </c>
      <c r="AB71" s="12">
        <f t="shared" si="20"/>
        <v>4.8580097763922767</v>
      </c>
      <c r="AC71" s="12">
        <f t="shared" si="21"/>
        <v>124.92186421141677</v>
      </c>
      <c r="AD71" s="12">
        <f t="shared" si="22"/>
        <v>14.66610862619167</v>
      </c>
      <c r="AE71" s="12">
        <f t="shared" si="23"/>
        <v>21898.955479214943</v>
      </c>
      <c r="AF71" s="81">
        <f t="shared" si="35"/>
        <v>46.522588932664803</v>
      </c>
      <c r="AH71" s="12">
        <v>5931.5045149657235</v>
      </c>
      <c r="AM71" s="19">
        <f t="shared" si="24"/>
        <v>5.4166666666666643</v>
      </c>
      <c r="AN71" s="12">
        <v>5845.4216207782911</v>
      </c>
      <c r="AO71" s="12">
        <f t="shared" si="25"/>
        <v>33.050863694562636</v>
      </c>
      <c r="AP71" s="12">
        <f t="shared" si="26"/>
        <v>124.84388012699577</v>
      </c>
      <c r="AQ71" s="12">
        <f t="shared" si="27"/>
        <v>5744.39271190196</v>
      </c>
      <c r="AR71" s="12">
        <f t="shared" si="28"/>
        <v>9.2358924438976828</v>
      </c>
      <c r="AW71" s="19">
        <v>5.3333333333333313</v>
      </c>
      <c r="AX71" s="12">
        <v>46.522588932664803</v>
      </c>
      <c r="AY71" s="5">
        <f t="shared" si="29"/>
        <v>0.8321438137777889</v>
      </c>
      <c r="AZ71" s="12">
        <f t="shared" si="36"/>
        <v>9.3719052764272419</v>
      </c>
      <c r="BA71" s="5">
        <f t="shared" si="30"/>
        <v>4.4265999661381228E-2</v>
      </c>
      <c r="BB71" s="12">
        <f t="shared" si="31"/>
        <v>39.128341337036872</v>
      </c>
      <c r="BC71" s="5">
        <f t="shared" si="15"/>
        <v>0.47454585549049144</v>
      </c>
      <c r="BD71" s="12">
        <f t="shared" si="16"/>
        <v>18.568192213708123</v>
      </c>
      <c r="BE71" s="5">
        <f t="shared" si="17"/>
        <v>0.39374031236299734</v>
      </c>
      <c r="BF71" s="12">
        <f t="shared" si="32"/>
        <v>-13.761698219099436</v>
      </c>
    </row>
    <row r="72" spans="1:58">
      <c r="A72" s="19">
        <f t="shared" ref="A72:A126" si="51">A71+1/12</f>
        <v>5.4999999999999973</v>
      </c>
      <c r="B72" s="10">
        <f t="shared" si="40"/>
        <v>0.76464324301365372</v>
      </c>
      <c r="C72" s="10">
        <f t="shared" si="41"/>
        <v>0.87153434999715795</v>
      </c>
      <c r="D72" s="10">
        <f t="shared" si="42"/>
        <v>4.7281291818484172E-2</v>
      </c>
      <c r="E72" s="10">
        <f t="shared" si="43"/>
        <v>0.66641285177962362</v>
      </c>
      <c r="F72" s="10">
        <f t="shared" si="44"/>
        <v>3.6153320309960671E-2</v>
      </c>
      <c r="H72" s="19">
        <f t="shared" ref="H72:H126" si="52">H71+1/12</f>
        <v>5.4999999999999973</v>
      </c>
      <c r="I72" s="81">
        <f t="shared" si="39"/>
        <v>22802.717322320492</v>
      </c>
      <c r="J72" s="81">
        <f t="shared" si="45"/>
        <v>5671.5508967404976</v>
      </c>
      <c r="O72" s="19">
        <f t="shared" ref="O72:O126" si="53">O71+1/12</f>
        <v>5.4999999999999973</v>
      </c>
      <c r="P72" s="10">
        <f t="shared" si="46"/>
        <v>0.75470708178491519</v>
      </c>
      <c r="Q72" s="10">
        <f t="shared" si="47"/>
        <v>0.87153434999715795</v>
      </c>
      <c r="R72" s="10">
        <f t="shared" si="48"/>
        <v>4.7281291818484172E-2</v>
      </c>
      <c r="S72" s="10">
        <f t="shared" si="49"/>
        <v>0.65775314596166801</v>
      </c>
      <c r="T72" s="10">
        <f t="shared" si="50"/>
        <v>3.5683525771349173E-2</v>
      </c>
      <c r="V72" s="19">
        <v>5.4166666666666643</v>
      </c>
      <c r="W72" s="12">
        <v>21962.920669920077</v>
      </c>
      <c r="X72" s="12">
        <f t="shared" si="33"/>
        <v>484.27334732565134</v>
      </c>
      <c r="Y72" s="12">
        <f t="shared" si="34"/>
        <v>24.213667366282568</v>
      </c>
      <c r="Z72" s="12">
        <f t="shared" si="18"/>
        <v>126.78279091714997</v>
      </c>
      <c r="AA72" s="12">
        <f t="shared" si="19"/>
        <v>41.553972421115581</v>
      </c>
      <c r="AB72" s="12">
        <f t="shared" si="20"/>
        <v>4.7859967746811574</v>
      </c>
      <c r="AC72" s="12">
        <f t="shared" si="21"/>
        <v>124.92186421141677</v>
      </c>
      <c r="AD72" s="12">
        <f t="shared" si="22"/>
        <v>14.942993552633016</v>
      </c>
      <c r="AE72" s="12">
        <f t="shared" si="23"/>
        <v>22316.307517812416</v>
      </c>
      <c r="AF72" s="81">
        <f t="shared" si="35"/>
        <v>47.250796024334704</v>
      </c>
      <c r="AH72" s="12">
        <v>5845.4216207782911</v>
      </c>
      <c r="AM72" s="19">
        <f t="shared" si="24"/>
        <v>5.4999999999999973</v>
      </c>
      <c r="AN72" s="12">
        <v>5758.7716598776497</v>
      </c>
      <c r="AO72" s="12">
        <f t="shared" si="25"/>
        <v>32.560932217817424</v>
      </c>
      <c r="AP72" s="12">
        <f t="shared" si="26"/>
        <v>124.84388012699577</v>
      </c>
      <c r="AQ72" s="12">
        <f t="shared" si="27"/>
        <v>5657.3897283347615</v>
      </c>
      <c r="AR72" s="12">
        <f t="shared" si="28"/>
        <v>9.0989836337093948</v>
      </c>
      <c r="AW72" s="372">
        <v>5.4166666666666643</v>
      </c>
      <c r="AX72" s="12">
        <v>47.250796024334704</v>
      </c>
      <c r="AY72" s="5">
        <f t="shared" si="29"/>
        <v>0.82972026371619378</v>
      </c>
      <c r="AZ72" s="12">
        <f t="shared" si="36"/>
        <v>9.2358924438976828</v>
      </c>
      <c r="BA72" s="5">
        <f t="shared" si="30"/>
        <v>4.4847050500035346E-2</v>
      </c>
      <c r="BB72" s="12">
        <f t="shared" si="31"/>
        <v>39.619145472955445</v>
      </c>
      <c r="BC72" s="5">
        <f t="shared" ref="BC72:BC127" si="54">1.15^-AW72</f>
        <v>0.46905096243439531</v>
      </c>
      <c r="BD72" s="12">
        <f t="shared" ref="BD72:BD127" si="55">BB72*BC72</f>
        <v>18.583398314918067</v>
      </c>
      <c r="BE72" s="5">
        <f t="shared" ref="BE72:BE126" si="56">BC72*AY73</f>
        <v>0.38804763050274538</v>
      </c>
      <c r="BF72" s="81">
        <f t="shared" si="32"/>
        <v>4.8217000958186311</v>
      </c>
    </row>
    <row r="73" spans="1:58">
      <c r="A73" s="19">
        <f t="shared" si="51"/>
        <v>5.5833333333333304</v>
      </c>
      <c r="B73" s="10">
        <f t="shared" si="40"/>
        <v>0.76154063221174517</v>
      </c>
      <c r="C73" s="10">
        <f t="shared" si="41"/>
        <v>0.86972054347249572</v>
      </c>
      <c r="D73" s="10">
        <f t="shared" si="42"/>
        <v>4.7887852367302974E-2</v>
      </c>
      <c r="E73" s="10">
        <f t="shared" si="43"/>
        <v>0.662327532523587</v>
      </c>
      <c r="F73" s="10">
        <f t="shared" si="44"/>
        <v>3.6468545367058625E-2</v>
      </c>
      <c r="H73" s="19">
        <f t="shared" si="52"/>
        <v>5.5833333333333304</v>
      </c>
      <c r="I73" s="81">
        <f t="shared" si="39"/>
        <v>23226.614202016259</v>
      </c>
      <c r="J73" s="81">
        <f t="shared" si="45"/>
        <v>5583.7555712359608</v>
      </c>
      <c r="O73" s="19">
        <f t="shared" si="53"/>
        <v>5.5833333333333304</v>
      </c>
      <c r="P73" s="10">
        <f t="shared" si="46"/>
        <v>0.75149584402764824</v>
      </c>
      <c r="Q73" s="10">
        <f t="shared" si="47"/>
        <v>0.86972054347249572</v>
      </c>
      <c r="R73" s="10">
        <f t="shared" si="48"/>
        <v>4.7887852367302974E-2</v>
      </c>
      <c r="S73" s="10">
        <f t="shared" si="49"/>
        <v>0.65359137388504807</v>
      </c>
      <c r="T73" s="10">
        <f t="shared" si="50"/>
        <v>3.598752203343776E-2</v>
      </c>
      <c r="V73" s="19">
        <v>5.5</v>
      </c>
      <c r="W73" s="12">
        <v>22381.491762219241</v>
      </c>
      <c r="X73" s="12">
        <f t="shared" si="33"/>
        <v>484.27334732565134</v>
      </c>
      <c r="Y73" s="12">
        <f t="shared" si="34"/>
        <v>24.213667366282568</v>
      </c>
      <c r="Z73" s="12">
        <f t="shared" ref="Z73:Z127" si="57">(1.07^(1/12)-1)*(W73+X73-Y73)</f>
        <v>129.14945272797448</v>
      </c>
      <c r="AA73" s="12">
        <f t="shared" ref="AA73:AA127" si="58">AK$9*50000</f>
        <v>41.553972421115581</v>
      </c>
      <c r="AB73" s="12">
        <f t="shared" ref="AB73:AB127" si="59">AH74*AK$9</f>
        <v>4.7135093909621597</v>
      </c>
      <c r="AC73" s="12">
        <f t="shared" ref="AC73:AC127" si="60">AK$10*100000</f>
        <v>124.92186421141677</v>
      </c>
      <c r="AD73" s="12">
        <f t="shared" ref="AD73:AD127" si="61">AK$13*(W73+X73)*0.8</f>
        <v>15.221634398733407</v>
      </c>
      <c r="AE73" s="12">
        <f t="shared" ref="AE73:AE127" si="62">AK$8*W74</f>
        <v>22736.306293293954</v>
      </c>
      <c r="AF73" s="81">
        <f t="shared" si="35"/>
        <v>47.983621190400299</v>
      </c>
      <c r="AH73" s="12">
        <v>5758.7716598776497</v>
      </c>
      <c r="AM73" s="19">
        <f t="shared" ref="AM73:AM126" si="63">AM72+1/12</f>
        <v>5.5833333333333304</v>
      </c>
      <c r="AN73" s="12">
        <v>5671.5508967404976</v>
      </c>
      <c r="AO73" s="12">
        <f t="shared" ref="AO73:AO126" si="64">(1.07^(1/12)-1)*AN73</f>
        <v>32.067773342239526</v>
      </c>
      <c r="AP73" s="12">
        <f t="shared" ref="AP73:AP126" si="65">AU$8*50000</f>
        <v>124.84388012699577</v>
      </c>
      <c r="AQ73" s="12">
        <f t="shared" ref="AQ73:AQ125" si="66">AU$7*AN74</f>
        <v>5569.8136170120843</v>
      </c>
      <c r="AR73" s="12">
        <f t="shared" ref="AR73:AR126" si="67">AN73+AO73-AP73-AQ73</f>
        <v>8.9611729436574024</v>
      </c>
      <c r="AW73" s="19">
        <v>5.5</v>
      </c>
      <c r="AX73" s="12">
        <v>47.983621190400299</v>
      </c>
      <c r="AY73" s="5">
        <f t="shared" ref="AY73:AY127" si="68">EXP(-0.035*AW72)</f>
        <v>0.82730377204379024</v>
      </c>
      <c r="AZ73" s="12">
        <f t="shared" si="36"/>
        <v>9.0989836337093948</v>
      </c>
      <c r="BA73" s="5">
        <f t="shared" ref="BA73:BA127" si="69">2*(EXP(-0.03*AW72)-EXP(-0.035*AW72))</f>
        <v>4.5424636363216031E-2</v>
      </c>
      <c r="BB73" s="12">
        <f t="shared" ref="BB73:BB127" si="70">AX73*AY73+AZ73*BA73</f>
        <v>40.110348829974612</v>
      </c>
      <c r="BC73" s="5">
        <f t="shared" si="54"/>
        <v>0.46361969621087712</v>
      </c>
      <c r="BD73" s="12">
        <f t="shared" si="55"/>
        <v>18.595947739465139</v>
      </c>
      <c r="BE73" s="5">
        <f t="shared" si="56"/>
        <v>0.38243725321163319</v>
      </c>
      <c r="BF73" s="12"/>
    </row>
    <row r="74" spans="1:58">
      <c r="A74" s="19">
        <f t="shared" si="51"/>
        <v>5.6666666666666634</v>
      </c>
      <c r="B74" s="10">
        <f t="shared" si="40"/>
        <v>0.75845061054061913</v>
      </c>
      <c r="C74" s="10">
        <f t="shared" si="41"/>
        <v>0.86791051177794643</v>
      </c>
      <c r="D74" s="10">
        <f t="shared" si="42"/>
        <v>4.849139036312522E-2</v>
      </c>
      <c r="E74" s="10">
        <f t="shared" si="43"/>
        <v>0.65826725755260462</v>
      </c>
      <c r="F74" s="10">
        <f t="shared" si="44"/>
        <v>3.6778324626875816E-2</v>
      </c>
      <c r="H74" s="19">
        <f t="shared" si="52"/>
        <v>5.6666666666666634</v>
      </c>
      <c r="I74" s="81">
        <f t="shared" si="39"/>
        <v>23653.199360196366</v>
      </c>
      <c r="J74" s="81">
        <f t="shared" si="45"/>
        <v>5495.3818984634936</v>
      </c>
      <c r="O74" s="19">
        <f t="shared" si="53"/>
        <v>5.6666666666666634</v>
      </c>
      <c r="P74" s="10">
        <f t="shared" si="46"/>
        <v>0.74829826991311454</v>
      </c>
      <c r="Q74" s="10">
        <f t="shared" si="47"/>
        <v>0.86791051177794643</v>
      </c>
      <c r="R74" s="10">
        <f t="shared" si="48"/>
        <v>4.849139036312522E-2</v>
      </c>
      <c r="S74" s="10">
        <f t="shared" si="49"/>
        <v>0.6494559344028431</v>
      </c>
      <c r="T74" s="10">
        <f t="shared" si="50"/>
        <v>3.6286023514408079E-2</v>
      </c>
      <c r="V74" s="19">
        <v>5.5833333333333313</v>
      </c>
      <c r="W74" s="12">
        <v>22802.717322320488</v>
      </c>
      <c r="X74" s="12">
        <f t="shared" ref="X74:X127" si="71">X73</f>
        <v>484.27334732565134</v>
      </c>
      <c r="Y74" s="12">
        <f t="shared" ref="Y74:Y127" si="72">0.05*X74</f>
        <v>24.213667366282568</v>
      </c>
      <c r="Z74" s="12">
        <f t="shared" si="57"/>
        <v>131.53112328567815</v>
      </c>
      <c r="AA74" s="12">
        <f t="shared" si="58"/>
        <v>41.553972421115581</v>
      </c>
      <c r="AB74" s="12">
        <f t="shared" si="59"/>
        <v>4.6405445002677919</v>
      </c>
      <c r="AC74" s="12">
        <f t="shared" si="60"/>
        <v>124.92186421141677</v>
      </c>
      <c r="AD74" s="12">
        <f t="shared" si="61"/>
        <v>15.502042311809817</v>
      </c>
      <c r="AE74" s="12">
        <f t="shared" si="62"/>
        <v>23158.968608372539</v>
      </c>
      <c r="AF74" s="81">
        <f t="shared" ref="AF74:AF127" si="73">W74+X74-Y74+Z74-AA74-AB74-AC74-AD74-AE74</f>
        <v>48.721093748383282</v>
      </c>
      <c r="AH74" s="12">
        <v>5671.5508967404976</v>
      </c>
      <c r="AM74" s="19">
        <f t="shared" si="63"/>
        <v>5.6666666666666634</v>
      </c>
      <c r="AN74" s="12">
        <v>5583.7555712359608</v>
      </c>
      <c r="AO74" s="12">
        <f t="shared" si="64"/>
        <v>31.571365807502307</v>
      </c>
      <c r="AP74" s="12">
        <f t="shared" si="65"/>
        <v>124.84388012699577</v>
      </c>
      <c r="AQ74" s="12">
        <f t="shared" si="66"/>
        <v>5481.6606024838165</v>
      </c>
      <c r="AR74" s="12">
        <f t="shared" si="67"/>
        <v>8.8224544326503747</v>
      </c>
      <c r="AW74" s="19">
        <v>5.5833333333333313</v>
      </c>
      <c r="AX74" s="12">
        <v>48.721093748383282</v>
      </c>
      <c r="AY74" s="5">
        <f t="shared" si="68"/>
        <v>0.82489431820360337</v>
      </c>
      <c r="AZ74" s="12">
        <f t="shared" ref="AZ74:AZ127" si="74">AR73</f>
        <v>8.9611729436574024</v>
      </c>
      <c r="BA74" s="5">
        <f t="shared" si="69"/>
        <v>4.5998771768624991E-2</v>
      </c>
      <c r="BB74" s="12">
        <f t="shared" si="70"/>
        <v>40.60195635872094</v>
      </c>
      <c r="BC74" s="5">
        <f t="shared" si="54"/>
        <v>0.45825132006786906</v>
      </c>
      <c r="BD74" s="12">
        <f t="shared" si="55"/>
        <v>18.605900098721882</v>
      </c>
      <c r="BE74" s="5">
        <f t="shared" si="56"/>
        <v>0.37690799053345636</v>
      </c>
      <c r="BF74" s="12"/>
    </row>
    <row r="75" spans="1:58">
      <c r="A75" s="19">
        <f t="shared" si="51"/>
        <v>5.7499999999999964</v>
      </c>
      <c r="B75" s="10">
        <f t="shared" si="40"/>
        <v>0.75537312691871084</v>
      </c>
      <c r="C75" s="10">
        <f t="shared" si="41"/>
        <v>0.86610424705746714</v>
      </c>
      <c r="D75" s="10">
        <f t="shared" si="42"/>
        <v>4.9091916491387444E-2</v>
      </c>
      <c r="E75" s="10">
        <f t="shared" si="43"/>
        <v>0.65423187333737465</v>
      </c>
      <c r="F75" s="10">
        <f t="shared" si="44"/>
        <v>3.7082714466531559E-2</v>
      </c>
      <c r="H75" s="19">
        <f t="shared" si="52"/>
        <v>5.7499999999999964</v>
      </c>
      <c r="I75" s="81">
        <f t="shared" si="39"/>
        <v>24082.48986352939</v>
      </c>
      <c r="J75" s="81">
        <f t="shared" si="45"/>
        <v>5406.4260685897079</v>
      </c>
      <c r="O75" s="19">
        <f t="shared" si="53"/>
        <v>5.7499999999999964</v>
      </c>
      <c r="P75" s="10">
        <f t="shared" si="46"/>
        <v>0.74511430130325418</v>
      </c>
      <c r="Q75" s="10">
        <f t="shared" si="47"/>
        <v>0.86610424705746714</v>
      </c>
      <c r="R75" s="10">
        <f t="shared" si="48"/>
        <v>4.9091916491387444E-2</v>
      </c>
      <c r="S75" s="10">
        <f t="shared" si="49"/>
        <v>0.64534666090200565</v>
      </c>
      <c r="T75" s="10">
        <f t="shared" si="50"/>
        <v>3.6579089056117856E-2</v>
      </c>
      <c r="V75" s="19">
        <v>5.6666666666666643</v>
      </c>
      <c r="W75" s="12">
        <v>23226.614202016255</v>
      </c>
      <c r="X75" s="12">
        <f t="shared" si="71"/>
        <v>484.27334732565134</v>
      </c>
      <c r="Y75" s="12">
        <f t="shared" si="72"/>
        <v>24.213667366282568</v>
      </c>
      <c r="Z75" s="12">
        <f t="shared" si="57"/>
        <v>133.92789787274546</v>
      </c>
      <c r="AA75" s="12">
        <f t="shared" si="58"/>
        <v>41.553972421115581</v>
      </c>
      <c r="AB75" s="12">
        <f t="shared" si="59"/>
        <v>4.5670989570449958</v>
      </c>
      <c r="AC75" s="12">
        <f t="shared" si="60"/>
        <v>124.92186421141677</v>
      </c>
      <c r="AD75" s="12">
        <f t="shared" si="61"/>
        <v>15.784228510022771</v>
      </c>
      <c r="AE75" s="12">
        <f t="shared" si="62"/>
        <v>23584.311372546628</v>
      </c>
      <c r="AF75" s="81">
        <f t="shared" si="73"/>
        <v>49.463243202138983</v>
      </c>
      <c r="AH75" s="12">
        <v>5583.7555712359608</v>
      </c>
      <c r="AM75" s="19">
        <f t="shared" si="63"/>
        <v>5.7499999999999964</v>
      </c>
      <c r="AN75" s="12">
        <v>5495.3818984634936</v>
      </c>
      <c r="AO75" s="12">
        <f t="shared" si="64"/>
        <v>31.071688213227798</v>
      </c>
      <c r="AP75" s="12">
        <f t="shared" si="65"/>
        <v>124.84388012699577</v>
      </c>
      <c r="AQ75" s="12">
        <f t="shared" si="66"/>
        <v>5392.9268844292583</v>
      </c>
      <c r="AR75" s="12">
        <f t="shared" si="67"/>
        <v>8.6828221204668807</v>
      </c>
      <c r="AW75" s="19">
        <v>5.6666666666666643</v>
      </c>
      <c r="AX75" s="12">
        <v>49.463243202138983</v>
      </c>
      <c r="AY75" s="5">
        <f t="shared" si="68"/>
        <v>0.82249188169852872</v>
      </c>
      <c r="AZ75" s="12">
        <f t="shared" si="74"/>
        <v>8.8224544326503747</v>
      </c>
      <c r="BA75" s="5">
        <f t="shared" si="69"/>
        <v>4.6569471180631039E-2</v>
      </c>
      <c r="BB75" s="12">
        <f t="shared" si="70"/>
        <v>41.093973013682991</v>
      </c>
      <c r="BC75" s="5">
        <f t="shared" si="54"/>
        <v>0.45294510578435121</v>
      </c>
      <c r="BD75" s="12">
        <f t="shared" si="55"/>
        <v>18.613313953781915</v>
      </c>
      <c r="BE75" s="5">
        <f t="shared" si="56"/>
        <v>0.37145866971634955</v>
      </c>
      <c r="BF75" s="12"/>
    </row>
    <row r="76" spans="1:58">
      <c r="A76" s="19">
        <f t="shared" si="51"/>
        <v>5.8333333333333295</v>
      </c>
      <c r="B76" s="10">
        <f t="shared" si="40"/>
        <v>0.75230813047172396</v>
      </c>
      <c r="C76" s="10">
        <f t="shared" si="41"/>
        <v>0.86430174147136407</v>
      </c>
      <c r="D76" s="10">
        <f t="shared" si="42"/>
        <v>4.9689441404313195E-2</v>
      </c>
      <c r="E76" s="10">
        <f t="shared" si="43"/>
        <v>0.65022122728977716</v>
      </c>
      <c r="F76" s="10">
        <f t="shared" si="44"/>
        <v>3.7381770767063137E-2</v>
      </c>
      <c r="H76" s="19">
        <f t="shared" si="52"/>
        <v>5.8333333333333295</v>
      </c>
      <c r="I76" s="81">
        <f t="shared" si="39"/>
        <v>24514.502887148377</v>
      </c>
      <c r="J76" s="81">
        <f t="shared" si="45"/>
        <v>5316.8842466841334</v>
      </c>
      <c r="O76" s="19">
        <f t="shared" si="53"/>
        <v>5.8333333333333295</v>
      </c>
      <c r="P76" s="10">
        <f t="shared" si="46"/>
        <v>0.74194388030738168</v>
      </c>
      <c r="Q76" s="10">
        <f t="shared" si="47"/>
        <v>0.86430174147136407</v>
      </c>
      <c r="R76" s="10">
        <f t="shared" si="48"/>
        <v>4.9689441404313195E-2</v>
      </c>
      <c r="S76" s="10">
        <f t="shared" si="49"/>
        <v>0.6412633878236913</v>
      </c>
      <c r="T76" s="10">
        <f t="shared" si="50"/>
        <v>3.6866776965822405E-2</v>
      </c>
      <c r="V76" s="19">
        <v>5.75</v>
      </c>
      <c r="W76" s="12">
        <v>23653.199360196362</v>
      </c>
      <c r="X76" s="12">
        <f t="shared" si="71"/>
        <v>484.27334732565134</v>
      </c>
      <c r="Y76" s="12">
        <f t="shared" si="72"/>
        <v>24.213667366282568</v>
      </c>
      <c r="Z76" s="12">
        <f t="shared" si="57"/>
        <v>136.33987237720504</v>
      </c>
      <c r="AA76" s="12">
        <f t="shared" si="58"/>
        <v>41.553972421115581</v>
      </c>
      <c r="AB76" s="12">
        <f t="shared" si="59"/>
        <v>4.4931695950195412</v>
      </c>
      <c r="AC76" s="12">
        <f t="shared" si="60"/>
        <v>124.92186421141677</v>
      </c>
      <c r="AD76" s="12">
        <f t="shared" si="61"/>
        <v>16.068204282827022</v>
      </c>
      <c r="AE76" s="12">
        <f t="shared" si="62"/>
        <v>24012.351602779538</v>
      </c>
      <c r="AF76" s="81">
        <f t="shared" si="73"/>
        <v>50.210099243020522</v>
      </c>
      <c r="AH76" s="12">
        <v>5495.3818984634936</v>
      </c>
      <c r="AM76" s="19">
        <f t="shared" si="63"/>
        <v>5.8333333333333295</v>
      </c>
      <c r="AN76" s="12">
        <v>5406.4260685897079</v>
      </c>
      <c r="AO76" s="12">
        <f t="shared" si="64"/>
        <v>30.568719018064126</v>
      </c>
      <c r="AP76" s="12">
        <f t="shared" si="65"/>
        <v>124.84388012699577</v>
      </c>
      <c r="AQ76" s="12">
        <f t="shared" si="66"/>
        <v>5303.6086374932902</v>
      </c>
      <c r="AR76" s="12">
        <f t="shared" si="67"/>
        <v>8.5422699874861792</v>
      </c>
      <c r="AW76" s="19">
        <v>5.75</v>
      </c>
      <c r="AX76" s="12">
        <v>50.210099243020522</v>
      </c>
      <c r="AY76" s="5">
        <f t="shared" si="68"/>
        <v>0.82009644209115784</v>
      </c>
      <c r="AZ76" s="12">
        <f t="shared" si="74"/>
        <v>8.6828221204668807</v>
      </c>
      <c r="BA76" s="5">
        <f t="shared" si="69"/>
        <v>4.7136749010451728E-2</v>
      </c>
      <c r="BB76" s="12">
        <f t="shared" si="70"/>
        <v>41.586403753239914</v>
      </c>
      <c r="BC76" s="5">
        <f t="shared" si="54"/>
        <v>0.44770033357156946</v>
      </c>
      <c r="BD76" s="12">
        <f t="shared" si="55"/>
        <v>18.618246832367479</v>
      </c>
      <c r="BE76" s="5">
        <f t="shared" si="56"/>
        <v>0.36608813496404768</v>
      </c>
      <c r="BF76" s="12"/>
    </row>
    <row r="77" spans="1:58">
      <c r="A77" s="19">
        <f t="shared" si="51"/>
        <v>5.9166666666666625</v>
      </c>
      <c r="B77" s="10">
        <f t="shared" si="40"/>
        <v>0.74925557053178937</v>
      </c>
      <c r="C77" s="10">
        <f t="shared" si="41"/>
        <v>0.86250298719625973</v>
      </c>
      <c r="D77" s="10">
        <f t="shared" si="42"/>
        <v>5.028397572101162E-2</v>
      </c>
      <c r="E77" s="10">
        <f t="shared" si="43"/>
        <v>0.64623516775710621</v>
      </c>
      <c r="F77" s="10">
        <f t="shared" si="44"/>
        <v>3.7675548917453207E-2</v>
      </c>
      <c r="H77" s="19">
        <f t="shared" si="52"/>
        <v>5.9166666666666625</v>
      </c>
      <c r="I77" s="81">
        <f t="shared" si="39"/>
        <v>24949.255715340903</v>
      </c>
      <c r="J77" s="81">
        <f t="shared" si="45"/>
        <v>5226.7525725538862</v>
      </c>
      <c r="O77" s="19">
        <f t="shared" si="53"/>
        <v>5.9166666666666625</v>
      </c>
      <c r="P77" s="10">
        <f t="shared" si="46"/>
        <v>0.7387869492811332</v>
      </c>
      <c r="Q77" s="10">
        <f t="shared" si="47"/>
        <v>0.86250298719625973</v>
      </c>
      <c r="R77" s="10">
        <f t="shared" si="48"/>
        <v>5.028397572101162E-2</v>
      </c>
      <c r="S77" s="10">
        <f t="shared" si="49"/>
        <v>0.63720595065658903</v>
      </c>
      <c r="T77" s="10">
        <f t="shared" si="50"/>
        <v>3.7149145020652745E-2</v>
      </c>
      <c r="V77" s="19">
        <v>5.8333333333333313</v>
      </c>
      <c r="W77" s="12">
        <v>24082.489863529387</v>
      </c>
      <c r="X77" s="12">
        <f t="shared" si="71"/>
        <v>484.27334732565134</v>
      </c>
      <c r="Y77" s="12">
        <f t="shared" si="72"/>
        <v>24.213667366282568</v>
      </c>
      <c r="Z77" s="12">
        <f t="shared" si="57"/>
        <v>138.76714329648237</v>
      </c>
      <c r="AA77" s="12">
        <f t="shared" si="58"/>
        <v>41.553972421115581</v>
      </c>
      <c r="AB77" s="12">
        <f t="shared" si="59"/>
        <v>4.4187532270595273</v>
      </c>
      <c r="AC77" s="12">
        <f t="shared" si="60"/>
        <v>124.92186421141677</v>
      </c>
      <c r="AD77" s="12">
        <f t="shared" si="61"/>
        <v>16.353980991425143</v>
      </c>
      <c r="AE77" s="12">
        <f t="shared" si="62"/>
        <v>24443.106424183152</v>
      </c>
      <c r="AF77" s="81">
        <f t="shared" si="73"/>
        <v>50.961691751068429</v>
      </c>
      <c r="AH77" s="12">
        <v>5406.4260685897079</v>
      </c>
      <c r="AM77" s="19">
        <f t="shared" si="63"/>
        <v>5.9166666666666625</v>
      </c>
      <c r="AN77" s="12">
        <v>5316.8842466841334</v>
      </c>
      <c r="AO77" s="12">
        <f t="shared" si="64"/>
        <v>30.062436538756856</v>
      </c>
      <c r="AP77" s="12">
        <f t="shared" si="65"/>
        <v>124.84388012699577</v>
      </c>
      <c r="AQ77" s="12">
        <f t="shared" si="66"/>
        <v>5213.7020111214588</v>
      </c>
      <c r="AR77" s="12">
        <f t="shared" si="67"/>
        <v>8.4007919744353785</v>
      </c>
      <c r="AW77" s="19">
        <v>5.8333333333333313</v>
      </c>
      <c r="AX77" s="12">
        <v>50.961691751068429</v>
      </c>
      <c r="AY77" s="5">
        <f t="shared" si="68"/>
        <v>0.81770797900360459</v>
      </c>
      <c r="AZ77" s="12">
        <f t="shared" si="74"/>
        <v>8.5422699874861792</v>
      </c>
      <c r="BA77" s="5">
        <f t="shared" si="69"/>
        <v>4.7700619616337425E-2</v>
      </c>
      <c r="BB77" s="12">
        <f t="shared" si="70"/>
        <v>42.079253539703963</v>
      </c>
      <c r="BC77" s="5">
        <f t="shared" si="54"/>
        <v>0.44251629197539633</v>
      </c>
      <c r="BD77" s="12">
        <f t="shared" si="55"/>
        <v>18.620755245482368</v>
      </c>
      <c r="BE77" s="5">
        <f t="shared" si="56"/>
        <v>0.36079524719074307</v>
      </c>
      <c r="BF77" s="12"/>
    </row>
    <row r="78" spans="1:58">
      <c r="A78" s="19">
        <f t="shared" si="51"/>
        <v>5.9999999999999956</v>
      </c>
      <c r="B78" s="10">
        <f t="shared" si="40"/>
        <v>0.74621539663662761</v>
      </c>
      <c r="C78" s="10">
        <f t="shared" si="41"/>
        <v>0.86070797642505792</v>
      </c>
      <c r="D78" s="10">
        <f t="shared" si="42"/>
        <v>5.0875530027571614E-2</v>
      </c>
      <c r="E78" s="10">
        <f t="shared" si="43"/>
        <v>0.64227354401633374</v>
      </c>
      <c r="F78" s="10">
        <f t="shared" si="44"/>
        <v>3.7964103818623009E-2</v>
      </c>
      <c r="H78" s="19">
        <f t="shared" si="52"/>
        <v>5.9999999999999956</v>
      </c>
      <c r="I78" s="81">
        <f t="shared" si="39"/>
        <v>25386.765742243537</v>
      </c>
      <c r="J78" s="81">
        <f t="shared" si="45"/>
        <v>5136.0271605772596</v>
      </c>
      <c r="O78" s="19">
        <f t="shared" si="53"/>
        <v>5.9999999999999956</v>
      </c>
      <c r="P78" s="10">
        <f t="shared" si="46"/>
        <v>0.73564345082541882</v>
      </c>
      <c r="Q78" s="10">
        <f t="shared" si="47"/>
        <v>0.86070797642505792</v>
      </c>
      <c r="R78" s="10">
        <f t="shared" si="48"/>
        <v>5.0875530027571614E-2</v>
      </c>
      <c r="S78" s="10">
        <f t="shared" si="49"/>
        <v>0.63317418593029284</v>
      </c>
      <c r="T78" s="10">
        <f t="shared" si="50"/>
        <v>3.7426250472055E-2</v>
      </c>
      <c r="V78" s="19">
        <v>5.9166666666666643</v>
      </c>
      <c r="W78" s="12">
        <v>24514.502887148374</v>
      </c>
      <c r="X78" s="12">
        <f t="shared" si="71"/>
        <v>484.27334732565134</v>
      </c>
      <c r="Y78" s="12">
        <f t="shared" si="72"/>
        <v>24.213667366282568</v>
      </c>
      <c r="Z78" s="12">
        <f t="shared" si="57"/>
        <v>141.20980774127665</v>
      </c>
      <c r="AA78" s="12">
        <f t="shared" si="58"/>
        <v>41.553972421115581</v>
      </c>
      <c r="AB78" s="12">
        <f t="shared" si="59"/>
        <v>4.3438466450379822</v>
      </c>
      <c r="AC78" s="12">
        <f t="shared" si="60"/>
        <v>124.92186421141677</v>
      </c>
      <c r="AD78" s="12">
        <f t="shared" si="61"/>
        <v>16.641570069224013</v>
      </c>
      <c r="AE78" s="12">
        <f t="shared" si="62"/>
        <v>24876.593070705996</v>
      </c>
      <c r="AF78" s="81">
        <f t="shared" si="73"/>
        <v>51.718050796229363</v>
      </c>
      <c r="AH78" s="12">
        <v>5316.8842466841334</v>
      </c>
      <c r="AM78" s="19">
        <f t="shared" si="63"/>
        <v>5.9999999999999956</v>
      </c>
      <c r="AN78" s="12">
        <v>5226.7525725538862</v>
      </c>
      <c r="AO78" s="12">
        <f t="shared" si="64"/>
        <v>29.552818949214206</v>
      </c>
      <c r="AP78" s="12">
        <f t="shared" si="65"/>
        <v>124.84388012699577</v>
      </c>
      <c r="AQ78" s="12">
        <f t="shared" si="66"/>
        <v>5123.2031293939772</v>
      </c>
      <c r="AR78" s="12">
        <f t="shared" si="67"/>
        <v>8.2583819821275029</v>
      </c>
      <c r="AW78" s="19">
        <v>5.9166666666666643</v>
      </c>
      <c r="AX78" s="12">
        <v>51.718050796229363</v>
      </c>
      <c r="AY78" s="5">
        <f t="shared" si="68"/>
        <v>0.81532647211733189</v>
      </c>
      <c r="AZ78" s="12">
        <f t="shared" si="74"/>
        <v>8.4007919744353785</v>
      </c>
      <c r="BA78" s="5">
        <f t="shared" si="69"/>
        <v>4.8261097303750944E-2</v>
      </c>
      <c r="BB78" s="12">
        <f t="shared" si="70"/>
        <v>42.572527339381452</v>
      </c>
      <c r="BC78" s="5">
        <f t="shared" si="54"/>
        <v>0.43739227777982048</v>
      </c>
      <c r="BD78" s="12">
        <f t="shared" si="55"/>
        <v>18.620894703815733</v>
      </c>
      <c r="BE78" s="5">
        <f t="shared" si="56"/>
        <v>0.3555788837794846</v>
      </c>
      <c r="BF78" s="12"/>
    </row>
    <row r="79" spans="1:58">
      <c r="A79" s="19">
        <f t="shared" si="51"/>
        <v>6.0833333333333286</v>
      </c>
      <c r="B79" s="10">
        <f t="shared" si="40"/>
        <v>0.74318755852871421</v>
      </c>
      <c r="C79" s="10">
        <f t="shared" si="41"/>
        <v>0.85891670136691045</v>
      </c>
      <c r="D79" s="10">
        <f t="shared" si="42"/>
        <v>5.1464114877159739E-2</v>
      </c>
      <c r="E79" s="10">
        <f t="shared" si="43"/>
        <v>0.63833620626841092</v>
      </c>
      <c r="F79" s="10">
        <f t="shared" si="44"/>
        <v>3.8247489887397623E-2</v>
      </c>
      <c r="H79" s="19">
        <f t="shared" si="52"/>
        <v>6.0833333333333286</v>
      </c>
      <c r="I79" s="81">
        <f t="shared" si="39"/>
        <v>25827.05047254073</v>
      </c>
      <c r="J79" s="81">
        <f t="shared" si="45"/>
        <v>5044.7040995362086</v>
      </c>
      <c r="O79" s="19">
        <f t="shared" si="53"/>
        <v>6.0833333333333286</v>
      </c>
      <c r="P79" s="10">
        <f t="shared" si="46"/>
        <v>0.73251332778537825</v>
      </c>
      <c r="Q79" s="10">
        <f t="shared" si="47"/>
        <v>0.85891670136691045</v>
      </c>
      <c r="R79" s="10">
        <f t="shared" si="48"/>
        <v>5.1464114877159739E-2</v>
      </c>
      <c r="S79" s="10">
        <f t="shared" si="49"/>
        <v>0.6291679312087155</v>
      </c>
      <c r="T79" s="10">
        <f t="shared" si="50"/>
        <v>3.7698150050197277E-2</v>
      </c>
      <c r="V79" s="19">
        <v>6</v>
      </c>
      <c r="W79" s="12">
        <v>24949.2557153409</v>
      </c>
      <c r="X79" s="12">
        <f t="shared" si="71"/>
        <v>484.27334732565134</v>
      </c>
      <c r="Y79" s="12">
        <f t="shared" si="72"/>
        <v>24.213667366282568</v>
      </c>
      <c r="Z79" s="12">
        <f t="shared" si="57"/>
        <v>143.66796343946282</v>
      </c>
      <c r="AA79" s="12">
        <f t="shared" si="58"/>
        <v>41.553972421115581</v>
      </c>
      <c r="AB79" s="12">
        <f t="shared" si="59"/>
        <v>4.2684466196945605</v>
      </c>
      <c r="AC79" s="12">
        <f t="shared" si="60"/>
        <v>124.92186421141677</v>
      </c>
      <c r="AD79" s="12">
        <f t="shared" si="61"/>
        <v>16.930983022294171</v>
      </c>
      <c r="AE79" s="12">
        <f t="shared" si="62"/>
        <v>25312.828885825653</v>
      </c>
      <c r="AF79" s="81">
        <f t="shared" si="73"/>
        <v>52.479206639556651</v>
      </c>
      <c r="AH79" s="12">
        <v>5226.7525725538862</v>
      </c>
      <c r="AM79" s="19">
        <f t="shared" si="63"/>
        <v>6.0833333333333286</v>
      </c>
      <c r="AN79" s="12">
        <v>5136.0271605772596</v>
      </c>
      <c r="AO79" s="12">
        <f t="shared" si="64"/>
        <v>29.039844279566118</v>
      </c>
      <c r="AP79" s="12">
        <f t="shared" si="65"/>
        <v>124.84388012699577</v>
      </c>
      <c r="AQ79" s="12">
        <f t="shared" si="66"/>
        <v>5032.1080908586355</v>
      </c>
      <c r="AR79" s="12">
        <f t="shared" si="67"/>
        <v>8.1150338711941004</v>
      </c>
      <c r="AW79" s="19">
        <v>6</v>
      </c>
      <c r="AX79" s="12">
        <v>52.479206639556651</v>
      </c>
      <c r="AY79" s="5">
        <f t="shared" si="68"/>
        <v>0.81295190117297855</v>
      </c>
      <c r="AZ79" s="12">
        <f t="shared" si="74"/>
        <v>8.2583819821275029</v>
      </c>
      <c r="BA79" s="5">
        <f t="shared" si="69"/>
        <v>4.8818196325550733E-2</v>
      </c>
      <c r="BB79" s="12">
        <f t="shared" si="70"/>
        <v>43.066230122612069</v>
      </c>
      <c r="BC79" s="5">
        <f t="shared" si="54"/>
        <v>0.43232759591155645</v>
      </c>
      <c r="BD79" s="12">
        <f t="shared" si="55"/>
        <v>18.618719733882731</v>
      </c>
      <c r="BE79" s="5">
        <f t="shared" si="56"/>
        <v>0.35043793834407272</v>
      </c>
      <c r="BF79" s="12"/>
    </row>
    <row r="80" spans="1:58">
      <c r="A80" s="19">
        <f t="shared" si="51"/>
        <v>6.1666666666666616</v>
      </c>
      <c r="B80" s="10">
        <f t="shared" si="40"/>
        <v>0.74017200615444967</v>
      </c>
      <c r="C80" s="10">
        <f t="shared" si="41"/>
        <v>0.85712915424718339</v>
      </c>
      <c r="D80" s="10">
        <f t="shared" si="42"/>
        <v>5.2049740790115262E-2</v>
      </c>
      <c r="E80" s="10">
        <f t="shared" si="43"/>
        <v>0.63442300563260445</v>
      </c>
      <c r="F80" s="10">
        <f t="shared" si="44"/>
        <v>3.8525761060438701E-2</v>
      </c>
      <c r="H80" s="19">
        <f t="shared" si="52"/>
        <v>6.1666666666666616</v>
      </c>
      <c r="I80" s="81">
        <f t="shared" si="39"/>
        <v>26270.127522168164</v>
      </c>
      <c r="J80" s="81">
        <f t="shared" si="45"/>
        <v>4952.7794524477385</v>
      </c>
      <c r="O80" s="19">
        <f t="shared" si="53"/>
        <v>6.1666666666666616</v>
      </c>
      <c r="P80" s="10">
        <f t="shared" si="46"/>
        <v>0.72939652324934245</v>
      </c>
      <c r="Q80" s="10">
        <f t="shared" si="47"/>
        <v>0.85712915424718339</v>
      </c>
      <c r="R80" s="10">
        <f t="shared" si="48"/>
        <v>5.2049740790115262E-2</v>
      </c>
      <c r="S80" s="10">
        <f t="shared" si="49"/>
        <v>0.62518702508354496</v>
      </c>
      <c r="T80" s="10">
        <f t="shared" si="50"/>
        <v>3.7964899968339558E-2</v>
      </c>
      <c r="V80" s="19">
        <v>6.0833333333333313</v>
      </c>
      <c r="W80" s="12">
        <v>25386.765742243533</v>
      </c>
      <c r="X80" s="12">
        <f t="shared" si="71"/>
        <v>484.27334732565134</v>
      </c>
      <c r="Y80" s="12">
        <f t="shared" si="72"/>
        <v>24.213667366282568</v>
      </c>
      <c r="Z80" s="12">
        <f t="shared" si="57"/>
        <v>146.14170874001792</v>
      </c>
      <c r="AA80" s="12">
        <f t="shared" si="58"/>
        <v>41.553972421115581</v>
      </c>
      <c r="AB80" s="12">
        <f t="shared" si="59"/>
        <v>4.192549900496326</v>
      </c>
      <c r="AC80" s="12">
        <f t="shared" si="60"/>
        <v>124.92186421141677</v>
      </c>
      <c r="AD80" s="12">
        <f t="shared" si="61"/>
        <v>17.222231429832128</v>
      </c>
      <c r="AE80" s="12">
        <f t="shared" si="62"/>
        <v>25751.831323245624</v>
      </c>
      <c r="AF80" s="81">
        <f t="shared" si="73"/>
        <v>53.245189734436281</v>
      </c>
      <c r="AH80" s="12">
        <v>5136.0271605772596</v>
      </c>
      <c r="AM80" s="19">
        <f t="shared" si="63"/>
        <v>6.1666666666666616</v>
      </c>
      <c r="AN80" s="12">
        <v>5044.7040995362086</v>
      </c>
      <c r="AO80" s="12">
        <f t="shared" si="64"/>
        <v>28.523490415217129</v>
      </c>
      <c r="AP80" s="12">
        <f t="shared" si="65"/>
        <v>124.84388012699577</v>
      </c>
      <c r="AQ80" s="12">
        <f t="shared" si="66"/>
        <v>4940.4129683626015</v>
      </c>
      <c r="AR80" s="12">
        <f t="shared" si="67"/>
        <v>7.9707414618287658</v>
      </c>
      <c r="AW80" s="19">
        <v>6.0833333333333313</v>
      </c>
      <c r="AX80" s="12">
        <v>53.245189734436281</v>
      </c>
      <c r="AY80" s="5">
        <f t="shared" si="68"/>
        <v>0.81058424597018708</v>
      </c>
      <c r="AZ80" s="12">
        <f t="shared" si="74"/>
        <v>8.1150338711941004</v>
      </c>
      <c r="BA80" s="5">
        <f t="shared" si="69"/>
        <v>4.9371930882169845E-2</v>
      </c>
      <c r="BB80" s="12">
        <f t="shared" si="70"/>
        <v>43.560366863822644</v>
      </c>
      <c r="BC80" s="5">
        <f t="shared" si="54"/>
        <v>0.42732155934575888</v>
      </c>
      <c r="BD80" s="12">
        <f t="shared" si="55"/>
        <v>18.614283893922018</v>
      </c>
      <c r="BE80" s="5">
        <f t="shared" si="56"/>
        <v>0.34537132049439678</v>
      </c>
      <c r="BF80" s="12"/>
    </row>
    <row r="81" spans="1:57">
      <c r="A81" s="19">
        <f t="shared" si="51"/>
        <v>6.2499999999999947</v>
      </c>
      <c r="B81" s="10">
        <f t="shared" si="40"/>
        <v>0.7371686896633316</v>
      </c>
      <c r="C81" s="10">
        <f t="shared" si="41"/>
        <v>0.85534532730742263</v>
      </c>
      <c r="D81" s="10">
        <f t="shared" si="42"/>
        <v>5.26324182540443E-2</v>
      </c>
      <c r="E81" s="10">
        <f t="shared" si="43"/>
        <v>0.63053379414086619</v>
      </c>
      <c r="F81" s="10">
        <f t="shared" si="44"/>
        <v>3.8798970798146253E-2</v>
      </c>
      <c r="H81" s="19">
        <f t="shared" si="52"/>
        <v>6.2499999999999947</v>
      </c>
      <c r="I81" s="81">
        <f t="shared" si="39"/>
        <v>26716.01461902056</v>
      </c>
      <c r="J81" s="81">
        <f t="shared" si="45"/>
        <v>4860.2492563941769</v>
      </c>
      <c r="O81" s="19">
        <f t="shared" si="53"/>
        <v>6.2499999999999947</v>
      </c>
      <c r="P81" s="10">
        <f t="shared" si="46"/>
        <v>0.72629298054779801</v>
      </c>
      <c r="Q81" s="10">
        <f t="shared" si="47"/>
        <v>0.85534532730742263</v>
      </c>
      <c r="R81" s="10">
        <f t="shared" si="48"/>
        <v>5.26324182540443E-2</v>
      </c>
      <c r="S81" s="10">
        <f t="shared" si="49"/>
        <v>0.62123130716773978</v>
      </c>
      <c r="T81" s="10">
        <f t="shared" si="50"/>
        <v>3.8226555927168164E-2</v>
      </c>
      <c r="V81" s="19">
        <v>6.1666666666666643</v>
      </c>
      <c r="W81" s="12">
        <v>25827.050472540726</v>
      </c>
      <c r="X81" s="12">
        <f t="shared" si="71"/>
        <v>484.27334732565134</v>
      </c>
      <c r="Y81" s="12">
        <f t="shared" si="72"/>
        <v>24.213667366282568</v>
      </c>
      <c r="Z81" s="12">
        <f t="shared" si="57"/>
        <v>148.63114261697277</v>
      </c>
      <c r="AA81" s="12">
        <f t="shared" si="58"/>
        <v>41.553972421115581</v>
      </c>
      <c r="AB81" s="12">
        <f t="shared" si="59"/>
        <v>4.1161532154976248</v>
      </c>
      <c r="AC81" s="12">
        <f t="shared" si="60"/>
        <v>124.92186421141677</v>
      </c>
      <c r="AD81" s="12">
        <f t="shared" si="61"/>
        <v>17.515326944625606</v>
      </c>
      <c r="AE81" s="12">
        <f t="shared" si="62"/>
        <v>26193.617947596638</v>
      </c>
      <c r="AF81" s="81">
        <f t="shared" si="73"/>
        <v>54.016030727772886</v>
      </c>
      <c r="AH81" s="12">
        <v>5044.7040995362086</v>
      </c>
      <c r="AM81" s="19">
        <f t="shared" si="63"/>
        <v>6.2499999999999947</v>
      </c>
      <c r="AN81" s="12">
        <v>4952.7794524477385</v>
      </c>
      <c r="AO81" s="12">
        <f t="shared" si="64"/>
        <v>28.003735095892999</v>
      </c>
      <c r="AP81" s="12">
        <f t="shared" si="65"/>
        <v>124.84388012699577</v>
      </c>
      <c r="AQ81" s="12">
        <f t="shared" si="66"/>
        <v>4848.1138088831249</v>
      </c>
      <c r="AR81" s="12">
        <f t="shared" si="67"/>
        <v>7.8254985335106539</v>
      </c>
      <c r="AW81" s="19">
        <v>6.1666666666666643</v>
      </c>
      <c r="AX81" s="12">
        <v>54.016030727772886</v>
      </c>
      <c r="AY81" s="5">
        <f t="shared" si="68"/>
        <v>0.80822348636743213</v>
      </c>
      <c r="AZ81" s="12">
        <f t="shared" si="74"/>
        <v>7.9707414618287658</v>
      </c>
      <c r="BA81" s="5">
        <f t="shared" si="69"/>
        <v>4.9922315121796679E-2</v>
      </c>
      <c r="BB81" s="12">
        <f t="shared" si="70"/>
        <v>44.054942541542729</v>
      </c>
      <c r="BC81" s="5">
        <f t="shared" si="54"/>
        <v>0.42237348901282512</v>
      </c>
      <c r="BD81" s="12">
        <f t="shared" si="55"/>
        <v>18.607639789530939</v>
      </c>
      <c r="BE81" s="5">
        <f t="shared" si="56"/>
        <v>0.34037795560516204</v>
      </c>
    </row>
    <row r="82" spans="1:57">
      <c r="A82" s="19">
        <f t="shared" si="51"/>
        <v>6.3333333333333277</v>
      </c>
      <c r="B82" s="10">
        <f t="shared" si="40"/>
        <v>0.73417755940713003</v>
      </c>
      <c r="C82" s="10">
        <f t="shared" si="41"/>
        <v>0.85356521280532105</v>
      </c>
      <c r="D82" s="10">
        <f t="shared" si="42"/>
        <v>5.3212157723917297E-2</v>
      </c>
      <c r="E82" s="10">
        <f t="shared" si="43"/>
        <v>0.62666842473223816</v>
      </c>
      <c r="F82" s="10">
        <f t="shared" si="44"/>
        <v>3.9067172088532866E-2</v>
      </c>
      <c r="H82" s="19">
        <f t="shared" si="52"/>
        <v>6.3333333333333277</v>
      </c>
      <c r="I82" s="81">
        <f t="shared" si="39"/>
        <v>27164.729603664007</v>
      </c>
      <c r="J82" s="81">
        <f t="shared" si="45"/>
        <v>4767.1095223523316</v>
      </c>
      <c r="O82" s="19">
        <f t="shared" si="53"/>
        <v>6.3333333333333277</v>
      </c>
      <c r="P82" s="10">
        <f t="shared" si="46"/>
        <v>0.72320264325235739</v>
      </c>
      <c r="Q82" s="10">
        <f t="shared" si="47"/>
        <v>0.85356521280532105</v>
      </c>
      <c r="R82" s="10">
        <f t="shared" si="48"/>
        <v>5.3212157723917297E-2</v>
      </c>
      <c r="S82" s="10">
        <f t="shared" si="49"/>
        <v>0.61730061808906911</v>
      </c>
      <c r="T82" s="10">
        <f t="shared" si="50"/>
        <v>3.8483173119098338E-2</v>
      </c>
      <c r="V82" s="19">
        <v>6.25</v>
      </c>
      <c r="W82" s="12">
        <v>26270.127522168161</v>
      </c>
      <c r="X82" s="12">
        <f t="shared" si="71"/>
        <v>484.27334732565134</v>
      </c>
      <c r="Y82" s="12">
        <f t="shared" si="72"/>
        <v>24.213667366282568</v>
      </c>
      <c r="Z82" s="12">
        <f t="shared" si="57"/>
        <v>151.13636467338887</v>
      </c>
      <c r="AA82" s="12">
        <f t="shared" si="58"/>
        <v>41.553972421115581</v>
      </c>
      <c r="AB82" s="12">
        <f t="shared" si="59"/>
        <v>4.0392532711990228</v>
      </c>
      <c r="AC82" s="12">
        <f t="shared" si="60"/>
        <v>124.92186421141677</v>
      </c>
      <c r="AD82" s="12">
        <f t="shared" si="61"/>
        <v>17.810281293521765</v>
      </c>
      <c r="AE82" s="12">
        <f t="shared" si="62"/>
        <v>26638.206435142387</v>
      </c>
      <c r="AF82" s="81">
        <f t="shared" si="73"/>
        <v>54.79176046127759</v>
      </c>
      <c r="AH82" s="12">
        <v>4952.7794524477385</v>
      </c>
      <c r="AM82" s="19">
        <f t="shared" si="63"/>
        <v>6.3333333333333277</v>
      </c>
      <c r="AN82" s="12">
        <v>4860.2492563941769</v>
      </c>
      <c r="AO82" s="12">
        <f t="shared" si="64"/>
        <v>27.480555914681048</v>
      </c>
      <c r="AP82" s="12">
        <f t="shared" si="65"/>
        <v>124.84388012699577</v>
      </c>
      <c r="AQ82" s="12">
        <f t="shared" si="66"/>
        <v>4755.2066333571156</v>
      </c>
      <c r="AR82" s="12">
        <f t="shared" si="67"/>
        <v>7.6792988247461835</v>
      </c>
      <c r="AW82" s="19">
        <v>6.25</v>
      </c>
      <c r="AX82" s="12">
        <v>54.79176046127759</v>
      </c>
      <c r="AY82" s="5">
        <f t="shared" si="68"/>
        <v>0.80586960228184845</v>
      </c>
      <c r="AZ82" s="12">
        <f t="shared" si="74"/>
        <v>7.8254985335106539</v>
      </c>
      <c r="BA82" s="5">
        <f t="shared" si="69"/>
        <v>5.0469363140554613E-2</v>
      </c>
      <c r="BB82" s="12">
        <f t="shared" si="70"/>
        <v>44.549962138495708</v>
      </c>
      <c r="BC82" s="5">
        <f t="shared" si="54"/>
        <v>0.41748271370628098</v>
      </c>
      <c r="BD82" s="12">
        <f t="shared" si="55"/>
        <v>18.59883908909126</v>
      </c>
      <c r="BE82" s="5">
        <f t="shared" si="56"/>
        <v>0.33545678458796419</v>
      </c>
    </row>
    <row r="83" spans="1:57">
      <c r="A83" s="19">
        <f t="shared" si="51"/>
        <v>6.4166666666666607</v>
      </c>
      <c r="B83" s="10">
        <f t="shared" si="40"/>
        <v>0.73119856593906829</v>
      </c>
      <c r="C83" s="10">
        <f t="shared" si="41"/>
        <v>0.85178880301468451</v>
      </c>
      <c r="D83" s="10">
        <f t="shared" si="42"/>
        <v>5.3788969622162064E-2</v>
      </c>
      <c r="E83" s="10">
        <f t="shared" si="43"/>
        <v>0.62282675124729281</v>
      </c>
      <c r="F83" s="10">
        <f t="shared" si="44"/>
        <v>3.9330417451065011E-2</v>
      </c>
      <c r="H83" s="19">
        <f t="shared" si="52"/>
        <v>6.4166666666666607</v>
      </c>
      <c r="I83" s="81">
        <f t="shared" si="39"/>
        <v>27616.290430052835</v>
      </c>
      <c r="J83" s="81">
        <f t="shared" si="45"/>
        <v>4673.3562350215234</v>
      </c>
      <c r="O83" s="19">
        <f t="shared" si="53"/>
        <v>6.4166666666666607</v>
      </c>
      <c r="P83" s="10">
        <f t="shared" si="46"/>
        <v>0.72012545517473303</v>
      </c>
      <c r="Q83" s="10">
        <f t="shared" si="47"/>
        <v>0.85178880301468451</v>
      </c>
      <c r="R83" s="10">
        <f t="shared" si="48"/>
        <v>5.3788969622162064E-2</v>
      </c>
      <c r="S83" s="10">
        <f t="shared" si="49"/>
        <v>0.61339479948369069</v>
      </c>
      <c r="T83" s="10">
        <f t="shared" si="50"/>
        <v>3.8734806232539346E-2</v>
      </c>
      <c r="V83" s="19">
        <v>6.3333333333333313</v>
      </c>
      <c r="W83" s="12">
        <v>26716.014619020556</v>
      </c>
      <c r="X83" s="12">
        <f t="shared" si="71"/>
        <v>484.27334732565134</v>
      </c>
      <c r="Y83" s="12">
        <f t="shared" si="72"/>
        <v>24.213667366282568</v>
      </c>
      <c r="Z83" s="12">
        <f t="shared" si="57"/>
        <v>153.65747514536037</v>
      </c>
      <c r="AA83" s="12">
        <f t="shared" si="58"/>
        <v>41.553972421115581</v>
      </c>
      <c r="AB83" s="12">
        <f t="shared" si="59"/>
        <v>3.9618467524053251</v>
      </c>
      <c r="AC83" s="12">
        <f t="shared" si="60"/>
        <v>124.92186421141677</v>
      </c>
      <c r="AD83" s="12">
        <f t="shared" si="61"/>
        <v>18.107106277898367</v>
      </c>
      <c r="AE83" s="12">
        <f t="shared" si="62"/>
        <v>27085.614574489784</v>
      </c>
      <c r="AF83" s="81">
        <f t="shared" si="73"/>
        <v>55.5724099726649</v>
      </c>
      <c r="AH83" s="12">
        <v>4860.2492563941769</v>
      </c>
      <c r="AM83" s="19">
        <f t="shared" si="63"/>
        <v>6.4166666666666607</v>
      </c>
      <c r="AN83" s="12">
        <v>4767.1095223523316</v>
      </c>
      <c r="AO83" s="12">
        <f t="shared" si="64"/>
        <v>26.953930317064195</v>
      </c>
      <c r="AP83" s="12">
        <f t="shared" si="65"/>
        <v>124.84388012699577</v>
      </c>
      <c r="AQ83" s="12">
        <f t="shared" si="66"/>
        <v>4661.6874365096082</v>
      </c>
      <c r="AR83" s="12">
        <f t="shared" si="67"/>
        <v>7.5321360327916409</v>
      </c>
      <c r="AW83" s="19">
        <v>6.3333333333333313</v>
      </c>
      <c r="AX83" s="12">
        <v>55.5724099726649</v>
      </c>
      <c r="AY83" s="5">
        <f t="shared" si="68"/>
        <v>0.80352257368906066</v>
      </c>
      <c r="AZ83" s="12">
        <f t="shared" si="74"/>
        <v>7.6792988247461835</v>
      </c>
      <c r="BA83" s="5">
        <f t="shared" si="69"/>
        <v>5.1013088982679422E-2</v>
      </c>
      <c r="BB83" s="12">
        <f t="shared" si="70"/>
        <v>45.045430641610686</v>
      </c>
      <c r="BC83" s="5">
        <f t="shared" si="54"/>
        <v>0.41264856999173172</v>
      </c>
      <c r="BD83" s="12">
        <f t="shared" si="55"/>
        <v>18.587932538922384</v>
      </c>
      <c r="BE83" s="5">
        <f t="shared" si="56"/>
        <v>0.3306067636666577</v>
      </c>
    </row>
    <row r="84" spans="1:57">
      <c r="A84" s="19">
        <f t="shared" si="51"/>
        <v>6.4999999999999938</v>
      </c>
      <c r="B84" s="10">
        <f t="shared" si="40"/>
        <v>0.72823166001300355</v>
      </c>
      <c r="C84" s="10">
        <f t="shared" si="41"/>
        <v>0.85001609022539826</v>
      </c>
      <c r="D84" s="10">
        <f t="shared" si="42"/>
        <v>5.4362864338759476E-2</v>
      </c>
      <c r="E84" s="10">
        <f t="shared" si="43"/>
        <v>0.61900862842260473</v>
      </c>
      <c r="F84" s="10">
        <f t="shared" si="44"/>
        <v>3.9588758940476525E-2</v>
      </c>
      <c r="H84" s="19">
        <f t="shared" si="52"/>
        <v>6.4999999999999938</v>
      </c>
      <c r="I84" s="81">
        <f t="shared" si="39"/>
        <v>28070.715166251041</v>
      </c>
      <c r="J84" s="81">
        <f t="shared" si="45"/>
        <v>4578.9853526504821</v>
      </c>
      <c r="O84" s="19">
        <f t="shared" si="53"/>
        <v>6.4999999999999938</v>
      </c>
      <c r="P84" s="10">
        <f t="shared" si="46"/>
        <v>0.71706136036571522</v>
      </c>
      <c r="Q84" s="10">
        <f t="shared" si="47"/>
        <v>0.85001609022539826</v>
      </c>
      <c r="R84" s="10">
        <f t="shared" si="48"/>
        <v>5.4362864338759476E-2</v>
      </c>
      <c r="S84" s="10">
        <f t="shared" si="49"/>
        <v>0.60951369398977062</v>
      </c>
      <c r="T84" s="10">
        <f t="shared" si="50"/>
        <v>3.8981509456127696E-2</v>
      </c>
      <c r="V84" s="19">
        <v>6.4166666666666643</v>
      </c>
      <c r="W84" s="12">
        <v>27164.729603664004</v>
      </c>
      <c r="X84" s="12">
        <f t="shared" si="71"/>
        <v>484.27334732565134</v>
      </c>
      <c r="Y84" s="12">
        <f t="shared" si="72"/>
        <v>24.213667366282568</v>
      </c>
      <c r="Z84" s="12">
        <f t="shared" si="57"/>
        <v>156.19457490604174</v>
      </c>
      <c r="AA84" s="12">
        <f t="shared" si="58"/>
        <v>41.553972421115581</v>
      </c>
      <c r="AB84" s="12">
        <f t="shared" si="59"/>
        <v>3.8839303220826586</v>
      </c>
      <c r="AC84" s="12">
        <f t="shared" si="60"/>
        <v>124.92186421141677</v>
      </c>
      <c r="AD84" s="12">
        <f t="shared" si="61"/>
        <v>18.405813774138007</v>
      </c>
      <c r="AE84" s="12">
        <f t="shared" si="62"/>
        <v>27535.860267303757</v>
      </c>
      <c r="AF84" s="81">
        <f t="shared" si="73"/>
        <v>56.358010496907809</v>
      </c>
      <c r="AH84" s="12">
        <v>4767.1095223523316</v>
      </c>
      <c r="AM84" s="19">
        <f t="shared" si="63"/>
        <v>6.4999999999999938</v>
      </c>
      <c r="AN84" s="12">
        <v>4673.3562350215234</v>
      </c>
      <c r="AO84" s="12">
        <f t="shared" si="64"/>
        <v>26.423835599948625</v>
      </c>
      <c r="AP84" s="12">
        <f t="shared" si="65"/>
        <v>124.84388012699577</v>
      </c>
      <c r="AQ84" s="12">
        <f t="shared" si="66"/>
        <v>4567.5521866810905</v>
      </c>
      <c r="AR84" s="12">
        <f t="shared" si="67"/>
        <v>7.3840038133857888</v>
      </c>
      <c r="AW84" s="19">
        <v>6.4166666666666643</v>
      </c>
      <c r="AX84" s="12">
        <v>56.358010496907809</v>
      </c>
      <c r="AY84" s="5">
        <f t="shared" si="68"/>
        <v>0.80118238062301317</v>
      </c>
      <c r="AZ84" s="12">
        <f t="shared" si="74"/>
        <v>7.5321360327916409</v>
      </c>
      <c r="BA84" s="5">
        <f t="shared" si="69"/>
        <v>5.1553506640698465E-2</v>
      </c>
      <c r="BB84" s="12">
        <f t="shared" si="70"/>
        <v>45.541353042074533</v>
      </c>
      <c r="BC84" s="5">
        <f t="shared" si="54"/>
        <v>0.40787040211686554</v>
      </c>
      <c r="BD84" s="12">
        <f t="shared" si="55"/>
        <v>18.574969978217077</v>
      </c>
      <c r="BE84" s="5">
        <f t="shared" si="56"/>
        <v>0.32582686415597034</v>
      </c>
    </row>
    <row r="85" spans="1:57">
      <c r="A85" s="19">
        <f t="shared" si="51"/>
        <v>6.5833333333333268</v>
      </c>
      <c r="B85" s="10">
        <f t="shared" si="40"/>
        <v>0.72527679258261468</v>
      </c>
      <c r="C85" s="10">
        <f t="shared" si="41"/>
        <v>0.84824706674339345</v>
      </c>
      <c r="D85" s="10">
        <f t="shared" si="42"/>
        <v>5.4933852231336955E-2</v>
      </c>
      <c r="E85" s="10">
        <f t="shared" si="43"/>
        <v>0.61521391188525953</v>
      </c>
      <c r="F85" s="10">
        <f t="shared" si="44"/>
        <v>3.9842248150551381E-2</v>
      </c>
      <c r="H85" s="19">
        <f t="shared" si="52"/>
        <v>6.5833333333333268</v>
      </c>
      <c r="I85" s="81">
        <f t="shared" si="39"/>
        <v>28528.021995158306</v>
      </c>
      <c r="J85" s="81">
        <f t="shared" si="45"/>
        <v>4483.9928068631034</v>
      </c>
      <c r="O85" s="19">
        <f t="shared" si="53"/>
        <v>6.5833333333333268</v>
      </c>
      <c r="P85" s="10">
        <f t="shared" si="46"/>
        <v>0.71401030311415525</v>
      </c>
      <c r="Q85" s="10">
        <f t="shared" si="47"/>
        <v>0.84824706674339345</v>
      </c>
      <c r="R85" s="10">
        <f t="shared" si="48"/>
        <v>5.4933852231336955E-2</v>
      </c>
      <c r="S85" s="10">
        <f t="shared" si="49"/>
        <v>0.60565714524114345</v>
      </c>
      <c r="T85" s="10">
        <f t="shared" si="50"/>
        <v>3.9223336482925114E-2</v>
      </c>
      <c r="V85" s="19">
        <v>6.5</v>
      </c>
      <c r="W85" s="12">
        <v>27616.290430052832</v>
      </c>
      <c r="X85" s="12">
        <f t="shared" si="71"/>
        <v>484.27334732565134</v>
      </c>
      <c r="Y85" s="12">
        <f t="shared" si="72"/>
        <v>24.213667366282568</v>
      </c>
      <c r="Z85" s="12">
        <f t="shared" si="57"/>
        <v>158.74776546970105</v>
      </c>
      <c r="AA85" s="12">
        <f t="shared" si="58"/>
        <v>41.553972421115581</v>
      </c>
      <c r="AB85" s="12">
        <f t="shared" si="59"/>
        <v>3.8055006212146067</v>
      </c>
      <c r="AC85" s="12">
        <f t="shared" si="60"/>
        <v>124.92186421141677</v>
      </c>
      <c r="AD85" s="12">
        <f t="shared" si="61"/>
        <v>18.706415734105288</v>
      </c>
      <c r="AE85" s="12">
        <f t="shared" si="62"/>
        <v>27988.961529026554</v>
      </c>
      <c r="AF85" s="81">
        <f t="shared" si="73"/>
        <v>57.148593467492901</v>
      </c>
      <c r="AH85" s="12">
        <v>4673.3562350215234</v>
      </c>
      <c r="AM85" s="19">
        <f t="shared" si="63"/>
        <v>6.5833333333333268</v>
      </c>
      <c r="AN85" s="12">
        <v>4578.9853526504821</v>
      </c>
      <c r="AO85" s="12">
        <f t="shared" si="64"/>
        <v>25.890248910685035</v>
      </c>
      <c r="AP85" s="12">
        <f t="shared" si="65"/>
        <v>124.84388012699577</v>
      </c>
      <c r="AQ85" s="12">
        <f t="shared" si="66"/>
        <v>4472.7968256536969</v>
      </c>
      <c r="AR85" s="12">
        <f t="shared" si="67"/>
        <v>7.2348957804742895</v>
      </c>
      <c r="AW85" s="19">
        <v>6.5</v>
      </c>
      <c r="AX85" s="12">
        <v>57.148593467492901</v>
      </c>
      <c r="AY85" s="5">
        <f t="shared" si="68"/>
        <v>0.79884900317579899</v>
      </c>
      <c r="AZ85" s="12">
        <f t="shared" si="74"/>
        <v>7.3840038133857888</v>
      </c>
      <c r="BA85" s="5">
        <f t="shared" si="69"/>
        <v>5.2090630055608989E-2</v>
      </c>
      <c r="BB85" s="12">
        <f t="shared" si="70"/>
        <v>46.037734335377962</v>
      </c>
      <c r="BC85" s="5">
        <f t="shared" si="54"/>
        <v>0.40314756192250184</v>
      </c>
      <c r="BD85" s="12">
        <f t="shared" si="55"/>
        <v>18.560000353743476</v>
      </c>
      <c r="BE85" s="5">
        <f t="shared" si="56"/>
        <v>0.32111607224332123</v>
      </c>
    </row>
    <row r="86" spans="1:57">
      <c r="A86" s="19">
        <f t="shared" si="51"/>
        <v>6.6666666666666599</v>
      </c>
      <c r="B86" s="10">
        <f t="shared" si="40"/>
        <v>0.72233391480058973</v>
      </c>
      <c r="C86" s="10">
        <f t="shared" si="41"/>
        <v>0.84648172489061424</v>
      </c>
      <c r="D86" s="10">
        <f t="shared" si="42"/>
        <v>5.5501943625264394E-2</v>
      </c>
      <c r="E86" s="10">
        <f t="shared" si="43"/>
        <v>0.61144245814739318</v>
      </c>
      <c r="F86" s="10">
        <f t="shared" si="44"/>
        <v>4.0090936217878861E-2</v>
      </c>
      <c r="H86" s="19">
        <f t="shared" si="52"/>
        <v>6.6666666666666599</v>
      </c>
      <c r="I86" s="81">
        <f t="shared" si="39"/>
        <v>28988.229215240652</v>
      </c>
      <c r="J86" s="81">
        <f t="shared" si="45"/>
        <v>4388.3745024830641</v>
      </c>
      <c r="O86" s="19">
        <f t="shared" si="53"/>
        <v>6.6666666666666599</v>
      </c>
      <c r="P86" s="10">
        <f t="shared" si="46"/>
        <v>0.71097222794595216</v>
      </c>
      <c r="Q86" s="10">
        <f t="shared" si="47"/>
        <v>0.84648172489061424</v>
      </c>
      <c r="R86" s="10">
        <f t="shared" si="48"/>
        <v>5.5501943625264394E-2</v>
      </c>
      <c r="S86" s="10">
        <f t="shared" si="49"/>
        <v>0.60182499786101251</v>
      </c>
      <c r="T86" s="10">
        <f t="shared" si="50"/>
        <v>3.9460340514584864E-2</v>
      </c>
      <c r="V86" s="19">
        <v>6.5833333333333304</v>
      </c>
      <c r="W86" s="12">
        <v>28070.715166251037</v>
      </c>
      <c r="X86" s="12">
        <f t="shared" si="71"/>
        <v>484.27334732565134</v>
      </c>
      <c r="Y86" s="12">
        <f t="shared" si="72"/>
        <v>24.213667366282568</v>
      </c>
      <c r="Z86" s="12">
        <f t="shared" si="57"/>
        <v>161.31714899579899</v>
      </c>
      <c r="AA86" s="12">
        <f t="shared" si="58"/>
        <v>41.553972421115581</v>
      </c>
      <c r="AB86" s="12">
        <f t="shared" si="59"/>
        <v>3.7265542686574009</v>
      </c>
      <c r="AC86" s="12">
        <f t="shared" si="60"/>
        <v>124.92186421141677</v>
      </c>
      <c r="AD86" s="12">
        <f t="shared" si="61"/>
        <v>19.008924185627102</v>
      </c>
      <c r="AE86" s="12">
        <f t="shared" si="62"/>
        <v>28444.936489601667</v>
      </c>
      <c r="AF86" s="81">
        <f t="shared" si="73"/>
        <v>57.944190517722745</v>
      </c>
      <c r="AH86" s="12">
        <v>4578.9853526504821</v>
      </c>
      <c r="AM86" s="19">
        <f t="shared" si="63"/>
        <v>6.6666666666666599</v>
      </c>
      <c r="AN86" s="12">
        <v>4483.9928068631034</v>
      </c>
      <c r="AO86" s="12">
        <f t="shared" si="64"/>
        <v>25.353147246083442</v>
      </c>
      <c r="AP86" s="12">
        <f t="shared" si="65"/>
        <v>124.84388012699577</v>
      </c>
      <c r="AQ86" s="12">
        <f t="shared" si="66"/>
        <v>4377.417268476257</v>
      </c>
      <c r="AR86" s="12">
        <f t="shared" si="67"/>
        <v>7.0848055059341277</v>
      </c>
      <c r="AW86" s="19">
        <v>6.5833333333333304</v>
      </c>
      <c r="AX86" s="12">
        <v>57.944190517722745</v>
      </c>
      <c r="AY86" s="5">
        <f t="shared" si="68"/>
        <v>0.79652242149749186</v>
      </c>
      <c r="AZ86" s="12">
        <f t="shared" si="74"/>
        <v>7.2348957804742895</v>
      </c>
      <c r="BA86" s="5">
        <f t="shared" si="69"/>
        <v>5.2624473117053094E-2</v>
      </c>
      <c r="BB86" s="12">
        <f t="shared" si="70"/>
        <v>46.534579521392779</v>
      </c>
      <c r="BC86" s="5">
        <f t="shared" si="54"/>
        <v>0.39847940875466881</v>
      </c>
      <c r="BD86" s="12">
        <f t="shared" si="55"/>
        <v>18.543071734331715</v>
      </c>
      <c r="BE86" s="5">
        <f t="shared" si="56"/>
        <v>0.31647338877379227</v>
      </c>
    </row>
    <row r="87" spans="1:57">
      <c r="A87" s="19">
        <f t="shared" si="51"/>
        <v>6.7499999999999929</v>
      </c>
      <c r="B87" s="10">
        <f t="shared" si="40"/>
        <v>0.71940297801781994</v>
      </c>
      <c r="C87" s="10">
        <f t="shared" si="41"/>
        <v>0.84472005700498354</v>
      </c>
      <c r="D87" s="10">
        <f t="shared" si="42"/>
        <v>5.6067148813744971E-2</v>
      </c>
      <c r="E87" s="10">
        <f t="shared" si="43"/>
        <v>0.60769412460076777</v>
      </c>
      <c r="F87" s="10">
        <f t="shared" si="44"/>
        <v>4.0334873825576413E-2</v>
      </c>
      <c r="H87" s="19">
        <f t="shared" si="52"/>
        <v>6.7499999999999929</v>
      </c>
      <c r="I87" s="81">
        <f t="shared" si="39"/>
        <v>29451.355241265752</v>
      </c>
      <c r="J87" s="81">
        <f t="shared" si="45"/>
        <v>4292.1263173572715</v>
      </c>
      <c r="O87" s="19">
        <f t="shared" si="53"/>
        <v>6.7499999999999929</v>
      </c>
      <c r="P87" s="10">
        <f t="shared" si="46"/>
        <v>0.7079470796230446</v>
      </c>
      <c r="Q87" s="10">
        <f t="shared" si="47"/>
        <v>0.84472005700498354</v>
      </c>
      <c r="R87" s="10">
        <f t="shared" si="48"/>
        <v>5.6067148813744971E-2</v>
      </c>
      <c r="S87" s="10">
        <f t="shared" si="49"/>
        <v>0.59801709745568987</v>
      </c>
      <c r="T87" s="10">
        <f t="shared" si="50"/>
        <v>3.9692574265481402E-2</v>
      </c>
      <c r="V87" s="19">
        <v>6.6666666666666643</v>
      </c>
      <c r="W87" s="12">
        <v>28528.021995158302</v>
      </c>
      <c r="X87" s="12">
        <f t="shared" si="71"/>
        <v>484.27334732565134</v>
      </c>
      <c r="Y87" s="12">
        <f t="shared" si="72"/>
        <v>24.213667366282568</v>
      </c>
      <c r="Z87" s="12">
        <f t="shared" si="57"/>
        <v>163.90282829309393</v>
      </c>
      <c r="AA87" s="12">
        <f t="shared" si="58"/>
        <v>41.553972421115581</v>
      </c>
      <c r="AB87" s="12">
        <f t="shared" si="59"/>
        <v>3.6470878609941613</v>
      </c>
      <c r="AC87" s="12">
        <f t="shared" si="60"/>
        <v>124.92186421141677</v>
      </c>
      <c r="AD87" s="12">
        <f t="shared" si="61"/>
        <v>19.313351232975929</v>
      </c>
      <c r="AE87" s="12">
        <f t="shared" si="62"/>
        <v>28903.80339420235</v>
      </c>
      <c r="AF87" s="81">
        <f t="shared" si="73"/>
        <v>58.744833481909154</v>
      </c>
      <c r="AH87" s="12">
        <v>4483.9928068631034</v>
      </c>
      <c r="AM87" s="19">
        <f t="shared" si="63"/>
        <v>6.7499999999999929</v>
      </c>
      <c r="AN87" s="12">
        <v>4388.3745024830641</v>
      </c>
      <c r="AO87" s="12">
        <f t="shared" si="64"/>
        <v>24.812507451421531</v>
      </c>
      <c r="AP87" s="12">
        <f t="shared" si="65"/>
        <v>124.84388012699577</v>
      </c>
      <c r="AQ87" s="12">
        <f t="shared" si="66"/>
        <v>4281.4094032881903</v>
      </c>
      <c r="AR87" s="12">
        <f t="shared" si="67"/>
        <v>6.933726519299853</v>
      </c>
      <c r="AW87" s="19">
        <v>6.6666666666666643</v>
      </c>
      <c r="AX87" s="12">
        <v>58.744833481909154</v>
      </c>
      <c r="AY87" s="5">
        <f t="shared" si="68"/>
        <v>0.79420261579597695</v>
      </c>
      <c r="AZ87" s="12">
        <f t="shared" si="74"/>
        <v>7.0848055059341277</v>
      </c>
      <c r="BA87" s="5">
        <f t="shared" si="69"/>
        <v>5.3155049663495824E-2</v>
      </c>
      <c r="BB87" s="12">
        <f t="shared" si="70"/>
        <v>47.031893604355481</v>
      </c>
      <c r="BC87" s="5">
        <f t="shared" si="54"/>
        <v>0.39386530937769676</v>
      </c>
      <c r="BD87" s="12">
        <f t="shared" si="55"/>
        <v>18.524231325098388</v>
      </c>
      <c r="BE87" s="5">
        <f t="shared" si="56"/>
        <v>0.31189782903820668</v>
      </c>
    </row>
    <row r="88" spans="1:57">
      <c r="A88" s="19">
        <f t="shared" si="51"/>
        <v>6.8333333333333259</v>
      </c>
      <c r="B88" s="10">
        <f t="shared" si="40"/>
        <v>0.71648393378259434</v>
      </c>
      <c r="C88" s="10">
        <f t="shared" si="41"/>
        <v>0.84296205544037084</v>
      </c>
      <c r="D88" s="10">
        <f t="shared" si="42"/>
        <v>5.6629478057912186E-2</v>
      </c>
      <c r="E88" s="10">
        <f t="shared" si="43"/>
        <v>0.60396876951137823</v>
      </c>
      <c r="F88" s="10">
        <f t="shared" si="44"/>
        <v>4.0574111206988034E-2</v>
      </c>
      <c r="H88" s="19">
        <f t="shared" si="52"/>
        <v>6.8333333333333259</v>
      </c>
      <c r="I88" s="81">
        <f t="shared" si="39"/>
        <v>29917.418605042909</v>
      </c>
      <c r="J88" s="81">
        <f t="shared" si="45"/>
        <v>4195.2441021781606</v>
      </c>
      <c r="O88" s="19">
        <f t="shared" si="53"/>
        <v>6.8333333333333259</v>
      </c>
      <c r="P88" s="10">
        <f t="shared" si="46"/>
        <v>0.70493480314240553</v>
      </c>
      <c r="Q88" s="10">
        <f t="shared" si="47"/>
        <v>0.84296205544037084</v>
      </c>
      <c r="R88" s="10">
        <f t="shared" si="48"/>
        <v>5.6629478057912186E-2</v>
      </c>
      <c r="S88" s="10">
        <f t="shared" si="49"/>
        <v>0.59423329060837538</v>
      </c>
      <c r="T88" s="10">
        <f t="shared" si="50"/>
        <v>3.9920089966811498E-2</v>
      </c>
      <c r="V88" s="19">
        <v>6.75</v>
      </c>
      <c r="W88" s="12">
        <v>28988.229215240648</v>
      </c>
      <c r="X88" s="12">
        <f t="shared" si="71"/>
        <v>484.27334732565134</v>
      </c>
      <c r="Y88" s="12">
        <f t="shared" si="72"/>
        <v>24.213667366282568</v>
      </c>
      <c r="Z88" s="12">
        <f t="shared" si="57"/>
        <v>166.50490682377313</v>
      </c>
      <c r="AA88" s="12">
        <f t="shared" si="58"/>
        <v>41.553972421115581</v>
      </c>
      <c r="AB88" s="12">
        <f t="shared" si="59"/>
        <v>3.5670979723881691</v>
      </c>
      <c r="AC88" s="12">
        <f t="shared" si="60"/>
        <v>124.92186421141677</v>
      </c>
      <c r="AD88" s="12">
        <f t="shared" si="61"/>
        <v>19.619709057356218</v>
      </c>
      <c r="AE88" s="12">
        <f t="shared" si="62"/>
        <v>29365.580603964783</v>
      </c>
      <c r="AF88" s="81">
        <f t="shared" si="73"/>
        <v>59.550554396733787</v>
      </c>
      <c r="AH88" s="12">
        <v>4388.3745024830641</v>
      </c>
      <c r="AM88" s="19">
        <f t="shared" si="63"/>
        <v>6.8333333333333259</v>
      </c>
      <c r="AN88" s="12">
        <v>4292.1263173572715</v>
      </c>
      <c r="AO88" s="12">
        <f t="shared" si="64"/>
        <v>24.268306219446401</v>
      </c>
      <c r="AP88" s="12">
        <f t="shared" si="65"/>
        <v>124.84388012699577</v>
      </c>
      <c r="AQ88" s="12">
        <f t="shared" si="66"/>
        <v>4184.7690911422442</v>
      </c>
      <c r="AR88" s="12">
        <f t="shared" si="67"/>
        <v>6.781652307477998</v>
      </c>
      <c r="AW88" s="19">
        <v>6.75</v>
      </c>
      <c r="AX88" s="12">
        <v>59.550554396733787</v>
      </c>
      <c r="AY88" s="5">
        <f t="shared" si="68"/>
        <v>0.79188956633678176</v>
      </c>
      <c r="AZ88" s="12">
        <f t="shared" si="74"/>
        <v>6.933726519299853</v>
      </c>
      <c r="BA88" s="5">
        <f t="shared" si="69"/>
        <v>5.3682373482400347E-2</v>
      </c>
      <c r="BB88" s="12">
        <f t="shared" si="70"/>
        <v>47.529681592978335</v>
      </c>
      <c r="BC88" s="5">
        <f t="shared" si="54"/>
        <v>0.38930463788832137</v>
      </c>
      <c r="BD88" s="12">
        <f t="shared" si="55"/>
        <v>18.503525481501644</v>
      </c>
      <c r="BE88" s="5">
        <f t="shared" si="56"/>
        <v>0.3073884225642744</v>
      </c>
    </row>
    <row r="89" spans="1:57">
      <c r="A89" s="19">
        <f t="shared" si="51"/>
        <v>6.916666666666659</v>
      </c>
      <c r="B89" s="10">
        <f t="shared" si="40"/>
        <v>0.71357673383979958</v>
      </c>
      <c r="C89" s="10">
        <f t="shared" si="41"/>
        <v>0.84120771256655824</v>
      </c>
      <c r="D89" s="10">
        <f t="shared" si="42"/>
        <v>5.7188941586920672E-2</v>
      </c>
      <c r="E89" s="10">
        <f t="shared" si="43"/>
        <v>0.60026625201409356</v>
      </c>
      <c r="F89" s="10">
        <f t="shared" si="44"/>
        <v>4.080869814934994E-2</v>
      </c>
      <c r="H89" s="19">
        <f t="shared" si="52"/>
        <v>6.916666666666659</v>
      </c>
      <c r="I89" s="81">
        <f t="shared" si="39"/>
        <v>30386.43795616776</v>
      </c>
      <c r="J89" s="81">
        <f t="shared" si="45"/>
        <v>4097.7236803048099</v>
      </c>
      <c r="O89" s="19">
        <f t="shared" si="53"/>
        <v>6.916666666666659</v>
      </c>
      <c r="P89" s="10">
        <f t="shared" si="46"/>
        <v>0.70193534373504363</v>
      </c>
      <c r="Q89" s="10">
        <f t="shared" si="47"/>
        <v>0.84120771256655824</v>
      </c>
      <c r="R89" s="10">
        <f t="shared" si="48"/>
        <v>5.7188941586920672E-2</v>
      </c>
      <c r="S89" s="10">
        <f t="shared" si="49"/>
        <v>0.59047342487297683</v>
      </c>
      <c r="T89" s="10">
        <f t="shared" si="50"/>
        <v>4.0142939370658492E-2</v>
      </c>
      <c r="V89" s="19">
        <v>6.8333333333333304</v>
      </c>
      <c r="W89" s="12">
        <v>29451.355241265748</v>
      </c>
      <c r="X89" s="12">
        <f t="shared" si="71"/>
        <v>484.27334732565134</v>
      </c>
      <c r="Y89" s="12">
        <f t="shared" si="72"/>
        <v>24.213667366282568</v>
      </c>
      <c r="Z89" s="12">
        <f t="shared" si="57"/>
        <v>169.12348870761028</v>
      </c>
      <c r="AA89" s="12">
        <f t="shared" si="58"/>
        <v>41.553972421115581</v>
      </c>
      <c r="AB89" s="12">
        <f t="shared" si="59"/>
        <v>3.4865811544351817</v>
      </c>
      <c r="AC89" s="12">
        <f t="shared" si="60"/>
        <v>124.92186421141677</v>
      </c>
      <c r="AD89" s="12">
        <f t="shared" si="61"/>
        <v>19.928009917393901</v>
      </c>
      <c r="AE89" s="12">
        <f t="shared" si="62"/>
        <v>29830.286596725913</v>
      </c>
      <c r="AF89" s="81">
        <f t="shared" si="73"/>
        <v>60.361385502448684</v>
      </c>
      <c r="AH89" s="12">
        <v>4292.1263173572715</v>
      </c>
      <c r="AM89" s="19">
        <f t="shared" si="63"/>
        <v>6.916666666666659</v>
      </c>
      <c r="AN89" s="12">
        <v>4195.2441021781606</v>
      </c>
      <c r="AO89" s="12">
        <f t="shared" si="64"/>
        <v>23.720520089369828</v>
      </c>
      <c r="AP89" s="12">
        <f t="shared" si="65"/>
        <v>124.84388012699577</v>
      </c>
      <c r="AQ89" s="12">
        <f t="shared" si="66"/>
        <v>4087.4921658260596</v>
      </c>
      <c r="AR89" s="12">
        <f t="shared" si="67"/>
        <v>6.6285763144746852</v>
      </c>
      <c r="AW89" s="19">
        <v>6.8333333333333304</v>
      </c>
      <c r="AX89" s="12">
        <v>60.361385502448684</v>
      </c>
      <c r="AY89" s="5">
        <f t="shared" si="68"/>
        <v>0.78958325344290903</v>
      </c>
      <c r="AZ89" s="12">
        <f t="shared" si="74"/>
        <v>6.781652307477998</v>
      </c>
      <c r="BA89" s="5">
        <f t="shared" si="69"/>
        <v>5.4206458310403605E-2</v>
      </c>
      <c r="BB89" s="12">
        <f t="shared" si="70"/>
        <v>48.027948500426035</v>
      </c>
      <c r="BC89" s="5">
        <f t="shared" si="54"/>
        <v>0.38479677563077952</v>
      </c>
      <c r="BD89" s="12">
        <f t="shared" si="55"/>
        <v>18.48099972312507</v>
      </c>
      <c r="BE89" s="5">
        <f t="shared" si="56"/>
        <v>0.30294421291075579</v>
      </c>
    </row>
    <row r="90" spans="1:57">
      <c r="A90" s="19">
        <f t="shared" si="51"/>
        <v>6.999999999999992</v>
      </c>
      <c r="B90" s="10">
        <f t="shared" si="40"/>
        <v>0.71068133013012169</v>
      </c>
      <c r="C90" s="10">
        <f t="shared" si="41"/>
        <v>0.83945702076920747</v>
      </c>
      <c r="D90" s="10">
        <f t="shared" si="42"/>
        <v>5.7745549598040347E-2</v>
      </c>
      <c r="E90" s="10">
        <f t="shared" si="43"/>
        <v>0.59658643210732953</v>
      </c>
      <c r="F90" s="10">
        <f t="shared" si="44"/>
        <v>4.1038683997430228E-2</v>
      </c>
      <c r="H90" s="19">
        <f t="shared" si="52"/>
        <v>6.999999999999992</v>
      </c>
      <c r="I90" s="81">
        <f t="shared" si="39"/>
        <v>30858.432062771706</v>
      </c>
      <c r="J90" s="81">
        <f t="shared" si="45"/>
        <v>3999.5608475828885</v>
      </c>
      <c r="O90" s="19">
        <f t="shared" si="53"/>
        <v>6.999999999999992</v>
      </c>
      <c r="P90" s="10">
        <f t="shared" si="46"/>
        <v>0.69894864686500613</v>
      </c>
      <c r="Q90" s="10">
        <f t="shared" si="47"/>
        <v>0.83945702076920747</v>
      </c>
      <c r="R90" s="10">
        <f t="shared" si="48"/>
        <v>5.7745549598040347E-2</v>
      </c>
      <c r="S90" s="10">
        <f t="shared" si="49"/>
        <v>0.5867373487679669</v>
      </c>
      <c r="T90" s="10">
        <f t="shared" si="50"/>
        <v>4.0361173754026397E-2</v>
      </c>
      <c r="V90" s="19">
        <v>6.9166666666666643</v>
      </c>
      <c r="W90" s="12">
        <v>29917.418605042905</v>
      </c>
      <c r="X90" s="12">
        <f t="shared" si="71"/>
        <v>484.27334732565134</v>
      </c>
      <c r="Y90" s="12">
        <f t="shared" si="72"/>
        <v>24.213667366282568</v>
      </c>
      <c r="Z90" s="12">
        <f t="shared" si="57"/>
        <v>171.75867872614947</v>
      </c>
      <c r="AA90" s="12">
        <f t="shared" si="58"/>
        <v>41.553972421115581</v>
      </c>
      <c r="AB90" s="12">
        <f t="shared" si="59"/>
        <v>3.4055339360147663</v>
      </c>
      <c r="AC90" s="12">
        <f t="shared" si="60"/>
        <v>124.92186421141677</v>
      </c>
      <c r="AD90" s="12">
        <f t="shared" si="61"/>
        <v>20.238266149628984</v>
      </c>
      <c r="AE90" s="12">
        <f t="shared" si="62"/>
        <v>30297.939967765968</v>
      </c>
      <c r="AF90" s="81">
        <f t="shared" si="73"/>
        <v>61.177359244276886</v>
      </c>
      <c r="AH90" s="12">
        <v>4195.2441021781606</v>
      </c>
      <c r="AM90" s="19">
        <f t="shared" si="63"/>
        <v>6.999999999999992</v>
      </c>
      <c r="AN90" s="12">
        <v>4097.7236803048099</v>
      </c>
      <c r="AO90" s="12">
        <f t="shared" si="64"/>
        <v>23.169125445856803</v>
      </c>
      <c r="AP90" s="12">
        <f t="shared" si="65"/>
        <v>124.84388012699577</v>
      </c>
      <c r="AQ90" s="12">
        <f t="shared" si="66"/>
        <v>3989.5744336825633</v>
      </c>
      <c r="AR90" s="12">
        <f t="shared" si="67"/>
        <v>6.474491941107317</v>
      </c>
      <c r="AW90" s="19">
        <v>6.9166666666666643</v>
      </c>
      <c r="AX90" s="12">
        <v>61.177359244276886</v>
      </c>
      <c r="AY90" s="5">
        <f t="shared" si="68"/>
        <v>0.78728365749466944</v>
      </c>
      <c r="AZ90" s="12">
        <f t="shared" si="74"/>
        <v>6.6285763144746852</v>
      </c>
      <c r="BA90" s="5">
        <f t="shared" si="69"/>
        <v>5.4727317833490385E-2</v>
      </c>
      <c r="BB90" s="12">
        <f t="shared" si="70"/>
        <v>48.526699344445433</v>
      </c>
      <c r="BC90" s="5">
        <f t="shared" si="54"/>
        <v>0.38034111111288732</v>
      </c>
      <c r="BD90" s="12">
        <f t="shared" si="55"/>
        <v>18.456698747307396</v>
      </c>
      <c r="BE90" s="5">
        <f t="shared" si="56"/>
        <v>0.29856425746460002</v>
      </c>
    </row>
    <row r="91" spans="1:57">
      <c r="A91" s="19">
        <f t="shared" si="51"/>
        <v>7.083333333333325</v>
      </c>
      <c r="B91" s="10">
        <f t="shared" si="40"/>
        <v>0.70779767478925171</v>
      </c>
      <c r="C91" s="10">
        <f t="shared" si="41"/>
        <v>0.83770997244982726</v>
      </c>
      <c r="D91" s="10">
        <f t="shared" si="42"/>
        <v>5.8299312256749225E-2</v>
      </c>
      <c r="E91" s="10">
        <f t="shared" si="43"/>
        <v>0.59292917064775585</v>
      </c>
      <c r="F91" s="10">
        <f t="shared" si="44"/>
        <v>4.1264117657139623E-2</v>
      </c>
      <c r="H91" s="19">
        <f t="shared" si="52"/>
        <v>7.083333333333325</v>
      </c>
      <c r="I91" s="81">
        <f t="shared" si="39"/>
        <v>31333.419812276155</v>
      </c>
      <c r="J91" s="81">
        <f t="shared" si="45"/>
        <v>3900.7513721634105</v>
      </c>
      <c r="O91" s="19">
        <f t="shared" si="53"/>
        <v>7.083333333333325</v>
      </c>
      <c r="P91" s="10">
        <f t="shared" si="46"/>
        <v>0.69597465822838811</v>
      </c>
      <c r="Q91" s="10">
        <f t="shared" si="47"/>
        <v>0.83770997244982726</v>
      </c>
      <c r="R91" s="10">
        <f t="shared" si="48"/>
        <v>5.8299312256749225E-2</v>
      </c>
      <c r="S91" s="10">
        <f t="shared" si="49"/>
        <v>0.58302491177028093</v>
      </c>
      <c r="T91" s="10">
        <f t="shared" si="50"/>
        <v>4.0574843922841122E-2</v>
      </c>
      <c r="V91" s="19">
        <v>7</v>
      </c>
      <c r="W91" s="12">
        <v>30386.437956167756</v>
      </c>
      <c r="X91" s="12">
        <f t="shared" si="71"/>
        <v>484.27334732565134</v>
      </c>
      <c r="Y91" s="12">
        <f t="shared" si="72"/>
        <v>24.213667366282568</v>
      </c>
      <c r="Z91" s="12">
        <f t="shared" si="57"/>
        <v>174.41058232691586</v>
      </c>
      <c r="AA91" s="12">
        <f t="shared" si="58"/>
        <v>41.553972421115581</v>
      </c>
      <c r="AB91" s="12">
        <f t="shared" si="59"/>
        <v>3.3239528231406603</v>
      </c>
      <c r="AC91" s="12">
        <f t="shared" si="60"/>
        <v>124.92186421141677</v>
      </c>
      <c r="AD91" s="12">
        <f t="shared" si="61"/>
        <v>20.550490169011283</v>
      </c>
      <c r="AE91" s="12">
        <f t="shared" si="62"/>
        <v>30768.559430555717</v>
      </c>
      <c r="AF91" s="81">
        <f t="shared" si="73"/>
        <v>61.998508273638436</v>
      </c>
      <c r="AH91" s="12">
        <v>4097.7236803048099</v>
      </c>
      <c r="AM91" s="19">
        <f t="shared" si="63"/>
        <v>7.083333333333325</v>
      </c>
      <c r="AN91" s="12">
        <v>3999.5608475828885</v>
      </c>
      <c r="AO91" s="12">
        <f t="shared" si="64"/>
        <v>22.614098518007516</v>
      </c>
      <c r="AP91" s="12">
        <f t="shared" si="65"/>
        <v>124.84388012699577</v>
      </c>
      <c r="AQ91" s="12">
        <f t="shared" si="66"/>
        <v>3891.0116734291787</v>
      </c>
      <c r="AR91" s="12">
        <f t="shared" si="67"/>
        <v>6.3193925447217225</v>
      </c>
      <c r="AW91" s="19">
        <v>7</v>
      </c>
      <c r="AX91" s="12">
        <v>61.998508273638436</v>
      </c>
      <c r="AY91" s="5">
        <f t="shared" si="68"/>
        <v>0.78499075892951398</v>
      </c>
      <c r="AZ91" s="12">
        <f t="shared" si="74"/>
        <v>6.474491941107317</v>
      </c>
      <c r="BA91" s="5">
        <f t="shared" si="69"/>
        <v>5.5244965687167413E-2</v>
      </c>
      <c r="BB91" s="12">
        <f t="shared" si="70"/>
        <v>49.025939147349504</v>
      </c>
      <c r="BC91" s="5">
        <f t="shared" si="54"/>
        <v>0.37593703992309269</v>
      </c>
      <c r="BD91" s="12">
        <f t="shared" si="55"/>
        <v>18.430666442504243</v>
      </c>
      <c r="BE91" s="5">
        <f t="shared" si="56"/>
        <v>0.29424762724101899</v>
      </c>
    </row>
    <row r="92" spans="1:57">
      <c r="A92" s="19">
        <f t="shared" si="51"/>
        <v>7.1666666666666581</v>
      </c>
      <c r="B92" s="10">
        <f t="shared" si="40"/>
        <v>0.70492572014709509</v>
      </c>
      <c r="C92" s="10">
        <f t="shared" si="41"/>
        <v>0.83596656002573966</v>
      </c>
      <c r="D92" s="10">
        <f t="shared" si="42"/>
        <v>5.8850239696825124E-2</v>
      </c>
      <c r="E92" s="10">
        <f t="shared" si="43"/>
        <v>0.58929432934503434</v>
      </c>
      <c r="F92" s="10">
        <f t="shared" si="44"/>
        <v>4.1485047599113617E-2</v>
      </c>
      <c r="H92" s="19">
        <f t="shared" si="52"/>
        <v>7.1666666666666581</v>
      </c>
      <c r="I92" s="81">
        <f t="shared" si="39"/>
        <v>31811.420212151526</v>
      </c>
      <c r="J92" s="81">
        <f t="shared" si="45"/>
        <v>3801.2909943202994</v>
      </c>
      <c r="O92" s="19">
        <f t="shared" si="53"/>
        <v>7.1666666666666581</v>
      </c>
      <c r="P92" s="10">
        <f t="shared" si="46"/>
        <v>0.69301332375234448</v>
      </c>
      <c r="Q92" s="10">
        <f t="shared" si="47"/>
        <v>0.83596656002573966</v>
      </c>
      <c r="R92" s="10">
        <f t="shared" si="48"/>
        <v>5.8850239696825124E-2</v>
      </c>
      <c r="S92" s="10">
        <f t="shared" si="49"/>
        <v>0.57933596430925161</v>
      </c>
      <c r="T92" s="10">
        <f t="shared" si="50"/>
        <v>4.0784000215918943E-2</v>
      </c>
      <c r="V92" s="19">
        <v>7.0833333333333304</v>
      </c>
      <c r="W92" s="12">
        <v>30858.432062771702</v>
      </c>
      <c r="X92" s="12">
        <f t="shared" si="71"/>
        <v>484.27334732565134</v>
      </c>
      <c r="Y92" s="12">
        <f t="shared" si="72"/>
        <v>24.213667366282568</v>
      </c>
      <c r="Z92" s="12">
        <f t="shared" si="57"/>
        <v>177.07930562765304</v>
      </c>
      <c r="AA92" s="12">
        <f t="shared" si="58"/>
        <v>41.553972421115581</v>
      </c>
      <c r="AB92" s="12">
        <f t="shared" si="59"/>
        <v>3.2418342988101423</v>
      </c>
      <c r="AC92" s="12">
        <f t="shared" si="60"/>
        <v>124.92186421141677</v>
      </c>
      <c r="AD92" s="12">
        <f t="shared" si="61"/>
        <v>20.864694469399335</v>
      </c>
      <c r="AE92" s="12">
        <f t="shared" si="62"/>
        <v>31242.163817508514</v>
      </c>
      <c r="AF92" s="81">
        <f t="shared" si="73"/>
        <v>62.824865449467325</v>
      </c>
      <c r="AH92" s="12">
        <v>3999.5608475828885</v>
      </c>
      <c r="AM92" s="19">
        <f t="shared" si="63"/>
        <v>7.1666666666666581</v>
      </c>
      <c r="AN92" s="12">
        <v>3900.7513721634105</v>
      </c>
      <c r="AO92" s="12">
        <f t="shared" si="64"/>
        <v>22.05541537833254</v>
      </c>
      <c r="AP92" s="12">
        <f t="shared" si="65"/>
        <v>124.84388012699577</v>
      </c>
      <c r="AQ92" s="12">
        <f t="shared" si="66"/>
        <v>3791.7996359758445</v>
      </c>
      <c r="AR92" s="12">
        <f t="shared" si="67"/>
        <v>6.1632714389024841</v>
      </c>
      <c r="AW92" s="19">
        <v>7.0833333333333304</v>
      </c>
      <c r="AX92" s="12">
        <v>62.824865449467325</v>
      </c>
      <c r="AY92" s="5">
        <f t="shared" si="68"/>
        <v>0.78270453824186814</v>
      </c>
      <c r="AZ92" s="12">
        <f t="shared" si="74"/>
        <v>6.3193925447217225</v>
      </c>
      <c r="BA92" s="5">
        <f t="shared" si="69"/>
        <v>5.5759415456637873E-2</v>
      </c>
      <c r="BB92" s="12">
        <f t="shared" si="70"/>
        <v>49.525672936067537</v>
      </c>
      <c r="BC92" s="5">
        <f t="shared" si="54"/>
        <v>0.37158396464848609</v>
      </c>
      <c r="BD92" s="12">
        <f t="shared" si="55"/>
        <v>18.402945901468204</v>
      </c>
      <c r="BE92" s="5">
        <f t="shared" si="56"/>
        <v>0.28999340668645002</v>
      </c>
    </row>
    <row r="93" spans="1:57">
      <c r="A93" s="19">
        <f t="shared" si="51"/>
        <v>7.2499999999999911</v>
      </c>
      <c r="B93" s="10">
        <f t="shared" si="40"/>
        <v>0.70206541872698247</v>
      </c>
      <c r="C93" s="10">
        <f t="shared" si="41"/>
        <v>0.8342267759300479</v>
      </c>
      <c r="D93" s="10">
        <f t="shared" si="42"/>
        <v>5.9398342020439587E-2</v>
      </c>
      <c r="E93" s="10">
        <f t="shared" si="43"/>
        <v>0.58568177075658967</v>
      </c>
      <c r="F93" s="10">
        <f t="shared" si="44"/>
        <v>4.1701521862268436E-2</v>
      </c>
      <c r="H93" s="19">
        <f t="shared" si="52"/>
        <v>7.2499999999999911</v>
      </c>
      <c r="I93" s="81">
        <f t="shared" si="39"/>
        <v>32292.452390681112</v>
      </c>
      <c r="J93" s="81">
        <f t="shared" si="45"/>
        <v>3701.1754262667491</v>
      </c>
      <c r="O93" s="19">
        <f t="shared" si="53"/>
        <v>7.2499999999999911</v>
      </c>
      <c r="P93" s="10">
        <f t="shared" si="46"/>
        <v>0.69006458959410744</v>
      </c>
      <c r="Q93" s="10">
        <f t="shared" si="47"/>
        <v>0.8342267759300479</v>
      </c>
      <c r="R93" s="10">
        <f t="shared" si="48"/>
        <v>5.9398342020439587E-2</v>
      </c>
      <c r="S93" s="10">
        <f t="shared" si="49"/>
        <v>0.57567035776058395</v>
      </c>
      <c r="T93" s="10">
        <f t="shared" si="50"/>
        <v>4.0988692508905071E-2</v>
      </c>
      <c r="V93" s="19">
        <v>7.1666666666666643</v>
      </c>
      <c r="W93" s="12">
        <v>31333.419812276152</v>
      </c>
      <c r="X93" s="12">
        <f t="shared" si="71"/>
        <v>484.27334732565134</v>
      </c>
      <c r="Y93" s="12">
        <f t="shared" si="72"/>
        <v>24.213667366282568</v>
      </c>
      <c r="Z93" s="12">
        <f t="shared" si="57"/>
        <v>179.76495542058765</v>
      </c>
      <c r="AA93" s="12">
        <f t="shared" si="58"/>
        <v>41.553972421115581</v>
      </c>
      <c r="AB93" s="12">
        <f t="shared" si="59"/>
        <v>3.1591748228524148</v>
      </c>
      <c r="AC93" s="12">
        <f t="shared" si="60"/>
        <v>124.92186421141677</v>
      </c>
      <c r="AD93" s="12">
        <f t="shared" si="61"/>
        <v>21.180891624062479</v>
      </c>
      <c r="AE93" s="12">
        <f t="shared" si="62"/>
        <v>31718.772080737093</v>
      </c>
      <c r="AF93" s="81">
        <f t="shared" si="73"/>
        <v>63.65646383956846</v>
      </c>
      <c r="AH93" s="12">
        <v>3900.7513721634105</v>
      </c>
      <c r="AM93" s="19">
        <f t="shared" si="63"/>
        <v>7.2499999999999911</v>
      </c>
      <c r="AN93" s="12">
        <v>3801.2909943202994</v>
      </c>
      <c r="AO93" s="12">
        <f t="shared" si="64"/>
        <v>21.49305194172133</v>
      </c>
      <c r="AP93" s="12">
        <f t="shared" si="65"/>
        <v>124.84388012699577</v>
      </c>
      <c r="AQ93" s="12">
        <f t="shared" si="66"/>
        <v>3691.9340442418325</v>
      </c>
      <c r="AR93" s="12">
        <f t="shared" si="67"/>
        <v>6.0061218931923577</v>
      </c>
      <c r="AW93" s="19">
        <v>7.1666666666666643</v>
      </c>
      <c r="AX93" s="12">
        <v>63.65646383956846</v>
      </c>
      <c r="AY93" s="5">
        <f t="shared" si="68"/>
        <v>0.7804249759829659</v>
      </c>
      <c r="AZ93" s="12">
        <f t="shared" si="74"/>
        <v>6.1632714389024841</v>
      </c>
      <c r="BA93" s="5">
        <f t="shared" si="69"/>
        <v>5.6270680676973273E-2</v>
      </c>
      <c r="BB93" s="12">
        <f t="shared" si="70"/>
        <v>50.025905742219749</v>
      </c>
      <c r="BC93" s="5">
        <f t="shared" si="54"/>
        <v>0.36728129479376098</v>
      </c>
      <c r="BD93" s="12">
        <f t="shared" si="55"/>
        <v>18.373579434233111</v>
      </c>
      <c r="BE93" s="5">
        <f t="shared" si="56"/>
        <v>0.28580069348436693</v>
      </c>
    </row>
    <row r="94" spans="1:57">
      <c r="A94" s="19">
        <f t="shared" si="51"/>
        <v>7.3333333333333242</v>
      </c>
      <c r="B94" s="10">
        <f t="shared" si="40"/>
        <v>0.69921672324488582</v>
      </c>
      <c r="C94" s="10">
        <f t="shared" si="41"/>
        <v>0.83249061261160284</v>
      </c>
      <c r="D94" s="10">
        <f t="shared" si="42"/>
        <v>5.9943629298248258E-2</v>
      </c>
      <c r="E94" s="10">
        <f t="shared" si="43"/>
        <v>0.58209135828241254</v>
      </c>
      <c r="F94" s="10">
        <f t="shared" si="44"/>
        <v>4.1913588057327283E-2</v>
      </c>
      <c r="H94" s="19">
        <f t="shared" si="52"/>
        <v>7.3333333333333242</v>
      </c>
      <c r="I94" s="81">
        <f t="shared" si="39"/>
        <v>32776.535597729788</v>
      </c>
      <c r="J94" s="81">
        <f t="shared" si="45"/>
        <v>3600.4003519703729</v>
      </c>
      <c r="O94" s="19">
        <f t="shared" si="53"/>
        <v>7.3333333333333242</v>
      </c>
      <c r="P94" s="10">
        <f t="shared" si="46"/>
        <v>0.68712840214000714</v>
      </c>
      <c r="Q94" s="10">
        <f t="shared" si="47"/>
        <v>0.83249061261160284</v>
      </c>
      <c r="R94" s="10">
        <f t="shared" si="48"/>
        <v>5.9943629298248258E-2</v>
      </c>
      <c r="S94" s="10">
        <f t="shared" si="49"/>
        <v>0.57202794444036631</v>
      </c>
      <c r="T94" s="10">
        <f t="shared" si="50"/>
        <v>4.1188970218178245E-2</v>
      </c>
      <c r="V94" s="19">
        <v>7.25</v>
      </c>
      <c r="W94" s="12">
        <v>31811.420212151523</v>
      </c>
      <c r="X94" s="12">
        <f t="shared" si="71"/>
        <v>484.27334732565134</v>
      </c>
      <c r="Y94" s="12">
        <f t="shared" si="72"/>
        <v>24.213667366282568</v>
      </c>
      <c r="Z94" s="12">
        <f t="shared" si="57"/>
        <v>182.46763917672084</v>
      </c>
      <c r="AA94" s="12">
        <f t="shared" si="58"/>
        <v>41.553972421115581</v>
      </c>
      <c r="AB94" s="12">
        <f t="shared" si="59"/>
        <v>3.075970831775984</v>
      </c>
      <c r="AC94" s="12">
        <f t="shared" si="60"/>
        <v>124.92186421141677</v>
      </c>
      <c r="AD94" s="12">
        <f t="shared" si="61"/>
        <v>21.499094286186128</v>
      </c>
      <c r="AE94" s="12">
        <f t="shared" si="62"/>
        <v>32198.403292815205</v>
      </c>
      <c r="AF94" s="81">
        <f t="shared" si="73"/>
        <v>64.493336721912783</v>
      </c>
      <c r="AH94" s="12">
        <v>3801.2909943202994</v>
      </c>
      <c r="AM94" s="19">
        <f t="shared" si="63"/>
        <v>7.3333333333333242</v>
      </c>
      <c r="AN94" s="12">
        <v>3701.1754262667491</v>
      </c>
      <c r="AO94" s="12">
        <f t="shared" si="64"/>
        <v>20.926983964403888</v>
      </c>
      <c r="AP94" s="12">
        <f t="shared" si="65"/>
        <v>124.84388012699577</v>
      </c>
      <c r="AQ94" s="12">
        <f t="shared" si="66"/>
        <v>3591.4105929713614</v>
      </c>
      <c r="AR94" s="12">
        <f t="shared" si="67"/>
        <v>5.8479371327957779</v>
      </c>
      <c r="AW94" s="19">
        <v>7.25</v>
      </c>
      <c r="AX94" s="12">
        <v>64.493336721912783</v>
      </c>
      <c r="AY94" s="5">
        <f t="shared" si="68"/>
        <v>0.77815205276068378</v>
      </c>
      <c r="AZ94" s="12">
        <f t="shared" si="74"/>
        <v>6.0061218931923577</v>
      </c>
      <c r="BA94" s="5">
        <f t="shared" si="69"/>
        <v>5.6778774833286416E-2</v>
      </c>
      <c r="BB94" s="12">
        <f t="shared" si="70"/>
        <v>50.526642602137265</v>
      </c>
      <c r="BC94" s="5">
        <f t="shared" si="54"/>
        <v>0.36302844670111389</v>
      </c>
      <c r="BD94" s="12">
        <f t="shared" si="55"/>
        <v>18.34260858087622</v>
      </c>
      <c r="BE94" s="5">
        <f t="shared" si="56"/>
        <v>0.28166859836390085</v>
      </c>
    </row>
    <row r="95" spans="1:57">
      <c r="A95" s="19">
        <f t="shared" si="51"/>
        <v>7.4166666666666572</v>
      </c>
      <c r="B95" s="10">
        <f t="shared" si="40"/>
        <v>0.69637958660863652</v>
      </c>
      <c r="C95" s="10">
        <f t="shared" si="41"/>
        <v>0.83075806253497086</v>
      </c>
      <c r="D95" s="10">
        <f t="shared" si="42"/>
        <v>6.0486111569483691E-2</v>
      </c>
      <c r="E95" s="10">
        <f t="shared" si="43"/>
        <v>0.5785229561598948</v>
      </c>
      <c r="F95" s="10">
        <f t="shared" si="44"/>
        <v>4.2121293370320917E-2</v>
      </c>
      <c r="H95" s="19">
        <f t="shared" si="52"/>
        <v>7.4166666666666572</v>
      </c>
      <c r="I95" s="81">
        <f t="shared" si="39"/>
        <v>33263.689205517658</v>
      </c>
      <c r="J95" s="81">
        <f t="shared" si="45"/>
        <v>3498.9614269671411</v>
      </c>
      <c r="O95" s="19">
        <f t="shared" si="53"/>
        <v>7.4166666666666572</v>
      </c>
      <c r="P95" s="10">
        <f t="shared" si="46"/>
        <v>0.68420470800449718</v>
      </c>
      <c r="Q95" s="10">
        <f t="shared" si="47"/>
        <v>0.83075806253497086</v>
      </c>
      <c r="R95" s="10">
        <f t="shared" si="48"/>
        <v>6.0486111569483691E-2</v>
      </c>
      <c r="S95" s="10">
        <f t="shared" si="49"/>
        <v>0.56840857759912156</v>
      </c>
      <c r="T95" s="10">
        <f t="shared" si="50"/>
        <v>4.1384882304726027E-2</v>
      </c>
      <c r="V95" s="19">
        <v>7.3333333333333304</v>
      </c>
      <c r="W95" s="12">
        <v>32292.452390681108</v>
      </c>
      <c r="X95" s="12">
        <f t="shared" si="71"/>
        <v>484.27334732565134</v>
      </c>
      <c r="Y95" s="12">
        <f t="shared" si="72"/>
        <v>24.213667366282568</v>
      </c>
      <c r="Z95" s="12">
        <f t="shared" si="57"/>
        <v>185.18746505014741</v>
      </c>
      <c r="AA95" s="12">
        <f t="shared" si="58"/>
        <v>41.553972421115581</v>
      </c>
      <c r="AB95" s="12">
        <f t="shared" si="59"/>
        <v>2.9922187386150343</v>
      </c>
      <c r="AC95" s="12">
        <f t="shared" si="60"/>
        <v>124.92186421141677</v>
      </c>
      <c r="AD95" s="12">
        <f t="shared" si="61"/>
        <v>21.819315189380273</v>
      </c>
      <c r="AE95" s="12">
        <f t="shared" si="62"/>
        <v>32681.076647544087</v>
      </c>
      <c r="AF95" s="81">
        <f t="shared" si="73"/>
        <v>65.335517586016067</v>
      </c>
      <c r="AH95" s="12">
        <v>3701.1754262667491</v>
      </c>
      <c r="AM95" s="19">
        <f t="shared" si="63"/>
        <v>7.4166666666666572</v>
      </c>
      <c r="AN95" s="12">
        <v>3600.4003519703729</v>
      </c>
      <c r="AO95" s="12">
        <f t="shared" si="64"/>
        <v>20.357187042905608</v>
      </c>
      <c r="AP95" s="12">
        <f t="shared" si="65"/>
        <v>124.84388012699577</v>
      </c>
      <c r="AQ95" s="12">
        <f t="shared" si="66"/>
        <v>3490.2249485479956</v>
      </c>
      <c r="AR95" s="12">
        <f t="shared" si="67"/>
        <v>5.68871033828691</v>
      </c>
      <c r="AW95" s="19">
        <v>7.3333333333333304</v>
      </c>
      <c r="AX95" s="12">
        <v>65.335517586016067</v>
      </c>
      <c r="AY95" s="5">
        <f t="shared" si="68"/>
        <v>0.77588574923937659</v>
      </c>
      <c r="AZ95" s="12">
        <f t="shared" si="74"/>
        <v>5.8479371327957779</v>
      </c>
      <c r="BA95" s="5">
        <f t="shared" si="69"/>
        <v>5.7283711360902601E-2</v>
      </c>
      <c r="BB95" s="12">
        <f t="shared" si="70"/>
        <v>51.027888556940319</v>
      </c>
      <c r="BC95" s="5">
        <f t="shared" si="54"/>
        <v>0.35882484347107113</v>
      </c>
      <c r="BD95" s="12">
        <f t="shared" si="55"/>
        <v>18.310074124103373</v>
      </c>
      <c r="BE95" s="5">
        <f t="shared" si="56"/>
        <v>0.27759624491122603</v>
      </c>
    </row>
    <row r="96" spans="1:57">
      <c r="A96" s="19">
        <f t="shared" si="51"/>
        <v>7.4999999999999902</v>
      </c>
      <c r="B96" s="10">
        <f t="shared" si="40"/>
        <v>0.69355396191714636</v>
      </c>
      <c r="C96" s="10">
        <f t="shared" si="41"/>
        <v>0.82902911818040048</v>
      </c>
      <c r="D96" s="10">
        <f t="shared" si="42"/>
        <v>6.1025798842046397E-2</v>
      </c>
      <c r="E96" s="10">
        <f t="shared" si="43"/>
        <v>0.57497642945869487</v>
      </c>
      <c r="F96" s="10">
        <f t="shared" si="44"/>
        <v>4.2324684566060082E-2</v>
      </c>
      <c r="H96" s="19">
        <f t="shared" si="52"/>
        <v>7.4999999999999902</v>
      </c>
      <c r="I96" s="81">
        <f t="shared" si="39"/>
        <v>33753.932709398585</v>
      </c>
      <c r="J96" s="81">
        <f t="shared" si="45"/>
        <v>3396.8542781740848</v>
      </c>
      <c r="O96" s="19">
        <f t="shared" si="53"/>
        <v>7.4999999999999902</v>
      </c>
      <c r="P96" s="10">
        <f t="shared" si="46"/>
        <v>0.68129345402918329</v>
      </c>
      <c r="Q96" s="10">
        <f t="shared" si="47"/>
        <v>0.82902911818040048</v>
      </c>
      <c r="R96" s="10">
        <f t="shared" si="48"/>
        <v>6.1025798842046397E-2</v>
      </c>
      <c r="S96" s="10">
        <f t="shared" si="49"/>
        <v>0.56481211141589305</v>
      </c>
      <c r="T96" s="10">
        <f t="shared" si="50"/>
        <v>4.1576477277987925E-2</v>
      </c>
      <c r="V96" s="19">
        <v>7.4166666666666634</v>
      </c>
      <c r="W96" s="12">
        <v>32776.535597729788</v>
      </c>
      <c r="X96" s="12">
        <f t="shared" si="71"/>
        <v>484.27334732565134</v>
      </c>
      <c r="Y96" s="12">
        <f t="shared" si="72"/>
        <v>24.213667366282568</v>
      </c>
      <c r="Z96" s="12">
        <f t="shared" si="57"/>
        <v>187.92454188240205</v>
      </c>
      <c r="AA96" s="12">
        <f t="shared" si="58"/>
        <v>41.553972421115581</v>
      </c>
      <c r="AB96" s="12">
        <f t="shared" si="59"/>
        <v>2.907914932774796</v>
      </c>
      <c r="AC96" s="12">
        <f t="shared" si="60"/>
        <v>124.92186421141677</v>
      </c>
      <c r="AD96" s="12">
        <f t="shared" si="61"/>
        <v>22.1415671481912</v>
      </c>
      <c r="AE96" s="12">
        <f t="shared" si="62"/>
        <v>33166.811460723846</v>
      </c>
      <c r="AF96" s="81">
        <f t="shared" si="73"/>
        <v>66.18304013422312</v>
      </c>
      <c r="AH96" s="12">
        <v>3600.4003519703729</v>
      </c>
      <c r="AM96" s="19">
        <f t="shared" si="63"/>
        <v>7.4999999999999902</v>
      </c>
      <c r="AN96" s="12">
        <v>3498.9614269671411</v>
      </c>
      <c r="AO96" s="12">
        <f t="shared" si="64"/>
        <v>19.783636612995235</v>
      </c>
      <c r="AP96" s="12">
        <f t="shared" si="65"/>
        <v>124.84388012699577</v>
      </c>
      <c r="AQ96" s="12">
        <f t="shared" si="66"/>
        <v>3388.3727488078202</v>
      </c>
      <c r="AR96" s="12">
        <f t="shared" si="67"/>
        <v>5.5284346453204307</v>
      </c>
      <c r="AW96" s="19">
        <v>7.4166666666666634</v>
      </c>
      <c r="AX96" s="12">
        <v>66.18304013422312</v>
      </c>
      <c r="AY96" s="5">
        <f t="shared" si="68"/>
        <v>0.77362604613971264</v>
      </c>
      <c r="AZ96" s="12">
        <f t="shared" si="74"/>
        <v>5.68871033828691</v>
      </c>
      <c r="BA96" s="5">
        <f t="shared" si="69"/>
        <v>5.7785503645531922E-2</v>
      </c>
      <c r="BB96" s="12">
        <f t="shared" si="70"/>
        <v>51.529648652536402</v>
      </c>
      <c r="BC96" s="5">
        <f t="shared" si="54"/>
        <v>0.35466991488423094</v>
      </c>
      <c r="BD96" s="12">
        <f t="shared" si="55"/>
        <v>18.276016101609411</v>
      </c>
      <c r="BE96" s="5">
        <f t="shared" si="56"/>
        <v>0.27358276938367249</v>
      </c>
    </row>
    <row r="97" spans="1:57">
      <c r="A97" s="19">
        <f t="shared" si="51"/>
        <v>7.5833333333333233</v>
      </c>
      <c r="B97" s="10">
        <f t="shared" si="40"/>
        <v>0.69073980245963296</v>
      </c>
      <c r="C97" s="10">
        <f t="shared" si="41"/>
        <v>0.82730377204379046</v>
      </c>
      <c r="D97" s="10">
        <f t="shared" si="42"/>
        <v>6.1562701092596539E-2</v>
      </c>
      <c r="E97" s="10">
        <f t="shared" si="43"/>
        <v>0.57145164407563709</v>
      </c>
      <c r="F97" s="10">
        <f t="shared" si="44"/>
        <v>4.2523807991581564E-2</v>
      </c>
      <c r="H97" s="19">
        <f t="shared" si="52"/>
        <v>7.5833333333333233</v>
      </c>
      <c r="I97" s="81">
        <f t="shared" si="39"/>
        <v>34247.285728643677</v>
      </c>
      <c r="J97" s="81">
        <f t="shared" si="45"/>
        <v>3294.0745037007737</v>
      </c>
      <c r="O97" s="19">
        <f t="shared" si="53"/>
        <v>7.5833333333333233</v>
      </c>
      <c r="P97" s="10">
        <f t="shared" si="46"/>
        <v>0.67839458728185786</v>
      </c>
      <c r="Q97" s="10">
        <f t="shared" si="47"/>
        <v>0.82730377204379046</v>
      </c>
      <c r="R97" s="10">
        <f t="shared" si="48"/>
        <v>6.1562701092596539E-2</v>
      </c>
      <c r="S97" s="10">
        <f t="shared" si="49"/>
        <v>0.56123840099237143</v>
      </c>
      <c r="T97" s="10">
        <f t="shared" si="50"/>
        <v>4.1763803199668409E-2</v>
      </c>
      <c r="V97" s="19">
        <v>7.5</v>
      </c>
      <c r="W97" s="12">
        <v>33263.689205517658</v>
      </c>
      <c r="X97" s="12">
        <f t="shared" si="71"/>
        <v>484.27334732565134</v>
      </c>
      <c r="Y97" s="12">
        <f t="shared" si="72"/>
        <v>24.213667366282568</v>
      </c>
      <c r="Z97" s="12">
        <f t="shared" si="57"/>
        <v>190.67897920683367</v>
      </c>
      <c r="AA97" s="12">
        <f t="shared" si="58"/>
        <v>41.553972421115581</v>
      </c>
      <c r="AB97" s="12">
        <f t="shared" si="59"/>
        <v>2.823055779875888</v>
      </c>
      <c r="AC97" s="12">
        <f t="shared" si="60"/>
        <v>124.92186421141677</v>
      </c>
      <c r="AD97" s="12">
        <f t="shared" si="61"/>
        <v>22.465863058616499</v>
      </c>
      <c r="AE97" s="12">
        <f t="shared" si="62"/>
        <v>33655.627170929743</v>
      </c>
      <c r="AF97" s="81">
        <f t="shared" si="73"/>
        <v>67.035938283093856</v>
      </c>
      <c r="AH97" s="12">
        <v>3498.9614269671411</v>
      </c>
      <c r="AM97" s="19">
        <f t="shared" si="63"/>
        <v>7.5833333333333233</v>
      </c>
      <c r="AN97" s="12">
        <v>3396.8542781740848</v>
      </c>
      <c r="AO97" s="12">
        <f t="shared" si="64"/>
        <v>19.206307948625874</v>
      </c>
      <c r="AP97" s="12">
        <f t="shared" si="65"/>
        <v>124.84388012699577</v>
      </c>
      <c r="AQ97" s="12">
        <f t="shared" si="66"/>
        <v>3285.8496028513855</v>
      </c>
      <c r="AR97" s="12">
        <f t="shared" si="67"/>
        <v>5.367103144329576</v>
      </c>
      <c r="AW97" s="19">
        <v>7.5</v>
      </c>
      <c r="AX97" s="12">
        <v>67.035938283093856</v>
      </c>
      <c r="AY97" s="5">
        <f t="shared" si="68"/>
        <v>0.77137292423850945</v>
      </c>
      <c r="AZ97" s="12">
        <f t="shared" si="74"/>
        <v>5.5284346453204307</v>
      </c>
      <c r="BA97" s="5">
        <f t="shared" si="69"/>
        <v>5.8284165023438694E-2</v>
      </c>
      <c r="BB97" s="12">
        <f t="shared" si="70"/>
        <v>52.031927939691506</v>
      </c>
      <c r="BC97" s="5">
        <f t="shared" si="54"/>
        <v>0.35056309732391466</v>
      </c>
      <c r="BD97" s="12">
        <f t="shared" si="55"/>
        <v>18.240473818272989</v>
      </c>
      <c r="BE97" s="5">
        <f t="shared" si="56"/>
        <v>0.26962732052652782</v>
      </c>
    </row>
    <row r="98" spans="1:57">
      <c r="A98" s="19">
        <f t="shared" si="51"/>
        <v>7.6666666666666563</v>
      </c>
      <c r="B98" s="10">
        <f t="shared" si="40"/>
        <v>0.68793706171484736</v>
      </c>
      <c r="C98" s="10">
        <f t="shared" si="41"/>
        <v>0.82558201663665631</v>
      </c>
      <c r="D98" s="10">
        <f t="shared" si="42"/>
        <v>6.2096828266644089E-2</v>
      </c>
      <c r="E98" s="10">
        <f t="shared" si="43"/>
        <v>0.56794846672963961</v>
      </c>
      <c r="F98" s="10">
        <f t="shared" si="44"/>
        <v>4.2718709579566611E-2</v>
      </c>
      <c r="H98" s="19">
        <f t="shared" si="52"/>
        <v>7.6666666666666563</v>
      </c>
      <c r="I98" s="81">
        <f t="shared" si="39"/>
        <v>34743.768007229824</v>
      </c>
      <c r="J98" s="81">
        <f t="shared" si="45"/>
        <v>3190.6176726595463</v>
      </c>
      <c r="O98" s="19">
        <f t="shared" si="53"/>
        <v>7.6666666666666563</v>
      </c>
      <c r="P98" s="10">
        <f t="shared" si="46"/>
        <v>0.67550805505553668</v>
      </c>
      <c r="Q98" s="10">
        <f t="shared" si="47"/>
        <v>0.82558201663665631</v>
      </c>
      <c r="R98" s="10">
        <f t="shared" si="48"/>
        <v>6.2096828266644089E-2</v>
      </c>
      <c r="S98" s="10">
        <f t="shared" si="49"/>
        <v>0.55768730234705544</v>
      </c>
      <c r="T98" s="10">
        <f t="shared" si="50"/>
        <v>4.1946907687518423E-2</v>
      </c>
      <c r="V98" s="19">
        <v>7.5833333333333304</v>
      </c>
      <c r="W98" s="12">
        <v>33753.932709398585</v>
      </c>
      <c r="X98" s="12">
        <f t="shared" si="71"/>
        <v>484.27334732565134</v>
      </c>
      <c r="Y98" s="12">
        <f t="shared" si="72"/>
        <v>24.213667366282568</v>
      </c>
      <c r="Z98" s="12">
        <f t="shared" si="57"/>
        <v>193.45088725300741</v>
      </c>
      <c r="AA98" s="12">
        <f t="shared" si="58"/>
        <v>41.553972421115581</v>
      </c>
      <c r="AB98" s="12">
        <f t="shared" si="59"/>
        <v>2.737637621597639</v>
      </c>
      <c r="AC98" s="12">
        <f t="shared" si="60"/>
        <v>124.92186421141677</v>
      </c>
      <c r="AD98" s="12">
        <f t="shared" si="61"/>
        <v>22.792215898623347</v>
      </c>
      <c r="AE98" s="12">
        <f t="shared" si="62"/>
        <v>34147.543340293378</v>
      </c>
      <c r="AF98" s="81">
        <f t="shared" si="73"/>
        <v>67.894246164833021</v>
      </c>
      <c r="AH98" s="12">
        <v>3396.8542781740848</v>
      </c>
      <c r="AM98" s="19">
        <f t="shared" si="63"/>
        <v>7.6666666666666563</v>
      </c>
      <c r="AN98" s="12">
        <v>3294.0745037007737</v>
      </c>
      <c r="AO98" s="12">
        <f t="shared" si="64"/>
        <v>18.625176160869046</v>
      </c>
      <c r="AP98" s="12">
        <f t="shared" si="65"/>
        <v>124.84388012699577</v>
      </c>
      <c r="AQ98" s="12">
        <f t="shared" si="66"/>
        <v>3182.6510908544146</v>
      </c>
      <c r="AR98" s="12">
        <f t="shared" si="67"/>
        <v>5.2047088802323742</v>
      </c>
      <c r="AW98" s="19">
        <v>7.5833333333333304</v>
      </c>
      <c r="AX98" s="12">
        <v>67.894246164833021</v>
      </c>
      <c r="AY98" s="5">
        <f t="shared" si="68"/>
        <v>0.76912636436857051</v>
      </c>
      <c r="AZ98" s="12">
        <f t="shared" si="74"/>
        <v>5.367103144329576</v>
      </c>
      <c r="BA98" s="5">
        <f t="shared" si="69"/>
        <v>5.8779708781613094E-2</v>
      </c>
      <c r="BB98" s="12">
        <f t="shared" si="70"/>
        <v>52.534731474127355</v>
      </c>
      <c r="BC98" s="5">
        <f t="shared" si="54"/>
        <v>0.34650383369971199</v>
      </c>
      <c r="BD98" s="12">
        <f t="shared" si="55"/>
        <v>18.203485858170051</v>
      </c>
      <c r="BE98" s="5">
        <f t="shared" si="56"/>
        <v>0.26572905939248725</v>
      </c>
    </row>
    <row r="99" spans="1:57">
      <c r="A99" s="19">
        <f t="shared" si="51"/>
        <v>7.7499999999999893</v>
      </c>
      <c r="B99" s="10">
        <f t="shared" si="40"/>
        <v>0.68514569335030484</v>
      </c>
      <c r="C99" s="10">
        <f t="shared" si="41"/>
        <v>0.82386384448609873</v>
      </c>
      <c r="D99" s="10">
        <f t="shared" si="42"/>
        <v>6.262819027864075E-2</v>
      </c>
      <c r="E99" s="10">
        <f t="shared" si="43"/>
        <v>0.5644667649566758</v>
      </c>
      <c r="F99" s="10">
        <f t="shared" si="44"/>
        <v>4.2909434851734138E-2</v>
      </c>
      <c r="H99" s="19">
        <f t="shared" si="52"/>
        <v>7.7499999999999893</v>
      </c>
      <c r="I99" s="81">
        <f t="shared" si="39"/>
        <v>35243.399414633182</v>
      </c>
      <c r="J99" s="81">
        <f t="shared" si="45"/>
        <v>3086.479324974493</v>
      </c>
      <c r="O99" s="19">
        <f t="shared" si="53"/>
        <v>7.7499999999999893</v>
      </c>
      <c r="P99" s="10">
        <f t="shared" si="46"/>
        <v>0.6726338048675008</v>
      </c>
      <c r="Q99" s="10">
        <f t="shared" si="47"/>
        <v>0.82386384448609873</v>
      </c>
      <c r="R99" s="10">
        <f t="shared" si="48"/>
        <v>6.262819027864075E-2</v>
      </c>
      <c r="S99" s="10">
        <f t="shared" si="49"/>
        <v>0.5541586724094516</v>
      </c>
      <c r="T99" s="10">
        <f t="shared" si="50"/>
        <v>4.2125837919087951E-2</v>
      </c>
      <c r="V99" s="19">
        <v>7.6666666666666634</v>
      </c>
      <c r="W99" s="12">
        <v>34247.285728643677</v>
      </c>
      <c r="X99" s="12">
        <f t="shared" si="71"/>
        <v>484.27334732565134</v>
      </c>
      <c r="Y99" s="12">
        <f t="shared" si="72"/>
        <v>24.213667366282568</v>
      </c>
      <c r="Z99" s="12">
        <f t="shared" si="57"/>
        <v>196.24037695113452</v>
      </c>
      <c r="AA99" s="12">
        <f t="shared" si="58"/>
        <v>41.553972421115581</v>
      </c>
      <c r="AB99" s="12">
        <f t="shared" si="59"/>
        <v>2.6516567755203755</v>
      </c>
      <c r="AC99" s="12">
        <f t="shared" si="60"/>
        <v>124.92186421141677</v>
      </c>
      <c r="AD99" s="12">
        <f t="shared" si="61"/>
        <v>23.120638728670059</v>
      </c>
      <c r="AE99" s="12">
        <f t="shared" si="62"/>
        <v>34642.579655288951</v>
      </c>
      <c r="AF99" s="81">
        <f t="shared" si="73"/>
        <v>68.757998128516192</v>
      </c>
      <c r="AH99" s="12">
        <v>3294.0745037007737</v>
      </c>
      <c r="AM99" s="19">
        <f t="shared" si="63"/>
        <v>7.7499999999999893</v>
      </c>
      <c r="AN99" s="12">
        <v>3190.6176726595463</v>
      </c>
      <c r="AO99" s="12">
        <f t="shared" si="64"/>
        <v>18.040216196841723</v>
      </c>
      <c r="AP99" s="12">
        <f t="shared" si="65"/>
        <v>124.84388012699577</v>
      </c>
      <c r="AQ99" s="12">
        <f t="shared" si="66"/>
        <v>3078.7727638772617</v>
      </c>
      <c r="AR99" s="12">
        <f t="shared" si="67"/>
        <v>5.0412448521306032</v>
      </c>
      <c r="AW99" s="19">
        <v>7.6666666666666634</v>
      </c>
      <c r="AX99" s="12">
        <v>68.757998128516192</v>
      </c>
      <c r="AY99" s="5">
        <f t="shared" si="68"/>
        <v>0.76688634741852246</v>
      </c>
      <c r="AZ99" s="12">
        <f t="shared" si="74"/>
        <v>5.2047088802323742</v>
      </c>
      <c r="BA99" s="5">
        <f t="shared" si="69"/>
        <v>5.927214815793902E-2</v>
      </c>
      <c r="BB99" s="12">
        <f t="shared" si="70"/>
        <v>53.038064316455454</v>
      </c>
      <c r="BC99" s="5">
        <f t="shared" si="54"/>
        <v>0.34249157337191027</v>
      </c>
      <c r="BD99" s="12">
        <f t="shared" si="55"/>
        <v>18.165090096343398</v>
      </c>
      <c r="BE99" s="5">
        <f t="shared" si="56"/>
        <v>0.26188715916371208</v>
      </c>
    </row>
    <row r="100" spans="1:57">
      <c r="A100" s="19">
        <f t="shared" si="51"/>
        <v>7.8333333333333224</v>
      </c>
      <c r="B100" s="10">
        <f t="shared" si="40"/>
        <v>0.68236565122151849</v>
      </c>
      <c r="C100" s="10">
        <f t="shared" si="41"/>
        <v>0.82214924813477064</v>
      </c>
      <c r="D100" s="10">
        <f t="shared" si="42"/>
        <v>6.3156797012069665E-2</v>
      </c>
      <c r="E100" s="10">
        <f t="shared" si="43"/>
        <v>0.56100640710476457</v>
      </c>
      <c r="F100" s="10">
        <f t="shared" si="44"/>
        <v>4.3096028922206167E-2</v>
      </c>
      <c r="H100" s="19">
        <f t="shared" si="52"/>
        <v>7.8333333333333224</v>
      </c>
      <c r="I100" s="81">
        <f t="shared" si="39"/>
        <v>35746.19994662777</v>
      </c>
      <c r="J100" s="81">
        <f t="shared" si="45"/>
        <v>2981.6549711891785</v>
      </c>
      <c r="O100" s="19">
        <f t="shared" si="53"/>
        <v>7.8333333333333224</v>
      </c>
      <c r="P100" s="10">
        <f t="shared" si="46"/>
        <v>0.66977178445834262</v>
      </c>
      <c r="Q100" s="10">
        <f t="shared" si="47"/>
        <v>0.82214924813477064</v>
      </c>
      <c r="R100" s="10">
        <f t="shared" si="48"/>
        <v>6.3156797012069665E-2</v>
      </c>
      <c r="S100" s="10">
        <f t="shared" si="49"/>
        <v>0.55065236901431003</v>
      </c>
      <c r="T100" s="10">
        <f t="shared" si="50"/>
        <v>4.2300640635447223E-2</v>
      </c>
      <c r="V100" s="19">
        <v>7.75</v>
      </c>
      <c r="W100" s="12">
        <v>34743.768007229824</v>
      </c>
      <c r="X100" s="12">
        <f t="shared" si="71"/>
        <v>484.27334732565134</v>
      </c>
      <c r="Y100" s="12">
        <f t="shared" si="72"/>
        <v>24.213667366282568</v>
      </c>
      <c r="Z100" s="12">
        <f t="shared" si="57"/>
        <v>199.04755993653086</v>
      </c>
      <c r="AA100" s="12">
        <f t="shared" si="58"/>
        <v>41.553972421115581</v>
      </c>
      <c r="AB100" s="12">
        <f t="shared" si="59"/>
        <v>2.5651095349666702</v>
      </c>
      <c r="AC100" s="12">
        <f t="shared" si="60"/>
        <v>124.92186421141677</v>
      </c>
      <c r="AD100" s="12">
        <f t="shared" si="61"/>
        <v>23.451144692231008</v>
      </c>
      <c r="AE100" s="12">
        <f t="shared" si="62"/>
        <v>35140.755927524398</v>
      </c>
      <c r="AF100" s="81">
        <f t="shared" si="73"/>
        <v>69.627228741599538</v>
      </c>
      <c r="AH100" s="12">
        <v>3190.6176726595463</v>
      </c>
      <c r="AM100" s="19">
        <f t="shared" si="63"/>
        <v>7.8333333333333224</v>
      </c>
      <c r="AN100" s="12">
        <v>3086.479324974493</v>
      </c>
      <c r="AO100" s="12">
        <f t="shared" si="64"/>
        <v>17.451402838626272</v>
      </c>
      <c r="AP100" s="12">
        <f t="shared" si="65"/>
        <v>124.84388012699577</v>
      </c>
      <c r="AQ100" s="12">
        <f t="shared" si="66"/>
        <v>2974.2101436731145</v>
      </c>
      <c r="AR100" s="12">
        <f t="shared" si="67"/>
        <v>4.876704013008748</v>
      </c>
      <c r="AW100" s="19">
        <v>7.75</v>
      </c>
      <c r="AX100" s="12">
        <v>69.627228741599538</v>
      </c>
      <c r="AY100" s="5">
        <f t="shared" si="68"/>
        <v>0.76465285433265195</v>
      </c>
      <c r="AZ100" s="12">
        <f t="shared" si="74"/>
        <v>5.0412448521306032</v>
      </c>
      <c r="BA100" s="5">
        <f t="shared" si="69"/>
        <v>5.9761496341364184E-2</v>
      </c>
      <c r="BB100" s="12">
        <f t="shared" si="70"/>
        <v>53.541931532323069</v>
      </c>
      <c r="BC100" s="5">
        <f t="shared" si="54"/>
        <v>0.33852577207680118</v>
      </c>
      <c r="BD100" s="12">
        <f t="shared" si="55"/>
        <v>18.125323710462894</v>
      </c>
      <c r="BE100" s="5">
        <f t="shared" si="56"/>
        <v>0.25810080497646337</v>
      </c>
    </row>
    <row r="101" spans="1:57">
      <c r="A101" s="19">
        <f t="shared" si="51"/>
        <v>7.9166666666666554</v>
      </c>
      <c r="B101" s="10">
        <f t="shared" si="40"/>
        <v>0.67959688937123786</v>
      </c>
      <c r="C101" s="10">
        <f t="shared" si="41"/>
        <v>0.820438220140845</v>
      </c>
      <c r="D101" s="10">
        <f t="shared" si="42"/>
        <v>6.3682658319536234E-2</v>
      </c>
      <c r="E101" s="10">
        <f t="shared" si="43"/>
        <v>0.55756726232899312</v>
      </c>
      <c r="F101" s="10">
        <f t="shared" si="44"/>
        <v>4.3278536500848203E-2</v>
      </c>
      <c r="H101" s="19">
        <f t="shared" si="52"/>
        <v>7.9166666666666554</v>
      </c>
      <c r="I101" s="81">
        <f t="shared" si="39"/>
        <v>36252.189726089127</v>
      </c>
      <c r="J101" s="81">
        <f t="shared" si="45"/>
        <v>2876.1400922731013</v>
      </c>
      <c r="O101" s="19">
        <f t="shared" si="53"/>
        <v>7.9166666666666554</v>
      </c>
      <c r="P101" s="10">
        <f t="shared" si="46"/>
        <v>0.66692194179101538</v>
      </c>
      <c r="Q101" s="10">
        <f t="shared" si="47"/>
        <v>0.820438220140845</v>
      </c>
      <c r="R101" s="10">
        <f t="shared" si="48"/>
        <v>6.3682658319536234E-2</v>
      </c>
      <c r="S101" s="10">
        <f t="shared" si="49"/>
        <v>0.54716825089589693</v>
      </c>
      <c r="T101" s="10">
        <f t="shared" si="50"/>
        <v>4.2471362144878864E-2</v>
      </c>
      <c r="V101" s="19">
        <v>7.8333333333333304</v>
      </c>
      <c r="W101" s="12">
        <v>35243.399414633182</v>
      </c>
      <c r="X101" s="12">
        <f t="shared" si="71"/>
        <v>484.27334732565134</v>
      </c>
      <c r="Y101" s="12">
        <f t="shared" si="72"/>
        <v>24.213667366282568</v>
      </c>
      <c r="Z101" s="12">
        <f t="shared" si="57"/>
        <v>201.87254855410336</v>
      </c>
      <c r="AA101" s="12">
        <f t="shared" si="58"/>
        <v>41.553972421115581</v>
      </c>
      <c r="AB101" s="12">
        <f t="shared" si="59"/>
        <v>2.4779921688415461</v>
      </c>
      <c r="AC101" s="12">
        <f t="shared" si="60"/>
        <v>124.92186421141677</v>
      </c>
      <c r="AD101" s="12">
        <f t="shared" si="61"/>
        <v>23.783747016324853</v>
      </c>
      <c r="AE101" s="12">
        <f t="shared" si="62"/>
        <v>35642.0920945377</v>
      </c>
      <c r="AF101" s="81">
        <f t="shared" si="73"/>
        <v>70.501972791265871</v>
      </c>
      <c r="AH101" s="12">
        <v>3086.479324974493</v>
      </c>
      <c r="AM101" s="19">
        <f t="shared" si="63"/>
        <v>7.9166666666666554</v>
      </c>
      <c r="AN101" s="12">
        <v>2981.6549711891785</v>
      </c>
      <c r="AO101" s="12">
        <f t="shared" si="64"/>
        <v>16.858710702183298</v>
      </c>
      <c r="AP101" s="12">
        <f t="shared" si="65"/>
        <v>124.84388012699577</v>
      </c>
      <c r="AQ101" s="12">
        <f t="shared" si="66"/>
        <v>2868.9587224949378</v>
      </c>
      <c r="AR101" s="12">
        <f t="shared" si="67"/>
        <v>4.7110792694279553</v>
      </c>
      <c r="AW101" s="19">
        <v>7.8333333333333304</v>
      </c>
      <c r="AX101" s="12">
        <v>70.501972791265871</v>
      </c>
      <c r="AY101" s="5">
        <f t="shared" si="68"/>
        <v>0.7624258661107437</v>
      </c>
      <c r="AZ101" s="12">
        <f t="shared" si="74"/>
        <v>4.876704013008748</v>
      </c>
      <c r="BA101" s="5">
        <f t="shared" si="69"/>
        <v>6.0247766472068864E-2</v>
      </c>
      <c r="BB101" s="12">
        <f t="shared" si="70"/>
        <v>54.04633819242612</v>
      </c>
      <c r="BC101" s="5">
        <f t="shared" si="54"/>
        <v>0.33460589185285178</v>
      </c>
      <c r="BD101" s="12">
        <f t="shared" si="55"/>
        <v>18.084223192257586</v>
      </c>
      <c r="BE101" s="5">
        <f t="shared" si="56"/>
        <v>0.25436919374827061</v>
      </c>
    </row>
    <row r="102" spans="1:57">
      <c r="A102" s="19">
        <f t="shared" si="51"/>
        <v>7.9999999999999885</v>
      </c>
      <c r="B102" s="10">
        <f t="shared" si="40"/>
        <v>0.67683936202868733</v>
      </c>
      <c r="C102" s="10">
        <f t="shared" si="41"/>
        <v>0.81873075307798204</v>
      </c>
      <c r="D102" s="10">
        <f t="shared" si="42"/>
        <v>6.4205784022856704E-2</v>
      </c>
      <c r="E102" s="10">
        <f t="shared" si="43"/>
        <v>0.55414920058656814</v>
      </c>
      <c r="F102" s="10">
        <f t="shared" si="44"/>
        <v>4.3457001896582019E-2</v>
      </c>
      <c r="H102" s="19">
        <f t="shared" si="52"/>
        <v>7.9999999999999885</v>
      </c>
      <c r="I102" s="81">
        <f t="shared" ref="I102:I124" si="75">-PP+(pzz*I103+pzo*(50000+J103)+100000*pzt)/1.05^(1/12)</f>
        <v>36761.389003803073</v>
      </c>
      <c r="J102" s="81">
        <f t="shared" si="45"/>
        <v>2769.9301394268755</v>
      </c>
      <c r="O102" s="19">
        <f t="shared" si="53"/>
        <v>7.9999999999999885</v>
      </c>
      <c r="P102" s="10">
        <f t="shared" si="46"/>
        <v>0.66408422504988718</v>
      </c>
      <c r="Q102" s="10">
        <f t="shared" si="47"/>
        <v>0.81873075307798204</v>
      </c>
      <c r="R102" s="10">
        <f t="shared" si="48"/>
        <v>6.4205784022856704E-2</v>
      </c>
      <c r="S102" s="10">
        <f t="shared" si="49"/>
        <v>0.54370617768230223</v>
      </c>
      <c r="T102" s="10">
        <f t="shared" si="50"/>
        <v>4.2638048326539224E-2</v>
      </c>
      <c r="V102" s="19">
        <v>7.9166666666666634</v>
      </c>
      <c r="W102" s="12">
        <v>35746.19994662777</v>
      </c>
      <c r="X102" s="12">
        <f t="shared" si="71"/>
        <v>484.27334732565134</v>
      </c>
      <c r="Y102" s="12">
        <f t="shared" si="72"/>
        <v>24.213667366282568</v>
      </c>
      <c r="Z102" s="12">
        <f t="shared" si="57"/>
        <v>204.71545586286547</v>
      </c>
      <c r="AA102" s="12">
        <f t="shared" si="58"/>
        <v>41.553972421115581</v>
      </c>
      <c r="AB102" s="12">
        <f t="shared" si="59"/>
        <v>2.3903009214716255</v>
      </c>
      <c r="AC102" s="12">
        <f t="shared" si="60"/>
        <v>124.92186421141677</v>
      </c>
      <c r="AD102" s="12">
        <f t="shared" si="61"/>
        <v>24.118459012046152</v>
      </c>
      <c r="AE102" s="12">
        <f t="shared" si="62"/>
        <v>36146.608220598195</v>
      </c>
      <c r="AF102" s="81">
        <f t="shared" si="73"/>
        <v>71.3822652857707</v>
      </c>
      <c r="AH102" s="12">
        <v>2981.6549711891785</v>
      </c>
      <c r="AM102" s="19">
        <f t="shared" si="63"/>
        <v>7.9999999999999885</v>
      </c>
      <c r="AN102" s="12">
        <v>2876.1400922731013</v>
      </c>
      <c r="AO102" s="12">
        <f t="shared" si="64"/>
        <v>16.262114236257336</v>
      </c>
      <c r="AP102" s="12">
        <f t="shared" si="65"/>
        <v>124.84388012699577</v>
      </c>
      <c r="AQ102" s="12">
        <f t="shared" si="66"/>
        <v>2763.0139629011401</v>
      </c>
      <c r="AR102" s="12">
        <f t="shared" si="67"/>
        <v>4.5443634812227174</v>
      </c>
      <c r="AW102" s="19">
        <v>7.9166666666666634</v>
      </c>
      <c r="AX102" s="12">
        <v>71.3822652857707</v>
      </c>
      <c r="AY102" s="5">
        <f t="shared" si="68"/>
        <v>0.7602053638079197</v>
      </c>
      <c r="AZ102" s="12">
        <f t="shared" si="74"/>
        <v>4.7110792694279553</v>
      </c>
      <c r="BA102" s="5">
        <f t="shared" si="69"/>
        <v>6.073097164163177E-2</v>
      </c>
      <c r="BB102" s="12">
        <f t="shared" si="70"/>
        <v>54.551289372515861</v>
      </c>
      <c r="BC102" s="5">
        <f t="shared" si="54"/>
        <v>0.33073140096772818</v>
      </c>
      <c r="BD102" s="12">
        <f t="shared" si="55"/>
        <v>18.041824358768114</v>
      </c>
      <c r="BE102" s="5">
        <f t="shared" si="56"/>
        <v>0.25069153400759692</v>
      </c>
    </row>
    <row r="103" spans="1:57">
      <c r="A103" s="19">
        <f t="shared" si="51"/>
        <v>8.0833333333333215</v>
      </c>
      <c r="B103" s="10">
        <f t="shared" si="40"/>
        <v>0.67409302360881129</v>
      </c>
      <c r="C103" s="10">
        <f t="shared" si="41"/>
        <v>0.81702683953529809</v>
      </c>
      <c r="D103" s="10">
        <f t="shared" si="42"/>
        <v>6.4726183913150548E-2</v>
      </c>
      <c r="E103" s="10">
        <f t="shared" si="43"/>
        <v>0.55075209263190017</v>
      </c>
      <c r="F103" s="10">
        <f t="shared" si="44"/>
        <v>4.3631469020675655E-2</v>
      </c>
      <c r="H103" s="19">
        <f t="shared" si="52"/>
        <v>8.0833333333333215</v>
      </c>
      <c r="I103" s="81">
        <f t="shared" si="75"/>
        <v>37273.818159279668</v>
      </c>
      <c r="J103" s="81">
        <f t="shared" ref="J103:J125" si="76">(poo*J104+50000*pot)/1.05^(1/12)</f>
        <v>2663.0205338861274</v>
      </c>
      <c r="O103" s="19">
        <f t="shared" si="53"/>
        <v>8.0833333333333215</v>
      </c>
      <c r="P103" s="10">
        <f t="shared" si="46"/>
        <v>0.66125858263979875</v>
      </c>
      <c r="Q103" s="10">
        <f t="shared" si="47"/>
        <v>0.81702683953529809</v>
      </c>
      <c r="R103" s="10">
        <f t="shared" si="48"/>
        <v>6.4726183913150548E-2</v>
      </c>
      <c r="S103" s="10">
        <f t="shared" si="49"/>
        <v>0.54026600988978546</v>
      </c>
      <c r="T103" s="10">
        <f t="shared" si="50"/>
        <v>4.2800744634092877E-2</v>
      </c>
      <c r="V103" s="19">
        <v>8</v>
      </c>
      <c r="W103" s="12">
        <v>36252.189726089127</v>
      </c>
      <c r="X103" s="12">
        <f t="shared" si="71"/>
        <v>484.27334732565134</v>
      </c>
      <c r="Y103" s="12">
        <f t="shared" si="72"/>
        <v>24.213667366282568</v>
      </c>
      <c r="Z103" s="12">
        <f t="shared" si="57"/>
        <v>207.57639564048111</v>
      </c>
      <c r="AA103" s="12">
        <f t="shared" si="58"/>
        <v>41.553972421115581</v>
      </c>
      <c r="AB103" s="12">
        <f t="shared" si="59"/>
        <v>2.3020320124432243</v>
      </c>
      <c r="AC103" s="12">
        <f t="shared" si="60"/>
        <v>124.92186421141677</v>
      </c>
      <c r="AD103" s="12">
        <f t="shared" si="61"/>
        <v>24.455294075100369</v>
      </c>
      <c r="AE103" s="12">
        <f t="shared" si="62"/>
        <v>36654.324497512964</v>
      </c>
      <c r="AF103" s="81">
        <f t="shared" si="73"/>
        <v>72.268141455948353</v>
      </c>
      <c r="AH103" s="12">
        <v>2876.1400922731013</v>
      </c>
      <c r="AM103" s="19">
        <f t="shared" si="63"/>
        <v>8.0833333333333215</v>
      </c>
      <c r="AN103" s="12">
        <v>2769.9301394268755</v>
      </c>
      <c r="AO103" s="12">
        <f t="shared" si="64"/>
        <v>15.661587721275316</v>
      </c>
      <c r="AP103" s="12">
        <f t="shared" si="65"/>
        <v>124.84388012699577</v>
      </c>
      <c r="AQ103" s="12">
        <f t="shared" si="66"/>
        <v>2656.3712975599633</v>
      </c>
      <c r="AR103" s="12">
        <f t="shared" si="67"/>
        <v>4.3765494611916438</v>
      </c>
      <c r="AW103" s="19">
        <v>8</v>
      </c>
      <c r="AX103" s="12">
        <v>72.268141455948353</v>
      </c>
      <c r="AY103" s="5">
        <f t="shared" si="68"/>
        <v>0.75799132853447637</v>
      </c>
      <c r="AZ103" s="12">
        <f t="shared" si="74"/>
        <v>4.5443634812227174</v>
      </c>
      <c r="BA103" s="5">
        <f t="shared" si="69"/>
        <v>6.1211124893200575E-2</v>
      </c>
      <c r="BB103" s="12">
        <f t="shared" si="70"/>
        <v>55.056790153520978</v>
      </c>
      <c r="BC103" s="5">
        <f t="shared" si="54"/>
        <v>0.32690177384616753</v>
      </c>
      <c r="BD103" s="12">
        <f t="shared" si="55"/>
        <v>17.998162363462217</v>
      </c>
      <c r="BE103" s="5">
        <f t="shared" si="56"/>
        <v>0.24706704572596991</v>
      </c>
    </row>
    <row r="104" spans="1:57">
      <c r="A104" s="19">
        <f t="shared" si="51"/>
        <v>8.1666666666666554</v>
      </c>
      <c r="B104" s="10">
        <f t="shared" si="40"/>
        <v>0.67135782871151917</v>
      </c>
      <c r="C104" s="10">
        <f t="shared" si="41"/>
        <v>0.81532647211733211</v>
      </c>
      <c r="D104" s="10">
        <f t="shared" si="42"/>
        <v>6.5243867750927276E-2</v>
      </c>
      <c r="E104" s="10">
        <f t="shared" si="43"/>
        <v>0.54737581001171509</v>
      </c>
      <c r="F104" s="10">
        <f t="shared" si="44"/>
        <v>4.3801981390004047E-2</v>
      </c>
      <c r="H104" s="19">
        <f t="shared" si="52"/>
        <v>8.1666666666666554</v>
      </c>
      <c r="I104" s="81">
        <f t="shared" si="75"/>
        <v>37789.497701572305</v>
      </c>
      <c r="J104" s="81">
        <f t="shared" si="76"/>
        <v>2555.4066667241054</v>
      </c>
      <c r="O104" s="19">
        <f t="shared" si="53"/>
        <v>8.1666666666666554</v>
      </c>
      <c r="P104" s="10">
        <f t="shared" si="46"/>
        <v>0.65844496318512546</v>
      </c>
      <c r="Q104" s="10">
        <f t="shared" si="47"/>
        <v>0.81532647211733211</v>
      </c>
      <c r="R104" s="10">
        <f t="shared" si="48"/>
        <v>6.5243867750927276E-2</v>
      </c>
      <c r="S104" s="10">
        <f t="shared" si="49"/>
        <v>0.53684760891715499</v>
      </c>
      <c r="T104" s="10">
        <f t="shared" si="50"/>
        <v>4.2959496099314508E-2</v>
      </c>
      <c r="V104" s="19">
        <v>8.0833333333333304</v>
      </c>
      <c r="W104" s="12">
        <v>36761.389003803073</v>
      </c>
      <c r="X104" s="12">
        <f t="shared" si="71"/>
        <v>484.27334732565134</v>
      </c>
      <c r="Y104" s="12">
        <f t="shared" si="72"/>
        <v>24.213667366282568</v>
      </c>
      <c r="Z104" s="12">
        <f t="shared" si="57"/>
        <v>210.45548238783752</v>
      </c>
      <c r="AA104" s="12">
        <f t="shared" si="58"/>
        <v>41.553972421115581</v>
      </c>
      <c r="AB104" s="12">
        <f t="shared" si="59"/>
        <v>2.2131816364393724</v>
      </c>
      <c r="AC104" s="12">
        <f t="shared" si="60"/>
        <v>124.92186421141677</v>
      </c>
      <c r="AD104" s="12">
        <f t="shared" si="61"/>
        <v>24.794265686342253</v>
      </c>
      <c r="AE104" s="12">
        <f t="shared" si="62"/>
        <v>37165.261245438414</v>
      </c>
      <c r="AF104" s="81">
        <f t="shared" si="73"/>
        <v>73.159636756550753</v>
      </c>
      <c r="AH104" s="12">
        <v>2769.9301394268755</v>
      </c>
      <c r="AM104" s="19">
        <f t="shared" si="63"/>
        <v>8.1666666666666554</v>
      </c>
      <c r="AN104" s="12">
        <v>2663.0205338861274</v>
      </c>
      <c r="AO104" s="12">
        <f t="shared" si="64"/>
        <v>15.057105268237777</v>
      </c>
      <c r="AP104" s="12">
        <f t="shared" si="65"/>
        <v>124.84388012699577</v>
      </c>
      <c r="AQ104" s="12">
        <f t="shared" si="66"/>
        <v>2549.0261290525809</v>
      </c>
      <c r="AR104" s="12">
        <f t="shared" si="67"/>
        <v>4.2076299747882331</v>
      </c>
      <c r="AW104" s="19">
        <v>8.0833333333333304</v>
      </c>
      <c r="AX104" s="12">
        <v>73.159636756550753</v>
      </c>
      <c r="AY104" s="5">
        <f t="shared" si="68"/>
        <v>0.75578374145572547</v>
      </c>
      <c r="AZ104" s="12">
        <f t="shared" si="74"/>
        <v>4.3765494611916438</v>
      </c>
      <c r="BA104" s="5">
        <f t="shared" si="69"/>
        <v>6.1688239221656005E-2</v>
      </c>
      <c r="BB104" s="12">
        <f t="shared" si="70"/>
        <v>55.562845621535139</v>
      </c>
      <c r="BC104" s="5">
        <f t="shared" si="54"/>
        <v>0.32311649099868356</v>
      </c>
      <c r="BD104" s="12">
        <f t="shared" si="55"/>
        <v>17.953271707132004</v>
      </c>
      <c r="BE104" s="5">
        <f t="shared" si="56"/>
        <v>0.24349496015253852</v>
      </c>
    </row>
    <row r="105" spans="1:57">
      <c r="A105" s="19">
        <f t="shared" si="51"/>
        <v>8.2499999999999893</v>
      </c>
      <c r="B105" s="10">
        <f t="shared" si="40"/>
        <v>0.66863373212093569</v>
      </c>
      <c r="C105" s="10">
        <f t="shared" si="41"/>
        <v>0.81362964344401456</v>
      </c>
      <c r="D105" s="10">
        <f t="shared" si="42"/>
        <v>6.5758845266177035E-2</v>
      </c>
      <c r="E105" s="10">
        <f t="shared" si="43"/>
        <v>0.54402022506019765</v>
      </c>
      <c r="F105" s="10">
        <f t="shared" si="44"/>
        <v>4.3968582130287079E-2</v>
      </c>
      <c r="H105" s="19">
        <f t="shared" si="52"/>
        <v>8.2499999999999893</v>
      </c>
      <c r="I105" s="81">
        <f t="shared" si="75"/>
        <v>38308.448270102075</v>
      </c>
      <c r="J105" s="81">
        <f t="shared" si="76"/>
        <v>2447.0838986529866</v>
      </c>
      <c r="O105" s="19">
        <f t="shared" si="53"/>
        <v>8.2499999999999893</v>
      </c>
      <c r="P105" s="10">
        <f t="shared" si="46"/>
        <v>0.65564331552884325</v>
      </c>
      <c r="Q105" s="10">
        <f t="shared" si="47"/>
        <v>0.81362964344401456</v>
      </c>
      <c r="R105" s="10">
        <f t="shared" si="48"/>
        <v>6.5758845266177035E-2</v>
      </c>
      <c r="S105" s="10">
        <f t="shared" si="49"/>
        <v>0.53345083704018426</v>
      </c>
      <c r="T105" s="10">
        <f t="shared" si="50"/>
        <v>4.3114347335664494E-2</v>
      </c>
      <c r="V105" s="19">
        <v>8.1666666666666643</v>
      </c>
      <c r="W105" s="12">
        <v>37273.818159279668</v>
      </c>
      <c r="X105" s="12">
        <f t="shared" si="71"/>
        <v>484.27334732565134</v>
      </c>
      <c r="Y105" s="12">
        <f t="shared" si="72"/>
        <v>24.213667366282568</v>
      </c>
      <c r="Z105" s="12">
        <f t="shared" si="57"/>
        <v>213.35283133364749</v>
      </c>
      <c r="AA105" s="12">
        <f t="shared" si="58"/>
        <v>41.553972421115581</v>
      </c>
      <c r="AB105" s="12">
        <f t="shared" si="59"/>
        <v>2.1237459630757676</v>
      </c>
      <c r="AC105" s="12">
        <f t="shared" si="60"/>
        <v>124.92186421141677</v>
      </c>
      <c r="AD105" s="12">
        <f t="shared" si="61"/>
        <v>25.135387412317669</v>
      </c>
      <c r="AE105" s="12">
        <f t="shared" si="62"/>
        <v>37679.438913697028</v>
      </c>
      <c r="AF105" s="81">
        <f t="shared" si="73"/>
        <v>74.056786867738992</v>
      </c>
      <c r="AH105" s="12">
        <v>2663.0205338861274</v>
      </c>
      <c r="AM105" s="19">
        <f t="shared" si="63"/>
        <v>8.2499999999999893</v>
      </c>
      <c r="AN105" s="12">
        <v>2555.4066667241054</v>
      </c>
      <c r="AO105" s="12">
        <f t="shared" si="64"/>
        <v>14.448640817602787</v>
      </c>
      <c r="AP105" s="12">
        <f t="shared" si="65"/>
        <v>124.84388012699577</v>
      </c>
      <c r="AQ105" s="12">
        <f t="shared" si="66"/>
        <v>2440.9738296749038</v>
      </c>
      <c r="AR105" s="12">
        <f t="shared" si="67"/>
        <v>4.0375977398084615</v>
      </c>
      <c r="AW105" s="19">
        <v>8.1666666666666643</v>
      </c>
      <c r="AX105" s="12">
        <v>74.056786867738992</v>
      </c>
      <c r="AY105" s="5">
        <f t="shared" si="68"/>
        <v>0.75358258379183307</v>
      </c>
      <c r="AZ105" s="12">
        <f t="shared" si="74"/>
        <v>4.2076299747882331</v>
      </c>
      <c r="BA105" s="5">
        <f t="shared" si="69"/>
        <v>6.2162327573779042E-2</v>
      </c>
      <c r="BB105" s="12">
        <f t="shared" si="70"/>
        <v>56.069460867913882</v>
      </c>
      <c r="BC105" s="5">
        <f t="shared" si="54"/>
        <v>0.31937503895109653</v>
      </c>
      <c r="BD105" s="12">
        <f t="shared" si="55"/>
        <v>17.907186248656981</v>
      </c>
      <c r="BE105" s="5">
        <f t="shared" si="56"/>
        <v>0.23997451965102032</v>
      </c>
    </row>
    <row r="106" spans="1:57">
      <c r="A106" s="19">
        <f t="shared" si="51"/>
        <v>8.3333333333333233</v>
      </c>
      <c r="B106" s="10">
        <f t="shared" si="40"/>
        <v>0.66592068880465327</v>
      </c>
      <c r="C106" s="10">
        <f t="shared" si="41"/>
        <v>0.81193634615063515</v>
      </c>
      <c r="D106" s="10">
        <f t="shared" si="42"/>
        <v>6.6271126158460092E-2</v>
      </c>
      <c r="E106" s="10">
        <f t="shared" si="43"/>
        <v>0.54068521089416433</v>
      </c>
      <c r="F106" s="10">
        <f t="shared" si="44"/>
        <v>4.4131313979301819E-2</v>
      </c>
      <c r="H106" s="19">
        <f t="shared" si="52"/>
        <v>8.3333333333333233</v>
      </c>
      <c r="I106" s="81">
        <f t="shared" si="75"/>
        <v>38830.690635487321</v>
      </c>
      <c r="J106" s="81">
        <f t="shared" si="76"/>
        <v>2338.0475598238731</v>
      </c>
      <c r="O106" s="19">
        <f t="shared" si="53"/>
        <v>8.3333333333333233</v>
      </c>
      <c r="P106" s="10">
        <f t="shared" si="46"/>
        <v>0.65285358873159827</v>
      </c>
      <c r="Q106" s="10">
        <f t="shared" si="47"/>
        <v>0.81193634615063515</v>
      </c>
      <c r="R106" s="10">
        <f t="shared" si="48"/>
        <v>6.6271126158460092E-2</v>
      </c>
      <c r="S106" s="10">
        <f t="shared" si="49"/>
        <v>0.53007555740606338</v>
      </c>
      <c r="T106" s="10">
        <f t="shared" si="50"/>
        <v>4.3265342541835165E-2</v>
      </c>
      <c r="V106" s="19">
        <v>8.25</v>
      </c>
      <c r="W106" s="12">
        <v>37789.497701572305</v>
      </c>
      <c r="X106" s="12">
        <f t="shared" si="71"/>
        <v>484.27334732565134</v>
      </c>
      <c r="Y106" s="12">
        <f t="shared" si="72"/>
        <v>24.213667366282568</v>
      </c>
      <c r="Z106" s="12">
        <f t="shared" si="57"/>
        <v>216.26855843908066</v>
      </c>
      <c r="AA106" s="12">
        <f t="shared" si="58"/>
        <v>41.553972421115581</v>
      </c>
      <c r="AB106" s="12">
        <f t="shared" si="59"/>
        <v>2.033721136735644</v>
      </c>
      <c r="AC106" s="12">
        <f t="shared" si="60"/>
        <v>124.92186421141677</v>
      </c>
      <c r="AD106" s="12">
        <f t="shared" si="61"/>
        <v>25.478672905808903</v>
      </c>
      <c r="AE106" s="12">
        <f t="shared" si="62"/>
        <v>38196.87808159928</v>
      </c>
      <c r="AF106" s="81">
        <f t="shared" si="73"/>
        <v>74.959627696400275</v>
      </c>
      <c r="AH106" s="12">
        <v>2555.4066667241054</v>
      </c>
      <c r="AM106" s="19">
        <f t="shared" si="63"/>
        <v>8.3333333333333233</v>
      </c>
      <c r="AN106" s="12">
        <v>2447.0838986529866</v>
      </c>
      <c r="AO106" s="12">
        <f t="shared" si="64"/>
        <v>13.836168138162499</v>
      </c>
      <c r="AP106" s="12">
        <f t="shared" si="65"/>
        <v>124.84388012699577</v>
      </c>
      <c r="AQ106" s="12">
        <f t="shared" si="66"/>
        <v>2332.2097412380758</v>
      </c>
      <c r="AR106" s="12">
        <f t="shared" si="67"/>
        <v>3.8664454260774619</v>
      </c>
      <c r="AW106" s="19">
        <v>8.25</v>
      </c>
      <c r="AX106" s="12">
        <v>74.959627696400275</v>
      </c>
      <c r="AY106" s="5">
        <f t="shared" si="68"/>
        <v>0.75138783681765997</v>
      </c>
      <c r="AZ106" s="12">
        <f t="shared" si="74"/>
        <v>4.0375977398084615</v>
      </c>
      <c r="BA106" s="5">
        <f t="shared" si="69"/>
        <v>6.2633402848416564E-2</v>
      </c>
      <c r="BB106" s="12">
        <f t="shared" si="70"/>
        <v>56.576640989232629</v>
      </c>
      <c r="BC106" s="5">
        <f t="shared" si="54"/>
        <v>0.3156769101748817</v>
      </c>
      <c r="BD106" s="12">
        <f t="shared" si="55"/>
        <v>17.859939215554519</v>
      </c>
      <c r="BE106" s="5">
        <f t="shared" si="56"/>
        <v>0.23650497753900857</v>
      </c>
    </row>
    <row r="107" spans="1:57">
      <c r="A107" s="19">
        <f t="shared" si="51"/>
        <v>8.4166666666666572</v>
      </c>
      <c r="B107" s="10">
        <f t="shared" si="40"/>
        <v>0.66321865391298707</v>
      </c>
      <c r="C107" s="10">
        <f t="shared" si="41"/>
        <v>0.81024657288781055</v>
      </c>
      <c r="D107" s="10">
        <f t="shared" si="42"/>
        <v>6.6780720096993873E-2</v>
      </c>
      <c r="E107" s="10">
        <f t="shared" si="43"/>
        <v>0.53737064140826463</v>
      </c>
      <c r="F107" s="10">
        <f t="shared" si="44"/>
        <v>4.4290219290068239E-2</v>
      </c>
      <c r="H107" s="19">
        <f t="shared" si="52"/>
        <v>8.4166666666666572</v>
      </c>
      <c r="I107" s="81">
        <f t="shared" si="75"/>
        <v>39356.245700378531</v>
      </c>
      <c r="J107" s="81">
        <f t="shared" si="76"/>
        <v>2228.2929496254742</v>
      </c>
      <c r="O107" s="19">
        <f t="shared" si="53"/>
        <v>8.4166666666666572</v>
      </c>
      <c r="P107" s="10">
        <f t="shared" si="46"/>
        <v>0.65007573207078118</v>
      </c>
      <c r="Q107" s="10">
        <f t="shared" si="47"/>
        <v>0.81024657288781055</v>
      </c>
      <c r="R107" s="10">
        <f t="shared" si="48"/>
        <v>6.6780720096993873E-2</v>
      </c>
      <c r="S107" s="10">
        <f t="shared" si="49"/>
        <v>0.52672163402788497</v>
      </c>
      <c r="T107" s="10">
        <f t="shared" si="50"/>
        <v>4.3412525505267224E-2</v>
      </c>
      <c r="V107" s="19">
        <v>8.3333333333333304</v>
      </c>
      <c r="W107" s="12">
        <v>38308.448270102075</v>
      </c>
      <c r="X107" s="12">
        <f t="shared" si="71"/>
        <v>484.27334732565134</v>
      </c>
      <c r="Y107" s="12">
        <f t="shared" si="72"/>
        <v>24.213667366282568</v>
      </c>
      <c r="Z107" s="12">
        <f t="shared" si="57"/>
        <v>219.20278040242459</v>
      </c>
      <c r="AA107" s="12">
        <f t="shared" si="58"/>
        <v>41.553972421115581</v>
      </c>
      <c r="AB107" s="12">
        <f t="shared" si="59"/>
        <v>1.9431032764035561</v>
      </c>
      <c r="AC107" s="12">
        <f t="shared" si="60"/>
        <v>124.92186421141677</v>
      </c>
      <c r="AD107" s="12">
        <f t="shared" si="61"/>
        <v>25.824135906383397</v>
      </c>
      <c r="AE107" s="12">
        <f t="shared" si="62"/>
        <v>38717.599459270816</v>
      </c>
      <c r="AF107" s="81">
        <f t="shared" si="73"/>
        <v>75.868195377741358</v>
      </c>
      <c r="AH107" s="12">
        <v>2447.0838986529866</v>
      </c>
      <c r="AM107" s="19">
        <f t="shared" si="63"/>
        <v>8.4166666666666572</v>
      </c>
      <c r="AN107" s="12">
        <v>2338.0475598238731</v>
      </c>
      <c r="AO107" s="12">
        <f t="shared" si="64"/>
        <v>13.219660825912309</v>
      </c>
      <c r="AP107" s="12">
        <f t="shared" si="65"/>
        <v>124.84388012699577</v>
      </c>
      <c r="AQ107" s="12">
        <f t="shared" si="66"/>
        <v>2222.7291748676566</v>
      </c>
      <c r="AR107" s="12">
        <f t="shared" si="67"/>
        <v>3.6941656551330198</v>
      </c>
      <c r="AW107" s="19">
        <v>8.3333333333333304</v>
      </c>
      <c r="AX107" s="12">
        <v>75.868195377741358</v>
      </c>
      <c r="AY107" s="5">
        <f t="shared" si="68"/>
        <v>0.7491994818626021</v>
      </c>
      <c r="AZ107" s="12">
        <f t="shared" si="74"/>
        <v>3.8664454260774619</v>
      </c>
      <c r="BA107" s="5">
        <f t="shared" si="69"/>
        <v>6.3101477896647218E-2</v>
      </c>
      <c r="BB107" s="12">
        <f t="shared" si="70"/>
        <v>57.084391087446711</v>
      </c>
      <c r="BC107" s="5">
        <f t="shared" si="54"/>
        <v>0.31202160301832271</v>
      </c>
      <c r="BD107" s="12">
        <f t="shared" si="55"/>
        <v>17.811563214429977</v>
      </c>
      <c r="BE107" s="5">
        <f t="shared" si="56"/>
        <v>0.23308559792960157</v>
      </c>
    </row>
    <row r="108" spans="1:57">
      <c r="A108" s="19">
        <f t="shared" si="51"/>
        <v>8.4999999999999911</v>
      </c>
      <c r="B108" s="10">
        <f t="shared" si="40"/>
        <v>0.66052758277823453</v>
      </c>
      <c r="C108" s="10">
        <f t="shared" si="41"/>
        <v>0.80856031632145264</v>
      </c>
      <c r="D108" s="10">
        <f t="shared" si="42"/>
        <v>6.7287636720743116E-2</v>
      </c>
      <c r="E108" s="10">
        <f t="shared" si="43"/>
        <v>0.53407639127021378</v>
      </c>
      <c r="F108" s="10">
        <f t="shared" si="44"/>
        <v>4.4445340034012425E-2</v>
      </c>
      <c r="H108" s="19">
        <f t="shared" si="52"/>
        <v>8.4999999999999911</v>
      </c>
      <c r="I108" s="81">
        <f t="shared" si="75"/>
        <v>39885.134500298525</v>
      </c>
      <c r="J108" s="81">
        <f t="shared" si="76"/>
        <v>2117.8153364814593</v>
      </c>
      <c r="O108" s="19">
        <f t="shared" si="53"/>
        <v>8.4999999999999911</v>
      </c>
      <c r="P108" s="10">
        <f t="shared" si="46"/>
        <v>0.64730969503960412</v>
      </c>
      <c r="Q108" s="10">
        <f t="shared" si="47"/>
        <v>0.80856031632145264</v>
      </c>
      <c r="R108" s="10">
        <f t="shared" si="48"/>
        <v>6.7287636720743116E-2</v>
      </c>
      <c r="S108" s="10">
        <f t="shared" si="49"/>
        <v>0.52338893177916535</v>
      </c>
      <c r="T108" s="10">
        <f t="shared" si="50"/>
        <v>4.3555939605639894E-2</v>
      </c>
      <c r="V108" s="19">
        <v>8.4166666666666625</v>
      </c>
      <c r="W108" s="12">
        <v>38830.690635487321</v>
      </c>
      <c r="X108" s="12">
        <f t="shared" si="71"/>
        <v>484.27334732565134</v>
      </c>
      <c r="Y108" s="12">
        <f t="shared" si="72"/>
        <v>24.213667366282568</v>
      </c>
      <c r="Z108" s="12">
        <f t="shared" si="57"/>
        <v>222.15561466377522</v>
      </c>
      <c r="AA108" s="12">
        <f t="shared" si="58"/>
        <v>41.553972421115581</v>
      </c>
      <c r="AB108" s="12">
        <f t="shared" si="59"/>
        <v>1.8518884754980649</v>
      </c>
      <c r="AC108" s="12">
        <f t="shared" si="60"/>
        <v>124.92186421141677</v>
      </c>
      <c r="AD108" s="12">
        <f t="shared" si="61"/>
        <v>26.171790240946013</v>
      </c>
      <c r="AE108" s="12">
        <f t="shared" si="62"/>
        <v>39241.623888484879</v>
      </c>
      <c r="AF108" s="81">
        <f t="shared" si="73"/>
        <v>76.782526276620047</v>
      </c>
      <c r="AH108" s="12">
        <v>2338.0475598238731</v>
      </c>
      <c r="AM108" s="19">
        <f t="shared" si="63"/>
        <v>8.4999999999999911</v>
      </c>
      <c r="AN108" s="12">
        <v>2228.2929496254742</v>
      </c>
      <c r="AO108" s="12">
        <f t="shared" si="64"/>
        <v>12.599092302912567</v>
      </c>
      <c r="AP108" s="12">
        <f t="shared" si="65"/>
        <v>124.84388012699577</v>
      </c>
      <c r="AQ108" s="12">
        <f t="shared" si="66"/>
        <v>2112.5274108014833</v>
      </c>
      <c r="AR108" s="12">
        <f t="shared" si="67"/>
        <v>3.5207509999077047</v>
      </c>
      <c r="AW108" s="19">
        <v>8.4166666666666625</v>
      </c>
      <c r="AX108" s="12">
        <v>76.782526276620047</v>
      </c>
      <c r="AY108" s="5">
        <f t="shared" si="68"/>
        <v>0.74701750031043257</v>
      </c>
      <c r="AZ108" s="12">
        <f t="shared" si="74"/>
        <v>3.6941656551330198</v>
      </c>
      <c r="BA108" s="5">
        <f t="shared" si="69"/>
        <v>6.356656552194484E-2</v>
      </c>
      <c r="BB108" s="12">
        <f t="shared" si="70"/>
        <v>57.59271626984674</v>
      </c>
      <c r="BC108" s="5">
        <f t="shared" si="54"/>
        <v>0.30840862163846172</v>
      </c>
      <c r="BD108" s="12">
        <f t="shared" si="55"/>
        <v>17.762090241198443</v>
      </c>
      <c r="BE108" s="5">
        <f t="shared" si="56"/>
        <v>0.22971565557532078</v>
      </c>
    </row>
    <row r="109" spans="1:57">
      <c r="A109" s="19">
        <f t="shared" si="51"/>
        <v>8.583333333333325</v>
      </c>
      <c r="B109" s="10">
        <f t="shared" si="40"/>
        <v>0.65784743091393605</v>
      </c>
      <c r="C109" s="10">
        <f t="shared" si="41"/>
        <v>0.806877569132737</v>
      </c>
      <c r="D109" s="10">
        <f t="shared" si="42"/>
        <v>6.7791885638507132E-2</v>
      </c>
      <c r="E109" s="10">
        <f t="shared" si="43"/>
        <v>0.53080233591605286</v>
      </c>
      <c r="F109" s="10">
        <f t="shared" si="44"/>
        <v>4.4596717804103271E-2</v>
      </c>
      <c r="H109" s="19">
        <f t="shared" si="52"/>
        <v>8.583333333333325</v>
      </c>
      <c r="I109" s="81">
        <f t="shared" si="75"/>
        <v>40417.37820448797</v>
      </c>
      <c r="J109" s="81">
        <f t="shared" si="76"/>
        <v>2006.609957646479</v>
      </c>
      <c r="O109" s="19">
        <f t="shared" si="53"/>
        <v>8.583333333333325</v>
      </c>
      <c r="P109" s="10">
        <f t="shared" si="46"/>
        <v>0.64455542734618321</v>
      </c>
      <c r="Q109" s="10">
        <f t="shared" si="47"/>
        <v>0.806877569132737</v>
      </c>
      <c r="R109" s="10">
        <f t="shared" si="48"/>
        <v>6.7791885638507132E-2</v>
      </c>
      <c r="S109" s="10">
        <f t="shared" si="49"/>
        <v>0.52007731638840082</v>
      </c>
      <c r="T109" s="10">
        <f t="shared" si="50"/>
        <v>4.3695627818331542E-2</v>
      </c>
      <c r="V109" s="19">
        <v>8.5</v>
      </c>
      <c r="W109" s="12">
        <v>39356.245700378531</v>
      </c>
      <c r="X109" s="12">
        <f t="shared" si="71"/>
        <v>484.27334732565134</v>
      </c>
      <c r="Y109" s="12">
        <f t="shared" si="72"/>
        <v>24.213667366282568</v>
      </c>
      <c r="Z109" s="12">
        <f t="shared" si="57"/>
        <v>225.12717940975733</v>
      </c>
      <c r="AA109" s="12">
        <f t="shared" si="58"/>
        <v>41.553972421115581</v>
      </c>
      <c r="AB109" s="12">
        <f t="shared" si="59"/>
        <v>1.7600728017033236</v>
      </c>
      <c r="AC109" s="12">
        <f t="shared" si="60"/>
        <v>124.92186421141677</v>
      </c>
      <c r="AD109" s="12">
        <f t="shared" si="61"/>
        <v>26.521649824294805</v>
      </c>
      <c r="AE109" s="12">
        <f t="shared" si="62"/>
        <v>39768.972343500056</v>
      </c>
      <c r="AF109" s="81">
        <f t="shared" si="73"/>
        <v>77.702656989073148</v>
      </c>
      <c r="AH109" s="12">
        <v>2228.2929496254742</v>
      </c>
      <c r="AM109" s="19">
        <f t="shared" si="63"/>
        <v>8.583333333333325</v>
      </c>
      <c r="AN109" s="12">
        <v>2117.8153364814593</v>
      </c>
      <c r="AO109" s="12">
        <f t="shared" si="64"/>
        <v>11.97443581614279</v>
      </c>
      <c r="AP109" s="12">
        <f t="shared" si="65"/>
        <v>124.84388012699577</v>
      </c>
      <c r="AQ109" s="12">
        <f t="shared" si="66"/>
        <v>2001.5996981861979</v>
      </c>
      <c r="AR109" s="12">
        <f t="shared" si="67"/>
        <v>3.3461939844085009</v>
      </c>
      <c r="AW109" s="19">
        <v>8.5</v>
      </c>
      <c r="AX109" s="12">
        <v>77.702656989073148</v>
      </c>
      <c r="AY109" s="5">
        <f t="shared" si="68"/>
        <v>0.74484187359914222</v>
      </c>
      <c r="AZ109" s="12">
        <f t="shared" si="74"/>
        <v>3.5207509999077047</v>
      </c>
      <c r="BA109" s="5">
        <f t="shared" si="69"/>
        <v>6.4028678480342549E-2</v>
      </c>
      <c r="BB109" s="12">
        <f t="shared" si="70"/>
        <v>58.101621649155163</v>
      </c>
      <c r="BC109" s="5">
        <f t="shared" si="54"/>
        <v>0.30483747593383886</v>
      </c>
      <c r="BD109" s="12">
        <f t="shared" si="55"/>
        <v>17.71155169119135</v>
      </c>
      <c r="BE109" s="5">
        <f t="shared" si="56"/>
        <v>0.22639443571428713</v>
      </c>
    </row>
    <row r="110" spans="1:57">
      <c r="A110" s="19">
        <f t="shared" si="51"/>
        <v>8.666666666666659</v>
      </c>
      <c r="B110" s="10">
        <f t="shared" si="40"/>
        <v>0.65517815401414026</v>
      </c>
      <c r="C110" s="10">
        <f t="shared" si="41"/>
        <v>0.80519832401807068</v>
      </c>
      <c r="D110" s="10">
        <f t="shared" si="42"/>
        <v>6.8293476429008404E-2</v>
      </c>
      <c r="E110" s="10">
        <f t="shared" si="43"/>
        <v>0.52754835154543911</v>
      </c>
      <c r="F110" s="10">
        <f t="shared" si="44"/>
        <v>4.4744393817965925E-2</v>
      </c>
      <c r="H110" s="19">
        <f t="shared" si="52"/>
        <v>8.666666666666659</v>
      </c>
      <c r="I110" s="81">
        <f t="shared" si="75"/>
        <v>40952.998116756353</v>
      </c>
      <c r="J110" s="81">
        <f t="shared" si="76"/>
        <v>1894.6720190008386</v>
      </c>
      <c r="O110" s="19">
        <f t="shared" si="53"/>
        <v>8.666666666666659</v>
      </c>
      <c r="P110" s="10">
        <f t="shared" si="46"/>
        <v>0.64181287891262384</v>
      </c>
      <c r="Q110" s="10">
        <f t="shared" si="47"/>
        <v>0.80519832401807068</v>
      </c>
      <c r="R110" s="10">
        <f t="shared" si="48"/>
        <v>6.8293476429008404E-2</v>
      </c>
      <c r="S110" s="10">
        <f t="shared" si="49"/>
        <v>0.51678665443365768</v>
      </c>
      <c r="T110" s="10">
        <f t="shared" si="50"/>
        <v>4.38316327178533E-2</v>
      </c>
      <c r="V110" s="19">
        <v>8.5833333333333304</v>
      </c>
      <c r="W110" s="12">
        <v>39885.134500298525</v>
      </c>
      <c r="X110" s="12">
        <f t="shared" si="71"/>
        <v>484.27334732565134</v>
      </c>
      <c r="Y110" s="12">
        <f t="shared" si="72"/>
        <v>24.213667366282568</v>
      </c>
      <c r="Z110" s="12">
        <f t="shared" si="57"/>
        <v>228.11759357827526</v>
      </c>
      <c r="AA110" s="12">
        <f t="shared" si="58"/>
        <v>41.553972421115581</v>
      </c>
      <c r="AB110" s="12">
        <f t="shared" si="59"/>
        <v>1.6676522967995537</v>
      </c>
      <c r="AC110" s="12">
        <f t="shared" si="60"/>
        <v>124.92186421141677</v>
      </c>
      <c r="AD110" s="12">
        <f t="shared" si="61"/>
        <v>26.873728659680303</v>
      </c>
      <c r="AE110" s="12">
        <f t="shared" si="62"/>
        <v>40299.665931903372</v>
      </c>
      <c r="AF110" s="81">
        <f t="shared" si="73"/>
        <v>78.62862434379349</v>
      </c>
      <c r="AH110" s="12">
        <v>2117.8153364814593</v>
      </c>
      <c r="AM110" s="19">
        <f t="shared" si="63"/>
        <v>8.666666666666659</v>
      </c>
      <c r="AN110" s="12">
        <v>2006.609957646479</v>
      </c>
      <c r="AO110" s="12">
        <f t="shared" si="64"/>
        <v>11.345664436348331</v>
      </c>
      <c r="AP110" s="12">
        <f t="shared" si="65"/>
        <v>124.84388012699577</v>
      </c>
      <c r="AQ110" s="12">
        <f t="shared" si="66"/>
        <v>1889.9412548724363</v>
      </c>
      <c r="AR110" s="12">
        <f t="shared" si="67"/>
        <v>3.1704870833953009</v>
      </c>
      <c r="AW110" s="19">
        <v>8.5833333333333304</v>
      </c>
      <c r="AX110" s="12">
        <v>78.62862434379349</v>
      </c>
      <c r="AY110" s="5">
        <f t="shared" si="68"/>
        <v>0.74267258322078222</v>
      </c>
      <c r="AZ110" s="12">
        <f t="shared" si="74"/>
        <v>3.3461939844085009</v>
      </c>
      <c r="BA110" s="5">
        <f t="shared" si="69"/>
        <v>6.4487829480597503E-2</v>
      </c>
      <c r="BB110" s="12">
        <f t="shared" si="70"/>
        <v>58.611112343577133</v>
      </c>
      <c r="BC110" s="5">
        <f t="shared" si="54"/>
        <v>0.30130768147801046</v>
      </c>
      <c r="BD110" s="12">
        <f t="shared" si="55"/>
        <v>17.659978369090425</v>
      </c>
      <c r="BE110" s="5">
        <f t="shared" si="56"/>
        <v>0.22312123391862113</v>
      </c>
    </row>
    <row r="111" spans="1:57">
      <c r="A111" s="19">
        <f t="shared" si="51"/>
        <v>8.7499999999999929</v>
      </c>
      <c r="B111" s="10">
        <f t="shared" si="40"/>
        <v>0.652519707952671</v>
      </c>
      <c r="C111" s="10">
        <f t="shared" si="41"/>
        <v>0.80352257368906088</v>
      </c>
      <c r="D111" s="10">
        <f t="shared" si="42"/>
        <v>6.8792418640980513E-2</v>
      </c>
      <c r="E111" s="10">
        <f t="shared" si="43"/>
        <v>0.52431431511696458</v>
      </c>
      <c r="F111" s="10">
        <f t="shared" si="44"/>
        <v>4.4888408920970485E-2</v>
      </c>
      <c r="H111" s="19">
        <f t="shared" si="52"/>
        <v>8.7499999999999929</v>
      </c>
      <c r="I111" s="81">
        <f t="shared" si="75"/>
        <v>41492.015676338306</v>
      </c>
      <c r="J111" s="81">
        <f t="shared" si="76"/>
        <v>1781.9966948438228</v>
      </c>
      <c r="O111" s="19">
        <f t="shared" si="53"/>
        <v>8.7499999999999929</v>
      </c>
      <c r="P111" s="10">
        <f t="shared" si="46"/>
        <v>0.63908199987410996</v>
      </c>
      <c r="Q111" s="10">
        <f t="shared" si="47"/>
        <v>0.80352257368906088</v>
      </c>
      <c r="R111" s="10">
        <f t="shared" si="48"/>
        <v>6.8792418640980513E-2</v>
      </c>
      <c r="S111" s="10">
        <f t="shared" si="49"/>
        <v>0.5135168133371969</v>
      </c>
      <c r="T111" s="10">
        <f t="shared" si="50"/>
        <v>4.3963996481254826E-2</v>
      </c>
      <c r="V111" s="19">
        <v>8.6666666666666625</v>
      </c>
      <c r="W111" s="12">
        <v>40417.37820448797</v>
      </c>
      <c r="X111" s="12">
        <f t="shared" si="71"/>
        <v>484.27334732565134</v>
      </c>
      <c r="Y111" s="12">
        <f t="shared" si="72"/>
        <v>24.213667366282568</v>
      </c>
      <c r="Z111" s="12">
        <f t="shared" si="57"/>
        <v>231.12697686329352</v>
      </c>
      <c r="AA111" s="12">
        <f t="shared" si="58"/>
        <v>41.553972421115581</v>
      </c>
      <c r="AB111" s="12">
        <f t="shared" si="59"/>
        <v>1.5746229764924045</v>
      </c>
      <c r="AC111" s="12">
        <f t="shared" si="60"/>
        <v>124.92186421141677</v>
      </c>
      <c r="AD111" s="12">
        <f t="shared" si="61"/>
        <v>27.228040839368418</v>
      </c>
      <c r="AE111" s="12">
        <f t="shared" si="62"/>
        <v>40833.725895458709</v>
      </c>
      <c r="AF111" s="81">
        <f t="shared" si="73"/>
        <v>79.560465403534181</v>
      </c>
      <c r="AH111" s="12">
        <v>2006.609957646479</v>
      </c>
      <c r="AM111" s="19">
        <f t="shared" si="63"/>
        <v>8.7499999999999929</v>
      </c>
      <c r="AN111" s="12">
        <v>1894.6720190008386</v>
      </c>
      <c r="AO111" s="12">
        <f t="shared" si="64"/>
        <v>10.71275105687943</v>
      </c>
      <c r="AP111" s="12">
        <f t="shared" si="65"/>
        <v>124.84388012699577</v>
      </c>
      <c r="AQ111" s="12">
        <f t="shared" si="66"/>
        <v>1777.5472672086671</v>
      </c>
      <c r="AR111" s="12">
        <f t="shared" si="67"/>
        <v>2.9936227220550791</v>
      </c>
      <c r="AW111" s="19">
        <v>8.6666666666666625</v>
      </c>
      <c r="AX111" s="12">
        <v>79.560465403534181</v>
      </c>
      <c r="AY111" s="5">
        <f t="shared" si="68"/>
        <v>0.74050961072130717</v>
      </c>
      <c r="AZ111" s="12">
        <f t="shared" si="74"/>
        <v>3.1704870833953009</v>
      </c>
      <c r="BA111" s="5">
        <f t="shared" si="69"/>
        <v>6.4944031184352324E-2</v>
      </c>
      <c r="BB111" s="12">
        <f t="shared" si="70"/>
        <v>59.121193476790737</v>
      </c>
      <c r="BC111" s="5">
        <f t="shared" si="54"/>
        <v>0.29781875945383507</v>
      </c>
      <c r="BD111" s="12">
        <f t="shared" si="55"/>
        <v>17.607400498687984</v>
      </c>
      <c r="BE111" s="5">
        <f t="shared" si="56"/>
        <v>0.2198953559450329</v>
      </c>
    </row>
    <row r="112" spans="1:57">
      <c r="A112" s="19">
        <f t="shared" si="51"/>
        <v>8.8333333333333268</v>
      </c>
      <c r="B112" s="10">
        <f t="shared" si="40"/>
        <v>0.64987204878239835</v>
      </c>
      <c r="C112" s="10">
        <f t="shared" si="41"/>
        <v>0.80185031087248293</v>
      </c>
      <c r="D112" s="10">
        <f t="shared" si="42"/>
        <v>6.9288721793254071E-2</v>
      </c>
      <c r="E112" s="10">
        <f t="shared" si="43"/>
        <v>0.52110010434350351</v>
      </c>
      <c r="F112" s="10">
        <f t="shared" si="44"/>
        <v>4.5028803589295639E-2</v>
      </c>
      <c r="H112" s="19">
        <f t="shared" si="52"/>
        <v>8.8333333333333268</v>
      </c>
      <c r="I112" s="81">
        <f t="shared" si="75"/>
        <v>42034.452458755411</v>
      </c>
      <c r="J112" s="81">
        <f t="shared" si="76"/>
        <v>1668.5791276856567</v>
      </c>
      <c r="O112" s="19">
        <f t="shared" si="53"/>
        <v>8.8333333333333268</v>
      </c>
      <c r="P112" s="10">
        <f t="shared" si="46"/>
        <v>0.63636274057799769</v>
      </c>
      <c r="Q112" s="10">
        <f t="shared" si="47"/>
        <v>0.80185031087248293</v>
      </c>
      <c r="R112" s="10">
        <f t="shared" si="48"/>
        <v>6.9288721793254071E-2</v>
      </c>
      <c r="S112" s="10">
        <f t="shared" si="49"/>
        <v>0.51026766136013268</v>
      </c>
      <c r="T112" s="10">
        <f t="shared" si="50"/>
        <v>4.4092760891501596E-2</v>
      </c>
      <c r="V112" s="19">
        <v>8.75</v>
      </c>
      <c r="W112" s="12">
        <v>40952.998116756353</v>
      </c>
      <c r="X112" s="12">
        <f t="shared" si="71"/>
        <v>484.27334732565134</v>
      </c>
      <c r="Y112" s="12">
        <f t="shared" si="72"/>
        <v>24.213667366282568</v>
      </c>
      <c r="Z112" s="12">
        <f t="shared" si="57"/>
        <v>234.1554497196482</v>
      </c>
      <c r="AA112" s="12">
        <f t="shared" si="58"/>
        <v>41.553972421115581</v>
      </c>
      <c r="AB112" s="12">
        <f t="shared" si="59"/>
        <v>1.4809808302411867</v>
      </c>
      <c r="AC112" s="12">
        <f t="shared" si="60"/>
        <v>124.92186421141677</v>
      </c>
      <c r="AD112" s="12">
        <f t="shared" si="61"/>
        <v>27.584600545206897</v>
      </c>
      <c r="AE112" s="12">
        <f t="shared" si="62"/>
        <v>41371.173610960708</v>
      </c>
      <c r="AF112" s="81">
        <f t="shared" si="73"/>
        <v>80.498217466694769</v>
      </c>
      <c r="AH112" s="12">
        <v>1894.6720190008386</v>
      </c>
      <c r="AM112" s="19">
        <f t="shared" si="63"/>
        <v>8.8333333333333268</v>
      </c>
      <c r="AN112" s="12">
        <v>1781.9966948438228</v>
      </c>
      <c r="AO112" s="12">
        <f t="shared" si="64"/>
        <v>10.075668392522644</v>
      </c>
      <c r="AP112" s="12">
        <f t="shared" si="65"/>
        <v>124.84388012699577</v>
      </c>
      <c r="AQ112" s="12">
        <f t="shared" si="66"/>
        <v>1664.4128898336728</v>
      </c>
      <c r="AR112" s="12">
        <f t="shared" si="67"/>
        <v>2.815593275676747</v>
      </c>
      <c r="AW112" s="19">
        <v>8.75</v>
      </c>
      <c r="AX112" s="12">
        <v>80.498217466694769</v>
      </c>
      <c r="AY112" s="5">
        <f t="shared" si="68"/>
        <v>0.73835293770041677</v>
      </c>
      <c r="AZ112" s="12">
        <f t="shared" si="74"/>
        <v>2.9936227220550791</v>
      </c>
      <c r="BA112" s="5">
        <f t="shared" si="69"/>
        <v>6.5397296206299194E-2</v>
      </c>
      <c r="BB112" s="12">
        <f t="shared" si="70"/>
        <v>59.631870178065228</v>
      </c>
      <c r="BC112" s="5">
        <f t="shared" si="54"/>
        <v>0.29437023658852279</v>
      </c>
      <c r="BD112" s="12">
        <f t="shared" si="55"/>
        <v>17.553847732533139</v>
      </c>
      <c r="BE112" s="5">
        <f t="shared" si="56"/>
        <v>0.2167161175875747</v>
      </c>
    </row>
    <row r="113" spans="1:57">
      <c r="A113" s="19">
        <f t="shared" si="51"/>
        <v>8.9166666666666607</v>
      </c>
      <c r="B113" s="10">
        <f t="shared" si="40"/>
        <v>0.64723513273451194</v>
      </c>
      <c r="C113" s="10">
        <f t="shared" si="41"/>
        <v>0.80018152831024925</v>
      </c>
      <c r="D113" s="10">
        <f t="shared" si="42"/>
        <v>6.9782395374846873E-2</v>
      </c>
      <c r="E113" s="10">
        <f t="shared" si="43"/>
        <v>0.51790559768758881</v>
      </c>
      <c r="F113" s="10">
        <f t="shared" si="44"/>
        <v>4.5165617932971205E-2</v>
      </c>
      <c r="H113" s="19">
        <f t="shared" si="52"/>
        <v>8.9166666666666607</v>
      </c>
      <c r="I113" s="81">
        <f t="shared" si="75"/>
        <v>42580.330176683492</v>
      </c>
      <c r="J113" s="81">
        <f t="shared" si="76"/>
        <v>1554.4144280380972</v>
      </c>
      <c r="O113" s="19">
        <f t="shared" si="53"/>
        <v>8.9166666666666607</v>
      </c>
      <c r="P113" s="10">
        <f t="shared" si="46"/>
        <v>0.63365505158291235</v>
      </c>
      <c r="Q113" s="10">
        <f t="shared" si="47"/>
        <v>0.80018152831024925</v>
      </c>
      <c r="R113" s="10">
        <f t="shared" si="48"/>
        <v>6.9782395374846873E-2</v>
      </c>
      <c r="S113" s="10">
        <f t="shared" si="49"/>
        <v>0.50703906759712458</v>
      </c>
      <c r="T113" s="10">
        <f t="shared" si="50"/>
        <v>4.421796734082778E-2</v>
      </c>
      <c r="V113" s="19">
        <v>8.8333333333333304</v>
      </c>
      <c r="W113" s="12">
        <v>41492.015676338306</v>
      </c>
      <c r="X113" s="12">
        <f t="shared" si="71"/>
        <v>484.27334732565134</v>
      </c>
      <c r="Y113" s="12">
        <f t="shared" si="72"/>
        <v>24.213667366282568</v>
      </c>
      <c r="Z113" s="12">
        <f t="shared" si="57"/>
        <v>237.20313336788897</v>
      </c>
      <c r="AA113" s="12">
        <f t="shared" si="58"/>
        <v>41.553972421115581</v>
      </c>
      <c r="AB113" s="12">
        <f t="shared" si="59"/>
        <v>1.3867218210859775</v>
      </c>
      <c r="AC113" s="12">
        <f t="shared" si="60"/>
        <v>124.92186421141677</v>
      </c>
      <c r="AD113" s="12">
        <f t="shared" si="61"/>
        <v>27.943422049195362</v>
      </c>
      <c r="AE113" s="12">
        <f t="shared" si="62"/>
        <v>41912.030591094037</v>
      </c>
      <c r="AF113" s="81">
        <f t="shared" si="73"/>
        <v>81.441918068718223</v>
      </c>
      <c r="AH113" s="12">
        <v>1781.9966948438228</v>
      </c>
      <c r="AM113" s="19">
        <f t="shared" si="63"/>
        <v>8.9166666666666607</v>
      </c>
      <c r="AN113" s="12">
        <v>1668.5791276856567</v>
      </c>
      <c r="AO113" s="12">
        <f t="shared" si="64"/>
        <v>9.4343889783245718</v>
      </c>
      <c r="AP113" s="12">
        <f t="shared" si="65"/>
        <v>124.84388012699577</v>
      </c>
      <c r="AQ113" s="12">
        <f t="shared" si="66"/>
        <v>1550.5332454676641</v>
      </c>
      <c r="AR113" s="12">
        <f t="shared" si="67"/>
        <v>2.6363910693212347</v>
      </c>
      <c r="AW113" s="19">
        <v>8.8333333333333304</v>
      </c>
      <c r="AX113" s="12">
        <v>81.441918068718223</v>
      </c>
      <c r="AY113" s="5">
        <f t="shared" si="68"/>
        <v>0.73620254581140032</v>
      </c>
      <c r="AZ113" s="12">
        <f t="shared" si="74"/>
        <v>2.815593275676747</v>
      </c>
      <c r="BA113" s="5">
        <f t="shared" si="69"/>
        <v>6.5847637114340385E-2</v>
      </c>
      <c r="BB113" s="12">
        <f t="shared" si="70"/>
        <v>60.143147582232181</v>
      </c>
      <c r="BC113" s="5">
        <f t="shared" si="54"/>
        <v>0.29096164508943634</v>
      </c>
      <c r="BD113" s="12">
        <f t="shared" si="55"/>
        <v>17.49934916138303</v>
      </c>
      <c r="BE113" s="5">
        <f t="shared" si="56"/>
        <v>0.2135828445325221</v>
      </c>
    </row>
    <row r="114" spans="1:57">
      <c r="A114" s="19">
        <f t="shared" si="51"/>
        <v>8.9999999999999947</v>
      </c>
      <c r="B114" s="10">
        <f t="shared" si="40"/>
        <v>0.64460891621779726</v>
      </c>
      <c r="C114" s="10">
        <f t="shared" si="41"/>
        <v>0.79851621875937717</v>
      </c>
      <c r="D114" s="10">
        <f t="shared" si="42"/>
        <v>7.0273448845047826E-2</v>
      </c>
      <c r="E114" s="10">
        <f t="shared" si="43"/>
        <v>0.51473067435681563</v>
      </c>
      <c r="F114" s="10">
        <f t="shared" si="44"/>
        <v>4.5298891698893097E-2</v>
      </c>
      <c r="H114" s="19">
        <f t="shared" si="52"/>
        <v>8.9999999999999947</v>
      </c>
      <c r="I114" s="81">
        <f t="shared" si="75"/>
        <v>43129.670680825453</v>
      </c>
      <c r="J114" s="81">
        <f t="shared" si="76"/>
        <v>1439.4976742036449</v>
      </c>
      <c r="O114" s="19">
        <f t="shared" si="53"/>
        <v>8.9999999999999947</v>
      </c>
      <c r="P114" s="10">
        <f t="shared" si="46"/>
        <v>0.63095888365784991</v>
      </c>
      <c r="Q114" s="10">
        <f t="shared" si="47"/>
        <v>0.79851621875937717</v>
      </c>
      <c r="R114" s="10">
        <f t="shared" si="48"/>
        <v>7.0273448845047826E-2</v>
      </c>
      <c r="S114" s="10">
        <f t="shared" si="49"/>
        <v>0.50383090197110414</v>
      </c>
      <c r="T114" s="10">
        <f t="shared" si="50"/>
        <v>4.4339656834058397E-2</v>
      </c>
      <c r="V114" s="19">
        <v>8.9166666666666625</v>
      </c>
      <c r="W114" s="12">
        <v>42034.452458755411</v>
      </c>
      <c r="X114" s="12">
        <f t="shared" si="71"/>
        <v>484.27334732565134</v>
      </c>
      <c r="Y114" s="12">
        <f t="shared" si="72"/>
        <v>24.213667366282568</v>
      </c>
      <c r="Z114" s="12">
        <f t="shared" si="57"/>
        <v>240.2701497991516</v>
      </c>
      <c r="AA114" s="12">
        <f t="shared" si="58"/>
        <v>41.553972421115581</v>
      </c>
      <c r="AB114" s="12">
        <f t="shared" si="59"/>
        <v>1.2918418854735849</v>
      </c>
      <c r="AC114" s="12">
        <f t="shared" si="60"/>
        <v>124.92186421141677</v>
      </c>
      <c r="AD114" s="12">
        <f t="shared" si="61"/>
        <v>28.304519714059065</v>
      </c>
      <c r="AE114" s="12">
        <f t="shared" si="62"/>
        <v>42456.318485298136</v>
      </c>
      <c r="AF114" s="81">
        <f t="shared" si="73"/>
        <v>82.391604983735306</v>
      </c>
      <c r="AH114" s="12">
        <v>1668.5791276856567</v>
      </c>
      <c r="AM114" s="19">
        <f t="shared" si="63"/>
        <v>8.9999999999999947</v>
      </c>
      <c r="AN114" s="12">
        <v>1554.4144280380972</v>
      </c>
      <c r="AO114" s="12">
        <f t="shared" si="64"/>
        <v>8.7888851684078144</v>
      </c>
      <c r="AP114" s="12">
        <f t="shared" si="65"/>
        <v>124.84388012699577</v>
      </c>
      <c r="AQ114" s="12">
        <f t="shared" si="66"/>
        <v>1435.9034247020174</v>
      </c>
      <c r="AR114" s="12">
        <f t="shared" si="67"/>
        <v>2.4560083774917985</v>
      </c>
      <c r="AW114" s="19">
        <v>8.9166666666666625</v>
      </c>
      <c r="AX114" s="12">
        <v>82.391604983735306</v>
      </c>
      <c r="AY114" s="5">
        <f t="shared" si="68"/>
        <v>0.73405841676098105</v>
      </c>
      <c r="AZ114" s="12">
        <f t="shared" si="74"/>
        <v>2.6363910693212347</v>
      </c>
      <c r="BA114" s="5">
        <f t="shared" si="69"/>
        <v>6.6295066429749472E-2</v>
      </c>
      <c r="BB114" s="12">
        <f t="shared" si="70"/>
        <v>60.655030829832349</v>
      </c>
      <c r="BC114" s="5">
        <f t="shared" si="54"/>
        <v>0.28759252258063328</v>
      </c>
      <c r="BD114" s="12">
        <f t="shared" si="55"/>
        <v>17.443933323557566</v>
      </c>
      <c r="BE114" s="5">
        <f t="shared" si="56"/>
        <v>0.21049487221535093</v>
      </c>
    </row>
    <row r="115" spans="1:57">
      <c r="A115" s="19">
        <f t="shared" si="51"/>
        <v>9.0833333333333286</v>
      </c>
      <c r="B115" s="10">
        <f t="shared" si="40"/>
        <v>0.64199335581791528</v>
      </c>
      <c r="C115" s="10">
        <f t="shared" si="41"/>
        <v>0.7968543749919581</v>
      </c>
      <c r="D115" s="10">
        <f t="shared" si="42"/>
        <v>7.0761891633505325E-2</v>
      </c>
      <c r="E115" s="10">
        <f t="shared" si="43"/>
        <v>0.51157521429927466</v>
      </c>
      <c r="F115" s="10">
        <f t="shared" si="44"/>
        <v>4.5428664273817747E-2</v>
      </c>
      <c r="H115" s="19">
        <f t="shared" si="52"/>
        <v>9.0833333333333286</v>
      </c>
      <c r="I115" s="81">
        <f t="shared" si="75"/>
        <v>43682.495960789631</v>
      </c>
      <c r="J115" s="81">
        <f t="shared" si="76"/>
        <v>1323.8239120633664</v>
      </c>
      <c r="O115" s="19">
        <f t="shared" si="53"/>
        <v>9.0833333333333286</v>
      </c>
      <c r="P115" s="10">
        <f t="shared" si="46"/>
        <v>0.62827418778128119</v>
      </c>
      <c r="Q115" s="10">
        <f t="shared" si="47"/>
        <v>0.7968543749919581</v>
      </c>
      <c r="R115" s="10">
        <f t="shared" si="48"/>
        <v>7.0761891633505325E-2</v>
      </c>
      <c r="S115" s="10">
        <f t="shared" si="49"/>
        <v>0.500643035228033</v>
      </c>
      <c r="T115" s="10">
        <f t="shared" si="50"/>
        <v>4.4457869991907595E-2</v>
      </c>
      <c r="V115" s="19">
        <v>9</v>
      </c>
      <c r="W115" s="12">
        <v>42580.330176683492</v>
      </c>
      <c r="X115" s="12">
        <f t="shared" si="71"/>
        <v>484.27334732565134</v>
      </c>
      <c r="Y115" s="12">
        <f t="shared" si="72"/>
        <v>24.213667366282568</v>
      </c>
      <c r="Z115" s="12">
        <f t="shared" si="57"/>
        <v>243.35662178006197</v>
      </c>
      <c r="AA115" s="12">
        <f t="shared" si="58"/>
        <v>41.553972421115581</v>
      </c>
      <c r="AB115" s="12">
        <f t="shared" si="59"/>
        <v>1.1963369330823657</v>
      </c>
      <c r="AC115" s="12">
        <f t="shared" si="60"/>
        <v>124.92186421141677</v>
      </c>
      <c r="AD115" s="12">
        <f t="shared" si="61"/>
        <v>28.667907993826169</v>
      </c>
      <c r="AE115" s="12">
        <f t="shared" si="62"/>
        <v>43004.059080637548</v>
      </c>
      <c r="AF115" s="81">
        <f t="shared" si="73"/>
        <v>83.347316225939721</v>
      </c>
      <c r="AH115" s="12">
        <v>1554.4144280380972</v>
      </c>
      <c r="AM115" s="19">
        <f t="shared" si="63"/>
        <v>9.0833333333333286</v>
      </c>
      <c r="AN115" s="12">
        <v>1439.4976742036449</v>
      </c>
      <c r="AO115" s="12">
        <f t="shared" si="64"/>
        <v>8.139129134779159</v>
      </c>
      <c r="AP115" s="12">
        <f t="shared" si="65"/>
        <v>124.84388012699577</v>
      </c>
      <c r="AQ115" s="12">
        <f t="shared" si="66"/>
        <v>1320.5184857876286</v>
      </c>
      <c r="AR115" s="12">
        <f t="shared" si="67"/>
        <v>2.2744374237995544</v>
      </c>
      <c r="AW115" s="19">
        <v>9</v>
      </c>
      <c r="AX115" s="12">
        <v>83.347316225939721</v>
      </c>
      <c r="AY115" s="5">
        <f t="shared" si="68"/>
        <v>0.73192053230915899</v>
      </c>
      <c r="AZ115" s="12">
        <f t="shared" si="74"/>
        <v>2.4560083774917985</v>
      </c>
      <c r="BA115" s="5">
        <f t="shared" si="69"/>
        <v>6.6739596627333642E-2</v>
      </c>
      <c r="BB115" s="12">
        <f t="shared" si="70"/>
        <v>61.167525067056758</v>
      </c>
      <c r="BC115" s="5">
        <f t="shared" si="54"/>
        <v>0.28426241204014574</v>
      </c>
      <c r="BD115" s="12">
        <f t="shared" si="55"/>
        <v>17.387628214087631</v>
      </c>
      <c r="BE115" s="5">
        <f t="shared" si="56"/>
        <v>0.20745154567978474</v>
      </c>
    </row>
    <row r="116" spans="1:57">
      <c r="A116" s="19">
        <f t="shared" si="51"/>
        <v>9.1666666666666625</v>
      </c>
      <c r="B116" s="10">
        <f t="shared" si="40"/>
        <v>0.63938840829668475</v>
      </c>
      <c r="C116" s="10">
        <f t="shared" si="41"/>
        <v>0.79519598979512585</v>
      </c>
      <c r="D116" s="10">
        <f t="shared" si="42"/>
        <v>7.1247733140314518E-2</v>
      </c>
      <c r="E116" s="10">
        <f t="shared" si="43"/>
        <v>0.50843909819901234</v>
      </c>
      <c r="F116" s="10">
        <f t="shared" si="44"/>
        <v>4.5554974687332654E-2</v>
      </c>
      <c r="H116" s="19">
        <f t="shared" si="52"/>
        <v>9.1666666666666625</v>
      </c>
      <c r="I116" s="81">
        <f t="shared" si="75"/>
        <v>44238.828145973785</v>
      </c>
      <c r="J116" s="81">
        <f t="shared" si="76"/>
        <v>1207.3881548633206</v>
      </c>
      <c r="O116" s="19">
        <f t="shared" si="53"/>
        <v>9.1666666666666625</v>
      </c>
      <c r="P116" s="10">
        <f t="shared" si="46"/>
        <v>0.6256009151402615</v>
      </c>
      <c r="Q116" s="10">
        <f t="shared" si="47"/>
        <v>0.79519598979512585</v>
      </c>
      <c r="R116" s="10">
        <f t="shared" si="48"/>
        <v>7.1247733140314518E-2</v>
      </c>
      <c r="S116" s="10">
        <f t="shared" si="49"/>
        <v>0.49747533893169676</v>
      </c>
      <c r="T116" s="10">
        <f t="shared" si="50"/>
        <v>4.4572647054249903E-2</v>
      </c>
      <c r="V116" s="19">
        <v>9.0833333333333304</v>
      </c>
      <c r="W116" s="12">
        <v>43129.670680825453</v>
      </c>
      <c r="X116" s="12">
        <f t="shared" si="71"/>
        <v>484.27334732565134</v>
      </c>
      <c r="Y116" s="12">
        <f t="shared" si="72"/>
        <v>24.213667366282568</v>
      </c>
      <c r="Z116" s="12">
        <f t="shared" si="57"/>
        <v>246.46267285767112</v>
      </c>
      <c r="AA116" s="12">
        <f t="shared" si="58"/>
        <v>41.553972421115581</v>
      </c>
      <c r="AB116" s="12">
        <f t="shared" si="59"/>
        <v>1.1002028466458893</v>
      </c>
      <c r="AC116" s="12">
        <f t="shared" si="60"/>
        <v>124.92186421141677</v>
      </c>
      <c r="AD116" s="12">
        <f t="shared" si="61"/>
        <v>29.033601434408844</v>
      </c>
      <c r="AE116" s="12">
        <f t="shared" si="62"/>
        <v>43555.274302677695</v>
      </c>
      <c r="AF116" s="81">
        <f t="shared" si="73"/>
        <v>84.309090051217936</v>
      </c>
      <c r="AH116" s="12">
        <v>1439.4976742036449</v>
      </c>
      <c r="AM116" s="19">
        <f t="shared" si="63"/>
        <v>9.1666666666666625</v>
      </c>
      <c r="AN116" s="12">
        <v>1323.8239120633664</v>
      </c>
      <c r="AO116" s="12">
        <f t="shared" si="64"/>
        <v>7.4850928661298877</v>
      </c>
      <c r="AP116" s="12">
        <f t="shared" si="65"/>
        <v>124.84388012699577</v>
      </c>
      <c r="AQ116" s="12">
        <f t="shared" si="66"/>
        <v>1204.3734544218703</v>
      </c>
      <c r="AR116" s="12">
        <f t="shared" si="67"/>
        <v>2.0916703806301484</v>
      </c>
      <c r="AW116" s="19">
        <v>9.0833333333333304</v>
      </c>
      <c r="AX116" s="12">
        <v>84.309090051217936</v>
      </c>
      <c r="AY116" s="5">
        <f t="shared" si="68"/>
        <v>0.72978887426905681</v>
      </c>
      <c r="AZ116" s="12">
        <f t="shared" si="74"/>
        <v>2.2744374237995544</v>
      </c>
      <c r="BA116" s="5">
        <f t="shared" si="69"/>
        <v>6.7181240135592679E-2</v>
      </c>
      <c r="BB116" s="12">
        <f t="shared" si="70"/>
        <v>61.680635445868532</v>
      </c>
      <c r="BC116" s="5">
        <f t="shared" si="54"/>
        <v>0.28097086173798574</v>
      </c>
      <c r="BD116" s="12">
        <f t="shared" si="55"/>
        <v>17.330461293772231</v>
      </c>
      <c r="BE116" s="5">
        <f t="shared" si="56"/>
        <v>0.20445221943887962</v>
      </c>
    </row>
    <row r="117" spans="1:57">
      <c r="A117" s="19">
        <f t="shared" si="51"/>
        <v>9.2499999999999964</v>
      </c>
      <c r="B117" s="10">
        <f t="shared" si="40"/>
        <v>0.63679403059136708</v>
      </c>
      <c r="C117" s="10">
        <f t="shared" si="41"/>
        <v>0.79354105597102542</v>
      </c>
      <c r="D117" s="10">
        <f t="shared" si="42"/>
        <v>7.17309827361019E-2</v>
      </c>
      <c r="E117" s="10">
        <f t="shared" si="43"/>
        <v>0.5053222074715189</v>
      </c>
      <c r="F117" s="10">
        <f t="shared" si="44"/>
        <v>4.5677861614802098E-2</v>
      </c>
      <c r="H117" s="19">
        <f t="shared" si="52"/>
        <v>9.2499999999999964</v>
      </c>
      <c r="I117" s="81">
        <f t="shared" si="75"/>
        <v>44798.689506454713</v>
      </c>
      <c r="J117" s="81">
        <f t="shared" si="76"/>
        <v>1090.1853829995766</v>
      </c>
      <c r="O117" s="19">
        <f t="shared" si="53"/>
        <v>9.2499999999999964</v>
      </c>
      <c r="P117" s="10">
        <f t="shared" si="46"/>
        <v>0.62293901712954203</v>
      </c>
      <c r="Q117" s="10">
        <f t="shared" si="47"/>
        <v>0.79354105597102542</v>
      </c>
      <c r="R117" s="10">
        <f t="shared" si="48"/>
        <v>7.17309827361019E-2</v>
      </c>
      <c r="S117" s="10">
        <f t="shared" si="49"/>
        <v>0.49432768545852945</v>
      </c>
      <c r="T117" s="10">
        <f t="shared" si="50"/>
        <v>4.4684027883363467E-2</v>
      </c>
      <c r="V117" s="19">
        <v>9.1666666666666625</v>
      </c>
      <c r="W117" s="12">
        <v>43682.495960789631</v>
      </c>
      <c r="X117" s="12">
        <f t="shared" si="71"/>
        <v>484.27334732565134</v>
      </c>
      <c r="Y117" s="12">
        <f t="shared" si="72"/>
        <v>24.213667366282568</v>
      </c>
      <c r="Z117" s="12">
        <f t="shared" si="57"/>
        <v>249.58842736442162</v>
      </c>
      <c r="AA117" s="12">
        <f t="shared" si="58"/>
        <v>41.553972421115581</v>
      </c>
      <c r="AB117" s="12">
        <f t="shared" si="59"/>
        <v>1.003435481775441</v>
      </c>
      <c r="AC117" s="12">
        <f t="shared" si="60"/>
        <v>124.92186421141677</v>
      </c>
      <c r="AD117" s="12">
        <f t="shared" si="61"/>
        <v>29.401614674187972</v>
      </c>
      <c r="AE117" s="12">
        <f t="shared" si="62"/>
        <v>44109.986216366291</v>
      </c>
      <c r="AF117" s="81">
        <f t="shared" si="73"/>
        <v>85.276964958640747</v>
      </c>
      <c r="AH117" s="12">
        <v>1323.8239120633664</v>
      </c>
      <c r="AM117" s="19">
        <f t="shared" si="63"/>
        <v>9.2499999999999964</v>
      </c>
      <c r="AN117" s="12">
        <v>1207.3881548633206</v>
      </c>
      <c r="AO117" s="12">
        <f t="shared" si="64"/>
        <v>6.8267481666282084</v>
      </c>
      <c r="AP117" s="12">
        <f t="shared" si="65"/>
        <v>124.84388012699577</v>
      </c>
      <c r="AQ117" s="12">
        <f t="shared" si="66"/>
        <v>1087.4633235341487</v>
      </c>
      <c r="AR117" s="12">
        <f t="shared" si="67"/>
        <v>1.9076993688042876</v>
      </c>
      <c r="AW117" s="19">
        <v>9.1666666666666625</v>
      </c>
      <c r="AX117" s="12">
        <v>85.276964958640747</v>
      </c>
      <c r="AY117" s="5">
        <f t="shared" si="68"/>
        <v>0.72766342450676547</v>
      </c>
      <c r="AZ117" s="12">
        <f t="shared" si="74"/>
        <v>2.0916703806301484</v>
      </c>
      <c r="BA117" s="5">
        <f t="shared" si="69"/>
        <v>6.7620009336879727E-2</v>
      </c>
      <c r="BB117" s="12">
        <f t="shared" si="70"/>
        <v>62.194367124015848</v>
      </c>
      <c r="BC117" s="5">
        <f t="shared" si="54"/>
        <v>0.27771742517486658</v>
      </c>
      <c r="BD117" s="12">
        <f t="shared" si="55"/>
        <v>17.272459498062055</v>
      </c>
      <c r="BE117" s="5">
        <f t="shared" si="56"/>
        <v>0.20149625733811571</v>
      </c>
    </row>
    <row r="118" spans="1:57">
      <c r="A118" s="19">
        <f t="shared" si="51"/>
        <v>9.3333333333333304</v>
      </c>
      <c r="B118" s="10">
        <f t="shared" si="40"/>
        <v>0.63421017981395522</v>
      </c>
      <c r="C118" s="10">
        <f t="shared" si="41"/>
        <v>0.79188956633678176</v>
      </c>
      <c r="D118" s="10">
        <f t="shared" si="42"/>
        <v>7.2211649762112362E-2</v>
      </c>
      <c r="E118" s="10">
        <f t="shared" si="43"/>
        <v>0.50222442425924541</v>
      </c>
      <c r="F118" s="10">
        <f t="shared" si="44"/>
        <v>4.5797363380291639E-2</v>
      </c>
      <c r="H118" s="19">
        <f t="shared" si="52"/>
        <v>9.3333333333333304</v>
      </c>
      <c r="I118" s="81">
        <f t="shared" si="75"/>
        <v>45362.102453883519</v>
      </c>
      <c r="J118" s="81">
        <f t="shared" si="76"/>
        <v>972.21054380181693</v>
      </c>
      <c r="O118" s="19">
        <f t="shared" si="53"/>
        <v>9.3333333333333304</v>
      </c>
      <c r="P118" s="10">
        <f t="shared" si="46"/>
        <v>0.62028844535068706</v>
      </c>
      <c r="Q118" s="10">
        <f t="shared" si="47"/>
        <v>0.79188956633678176</v>
      </c>
      <c r="R118" s="10">
        <f t="shared" si="48"/>
        <v>7.2211649762112362E-2</v>
      </c>
      <c r="S118" s="10">
        <f t="shared" si="49"/>
        <v>0.49119994799247213</v>
      </c>
      <c r="T118" s="10">
        <f t="shared" si="50"/>
        <v>4.4792051967148985E-2</v>
      </c>
      <c r="V118" s="19">
        <v>9.25</v>
      </c>
      <c r="W118" s="12">
        <v>44238.828145973785</v>
      </c>
      <c r="X118" s="12">
        <f t="shared" si="71"/>
        <v>484.27334732565134</v>
      </c>
      <c r="Y118" s="12">
        <f t="shared" si="72"/>
        <v>24.213667366282568</v>
      </c>
      <c r="Z118" s="12">
        <f t="shared" si="57"/>
        <v>252.73401042314569</v>
      </c>
      <c r="AA118" s="12">
        <f t="shared" si="58"/>
        <v>41.553972421115581</v>
      </c>
      <c r="AB118" s="12">
        <f t="shared" si="59"/>
        <v>0.90603066678135469</v>
      </c>
      <c r="AC118" s="12">
        <f t="shared" si="60"/>
        <v>124.92186421141677</v>
      </c>
      <c r="AD118" s="12">
        <f t="shared" si="61"/>
        <v>29.771962444601598</v>
      </c>
      <c r="AE118" s="12">
        <f t="shared" si="62"/>
        <v>44668.217026920371</v>
      </c>
      <c r="AF118" s="81">
        <f t="shared" si="73"/>
        <v>86.250979692020337</v>
      </c>
      <c r="AH118" s="12">
        <v>1207.3881548633206</v>
      </c>
      <c r="AM118" s="19">
        <f t="shared" si="63"/>
        <v>9.3333333333333304</v>
      </c>
      <c r="AN118" s="12">
        <v>1090.1853829995766</v>
      </c>
      <c r="AO118" s="12">
        <f t="shared" si="64"/>
        <v>6.1640666547037082</v>
      </c>
      <c r="AP118" s="12">
        <f t="shared" si="65"/>
        <v>124.84388012699577</v>
      </c>
      <c r="AQ118" s="12">
        <f t="shared" si="66"/>
        <v>969.78305307004507</v>
      </c>
      <c r="AR118" s="12">
        <f t="shared" si="67"/>
        <v>1.7225164572394078</v>
      </c>
      <c r="AW118" s="19">
        <v>9.25</v>
      </c>
      <c r="AX118" s="12">
        <v>86.250979692020337</v>
      </c>
      <c r="AY118" s="5">
        <f t="shared" si="68"/>
        <v>0.72554416494118901</v>
      </c>
      <c r="AZ118" s="12">
        <f t="shared" si="74"/>
        <v>1.9076993688042876</v>
      </c>
      <c r="BA118" s="5">
        <f t="shared" si="69"/>
        <v>6.805591656755916E-2</v>
      </c>
      <c r="BB118" s="12">
        <f t="shared" si="70"/>
        <v>62.708725265085675</v>
      </c>
      <c r="BC118" s="5">
        <f t="shared" si="54"/>
        <v>0.27450166102163631</v>
      </c>
      <c r="BD118" s="12">
        <f t="shared" si="55"/>
        <v>17.213649245815468</v>
      </c>
      <c r="BE118" s="5">
        <f t="shared" si="56"/>
        <v>0.19858303242047026</v>
      </c>
    </row>
    <row r="119" spans="1:57">
      <c r="A119" s="19">
        <f t="shared" si="51"/>
        <v>9.4166666666666643</v>
      </c>
      <c r="B119" s="10">
        <f t="shared" si="40"/>
        <v>0.63163681325046361</v>
      </c>
      <c r="C119" s="10">
        <f t="shared" si="41"/>
        <v>0.79024151372446838</v>
      </c>
      <c r="D119" s="10">
        <f t="shared" si="42"/>
        <v>7.2689743530294892E-2</v>
      </c>
      <c r="E119" s="10">
        <f t="shared" si="43"/>
        <v>0.49914563142714569</v>
      </c>
      <c r="F119" s="10">
        <f t="shared" si="44"/>
        <v>4.591351795946897E-2</v>
      </c>
      <c r="H119" s="19">
        <f t="shared" si="52"/>
        <v>9.4166666666666643</v>
      </c>
      <c r="I119" s="81">
        <f t="shared" si="75"/>
        <v>45929.089542386602</v>
      </c>
      <c r="J119" s="81">
        <f t="shared" si="76"/>
        <v>853.45855131551377</v>
      </c>
      <c r="O119" s="19">
        <f t="shared" si="53"/>
        <v>9.4166666666666643</v>
      </c>
      <c r="P119" s="10">
        <f t="shared" si="46"/>
        <v>0.61764915161119327</v>
      </c>
      <c r="Q119" s="10">
        <f t="shared" si="47"/>
        <v>0.79024151372446838</v>
      </c>
      <c r="R119" s="10">
        <f t="shared" si="48"/>
        <v>7.2689743530294892E-2</v>
      </c>
      <c r="S119" s="10">
        <f t="shared" si="49"/>
        <v>0.48809200051986301</v>
      </c>
      <c r="T119" s="10">
        <f t="shared" si="50"/>
        <v>4.4896758422321867E-2</v>
      </c>
      <c r="V119" s="19">
        <v>9.3333333333333304</v>
      </c>
      <c r="W119" s="12">
        <v>44798.689506454713</v>
      </c>
      <c r="X119" s="12">
        <f t="shared" si="71"/>
        <v>484.27334732565134</v>
      </c>
      <c r="Y119" s="12">
        <f t="shared" si="72"/>
        <v>24.213667366282568</v>
      </c>
      <c r="Z119" s="12">
        <f t="shared" si="57"/>
        <v>255.89954795209539</v>
      </c>
      <c r="AA119" s="12">
        <f t="shared" si="58"/>
        <v>41.553972421115581</v>
      </c>
      <c r="AB119" s="12">
        <f t="shared" si="59"/>
        <v>0.8079842024931696</v>
      </c>
      <c r="AC119" s="12">
        <f t="shared" si="60"/>
        <v>124.92186421141677</v>
      </c>
      <c r="AD119" s="12">
        <f t="shared" si="61"/>
        <v>30.144659570737161</v>
      </c>
      <c r="AE119" s="12">
        <f t="shared" si="62"/>
        <v>45229.989080718973</v>
      </c>
      <c r="AF119" s="81">
        <f t="shared" si="73"/>
        <v>87.231173241445504</v>
      </c>
      <c r="AH119" s="12">
        <v>1090.1853829995766</v>
      </c>
      <c r="AM119" s="19">
        <f t="shared" si="63"/>
        <v>9.4166666666666643</v>
      </c>
      <c r="AN119" s="12">
        <v>972.21054380181693</v>
      </c>
      <c r="AO119" s="12">
        <f t="shared" si="64"/>
        <v>5.4970197618238164</v>
      </c>
      <c r="AP119" s="12">
        <f t="shared" si="65"/>
        <v>124.84388012699577</v>
      </c>
      <c r="AQ119" s="12">
        <f t="shared" si="66"/>
        <v>851.3275697740379</v>
      </c>
      <c r="AR119" s="12">
        <f t="shared" si="67"/>
        <v>1.5361136626071357</v>
      </c>
      <c r="AW119" s="19">
        <v>9.3333333333333304</v>
      </c>
      <c r="AX119" s="12">
        <v>87.231173241445504</v>
      </c>
      <c r="AY119" s="5">
        <f t="shared" si="68"/>
        <v>0.72343107754389102</v>
      </c>
      <c r="AZ119" s="12">
        <f t="shared" si="74"/>
        <v>1.7225164572394078</v>
      </c>
      <c r="BA119" s="5">
        <f t="shared" si="69"/>
        <v>6.8488974118166901E-2</v>
      </c>
      <c r="BB119" s="12">
        <f t="shared" si="70"/>
        <v>63.223715038534742</v>
      </c>
      <c r="BC119" s="5">
        <f t="shared" si="54"/>
        <v>0.27132313305941103</v>
      </c>
      <c r="BD119" s="12">
        <f t="shared" si="55"/>
        <v>17.154056447910648</v>
      </c>
      <c r="BE119" s="5">
        <f t="shared" si="56"/>
        <v>0.1957119267934406</v>
      </c>
    </row>
    <row r="120" spans="1:57">
      <c r="A120" s="19">
        <f t="shared" si="51"/>
        <v>9.4999999999999982</v>
      </c>
      <c r="B120" s="10">
        <f t="shared" si="40"/>
        <v>0.62907388836022315</v>
      </c>
      <c r="C120" s="10">
        <f t="shared" si="41"/>
        <v>0.78859689098107666</v>
      </c>
      <c r="D120" s="10">
        <f t="shared" si="42"/>
        <v>7.3165273323387847E-2</v>
      </c>
      <c r="E120" s="10">
        <f t="shared" si="43"/>
        <v>0.4960857125582489</v>
      </c>
      <c r="F120" s="10">
        <f t="shared" si="44"/>
        <v>4.6026362982482097E-2</v>
      </c>
      <c r="H120" s="19">
        <f t="shared" si="52"/>
        <v>9.4999999999999982</v>
      </c>
      <c r="I120" s="81">
        <f t="shared" si="75"/>
        <v>46499.673469472349</v>
      </c>
      <c r="J120" s="81">
        <f t="shared" si="76"/>
        <v>733.92428608267062</v>
      </c>
      <c r="O120" s="19">
        <f t="shared" si="53"/>
        <v>9.4999999999999982</v>
      </c>
      <c r="P120" s="10">
        <f t="shared" si="46"/>
        <v>0.6150210879236141</v>
      </c>
      <c r="Q120" s="10">
        <f t="shared" si="47"/>
        <v>0.78859689098107666</v>
      </c>
      <c r="R120" s="10">
        <f t="shared" si="48"/>
        <v>7.3165273323387847E-2</v>
      </c>
      <c r="S120" s="10">
        <f t="shared" si="49"/>
        <v>0.48500371782436147</v>
      </c>
      <c r="T120" s="10">
        <f t="shared" si="50"/>
        <v>4.4998185997578571E-2</v>
      </c>
      <c r="V120" s="19">
        <v>9.4166666666666625</v>
      </c>
      <c r="W120" s="12">
        <v>45362.102453883519</v>
      </c>
      <c r="X120" s="12">
        <f t="shared" si="71"/>
        <v>484.27334732565134</v>
      </c>
      <c r="Y120" s="12">
        <f t="shared" si="72"/>
        <v>24.213667366282568</v>
      </c>
      <c r="Z120" s="12">
        <f t="shared" si="57"/>
        <v>259.08516667000436</v>
      </c>
      <c r="AA120" s="12">
        <f t="shared" si="58"/>
        <v>41.553972421115581</v>
      </c>
      <c r="AB120" s="12">
        <f t="shared" si="59"/>
        <v>0.70929186207860229</v>
      </c>
      <c r="AC120" s="12">
        <f t="shared" si="60"/>
        <v>124.92186421141677</v>
      </c>
      <c r="AD120" s="12">
        <f t="shared" si="61"/>
        <v>30.519720971927455</v>
      </c>
      <c r="AE120" s="12">
        <f t="shared" si="62"/>
        <v>45795.324866201452</v>
      </c>
      <c r="AF120" s="81">
        <f t="shared" si="73"/>
        <v>88.217584844911471</v>
      </c>
      <c r="AH120" s="12">
        <v>972.21054380181693</v>
      </c>
      <c r="AM120" s="19">
        <f t="shared" si="63"/>
        <v>9.4999999999999982</v>
      </c>
      <c r="AN120" s="12">
        <v>853.45855131551377</v>
      </c>
      <c r="AO120" s="12">
        <f t="shared" si="64"/>
        <v>4.8255787312621994</v>
      </c>
      <c r="AP120" s="12">
        <f t="shared" si="65"/>
        <v>124.84388012699577</v>
      </c>
      <c r="AQ120" s="12">
        <f t="shared" si="66"/>
        <v>732.09176697079067</v>
      </c>
      <c r="AR120" s="12">
        <f t="shared" si="67"/>
        <v>1.3484829489894992</v>
      </c>
      <c r="AW120" s="19">
        <v>9.4166666666666625</v>
      </c>
      <c r="AX120" s="12">
        <v>88.217584844911471</v>
      </c>
      <c r="AY120" s="5">
        <f t="shared" si="68"/>
        <v>0.7213241443389421</v>
      </c>
      <c r="AZ120" s="12">
        <f t="shared" si="74"/>
        <v>1.5361136626071357</v>
      </c>
      <c r="BA120" s="5">
        <f t="shared" si="69"/>
        <v>6.8919194233566961E-2</v>
      </c>
      <c r="BB120" s="12">
        <f t="shared" si="70"/>
        <v>63.739341619781847</v>
      </c>
      <c r="BC120" s="5">
        <f t="shared" si="54"/>
        <v>0.26818141012040153</v>
      </c>
      <c r="BD120" s="12">
        <f t="shared" si="55"/>
        <v>17.093706515739093</v>
      </c>
      <c r="BE120" s="5">
        <f t="shared" si="56"/>
        <v>0.19288233149798908</v>
      </c>
    </row>
    <row r="121" spans="1:57">
      <c r="A121" s="19">
        <f t="shared" si="51"/>
        <v>9.5833333333333321</v>
      </c>
      <c r="B121" s="10">
        <f t="shared" si="40"/>
        <v>0.626521362775177</v>
      </c>
      <c r="C121" s="10">
        <f t="shared" si="41"/>
        <v>0.7869556909684845</v>
      </c>
      <c r="D121" s="10">
        <f t="shared" si="42"/>
        <v>7.3638248395005323E-2</v>
      </c>
      <c r="E121" s="10">
        <f t="shared" si="43"/>
        <v>0.49304455194925595</v>
      </c>
      <c r="F121" s="10">
        <f t="shared" si="44"/>
        <v>4.6135935736815729E-2</v>
      </c>
      <c r="H121" s="19">
        <f t="shared" si="52"/>
        <v>9.5833333333333321</v>
      </c>
      <c r="I121" s="81">
        <f t="shared" si="75"/>
        <v>47073.877076943667</v>
      </c>
      <c r="J121" s="81">
        <f t="shared" si="76"/>
        <v>613.60259492112027</v>
      </c>
      <c r="O121" s="19">
        <f t="shared" si="53"/>
        <v>9.5833333333333321</v>
      </c>
      <c r="P121" s="10">
        <f t="shared" si="46"/>
        <v>0.61240420650468697</v>
      </c>
      <c r="Q121" s="10">
        <f t="shared" si="47"/>
        <v>0.7869556909684845</v>
      </c>
      <c r="R121" s="10">
        <f t="shared" si="48"/>
        <v>7.3638248395005323E-2</v>
      </c>
      <c r="S121" s="10">
        <f t="shared" si="49"/>
        <v>0.48193497548190239</v>
      </c>
      <c r="T121" s="10">
        <f t="shared" si="50"/>
        <v>4.5096373076738271E-2</v>
      </c>
      <c r="V121" s="19">
        <v>9.5</v>
      </c>
      <c r="W121" s="12">
        <v>45929.089542386602</v>
      </c>
      <c r="X121" s="12">
        <f t="shared" si="71"/>
        <v>484.27334732565134</v>
      </c>
      <c r="Y121" s="12">
        <f t="shared" si="72"/>
        <v>24.213667366282568</v>
      </c>
      <c r="Z121" s="12">
        <f t="shared" si="57"/>
        <v>262.29099410118243</v>
      </c>
      <c r="AA121" s="12">
        <f t="shared" si="58"/>
        <v>41.553972421115581</v>
      </c>
      <c r="AB121" s="12">
        <f t="shared" si="59"/>
        <v>0.60994939086132471</v>
      </c>
      <c r="AC121" s="12">
        <f t="shared" si="60"/>
        <v>124.92186421141677</v>
      </c>
      <c r="AD121" s="12">
        <f t="shared" si="61"/>
        <v>30.897161662350431</v>
      </c>
      <c r="AE121" s="12">
        <f t="shared" si="62"/>
        <v>46364.247014771594</v>
      </c>
      <c r="AF121" s="81">
        <f t="shared" si="73"/>
        <v>89.210253989818739</v>
      </c>
      <c r="AH121" s="12">
        <v>853.45855131551377</v>
      </c>
      <c r="AM121" s="19">
        <f t="shared" si="63"/>
        <v>9.5833333333333321</v>
      </c>
      <c r="AN121" s="12">
        <v>733.92428608267062</v>
      </c>
      <c r="AO121" s="12">
        <f t="shared" si="64"/>
        <v>4.1497146168590406</v>
      </c>
      <c r="AP121" s="12">
        <f t="shared" si="65"/>
        <v>124.84388012699577</v>
      </c>
      <c r="AQ121" s="12">
        <f t="shared" si="66"/>
        <v>612.07050434500138</v>
      </c>
      <c r="AR121" s="12">
        <f t="shared" si="67"/>
        <v>1.1596162275325241</v>
      </c>
      <c r="AW121" s="19">
        <v>9.5</v>
      </c>
      <c r="AX121" s="12">
        <v>89.210253989818739</v>
      </c>
      <c r="AY121" s="5">
        <f t="shared" si="68"/>
        <v>0.7192233474027655</v>
      </c>
      <c r="AZ121" s="12">
        <f t="shared" si="74"/>
        <v>1.3484829489894992</v>
      </c>
      <c r="BA121" s="5">
        <f t="shared" si="69"/>
        <v>6.9346589113110868E-2</v>
      </c>
      <c r="BB121" s="12">
        <f t="shared" si="70"/>
        <v>64.255610190197956</v>
      </c>
      <c r="BC121" s="5">
        <f t="shared" si="54"/>
        <v>0.26507606602942513</v>
      </c>
      <c r="BD121" s="12">
        <f t="shared" si="55"/>
        <v>17.032624369537917</v>
      </c>
      <c r="BE121" s="5">
        <f t="shared" si="56"/>
        <v>0.19009364637938361</v>
      </c>
    </row>
    <row r="122" spans="1:57">
      <c r="A122" s="19">
        <f t="shared" si="51"/>
        <v>9.6666666666666661</v>
      </c>
      <c r="B122" s="10">
        <f t="shared" si="40"/>
        <v>0.62397919429918092</v>
      </c>
      <c r="C122" s="10">
        <f t="shared" si="41"/>
        <v>0.78531790656342526</v>
      </c>
      <c r="D122" s="10">
        <f t="shared" si="42"/>
        <v>7.4108677969719983E-2</v>
      </c>
      <c r="E122" s="10">
        <f t="shared" si="43"/>
        <v>0.49002203460616556</v>
      </c>
      <c r="F122" s="10">
        <f t="shared" si="44"/>
        <v>4.6242273170123332E-2</v>
      </c>
      <c r="H122" s="19">
        <f t="shared" si="52"/>
        <v>9.6666666666666661</v>
      </c>
      <c r="I122" s="81">
        <f t="shared" si="75"/>
        <v>47651.723351816254</v>
      </c>
      <c r="J122" s="81">
        <f t="shared" si="76"/>
        <v>492.48829070236894</v>
      </c>
      <c r="O122" s="19">
        <f t="shared" si="53"/>
        <v>9.6666666666666661</v>
      </c>
      <c r="P122" s="10">
        <f t="shared" si="46"/>
        <v>0.60979845977446423</v>
      </c>
      <c r="Q122" s="10">
        <f t="shared" si="47"/>
        <v>0.78531790656342526</v>
      </c>
      <c r="R122" s="10">
        <f t="shared" si="48"/>
        <v>7.4108677969719983E-2</v>
      </c>
      <c r="S122" s="10">
        <f t="shared" si="49"/>
        <v>0.47888564985568333</v>
      </c>
      <c r="T122" s="10">
        <f t="shared" si="50"/>
        <v>4.5191357681857017E-2</v>
      </c>
      <c r="V122" s="19">
        <v>9.5833333333333304</v>
      </c>
      <c r="W122" s="12">
        <v>46499.673469472349</v>
      </c>
      <c r="X122" s="12">
        <f t="shared" si="71"/>
        <v>484.27334732565134</v>
      </c>
      <c r="Y122" s="12">
        <f t="shared" si="72"/>
        <v>24.213667366282568</v>
      </c>
      <c r="Z122" s="12">
        <f t="shared" si="57"/>
        <v>265.51715858064188</v>
      </c>
      <c r="AA122" s="12">
        <f t="shared" si="58"/>
        <v>41.553972421115581</v>
      </c>
      <c r="AB122" s="12">
        <f t="shared" si="59"/>
        <v>0.50995250613754373</v>
      </c>
      <c r="AC122" s="12">
        <f t="shared" si="60"/>
        <v>124.92186421141677</v>
      </c>
      <c r="AD122" s="12">
        <f t="shared" si="61"/>
        <v>31.276996751632765</v>
      </c>
      <c r="AE122" s="12">
        <f t="shared" si="62"/>
        <v>46936.778301707425</v>
      </c>
      <c r="AF122" s="81">
        <f t="shared" si="73"/>
        <v>90.209220414632</v>
      </c>
      <c r="AH122" s="12">
        <v>733.92428608267062</v>
      </c>
      <c r="AM122" s="19">
        <f t="shared" si="63"/>
        <v>9.6666666666666661</v>
      </c>
      <c r="AN122" s="12">
        <v>613.60259492112027</v>
      </c>
      <c r="AO122" s="12">
        <f t="shared" si="64"/>
        <v>3.469398281773159</v>
      </c>
      <c r="AP122" s="12">
        <f t="shared" si="65"/>
        <v>124.84388012699577</v>
      </c>
      <c r="AQ122" s="12">
        <f t="shared" si="66"/>
        <v>491.25860771980103</v>
      </c>
      <c r="AR122" s="12">
        <f t="shared" si="67"/>
        <v>0.96950535609659028</v>
      </c>
      <c r="AW122" s="19">
        <v>9.5833333333333304</v>
      </c>
      <c r="AX122" s="12">
        <v>90.209220414632</v>
      </c>
      <c r="AY122" s="5">
        <f t="shared" si="68"/>
        <v>0.71712866886398563</v>
      </c>
      <c r="AZ122" s="12">
        <f t="shared" si="74"/>
        <v>1.1596162275325241</v>
      </c>
      <c r="BA122" s="5">
        <f t="shared" si="69"/>
        <v>6.9771170910793989E-2</v>
      </c>
      <c r="BB122" s="12">
        <f t="shared" si="70"/>
        <v>64.772525937205017</v>
      </c>
      <c r="BC122" s="5">
        <f t="shared" si="54"/>
        <v>0.26200667954609608</v>
      </c>
      <c r="BD122" s="12">
        <f t="shared" si="55"/>
        <v>16.970834446620472</v>
      </c>
      <c r="BE122" s="5">
        <f t="shared" si="56"/>
        <v>0.1873452799599061</v>
      </c>
    </row>
    <row r="123" spans="1:57">
      <c r="A123" s="19">
        <f t="shared" si="51"/>
        <v>9.75</v>
      </c>
      <c r="B123" s="10">
        <f t="shared" si="40"/>
        <v>0.62144734090730558</v>
      </c>
      <c r="C123" s="10">
        <f t="shared" si="41"/>
        <v>0.78368353065745722</v>
      </c>
      <c r="D123" s="10">
        <f t="shared" si="42"/>
        <v>7.457657124315098E-2</v>
      </c>
      <c r="E123" s="10">
        <f t="shared" si="43"/>
        <v>0.48701804623992567</v>
      </c>
      <c r="F123" s="10">
        <f t="shared" si="44"/>
        <v>4.6345411893040409E-2</v>
      </c>
      <c r="H123" s="19">
        <f t="shared" si="52"/>
        <v>9.75</v>
      </c>
      <c r="I123" s="81">
        <f t="shared" si="75"/>
        <v>48233.235427242798</v>
      </c>
      <c r="J123" s="81">
        <f t="shared" si="76"/>
        <v>370.57615212797577</v>
      </c>
      <c r="O123" s="19">
        <f t="shared" si="53"/>
        <v>9.75</v>
      </c>
      <c r="P123" s="10">
        <f t="shared" si="46"/>
        <v>0.60720380035544863</v>
      </c>
      <c r="Q123" s="10">
        <f t="shared" si="47"/>
        <v>0.78368353065745722</v>
      </c>
      <c r="R123" s="10">
        <f t="shared" si="48"/>
        <v>7.457657124315098E-2</v>
      </c>
      <c r="S123" s="10">
        <f t="shared" si="49"/>
        <v>0.47585561809118376</v>
      </c>
      <c r="T123" s="10">
        <f t="shared" si="50"/>
        <v>4.5283177476320137E-2</v>
      </c>
      <c r="V123" s="19">
        <v>9.6666666666666625</v>
      </c>
      <c r="W123" s="12">
        <v>47073.877076943667</v>
      </c>
      <c r="X123" s="12">
        <f t="shared" si="71"/>
        <v>484.27334732565134</v>
      </c>
      <c r="Y123" s="12">
        <f t="shared" si="72"/>
        <v>24.213667366282568</v>
      </c>
      <c r="Z123" s="12">
        <f t="shared" si="57"/>
        <v>268.76378925925729</v>
      </c>
      <c r="AA123" s="12">
        <f t="shared" si="58"/>
        <v>41.553972421115581</v>
      </c>
      <c r="AB123" s="12">
        <f t="shared" si="59"/>
        <v>0.40929689699137184</v>
      </c>
      <c r="AC123" s="12">
        <f t="shared" si="60"/>
        <v>124.92186421141677</v>
      </c>
      <c r="AD123" s="12">
        <f t="shared" si="61"/>
        <v>31.659241445457322</v>
      </c>
      <c r="AE123" s="12">
        <f t="shared" si="62"/>
        <v>47512.941647076877</v>
      </c>
      <c r="AF123" s="81">
        <f t="shared" si="73"/>
        <v>91.214524110437196</v>
      </c>
      <c r="AH123" s="12">
        <v>613.60259492112027</v>
      </c>
      <c r="AM123" s="19">
        <f t="shared" si="63"/>
        <v>9.75</v>
      </c>
      <c r="AN123" s="12">
        <v>492.48829070236894</v>
      </c>
      <c r="AO123" s="12">
        <f t="shared" si="64"/>
        <v>2.784600397225907</v>
      </c>
      <c r="AP123" s="12">
        <f t="shared" si="65"/>
        <v>124.84388012699577</v>
      </c>
      <c r="AQ123" s="12">
        <f t="shared" si="66"/>
        <v>369.65086883369202</v>
      </c>
      <c r="AR123" s="12">
        <f t="shared" si="67"/>
        <v>0.77814213890707151</v>
      </c>
      <c r="AW123" s="19">
        <v>9.6666666666666625</v>
      </c>
      <c r="AX123" s="12">
        <v>91.214524110437196</v>
      </c>
      <c r="AY123" s="5">
        <f t="shared" si="68"/>
        <v>0.71504009090327625</v>
      </c>
      <c r="AZ123" s="12">
        <f t="shared" si="74"/>
        <v>0.96950535609659028</v>
      </c>
      <c r="BA123" s="5">
        <f t="shared" si="69"/>
        <v>7.0192951735411402E-2</v>
      </c>
      <c r="BB123" s="12">
        <f t="shared" si="70"/>
        <v>65.290094054293803</v>
      </c>
      <c r="BC123" s="5">
        <f t="shared" si="54"/>
        <v>0.2589728343076827</v>
      </c>
      <c r="BD123" s="12">
        <f t="shared" si="55"/>
        <v>16.90836070945565</v>
      </c>
      <c r="BE123" s="5">
        <f t="shared" si="56"/>
        <v>0.18463664931339935</v>
      </c>
    </row>
    <row r="124" spans="1:57">
      <c r="A124" s="19">
        <f t="shared" si="51"/>
        <v>9.8333333333333339</v>
      </c>
      <c r="B124" s="10">
        <f t="shared" si="40"/>
        <v>0.61892576074514116</v>
      </c>
      <c r="C124" s="10">
        <f t="shared" si="41"/>
        <v>0.78205255615693248</v>
      </c>
      <c r="D124" s="10">
        <f t="shared" si="42"/>
        <v>7.504193738204612E-2</v>
      </c>
      <c r="E124" s="10">
        <f t="shared" si="43"/>
        <v>0.48403247326211168</v>
      </c>
      <c r="F124" s="10">
        <f t="shared" si="44"/>
        <v>4.6445388181972143E-2</v>
      </c>
      <c r="H124" s="19">
        <f t="shared" si="52"/>
        <v>9.8333333333333339</v>
      </c>
      <c r="I124" s="81">
        <f t="shared" si="75"/>
        <v>48818.436583442992</v>
      </c>
      <c r="J124" s="81">
        <f t="shared" si="76"/>
        <v>247.86092350446063</v>
      </c>
      <c r="O124" s="19">
        <f t="shared" si="53"/>
        <v>9.8333333333333339</v>
      </c>
      <c r="P124" s="10">
        <f t="shared" si="46"/>
        <v>0.60462018107173154</v>
      </c>
      <c r="Q124" s="10">
        <f t="shared" si="47"/>
        <v>0.78205255615693248</v>
      </c>
      <c r="R124" s="10">
        <f t="shared" si="48"/>
        <v>7.504193738204612E-2</v>
      </c>
      <c r="S124" s="10">
        <f t="shared" si="49"/>
        <v>0.47284475811121501</v>
      </c>
      <c r="T124" s="10">
        <f t="shared" si="50"/>
        <v>4.5371869767906269E-2</v>
      </c>
      <c r="V124" s="19">
        <v>9.75</v>
      </c>
      <c r="W124" s="12">
        <v>47651.723351816254</v>
      </c>
      <c r="X124" s="12">
        <f t="shared" si="71"/>
        <v>484.27334732565134</v>
      </c>
      <c r="Y124" s="12">
        <f t="shared" si="72"/>
        <v>24.213667366282568</v>
      </c>
      <c r="Z124" s="12">
        <f t="shared" si="57"/>
        <v>272.03101610895749</v>
      </c>
      <c r="AA124" s="12">
        <f t="shared" si="58"/>
        <v>41.553972421115581</v>
      </c>
      <c r="AB124" s="12">
        <f t="shared" si="59"/>
        <v>0.30797822410898074</v>
      </c>
      <c r="AC124" s="12">
        <f t="shared" si="60"/>
        <v>124.92186421141677</v>
      </c>
      <c r="AD124" s="12">
        <f t="shared" si="61"/>
        <v>32.043911046174458</v>
      </c>
      <c r="AE124" s="12">
        <f t="shared" si="62"/>
        <v>48092.760116659236</v>
      </c>
      <c r="AF124" s="81">
        <f t="shared" si="73"/>
        <v>92.226205322534952</v>
      </c>
      <c r="AH124" s="12">
        <v>492.48829070236894</v>
      </c>
      <c r="AM124" s="19">
        <f t="shared" si="63"/>
        <v>9.8333333333333339</v>
      </c>
      <c r="AN124" s="12">
        <v>370.57615212797577</v>
      </c>
      <c r="AO124" s="12">
        <f t="shared" si="64"/>
        <v>2.0952914412367893</v>
      </c>
      <c r="AP124" s="12">
        <f t="shared" si="65"/>
        <v>124.84388012699577</v>
      </c>
      <c r="AQ124" s="12">
        <f t="shared" si="66"/>
        <v>247.24204511601749</v>
      </c>
      <c r="AR124" s="12">
        <f t="shared" si="67"/>
        <v>0.58551832619929201</v>
      </c>
      <c r="AW124" s="19">
        <v>9.75</v>
      </c>
      <c r="AX124" s="12">
        <v>92.226205322534952</v>
      </c>
      <c r="AY124" s="5">
        <f t="shared" si="68"/>
        <v>0.71295759575320794</v>
      </c>
      <c r="AZ124" s="12">
        <f t="shared" si="74"/>
        <v>0.77814213890707151</v>
      </c>
      <c r="BA124" s="5">
        <f t="shared" si="69"/>
        <v>7.0611943650714659E-2</v>
      </c>
      <c r="BB124" s="12">
        <f t="shared" si="70"/>
        <v>65.808319741060984</v>
      </c>
      <c r="BC124" s="5">
        <f t="shared" si="54"/>
        <v>0.25597411877262854</v>
      </c>
      <c r="BD124" s="12">
        <f t="shared" si="55"/>
        <v>16.84522665362546</v>
      </c>
      <c r="BE124" s="5">
        <f t="shared" si="56"/>
        <v>0.18196717994162939</v>
      </c>
    </row>
    <row r="125" spans="1:57">
      <c r="A125" s="19">
        <f t="shared" si="51"/>
        <v>9.9166666666666679</v>
      </c>
      <c r="B125" s="10">
        <f t="shared" si="40"/>
        <v>0.61641441212810644</v>
      </c>
      <c r="C125" s="10">
        <f t="shared" si="41"/>
        <v>0.78042497598296579</v>
      </c>
      <c r="D125" s="10">
        <f t="shared" si="42"/>
        <v>7.5504785524367124E-2</v>
      </c>
      <c r="E125" s="10">
        <f t="shared" si="43"/>
        <v>0.48106520278063142</v>
      </c>
      <c r="F125" s="10">
        <f t="shared" si="44"/>
        <v>4.6542237981861523E-2</v>
      </c>
      <c r="H125" s="19">
        <f t="shared" si="52"/>
        <v>9.9166666666666679</v>
      </c>
      <c r="I125" s="81">
        <f>-PP+(pzz*(I126+50000)+pzo*(50000+J126)+100000*pzt)/1.05^(1/12)</f>
        <v>49407.350248639515</v>
      </c>
      <c r="J125" s="81">
        <f t="shared" si="76"/>
        <v>124.3373145167282</v>
      </c>
      <c r="O125" s="19">
        <f t="shared" si="53"/>
        <v>9.9166666666666679</v>
      </c>
      <c r="P125" s="10">
        <f t="shared" si="46"/>
        <v>0.602047554948135</v>
      </c>
      <c r="Q125" s="10">
        <f t="shared" si="47"/>
        <v>0.78042497598296579</v>
      </c>
      <c r="R125" s="10">
        <f t="shared" si="48"/>
        <v>7.5504785524367124E-2</v>
      </c>
      <c r="S125" s="10">
        <f t="shared" si="49"/>
        <v>0.46985294861100152</v>
      </c>
      <c r="T125" s="10">
        <f t="shared" si="50"/>
        <v>4.5457471511828565E-2</v>
      </c>
      <c r="V125" s="19">
        <v>9.8333333333333304</v>
      </c>
      <c r="W125" s="12">
        <v>48233.235427242798</v>
      </c>
      <c r="X125" s="12">
        <f t="shared" si="71"/>
        <v>484.27334732565134</v>
      </c>
      <c r="Y125" s="12">
        <f t="shared" si="72"/>
        <v>24.213667366282568</v>
      </c>
      <c r="Z125" s="12">
        <f t="shared" si="57"/>
        <v>275.31896992795095</v>
      </c>
      <c r="AA125" s="12">
        <f t="shared" si="58"/>
        <v>41.553972421115581</v>
      </c>
      <c r="AB125" s="12">
        <f t="shared" si="59"/>
        <v>0.20599211959153191</v>
      </c>
      <c r="AC125" s="12">
        <f t="shared" si="60"/>
        <v>124.92186421141677</v>
      </c>
      <c r="AD125" s="12">
        <f t="shared" si="61"/>
        <v>32.43102095341726</v>
      </c>
      <c r="AE125" s="12">
        <f t="shared" si="62"/>
        <v>48676.256922872475</v>
      </c>
      <c r="AF125" s="81">
        <f t="shared" si="73"/>
        <v>93.244304552114045</v>
      </c>
      <c r="AH125" s="12">
        <v>370.57615212797577</v>
      </c>
      <c r="AM125" s="19">
        <f t="shared" si="63"/>
        <v>9.9166666666666679</v>
      </c>
      <c r="AN125" s="12">
        <v>247.86092350446063</v>
      </c>
      <c r="AO125" s="12">
        <f t="shared" si="64"/>
        <v>1.4014416973507575</v>
      </c>
      <c r="AP125" s="12">
        <f t="shared" si="65"/>
        <v>124.84388012699577</v>
      </c>
      <c r="AQ125" s="12">
        <f t="shared" si="66"/>
        <v>124.02685946095141</v>
      </c>
      <c r="AR125" s="12">
        <f t="shared" si="67"/>
        <v>0.3916256138641927</v>
      </c>
      <c r="AW125" s="19">
        <v>9.8333333333333304</v>
      </c>
      <c r="AX125" s="12">
        <v>93.244304552114045</v>
      </c>
      <c r="AY125" s="5">
        <f t="shared" si="68"/>
        <v>0.71088116569809734</v>
      </c>
      <c r="AZ125" s="12">
        <f t="shared" si="74"/>
        <v>0.58551832619929201</v>
      </c>
      <c r="BA125" s="5">
        <f t="shared" si="69"/>
        <v>7.1028158675568775E-2</v>
      </c>
      <c r="BB125" s="12">
        <f t="shared" si="70"/>
        <v>66.327208203295982</v>
      </c>
      <c r="BC125" s="5">
        <f t="shared" si="54"/>
        <v>0.25301012616472729</v>
      </c>
      <c r="BD125" s="12">
        <f t="shared" si="55"/>
        <v>16.781455315670051</v>
      </c>
      <c r="BE125" s="5">
        <f t="shared" si="56"/>
        <v>0.1793363056524358</v>
      </c>
    </row>
    <row r="126" spans="1:57">
      <c r="A126" s="19">
        <f t="shared" si="51"/>
        <v>10.000000000000002</v>
      </c>
      <c r="B126" s="10">
        <f t="shared" si="40"/>
        <v>0.6139132535407591</v>
      </c>
      <c r="C126" s="10">
        <f t="shared" si="41"/>
        <v>0.77880078307140488</v>
      </c>
      <c r="D126" s="10">
        <f t="shared" si="42"/>
        <v>7.5965124779374005E-2</v>
      </c>
      <c r="E126" s="84">
        <f>SUM(E6:E125)</f>
        <v>85.131687694926228</v>
      </c>
      <c r="F126" s="84">
        <f>SUM(F6:F125)</f>
        <v>3.6455150013322428</v>
      </c>
      <c r="H126" s="19">
        <f t="shared" si="52"/>
        <v>10.000000000000002</v>
      </c>
      <c r="I126" s="81">
        <v>0</v>
      </c>
      <c r="J126" s="81">
        <v>0</v>
      </c>
      <c r="O126" s="19">
        <f t="shared" si="53"/>
        <v>10.000000000000002</v>
      </c>
      <c r="P126" s="10">
        <f t="shared" si="46"/>
        <v>0.59948587520935837</v>
      </c>
      <c r="Q126" s="10">
        <f t="shared" si="47"/>
        <v>0.77880078307140488</v>
      </c>
      <c r="R126" s="10">
        <f t="shared" si="48"/>
        <v>7.5965124779374005E-2</v>
      </c>
      <c r="S126" s="65">
        <f>SUM(S6:S125)</f>
        <v>84.257692468316009</v>
      </c>
      <c r="T126" s="65">
        <f>SUM(T6:T125)</f>
        <v>3.592227881271234</v>
      </c>
      <c r="V126" s="19">
        <v>9.9166666666666625</v>
      </c>
      <c r="W126" s="12">
        <v>48818.436583442992</v>
      </c>
      <c r="X126" s="12">
        <f t="shared" si="71"/>
        <v>484.27334732565134</v>
      </c>
      <c r="Y126" s="12">
        <f t="shared" si="72"/>
        <v>24.213667366282568</v>
      </c>
      <c r="Z126" s="12">
        <f t="shared" si="57"/>
        <v>278.62778234598449</v>
      </c>
      <c r="AA126" s="12">
        <f t="shared" si="58"/>
        <v>41.553972421115581</v>
      </c>
      <c r="AB126" s="12">
        <f t="shared" si="59"/>
        <v>0.10333418676687395</v>
      </c>
      <c r="AC126" s="12">
        <f t="shared" si="60"/>
        <v>124.92186421141677</v>
      </c>
      <c r="AD126" s="12">
        <f t="shared" si="61"/>
        <v>32.820586664720622</v>
      </c>
      <c r="AE126" s="12">
        <f t="shared" si="62"/>
        <v>49263.455425706517</v>
      </c>
      <c r="AF126" s="81">
        <f t="shared" si="73"/>
        <v>94.268862557815737</v>
      </c>
      <c r="AH126" s="12">
        <v>247.86092350446063</v>
      </c>
      <c r="AM126" s="19">
        <f t="shared" si="63"/>
        <v>10.000000000000002</v>
      </c>
      <c r="AN126" s="12">
        <v>124.3373145167282</v>
      </c>
      <c r="AO126" s="12">
        <f t="shared" si="64"/>
        <v>0.70302125335711751</v>
      </c>
      <c r="AP126" s="12">
        <f t="shared" si="65"/>
        <v>124.84388012699577</v>
      </c>
      <c r="AQ126" s="12">
        <f>0</f>
        <v>0</v>
      </c>
      <c r="AR126" s="12">
        <f t="shared" si="67"/>
        <v>0.19645564308954988</v>
      </c>
      <c r="AW126" s="19">
        <v>9.9166666666666625</v>
      </c>
      <c r="AX126" s="12">
        <v>94.268862557815737</v>
      </c>
      <c r="AY126" s="5">
        <f t="shared" si="68"/>
        <v>0.70881078307385736</v>
      </c>
      <c r="AZ126" s="12">
        <f t="shared" si="74"/>
        <v>0.3916256138641927</v>
      </c>
      <c r="BA126" s="5">
        <f t="shared" si="69"/>
        <v>7.1441608784104105E-2</v>
      </c>
      <c r="BB126" s="12">
        <f t="shared" si="70"/>
        <v>66.846764652982714</v>
      </c>
      <c r="BC126" s="5">
        <f t="shared" si="54"/>
        <v>0.25008045441794197</v>
      </c>
      <c r="BD126" s="12">
        <f t="shared" si="55"/>
        <v>16.717069280787136</v>
      </c>
      <c r="BE126" s="5">
        <f t="shared" si="56"/>
        <v>0.176743468439641</v>
      </c>
    </row>
    <row r="127" spans="1:57">
      <c r="A127" s="87"/>
      <c r="B127" s="87"/>
      <c r="C127" s="87"/>
      <c r="D127" s="10"/>
      <c r="E127" s="87"/>
      <c r="F127" s="87"/>
      <c r="O127" s="87"/>
      <c r="P127" s="87"/>
      <c r="Q127" s="87"/>
      <c r="R127" s="10"/>
      <c r="S127" s="87"/>
      <c r="T127" s="87"/>
      <c r="V127" s="19">
        <v>10</v>
      </c>
      <c r="W127" s="12">
        <v>49407.350248639515</v>
      </c>
      <c r="X127" s="12">
        <f t="shared" si="71"/>
        <v>484.27334732565134</v>
      </c>
      <c r="Y127" s="12">
        <f t="shared" si="72"/>
        <v>24.213667366282568</v>
      </c>
      <c r="Z127" s="12">
        <f t="shared" si="57"/>
        <v>281.95758582963532</v>
      </c>
      <c r="AA127" s="12">
        <f t="shared" si="58"/>
        <v>41.553972421115581</v>
      </c>
      <c r="AB127" s="12">
        <f t="shared" si="59"/>
        <v>0</v>
      </c>
      <c r="AC127" s="12">
        <f t="shared" si="60"/>
        <v>124.92186421141677</v>
      </c>
      <c r="AD127" s="12">
        <f t="shared" si="61"/>
        <v>33.212623776144355</v>
      </c>
      <c r="AE127" s="12">
        <f t="shared" si="62"/>
        <v>49854.379133662449</v>
      </c>
      <c r="AF127" s="81">
        <f t="shared" si="73"/>
        <v>95.299920357399969</v>
      </c>
      <c r="AH127" s="12">
        <v>124.3373145167282</v>
      </c>
      <c r="AM127" s="19"/>
      <c r="AN127" s="12"/>
      <c r="AO127" s="12"/>
      <c r="AP127" s="12"/>
      <c r="AQ127" s="12"/>
      <c r="AR127" s="12"/>
      <c r="AW127" s="19">
        <v>10</v>
      </c>
      <c r="AX127" s="12">
        <v>95.299920357399969</v>
      </c>
      <c r="AY127" s="5">
        <f t="shared" si="68"/>
        <v>0.706746430267845</v>
      </c>
      <c r="AZ127" s="12">
        <f t="shared" si="74"/>
        <v>0.19645564308954988</v>
      </c>
      <c r="BA127" s="5">
        <f t="shared" si="69"/>
        <v>7.1852305905874658E-2</v>
      </c>
      <c r="BB127" s="12">
        <f t="shared" si="70"/>
        <v>67.366994308366571</v>
      </c>
      <c r="BC127" s="5">
        <f t="shared" si="54"/>
        <v>0.24718470612186585</v>
      </c>
      <c r="BD127" s="12">
        <f t="shared" si="55"/>
        <v>16.652090690427002</v>
      </c>
      <c r="BE127" s="87"/>
    </row>
    <row r="128" spans="1:57">
      <c r="A128" s="6" t="s">
        <v>772</v>
      </c>
      <c r="B128" s="87"/>
      <c r="C128" s="12">
        <f>E126</f>
        <v>85.131687694926228</v>
      </c>
      <c r="D128" s="10"/>
      <c r="E128" s="87"/>
      <c r="F128" s="87"/>
      <c r="O128" s="6" t="s">
        <v>772</v>
      </c>
      <c r="P128" s="87"/>
      <c r="Q128" s="12">
        <f>S126*0.95</f>
        <v>80.044807844900205</v>
      </c>
      <c r="R128" s="10"/>
      <c r="S128" s="87"/>
      <c r="T128" s="87"/>
      <c r="W128" s="12">
        <v>50000</v>
      </c>
      <c r="X128" s="87"/>
      <c r="Y128" s="87"/>
      <c r="Z128" s="87"/>
      <c r="AA128" s="87"/>
      <c r="AB128" s="87"/>
      <c r="AC128" s="87"/>
      <c r="AE128" s="87"/>
      <c r="AF128" s="87"/>
      <c r="AH128" s="12">
        <v>0</v>
      </c>
      <c r="AO128" s="87"/>
      <c r="AP128" s="87"/>
      <c r="AQ128" s="87"/>
      <c r="AR128" s="87"/>
      <c r="AW128" s="87"/>
      <c r="AX128" s="87"/>
      <c r="AY128" s="87"/>
      <c r="BB128" s="12"/>
      <c r="BC128" s="5"/>
      <c r="BD128" s="87"/>
      <c r="BE128" s="87"/>
    </row>
    <row r="129" spans="1:57">
      <c r="A129" s="6" t="s">
        <v>823</v>
      </c>
      <c r="B129" s="87"/>
      <c r="C129" s="12">
        <f>50000*B126*C126</f>
        <v>23905.806129772856</v>
      </c>
      <c r="D129" s="10"/>
      <c r="E129" s="87"/>
      <c r="F129" s="87"/>
      <c r="O129" s="6" t="s">
        <v>823</v>
      </c>
      <c r="P129" s="87"/>
      <c r="Q129" s="12">
        <f>50000*P126*Q126</f>
        <v>23344.00345266474</v>
      </c>
      <c r="R129" s="10"/>
      <c r="S129" s="87"/>
      <c r="T129" s="87"/>
      <c r="X129" s="87"/>
      <c r="Y129" s="87"/>
      <c r="Z129" s="87"/>
      <c r="AA129" s="87"/>
      <c r="AB129" s="87"/>
      <c r="AC129" s="87"/>
      <c r="AD129" s="87"/>
      <c r="AE129" s="87"/>
      <c r="AF129" s="87"/>
      <c r="AO129" s="87"/>
      <c r="AP129" s="87"/>
      <c r="AQ129" s="87"/>
      <c r="AR129" s="87"/>
      <c r="AW129" s="87"/>
      <c r="AX129" s="87"/>
      <c r="AY129" s="87"/>
      <c r="BA129" s="9" t="s">
        <v>841</v>
      </c>
      <c r="BB129" s="5">
        <f>IRR(BB7:BB127,0.03)</f>
        <v>2.3850442161200691E-2</v>
      </c>
      <c r="BC129" s="369" t="s">
        <v>842</v>
      </c>
      <c r="BD129" s="81">
        <f>SUM(BD7:BD127)</f>
        <v>992.29187912558518</v>
      </c>
      <c r="BE129" s="12">
        <f>SUM(BE7:BE126)*452</f>
        <v>25817.401563456133</v>
      </c>
    </row>
    <row r="130" spans="1:57">
      <c r="A130" s="6" t="s">
        <v>820</v>
      </c>
      <c r="B130" s="87"/>
      <c r="C130" s="12">
        <f>50000*E126*pzo/(1.05^(1/12)) + 50000*F126*pot/(1.05^(1/12))</f>
        <v>3977.9476795883538</v>
      </c>
      <c r="D130" s="10"/>
      <c r="E130" s="87"/>
      <c r="F130" s="87"/>
      <c r="O130" s="6" t="s">
        <v>820</v>
      </c>
      <c r="P130" s="87"/>
      <c r="Q130" s="12">
        <f>50000*S126*pzo/(1.0525^(1/12)) + 50000*T126*pot/(1.0525^(1/12))</f>
        <v>3934.3566422160707</v>
      </c>
      <c r="R130" s="10"/>
      <c r="S130" s="87"/>
      <c r="T130" s="87"/>
      <c r="X130" s="87"/>
      <c r="Y130" s="87"/>
      <c r="Z130" s="87"/>
      <c r="AA130" s="87"/>
      <c r="AB130" s="87"/>
      <c r="AC130" s="87"/>
      <c r="AD130" s="87"/>
      <c r="AE130" s="87"/>
      <c r="AF130" s="87"/>
      <c r="AO130" s="87"/>
      <c r="AP130" s="87"/>
      <c r="AQ130" s="87"/>
      <c r="AR130" s="87"/>
      <c r="AW130" s="87"/>
      <c r="AX130" s="87"/>
      <c r="AY130" s="87"/>
      <c r="BA130" s="76" t="s">
        <v>853</v>
      </c>
      <c r="BB130" s="370">
        <f>(1+BB129)^12 -1</f>
        <v>0.3269002201639295</v>
      </c>
      <c r="BC130" s="5"/>
      <c r="BD130" s="87"/>
      <c r="BE130" s="87"/>
    </row>
    <row r="131" spans="1:57">
      <c r="A131" s="6" t="s">
        <v>821</v>
      </c>
      <c r="B131" s="87"/>
      <c r="C131" s="12">
        <f>100000*E126*pzt/(1.05^(1/12))</f>
        <v>10596.068453651074</v>
      </c>
      <c r="D131" s="10"/>
      <c r="E131" s="87"/>
      <c r="F131" s="87"/>
      <c r="O131" s="6" t="s">
        <v>821</v>
      </c>
      <c r="P131" s="87"/>
      <c r="Q131" s="12">
        <f>100000*S126*pzt/(1.0525^(1/12))</f>
        <v>10485.206936207571</v>
      </c>
      <c r="R131" s="10"/>
      <c r="S131" s="87"/>
      <c r="T131" s="87"/>
      <c r="AO131" s="87"/>
      <c r="AP131" s="87"/>
      <c r="AQ131" s="87"/>
      <c r="AR131" s="87"/>
      <c r="AW131" s="87"/>
      <c r="AX131" s="87"/>
      <c r="AY131" s="87"/>
      <c r="BB131" s="12"/>
      <c r="BC131" s="371"/>
      <c r="BD131" s="76" t="s">
        <v>843</v>
      </c>
      <c r="BE131" s="348">
        <f>BD129/BE129</f>
        <v>3.8435001938000951E-2</v>
      </c>
    </row>
    <row r="132" spans="1:57">
      <c r="A132" s="48" t="s">
        <v>822</v>
      </c>
      <c r="B132" s="57">
        <f>(C129+C130+C131)/C128</f>
        <v>452.00351719687154</v>
      </c>
      <c r="C132" s="87"/>
      <c r="D132" s="10"/>
      <c r="E132" s="87"/>
      <c r="F132" s="87"/>
      <c r="O132" s="6" t="s">
        <v>128</v>
      </c>
      <c r="P132" s="87"/>
      <c r="Q132" s="87">
        <v>1000</v>
      </c>
      <c r="R132" s="10"/>
      <c r="S132" s="87"/>
      <c r="T132" s="87"/>
      <c r="AO132" s="87"/>
      <c r="AP132" s="87"/>
      <c r="AQ132" s="87"/>
      <c r="AR132" s="87"/>
      <c r="AW132" s="87"/>
      <c r="AX132" s="87"/>
      <c r="AY132" s="87"/>
      <c r="BB132" s="12"/>
      <c r="BC132" s="371"/>
      <c r="BD132" s="76" t="s">
        <v>844</v>
      </c>
      <c r="BE132" s="370">
        <f>BD129/(1000+0.05*452)</f>
        <v>0.97036170460158921</v>
      </c>
    </row>
    <row r="133" spans="1:57">
      <c r="A133" s="87"/>
      <c r="B133" s="87"/>
      <c r="C133" s="87"/>
      <c r="D133" s="10"/>
      <c r="E133" s="87"/>
      <c r="F133" s="87"/>
      <c r="O133" s="48" t="s">
        <v>418</v>
      </c>
      <c r="P133" s="57">
        <f>(Q129+Q130+Q131+Q132)/Q128</f>
        <v>484.27334732565134</v>
      </c>
      <c r="AO133" s="87"/>
      <c r="AP133" s="87"/>
      <c r="AQ133" s="87"/>
      <c r="AR133" s="87"/>
      <c r="AW133" s="87"/>
      <c r="AX133" s="87"/>
      <c r="AY133" s="87"/>
      <c r="BB133" s="12"/>
      <c r="BC133" s="5"/>
      <c r="BD133" s="87"/>
      <c r="BE133" s="87"/>
    </row>
    <row r="134" spans="1:57">
      <c r="A134" s="87"/>
      <c r="B134" s="87"/>
      <c r="C134" s="87"/>
      <c r="D134" s="10"/>
      <c r="E134" s="87"/>
      <c r="F134" s="87"/>
      <c r="AO134" s="87"/>
      <c r="AP134" s="87"/>
      <c r="AQ134" s="87"/>
      <c r="AR134" s="87"/>
      <c r="AW134" s="87"/>
      <c r="AX134" s="87"/>
      <c r="AY134" s="87"/>
      <c r="BB134" s="12"/>
      <c r="BC134" s="5"/>
      <c r="BD134" s="87"/>
      <c r="BE134" s="87"/>
    </row>
    <row r="135" spans="1:57">
      <c r="A135" s="87"/>
      <c r="B135" s="87"/>
      <c r="C135" s="87"/>
      <c r="D135" s="10"/>
      <c r="E135" s="87"/>
      <c r="F135" s="87"/>
      <c r="AO135" s="87"/>
      <c r="AP135" s="87"/>
      <c r="AQ135" s="87"/>
      <c r="AR135" s="87"/>
      <c r="AW135" s="87"/>
      <c r="AX135" s="87"/>
      <c r="AY135" s="87"/>
      <c r="BB135" s="12"/>
      <c r="BC135" s="5"/>
      <c r="BD135" s="87"/>
      <c r="BE135" s="87"/>
    </row>
    <row r="136" spans="1:57">
      <c r="AO136" s="87"/>
      <c r="AP136" s="87"/>
      <c r="AQ136" s="87"/>
      <c r="AR136" s="87"/>
      <c r="AW136" s="87"/>
      <c r="AX136" s="87"/>
      <c r="AY136" s="87"/>
      <c r="BB136" s="12"/>
      <c r="BC136" s="5"/>
      <c r="BD136" s="87"/>
      <c r="BE136" s="87"/>
    </row>
    <row r="137" spans="1:57">
      <c r="AO137" s="87"/>
      <c r="AP137" s="87"/>
      <c r="AQ137" s="87"/>
      <c r="AR137" s="87"/>
      <c r="AW137" s="87"/>
      <c r="AX137" s="87"/>
      <c r="AY137" s="87"/>
      <c r="BB137" s="12"/>
      <c r="BC137" s="5"/>
      <c r="BD137" s="87"/>
      <c r="BE137" s="87"/>
    </row>
    <row r="138" spans="1:57">
      <c r="AO138" s="87"/>
      <c r="AP138" s="87"/>
      <c r="AQ138" s="87"/>
      <c r="AR138" s="87"/>
      <c r="AW138" s="87"/>
      <c r="AX138" s="87"/>
      <c r="AY138" s="87"/>
      <c r="BB138" s="12"/>
      <c r="BC138" s="5"/>
      <c r="BD138" s="87"/>
      <c r="BE138" s="87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"/>
  <sheetViews>
    <sheetView zoomScale="125" zoomScaleNormal="125" zoomScalePageLayoutView="125" workbookViewId="0"/>
  </sheetViews>
  <sheetFormatPr baseColWidth="10" defaultRowHeight="12" x14ac:dyDescent="0"/>
  <cols>
    <col min="1" max="1" width="11" style="167" bestFit="1" customWidth="1"/>
    <col min="2" max="2" width="12" style="167" bestFit="1" customWidth="1"/>
    <col min="3" max="6" width="11" style="167" bestFit="1" customWidth="1"/>
    <col min="7" max="7" width="12.5" style="167" customWidth="1"/>
    <col min="8" max="9" width="11" style="167" bestFit="1" customWidth="1"/>
    <col min="10" max="12" width="10.83203125" style="167"/>
    <col min="13" max="28" width="11" style="167" bestFit="1" customWidth="1"/>
    <col min="29" max="16384" width="10.83203125" style="167"/>
  </cols>
  <sheetData>
    <row r="1" spans="1:28" ht="15">
      <c r="A1" s="70" t="s">
        <v>723</v>
      </c>
    </row>
    <row r="3" spans="1:28">
      <c r="A3" s="373" t="s">
        <v>9</v>
      </c>
      <c r="B3" s="374">
        <v>2.2000000000000001E-4</v>
      </c>
      <c r="C3" s="375"/>
      <c r="D3" s="376"/>
      <c r="E3" s="376" t="s">
        <v>854</v>
      </c>
      <c r="F3" s="377">
        <f>SUM(D12:D87)</f>
        <v>18.061076170859359</v>
      </c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</row>
    <row r="4" spans="1:28">
      <c r="A4" s="373" t="s">
        <v>10</v>
      </c>
      <c r="B4" s="374">
        <f>2.7/1000000</f>
        <v>2.7E-6</v>
      </c>
      <c r="C4" s="375"/>
      <c r="D4" s="376"/>
      <c r="E4" s="376" t="s">
        <v>855</v>
      </c>
      <c r="F4" s="378">
        <f>1-(4/104)*F3</f>
        <v>0.30534322419771698</v>
      </c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</row>
    <row r="5" spans="1:28">
      <c r="A5" s="373" t="s">
        <v>24</v>
      </c>
      <c r="B5" s="374">
        <v>1.1240000000000001</v>
      </c>
      <c r="C5" s="375"/>
      <c r="D5" s="376"/>
      <c r="E5" s="376" t="s">
        <v>856</v>
      </c>
      <c r="F5" s="378">
        <f>SUM(E13:E87)</f>
        <v>8.5428809576125655</v>
      </c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</row>
    <row r="6" spans="1:28">
      <c r="A6" s="373" t="s">
        <v>25</v>
      </c>
      <c r="B6" s="379">
        <f>EXP(-B4/LN(B5))</f>
        <v>0.99997690236831238</v>
      </c>
      <c r="C6" s="375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</row>
    <row r="7" spans="1:28">
      <c r="A7" s="373" t="s">
        <v>27</v>
      </c>
      <c r="B7" s="379">
        <f>EXP(-B3)</f>
        <v>0.99978002419822543</v>
      </c>
      <c r="C7" s="375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</row>
    <row r="8" spans="1:28">
      <c r="A8" s="373" t="s">
        <v>82</v>
      </c>
      <c r="B8" s="374">
        <v>55</v>
      </c>
      <c r="C8" s="375"/>
      <c r="D8" s="376"/>
      <c r="E8" s="376"/>
      <c r="F8" s="376"/>
      <c r="G8" s="373" t="s">
        <v>757</v>
      </c>
      <c r="H8" s="380">
        <v>75200</v>
      </c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</row>
    <row r="9" spans="1:28">
      <c r="A9" s="376"/>
      <c r="B9" s="376"/>
      <c r="C9" s="375"/>
      <c r="D9" s="376"/>
      <c r="E9" s="376"/>
      <c r="F9" s="376"/>
      <c r="G9" s="376"/>
      <c r="H9" s="376"/>
      <c r="I9" s="376"/>
      <c r="J9" s="376"/>
      <c r="K9" s="376"/>
      <c r="L9" s="376"/>
      <c r="M9" s="381" t="s">
        <v>758</v>
      </c>
      <c r="N9" s="381"/>
      <c r="O9" s="381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376"/>
      <c r="AB9" s="376"/>
    </row>
    <row r="10" spans="1:28">
      <c r="A10" s="376"/>
      <c r="B10" s="376"/>
      <c r="C10" s="375"/>
      <c r="D10" s="382" t="s">
        <v>75</v>
      </c>
      <c r="E10" s="382" t="s">
        <v>856</v>
      </c>
      <c r="F10" s="376"/>
      <c r="G10" s="376"/>
      <c r="H10" s="376"/>
      <c r="I10" s="376"/>
      <c r="J10" s="376"/>
      <c r="K10" s="376"/>
      <c r="L10" s="376"/>
      <c r="M10" s="376"/>
      <c r="N10" s="382" t="s">
        <v>775</v>
      </c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</row>
    <row r="11" spans="1:28">
      <c r="A11" s="382" t="s">
        <v>0</v>
      </c>
      <c r="B11" s="360" t="s">
        <v>857</v>
      </c>
      <c r="C11" s="378" t="s">
        <v>85</v>
      </c>
      <c r="D11" s="382" t="s">
        <v>86</v>
      </c>
      <c r="E11" s="382" t="s">
        <v>86</v>
      </c>
      <c r="F11" s="376"/>
      <c r="G11" s="376"/>
      <c r="H11" s="376"/>
      <c r="I11" s="376"/>
      <c r="J11" s="376"/>
      <c r="K11" s="376"/>
      <c r="L11" s="376"/>
      <c r="M11" s="383" t="s">
        <v>759</v>
      </c>
      <c r="N11" s="383" t="s">
        <v>778</v>
      </c>
      <c r="O11" s="383" t="s">
        <v>760</v>
      </c>
      <c r="P11" s="382" t="s">
        <v>0</v>
      </c>
      <c r="Q11" s="383" t="s">
        <v>858</v>
      </c>
      <c r="R11" s="382" t="s">
        <v>761</v>
      </c>
      <c r="S11" s="382" t="s">
        <v>762</v>
      </c>
      <c r="T11" s="382" t="s">
        <v>763</v>
      </c>
      <c r="U11" s="382" t="s">
        <v>384</v>
      </c>
      <c r="V11" s="383" t="s">
        <v>859</v>
      </c>
      <c r="W11" s="382" t="s">
        <v>860</v>
      </c>
      <c r="X11" s="382" t="s">
        <v>861</v>
      </c>
      <c r="Y11" s="382" t="s">
        <v>862</v>
      </c>
      <c r="Z11" s="382" t="s">
        <v>764</v>
      </c>
      <c r="AA11" s="382"/>
      <c r="AB11" s="382" t="s">
        <v>765</v>
      </c>
    </row>
    <row r="12" spans="1:28">
      <c r="A12" s="382">
        <v>0</v>
      </c>
      <c r="B12" s="384">
        <f>EXP(-(0.9^(2-A12))*(B$3*((0.9^A12 - 1)/LN(0.9)) +B$4*(B$5^55)*((0.9^A12 -B$5^A12)/LN(0.9/B$5))))</f>
        <v>1</v>
      </c>
      <c r="C12" s="378">
        <f>1.04^-A12</f>
        <v>1</v>
      </c>
      <c r="D12" s="378">
        <f>B12*C12</f>
        <v>1</v>
      </c>
      <c r="E12" s="376"/>
      <c r="F12" s="376"/>
      <c r="G12" s="381" t="s">
        <v>46</v>
      </c>
      <c r="H12" s="382" t="s">
        <v>580</v>
      </c>
      <c r="I12" s="382" t="s">
        <v>761</v>
      </c>
      <c r="J12" s="376"/>
      <c r="K12" s="376"/>
      <c r="L12" s="376"/>
      <c r="M12" s="376"/>
      <c r="N12" s="376"/>
      <c r="O12" s="385"/>
      <c r="P12" s="382">
        <v>0</v>
      </c>
      <c r="Q12" s="382"/>
      <c r="R12" s="382"/>
      <c r="S12" s="383">
        <f>-160-0.75*H$20</f>
        <v>-1808.4050563595135</v>
      </c>
      <c r="T12" s="382"/>
      <c r="U12" s="382"/>
      <c r="V12" s="382"/>
      <c r="W12" s="382"/>
      <c r="X12" s="382"/>
      <c r="Y12" s="382"/>
      <c r="Z12" s="382"/>
      <c r="AA12" s="376"/>
      <c r="AB12" s="376"/>
    </row>
    <row r="13" spans="1:28">
      <c r="A13" s="382">
        <v>1</v>
      </c>
      <c r="B13" s="384">
        <f t="shared" ref="B13:B14" si="0">EXP(-(0.9^(2-A13))*(B$3*((0.9^A13 - 1)/LN(0.9)) +B$4*(B$5^55)*((0.9^A13 -B$5^A13)/LN(0.9/B$5))))</f>
        <v>0.998295948382383</v>
      </c>
      <c r="C13" s="378">
        <f t="shared" ref="C13:C76" si="1">1.04^-A13</f>
        <v>0.96153846153846145</v>
      </c>
      <c r="D13" s="378">
        <f>B13*C13</f>
        <v>0.95989995036767584</v>
      </c>
      <c r="E13" s="378">
        <f>A13*(B12-B13)*C13</f>
        <v>1.6385111707855741E-3</v>
      </c>
      <c r="F13" s="376"/>
      <c r="G13" s="376" t="s">
        <v>772</v>
      </c>
      <c r="H13" s="376"/>
      <c r="I13" s="386">
        <f>F3</f>
        <v>18.061076170859359</v>
      </c>
      <c r="J13" s="376"/>
      <c r="K13" s="376"/>
      <c r="L13" s="376"/>
      <c r="M13" s="387">
        <f>H$8*I27+65*H27+0.025*H$20*(H27)-H$20*H27</f>
        <v>-13139.983098770706</v>
      </c>
      <c r="N13" s="387">
        <f>MAX(0,M13)</f>
        <v>0</v>
      </c>
      <c r="O13" s="387">
        <f>H$8*I27-(0.975*H20-65)*H27</f>
        <v>-13139.983098770703</v>
      </c>
      <c r="P13" s="382">
        <v>1</v>
      </c>
      <c r="Q13" s="382">
        <v>0</v>
      </c>
      <c r="R13" s="383">
        <f>H$20</f>
        <v>2197.8734084793514</v>
      </c>
      <c r="S13" s="383">
        <v>65</v>
      </c>
      <c r="T13" s="388">
        <f>0.04*(Q13+R13-S13)</f>
        <v>85.314936339174054</v>
      </c>
      <c r="U13" s="388">
        <f>AB13*H8</f>
        <v>128.1446816447982</v>
      </c>
      <c r="V13" s="383">
        <f>(1-AB13)*N13</f>
        <v>0</v>
      </c>
      <c r="W13" s="387">
        <f>Q13+R13-S13+T13-U13-V13</f>
        <v>2090.0436631737271</v>
      </c>
      <c r="X13" s="387">
        <v>0</v>
      </c>
      <c r="Y13" s="387">
        <v>0</v>
      </c>
      <c r="Z13" s="389">
        <v>0</v>
      </c>
      <c r="AA13" s="376"/>
      <c r="AB13" s="378">
        <f>(B12-B13)/B12</f>
        <v>1.7040516176169973E-3</v>
      </c>
    </row>
    <row r="14" spans="1:28">
      <c r="A14" s="382">
        <v>2</v>
      </c>
      <c r="B14" s="384">
        <f t="shared" si="0"/>
        <v>0.99619764775512909</v>
      </c>
      <c r="C14" s="378">
        <f t="shared" si="1"/>
        <v>0.92455621301775137</v>
      </c>
      <c r="D14" s="378">
        <f t="shared" ref="D14:D77" si="2">B14*C14</f>
        <v>0.92104072462567399</v>
      </c>
      <c r="E14" s="378">
        <f t="shared" ref="E14:E77" si="3">A14*(B13-B14)*C14</f>
        <v>3.8799937634133E-3</v>
      </c>
      <c r="F14" s="376"/>
      <c r="G14" s="376" t="s">
        <v>773</v>
      </c>
      <c r="H14" s="385">
        <f>75000*F4</f>
        <v>22900.741814828772</v>
      </c>
      <c r="I14" s="385"/>
      <c r="J14" s="376"/>
      <c r="K14" s="376"/>
      <c r="L14" s="376"/>
      <c r="M14" s="387">
        <f t="shared" ref="M14" si="4">H$8*I28+65*H28+0.025*H$20*(H28)-H$20*H28</f>
        <v>-11687.165385302833</v>
      </c>
      <c r="N14" s="387">
        <f t="shared" ref="N14:N22" si="5">MAX(0,M14)</f>
        <v>0</v>
      </c>
      <c r="O14" s="387">
        <f>M14+X14*I28</f>
        <v>-9692.7859460285035</v>
      </c>
      <c r="P14" s="382">
        <v>2</v>
      </c>
      <c r="Q14" s="382">
        <v>0</v>
      </c>
      <c r="R14" s="383">
        <f t="shared" ref="R14:R22" si="6">H$20</f>
        <v>2197.8734084793514</v>
      </c>
      <c r="S14" s="383">
        <f>65+0.025*H$20</f>
        <v>119.9468352119838</v>
      </c>
      <c r="T14" s="388">
        <f t="shared" ref="T14:T22" si="7">0.04*(Q14+R14-S14)</f>
        <v>83.117062930694701</v>
      </c>
      <c r="U14" s="388">
        <f>AB14*H8</f>
        <v>158.06155221322624</v>
      </c>
      <c r="V14" s="383">
        <f t="shared" ref="V14:V22" si="8">(1-AB14)*N14</f>
        <v>0</v>
      </c>
      <c r="W14" s="387">
        <f>Q14+R14-S14+T14-U14-V14</f>
        <v>2002.9820839848362</v>
      </c>
      <c r="X14" s="387">
        <f>W14/(I28*(1-AB14)+AB14)</f>
        <v>6087.2082972210737</v>
      </c>
      <c r="Y14" s="387">
        <f>Y13+X14</f>
        <v>6087.2082972210737</v>
      </c>
      <c r="Z14" s="389">
        <f>X14/75000</f>
        <v>8.1162777296280977E-2</v>
      </c>
      <c r="AA14" s="376"/>
      <c r="AB14" s="378">
        <f t="shared" ref="AB14:AB22" si="9">(B13-B14)/B13</f>
        <v>2.1018823432609871E-3</v>
      </c>
    </row>
    <row r="15" spans="1:28">
      <c r="A15" s="382">
        <v>3</v>
      </c>
      <c r="B15" s="384">
        <f>$B$14*(B$7^(A15-2))*B$6^((B$5^(B$8+2))*((B$5^(A15-2)-1)))</f>
        <v>0.99374782945461959</v>
      </c>
      <c r="C15" s="378">
        <f t="shared" si="1"/>
        <v>0.88899635867091487</v>
      </c>
      <c r="D15" s="378">
        <f t="shared" si="2"/>
        <v>0.88343820182228217</v>
      </c>
      <c r="E15" s="378">
        <f t="shared" si="3"/>
        <v>6.5336386456749402E-3</v>
      </c>
      <c r="F15" s="376"/>
      <c r="G15" s="376" t="s">
        <v>774</v>
      </c>
      <c r="H15" s="385">
        <f>160+65*F3+200*F4</f>
        <v>1395.0385959454018</v>
      </c>
      <c r="I15" s="386">
        <f>0.725+0.025*F3</f>
        <v>1.1765269042714839</v>
      </c>
      <c r="J15" s="376"/>
      <c r="K15" s="376"/>
      <c r="L15" s="376"/>
      <c r="M15" s="387">
        <f>(Y14+H$8)*I29+65*H29+0.025*H$20*(H29)-H$20*H29</f>
        <v>-8139.3688073350204</v>
      </c>
      <c r="N15" s="387">
        <f t="shared" si="5"/>
        <v>0</v>
      </c>
      <c r="O15" s="387">
        <f>M15+X15*I29</f>
        <v>-6187.5782295116651</v>
      </c>
      <c r="P15" s="382">
        <v>3</v>
      </c>
      <c r="Q15" s="387">
        <v>0</v>
      </c>
      <c r="R15" s="383">
        <f t="shared" si="6"/>
        <v>2197.8734084793514</v>
      </c>
      <c r="S15" s="383">
        <f t="shared" ref="S15:S22" si="10">65+0.025*H$20</f>
        <v>119.9468352119838</v>
      </c>
      <c r="T15" s="388">
        <f t="shared" si="7"/>
        <v>83.117062930694701</v>
      </c>
      <c r="U15" s="388">
        <f>AB15*(H$8+Y14)</f>
        <v>199.89897680706952</v>
      </c>
      <c r="V15" s="383">
        <f t="shared" si="8"/>
        <v>0</v>
      </c>
      <c r="W15" s="387">
        <f>Q15+R15-S15+T15-U15-V15</f>
        <v>1961.1446593909927</v>
      </c>
      <c r="X15" s="387">
        <f>W15/(I29*(1-AB15)+AB15)</f>
        <v>5755.5478004106826</v>
      </c>
      <c r="Y15" s="387">
        <f>Y14+X15</f>
        <v>11842.756097631756</v>
      </c>
      <c r="Z15" s="389">
        <f>X15/75000</f>
        <v>7.6740637338809106E-2</v>
      </c>
      <c r="AA15" s="376"/>
      <c r="AB15" s="378">
        <f t="shared" si="9"/>
        <v>2.4591689269995924E-3</v>
      </c>
    </row>
    <row r="16" spans="1:28">
      <c r="A16" s="382">
        <v>4</v>
      </c>
      <c r="B16" s="384">
        <f t="shared" ref="B16:B79" si="11">$B$14*(B$7^(A16-2))*B$6^((B$5^(B$8+2))*((B$5^(A16-2)-1)))</f>
        <v>0.99102845923478777</v>
      </c>
      <c r="C16" s="378">
        <f t="shared" si="1"/>
        <v>0.85480419102972571</v>
      </c>
      <c r="D16" s="378">
        <f t="shared" si="2"/>
        <v>0.84713528038362829</v>
      </c>
      <c r="E16" s="378">
        <f t="shared" si="3"/>
        <v>9.2981162434946588E-3</v>
      </c>
      <c r="F16" s="376"/>
      <c r="G16" s="390" t="s">
        <v>101</v>
      </c>
      <c r="H16" s="391">
        <f>(H14+H15)/(I13-I15)</f>
        <v>1438.9356817982743</v>
      </c>
      <c r="I16" s="376"/>
      <c r="J16" s="376"/>
      <c r="K16" s="376"/>
      <c r="L16" s="376"/>
      <c r="M16" s="387">
        <f t="shared" ref="M16:M22" si="12">(Y15+H$8)*I30+65*H30+0.025*H$20*(H30)-H$20*H30</f>
        <v>-4524.6099107808877</v>
      </c>
      <c r="N16" s="387">
        <f t="shared" si="5"/>
        <v>0</v>
      </c>
      <c r="O16" s="387">
        <f t="shared" ref="O16:O22" si="13">M16+X16*I30</f>
        <v>-2611.4412553833254</v>
      </c>
      <c r="P16" s="382">
        <v>4</v>
      </c>
      <c r="Q16" s="382">
        <v>0</v>
      </c>
      <c r="R16" s="383">
        <f t="shared" si="6"/>
        <v>2197.8734084793514</v>
      </c>
      <c r="S16" s="383">
        <f t="shared" si="10"/>
        <v>119.9468352119838</v>
      </c>
      <c r="T16" s="388">
        <f t="shared" si="7"/>
        <v>83.117062930694701</v>
      </c>
      <c r="U16" s="388">
        <f t="shared" ref="U16:U22" si="14">AB16*(H$8+Y15)</f>
        <v>238.19068758508763</v>
      </c>
      <c r="V16" s="383">
        <f t="shared" si="8"/>
        <v>0</v>
      </c>
      <c r="W16" s="387">
        <f>Q16+R16-S16+T16-U16-V16</f>
        <v>1922.8529486129746</v>
      </c>
      <c r="X16" s="387">
        <f>W16/(I30*(1-AB16)+AB16)</f>
        <v>5452.129732647777</v>
      </c>
      <c r="Y16" s="387">
        <f>Y15+X16</f>
        <v>17294.885830279534</v>
      </c>
      <c r="Z16" s="389">
        <f>X16/75000</f>
        <v>7.2695063101970367E-2</v>
      </c>
      <c r="AA16" s="376"/>
      <c r="AB16" s="378">
        <f t="shared" si="9"/>
        <v>2.7364791541977409E-3</v>
      </c>
    </row>
    <row r="17" spans="1:28">
      <c r="A17" s="382">
        <v>5</v>
      </c>
      <c r="B17" s="384">
        <f t="shared" si="11"/>
        <v>0.98800772141453863</v>
      </c>
      <c r="C17" s="378">
        <f t="shared" si="1"/>
        <v>0.82192710675935154</v>
      </c>
      <c r="D17" s="378">
        <f t="shared" si="2"/>
        <v>0.81207032791815115</v>
      </c>
      <c r="E17" s="378">
        <f t="shared" si="3"/>
        <v>1.2414131484379637E-2</v>
      </c>
      <c r="F17" s="376"/>
      <c r="G17" s="376"/>
      <c r="H17" s="376"/>
      <c r="I17" s="376"/>
      <c r="J17" s="376"/>
      <c r="K17" s="376"/>
      <c r="L17" s="376"/>
      <c r="M17" s="387">
        <f t="shared" si="12"/>
        <v>-839.34583158142777</v>
      </c>
      <c r="N17" s="387">
        <f t="shared" si="5"/>
        <v>0</v>
      </c>
      <c r="O17" s="387">
        <f>M17+X17*I31</f>
        <v>1029.7679369070058</v>
      </c>
      <c r="P17" s="382">
        <v>5</v>
      </c>
      <c r="Q17" s="382">
        <v>0</v>
      </c>
      <c r="R17" s="383">
        <f t="shared" si="6"/>
        <v>2197.8734084793514</v>
      </c>
      <c r="S17" s="383">
        <f t="shared" si="10"/>
        <v>119.9468352119838</v>
      </c>
      <c r="T17" s="388">
        <f t="shared" si="7"/>
        <v>83.117062930694701</v>
      </c>
      <c r="U17" s="388">
        <f t="shared" si="14"/>
        <v>281.93216572497806</v>
      </c>
      <c r="V17" s="383">
        <f t="shared" si="8"/>
        <v>0</v>
      </c>
      <c r="W17" s="387">
        <f>Q17+R17-S17+T17-U17-V17</f>
        <v>1879.1114704730844</v>
      </c>
      <c r="X17" s="387">
        <f>W17/(I31*(1-AB17)+AB17)</f>
        <v>5149.1095123494224</v>
      </c>
      <c r="Y17" s="387">
        <f>Y16+X17</f>
        <v>22443.995342628958</v>
      </c>
      <c r="Z17" s="389">
        <f>X17/75000</f>
        <v>6.8654793497992292E-2</v>
      </c>
      <c r="AA17" s="376"/>
      <c r="AB17" s="378">
        <f t="shared" si="9"/>
        <v>3.0480838285729685E-3</v>
      </c>
    </row>
    <row r="18" spans="1:28">
      <c r="A18" s="382">
        <v>6</v>
      </c>
      <c r="B18" s="384">
        <f t="shared" si="11"/>
        <v>0.98465026244874032</v>
      </c>
      <c r="C18" s="378">
        <f t="shared" si="1"/>
        <v>0.79031452573014571</v>
      </c>
      <c r="D18" s="378">
        <f t="shared" si="2"/>
        <v>0.77818340517723972</v>
      </c>
      <c r="E18" s="378">
        <f t="shared" si="3"/>
        <v>1.59206915412799E-2</v>
      </c>
      <c r="F18" s="376"/>
      <c r="G18" s="381" t="s">
        <v>47</v>
      </c>
      <c r="H18" s="376"/>
      <c r="I18" s="376"/>
      <c r="J18" s="376"/>
      <c r="K18" s="376"/>
      <c r="L18" s="376"/>
      <c r="M18" s="387">
        <f t="shared" si="12"/>
        <v>2910.0764204118022</v>
      </c>
      <c r="N18" s="387">
        <f t="shared" si="5"/>
        <v>2910.0764204118022</v>
      </c>
      <c r="O18" s="387">
        <f t="shared" si="13"/>
        <v>2910.0764204118022</v>
      </c>
      <c r="P18" s="382">
        <v>6</v>
      </c>
      <c r="Q18" s="387">
        <f>O17</f>
        <v>1029.7679369070058</v>
      </c>
      <c r="R18" s="383">
        <f t="shared" si="6"/>
        <v>2197.8734084793514</v>
      </c>
      <c r="S18" s="383">
        <f t="shared" si="10"/>
        <v>119.9468352119838</v>
      </c>
      <c r="T18" s="388">
        <f t="shared" si="7"/>
        <v>124.30778040697493</v>
      </c>
      <c r="U18" s="388">
        <f t="shared" si="14"/>
        <v>331.81492463450888</v>
      </c>
      <c r="V18" s="387">
        <f t="shared" si="8"/>
        <v>2900.1873659468415</v>
      </c>
      <c r="W18" s="387">
        <f t="shared" ref="W18:W22" si="15">Q18+R18-S18+T18-U18-V18</f>
        <v>0</v>
      </c>
      <c r="X18" s="387">
        <f t="shared" ref="X18:X22" si="16">W18/(I32*(1-AB18)+AB18)</f>
        <v>0</v>
      </c>
      <c r="Y18" s="387">
        <f t="shared" ref="Y18:Y22" si="17">Y17+X18</f>
        <v>22443.995342628958</v>
      </c>
      <c r="Z18" s="389">
        <f t="shared" ref="Z18:Z22" si="18">X18/75000</f>
        <v>0</v>
      </c>
      <c r="AA18" s="376"/>
      <c r="AB18" s="378">
        <f t="shared" si="9"/>
        <v>3.3982112619437921E-3</v>
      </c>
    </row>
    <row r="19" spans="1:28">
      <c r="A19" s="382">
        <v>7</v>
      </c>
      <c r="B19" s="384">
        <f t="shared" si="11"/>
        <v>0.98091685491361369</v>
      </c>
      <c r="C19" s="378">
        <f t="shared" si="1"/>
        <v>0.75991781320206331</v>
      </c>
      <c r="D19" s="378">
        <f t="shared" si="2"/>
        <v>0.74541619131899894</v>
      </c>
      <c r="E19" s="378">
        <f t="shared" si="3"/>
        <v>1.9859580229198745E-2</v>
      </c>
      <c r="F19" s="376"/>
      <c r="G19" s="376" t="s">
        <v>773</v>
      </c>
      <c r="H19" s="385">
        <f>H14+0.02*75000*F5</f>
        <v>35715.063251247622</v>
      </c>
      <c r="I19" s="376"/>
      <c r="J19" s="376"/>
      <c r="K19" s="376"/>
      <c r="L19" s="376"/>
      <c r="M19" s="387">
        <f t="shared" si="12"/>
        <v>4835.6301998092022</v>
      </c>
      <c r="N19" s="387">
        <f t="shared" si="5"/>
        <v>4835.6301998092022</v>
      </c>
      <c r="O19" s="387">
        <f t="shared" si="13"/>
        <v>4835.6301998091776</v>
      </c>
      <c r="P19" s="382">
        <v>7</v>
      </c>
      <c r="Q19" s="387">
        <f t="shared" ref="Q19:Q22" si="19">O18</f>
        <v>2910.0764204118022</v>
      </c>
      <c r="R19" s="383">
        <f t="shared" si="6"/>
        <v>2197.8734084793514</v>
      </c>
      <c r="S19" s="383">
        <f t="shared" si="10"/>
        <v>119.9468352119838</v>
      </c>
      <c r="T19" s="388">
        <f t="shared" si="7"/>
        <v>199.5201197471668</v>
      </c>
      <c r="U19" s="388">
        <f t="shared" si="14"/>
        <v>370.22772640658127</v>
      </c>
      <c r="V19" s="387">
        <f t="shared" si="8"/>
        <v>4817.2953870197798</v>
      </c>
      <c r="W19" s="387">
        <f t="shared" si="15"/>
        <v>-2.4556356947869062E-11</v>
      </c>
      <c r="X19" s="387">
        <f t="shared" si="16"/>
        <v>-6.2898791738226363E-11</v>
      </c>
      <c r="Y19" s="387">
        <f t="shared" si="17"/>
        <v>22443.995342628896</v>
      </c>
      <c r="Z19" s="389">
        <f t="shared" si="18"/>
        <v>-8.3865055650968485E-16</v>
      </c>
      <c r="AA19" s="376"/>
      <c r="AB19" s="378">
        <f t="shared" si="9"/>
        <v>3.791607718502983E-3</v>
      </c>
    </row>
    <row r="20" spans="1:28">
      <c r="A20" s="382">
        <v>8</v>
      </c>
      <c r="B20" s="384">
        <f t="shared" si="11"/>
        <v>0.97676404534341954</v>
      </c>
      <c r="C20" s="378">
        <f t="shared" si="1"/>
        <v>0.73069020500198378</v>
      </c>
      <c r="D20" s="378">
        <f t="shared" si="2"/>
        <v>0.71371192053055021</v>
      </c>
      <c r="E20" s="378">
        <f t="shared" si="3"/>
        <v>2.4275338209434904E-2</v>
      </c>
      <c r="F20" s="376"/>
      <c r="G20" s="390" t="s">
        <v>101</v>
      </c>
      <c r="H20" s="391">
        <f>(H19+H15)/(I13-I15)</f>
        <v>2197.8734084793514</v>
      </c>
      <c r="I20" s="376"/>
      <c r="J20" s="376"/>
      <c r="K20" s="376"/>
      <c r="L20" s="376"/>
      <c r="M20" s="387">
        <f t="shared" si="12"/>
        <v>6805.5252997047428</v>
      </c>
      <c r="N20" s="387">
        <f t="shared" si="5"/>
        <v>6805.5252997047428</v>
      </c>
      <c r="O20" s="387">
        <f t="shared" si="13"/>
        <v>6805.5252997047628</v>
      </c>
      <c r="P20" s="382">
        <v>8</v>
      </c>
      <c r="Q20" s="387">
        <f t="shared" si="19"/>
        <v>4835.6301998091776</v>
      </c>
      <c r="R20" s="383">
        <f t="shared" si="6"/>
        <v>2197.8734084793514</v>
      </c>
      <c r="S20" s="383">
        <f t="shared" si="10"/>
        <v>119.9468352119838</v>
      </c>
      <c r="T20" s="388">
        <f t="shared" si="7"/>
        <v>276.54227092306184</v>
      </c>
      <c r="U20" s="388">
        <f t="shared" si="14"/>
        <v>413.38561601795811</v>
      </c>
      <c r="V20" s="387">
        <f t="shared" si="8"/>
        <v>6776.7134279816282</v>
      </c>
      <c r="W20" s="387">
        <f t="shared" si="15"/>
        <v>2.0008883439004421E-11</v>
      </c>
      <c r="X20" s="387">
        <f t="shared" si="16"/>
        <v>4.9574288753388531E-11</v>
      </c>
      <c r="Y20" s="387">
        <f t="shared" si="17"/>
        <v>22443.995342628947</v>
      </c>
      <c r="Z20" s="389">
        <f t="shared" si="18"/>
        <v>6.6099051671184712E-16</v>
      </c>
      <c r="AA20" s="376"/>
      <c r="AB20" s="378">
        <f t="shared" si="9"/>
        <v>4.2335999727111167E-3</v>
      </c>
    </row>
    <row r="21" spans="1:28">
      <c r="A21" s="382">
        <v>9</v>
      </c>
      <c r="B21" s="384">
        <f t="shared" si="11"/>
        <v>0.97214379005954465</v>
      </c>
      <c r="C21" s="378">
        <f t="shared" si="1"/>
        <v>0.70258673557883045</v>
      </c>
      <c r="D21" s="378">
        <f t="shared" si="2"/>
        <v>0.68301533197116737</v>
      </c>
      <c r="E21" s="378">
        <f t="shared" si="3"/>
        <v>2.9215170696946485E-2</v>
      </c>
      <c r="F21" s="376"/>
      <c r="G21" s="376"/>
      <c r="H21" s="376"/>
      <c r="I21" s="376"/>
      <c r="J21" s="376"/>
      <c r="K21" s="376"/>
      <c r="L21" s="376"/>
      <c r="M21" s="387">
        <f t="shared" si="12"/>
        <v>8818.6313031270693</v>
      </c>
      <c r="N21" s="387">
        <f t="shared" si="5"/>
        <v>8818.6313031270693</v>
      </c>
      <c r="O21" s="387">
        <f t="shared" si="13"/>
        <v>8818.6313031270929</v>
      </c>
      <c r="P21" s="382">
        <v>9</v>
      </c>
      <c r="Q21" s="387">
        <f t="shared" si="19"/>
        <v>6805.5252997047628</v>
      </c>
      <c r="R21" s="383">
        <f t="shared" si="6"/>
        <v>2197.8734084793514</v>
      </c>
      <c r="S21" s="383">
        <f t="shared" si="10"/>
        <v>119.9468352119838</v>
      </c>
      <c r="T21" s="388">
        <f t="shared" si="7"/>
        <v>355.33807491888524</v>
      </c>
      <c r="U21" s="388">
        <f t="shared" si="14"/>
        <v>461.87222755708632</v>
      </c>
      <c r="V21" s="387">
        <f t="shared" si="8"/>
        <v>8776.9177203339059</v>
      </c>
      <c r="W21" s="387">
        <f t="shared" si="15"/>
        <v>2.3646862246096134E-11</v>
      </c>
      <c r="X21" s="387">
        <f t="shared" si="16"/>
        <v>5.6690561777749877E-11</v>
      </c>
      <c r="Y21" s="387">
        <f t="shared" si="17"/>
        <v>22443.995342629005</v>
      </c>
      <c r="Z21" s="389">
        <f t="shared" si="18"/>
        <v>7.5587415703666505E-16</v>
      </c>
      <c r="AA21" s="376"/>
      <c r="AB21" s="378">
        <f t="shared" si="9"/>
        <v>4.7301651876942852E-3</v>
      </c>
    </row>
    <row r="22" spans="1:28">
      <c r="A22" s="382">
        <v>10</v>
      </c>
      <c r="B22" s="384">
        <f t="shared" si="11"/>
        <v>0.9670030850378446</v>
      </c>
      <c r="C22" s="378">
        <f t="shared" si="1"/>
        <v>0.67556416882579851</v>
      </c>
      <c r="D22" s="378">
        <f t="shared" si="2"/>
        <v>0.65327263539557445</v>
      </c>
      <c r="E22" s="378">
        <f t="shared" si="3"/>
        <v>3.4728761151634056E-2</v>
      </c>
      <c r="F22" s="376"/>
      <c r="G22" s="376"/>
      <c r="H22" s="376"/>
      <c r="I22" s="376"/>
      <c r="J22" s="376"/>
      <c r="K22" s="376"/>
      <c r="L22" s="376"/>
      <c r="M22" s="387">
        <f t="shared" si="12"/>
        <v>10873.577448675387</v>
      </c>
      <c r="N22" s="387">
        <f t="shared" si="5"/>
        <v>10873.577448675387</v>
      </c>
      <c r="O22" s="387">
        <f t="shared" si="13"/>
        <v>10873.577448675387</v>
      </c>
      <c r="P22" s="382">
        <v>10</v>
      </c>
      <c r="Q22" s="387">
        <f t="shared" si="19"/>
        <v>8818.6313031270929</v>
      </c>
      <c r="R22" s="383">
        <f t="shared" si="6"/>
        <v>2197.8734084793514</v>
      </c>
      <c r="S22" s="383">
        <f t="shared" si="10"/>
        <v>119.9468352119838</v>
      </c>
      <c r="T22" s="388">
        <f t="shared" si="7"/>
        <v>435.86231505577848</v>
      </c>
      <c r="U22" s="388">
        <f t="shared" si="14"/>
        <v>516.34231718536637</v>
      </c>
      <c r="V22" s="387">
        <f t="shared" si="8"/>
        <v>10816.077874264871</v>
      </c>
      <c r="W22" s="387">
        <f t="shared" si="15"/>
        <v>0</v>
      </c>
      <c r="X22" s="387">
        <f t="shared" si="16"/>
        <v>0</v>
      </c>
      <c r="Y22" s="387">
        <f t="shared" si="17"/>
        <v>22443.995342629005</v>
      </c>
      <c r="Z22" s="389">
        <f t="shared" si="18"/>
        <v>0</v>
      </c>
      <c r="AA22" s="376"/>
      <c r="AB22" s="378">
        <f t="shared" si="9"/>
        <v>5.2880089080085376E-3</v>
      </c>
    </row>
    <row r="23" spans="1:28">
      <c r="A23" s="382">
        <v>11</v>
      </c>
      <c r="B23" s="384">
        <f t="shared" si="11"/>
        <v>0.96128359827834897</v>
      </c>
      <c r="C23" s="378">
        <f t="shared" si="1"/>
        <v>0.6495809315632679</v>
      </c>
      <c r="D23" s="378">
        <f t="shared" si="2"/>
        <v>0.62443149526614017</v>
      </c>
      <c r="E23" s="378">
        <f t="shared" si="3"/>
        <v>4.0867964910266417E-2</v>
      </c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82"/>
      <c r="R23" s="382"/>
      <c r="S23" s="382"/>
      <c r="T23" s="382"/>
      <c r="U23" s="382"/>
      <c r="V23" s="382"/>
      <c r="W23" s="382"/>
      <c r="X23" s="382"/>
      <c r="Y23" s="382"/>
      <c r="Z23" s="382"/>
      <c r="AA23" s="376"/>
      <c r="AB23" s="376"/>
    </row>
    <row r="24" spans="1:28">
      <c r="A24" s="382">
        <v>12</v>
      </c>
      <c r="B24" s="384">
        <f t="shared" si="11"/>
        <v>0.95492131617555054</v>
      </c>
      <c r="C24" s="378">
        <f t="shared" si="1"/>
        <v>0.62459704958006512</v>
      </c>
      <c r="D24" s="378">
        <f t="shared" si="2"/>
        <v>0.59644103666436143</v>
      </c>
      <c r="E24" s="378">
        <f t="shared" si="3"/>
        <v>4.7686351560047448E-2</v>
      </c>
      <c r="F24" s="376"/>
      <c r="G24" s="376"/>
      <c r="H24" s="376"/>
      <c r="I24" s="376"/>
      <c r="J24" s="376"/>
      <c r="K24" s="376"/>
      <c r="L24" s="376"/>
      <c r="M24" s="381" t="s">
        <v>766</v>
      </c>
      <c r="N24" s="376"/>
      <c r="O24" s="376"/>
      <c r="P24" s="376"/>
      <c r="Q24" s="376"/>
      <c r="R24" s="376"/>
      <c r="S24" s="376"/>
      <c r="T24" s="376"/>
      <c r="U24" s="376"/>
      <c r="V24" s="376"/>
      <c r="W24" s="376"/>
      <c r="X24" s="376"/>
      <c r="Y24" s="376"/>
      <c r="Z24" s="376"/>
      <c r="AA24" s="376"/>
      <c r="AB24" s="376"/>
    </row>
    <row r="25" spans="1:28">
      <c r="A25" s="382">
        <v>13</v>
      </c>
      <c r="B25" s="384">
        <f t="shared" si="11"/>
        <v>0.94784621915003464</v>
      </c>
      <c r="C25" s="378">
        <f t="shared" si="1"/>
        <v>0.600574086134678</v>
      </c>
      <c r="D25" s="378">
        <f t="shared" si="2"/>
        <v>0.56925187686224177</v>
      </c>
      <c r="E25" s="378">
        <f t="shared" si="3"/>
        <v>5.5238559095374055E-2</v>
      </c>
      <c r="F25" s="376"/>
      <c r="G25" s="382" t="s">
        <v>5</v>
      </c>
      <c r="H25" s="382" t="s">
        <v>863</v>
      </c>
      <c r="I25" s="382" t="s">
        <v>864</v>
      </c>
      <c r="J25" s="376"/>
      <c r="K25" s="376"/>
      <c r="L25" s="376"/>
      <c r="M25" s="376"/>
      <c r="N25" s="376"/>
      <c r="O25" s="382" t="s">
        <v>767</v>
      </c>
      <c r="P25" s="376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</row>
    <row r="26" spans="1:28">
      <c r="A26" s="382">
        <v>14</v>
      </c>
      <c r="B26" s="384">
        <f t="shared" si="11"/>
        <v>0.93998200641211649</v>
      </c>
      <c r="C26" s="378">
        <f t="shared" si="1"/>
        <v>0.57747508282180582</v>
      </c>
      <c r="D26" s="378">
        <f t="shared" si="2"/>
        <v>0.54281618700384415</v>
      </c>
      <c r="E26" s="378">
        <f t="shared" si="3"/>
        <v>6.3579416630206192E-2</v>
      </c>
      <c r="F26" s="376"/>
      <c r="G26" s="382">
        <v>55</v>
      </c>
      <c r="H26" s="377">
        <f>F3</f>
        <v>18.061076170859359</v>
      </c>
      <c r="I26" s="378">
        <f>1-(4/104)*H26</f>
        <v>0.30534322419771698</v>
      </c>
      <c r="J26" s="376"/>
      <c r="K26" s="376"/>
      <c r="L26" s="376"/>
      <c r="M26" s="382" t="s">
        <v>0</v>
      </c>
      <c r="N26" s="382" t="s">
        <v>865</v>
      </c>
      <c r="O26" s="382" t="s">
        <v>770</v>
      </c>
      <c r="P26" s="382" t="s">
        <v>761</v>
      </c>
      <c r="Q26" s="382" t="s">
        <v>762</v>
      </c>
      <c r="R26" s="382" t="s">
        <v>763</v>
      </c>
      <c r="S26" s="382" t="s">
        <v>384</v>
      </c>
      <c r="T26" s="383" t="s">
        <v>859</v>
      </c>
      <c r="U26" s="382" t="s">
        <v>860</v>
      </c>
      <c r="V26" s="382" t="s">
        <v>861</v>
      </c>
      <c r="W26" s="382" t="s">
        <v>862</v>
      </c>
      <c r="X26" s="376"/>
      <c r="Y26" s="376"/>
      <c r="Z26" s="376"/>
      <c r="AA26" s="382" t="s">
        <v>768</v>
      </c>
      <c r="AB26" s="382" t="s">
        <v>769</v>
      </c>
    </row>
    <row r="27" spans="1:28">
      <c r="A27" s="382">
        <v>15</v>
      </c>
      <c r="B27" s="384">
        <f t="shared" si="11"/>
        <v>0.93124589530377522</v>
      </c>
      <c r="C27" s="378">
        <f t="shared" si="1"/>
        <v>0.55526450271327477</v>
      </c>
      <c r="D27" s="378">
        <f t="shared" si="2"/>
        <v>0.51708778895962904</v>
      </c>
      <c r="E27" s="378">
        <f t="shared" si="3"/>
        <v>7.276278585331547E-2</v>
      </c>
      <c r="F27" s="376"/>
      <c r="G27" s="382">
        <v>56</v>
      </c>
      <c r="H27" s="377">
        <f>SUM(D13:D$86)/(C13*B13)</f>
        <v>17.773806701755074</v>
      </c>
      <c r="I27" s="378">
        <f t="shared" ref="I27:I36" si="20">1-(4/104)*H27</f>
        <v>0.31639204993249714</v>
      </c>
      <c r="J27" s="376"/>
      <c r="K27" s="376"/>
      <c r="L27" s="376"/>
      <c r="M27" s="382">
        <v>0</v>
      </c>
      <c r="N27" s="376"/>
      <c r="P27" s="376"/>
      <c r="Q27" s="383">
        <f>S12</f>
        <v>-1808.4050563595135</v>
      </c>
      <c r="R27" s="376"/>
      <c r="S27" s="376"/>
      <c r="T27" s="376"/>
      <c r="U27" s="376"/>
      <c r="V27" s="376"/>
      <c r="W27" s="376"/>
      <c r="X27" s="376"/>
      <c r="Y27" s="376"/>
      <c r="Z27" s="376"/>
      <c r="AA27" s="382"/>
      <c r="AB27" s="382" t="s">
        <v>770</v>
      </c>
    </row>
    <row r="28" spans="1:28">
      <c r="A28" s="382">
        <v>16</v>
      </c>
      <c r="B28" s="384">
        <f t="shared" si="11"/>
        <v>0.92154852731290393</v>
      </c>
      <c r="C28" s="378">
        <f t="shared" si="1"/>
        <v>0.53390817568584104</v>
      </c>
      <c r="D28" s="378">
        <f t="shared" si="2"/>
        <v>0.49202229302360601</v>
      </c>
      <c r="E28" s="378">
        <f t="shared" si="3"/>
        <v>8.2840064847365724E-2</v>
      </c>
      <c r="F28" s="376"/>
      <c r="G28" s="382">
        <v>57</v>
      </c>
      <c r="H28" s="377">
        <f>SUM(D14:D$86)/(C14*B14)</f>
        <v>17.481503032382705</v>
      </c>
      <c r="I28" s="378">
        <f t="shared" si="20"/>
        <v>0.32763449875451134</v>
      </c>
      <c r="J28" s="376"/>
      <c r="K28" s="376"/>
      <c r="L28" s="376"/>
      <c r="M28" s="382">
        <v>1</v>
      </c>
      <c r="N28" s="382">
        <v>0</v>
      </c>
      <c r="O28" s="382">
        <v>0</v>
      </c>
      <c r="P28" s="383">
        <f>H$20</f>
        <v>2197.8734084793514</v>
      </c>
      <c r="Q28" s="383">
        <f t="shared" ref="Q28:Q37" si="21">S13</f>
        <v>65</v>
      </c>
      <c r="R28" s="388">
        <f>0.04*(N28+P28-Q28)</f>
        <v>85.314936339174054</v>
      </c>
      <c r="S28" s="388">
        <f>AB13*H$8</f>
        <v>128.1446816447982</v>
      </c>
      <c r="T28" s="387">
        <f>(1-AB13)*N29</f>
        <v>1190.8756615101513</v>
      </c>
      <c r="U28" s="388">
        <f>N28+P28-Q28+R28-S28-T28</f>
        <v>899.16800166357575</v>
      </c>
      <c r="V28" s="382">
        <v>0</v>
      </c>
      <c r="W28" s="382">
        <v>0</v>
      </c>
      <c r="X28" s="376"/>
      <c r="Y28" s="376"/>
      <c r="Z28" s="376"/>
      <c r="AA28" s="376"/>
      <c r="AB28" s="376"/>
    </row>
    <row r="29" spans="1:28">
      <c r="A29" s="382">
        <v>17</v>
      </c>
      <c r="B29" s="384">
        <f t="shared" si="11"/>
        <v>0.9107940206502344</v>
      </c>
      <c r="C29" s="378">
        <f t="shared" si="1"/>
        <v>0.51337324585177024</v>
      </c>
      <c r="D29" s="378">
        <f t="shared" si="2"/>
        <v>0.46757728268359511</v>
      </c>
      <c r="E29" s="378">
        <f t="shared" si="3"/>
        <v>9.3858291880135461E-2</v>
      </c>
      <c r="F29" s="376"/>
      <c r="G29" s="382">
        <v>58</v>
      </c>
      <c r="H29" s="377">
        <f>SUM(D15:D$86)/(C15*B15)</f>
        <v>17.183019100321559</v>
      </c>
      <c r="I29" s="378">
        <f t="shared" si="20"/>
        <v>0.3391146499876323</v>
      </c>
      <c r="J29" s="376"/>
      <c r="K29" s="376"/>
      <c r="L29" s="376"/>
      <c r="M29" s="382">
        <v>2</v>
      </c>
      <c r="N29" s="383">
        <f>75000*I27-G$39*H27</f>
        <v>1192.9084390654098</v>
      </c>
      <c r="O29" s="383">
        <v>0</v>
      </c>
      <c r="P29" s="383">
        <f t="shared" ref="P29:P37" si="22">H$20</f>
        <v>2197.8734084793514</v>
      </c>
      <c r="Q29" s="383">
        <f t="shared" si="21"/>
        <v>119.9468352119838</v>
      </c>
      <c r="R29" s="388">
        <f t="shared" ref="R29" si="23">0.04*(N29+P29-Q29)</f>
        <v>130.8334004933111</v>
      </c>
      <c r="S29" s="388">
        <f t="shared" ref="S29" si="24">AB14*H$8</f>
        <v>158.06155221322624</v>
      </c>
      <c r="T29" s="387">
        <f>(1-AB14)*N30</f>
        <v>2401.6631337149001</v>
      </c>
      <c r="U29" s="388">
        <f>N29+P29-Q29+R29-S29-T29</f>
        <v>841.94372689796228</v>
      </c>
      <c r="V29" s="387">
        <f>U29/(I28*(1-AB14)+AB14)</f>
        <v>2558.7282488170822</v>
      </c>
      <c r="W29" s="387">
        <f>W28+V29</f>
        <v>2558.7282488170822</v>
      </c>
      <c r="X29" s="389">
        <f>V29/75000</f>
        <v>3.4116376650894432E-2</v>
      </c>
      <c r="Y29" s="376"/>
      <c r="Z29" s="376"/>
      <c r="AA29" s="388">
        <f>P29-Q29</f>
        <v>2077.9265732673675</v>
      </c>
      <c r="AB29" s="387">
        <f>N29+O29</f>
        <v>1192.9084390654098</v>
      </c>
    </row>
    <row r="30" spans="1:28">
      <c r="A30" s="382">
        <v>18</v>
      </c>
      <c r="B30" s="384">
        <f t="shared" si="11"/>
        <v>0.89888021824463882</v>
      </c>
      <c r="C30" s="378">
        <f t="shared" si="1"/>
        <v>0.49362812101131748</v>
      </c>
      <c r="D30" s="378">
        <f t="shared" si="2"/>
        <v>0.44371255314634406</v>
      </c>
      <c r="E30" s="378">
        <f t="shared" si="3"/>
        <v>0.10585778212033674</v>
      </c>
      <c r="F30" s="376"/>
      <c r="G30" s="382">
        <v>59</v>
      </c>
      <c r="H30" s="377">
        <f>SUM(D16:D$86)/(C16*B16)</f>
        <v>16.876522115298293</v>
      </c>
      <c r="I30" s="378">
        <f t="shared" si="20"/>
        <v>0.35090299556545024</v>
      </c>
      <c r="J30" s="376"/>
      <c r="K30" s="376"/>
      <c r="L30" s="376"/>
      <c r="M30" s="382">
        <v>3</v>
      </c>
      <c r="N30" s="383">
        <f t="shared" ref="N30:N38" si="25">75000*I28-G$39*H28</f>
        <v>2406.721779728854</v>
      </c>
      <c r="O30" s="383">
        <f>W29*I28</f>
        <v>838.32764725019331</v>
      </c>
      <c r="P30" s="383">
        <f t="shared" si="22"/>
        <v>2197.8734084793514</v>
      </c>
      <c r="Q30" s="383">
        <f t="shared" si="21"/>
        <v>119.9468352119838</v>
      </c>
      <c r="R30" s="388">
        <f>0.04*(N30+O30+P30-Q30)</f>
        <v>212.91904000985662</v>
      </c>
      <c r="S30" s="388">
        <f>AB15*(H$8+W29)</f>
        <v>191.22184831249641</v>
      </c>
      <c r="T30" s="387">
        <f>(1-AB15)*(N31+W29*I29)</f>
        <v>4502.8009223625741</v>
      </c>
      <c r="U30" s="388">
        <f>N30+O30+P30-Q30+R30-S30-T30</f>
        <v>841.87226958120209</v>
      </c>
      <c r="V30" s="387">
        <f>U30/(I29*(1-AB15)+AB15)</f>
        <v>2470.7183461517429</v>
      </c>
      <c r="W30" s="387">
        <f>W29+V30</f>
        <v>5029.4465949688256</v>
      </c>
      <c r="X30" s="389">
        <f t="shared" ref="X30:X37" si="26">V30/75000</f>
        <v>3.2942911282023236E-2</v>
      </c>
      <c r="Y30" s="376"/>
      <c r="Z30" s="376"/>
      <c r="AA30" s="388">
        <f t="shared" ref="AA30:AA37" si="27">P30-Q30</f>
        <v>2077.9265732673675</v>
      </c>
      <c r="AB30" s="387">
        <f>N30+O30</f>
        <v>3245.0494269790474</v>
      </c>
    </row>
    <row r="31" spans="1:28">
      <c r="A31" s="382">
        <v>19</v>
      </c>
      <c r="B31" s="384">
        <f t="shared" si="11"/>
        <v>0.88569919007333409</v>
      </c>
      <c r="C31" s="378">
        <f t="shared" si="1"/>
        <v>0.47464242404934376</v>
      </c>
      <c r="D31" s="378">
        <f t="shared" si="2"/>
        <v>0.42039041055494775</v>
      </c>
      <c r="E31" s="378">
        <f t="shared" si="3"/>
        <v>0.11886922809112456</v>
      </c>
      <c r="F31" s="376"/>
      <c r="G31" s="382">
        <v>60</v>
      </c>
      <c r="H31" s="377">
        <f>SUM(D17:D$86)/(C17*B17)</f>
        <v>16.562065564124001</v>
      </c>
      <c r="I31" s="378">
        <f t="shared" si="20"/>
        <v>0.36299747830292295</v>
      </c>
      <c r="J31" s="376"/>
      <c r="K31" s="376"/>
      <c r="L31" s="376"/>
      <c r="M31" s="382">
        <v>4</v>
      </c>
      <c r="N31" s="383">
        <f t="shared" si="25"/>
        <v>3646.1991338360822</v>
      </c>
      <c r="O31" s="383">
        <f t="shared" ref="O31:O37" si="28">W30*I29</f>
        <v>1705.5590216843423</v>
      </c>
      <c r="P31" s="383">
        <f t="shared" si="22"/>
        <v>2197.8734084793514</v>
      </c>
      <c r="Q31" s="383">
        <f t="shared" si="21"/>
        <v>119.9468352119838</v>
      </c>
      <c r="R31" s="388">
        <f t="shared" ref="R31:R37" si="29">0.04*(N31+O31+P31-Q31)</f>
        <v>297.1873891515117</v>
      </c>
      <c r="S31" s="388">
        <f t="shared" ref="S31:S37" si="30">AB16*(H$8+W30)</f>
        <v>219.54620815995312</v>
      </c>
      <c r="T31" s="387">
        <f t="shared" ref="T31:T37" si="31">(1-AB16)*(N32+W30*I30)</f>
        <v>6665.509102243569</v>
      </c>
      <c r="U31" s="388">
        <f t="shared" ref="U31:U37" si="32">N31+O31+P31-Q31+R31-S31-T31</f>
        <v>841.81680753578075</v>
      </c>
      <c r="V31" s="387">
        <f t="shared" ref="V31:V37" si="33">U31/(I30*(1-AB16)+AB16)</f>
        <v>2386.9191084628592</v>
      </c>
      <c r="W31" s="387">
        <f t="shared" ref="W31:W37" si="34">W30+V31</f>
        <v>7416.3657034316848</v>
      </c>
      <c r="X31" s="389">
        <f t="shared" si="26"/>
        <v>3.1825588112838123E-2</v>
      </c>
      <c r="Y31" s="376"/>
      <c r="Z31" s="376"/>
      <c r="AA31" s="388">
        <f t="shared" si="27"/>
        <v>2077.9265732673675</v>
      </c>
      <c r="AB31" s="387">
        <f t="shared" ref="AB31:AB37" si="35">N31+O31</f>
        <v>5351.7581555204242</v>
      </c>
    </row>
    <row r="32" spans="1:28">
      <c r="A32" s="382">
        <v>20</v>
      </c>
      <c r="B32" s="384">
        <f t="shared" si="11"/>
        <v>0.87113805968033342</v>
      </c>
      <c r="C32" s="378">
        <f t="shared" si="1"/>
        <v>0.45638694620129205</v>
      </c>
      <c r="D32" s="378">
        <f t="shared" si="2"/>
        <v>0.39757603877722625</v>
      </c>
      <c r="E32" s="378">
        <f t="shared" si="3"/>
        <v>0.13291019666600787</v>
      </c>
      <c r="F32" s="376"/>
      <c r="G32" s="382">
        <v>61</v>
      </c>
      <c r="H32" s="377">
        <f>SUM(D18:D$86)/(C18*B18)</f>
        <v>16.239734234455462</v>
      </c>
      <c r="I32" s="378">
        <f t="shared" si="20"/>
        <v>0.37539483713632837</v>
      </c>
      <c r="J32" s="376"/>
      <c r="K32" s="376"/>
      <c r="L32" s="376"/>
      <c r="M32" s="382">
        <v>5</v>
      </c>
      <c r="N32" s="383">
        <f t="shared" si="25"/>
        <v>4918.9513031577408</v>
      </c>
      <c r="O32" s="383">
        <f t="shared" si="28"/>
        <v>2602.4249415430459</v>
      </c>
      <c r="P32" s="383">
        <f t="shared" si="22"/>
        <v>2197.8734084793514</v>
      </c>
      <c r="Q32" s="383">
        <f t="shared" si="21"/>
        <v>119.9468352119838</v>
      </c>
      <c r="R32" s="388">
        <f t="shared" si="29"/>
        <v>383.97211271872612</v>
      </c>
      <c r="S32" s="388">
        <f t="shared" si="30"/>
        <v>251.82160827610053</v>
      </c>
      <c r="T32" s="387">
        <f t="shared" si="31"/>
        <v>8889.6988358098497</v>
      </c>
      <c r="U32" s="388">
        <f t="shared" si="32"/>
        <v>841.75448660092843</v>
      </c>
      <c r="V32" s="387">
        <f t="shared" si="33"/>
        <v>2306.5614265706372</v>
      </c>
      <c r="W32" s="387">
        <f t="shared" si="34"/>
        <v>9722.9271300023211</v>
      </c>
      <c r="X32" s="389">
        <f t="shared" si="26"/>
        <v>3.0754152354275161E-2</v>
      </c>
      <c r="Y32" s="376"/>
      <c r="Z32" s="376"/>
      <c r="AA32" s="388">
        <f t="shared" si="27"/>
        <v>2077.9265732673675</v>
      </c>
      <c r="AB32" s="387">
        <f t="shared" si="35"/>
        <v>7521.3762447007866</v>
      </c>
    </row>
    <row r="33" spans="1:28">
      <c r="A33" s="382">
        <v>21</v>
      </c>
      <c r="B33" s="384">
        <f t="shared" si="11"/>
        <v>0.85508023611404405</v>
      </c>
      <c r="C33" s="378">
        <f t="shared" si="1"/>
        <v>0.43883360211662686</v>
      </c>
      <c r="D33" s="378">
        <f t="shared" si="2"/>
        <v>0.37523794011266176</v>
      </c>
      <c r="E33" s="378">
        <f t="shared" si="3"/>
        <v>0.14798096371270855</v>
      </c>
      <c r="F33" s="376"/>
      <c r="G33" s="382">
        <v>62</v>
      </c>
      <c r="H33" s="377">
        <f>SUM(D19:D$86)/(C19*B19)</f>
        <v>15.90964674322394</v>
      </c>
      <c r="I33" s="378">
        <f t="shared" si="20"/>
        <v>0.38809050987600224</v>
      </c>
      <c r="J33" s="376"/>
      <c r="K33" s="376"/>
      <c r="L33" s="376"/>
      <c r="M33" s="382">
        <v>6</v>
      </c>
      <c r="N33" s="383">
        <f t="shared" si="25"/>
        <v>6224.75617962041</v>
      </c>
      <c r="O33" s="383">
        <f t="shared" si="28"/>
        <v>3529.3980299139184</v>
      </c>
      <c r="P33" s="383">
        <f t="shared" si="22"/>
        <v>2197.8734084793514</v>
      </c>
      <c r="Q33" s="383">
        <f t="shared" si="21"/>
        <v>119.9468352119838</v>
      </c>
      <c r="R33" s="388">
        <f t="shared" si="29"/>
        <v>473.28323131206781</v>
      </c>
      <c r="S33" s="388">
        <f t="shared" si="30"/>
        <v>288.58604737040588</v>
      </c>
      <c r="T33" s="387">
        <f t="shared" si="31"/>
        <v>11175.093505629131</v>
      </c>
      <c r="U33" s="388">
        <f t="shared" si="32"/>
        <v>841.684461114226</v>
      </c>
      <c r="V33" s="387">
        <f t="shared" si="33"/>
        <v>2229.5250799655073</v>
      </c>
      <c r="W33" s="387">
        <f t="shared" si="34"/>
        <v>11952.452209967829</v>
      </c>
      <c r="X33" s="389">
        <f t="shared" si="26"/>
        <v>2.9727001066206765E-2</v>
      </c>
      <c r="Y33" s="376"/>
      <c r="Z33" s="376"/>
      <c r="AA33" s="388">
        <f t="shared" si="27"/>
        <v>2077.9265732673675</v>
      </c>
      <c r="AB33" s="387">
        <f t="shared" si="35"/>
        <v>9754.1542095343284</v>
      </c>
    </row>
    <row r="34" spans="1:28">
      <c r="A34" s="382">
        <v>22</v>
      </c>
      <c r="B34" s="384">
        <f t="shared" si="11"/>
        <v>0.83740714359213242</v>
      </c>
      <c r="C34" s="378">
        <f t="shared" si="1"/>
        <v>0.42195538665060278</v>
      </c>
      <c r="D34" s="378">
        <f t="shared" si="2"/>
        <v>0.35334845505839507</v>
      </c>
      <c r="E34" s="378">
        <f t="shared" si="3"/>
        <v>0.16405964494469213</v>
      </c>
      <c r="F34" s="376"/>
      <c r="G34" s="382">
        <v>63</v>
      </c>
      <c r="H34" s="377">
        <f>SUM(D20:D$86)/(C20*B20)</f>
        <v>15.571958054145993</v>
      </c>
      <c r="I34" s="378">
        <f t="shared" si="20"/>
        <v>0.40107853637900026</v>
      </c>
      <c r="J34" s="376"/>
      <c r="K34" s="376"/>
      <c r="L34" s="376"/>
      <c r="M34" s="382">
        <v>7</v>
      </c>
      <c r="N34" s="383">
        <f t="shared" si="25"/>
        <v>7563.2616759952834</v>
      </c>
      <c r="O34" s="383">
        <f t="shared" si="28"/>
        <v>4486.8888507406209</v>
      </c>
      <c r="P34" s="383">
        <f t="shared" si="22"/>
        <v>2197.8734084793514</v>
      </c>
      <c r="Q34" s="383">
        <f t="shared" si="21"/>
        <v>119.9468352119838</v>
      </c>
      <c r="R34" s="388">
        <f t="shared" si="29"/>
        <v>565.12308400013092</v>
      </c>
      <c r="S34" s="388">
        <f t="shared" si="30"/>
        <v>330.44791048577639</v>
      </c>
      <c r="T34" s="387">
        <f t="shared" si="31"/>
        <v>13521.146491694721</v>
      </c>
      <c r="U34" s="388">
        <f t="shared" si="32"/>
        <v>841.60578182290737</v>
      </c>
      <c r="V34" s="387">
        <f t="shared" si="33"/>
        <v>2155.6938152081989</v>
      </c>
      <c r="W34" s="387">
        <f t="shared" si="34"/>
        <v>14108.146025176027</v>
      </c>
      <c r="X34" s="389">
        <f t="shared" si="26"/>
        <v>2.8742584202775985E-2</v>
      </c>
      <c r="Y34" s="376"/>
      <c r="Z34" s="376"/>
      <c r="AA34" s="388">
        <f t="shared" si="27"/>
        <v>2077.9265732673675</v>
      </c>
      <c r="AB34" s="387">
        <f t="shared" si="35"/>
        <v>12050.150526735904</v>
      </c>
    </row>
    <row r="35" spans="1:28">
      <c r="A35" s="382">
        <v>23</v>
      </c>
      <c r="B35" s="384">
        <f t="shared" si="11"/>
        <v>0.81800055082004319</v>
      </c>
      <c r="C35" s="378">
        <f t="shared" si="1"/>
        <v>0.40572633331788732</v>
      </c>
      <c r="D35" s="378">
        <f t="shared" si="2"/>
        <v>0.33188436413622829</v>
      </c>
      <c r="E35" s="378">
        <f t="shared" si="3"/>
        <v>0.18109661173510305</v>
      </c>
      <c r="F35" s="376"/>
      <c r="G35" s="382">
        <v>64</v>
      </c>
      <c r="H35" s="377">
        <f>SUM(D21:D$86)/(C21*B21)</f>
        <v>15.226861948619019</v>
      </c>
      <c r="I35" s="378">
        <f t="shared" si="20"/>
        <v>0.41435146351465302</v>
      </c>
      <c r="J35" s="376"/>
      <c r="K35" s="376"/>
      <c r="L35" s="376"/>
      <c r="M35" s="382">
        <v>8</v>
      </c>
      <c r="N35" s="383">
        <f t="shared" si="25"/>
        <v>8933.9752264041745</v>
      </c>
      <c r="O35" s="383">
        <f t="shared" si="28"/>
        <v>5475.2375843156588</v>
      </c>
      <c r="P35" s="383">
        <f t="shared" si="22"/>
        <v>2197.8734084793514</v>
      </c>
      <c r="Q35" s="383">
        <f t="shared" si="21"/>
        <v>119.9468352119838</v>
      </c>
      <c r="R35" s="388">
        <f t="shared" si="29"/>
        <v>659.48557535948805</v>
      </c>
      <c r="S35" s="388">
        <f t="shared" si="30"/>
        <v>378.09496457506566</v>
      </c>
      <c r="T35" s="387">
        <f t="shared" si="31"/>
        <v>15927.01261139953</v>
      </c>
      <c r="U35" s="388">
        <f t="shared" si="32"/>
        <v>841.51738337209281</v>
      </c>
      <c r="V35" s="387">
        <f t="shared" si="33"/>
        <v>2084.9552090928578</v>
      </c>
      <c r="W35" s="387">
        <f t="shared" si="34"/>
        <v>16193.101234268885</v>
      </c>
      <c r="X35" s="389">
        <f t="shared" si="26"/>
        <v>2.779940278790477E-2</v>
      </c>
      <c r="Y35" s="376"/>
      <c r="Z35" s="376"/>
      <c r="AA35" s="388">
        <f t="shared" si="27"/>
        <v>2077.9265732673675</v>
      </c>
      <c r="AB35" s="387">
        <f t="shared" si="35"/>
        <v>14409.212810719833</v>
      </c>
    </row>
    <row r="36" spans="1:28">
      <c r="A36" s="382">
        <v>24</v>
      </c>
      <c r="B36" s="384">
        <f t="shared" si="11"/>
        <v>0.79674560834125896</v>
      </c>
      <c r="C36" s="378">
        <f t="shared" si="1"/>
        <v>0.39012147434412242</v>
      </c>
      <c r="D36" s="378">
        <f t="shared" si="2"/>
        <v>0.31082757140329664</v>
      </c>
      <c r="E36" s="378">
        <f t="shared" si="3"/>
        <v>0.1990082279261477</v>
      </c>
      <c r="F36" s="376"/>
      <c r="G36" s="382">
        <v>65</v>
      </c>
      <c r="H36" s="377">
        <f>SUM(D22:D$86)/(C22*B22)</f>
        <v>14.874593409013652</v>
      </c>
      <c r="I36" s="378">
        <f t="shared" si="20"/>
        <v>0.42790025349947491</v>
      </c>
      <c r="J36" s="376"/>
      <c r="K36" s="376"/>
      <c r="L36" s="376"/>
      <c r="M36" s="382">
        <v>9</v>
      </c>
      <c r="N36" s="383">
        <f t="shared" si="25"/>
        <v>10336.253332163418</v>
      </c>
      <c r="O36" s="383">
        <f t="shared" si="28"/>
        <v>6494.7053424775468</v>
      </c>
      <c r="P36" s="383">
        <f t="shared" si="22"/>
        <v>2197.8734084793514</v>
      </c>
      <c r="Q36" s="383">
        <f t="shared" si="21"/>
        <v>119.9468352119838</v>
      </c>
      <c r="R36" s="388">
        <f t="shared" si="29"/>
        <v>756.35540991633331</v>
      </c>
      <c r="S36" s="388">
        <f t="shared" si="30"/>
        <v>432.3044658537583</v>
      </c>
      <c r="T36" s="387">
        <f t="shared" si="31"/>
        <v>18391.51812164181</v>
      </c>
      <c r="U36" s="388">
        <f t="shared" si="32"/>
        <v>841.41807032909855</v>
      </c>
      <c r="V36" s="387">
        <f t="shared" si="33"/>
        <v>2017.2005317441949</v>
      </c>
      <c r="W36" s="387">
        <f t="shared" si="34"/>
        <v>18210.301766013079</v>
      </c>
      <c r="X36" s="389">
        <f t="shared" si="26"/>
        <v>2.68960070899226E-2</v>
      </c>
      <c r="Y36" s="376"/>
      <c r="Z36" s="376"/>
      <c r="AA36" s="388">
        <f t="shared" si="27"/>
        <v>2077.9265732673675</v>
      </c>
      <c r="AB36" s="387">
        <f t="shared" si="35"/>
        <v>16830.958674640966</v>
      </c>
    </row>
    <row r="37" spans="1:28">
      <c r="A37" s="382">
        <v>25</v>
      </c>
      <c r="B37" s="384">
        <f t="shared" si="11"/>
        <v>0.77353470318246753</v>
      </c>
      <c r="C37" s="378">
        <f t="shared" si="1"/>
        <v>0.37511680225396377</v>
      </c>
      <c r="D37" s="378">
        <f t="shared" si="2"/>
        <v>0.29016586429027624</v>
      </c>
      <c r="E37" s="378">
        <f t="shared" si="3"/>
        <v>0.21767001301464678</v>
      </c>
      <c r="F37" s="376"/>
      <c r="G37" s="376"/>
      <c r="H37" s="376"/>
      <c r="I37" s="376"/>
      <c r="J37" s="376"/>
      <c r="K37" s="376"/>
      <c r="L37" s="376"/>
      <c r="M37" s="382">
        <v>10</v>
      </c>
      <c r="N37" s="383">
        <f t="shared" si="25"/>
        <v>11769.291301201087</v>
      </c>
      <c r="O37" s="383">
        <f t="shared" si="28"/>
        <v>7545.4651877909901</v>
      </c>
      <c r="P37" s="383">
        <f t="shared" si="22"/>
        <v>2197.8734084793514</v>
      </c>
      <c r="Q37" s="383">
        <f t="shared" si="21"/>
        <v>119.9468352119838</v>
      </c>
      <c r="R37" s="388">
        <f t="shared" si="29"/>
        <v>855.70732249037769</v>
      </c>
      <c r="S37" s="388">
        <f t="shared" si="30"/>
        <v>493.95450783844285</v>
      </c>
      <c r="T37" s="387">
        <f t="shared" si="31"/>
        <v>20913.129375326356</v>
      </c>
      <c r="U37" s="388">
        <f t="shared" si="32"/>
        <v>841.30650158501885</v>
      </c>
      <c r="V37" s="387">
        <f t="shared" si="33"/>
        <v>1952.3246095346708</v>
      </c>
      <c r="W37" s="387">
        <f t="shared" si="34"/>
        <v>20162.626375547748</v>
      </c>
      <c r="X37" s="389">
        <f t="shared" si="26"/>
        <v>2.6030994793795611E-2</v>
      </c>
      <c r="Y37" s="376"/>
      <c r="Z37" s="376"/>
      <c r="AA37" s="388">
        <f t="shared" si="27"/>
        <v>2077.9265732673675</v>
      </c>
      <c r="AB37" s="387">
        <f t="shared" si="35"/>
        <v>19314.756488992076</v>
      </c>
    </row>
    <row r="38" spans="1:28">
      <c r="A38" s="382">
        <v>26</v>
      </c>
      <c r="B38" s="384">
        <f t="shared" si="11"/>
        <v>0.74827223214420013</v>
      </c>
      <c r="C38" s="378">
        <f t="shared" si="1"/>
        <v>0.36068923293650368</v>
      </c>
      <c r="D38" s="378">
        <f t="shared" si="2"/>
        <v>0.26989373743977696</v>
      </c>
      <c r="E38" s="378">
        <f t="shared" si="3"/>
        <v>0.23690943382270599</v>
      </c>
      <c r="F38" s="376"/>
      <c r="G38" s="376" t="s">
        <v>771</v>
      </c>
      <c r="H38" s="376"/>
      <c r="I38" s="376"/>
      <c r="J38" s="376"/>
      <c r="K38" s="376"/>
      <c r="L38" s="376"/>
      <c r="M38" s="382">
        <v>11</v>
      </c>
      <c r="N38" s="383">
        <f t="shared" si="25"/>
        <v>13232.113351253134</v>
      </c>
      <c r="O38" s="376"/>
      <c r="P38" s="376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</row>
    <row r="39" spans="1:28">
      <c r="A39" s="382">
        <v>27</v>
      </c>
      <c r="B39" s="384">
        <f t="shared" si="11"/>
        <v>0.72088037421328333</v>
      </c>
      <c r="C39" s="378">
        <f t="shared" si="1"/>
        <v>0.3468165701312535</v>
      </c>
      <c r="D39" s="378">
        <f t="shared" si="2"/>
        <v>0.25001325885958542</v>
      </c>
      <c r="E39" s="378">
        <f t="shared" si="3"/>
        <v>0.25649865586232484</v>
      </c>
      <c r="F39" s="376"/>
      <c r="G39" s="385">
        <f>75000*I26/H26</f>
        <v>1267.9610892610028</v>
      </c>
      <c r="H39" s="376"/>
      <c r="I39" s="376"/>
      <c r="J39" s="376"/>
      <c r="K39" s="376"/>
      <c r="L39" s="376"/>
      <c r="M39" s="376"/>
      <c r="N39" s="376"/>
      <c r="O39" s="376"/>
      <c r="P39" s="376"/>
      <c r="Q39" s="376"/>
      <c r="R39" s="376"/>
      <c r="S39" s="376"/>
      <c r="T39" s="376"/>
      <c r="U39" s="376"/>
      <c r="V39" s="376"/>
      <c r="W39" s="376"/>
      <c r="X39" s="376"/>
      <c r="Y39" s="376"/>
      <c r="Z39" s="376"/>
      <c r="AA39" s="376"/>
      <c r="AB39" s="376"/>
    </row>
    <row r="40" spans="1:28">
      <c r="A40" s="382">
        <v>28</v>
      </c>
      <c r="B40" s="384">
        <f t="shared" si="11"/>
        <v>0.69130590362794841</v>
      </c>
      <c r="C40" s="378">
        <f t="shared" si="1"/>
        <v>0.3334774712800514</v>
      </c>
      <c r="D40" s="378">
        <f t="shared" si="2"/>
        <v>0.23053494462281915</v>
      </c>
      <c r="E40" s="378">
        <f t="shared" si="3"/>
        <v>0.27614775062682495</v>
      </c>
      <c r="F40" s="376"/>
      <c r="G40" s="376"/>
      <c r="H40" s="376"/>
      <c r="I40" s="376"/>
      <c r="J40" s="376"/>
      <c r="K40" s="376"/>
      <c r="L40" s="376"/>
      <c r="M40" s="376"/>
      <c r="N40" s="376"/>
      <c r="O40" s="376"/>
      <c r="P40" s="376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</row>
    <row r="41" spans="1:28">
      <c r="A41" s="382">
        <v>29</v>
      </c>
      <c r="B41" s="384">
        <f t="shared" si="11"/>
        <v>0.65952802221026385</v>
      </c>
      <c r="C41" s="378">
        <f t="shared" si="1"/>
        <v>0.32065141469235708</v>
      </c>
      <c r="D41" s="378">
        <f t="shared" si="2"/>
        <v>0.21147859335097341</v>
      </c>
      <c r="E41" s="378">
        <f t="shared" si="3"/>
        <v>0.29549905634268908</v>
      </c>
      <c r="F41" s="376"/>
      <c r="G41" s="376"/>
      <c r="H41" s="376"/>
      <c r="I41" s="376"/>
      <c r="J41" s="376"/>
      <c r="K41" s="376"/>
      <c r="L41" s="376"/>
      <c r="M41" s="376"/>
      <c r="N41" s="376"/>
      <c r="O41" s="376"/>
      <c r="P41" s="376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</row>
    <row r="42" spans="1:28">
      <c r="A42" s="382">
        <v>30</v>
      </c>
      <c r="B42" s="384">
        <f t="shared" si="11"/>
        <v>0.62556709644240505</v>
      </c>
      <c r="C42" s="378">
        <f t="shared" si="1"/>
        <v>0.30831866797342034</v>
      </c>
      <c r="D42" s="378">
        <f t="shared" si="2"/>
        <v>0.1928740139031225</v>
      </c>
      <c r="E42" s="378">
        <f t="shared" si="3"/>
        <v>0.31412362187671306</v>
      </c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</row>
    <row r="43" spans="1:28">
      <c r="A43" s="382">
        <v>31</v>
      </c>
      <c r="B43" s="384">
        <f t="shared" si="11"/>
        <v>0.58949405566565027</v>
      </c>
      <c r="C43" s="378">
        <f t="shared" si="1"/>
        <v>0.29646025766675027</v>
      </c>
      <c r="D43" s="378">
        <f t="shared" si="2"/>
        <v>0.17476155963565632</v>
      </c>
      <c r="E43" s="378">
        <f t="shared" si="3"/>
        <v>0.33152091186849714</v>
      </c>
      <c r="F43" s="376"/>
      <c r="G43" s="376"/>
      <c r="H43" s="376"/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</row>
    <row r="44" spans="1:28">
      <c r="A44" s="382">
        <v>32</v>
      </c>
      <c r="B44" s="384">
        <f t="shared" si="11"/>
        <v>0.5514400389630737</v>
      </c>
      <c r="C44" s="378">
        <f t="shared" si="1"/>
        <v>0.28505794006418295</v>
      </c>
      <c r="D44" s="378">
        <f t="shared" si="2"/>
        <v>0.15719236157572658</v>
      </c>
      <c r="E44" s="378">
        <f t="shared" si="3"/>
        <v>0.34712318759694372</v>
      </c>
      <c r="F44" s="376"/>
      <c r="G44" s="376"/>
      <c r="H44" s="376"/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</row>
    <row r="45" spans="1:28">
      <c r="A45" s="382">
        <v>33</v>
      </c>
      <c r="B45" s="384">
        <f t="shared" si="11"/>
        <v>0.51160567018499559</v>
      </c>
      <c r="C45" s="378">
        <f t="shared" si="1"/>
        <v>0.27409417313863743</v>
      </c>
      <c r="D45" s="378">
        <f t="shared" si="2"/>
        <v>0.14022813314239482</v>
      </c>
      <c r="E45" s="378">
        <f t="shared" si="3"/>
        <v>0.36030615629998691</v>
      </c>
      <c r="F45" s="376"/>
      <c r="G45" s="376"/>
      <c r="H45" s="376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</row>
    <row r="46" spans="1:28">
      <c r="A46" s="382">
        <v>34</v>
      </c>
      <c r="B46" s="384">
        <f t="shared" si="11"/>
        <v>0.47026910089005708</v>
      </c>
      <c r="C46" s="378">
        <f t="shared" si="1"/>
        <v>0.26355208955638215</v>
      </c>
      <c r="D46" s="378">
        <f t="shared" si="2"/>
        <v>0.12394040419337564</v>
      </c>
      <c r="E46" s="378">
        <f t="shared" si="3"/>
        <v>0.37040753323428988</v>
      </c>
      <c r="F46" s="376"/>
      <c r="G46" s="376"/>
      <c r="H46" s="376"/>
      <c r="I46" s="376"/>
      <c r="J46" s="376"/>
      <c r="K46" s="376"/>
      <c r="L46" s="376"/>
      <c r="M46" s="376"/>
      <c r="N46" s="376"/>
      <c r="O46" s="376"/>
      <c r="P46" s="376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</row>
    <row r="47" spans="1:28">
      <c r="A47" s="382">
        <v>35</v>
      </c>
      <c r="B47" s="384">
        <f t="shared" si="11"/>
        <v>0.42779170848361542</v>
      </c>
      <c r="C47" s="378">
        <f t="shared" si="1"/>
        <v>0.25341547072729048</v>
      </c>
      <c r="D47" s="378">
        <f t="shared" si="2"/>
        <v>0.10840903717860723</v>
      </c>
      <c r="E47" s="378">
        <f t="shared" si="3"/>
        <v>0.37675499371811866</v>
      </c>
      <c r="F47" s="376"/>
      <c r="G47" s="376"/>
      <c r="H47" s="376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</row>
    <row r="48" spans="1:28">
      <c r="A48" s="382">
        <v>36</v>
      </c>
      <c r="B48" s="384">
        <f t="shared" si="11"/>
        <v>0.38462010551849907</v>
      </c>
      <c r="C48" s="378">
        <f t="shared" si="1"/>
        <v>0.24366872185316396</v>
      </c>
      <c r="D48" s="378">
        <f t="shared" si="2"/>
        <v>9.3719889510721716E-2</v>
      </c>
      <c r="E48" s="378">
        <f t="shared" si="3"/>
        <v>0.37870449533503792</v>
      </c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</row>
    <row r="49" spans="1:28">
      <c r="A49" s="382">
        <v>37</v>
      </c>
      <c r="B49" s="384">
        <f t="shared" si="11"/>
        <v>0.34128295857847474</v>
      </c>
      <c r="C49" s="378">
        <f t="shared" si="1"/>
        <v>0.23429684793573452</v>
      </c>
      <c r="D49" s="378">
        <f t="shared" si="2"/>
        <v>7.9961521449118472E-2</v>
      </c>
      <c r="E49" s="378">
        <f t="shared" si="3"/>
        <v>0.3756890062832921</v>
      </c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</row>
    <row r="50" spans="1:28">
      <c r="A50" s="382">
        <v>38</v>
      </c>
      <c r="B50" s="384">
        <f t="shared" si="11"/>
        <v>0.29838110354359182</v>
      </c>
      <c r="C50" s="378">
        <f t="shared" si="1"/>
        <v>0.22528543070743706</v>
      </c>
      <c r="D50" s="378">
        <f t="shared" si="2"/>
        <v>6.7220915426778452E-2</v>
      </c>
      <c r="E50" s="378">
        <f t="shared" si="3"/>
        <v>0.36727618980790172</v>
      </c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</row>
    <row r="51" spans="1:28">
      <c r="A51" s="382">
        <v>39</v>
      </c>
      <c r="B51" s="384">
        <f t="shared" si="11"/>
        <v>0.25656966585566443</v>
      </c>
      <c r="C51" s="378">
        <f t="shared" si="1"/>
        <v>0.21662060644945874</v>
      </c>
      <c r="D51" s="378">
        <f t="shared" si="2"/>
        <v>5.5578276614189015E-2</v>
      </c>
      <c r="E51" s="378">
        <f t="shared" si="3"/>
        <v>0.3532315405508209</v>
      </c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</row>
    <row r="52" spans="1:28">
      <c r="A52" s="382">
        <v>40</v>
      </c>
      <c r="B52" s="384">
        <f t="shared" si="11"/>
        <v>0.21653143995093688</v>
      </c>
      <c r="C52" s="378">
        <f t="shared" si="1"/>
        <v>0.20828904466294101</v>
      </c>
      <c r="D52" s="378">
        <f t="shared" si="2"/>
        <v>4.510112676687162E-2</v>
      </c>
      <c r="E52" s="378">
        <f t="shared" si="3"/>
        <v>0.33358095294778878</v>
      </c>
      <c r="F52" s="376"/>
      <c r="G52" s="376"/>
      <c r="H52" s="376"/>
      <c r="I52" s="376"/>
      <c r="J52" s="376"/>
      <c r="K52" s="376"/>
      <c r="L52" s="376"/>
      <c r="M52" s="376"/>
      <c r="N52" s="376"/>
      <c r="O52" s="376"/>
      <c r="P52" s="376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</row>
    <row r="53" spans="1:28">
      <c r="A53" s="382">
        <v>41</v>
      </c>
      <c r="B53" s="384">
        <f t="shared" si="11"/>
        <v>0.17894172030314195</v>
      </c>
      <c r="C53" s="378">
        <f t="shared" si="1"/>
        <v>0.20027792756052021</v>
      </c>
      <c r="D53" s="378">
        <f t="shared" si="2"/>
        <v>3.5838076896427533E-2</v>
      </c>
      <c r="E53" s="378">
        <f t="shared" si="3"/>
        <v>0.30866403709429474</v>
      </c>
      <c r="F53" s="376"/>
      <c r="G53" s="376"/>
      <c r="H53" s="376"/>
      <c r="I53" s="376"/>
      <c r="J53" s="376"/>
      <c r="K53" s="376"/>
      <c r="L53" s="376"/>
      <c r="M53" s="376"/>
      <c r="N53" s="376"/>
      <c r="O53" s="376"/>
      <c r="P53" s="376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</row>
    <row r="54" spans="1:28">
      <c r="A54" s="382">
        <v>42</v>
      </c>
      <c r="B54" s="384">
        <f t="shared" si="11"/>
        <v>0.14442611860285809</v>
      </c>
      <c r="C54" s="378">
        <f t="shared" si="1"/>
        <v>0.19257493034665407</v>
      </c>
      <c r="D54" s="378">
        <f t="shared" si="2"/>
        <v>2.7812849730182998E-2</v>
      </c>
      <c r="E54" s="378">
        <f t="shared" si="3"/>
        <v>0.27916726291881089</v>
      </c>
      <c r="F54" s="376"/>
      <c r="G54" s="376"/>
      <c r="H54" s="376"/>
      <c r="I54" s="376"/>
      <c r="J54" s="376"/>
      <c r="K54" s="376"/>
      <c r="L54" s="376"/>
      <c r="M54" s="376"/>
      <c r="N54" s="376"/>
      <c r="O54" s="376"/>
      <c r="P54" s="376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</row>
    <row r="55" spans="1:28">
      <c r="A55" s="382">
        <v>43</v>
      </c>
      <c r="B55" s="384">
        <f t="shared" si="11"/>
        <v>0.11351455512952001</v>
      </c>
      <c r="C55" s="378">
        <f t="shared" si="1"/>
        <v>0.18516820225639813</v>
      </c>
      <c r="D55" s="378">
        <f t="shared" si="2"/>
        <v>2.1019286103268017E-2</v>
      </c>
      <c r="E55" s="378">
        <f t="shared" si="3"/>
        <v>0.24612506140357984</v>
      </c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</row>
    <row r="56" spans="1:28">
      <c r="A56" s="382">
        <v>44</v>
      </c>
      <c r="B56" s="384">
        <f t="shared" si="11"/>
        <v>8.6596338859618482E-2</v>
      </c>
      <c r="C56" s="378">
        <f t="shared" si="1"/>
        <v>0.17804634832345972</v>
      </c>
      <c r="D56" s="378">
        <f t="shared" si="2"/>
        <v>1.5418161912135983E-2</v>
      </c>
      <c r="E56" s="378">
        <f t="shared" si="3"/>
        <v>0.21087836485043274</v>
      </c>
      <c r="F56" s="376"/>
      <c r="G56" s="376"/>
      <c r="H56" s="376"/>
      <c r="I56" s="376"/>
      <c r="J56" s="376"/>
      <c r="K56" s="376"/>
      <c r="L56" s="376"/>
      <c r="M56" s="376"/>
      <c r="N56" s="376"/>
      <c r="O56" s="376"/>
      <c r="P56" s="376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</row>
    <row r="57" spans="1:28">
      <c r="A57" s="382">
        <v>45</v>
      </c>
      <c r="B57" s="384">
        <f t="shared" si="11"/>
        <v>6.3882647735411066E-2</v>
      </c>
      <c r="C57" s="378">
        <f t="shared" si="1"/>
        <v>0.17119841184948048</v>
      </c>
      <c r="D57" s="378">
        <f t="shared" si="2"/>
        <v>1.0936607837042185E-2</v>
      </c>
      <c r="E57" s="378">
        <f t="shared" si="3"/>
        <v>0.17498465314667777</v>
      </c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/>
      <c r="AB57" s="376"/>
    </row>
    <row r="58" spans="1:28">
      <c r="A58" s="382">
        <v>46</v>
      </c>
      <c r="B58" s="384">
        <f t="shared" si="11"/>
        <v>4.5383258102961004E-2</v>
      </c>
      <c r="C58" s="378">
        <f t="shared" si="1"/>
        <v>0.1646138575475774</v>
      </c>
      <c r="D58" s="378">
        <f t="shared" si="2"/>
        <v>7.4707131844057601E-3</v>
      </c>
      <c r="E58" s="378">
        <f t="shared" si="3"/>
        <v>0.14008177092497018</v>
      </c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</row>
    <row r="59" spans="1:28">
      <c r="A59" s="382">
        <v>47</v>
      </c>
      <c r="B59" s="384">
        <f t="shared" si="11"/>
        <v>3.0903513925597099E-2</v>
      </c>
      <c r="C59" s="378">
        <f t="shared" si="1"/>
        <v>0.15828255533420904</v>
      </c>
      <c r="D59" s="378">
        <f t="shared" si="2"/>
        <v>4.8914871529498229E-3</v>
      </c>
      <c r="E59" s="378">
        <f t="shared" si="3"/>
        <v>0.1077188727220033</v>
      </c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</row>
    <row r="60" spans="1:28">
      <c r="A60" s="382">
        <v>48</v>
      </c>
      <c r="B60" s="384">
        <f t="shared" si="11"/>
        <v>2.0064937764273229E-2</v>
      </c>
      <c r="C60" s="378">
        <f t="shared" si="1"/>
        <v>0.15219476474443175</v>
      </c>
      <c r="D60" s="378">
        <f t="shared" si="2"/>
        <v>3.0537784826452285E-3</v>
      </c>
      <c r="E60" s="378">
        <f t="shared" si="3"/>
        <v>7.9179578353790039E-2</v>
      </c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</row>
    <row r="61" spans="1:28">
      <c r="A61" s="382">
        <v>49</v>
      </c>
      <c r="B61" s="384">
        <f t="shared" si="11"/>
        <v>1.2348691227294867E-2</v>
      </c>
      <c r="C61" s="378">
        <f t="shared" si="1"/>
        <v>0.14634111994656898</v>
      </c>
      <c r="D61" s="378">
        <f t="shared" si="2"/>
        <v>1.8071213040767023E-3</v>
      </c>
      <c r="E61" s="378">
        <f t="shared" si="3"/>
        <v>5.5331003840257152E-2</v>
      </c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</row>
    <row r="62" spans="1:28">
      <c r="A62" s="382">
        <v>50</v>
      </c>
      <c r="B62" s="384">
        <f t="shared" si="11"/>
        <v>7.1560703211215326E-3</v>
      </c>
      <c r="C62" s="378">
        <f t="shared" si="1"/>
        <v>0.14071261533323939</v>
      </c>
      <c r="D62" s="378">
        <f t="shared" si="2"/>
        <v>1.0069493703935852E-3</v>
      </c>
      <c r="E62" s="378">
        <f t="shared" si="3"/>
        <v>3.6533363407085268E-2</v>
      </c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</row>
    <row r="63" spans="1:28">
      <c r="A63" s="382">
        <v>51</v>
      </c>
      <c r="B63" s="384">
        <f t="shared" si="11"/>
        <v>3.8757769023673619E-3</v>
      </c>
      <c r="C63" s="378">
        <f t="shared" si="1"/>
        <v>0.13530059166657632</v>
      </c>
      <c r="D63" s="378">
        <f t="shared" si="2"/>
        <v>5.2439490805795443E-4</v>
      </c>
      <c r="E63" s="378">
        <f t="shared" si="3"/>
        <v>2.2635107660268203E-2</v>
      </c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</row>
    <row r="64" spans="1:28">
      <c r="A64" s="382">
        <v>52</v>
      </c>
      <c r="B64" s="384">
        <f t="shared" si="11"/>
        <v>1.9455017487624738E-3</v>
      </c>
      <c r="C64" s="378">
        <f t="shared" si="1"/>
        <v>0.13009672275632339</v>
      </c>
      <c r="D64" s="378">
        <f t="shared" si="2"/>
        <v>2.5310340163069389E-4</v>
      </c>
      <c r="E64" s="378">
        <f t="shared" si="3"/>
        <v>1.3058368518101644E-2</v>
      </c>
      <c r="F64" s="376"/>
      <c r="G64" s="376"/>
      <c r="H64" s="376"/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</row>
    <row r="65" spans="1:28">
      <c r="A65" s="382">
        <v>53</v>
      </c>
      <c r="B65" s="384">
        <f t="shared" si="11"/>
        <v>8.9660212208306439E-4</v>
      </c>
      <c r="C65" s="378">
        <f t="shared" si="1"/>
        <v>0.12509300265031092</v>
      </c>
      <c r="D65" s="378">
        <f t="shared" si="2"/>
        <v>1.1215865163401117E-4</v>
      </c>
      <c r="E65" s="378">
        <f t="shared" si="3"/>
        <v>6.9541302003462277E-3</v>
      </c>
      <c r="F65" s="376"/>
      <c r="G65" s="376"/>
      <c r="H65" s="376"/>
      <c r="I65" s="376"/>
      <c r="J65" s="376"/>
      <c r="K65" s="376"/>
      <c r="L65" s="376"/>
      <c r="M65" s="376"/>
      <c r="N65" s="376"/>
      <c r="O65" s="376"/>
      <c r="P65" s="376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</row>
    <row r="66" spans="1:28">
      <c r="A66" s="382">
        <v>54</v>
      </c>
      <c r="B66" s="384">
        <f t="shared" si="11"/>
        <v>3.7537227792288903E-4</v>
      </c>
      <c r="C66" s="378">
        <f t="shared" si="1"/>
        <v>0.12028173331760666</v>
      </c>
      <c r="D66" s="378">
        <f t="shared" si="2"/>
        <v>4.5150428227943468E-5</v>
      </c>
      <c r="E66" s="378">
        <f t="shared" si="3"/>
        <v>3.3854991720724025E-3</v>
      </c>
      <c r="F66" s="376"/>
      <c r="G66" s="376"/>
      <c r="H66" s="376"/>
      <c r="I66" s="376"/>
      <c r="J66" s="376"/>
      <c r="K66" s="376"/>
      <c r="L66" s="376"/>
      <c r="M66" s="376"/>
      <c r="N66" s="376"/>
      <c r="O66" s="376"/>
      <c r="P66" s="376"/>
      <c r="Q66" s="376"/>
      <c r="R66" s="376"/>
      <c r="S66" s="376"/>
      <c r="T66" s="376"/>
      <c r="U66" s="376"/>
      <c r="V66" s="376"/>
      <c r="W66" s="376"/>
      <c r="X66" s="376"/>
      <c r="Y66" s="376"/>
      <c r="Z66" s="376"/>
      <c r="AA66" s="376"/>
      <c r="AB66" s="376"/>
    </row>
    <row r="67" spans="1:28">
      <c r="A67" s="382">
        <v>55</v>
      </c>
      <c r="B67" s="384">
        <f t="shared" si="11"/>
        <v>1.4107414231847326E-4</v>
      </c>
      <c r="C67" s="378">
        <f t="shared" si="1"/>
        <v>0.11565551280539103</v>
      </c>
      <c r="D67" s="378">
        <f t="shared" si="2"/>
        <v>1.6316002273423743E-5</v>
      </c>
      <c r="E67" s="378">
        <f t="shared" si="3"/>
        <v>1.4903829062471665E-3</v>
      </c>
      <c r="F67" s="376"/>
      <c r="G67" s="376"/>
      <c r="H67" s="376"/>
      <c r="I67" s="376"/>
      <c r="J67" s="376"/>
      <c r="K67" s="376"/>
      <c r="L67" s="376"/>
      <c r="M67" s="376"/>
      <c r="N67" s="376"/>
      <c r="O67" s="376"/>
      <c r="P67" s="376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</row>
    <row r="68" spans="1:28">
      <c r="A68" s="382">
        <v>56</v>
      </c>
      <c r="B68" s="384">
        <f t="shared" si="11"/>
        <v>4.696157528344647E-5</v>
      </c>
      <c r="C68" s="378">
        <f t="shared" si="1"/>
        <v>0.11120722385133754</v>
      </c>
      <c r="D68" s="378">
        <f t="shared" si="2"/>
        <v>5.2224664149576714E-6</v>
      </c>
      <c r="E68" s="378">
        <f t="shared" si="3"/>
        <v>5.8609584933134117E-4</v>
      </c>
      <c r="F68" s="376"/>
      <c r="G68" s="376"/>
      <c r="H68" s="376"/>
      <c r="I68" s="376"/>
      <c r="J68" s="376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</row>
    <row r="69" spans="1:28">
      <c r="A69" s="382">
        <v>57</v>
      </c>
      <c r="B69" s="384">
        <f t="shared" si="11"/>
        <v>1.3639999407625216E-5</v>
      </c>
      <c r="C69" s="378">
        <f t="shared" si="1"/>
        <v>0.10693002293397837</v>
      </c>
      <c r="D69" s="378">
        <f t="shared" si="2"/>
        <v>1.4585254494768158E-6</v>
      </c>
      <c r="E69" s="378">
        <f t="shared" si="3"/>
        <v>2.0309538173807841E-4</v>
      </c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</row>
    <row r="70" spans="1:28">
      <c r="A70" s="382">
        <v>58</v>
      </c>
      <c r="B70" s="384">
        <f t="shared" si="11"/>
        <v>3.3987465844099794E-6</v>
      </c>
      <c r="C70" s="378">
        <f t="shared" si="1"/>
        <v>0.10281732974420998</v>
      </c>
      <c r="D70" s="378">
        <f t="shared" si="2"/>
        <v>3.4945004828628825E-7</v>
      </c>
      <c r="E70" s="378">
        <f t="shared" si="3"/>
        <v>6.1072739574063856E-5</v>
      </c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</row>
    <row r="71" spans="1:28">
      <c r="A71" s="382">
        <v>59</v>
      </c>
      <c r="B71" s="384">
        <f t="shared" si="11"/>
        <v>7.1285567943366524E-7</v>
      </c>
      <c r="C71" s="378">
        <f t="shared" si="1"/>
        <v>9.8862817061740368E-2</v>
      </c>
      <c r="D71" s="378">
        <f t="shared" si="2"/>
        <v>7.0474920627273083E-8</v>
      </c>
      <c r="E71" s="378">
        <f t="shared" si="3"/>
        <v>1.5666549730001472E-5</v>
      </c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</row>
    <row r="72" spans="1:28">
      <c r="A72" s="382">
        <v>60</v>
      </c>
      <c r="B72" s="384">
        <f t="shared" si="11"/>
        <v>1.2319269679321773E-7</v>
      </c>
      <c r="C72" s="378">
        <f t="shared" si="1"/>
        <v>9.506040102090417E-2</v>
      </c>
      <c r="D72" s="378">
        <f t="shared" si="2"/>
        <v>1.1710747160009934E-8</v>
      </c>
      <c r="E72" s="378">
        <f t="shared" si="3"/>
        <v>3.3632159758190041E-6</v>
      </c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</row>
    <row r="73" spans="1:28">
      <c r="A73" s="382">
        <v>61</v>
      </c>
      <c r="B73" s="384">
        <f t="shared" si="11"/>
        <v>1.7125390905218778E-8</v>
      </c>
      <c r="C73" s="378">
        <f t="shared" si="1"/>
        <v>9.1404231750869397E-2</v>
      </c>
      <c r="D73" s="378">
        <f t="shared" si="2"/>
        <v>1.5653331991248483E-9</v>
      </c>
      <c r="E73" s="378">
        <f t="shared" si="3"/>
        <v>5.9139503712319772E-7</v>
      </c>
      <c r="F73" s="376"/>
      <c r="G73" s="376"/>
      <c r="H73" s="376"/>
      <c r="I73" s="376"/>
      <c r="J73" s="376"/>
      <c r="K73" s="376"/>
      <c r="L73" s="376"/>
      <c r="M73" s="376"/>
      <c r="N73" s="376"/>
      <c r="O73" s="376"/>
      <c r="P73" s="376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</row>
    <row r="74" spans="1:28">
      <c r="A74" s="382">
        <v>62</v>
      </c>
      <c r="B74" s="384">
        <f t="shared" si="11"/>
        <v>1.8640036482614377E-9</v>
      </c>
      <c r="C74" s="378">
        <f t="shared" si="1"/>
        <v>8.7888684375835968E-2</v>
      </c>
      <c r="D74" s="378">
        <f t="shared" si="2"/>
        <v>1.6382482831745626E-10</v>
      </c>
      <c r="E74" s="378">
        <f t="shared" si="3"/>
        <v>8.3160801361375998E-8</v>
      </c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</row>
    <row r="75" spans="1:28">
      <c r="A75" s="382">
        <v>63</v>
      </c>
      <c r="B75" s="384">
        <f t="shared" si="11"/>
        <v>1.541092996864832E-10</v>
      </c>
      <c r="C75" s="378">
        <f t="shared" si="1"/>
        <v>8.4508350361380741E-2</v>
      </c>
      <c r="D75" s="378">
        <f t="shared" si="2"/>
        <v>1.3023522691852345E-11</v>
      </c>
      <c r="E75" s="378">
        <f t="shared" si="3"/>
        <v>9.1035220934899809E-9</v>
      </c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</row>
    <row r="76" spans="1:28">
      <c r="A76" s="382">
        <v>64</v>
      </c>
      <c r="B76" s="384">
        <f t="shared" si="11"/>
        <v>9.3535864026975841E-12</v>
      </c>
      <c r="C76" s="378">
        <f t="shared" si="1"/>
        <v>8.1258029193635312E-2</v>
      </c>
      <c r="D76" s="378">
        <f t="shared" si="2"/>
        <v>7.6005399697559056E-13</v>
      </c>
      <c r="E76" s="378">
        <f t="shared" si="3"/>
        <v>7.5280409446139868E-10</v>
      </c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</row>
    <row r="77" spans="1:28">
      <c r="A77" s="382">
        <v>65</v>
      </c>
      <c r="B77" s="384">
        <f t="shared" si="11"/>
        <v>4.0109739414251062E-13</v>
      </c>
      <c r="C77" s="378">
        <f t="shared" ref="C77:C87" si="36">1.04^-A77</f>
        <v>7.8132720378495488E-2</v>
      </c>
      <c r="D77" s="378">
        <f t="shared" si="2"/>
        <v>3.1338830541079977E-14</v>
      </c>
      <c r="E77" s="378">
        <f t="shared" si="3"/>
        <v>4.5466350825804209E-11</v>
      </c>
      <c r="F77" s="376"/>
      <c r="G77" s="376"/>
      <c r="H77" s="376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</row>
    <row r="78" spans="1:28">
      <c r="A78" s="382">
        <v>66</v>
      </c>
      <c r="B78" s="384">
        <f t="shared" si="11"/>
        <v>1.1639519552884591E-14</v>
      </c>
      <c r="C78" s="378">
        <f t="shared" si="36"/>
        <v>7.5127615748553353E-2</v>
      </c>
      <c r="D78" s="378">
        <f t="shared" ref="D78:D87" si="37">B78*C78</f>
        <v>8.7444935246688703E-16</v>
      </c>
      <c r="E78" s="378">
        <f t="shared" ref="E78:E87" si="38">A78*(B77-B78)*C78</f>
        <v>1.9310967424595684E-12</v>
      </c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</row>
    <row r="79" spans="1:28">
      <c r="A79" s="382">
        <v>67</v>
      </c>
      <c r="B79" s="384">
        <f t="shared" si="11"/>
        <v>2.1777352556058102E-16</v>
      </c>
      <c r="C79" s="378">
        <f t="shared" si="36"/>
        <v>7.2238092065916693E-2</v>
      </c>
      <c r="D79" s="378">
        <f t="shared" si="37"/>
        <v>1.5731543988964514E-17</v>
      </c>
      <c r="E79" s="378">
        <f t="shared" si="38"/>
        <v>5.5280704452048454E-14</v>
      </c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</row>
    <row r="80" spans="1:28">
      <c r="A80" s="382">
        <v>68</v>
      </c>
      <c r="B80" s="384">
        <f t="shared" ref="B80:B87" si="39">$B$14*(B$7^(A80-2))*B$6^((B$5^(B$8+2))*((B$5^(A80-2)-1)))</f>
        <v>2.487846843358442E-18</v>
      </c>
      <c r="C80" s="378">
        <f t="shared" si="36"/>
        <v>6.9459703909535264E-2</v>
      </c>
      <c r="D80" s="378">
        <f t="shared" si="37"/>
        <v>1.7280510511194934E-19</v>
      </c>
      <c r="E80" s="378">
        <f t="shared" si="38"/>
        <v>1.0168502059769899E-15</v>
      </c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</row>
    <row r="81" spans="1:28">
      <c r="A81" s="382">
        <v>69</v>
      </c>
      <c r="B81" s="384">
        <f t="shared" si="39"/>
        <v>1.6323885824789848E-20</v>
      </c>
      <c r="C81" s="378">
        <f t="shared" si="36"/>
        <v>6.6788176836091603E-2</v>
      </c>
      <c r="D81" s="378">
        <f t="shared" si="37"/>
        <v>1.0902425731182334E-21</v>
      </c>
      <c r="E81" s="378">
        <f t="shared" si="38"/>
        <v>1.1389727351613019E-17</v>
      </c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</row>
    <row r="82" spans="1:28">
      <c r="A82" s="382">
        <v>70</v>
      </c>
      <c r="B82" s="384">
        <f t="shared" si="39"/>
        <v>5.7430591895380658E-23</v>
      </c>
      <c r="C82" s="378">
        <f t="shared" si="36"/>
        <v>6.4219400803934235E-2</v>
      </c>
      <c r="D82" s="378">
        <f t="shared" si="37"/>
        <v>3.6881581993366276E-24</v>
      </c>
      <c r="E82" s="378">
        <f t="shared" si="38"/>
        <v>7.3123540578235213E-20</v>
      </c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</row>
    <row r="83" spans="1:28">
      <c r="A83" s="382">
        <v>71</v>
      </c>
      <c r="B83" s="384">
        <f t="shared" si="39"/>
        <v>1.0028097130375596E-25</v>
      </c>
      <c r="C83" s="378">
        <f t="shared" si="36"/>
        <v>6.1749423849936765E-2</v>
      </c>
      <c r="D83" s="378">
        <f t="shared" si="37"/>
        <v>6.1922922011189722E-27</v>
      </c>
      <c r="E83" s="378">
        <f t="shared" si="38"/>
        <v>2.5134807047766341E-22</v>
      </c>
      <c r="F83" s="376"/>
      <c r="G83" s="376"/>
      <c r="H83" s="376"/>
      <c r="I83" s="376"/>
      <c r="J83" s="376"/>
      <c r="K83" s="376"/>
      <c r="L83" s="376"/>
      <c r="M83" s="376"/>
      <c r="N83" s="376"/>
      <c r="O83" s="376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</row>
    <row r="84" spans="1:28">
      <c r="A84" s="382">
        <v>72</v>
      </c>
      <c r="B84" s="384">
        <f t="shared" si="39"/>
        <v>7.967516079444664E-29</v>
      </c>
      <c r="C84" s="378">
        <f t="shared" si="36"/>
        <v>5.937444600955457E-2</v>
      </c>
      <c r="D84" s="378">
        <f t="shared" si="37"/>
        <v>4.730668532892451E-30</v>
      </c>
      <c r="E84" s="378">
        <f t="shared" si="38"/>
        <v>4.2835654425079136E-25</v>
      </c>
      <c r="F84" s="376"/>
      <c r="G84" s="376"/>
      <c r="H84" s="376"/>
      <c r="I84" s="376"/>
      <c r="J84" s="376"/>
      <c r="K84" s="376"/>
      <c r="L84" s="376"/>
      <c r="M84" s="376"/>
      <c r="N84" s="376"/>
      <c r="O84" s="376"/>
      <c r="P84" s="376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</row>
    <row r="85" spans="1:28">
      <c r="A85" s="382">
        <v>73</v>
      </c>
      <c r="B85" s="384">
        <f t="shared" si="39"/>
        <v>2.6124751051144318E-32</v>
      </c>
      <c r="C85" s="378">
        <f t="shared" si="36"/>
        <v>5.7090813470725546E-2</v>
      </c>
      <c r="D85" s="378">
        <f t="shared" si="37"/>
        <v>1.4914832892300215E-33</v>
      </c>
      <c r="E85" s="378">
        <f t="shared" si="38"/>
        <v>3.3194766297099095E-28</v>
      </c>
      <c r="F85" s="376"/>
      <c r="G85" s="376"/>
      <c r="H85" s="376"/>
      <c r="I85" s="376"/>
      <c r="J85" s="376"/>
      <c r="K85" s="376"/>
      <c r="L85" s="376"/>
      <c r="M85" s="376"/>
      <c r="N85" s="376"/>
      <c r="O85" s="376"/>
      <c r="P85" s="376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</row>
    <row r="86" spans="1:28">
      <c r="A86" s="382">
        <v>74</v>
      </c>
      <c r="B86" s="384">
        <f t="shared" si="39"/>
        <v>3.1676970673487857E-36</v>
      </c>
      <c r="C86" s="378">
        <f t="shared" si="36"/>
        <v>5.4895012952620711E-2</v>
      </c>
      <c r="D86" s="378">
        <f t="shared" si="37"/>
        <v>1.7389077154209024E-37</v>
      </c>
      <c r="E86" s="378">
        <f t="shared" si="38"/>
        <v>1.0611190458581124E-31</v>
      </c>
      <c r="F86" s="376"/>
      <c r="G86" s="376"/>
      <c r="H86" s="376"/>
      <c r="I86" s="376"/>
      <c r="J86" s="376"/>
      <c r="K86" s="376"/>
      <c r="L86" s="376"/>
      <c r="M86" s="376"/>
      <c r="N86" s="376"/>
      <c r="O86" s="376"/>
      <c r="P86" s="376"/>
      <c r="Q86" s="376"/>
      <c r="R86" s="376"/>
      <c r="S86" s="376"/>
      <c r="T86" s="376"/>
      <c r="U86" s="376"/>
      <c r="V86" s="376"/>
      <c r="W86" s="376"/>
      <c r="X86" s="376"/>
      <c r="Y86" s="376"/>
      <c r="Z86" s="376"/>
      <c r="AA86" s="376"/>
      <c r="AB86" s="376"/>
    </row>
    <row r="87" spans="1:28">
      <c r="A87" s="382">
        <v>75</v>
      </c>
      <c r="B87" s="384">
        <f t="shared" si="39"/>
        <v>1.2555231235376509E-40</v>
      </c>
      <c r="C87" s="378">
        <f t="shared" si="36"/>
        <v>5.2783666300596846E-2</v>
      </c>
      <c r="D87" s="378">
        <f t="shared" si="37"/>
        <v>6.6271113585494398E-42</v>
      </c>
      <c r="E87" s="378">
        <f t="shared" si="38"/>
        <v>1.2539702837471925E-35</v>
      </c>
      <c r="F87" s="376"/>
      <c r="G87" s="376"/>
      <c r="H87" s="376"/>
      <c r="I87" s="376"/>
      <c r="J87" s="376"/>
      <c r="K87" s="376"/>
      <c r="L87" s="376"/>
      <c r="M87" s="376"/>
      <c r="N87" s="376"/>
      <c r="O87" s="376"/>
      <c r="P87" s="376"/>
      <c r="Q87" s="376"/>
      <c r="R87" s="376"/>
      <c r="S87" s="376"/>
      <c r="T87" s="376"/>
      <c r="U87" s="376"/>
      <c r="V87" s="376"/>
      <c r="W87" s="376"/>
      <c r="X87" s="376"/>
      <c r="Y87" s="376"/>
      <c r="Z87" s="376"/>
      <c r="AA87" s="376"/>
      <c r="AB87" s="376"/>
    </row>
    <row r="88" spans="1:28">
      <c r="A88" s="376"/>
      <c r="B88" s="376"/>
      <c r="C88" s="375"/>
      <c r="D88" s="376"/>
      <c r="E88" s="376"/>
      <c r="F88" s="376"/>
      <c r="G88" s="376"/>
      <c r="H88" s="376"/>
      <c r="I88" s="376"/>
      <c r="J88" s="376"/>
      <c r="K88" s="376"/>
      <c r="L88" s="376"/>
      <c r="M88" s="376"/>
      <c r="N88" s="376"/>
      <c r="O88" s="376"/>
      <c r="P88" s="376"/>
      <c r="Q88" s="376"/>
      <c r="R88" s="376"/>
      <c r="S88" s="376"/>
      <c r="T88" s="376"/>
      <c r="U88" s="376"/>
      <c r="V88" s="376"/>
      <c r="W88" s="376"/>
      <c r="X88" s="376"/>
      <c r="Y88" s="376"/>
      <c r="Z88" s="376"/>
      <c r="AA88" s="376"/>
      <c r="AB88" s="376"/>
    </row>
    <row r="89" spans="1:28">
      <c r="A89" s="376"/>
      <c r="B89" s="376"/>
      <c r="C89" s="375"/>
      <c r="D89" s="376"/>
      <c r="E89" s="376"/>
      <c r="F89" s="376"/>
      <c r="G89" s="376"/>
      <c r="H89" s="376"/>
      <c r="I89" s="376"/>
      <c r="J89" s="376"/>
      <c r="K89" s="376"/>
      <c r="L89" s="376"/>
      <c r="M89" s="376"/>
      <c r="N89" s="376"/>
      <c r="O89" s="376"/>
      <c r="P89" s="376"/>
      <c r="Q89" s="376"/>
      <c r="R89" s="376"/>
      <c r="S89" s="376"/>
      <c r="T89" s="376"/>
      <c r="U89" s="376"/>
      <c r="V89" s="376"/>
      <c r="W89" s="376"/>
      <c r="X89" s="376"/>
      <c r="Y89" s="376"/>
      <c r="Z89" s="376"/>
      <c r="AA89" s="376"/>
      <c r="AB89" s="376"/>
    </row>
    <row r="90" spans="1:28">
      <c r="A90" s="376"/>
      <c r="B90" s="376"/>
      <c r="C90" s="375"/>
      <c r="D90" s="376"/>
      <c r="E90" s="376"/>
      <c r="F90" s="376"/>
      <c r="G90" s="376"/>
      <c r="H90" s="376"/>
      <c r="I90" s="376"/>
      <c r="J90" s="376"/>
      <c r="K90" s="376"/>
      <c r="L90" s="376"/>
      <c r="M90" s="376"/>
      <c r="N90" s="376"/>
      <c r="O90" s="376"/>
      <c r="P90" s="376"/>
      <c r="Q90" s="376"/>
      <c r="R90" s="376"/>
      <c r="S90" s="376"/>
      <c r="T90" s="376"/>
      <c r="U90" s="376"/>
      <c r="V90" s="376"/>
      <c r="W90" s="376"/>
      <c r="X90" s="376"/>
      <c r="Y90" s="376"/>
      <c r="Z90" s="376"/>
      <c r="AA90" s="376"/>
      <c r="AB90" s="376"/>
    </row>
    <row r="91" spans="1:28">
      <c r="A91" s="376"/>
      <c r="B91" s="376"/>
      <c r="C91" s="375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</row>
  </sheetData>
  <pageMargins left="0.75" right="0.75" top="1" bottom="1" header="0.5" footer="0.5"/>
  <pageSetup paperSize="9" orientation="portrait" horizontalDpi="4294967292" verticalDpi="4294967292"/>
  <ignoredErrors>
    <ignoredError sqref="M15" formula="1"/>
    <ignoredError sqref="T28:T29 W29:X29" evalError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"/>
  <sheetViews>
    <sheetView zoomScale="125" zoomScaleNormal="125" zoomScalePageLayoutView="125" workbookViewId="0"/>
  </sheetViews>
  <sheetFormatPr baseColWidth="10" defaultRowHeight="12" x14ac:dyDescent="0"/>
  <sheetData>
    <row r="1" spans="1:23" ht="15">
      <c r="A1" s="70" t="s">
        <v>722</v>
      </c>
    </row>
    <row r="3" spans="1:23" ht="15">
      <c r="A3" s="358" t="s">
        <v>783</v>
      </c>
      <c r="R3" s="87" t="s">
        <v>388</v>
      </c>
      <c r="T3" s="87" t="s">
        <v>699</v>
      </c>
    </row>
    <row r="4" spans="1:23" ht="15">
      <c r="A4" s="358"/>
      <c r="J4" s="87" t="s">
        <v>0</v>
      </c>
      <c r="K4" s="87" t="s">
        <v>790</v>
      </c>
      <c r="L4" s="87" t="s">
        <v>761</v>
      </c>
      <c r="M4" s="87" t="s">
        <v>762</v>
      </c>
      <c r="N4" s="87" t="s">
        <v>763</v>
      </c>
      <c r="O4" s="87" t="s">
        <v>794</v>
      </c>
      <c r="P4" s="87" t="s">
        <v>795</v>
      </c>
      <c r="Q4" s="87" t="s">
        <v>592</v>
      </c>
      <c r="R4" s="87" t="s">
        <v>591</v>
      </c>
      <c r="S4" s="87" t="s">
        <v>796</v>
      </c>
      <c r="T4" s="87" t="s">
        <v>621</v>
      </c>
      <c r="U4" s="87" t="s">
        <v>797</v>
      </c>
      <c r="V4" s="87" t="s">
        <v>391</v>
      </c>
    </row>
    <row r="5" spans="1:23">
      <c r="A5" s="87" t="s">
        <v>0</v>
      </c>
      <c r="B5" s="87" t="s">
        <v>790</v>
      </c>
      <c r="C5" s="87" t="s">
        <v>761</v>
      </c>
      <c r="D5" s="87" t="s">
        <v>784</v>
      </c>
      <c r="E5" s="87" t="s">
        <v>785</v>
      </c>
      <c r="F5" s="87" t="s">
        <v>791</v>
      </c>
      <c r="G5" s="87" t="s">
        <v>792</v>
      </c>
      <c r="H5" s="87" t="s">
        <v>793</v>
      </c>
      <c r="J5" s="87">
        <v>0</v>
      </c>
      <c r="K5" s="87"/>
      <c r="L5" s="87"/>
      <c r="M5" s="12">
        <v>200</v>
      </c>
      <c r="N5" s="87"/>
      <c r="O5" s="87"/>
      <c r="P5" s="87"/>
      <c r="Q5" s="12">
        <f>-M5</f>
        <v>-200</v>
      </c>
      <c r="R5" s="87"/>
      <c r="T5" s="87">
        <v>1</v>
      </c>
      <c r="U5" s="81">
        <f>Q5*T5</f>
        <v>-200</v>
      </c>
      <c r="V5" s="12">
        <f>U5</f>
        <v>-200</v>
      </c>
    </row>
    <row r="6" spans="1:23">
      <c r="A6" s="87">
        <v>1</v>
      </c>
      <c r="B6" s="12">
        <v>0</v>
      </c>
      <c r="C6" s="24">
        <v>3000</v>
      </c>
      <c r="D6" s="12">
        <f>0.04*C6</f>
        <v>120</v>
      </c>
      <c r="E6" s="12">
        <v>25</v>
      </c>
      <c r="F6" s="12">
        <v>0.04</v>
      </c>
      <c r="G6" s="12">
        <f>(C6+B6-D6-E6)*(1+F6)</f>
        <v>2969.2000000000003</v>
      </c>
      <c r="H6" s="12">
        <f>MAX(12000,1.5*G6)</f>
        <v>12000</v>
      </c>
      <c r="J6" s="87">
        <v>1</v>
      </c>
      <c r="K6" s="12">
        <f>B6</f>
        <v>0</v>
      </c>
      <c r="L6" s="24">
        <f>C6</f>
        <v>3000</v>
      </c>
      <c r="M6" s="12">
        <v>50</v>
      </c>
      <c r="N6" s="12">
        <f>(K6+L6-M6)*R6</f>
        <v>132.75</v>
      </c>
      <c r="O6" s="12">
        <f>H6*S6</f>
        <v>70.975824354541302</v>
      </c>
      <c r="P6" s="12">
        <f>(1-S6)*G6</f>
        <v>2951.6382151938751</v>
      </c>
      <c r="Q6" s="12">
        <f>K6+L6-M6+N6-O6-P6</f>
        <v>60.135960451583742</v>
      </c>
      <c r="R6" s="87">
        <v>4.4999999999999998E-2</v>
      </c>
      <c r="S6" s="4">
        <v>5.9146520295451088E-3</v>
      </c>
      <c r="T6" s="87">
        <v>1</v>
      </c>
      <c r="U6" s="81">
        <f>Q6*T6</f>
        <v>60.135960451583742</v>
      </c>
      <c r="V6" s="12">
        <f>V5+U6*(1.08^-J6)</f>
        <v>-144.31855513742246</v>
      </c>
    </row>
    <row r="7" spans="1:23">
      <c r="A7" s="87">
        <v>2</v>
      </c>
      <c r="B7" s="12">
        <f>G6</f>
        <v>2969.2000000000003</v>
      </c>
      <c r="C7" s="24">
        <v>3000</v>
      </c>
      <c r="D7" s="12">
        <f>100+0.004*B7</f>
        <v>111.8768</v>
      </c>
      <c r="E7" s="12">
        <v>25</v>
      </c>
      <c r="F7" s="12">
        <v>4.4999999999999998E-2</v>
      </c>
      <c r="G7" s="12">
        <f t="shared" ref="G7:G9" si="0">(C7+B7-D7-E7)*(1+F7)</f>
        <v>6094.777744</v>
      </c>
      <c r="H7" s="12">
        <f t="shared" ref="H7:H9" si="1">MAX(12000,1.5*G7)</f>
        <v>12000</v>
      </c>
      <c r="J7" s="87">
        <v>2</v>
      </c>
      <c r="K7" s="12">
        <f t="shared" ref="K7:L9" si="2">B7</f>
        <v>2969.2000000000003</v>
      </c>
      <c r="L7" s="24">
        <f t="shared" si="2"/>
        <v>3000</v>
      </c>
      <c r="M7" s="12">
        <f>M6*1.02</f>
        <v>51</v>
      </c>
      <c r="N7" s="12">
        <f t="shared" ref="N7:N9" si="3">(K7+L7-M7)*R7</f>
        <v>325.50100000000003</v>
      </c>
      <c r="O7" s="12">
        <f t="shared" ref="O7:O9" si="4">H7*S7</f>
        <v>79.422332150803854</v>
      </c>
      <c r="P7" s="12">
        <f t="shared" ref="P7:P9" si="5">(1-S7)*G7</f>
        <v>6054.4392888025586</v>
      </c>
      <c r="Q7" s="12">
        <f t="shared" ref="Q7:Q9" si="6">K7+L7-M7+N7-O7-P7</f>
        <v>109.8393790466389</v>
      </c>
      <c r="R7" s="87">
        <v>5.5E-2</v>
      </c>
      <c r="S7" s="4">
        <v>6.6185276792336545E-3</v>
      </c>
      <c r="T7" s="10">
        <f>T6*(1-S6)</f>
        <v>0.99408534797045489</v>
      </c>
      <c r="U7" s="81">
        <f t="shared" ref="U7:U9" si="7">Q7*T7</f>
        <v>109.18971734043672</v>
      </c>
      <c r="V7" s="12">
        <f t="shared" ref="V7:V9" si="8">V6+U7*(1.08^-J7)</f>
        <v>-50.705971683687295</v>
      </c>
    </row>
    <row r="8" spans="1:23">
      <c r="A8" s="87">
        <v>3</v>
      </c>
      <c r="B8" s="12">
        <f t="shared" ref="B8:B9" si="9">G7</f>
        <v>6094.777744</v>
      </c>
      <c r="C8" s="24">
        <v>3000</v>
      </c>
      <c r="D8" s="12">
        <f t="shared" ref="D8:D9" si="10">100+0.004*B8</f>
        <v>124.37911097599999</v>
      </c>
      <c r="E8" s="12">
        <v>25</v>
      </c>
      <c r="F8" s="12">
        <v>5.5E-2</v>
      </c>
      <c r="G8" s="12">
        <f t="shared" si="0"/>
        <v>9437.3955578403184</v>
      </c>
      <c r="H8" s="12">
        <f t="shared" si="1"/>
        <v>14156.093336760478</v>
      </c>
      <c r="J8" s="87">
        <v>3</v>
      </c>
      <c r="K8" s="12">
        <f t="shared" si="2"/>
        <v>6094.777744</v>
      </c>
      <c r="L8" s="24">
        <f t="shared" si="2"/>
        <v>3000</v>
      </c>
      <c r="M8" s="12">
        <f t="shared" ref="M8:M9" si="11">M7*1.02</f>
        <v>52.02</v>
      </c>
      <c r="N8" s="12">
        <f t="shared" si="3"/>
        <v>587.77925335999998</v>
      </c>
      <c r="O8" s="12">
        <f t="shared" si="4"/>
        <v>104.88375551292788</v>
      </c>
      <c r="P8" s="12">
        <f t="shared" si="5"/>
        <v>9367.4730541650333</v>
      </c>
      <c r="Q8" s="12">
        <f t="shared" si="6"/>
        <v>158.18018768203729</v>
      </c>
      <c r="R8" s="87">
        <v>6.5000000000000002E-2</v>
      </c>
      <c r="S8" s="4">
        <v>7.4090890062561421E-3</v>
      </c>
      <c r="T8" s="10">
        <f t="shared" ref="T8:T9" si="12">T7*(1-S7)</f>
        <v>0.98750596657939183</v>
      </c>
      <c r="U8" s="81">
        <f t="shared" si="7"/>
        <v>156.20387913065983</v>
      </c>
      <c r="V8" s="12">
        <f t="shared" si="8"/>
        <v>73.293703742648091</v>
      </c>
    </row>
    <row r="9" spans="1:23">
      <c r="A9" s="87">
        <v>4</v>
      </c>
      <c r="B9" s="12">
        <f t="shared" si="9"/>
        <v>9437.3955578403184</v>
      </c>
      <c r="C9" s="24">
        <v>3000</v>
      </c>
      <c r="D9" s="12">
        <f t="shared" si="10"/>
        <v>137.74958223136127</v>
      </c>
      <c r="E9" s="12">
        <v>25</v>
      </c>
      <c r="F9" s="12">
        <v>5.5E-2</v>
      </c>
      <c r="G9" s="12">
        <f t="shared" si="0"/>
        <v>12949.751504267449</v>
      </c>
      <c r="H9" s="12">
        <f t="shared" si="1"/>
        <v>19424.627256401174</v>
      </c>
      <c r="J9" s="87">
        <v>4</v>
      </c>
      <c r="K9" s="12">
        <f t="shared" si="2"/>
        <v>9437.3955578403184</v>
      </c>
      <c r="L9" s="24">
        <f t="shared" si="2"/>
        <v>3000</v>
      </c>
      <c r="M9" s="12">
        <f t="shared" si="11"/>
        <v>53.060400000000001</v>
      </c>
      <c r="N9" s="12">
        <f t="shared" si="3"/>
        <v>804.98178525962066</v>
      </c>
      <c r="O9" s="12">
        <f t="shared" si="4"/>
        <v>161.16475226971247</v>
      </c>
      <c r="P9" s="12">
        <f t="shared" si="5"/>
        <v>12842.308336087641</v>
      </c>
      <c r="Q9" s="12">
        <f t="shared" si="6"/>
        <v>185.84385474258488</v>
      </c>
      <c r="R9" s="87">
        <v>6.5000000000000002E-2</v>
      </c>
      <c r="S9" s="4">
        <v>8.2969289522197842E-3</v>
      </c>
      <c r="T9" s="10">
        <f t="shared" si="12"/>
        <v>0.98018944697879606</v>
      </c>
      <c r="U9" s="81">
        <f t="shared" si="7"/>
        <v>182.16218520454197</v>
      </c>
      <c r="V9" s="81">
        <f t="shared" si="8"/>
        <v>207.18834791862284</v>
      </c>
    </row>
    <row r="10" spans="1:23">
      <c r="R10" s="87"/>
      <c r="T10" s="87"/>
    </row>
    <row r="11" spans="1:23">
      <c r="T11" s="87"/>
    </row>
    <row r="12" spans="1:23" ht="15">
      <c r="J12" s="358" t="s">
        <v>2</v>
      </c>
      <c r="T12" s="87"/>
      <c r="V12" s="9"/>
      <c r="W12" s="204"/>
    </row>
    <row r="13" spans="1:23">
      <c r="R13" s="87" t="s">
        <v>388</v>
      </c>
      <c r="T13" s="87" t="s">
        <v>699</v>
      </c>
    </row>
    <row r="14" spans="1:23">
      <c r="J14" s="87" t="s">
        <v>0</v>
      </c>
      <c r="K14" s="87" t="s">
        <v>790</v>
      </c>
      <c r="L14" s="87" t="s">
        <v>761</v>
      </c>
      <c r="M14" s="87" t="s">
        <v>762</v>
      </c>
      <c r="N14" s="87" t="s">
        <v>763</v>
      </c>
      <c r="O14" s="87" t="s">
        <v>794</v>
      </c>
      <c r="P14" s="87" t="s">
        <v>795</v>
      </c>
      <c r="Q14" s="87" t="s">
        <v>592</v>
      </c>
      <c r="R14" s="87" t="s">
        <v>591</v>
      </c>
      <c r="S14" s="87" t="s">
        <v>796</v>
      </c>
      <c r="T14" s="87" t="s">
        <v>621</v>
      </c>
      <c r="U14" s="87" t="s">
        <v>797</v>
      </c>
      <c r="V14" s="87" t="s">
        <v>391</v>
      </c>
    </row>
    <row r="15" spans="1:23">
      <c r="J15" s="87">
        <v>0</v>
      </c>
      <c r="M15" s="12">
        <v>200</v>
      </c>
      <c r="N15" s="87"/>
      <c r="O15" s="87"/>
      <c r="P15" s="87"/>
      <c r="Q15" s="12">
        <f>-M15</f>
        <v>-200</v>
      </c>
      <c r="R15" s="87"/>
      <c r="T15" s="87">
        <v>1</v>
      </c>
      <c r="U15" s="81">
        <f>Q15*T15</f>
        <v>-200</v>
      </c>
      <c r="V15" s="12">
        <f>U15</f>
        <v>-200</v>
      </c>
    </row>
    <row r="16" spans="1:23">
      <c r="J16" s="87">
        <v>1</v>
      </c>
      <c r="K16" s="12">
        <f>K6</f>
        <v>0</v>
      </c>
      <c r="L16" s="12">
        <f>L6</f>
        <v>3000</v>
      </c>
      <c r="M16" s="12">
        <f>M6</f>
        <v>50</v>
      </c>
      <c r="N16" s="12">
        <f>N6</f>
        <v>132.75</v>
      </c>
      <c r="O16" s="12">
        <f>H6*T16</f>
        <v>12000</v>
      </c>
      <c r="P16" s="12">
        <f>(1-S16)*G6</f>
        <v>0</v>
      </c>
      <c r="Q16" s="12">
        <f>K16+L16-M16+N16-O16-P16</f>
        <v>-8917.25</v>
      </c>
      <c r="R16" s="12">
        <f>R6</f>
        <v>4.4999999999999998E-2</v>
      </c>
      <c r="S16">
        <v>1</v>
      </c>
      <c r="T16" s="87">
        <v>1</v>
      </c>
      <c r="U16" s="81">
        <f>Q16*T16</f>
        <v>-8917.25</v>
      </c>
      <c r="V16" s="81">
        <f>V15+U16/1.08</f>
        <v>-8456.7129629629617</v>
      </c>
    </row>
    <row r="17" spans="10:24">
      <c r="T17" s="87"/>
    </row>
    <row r="18" spans="10:24">
      <c r="T18" s="87"/>
    </row>
    <row r="19" spans="10:24" ht="15">
      <c r="J19" s="358" t="s">
        <v>3</v>
      </c>
      <c r="T19" s="87"/>
    </row>
    <row r="20" spans="10:24">
      <c r="R20" s="87" t="s">
        <v>388</v>
      </c>
      <c r="T20" s="87" t="s">
        <v>699</v>
      </c>
    </row>
    <row r="21" spans="10:24">
      <c r="J21" s="87" t="s">
        <v>0</v>
      </c>
      <c r="K21" s="87" t="s">
        <v>790</v>
      </c>
      <c r="L21" s="87" t="s">
        <v>761</v>
      </c>
      <c r="M21" s="87" t="s">
        <v>762</v>
      </c>
      <c r="N21" s="87" t="s">
        <v>763</v>
      </c>
      <c r="O21" s="87" t="s">
        <v>794</v>
      </c>
      <c r="P21" s="87" t="s">
        <v>795</v>
      </c>
      <c r="Q21" s="87" t="s">
        <v>592</v>
      </c>
      <c r="R21" s="87" t="s">
        <v>591</v>
      </c>
      <c r="S21" s="87" t="s">
        <v>796</v>
      </c>
      <c r="T21" s="87" t="s">
        <v>621</v>
      </c>
      <c r="U21" s="87" t="s">
        <v>797</v>
      </c>
      <c r="V21" s="87" t="s">
        <v>391</v>
      </c>
    </row>
    <row r="22" spans="10:24">
      <c r="J22" s="87">
        <v>0</v>
      </c>
      <c r="M22" s="12">
        <f>M5</f>
        <v>200</v>
      </c>
      <c r="Q22" s="12">
        <f>-M22</f>
        <v>-200</v>
      </c>
      <c r="T22" s="87">
        <v>1</v>
      </c>
      <c r="U22" s="81">
        <f>Q22*T22</f>
        <v>-200</v>
      </c>
      <c r="V22" s="12">
        <f>Q22</f>
        <v>-200</v>
      </c>
    </row>
    <row r="23" spans="10:24">
      <c r="J23" s="87">
        <v>1</v>
      </c>
      <c r="K23" s="12">
        <f>B6</f>
        <v>0</v>
      </c>
      <c r="L23" s="24">
        <f>L6</f>
        <v>3000</v>
      </c>
      <c r="M23" s="12">
        <f>M6</f>
        <v>50</v>
      </c>
      <c r="N23" s="12">
        <f>(K23+L23-M23)*R23</f>
        <v>132.75</v>
      </c>
      <c r="O23" s="87">
        <v>0</v>
      </c>
      <c r="P23" s="12">
        <f>G6</f>
        <v>2969.2000000000003</v>
      </c>
      <c r="Q23" s="12">
        <f>K23+L23-M23+N23-P23</f>
        <v>113.54999999999973</v>
      </c>
      <c r="R23" s="87">
        <f>R6</f>
        <v>4.4999999999999998E-2</v>
      </c>
      <c r="S23" s="87">
        <v>0</v>
      </c>
      <c r="T23" s="87">
        <v>1</v>
      </c>
      <c r="U23" s="81">
        <f t="shared" ref="U23:U26" si="13">Q23*T23</f>
        <v>113.54999999999973</v>
      </c>
      <c r="V23" s="12">
        <f>V22+U23/(1.08^J23)</f>
        <v>-94.86111111111137</v>
      </c>
      <c r="X23" t="s">
        <v>786</v>
      </c>
    </row>
    <row r="24" spans="10:24">
      <c r="J24" s="87">
        <v>2</v>
      </c>
      <c r="K24" s="12">
        <f>B7</f>
        <v>2969.2000000000003</v>
      </c>
      <c r="L24" s="24">
        <f>L7</f>
        <v>3000</v>
      </c>
      <c r="M24" s="12">
        <f>M7</f>
        <v>51</v>
      </c>
      <c r="N24" s="12">
        <f t="shared" ref="N24:N26" si="14">(K24+L24-M24)*R24</f>
        <v>325.50100000000003</v>
      </c>
      <c r="O24" s="87">
        <v>0</v>
      </c>
      <c r="P24" s="12">
        <f>G7</f>
        <v>6094.777744</v>
      </c>
      <c r="Q24" s="12">
        <f t="shared" ref="Q24:Q26" si="15">K24+L24-M24+N24-P24</f>
        <v>148.92325600000095</v>
      </c>
      <c r="R24" s="87">
        <f>R7</f>
        <v>5.5E-2</v>
      </c>
      <c r="S24" s="87">
        <v>0</v>
      </c>
      <c r="T24" s="87">
        <v>1</v>
      </c>
      <c r="U24" s="81">
        <f t="shared" si="13"/>
        <v>148.92325600000095</v>
      </c>
      <c r="V24" s="12">
        <f t="shared" ref="V24:V26" si="16">V23+U24/(1.08^J24)</f>
        <v>32.816577503429897</v>
      </c>
      <c r="X24" s="204">
        <f>V26/(3000*(1-1.08^-4)/(8/108))</f>
        <v>3.3754208119291043E-2</v>
      </c>
    </row>
    <row r="25" spans="10:24">
      <c r="J25" s="87">
        <v>3</v>
      </c>
      <c r="K25" s="12">
        <f>B8</f>
        <v>6094.777744</v>
      </c>
      <c r="L25" s="24">
        <f>L8</f>
        <v>3000</v>
      </c>
      <c r="M25" s="12">
        <f>M8</f>
        <v>52.02</v>
      </c>
      <c r="N25" s="12">
        <f t="shared" si="14"/>
        <v>587.77925335999998</v>
      </c>
      <c r="O25" s="87">
        <v>0</v>
      </c>
      <c r="P25" s="12">
        <f>G8</f>
        <v>9437.3955578403184</v>
      </c>
      <c r="Q25" s="12">
        <f t="shared" si="15"/>
        <v>193.14143951968072</v>
      </c>
      <c r="R25" s="87">
        <f>R8</f>
        <v>6.5000000000000002E-2</v>
      </c>
      <c r="S25" s="87">
        <v>0</v>
      </c>
      <c r="T25" s="87">
        <v>1</v>
      </c>
      <c r="U25" s="81">
        <f t="shared" si="13"/>
        <v>193.14143951968072</v>
      </c>
      <c r="V25" s="12">
        <f t="shared" si="16"/>
        <v>186.1384792711996</v>
      </c>
    </row>
    <row r="26" spans="10:24">
      <c r="J26" s="87">
        <v>4</v>
      </c>
      <c r="K26" s="12">
        <f>B9</f>
        <v>9437.3955578403184</v>
      </c>
      <c r="L26" s="24">
        <f>L9</f>
        <v>3000</v>
      </c>
      <c r="M26" s="12">
        <f>M9</f>
        <v>53.060400000000001</v>
      </c>
      <c r="N26" s="12">
        <f t="shared" si="14"/>
        <v>804.98178525962066</v>
      </c>
      <c r="O26" s="87">
        <v>0</v>
      </c>
      <c r="P26" s="12">
        <f>G9</f>
        <v>12949.751504267449</v>
      </c>
      <c r="Q26" s="12">
        <f t="shared" si="15"/>
        <v>239.56543883248924</v>
      </c>
      <c r="R26" s="87">
        <f>R9</f>
        <v>6.5000000000000002E-2</v>
      </c>
      <c r="S26" s="87">
        <v>0</v>
      </c>
      <c r="T26" s="87">
        <v>1</v>
      </c>
      <c r="U26" s="81">
        <f t="shared" si="13"/>
        <v>239.56543883248924</v>
      </c>
      <c r="V26" s="81">
        <f t="shared" si="16"/>
        <v>362.22622851136191</v>
      </c>
    </row>
    <row r="27" spans="10:24">
      <c r="J27" s="87"/>
      <c r="K27" s="12"/>
      <c r="L27" s="24"/>
      <c r="M27" s="12"/>
      <c r="N27" s="12"/>
      <c r="O27" s="87"/>
      <c r="P27" s="12"/>
      <c r="Q27" s="12"/>
      <c r="R27" s="87"/>
      <c r="S27" s="87"/>
      <c r="T27" s="87"/>
    </row>
    <row r="28" spans="10:24" ht="15">
      <c r="J28" s="358" t="s">
        <v>8</v>
      </c>
      <c r="M28" s="12"/>
      <c r="N28" s="12"/>
      <c r="O28" s="87"/>
      <c r="P28" s="12"/>
      <c r="Q28" s="12"/>
      <c r="R28" s="87"/>
      <c r="S28" s="87"/>
      <c r="T28" s="87"/>
    </row>
    <row r="29" spans="10:24">
      <c r="M29" s="12"/>
      <c r="N29" s="12"/>
      <c r="O29" s="87"/>
      <c r="P29" s="12"/>
      <c r="Q29" s="12"/>
      <c r="R29" s="87"/>
      <c r="S29" s="87"/>
      <c r="T29" s="87"/>
    </row>
    <row r="30" spans="10:24">
      <c r="J30" s="87" t="s">
        <v>0</v>
      </c>
      <c r="K30" s="87" t="s">
        <v>797</v>
      </c>
      <c r="L30" s="87" t="s">
        <v>391</v>
      </c>
      <c r="M30" s="12"/>
      <c r="N30" s="12"/>
      <c r="O30" s="87"/>
      <c r="P30" s="12"/>
      <c r="Q30" s="12"/>
      <c r="R30" s="87"/>
      <c r="S30" s="87"/>
      <c r="T30" s="87"/>
    </row>
    <row r="31" spans="10:24">
      <c r="J31" s="87">
        <v>0</v>
      </c>
      <c r="K31" s="81">
        <v>-200</v>
      </c>
      <c r="L31" s="12">
        <f>V22</f>
        <v>-200</v>
      </c>
      <c r="M31" s="12"/>
      <c r="N31" s="12"/>
      <c r="O31" s="87"/>
      <c r="P31" s="12"/>
      <c r="Q31" s="12"/>
      <c r="R31" s="87"/>
      <c r="S31" s="87"/>
      <c r="T31" s="87"/>
    </row>
    <row r="32" spans="10:24">
      <c r="J32" s="87">
        <v>1</v>
      </c>
      <c r="K32" s="81">
        <v>113.55</v>
      </c>
      <c r="L32" s="12">
        <f t="shared" ref="L32:L33" si="17">V23</f>
        <v>-94.86111111111137</v>
      </c>
      <c r="M32" s="12"/>
      <c r="N32" s="12"/>
      <c r="O32" s="87"/>
      <c r="P32" s="12"/>
      <c r="Q32" s="12"/>
      <c r="R32" s="87"/>
      <c r="S32" s="87"/>
      <c r="T32" s="87"/>
    </row>
    <row r="33" spans="10:20">
      <c r="J33" s="87">
        <v>2</v>
      </c>
      <c r="K33" s="81">
        <v>148.91999999999999</v>
      </c>
      <c r="L33" s="81">
        <f t="shared" si="17"/>
        <v>32.816577503429897</v>
      </c>
      <c r="M33" s="12"/>
      <c r="N33" s="12"/>
      <c r="O33" s="87"/>
      <c r="P33" s="12"/>
      <c r="Q33" s="12"/>
      <c r="R33" s="87"/>
      <c r="S33" s="87"/>
      <c r="T33" s="87"/>
    </row>
    <row r="34" spans="10:20">
      <c r="J34" s="87">
        <v>3</v>
      </c>
      <c r="K34" s="12"/>
      <c r="L34" s="24"/>
      <c r="M34" s="12"/>
      <c r="N34" s="12"/>
      <c r="O34" s="87"/>
      <c r="P34" s="12"/>
      <c r="Q34" s="12"/>
      <c r="R34" s="87"/>
      <c r="S34" s="87"/>
      <c r="T34" s="87"/>
    </row>
    <row r="35" spans="10:20">
      <c r="T35" s="87"/>
    </row>
    <row r="36" spans="10:20" ht="15">
      <c r="J36" s="358" t="s">
        <v>14</v>
      </c>
      <c r="T36" s="87"/>
    </row>
    <row r="37" spans="10:20">
      <c r="T37" s="87"/>
    </row>
    <row r="38" spans="10:20">
      <c r="J38" s="87" t="s">
        <v>0</v>
      </c>
      <c r="K38" s="87" t="s">
        <v>797</v>
      </c>
      <c r="L38" s="87" t="s">
        <v>391</v>
      </c>
      <c r="T38" s="87"/>
    </row>
    <row r="39" spans="10:20">
      <c r="J39" s="87">
        <v>0</v>
      </c>
      <c r="K39" s="81">
        <f>Q22</f>
        <v>-200</v>
      </c>
      <c r="L39" s="12">
        <f>K39</f>
        <v>-200</v>
      </c>
      <c r="T39" s="87"/>
    </row>
    <row r="40" spans="10:20">
      <c r="J40" s="87">
        <v>1</v>
      </c>
      <c r="K40" s="81">
        <f>Q23</f>
        <v>113.54999999999973</v>
      </c>
      <c r="L40" s="12">
        <f>L39+K40/(1.08^J40)</f>
        <v>-94.86111111111137</v>
      </c>
      <c r="T40" s="87"/>
    </row>
    <row r="41" spans="10:20">
      <c r="J41" s="87">
        <v>2</v>
      </c>
      <c r="K41" s="81">
        <f>Q24+0.1*P24</f>
        <v>758.40103040000099</v>
      </c>
      <c r="L41" s="81">
        <f>L40+K41/(1.08^J41)</f>
        <v>555.34553360768223</v>
      </c>
      <c r="T41" s="87"/>
    </row>
    <row r="42" spans="10:20">
      <c r="T42" s="87"/>
    </row>
    <row r="43" spans="10:20" ht="15">
      <c r="J43" s="358" t="s">
        <v>176</v>
      </c>
      <c r="T43" s="87"/>
    </row>
    <row r="44" spans="10:20">
      <c r="J44" t="s">
        <v>787</v>
      </c>
      <c r="L44" s="12">
        <f>3000*(1+1/1.08)</f>
        <v>5777.7777777777774</v>
      </c>
      <c r="T44" s="87"/>
    </row>
    <row r="45" spans="10:20">
      <c r="J45" t="s">
        <v>788</v>
      </c>
      <c r="M45" s="12">
        <f>L44*X24</f>
        <v>195.02431357812603</v>
      </c>
      <c r="T45" s="87"/>
    </row>
    <row r="46" spans="10:20">
      <c r="J46" t="s">
        <v>789</v>
      </c>
      <c r="L46" s="12">
        <f>(M45+200-K40/1.08)*(1.08^2)</f>
        <v>338.12235935752648</v>
      </c>
      <c r="T46" s="87"/>
    </row>
    <row r="47" spans="10:20">
      <c r="J47" t="s">
        <v>798</v>
      </c>
      <c r="L47" s="10">
        <f>(-L46+(K24+L24-M24)*(1+R24))/K25</f>
        <v>0.96895717755355659</v>
      </c>
      <c r="T47" s="87"/>
    </row>
    <row r="48" spans="10:20">
      <c r="J48" s="102" t="s">
        <v>799</v>
      </c>
      <c r="L48" s="348">
        <f>1-L47</f>
        <v>3.1042822446443408E-2</v>
      </c>
      <c r="T48" s="87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3"/>
  <sheetViews>
    <sheetView zoomScale="125" zoomScaleNormal="125" zoomScalePageLayoutView="125" workbookViewId="0"/>
  </sheetViews>
  <sheetFormatPr baseColWidth="10" defaultRowHeight="12" x14ac:dyDescent="0"/>
  <cols>
    <col min="21" max="21" width="10.83203125" style="8"/>
  </cols>
  <sheetData>
    <row r="1" spans="1:39" ht="15">
      <c r="A1" s="70" t="s">
        <v>721</v>
      </c>
    </row>
    <row r="3" spans="1:39" ht="15">
      <c r="A3" s="362" t="s">
        <v>9</v>
      </c>
      <c r="B3" s="51">
        <v>2.2000000000000001E-4</v>
      </c>
      <c r="D3" s="363" t="s">
        <v>1</v>
      </c>
      <c r="E3" s="87"/>
      <c r="H3" s="87"/>
      <c r="I3" s="87"/>
      <c r="K3" s="363" t="s">
        <v>2</v>
      </c>
      <c r="L3" s="87"/>
      <c r="M3" s="87"/>
      <c r="N3" s="12"/>
      <c r="O3" s="12"/>
      <c r="P3" s="12"/>
      <c r="Q3" s="12"/>
      <c r="R3" s="82"/>
      <c r="S3" s="12"/>
      <c r="T3" s="12"/>
      <c r="U3" s="10"/>
      <c r="W3" s="358" t="s">
        <v>3</v>
      </c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</row>
    <row r="4" spans="1:39" ht="15">
      <c r="A4" s="362" t="s">
        <v>10</v>
      </c>
      <c r="B4" s="51">
        <f>2.7/1000000</f>
        <v>2.7E-6</v>
      </c>
      <c r="E4" s="87"/>
      <c r="G4" s="87"/>
      <c r="H4" s="87"/>
      <c r="I4" s="87"/>
      <c r="K4" s="87"/>
      <c r="L4" s="87"/>
      <c r="M4" s="87"/>
      <c r="N4" s="12"/>
      <c r="O4" s="12"/>
      <c r="P4" s="12"/>
      <c r="Q4" s="12"/>
      <c r="R4" s="82"/>
      <c r="S4" s="12"/>
      <c r="T4" s="12"/>
      <c r="U4" s="10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</row>
    <row r="5" spans="1:39" ht="15">
      <c r="A5" s="362" t="s">
        <v>24</v>
      </c>
      <c r="B5" s="51">
        <v>1.1240000000000001</v>
      </c>
      <c r="D5" s="87"/>
      <c r="E5" s="87"/>
      <c r="G5" s="87"/>
      <c r="H5" s="87"/>
      <c r="I5" s="87"/>
      <c r="K5" s="87"/>
      <c r="L5" s="87"/>
      <c r="M5" s="87"/>
      <c r="N5" s="12"/>
      <c r="O5" s="12"/>
      <c r="P5" s="12"/>
      <c r="Q5" s="12"/>
      <c r="R5" s="82"/>
      <c r="S5" s="12"/>
      <c r="T5" s="12"/>
      <c r="U5" s="10" t="s">
        <v>101</v>
      </c>
      <c r="X5" s="87"/>
      <c r="Y5" s="87" t="s">
        <v>767</v>
      </c>
      <c r="Z5" s="87" t="s">
        <v>91</v>
      </c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 t="s">
        <v>810</v>
      </c>
    </row>
    <row r="6" spans="1:39" ht="17">
      <c r="A6" s="362" t="s">
        <v>25</v>
      </c>
      <c r="B6" s="99">
        <f>EXP(-B4/LN(B5))</f>
        <v>0.99997690236831238</v>
      </c>
      <c r="D6" s="87"/>
      <c r="E6" s="87"/>
      <c r="G6" t="s">
        <v>771</v>
      </c>
      <c r="H6" s="87"/>
      <c r="I6" s="364">
        <f>100000*I10/H10</f>
        <v>3565.6662631386944</v>
      </c>
      <c r="K6" s="87" t="s">
        <v>0</v>
      </c>
      <c r="L6" s="359" t="s">
        <v>782</v>
      </c>
      <c r="M6" s="87" t="s">
        <v>761</v>
      </c>
      <c r="N6" s="12" t="s">
        <v>762</v>
      </c>
      <c r="O6" s="12" t="s">
        <v>763</v>
      </c>
      <c r="P6" s="12" t="s">
        <v>384</v>
      </c>
      <c r="Q6" s="361" t="s">
        <v>779</v>
      </c>
      <c r="R6" s="87" t="s">
        <v>592</v>
      </c>
      <c r="S6" s="87" t="s">
        <v>797</v>
      </c>
      <c r="T6" s="12" t="s">
        <v>807</v>
      </c>
      <c r="U6" s="10" t="s">
        <v>86</v>
      </c>
      <c r="W6" s="12" t="s">
        <v>0</v>
      </c>
      <c r="X6" s="359" t="s">
        <v>782</v>
      </c>
      <c r="Y6" s="359" t="s">
        <v>782</v>
      </c>
      <c r="Z6" s="87" t="s">
        <v>106</v>
      </c>
      <c r="AA6" s="87" t="s">
        <v>761</v>
      </c>
      <c r="AB6" s="12" t="s">
        <v>762</v>
      </c>
      <c r="AC6" s="12" t="s">
        <v>763</v>
      </c>
      <c r="AD6" s="12" t="s">
        <v>384</v>
      </c>
      <c r="AE6" s="361" t="s">
        <v>805</v>
      </c>
      <c r="AF6" s="87" t="s">
        <v>803</v>
      </c>
      <c r="AG6" s="359" t="s">
        <v>780</v>
      </c>
      <c r="AH6" s="359" t="s">
        <v>781</v>
      </c>
      <c r="AI6" s="366" t="s">
        <v>806</v>
      </c>
      <c r="AJ6" s="87" t="s">
        <v>804</v>
      </c>
      <c r="AK6" s="87" t="s">
        <v>797</v>
      </c>
      <c r="AL6" s="12" t="s">
        <v>807</v>
      </c>
      <c r="AM6" s="12" t="s">
        <v>800</v>
      </c>
    </row>
    <row r="7" spans="1:39" ht="15">
      <c r="A7" s="362" t="s">
        <v>27</v>
      </c>
      <c r="B7" s="99">
        <f>EXP(-B3)</f>
        <v>0.99978002419822543</v>
      </c>
      <c r="D7" s="87"/>
      <c r="E7" s="87"/>
      <c r="G7" s="87"/>
      <c r="H7" s="87"/>
      <c r="I7" s="87"/>
      <c r="K7" s="161">
        <v>0</v>
      </c>
      <c r="L7" s="161"/>
      <c r="M7" s="161"/>
      <c r="N7" s="364">
        <v>200</v>
      </c>
      <c r="O7" s="364"/>
      <c r="P7" s="364"/>
      <c r="Q7" s="364"/>
      <c r="R7" s="365"/>
      <c r="S7" s="364">
        <f>-N7</f>
        <v>-200</v>
      </c>
      <c r="T7" s="364">
        <f>S7</f>
        <v>-200</v>
      </c>
      <c r="U7" s="10">
        <f>B11/(1.1^K7)</f>
        <v>1</v>
      </c>
      <c r="W7" s="87">
        <v>0</v>
      </c>
      <c r="X7" s="87"/>
      <c r="Y7" s="87"/>
      <c r="Z7" s="87"/>
      <c r="AA7" s="87"/>
      <c r="AB7" s="12">
        <f>N7</f>
        <v>200</v>
      </c>
      <c r="AC7" s="87"/>
      <c r="AD7" s="87"/>
      <c r="AE7" s="87"/>
      <c r="AF7" s="12">
        <f>-AB7</f>
        <v>-200</v>
      </c>
      <c r="AG7" s="87"/>
      <c r="AH7" s="87"/>
      <c r="AI7" s="87"/>
      <c r="AJ7" s="87"/>
      <c r="AK7" s="12">
        <f>-AB7</f>
        <v>-200</v>
      </c>
      <c r="AL7" s="12">
        <f>AK7</f>
        <v>-200</v>
      </c>
    </row>
    <row r="8" spans="1:39" ht="15">
      <c r="A8" s="362" t="s">
        <v>82</v>
      </c>
      <c r="B8" s="155">
        <v>70</v>
      </c>
      <c r="D8" s="87"/>
      <c r="E8" s="87"/>
      <c r="G8" s="87"/>
      <c r="H8" s="87"/>
      <c r="I8" s="87"/>
      <c r="K8" s="161">
        <v>1</v>
      </c>
      <c r="L8" s="161">
        <v>0</v>
      </c>
      <c r="M8" s="364">
        <f>D$63</f>
        <v>5693.7910482193565</v>
      </c>
      <c r="N8" s="364">
        <f>50+0.6*M8</f>
        <v>3466.2746289316137</v>
      </c>
      <c r="O8" s="364">
        <f>0.05*(L8+M8-N8)</f>
        <v>111.37582096438715</v>
      </c>
      <c r="P8" s="364">
        <f>((B11-B12)/B11)*(1.025^K7)*100000</f>
        <v>1041.3326963130576</v>
      </c>
      <c r="Q8" s="364">
        <f>(B12/B11)*L9</f>
        <v>3800.5456293756215</v>
      </c>
      <c r="R8" s="364">
        <f>L8+M8-N8+O8-P8-Q8</f>
        <v>-2502.9860854365493</v>
      </c>
      <c r="S8" s="364">
        <f>R8*B11</f>
        <v>-2502.9860854365493</v>
      </c>
      <c r="T8" s="364">
        <f>T7+S8/(1.1^K8)</f>
        <v>-2475.4418958514084</v>
      </c>
      <c r="U8" s="10">
        <f t="shared" ref="U8:U47" si="0">B12/(1.1^K8)</f>
        <v>0.89962424821533582</v>
      </c>
      <c r="W8" s="87">
        <v>1</v>
      </c>
      <c r="X8" s="87">
        <v>0</v>
      </c>
      <c r="Y8" s="87"/>
      <c r="Z8" s="87">
        <v>100000</v>
      </c>
      <c r="AA8" s="12">
        <f>M8</f>
        <v>5693.7910482193565</v>
      </c>
      <c r="AB8" s="12">
        <f>N8</f>
        <v>3466.2746289316137</v>
      </c>
      <c r="AC8" s="12">
        <f>0.05*(X8+AA8-AB8)</f>
        <v>111.37582096438715</v>
      </c>
      <c r="AD8" s="12">
        <f>100000*(B11-B12)/B11</f>
        <v>1041.3326963130576</v>
      </c>
      <c r="AE8" s="12">
        <f>(B12/B11)*X9</f>
        <v>2702.6168799825641</v>
      </c>
      <c r="AF8" s="12">
        <f>X8+AA8-AB8+AC8-AD8-AE8</f>
        <v>-1405.0573360434919</v>
      </c>
      <c r="AG8" s="12">
        <v>0</v>
      </c>
      <c r="AH8" s="12">
        <f>AG8</f>
        <v>0</v>
      </c>
      <c r="AI8" s="12"/>
      <c r="AJ8" s="12">
        <f>AF8</f>
        <v>-1405.0573360434919</v>
      </c>
      <c r="AK8" s="12">
        <f>AF8</f>
        <v>-1405.0573360434919</v>
      </c>
      <c r="AL8" s="12">
        <f>AL7+AK8/1.1</f>
        <v>-1477.3248509486289</v>
      </c>
      <c r="AM8" s="367">
        <f>Z9/Z8 - 1</f>
        <v>0</v>
      </c>
    </row>
    <row r="9" spans="1:39" ht="17">
      <c r="C9" s="87">
        <v>0.05</v>
      </c>
      <c r="D9" s="87" t="s">
        <v>75</v>
      </c>
      <c r="E9" s="87" t="s">
        <v>92</v>
      </c>
      <c r="G9" s="87" t="s">
        <v>5</v>
      </c>
      <c r="H9" s="359" t="s">
        <v>777</v>
      </c>
      <c r="I9" s="359" t="s">
        <v>776</v>
      </c>
      <c r="K9" s="161">
        <v>2</v>
      </c>
      <c r="L9" s="364">
        <f>100000*(1.025^K8)*I11-I$6*H11</f>
        <v>3840.5384115697598</v>
      </c>
      <c r="M9" s="364">
        <f t="shared" ref="M9:M47" si="1">D$63</f>
        <v>5693.7910482193565</v>
      </c>
      <c r="N9" s="364">
        <f>50+0.02*M9</f>
        <v>163.87582096438712</v>
      </c>
      <c r="O9" s="364">
        <f t="shared" ref="O9:O47" si="2">0.05*(L9+M9-N9)</f>
        <v>468.52268194123644</v>
      </c>
      <c r="P9" s="364">
        <f t="shared" ref="P9:P47" si="3">((B12-B13)/B12)*(1.025^K8)*100000</f>
        <v>1196.1789317138437</v>
      </c>
      <c r="Q9" s="364">
        <f t="shared" ref="Q9:Q47" si="4">(B13/B12)*L10</f>
        <v>7744.5116671362503</v>
      </c>
      <c r="R9" s="364">
        <f t="shared" ref="R9:R47" si="5">L9+M9-N9+O9-P9-Q9</f>
        <v>898.28572191587045</v>
      </c>
      <c r="S9" s="364">
        <f t="shared" ref="S9:S47" si="6">R9*B12</f>
        <v>888.93157898724871</v>
      </c>
      <c r="T9" s="364">
        <f t="shared" ref="T9:T47" si="7">T8+S9/(1.1^K9)</f>
        <v>-1740.7876983412857</v>
      </c>
      <c r="U9" s="10">
        <f t="shared" si="0"/>
        <v>0.80829599884610037</v>
      </c>
      <c r="W9" s="87">
        <v>2</v>
      </c>
      <c r="X9" s="12">
        <f>100000*I11-I$6*H11</f>
        <v>2731.0562617913019</v>
      </c>
      <c r="Y9" s="12"/>
      <c r="Z9" s="87">
        <v>100000</v>
      </c>
      <c r="AA9" s="12">
        <f t="shared" ref="AA9:AB47" si="8">M9</f>
        <v>5693.7910482193565</v>
      </c>
      <c r="AB9" s="12">
        <f t="shared" si="8"/>
        <v>163.87582096438712</v>
      </c>
      <c r="AC9" s="12">
        <f>0.05*(X9+AA9-AB9)</f>
        <v>413.04857445231357</v>
      </c>
      <c r="AD9" s="12">
        <f>100000*(B12-B13)/B12</f>
        <v>1167.0038358183842</v>
      </c>
      <c r="AE9" s="12">
        <f>(B13/B12)*X10</f>
        <v>5444.5548153580976</v>
      </c>
      <c r="AF9" s="12">
        <f>X9+AA9-AB9+AC9-AD9-AE9</f>
        <v>2062.4614123221027</v>
      </c>
      <c r="AG9" s="12">
        <f>AF9/((B13/B12)*I12)</f>
        <v>4539.7420789908574</v>
      </c>
      <c r="AH9" s="12">
        <f>AH8+AG9</f>
        <v>4539.7420789908574</v>
      </c>
      <c r="AI9" s="12">
        <f>AE9+(B13/B12)*AG9*I12</f>
        <v>7507.0162276802002</v>
      </c>
      <c r="AJ9" s="12">
        <v>0</v>
      </c>
      <c r="AK9" s="12">
        <f>AJ9</f>
        <v>0</v>
      </c>
      <c r="AL9" s="12">
        <f>AL8+AK9/1.1</f>
        <v>-1477.3248509486289</v>
      </c>
      <c r="AM9" s="367">
        <f t="shared" ref="AM9:AM47" si="9">Z10/Z9 - 1</f>
        <v>4.5397420789908605E-2</v>
      </c>
    </row>
    <row r="10" spans="1:39" ht="17">
      <c r="A10" s="87" t="s">
        <v>0</v>
      </c>
      <c r="B10" s="7" t="s">
        <v>801</v>
      </c>
      <c r="C10" s="87" t="s">
        <v>85</v>
      </c>
      <c r="D10" s="87" t="s">
        <v>86</v>
      </c>
      <c r="E10" s="87" t="s">
        <v>86</v>
      </c>
      <c r="G10" s="87">
        <v>70</v>
      </c>
      <c r="H10" s="5">
        <f>SUM(D11:D$61)/D11</f>
        <v>12.008303465592858</v>
      </c>
      <c r="I10" s="10">
        <f>1-(5/105)*H10</f>
        <v>0.42817602544795919</v>
      </c>
      <c r="K10" s="161">
        <v>3</v>
      </c>
      <c r="L10" s="364">
        <f t="shared" ref="L10:L48" si="10">100000*(1.025^K9)*I12-I$6*H12</f>
        <v>7835.9575928175327</v>
      </c>
      <c r="M10" s="364">
        <f t="shared" si="1"/>
        <v>5693.7910482193565</v>
      </c>
      <c r="N10" s="364">
        <f t="shared" ref="N10:N47" si="11">50+0.02*M10</f>
        <v>163.87582096438712</v>
      </c>
      <c r="O10" s="364">
        <f t="shared" si="2"/>
        <v>668.29364100362511</v>
      </c>
      <c r="P10" s="364">
        <f t="shared" si="3"/>
        <v>1374.2886282282309</v>
      </c>
      <c r="Q10" s="364">
        <f t="shared" si="4"/>
        <v>11830.797850240011</v>
      </c>
      <c r="R10" s="364">
        <f t="shared" si="5"/>
        <v>829.07998260788554</v>
      </c>
      <c r="S10" s="364">
        <f t="shared" si="6"/>
        <v>810.87185952507173</v>
      </c>
      <c r="T10" s="364">
        <f t="shared" si="7"/>
        <v>-1131.5676686455145</v>
      </c>
      <c r="U10" s="10">
        <f t="shared" si="0"/>
        <v>0.72520267268886995</v>
      </c>
      <c r="W10" s="87">
        <v>3</v>
      </c>
      <c r="X10" s="12">
        <f>100000*I12-I$6*H12</f>
        <v>5508.8432271279016</v>
      </c>
      <c r="Y10" s="12">
        <f>AH9*I12</f>
        <v>2086.8146189719237</v>
      </c>
      <c r="Z10" s="12">
        <f>100000+AG9</f>
        <v>104539.74207899085</v>
      </c>
      <c r="AA10" s="12">
        <f t="shared" si="8"/>
        <v>5693.7910482193565</v>
      </c>
      <c r="AB10" s="12">
        <f t="shared" si="8"/>
        <v>163.87582096438712</v>
      </c>
      <c r="AC10" s="12">
        <f>0.05*(X10+Y10+AA10-AB10)</f>
        <v>656.27865366773983</v>
      </c>
      <c r="AD10" s="12">
        <f>Z10*(B13-B14)/B13</f>
        <v>1367.4506007097623</v>
      </c>
      <c r="AE10" s="12">
        <f>(B14/B13)*(Z10*I13-I$6*H13)</f>
        <v>10351.939713990691</v>
      </c>
      <c r="AF10" s="12">
        <f>X10+Y10+AA10-AB10+AC10-AD10-AE10</f>
        <v>2062.4614123220817</v>
      </c>
      <c r="AG10" s="12">
        <f>AF10/((B14/B13)*I13)</f>
        <v>4392.1399112985609</v>
      </c>
      <c r="AH10" s="12">
        <f>AH9+AG10</f>
        <v>8931.8819902894174</v>
      </c>
      <c r="AI10" s="12">
        <f t="shared" ref="AI10:AI47" si="12">AE10+(B14/B13)*AG10*I13</f>
        <v>12414.401126312772</v>
      </c>
      <c r="AJ10" s="12">
        <v>0</v>
      </c>
      <c r="AK10" s="12">
        <f t="shared" ref="AK10:AK47" si="13">AJ10</f>
        <v>0</v>
      </c>
      <c r="AL10" s="12">
        <f t="shared" ref="AL10:AL47" si="14">AL9+AK10/1.1</f>
        <v>-1477.3248509486289</v>
      </c>
      <c r="AM10" s="367">
        <f t="shared" si="9"/>
        <v>4.2014068754635314E-2</v>
      </c>
    </row>
    <row r="11" spans="1:39">
      <c r="A11" s="87">
        <v>0</v>
      </c>
      <c r="B11" s="10">
        <f>(B$7^A11)*(B$6^((B$5^B$8)*(B$5^A11-1)))</f>
        <v>1</v>
      </c>
      <c r="C11" s="87">
        <f>(1+C$9)^-A11</f>
        <v>1</v>
      </c>
      <c r="D11" s="87">
        <f>B11*C11</f>
        <v>1</v>
      </c>
      <c r="E11" s="87"/>
      <c r="G11" s="87">
        <v>71</v>
      </c>
      <c r="H11" s="5">
        <f>SUM(D12:D$61)/D12</f>
        <v>11.680349941860882</v>
      </c>
      <c r="I11" s="10">
        <f t="shared" ref="I11:I60" si="15">1-(5/105)*H11</f>
        <v>0.44379285991138662</v>
      </c>
      <c r="K11" s="87">
        <v>4</v>
      </c>
      <c r="L11" s="12">
        <f t="shared" si="10"/>
        <v>11987.60382396981</v>
      </c>
      <c r="M11" s="12">
        <f t="shared" si="1"/>
        <v>5693.7910482193565</v>
      </c>
      <c r="N11" s="12">
        <f t="shared" si="11"/>
        <v>163.87582096438712</v>
      </c>
      <c r="O11" s="12">
        <f t="shared" si="2"/>
        <v>875.87595256123905</v>
      </c>
      <c r="P11" s="12">
        <f t="shared" si="3"/>
        <v>1579.1342803447637</v>
      </c>
      <c r="Q11" s="12">
        <f t="shared" si="4"/>
        <v>16057.341497133821</v>
      </c>
      <c r="R11" s="12">
        <f t="shared" si="5"/>
        <v>756.91922630743647</v>
      </c>
      <c r="S11" s="12">
        <f t="shared" si="6"/>
        <v>730.61231492982813</v>
      </c>
      <c r="T11" s="364">
        <f t="shared" si="7"/>
        <v>-632.54962689301942</v>
      </c>
      <c r="U11" s="10">
        <f t="shared" si="0"/>
        <v>0.64960765709329382</v>
      </c>
      <c r="W11" s="87">
        <v>4</v>
      </c>
      <c r="X11" s="12">
        <f t="shared" ref="X11:X48" si="16">100000*I13-I$6*H13</f>
        <v>8329.1177631354585</v>
      </c>
      <c r="Y11" s="12">
        <f t="shared" ref="Y11:Y48" si="17">AH10*I13</f>
        <v>4249.8244432908796</v>
      </c>
      <c r="Z11" s="12">
        <f>Z10+AG10</f>
        <v>108931.88199028942</v>
      </c>
      <c r="AA11" s="12">
        <f t="shared" si="8"/>
        <v>5693.7910482193565</v>
      </c>
      <c r="AB11" s="12">
        <f t="shared" si="8"/>
        <v>163.87582096438712</v>
      </c>
      <c r="AC11" s="12">
        <f t="shared" ref="AC11:AC47" si="18">0.05*(X11+Y11+AA11-AB11)</f>
        <v>905.44287168406561</v>
      </c>
      <c r="AD11" s="12">
        <f t="shared" ref="AD11:AD47" si="19">Z11*(B14-B15)/B14</f>
        <v>1597.3587760905286</v>
      </c>
      <c r="AE11" s="12">
        <f t="shared" ref="AE11:AE47" si="20">(B15/B14)*(Z11*I14-I$6*H14)</f>
        <v>15354.480116952751</v>
      </c>
      <c r="AF11" s="12">
        <f t="shared" ref="AF11:AF47" si="21">X11+Y11+AA11-AB11+AC11-AD11-AE11</f>
        <v>2062.4614123220981</v>
      </c>
      <c r="AG11" s="12">
        <f t="shared" ref="AG11:AG47" si="22">AF11/((B15/B14)*I14)</f>
        <v>4253.1091357031419</v>
      </c>
      <c r="AH11" s="12">
        <f t="shared" ref="AH11:AH47" si="23">AH10+AG11</f>
        <v>13184.991125992559</v>
      </c>
      <c r="AI11" s="12">
        <f t="shared" si="12"/>
        <v>17416.941529274849</v>
      </c>
      <c r="AJ11" s="12">
        <v>0</v>
      </c>
      <c r="AK11" s="12">
        <f t="shared" si="13"/>
        <v>0</v>
      </c>
      <c r="AL11" s="12">
        <f t="shared" si="14"/>
        <v>-1477.3248509486289</v>
      </c>
      <c r="AM11" s="367">
        <f t="shared" si="9"/>
        <v>3.9043749708485453E-2</v>
      </c>
    </row>
    <row r="12" spans="1:39">
      <c r="A12" s="87">
        <v>1</v>
      </c>
      <c r="B12" s="10">
        <f t="shared" ref="B12:B61" si="24">(B$7^A12)*(B$6^((B$5^B$8)*(B$5^A12-1)))</f>
        <v>0.98958667303686942</v>
      </c>
      <c r="C12" s="10">
        <f>(1+C$9)^-A12</f>
        <v>0.95238095238095233</v>
      </c>
      <c r="D12" s="10">
        <f>B12*C12</f>
        <v>0.9424634981303518</v>
      </c>
      <c r="E12" s="10">
        <f>(B11-B12)*C12*(1.025^A11)</f>
        <v>9.9174542506005482E-3</v>
      </c>
      <c r="G12" s="87">
        <v>72</v>
      </c>
      <c r="H12" s="5">
        <f>SUM(D13:D$61)/D13</f>
        <v>11.34678485343558</v>
      </c>
      <c r="I12" s="10">
        <f t="shared" si="15"/>
        <v>0.45967691174116287</v>
      </c>
      <c r="K12" s="87">
        <v>5</v>
      </c>
      <c r="L12" s="12">
        <f t="shared" si="10"/>
        <v>16296.307810981816</v>
      </c>
      <c r="M12" s="12">
        <f t="shared" si="1"/>
        <v>5693.7910482193565</v>
      </c>
      <c r="N12" s="12">
        <f t="shared" si="11"/>
        <v>163.87582096438712</v>
      </c>
      <c r="O12" s="12">
        <f t="shared" si="2"/>
        <v>1091.3111519118393</v>
      </c>
      <c r="P12" s="12">
        <f t="shared" si="3"/>
        <v>1814.6977675947408</v>
      </c>
      <c r="Q12" s="12">
        <f t="shared" si="4"/>
        <v>20421.007973613894</v>
      </c>
      <c r="R12" s="12">
        <f t="shared" si="5"/>
        <v>681.82844893998845</v>
      </c>
      <c r="S12" s="12">
        <f t="shared" si="6"/>
        <v>648.48060865611978</v>
      </c>
      <c r="T12" s="364">
        <f t="shared" si="7"/>
        <v>-229.89418938805545</v>
      </c>
      <c r="U12" s="10">
        <f t="shared" si="0"/>
        <v>0.58084357666613062</v>
      </c>
      <c r="W12" s="87">
        <v>5</v>
      </c>
      <c r="X12" s="12">
        <f t="shared" si="16"/>
        <v>11187.187092984459</v>
      </c>
      <c r="Y12" s="12">
        <f t="shared" si="17"/>
        <v>6488.9543989056137</v>
      </c>
      <c r="Z12" s="12">
        <f t="shared" ref="Z12:Z48" si="25">Z11+AG11</f>
        <v>113184.99112599256</v>
      </c>
      <c r="AA12" s="12">
        <f t="shared" si="8"/>
        <v>5693.7910482193565</v>
      </c>
      <c r="AB12" s="12">
        <f t="shared" si="8"/>
        <v>163.87582096438712</v>
      </c>
      <c r="AC12" s="12">
        <f t="shared" si="18"/>
        <v>1160.3028359572525</v>
      </c>
      <c r="AD12" s="12">
        <f t="shared" si="19"/>
        <v>1860.7913756585122</v>
      </c>
      <c r="AE12" s="12">
        <f t="shared" si="20"/>
        <v>20443.106767121684</v>
      </c>
      <c r="AF12" s="12">
        <f t="shared" si="21"/>
        <v>2062.4614123221036</v>
      </c>
      <c r="AG12" s="12">
        <f t="shared" si="22"/>
        <v>4122.332933006528</v>
      </c>
      <c r="AH12" s="12">
        <f t="shared" si="23"/>
        <v>17307.324058999089</v>
      </c>
      <c r="AI12" s="12">
        <f t="shared" si="12"/>
        <v>22505.568179443788</v>
      </c>
      <c r="AJ12" s="12">
        <v>0</v>
      </c>
      <c r="AK12" s="12">
        <f t="shared" si="13"/>
        <v>0</v>
      </c>
      <c r="AL12" s="12">
        <f t="shared" si="14"/>
        <v>-1477.3248509486289</v>
      </c>
      <c r="AM12" s="367">
        <f t="shared" si="9"/>
        <v>3.6421197651707482E-2</v>
      </c>
    </row>
    <row r="13" spans="1:39">
      <c r="A13" s="87">
        <v>2</v>
      </c>
      <c r="B13" s="10">
        <f t="shared" si="24"/>
        <v>0.97803815860378163</v>
      </c>
      <c r="C13" s="10">
        <f t="shared" ref="C13:C61" si="26">(1+C$9)^-A13</f>
        <v>0.90702947845804982</v>
      </c>
      <c r="D13" s="10">
        <f t="shared" ref="D13:D61" si="27">B13*C13</f>
        <v>0.88710944091045951</v>
      </c>
      <c r="E13" s="10">
        <f t="shared" ref="E13:E61" si="28">(B12-B13)*C13*(1.025^A12)</f>
        <v>1.0736714098789107E-2</v>
      </c>
      <c r="G13" s="87">
        <v>73</v>
      </c>
      <c r="H13" s="5">
        <f>SUM(D14:D$61)/D14</f>
        <v>11.008117728588951</v>
      </c>
      <c r="I13" s="10">
        <f t="shared" si="15"/>
        <v>0.47580391768624042</v>
      </c>
      <c r="K13" s="87">
        <v>6</v>
      </c>
      <c r="L13" s="12">
        <f t="shared" si="10"/>
        <v>20762.346475078761</v>
      </c>
      <c r="M13" s="12">
        <f t="shared" si="1"/>
        <v>5693.7910482193565</v>
      </c>
      <c r="N13" s="12">
        <f t="shared" si="11"/>
        <v>163.87582096438712</v>
      </c>
      <c r="O13" s="12">
        <f t="shared" si="2"/>
        <v>1314.6130851166865</v>
      </c>
      <c r="P13" s="12">
        <f t="shared" si="3"/>
        <v>2085.5423847186034</v>
      </c>
      <c r="Q13" s="12">
        <f t="shared" si="4"/>
        <v>24917.475678676081</v>
      </c>
      <c r="R13" s="12">
        <f t="shared" si="5"/>
        <v>603.85672405573132</v>
      </c>
      <c r="S13" s="12">
        <f t="shared" si="6"/>
        <v>564.88042263771342</v>
      </c>
      <c r="T13" s="364">
        <f t="shared" si="7"/>
        <v>88.966082788693257</v>
      </c>
      <c r="U13" s="10">
        <f t="shared" si="0"/>
        <v>0.5183061786631098</v>
      </c>
      <c r="W13" s="87">
        <v>6</v>
      </c>
      <c r="X13" s="12">
        <f t="shared" si="16"/>
        <v>14077.914064997422</v>
      </c>
      <c r="Y13" s="12">
        <f t="shared" si="17"/>
        <v>8803.8361778838207</v>
      </c>
      <c r="Z13" s="12">
        <f t="shared" si="25"/>
        <v>117307.32405899909</v>
      </c>
      <c r="AA13" s="12">
        <f t="shared" si="8"/>
        <v>5693.7910482193565</v>
      </c>
      <c r="AB13" s="12">
        <f t="shared" si="8"/>
        <v>163.87582096438712</v>
      </c>
      <c r="AC13" s="12">
        <f t="shared" si="18"/>
        <v>1420.5832735068107</v>
      </c>
      <c r="AD13" s="12">
        <f t="shared" si="19"/>
        <v>2162.3441793648503</v>
      </c>
      <c r="AE13" s="12">
        <f t="shared" si="20"/>
        <v>25607.443151956089</v>
      </c>
      <c r="AF13" s="12">
        <f t="shared" si="21"/>
        <v>2062.4614123220854</v>
      </c>
      <c r="AG13" s="12">
        <f t="shared" si="22"/>
        <v>3999.5171403238714</v>
      </c>
      <c r="AH13" s="12">
        <f t="shared" si="23"/>
        <v>21306.84119932296</v>
      </c>
      <c r="AI13" s="12">
        <f t="shared" si="12"/>
        <v>27669.904564278175</v>
      </c>
      <c r="AJ13" s="12">
        <v>0</v>
      </c>
      <c r="AK13" s="12">
        <f t="shared" si="13"/>
        <v>0</v>
      </c>
      <c r="AL13" s="12">
        <f t="shared" si="14"/>
        <v>-1477.3248509486289</v>
      </c>
      <c r="AM13" s="367">
        <f t="shared" si="9"/>
        <v>3.4094351502829801E-2</v>
      </c>
    </row>
    <row r="14" spans="1:39">
      <c r="A14" s="87">
        <v>3</v>
      </c>
      <c r="B14" s="10">
        <f t="shared" si="24"/>
        <v>0.96524475734888615</v>
      </c>
      <c r="C14" s="10">
        <f t="shared" si="26"/>
        <v>0.86383759853147601</v>
      </c>
      <c r="D14" s="10">
        <f t="shared" si="27"/>
        <v>0.83381471318335909</v>
      </c>
      <c r="E14" s="10">
        <f t="shared" si="28"/>
        <v>1.1610899206068077E-2</v>
      </c>
      <c r="G14" s="87">
        <v>74</v>
      </c>
      <c r="H14" s="5">
        <f>SUM(D15:D$61)/D15</f>
        <v>10.664912090203648</v>
      </c>
      <c r="I14" s="10">
        <f t="shared" si="15"/>
        <v>0.49214704332363579</v>
      </c>
      <c r="K14" s="87">
        <v>7</v>
      </c>
      <c r="L14" s="12">
        <f t="shared" si="10"/>
        <v>25385.408875195579</v>
      </c>
      <c r="M14" s="12">
        <f t="shared" si="1"/>
        <v>5693.7910482193565</v>
      </c>
      <c r="N14" s="12">
        <f t="shared" si="11"/>
        <v>163.87582096438712</v>
      </c>
      <c r="O14" s="12">
        <f t="shared" si="2"/>
        <v>1545.7662051225275</v>
      </c>
      <c r="P14" s="12">
        <f t="shared" si="3"/>
        <v>2396.8942575810843</v>
      </c>
      <c r="Q14" s="12">
        <f t="shared" si="4"/>
        <v>29541.115787662176</v>
      </c>
      <c r="R14" s="12">
        <f t="shared" si="5"/>
        <v>523.08026232981501</v>
      </c>
      <c r="S14" s="12">
        <f t="shared" si="6"/>
        <v>480.29805712450593</v>
      </c>
      <c r="T14" s="364">
        <f t="shared" si="7"/>
        <v>335.43492997256908</v>
      </c>
      <c r="U14" s="10">
        <f t="shared" si="0"/>
        <v>0.46144877112023452</v>
      </c>
      <c r="W14" s="87">
        <v>7</v>
      </c>
      <c r="X14" s="12">
        <f t="shared" si="16"/>
        <v>16995.728680299799</v>
      </c>
      <c r="Y14" s="12">
        <f t="shared" si="17"/>
        <v>11193.797817480754</v>
      </c>
      <c r="Z14" s="12">
        <f t="shared" si="25"/>
        <v>121306.84119932297</v>
      </c>
      <c r="AA14" s="12">
        <f t="shared" si="8"/>
        <v>5693.7910482193565</v>
      </c>
      <c r="AB14" s="12">
        <f t="shared" si="8"/>
        <v>163.87582096438712</v>
      </c>
      <c r="AC14" s="12">
        <f t="shared" si="18"/>
        <v>1685.9720862517763</v>
      </c>
      <c r="AD14" s="12">
        <f t="shared" si="19"/>
        <v>2507.211531165055</v>
      </c>
      <c r="AE14" s="12">
        <f t="shared" si="20"/>
        <v>30835.740867800141</v>
      </c>
      <c r="AF14" s="12">
        <f t="shared" si="21"/>
        <v>2062.4614123221072</v>
      </c>
      <c r="AG14" s="12">
        <f t="shared" si="22"/>
        <v>3884.3903688180239</v>
      </c>
      <c r="AH14" s="12">
        <f t="shared" si="23"/>
        <v>25191.231568140985</v>
      </c>
      <c r="AI14" s="12">
        <f t="shared" si="12"/>
        <v>32898.202280122248</v>
      </c>
      <c r="AJ14" s="12">
        <v>0</v>
      </c>
      <c r="AK14" s="12">
        <f t="shared" si="13"/>
        <v>0</v>
      </c>
      <c r="AL14" s="12">
        <f t="shared" si="14"/>
        <v>-1477.3248509486289</v>
      </c>
      <c r="AM14" s="367">
        <f t="shared" si="9"/>
        <v>3.2021197901241694E-2</v>
      </c>
    </row>
    <row r="15" spans="1:39">
      <c r="A15" s="87">
        <v>4</v>
      </c>
      <c r="B15" s="10">
        <f t="shared" si="24"/>
        <v>0.9510905707502918</v>
      </c>
      <c r="C15" s="10">
        <f t="shared" si="26"/>
        <v>0.82270247479188197</v>
      </c>
      <c r="D15" s="10">
        <f t="shared" si="27"/>
        <v>0.78246456630748862</v>
      </c>
      <c r="E15" s="10">
        <f t="shared" si="28"/>
        <v>1.2540051400415997E-2</v>
      </c>
      <c r="G15" s="87">
        <v>75</v>
      </c>
      <c r="H15" s="5">
        <f>SUM(D16:D$61)/D16</f>
        <v>10.317784823042588</v>
      </c>
      <c r="I15" s="10">
        <f t="shared" si="15"/>
        <v>0.50867691318844821</v>
      </c>
      <c r="K15" s="87">
        <v>8</v>
      </c>
      <c r="L15" s="12">
        <f t="shared" si="10"/>
        <v>30164.567446166468</v>
      </c>
      <c r="M15" s="12">
        <f t="shared" si="1"/>
        <v>5693.7910482193565</v>
      </c>
      <c r="N15" s="12">
        <f t="shared" si="11"/>
        <v>163.87582096438712</v>
      </c>
      <c r="O15" s="12">
        <f t="shared" si="2"/>
        <v>1784.724133671072</v>
      </c>
      <c r="P15" s="12">
        <f t="shared" si="3"/>
        <v>2754.7341256810023</v>
      </c>
      <c r="Q15" s="12">
        <f t="shared" si="4"/>
        <v>34284.867014352967</v>
      </c>
      <c r="R15" s="12">
        <f t="shared" si="5"/>
        <v>439.60566705853853</v>
      </c>
      <c r="S15" s="12">
        <f t="shared" si="6"/>
        <v>395.30797162689231</v>
      </c>
      <c r="T15" s="364">
        <f t="shared" si="7"/>
        <v>519.84901619225411</v>
      </c>
      <c r="U15" s="10">
        <f t="shared" si="0"/>
        <v>0.40977715541897436</v>
      </c>
      <c r="W15" s="87">
        <v>8</v>
      </c>
      <c r="X15" s="12">
        <f t="shared" si="16"/>
        <v>19934.646415152274</v>
      </c>
      <c r="Y15" s="12">
        <f t="shared" si="17"/>
        <v>13657.857289492275</v>
      </c>
      <c r="Z15" s="12">
        <f t="shared" si="25"/>
        <v>125191.231568141</v>
      </c>
      <c r="AA15" s="12">
        <f t="shared" si="8"/>
        <v>5693.7910482193565</v>
      </c>
      <c r="AB15" s="12">
        <f t="shared" si="8"/>
        <v>163.87582096438712</v>
      </c>
      <c r="AC15" s="12">
        <f t="shared" si="18"/>
        <v>1956.120946594976</v>
      </c>
      <c r="AD15" s="12">
        <f t="shared" si="19"/>
        <v>2901.2592838144756</v>
      </c>
      <c r="AE15" s="12">
        <f t="shared" si="20"/>
        <v>36114.819182357962</v>
      </c>
      <c r="AF15" s="12">
        <f t="shared" si="21"/>
        <v>2062.4614123220599</v>
      </c>
      <c r="AG15" s="12">
        <f t="shared" si="22"/>
        <v>3776.704284211542</v>
      </c>
      <c r="AH15" s="12">
        <f t="shared" si="23"/>
        <v>28967.935852352526</v>
      </c>
      <c r="AI15" s="12">
        <f t="shared" si="12"/>
        <v>38177.280594680022</v>
      </c>
      <c r="AJ15" s="12">
        <v>0</v>
      </c>
      <c r="AK15" s="12">
        <f t="shared" si="13"/>
        <v>0</v>
      </c>
      <c r="AL15" s="12">
        <f t="shared" si="14"/>
        <v>-1477.3248509486289</v>
      </c>
      <c r="AM15" s="367">
        <f t="shared" si="9"/>
        <v>3.0167482473849594E-2</v>
      </c>
    </row>
    <row r="16" spans="1:39">
      <c r="A16" s="87">
        <v>5</v>
      </c>
      <c r="B16" s="10">
        <f t="shared" si="24"/>
        <v>0.93545438865657027</v>
      </c>
      <c r="C16" s="10">
        <f t="shared" si="26"/>
        <v>0.78352616646845896</v>
      </c>
      <c r="D16" s="10">
        <f t="shared" si="27"/>
        <v>0.73295299105017842</v>
      </c>
      <c r="E16" s="10">
        <f t="shared" si="28"/>
        <v>1.3523206682858916E-2</v>
      </c>
      <c r="G16" s="87">
        <v>76</v>
      </c>
      <c r="H16" s="5">
        <f>SUM(D17:D$61)/D17</f>
        <v>9.9674047894736582</v>
      </c>
      <c r="I16" s="10">
        <f t="shared" si="15"/>
        <v>0.52536167669173062</v>
      </c>
      <c r="K16" s="87">
        <v>9</v>
      </c>
      <c r="L16" s="12">
        <f t="shared" si="10"/>
        <v>35098.255772741657</v>
      </c>
      <c r="M16" s="12">
        <f t="shared" si="1"/>
        <v>5693.7910482193565</v>
      </c>
      <c r="N16" s="12">
        <f t="shared" si="11"/>
        <v>163.87582096438712</v>
      </c>
      <c r="O16" s="12">
        <f t="shared" si="2"/>
        <v>2031.4085499998314</v>
      </c>
      <c r="P16" s="12">
        <f t="shared" si="3"/>
        <v>3165.9004968389754</v>
      </c>
      <c r="Q16" s="12">
        <f t="shared" si="4"/>
        <v>39140.105669389697</v>
      </c>
      <c r="R16" s="12">
        <f t="shared" si="5"/>
        <v>353.57338376778353</v>
      </c>
      <c r="S16" s="12">
        <f t="shared" si="6"/>
        <v>310.57664161086899</v>
      </c>
      <c r="T16" s="364">
        <f t="shared" si="7"/>
        <v>651.56383022154841</v>
      </c>
      <c r="U16" s="10">
        <f t="shared" si="0"/>
        <v>0.36284499792188729</v>
      </c>
      <c r="W16" s="87">
        <v>9</v>
      </c>
      <c r="X16" s="12">
        <f t="shared" si="16"/>
        <v>22888.293783107845</v>
      </c>
      <c r="Y16" s="12">
        <f t="shared" si="17"/>
        <v>16194.720844274219</v>
      </c>
      <c r="Z16" s="12">
        <f t="shared" si="25"/>
        <v>128967.93585235254</v>
      </c>
      <c r="AA16" s="12">
        <f t="shared" si="8"/>
        <v>5693.7910482193565</v>
      </c>
      <c r="AB16" s="12">
        <f t="shared" si="8"/>
        <v>163.87582096438712</v>
      </c>
      <c r="AC16" s="12">
        <f t="shared" si="18"/>
        <v>2230.6464927318516</v>
      </c>
      <c r="AD16" s="12">
        <f t="shared" si="19"/>
        <v>3351.1053940015481</v>
      </c>
      <c r="AE16" s="12">
        <f t="shared" si="20"/>
        <v>41430.009541045263</v>
      </c>
      <c r="AF16" s="12">
        <f t="shared" si="21"/>
        <v>2062.4614123220745</v>
      </c>
      <c r="AG16" s="12">
        <f t="shared" si="22"/>
        <v>3676.2340755899231</v>
      </c>
      <c r="AH16" s="12">
        <f t="shared" si="23"/>
        <v>32644.16992794245</v>
      </c>
      <c r="AI16" s="12">
        <f t="shared" si="12"/>
        <v>43492.470953367338</v>
      </c>
      <c r="AJ16" s="12">
        <v>0</v>
      </c>
      <c r="AK16" s="12">
        <f t="shared" si="13"/>
        <v>0</v>
      </c>
      <c r="AL16" s="12">
        <f t="shared" si="14"/>
        <v>-1477.3248509486289</v>
      </c>
      <c r="AM16" s="367">
        <f t="shared" si="9"/>
        <v>2.850502375876296E-2</v>
      </c>
    </row>
    <row r="17" spans="1:39">
      <c r="A17" s="87">
        <v>6</v>
      </c>
      <c r="B17" s="10">
        <f t="shared" si="24"/>
        <v>0.9182110121785978</v>
      </c>
      <c r="C17" s="10">
        <f t="shared" si="26"/>
        <v>0.74621539663662761</v>
      </c>
      <c r="D17" s="10">
        <f t="shared" si="27"/>
        <v>0.68518319464897171</v>
      </c>
      <c r="E17" s="10">
        <f t="shared" si="28"/>
        <v>1.4558138369918308E-2</v>
      </c>
      <c r="G17" s="87">
        <v>77</v>
      </c>
      <c r="H17" s="5">
        <f>SUM(D18:D$61)/D18</f>
        <v>9.6144906292684453</v>
      </c>
      <c r="I17" s="10">
        <f t="shared" si="15"/>
        <v>0.54216711289197883</v>
      </c>
      <c r="K17" s="161">
        <v>10</v>
      </c>
      <c r="L17" s="364">
        <f t="shared" si="10"/>
        <v>40184.254122681312</v>
      </c>
      <c r="M17" s="364">
        <f t="shared" si="1"/>
        <v>5693.7910482193565</v>
      </c>
      <c r="N17" s="364">
        <f t="shared" si="11"/>
        <v>163.87582096438712</v>
      </c>
      <c r="O17" s="364">
        <f t="shared" si="2"/>
        <v>2285.7084674968141</v>
      </c>
      <c r="P17" s="364">
        <f t="shared" si="3"/>
        <v>3638.2051746893499</v>
      </c>
      <c r="Q17" s="364">
        <f t="shared" si="4"/>
        <v>44096.511302251805</v>
      </c>
      <c r="R17" s="364">
        <f t="shared" si="5"/>
        <v>265.16134049194079</v>
      </c>
      <c r="S17" s="364">
        <f t="shared" si="6"/>
        <v>226.86396214387545</v>
      </c>
      <c r="T17" s="364">
        <f t="shared" si="7"/>
        <v>739.02970843951482</v>
      </c>
      <c r="U17" s="10">
        <f t="shared" si="0"/>
        <v>0.32024958762967853</v>
      </c>
      <c r="W17" s="87">
        <v>10</v>
      </c>
      <c r="X17" s="12">
        <f t="shared" si="16"/>
        <v>25849.941462069772</v>
      </c>
      <c r="Y17" s="12">
        <f t="shared" si="17"/>
        <v>18802.786866670576</v>
      </c>
      <c r="Z17" s="12">
        <f t="shared" si="25"/>
        <v>132644.16992794248</v>
      </c>
      <c r="AA17" s="12">
        <f t="shared" si="8"/>
        <v>5693.7910482193565</v>
      </c>
      <c r="AB17" s="12">
        <f t="shared" si="8"/>
        <v>163.87582096438712</v>
      </c>
      <c r="AC17" s="12">
        <f t="shared" si="18"/>
        <v>2509.1321777997659</v>
      </c>
      <c r="AD17" s="12">
        <f t="shared" si="19"/>
        <v>3864.2086204576703</v>
      </c>
      <c r="AE17" s="12">
        <f t="shared" si="20"/>
        <v>46765.105701015353</v>
      </c>
      <c r="AF17" s="12">
        <f t="shared" si="21"/>
        <v>2062.4614123220599</v>
      </c>
      <c r="AG17" s="12">
        <f t="shared" si="22"/>
        <v>3582.7791435130043</v>
      </c>
      <c r="AH17" s="12">
        <f t="shared" si="23"/>
        <v>36226.949071455456</v>
      </c>
      <c r="AI17" s="12">
        <f t="shared" si="12"/>
        <v>48827.567113337413</v>
      </c>
      <c r="AJ17" s="12">
        <v>0</v>
      </c>
      <c r="AK17" s="12">
        <f t="shared" si="13"/>
        <v>0</v>
      </c>
      <c r="AL17" s="12">
        <f t="shared" si="14"/>
        <v>-1477.3248509486289</v>
      </c>
      <c r="AM17" s="367">
        <f t="shared" si="9"/>
        <v>2.7010453195638551E-2</v>
      </c>
    </row>
    <row r="18" spans="1:39">
      <c r="A18" s="87">
        <v>7</v>
      </c>
      <c r="B18" s="10">
        <f t="shared" si="24"/>
        <v>0.89923311105598769</v>
      </c>
      <c r="C18" s="10">
        <f t="shared" si="26"/>
        <v>0.71068133013012147</v>
      </c>
      <c r="D18" s="10">
        <f t="shared" si="27"/>
        <v>0.63906818346231653</v>
      </c>
      <c r="E18" s="10">
        <f t="shared" si="28"/>
        <v>1.5641063472811259E-2</v>
      </c>
      <c r="G18" s="87">
        <v>78</v>
      </c>
      <c r="H18" s="5">
        <f>SUM(D19:D$61)/D19</f>
        <v>9.2598076900208444</v>
      </c>
      <c r="I18" s="10">
        <f t="shared" si="15"/>
        <v>0.5590567766656741</v>
      </c>
      <c r="K18" s="161">
        <v>11</v>
      </c>
      <c r="L18" s="364">
        <f t="shared" si="10"/>
        <v>45419.683924577846</v>
      </c>
      <c r="M18" s="364">
        <f t="shared" si="1"/>
        <v>5693.7910482193565</v>
      </c>
      <c r="N18" s="364">
        <f t="shared" si="11"/>
        <v>163.87582096438712</v>
      </c>
      <c r="O18" s="364">
        <f t="shared" si="2"/>
        <v>2547.4799575916409</v>
      </c>
      <c r="P18" s="364">
        <f t="shared" si="3"/>
        <v>4180.5621119840207</v>
      </c>
      <c r="Q18" s="364">
        <f t="shared" si="4"/>
        <v>49141.928224044314</v>
      </c>
      <c r="R18" s="364">
        <f t="shared" si="5"/>
        <v>174.58877339612081</v>
      </c>
      <c r="S18" s="364">
        <f t="shared" si="6"/>
        <v>145.02128351814699</v>
      </c>
      <c r="T18" s="364">
        <f t="shared" si="7"/>
        <v>789.8587836075867</v>
      </c>
      <c r="U18" s="10">
        <f t="shared" si="0"/>
        <v>0.28162792860667013</v>
      </c>
      <c r="W18" s="87">
        <v>11</v>
      </c>
      <c r="X18" s="12">
        <f t="shared" si="16"/>
        <v>28812.545161532362</v>
      </c>
      <c r="Y18" s="12">
        <f t="shared" si="17"/>
        <v>21480.155997814159</v>
      </c>
      <c r="Z18" s="12">
        <f t="shared" si="25"/>
        <v>136226.94907145548</v>
      </c>
      <c r="AA18" s="12">
        <f t="shared" si="8"/>
        <v>5693.7910482193565</v>
      </c>
      <c r="AB18" s="12">
        <f t="shared" si="8"/>
        <v>163.87582096438712</v>
      </c>
      <c r="AC18" s="12">
        <f t="shared" si="18"/>
        <v>2791.1308193300747</v>
      </c>
      <c r="AD18" s="12">
        <f t="shared" si="19"/>
        <v>4448.9656913781546</v>
      </c>
      <c r="AE18" s="12">
        <f t="shared" si="20"/>
        <v>52102.320102231344</v>
      </c>
      <c r="AF18" s="12">
        <f t="shared" si="21"/>
        <v>2062.4614123220672</v>
      </c>
      <c r="AG18" s="12">
        <f t="shared" si="22"/>
        <v>3496.1640452833653</v>
      </c>
      <c r="AH18" s="12">
        <f t="shared" si="23"/>
        <v>39723.113116738823</v>
      </c>
      <c r="AI18" s="12">
        <f t="shared" si="12"/>
        <v>54164.781514553411</v>
      </c>
      <c r="AJ18" s="12">
        <v>0</v>
      </c>
      <c r="AK18" s="12">
        <f t="shared" si="13"/>
        <v>0</v>
      </c>
      <c r="AL18" s="12">
        <f t="shared" si="14"/>
        <v>-1477.3248509486289</v>
      </c>
      <c r="AM18" s="367">
        <f t="shared" si="9"/>
        <v>2.5664261507093666E-2</v>
      </c>
    </row>
    <row r="19" spans="1:39">
      <c r="A19" s="87">
        <v>8</v>
      </c>
      <c r="B19" s="10">
        <f t="shared" si="24"/>
        <v>0.87839372494974477</v>
      </c>
      <c r="C19" s="10">
        <f t="shared" si="26"/>
        <v>0.67683936202868722</v>
      </c>
      <c r="D19" s="10">
        <f t="shared" si="27"/>
        <v>0.59453144840498739</v>
      </c>
      <c r="E19" s="10">
        <f t="shared" si="28"/>
        <v>1.6766313653529631E-2</v>
      </c>
      <c r="G19" s="87">
        <v>79</v>
      </c>
      <c r="H19" s="5">
        <f>SUM(D20:D$61)/D20</f>
        <v>8.9041640491494078</v>
      </c>
      <c r="I19" s="10">
        <f t="shared" si="15"/>
        <v>0.57599218813574249</v>
      </c>
      <c r="K19" s="161">
        <v>12</v>
      </c>
      <c r="L19" s="364">
        <f t="shared" si="10"/>
        <v>50801.012291572959</v>
      </c>
      <c r="M19" s="364">
        <f t="shared" si="1"/>
        <v>5693.7910482193565</v>
      </c>
      <c r="N19" s="364">
        <f t="shared" si="11"/>
        <v>163.87582096438712</v>
      </c>
      <c r="O19" s="364">
        <f t="shared" si="2"/>
        <v>2816.5463759413965</v>
      </c>
      <c r="P19" s="364">
        <f t="shared" si="3"/>
        <v>4803.130435637695</v>
      </c>
      <c r="Q19" s="364">
        <f t="shared" si="4"/>
        <v>54262.223229188246</v>
      </c>
      <c r="R19" s="364">
        <f t="shared" si="5"/>
        <v>82.120229943386221</v>
      </c>
      <c r="S19" s="364">
        <f t="shared" si="6"/>
        <v>65.985029382479013</v>
      </c>
      <c r="T19" s="364">
        <f t="shared" si="7"/>
        <v>810.88364747636786</v>
      </c>
      <c r="U19" s="10">
        <f t="shared" si="0"/>
        <v>0.2466531173616601</v>
      </c>
      <c r="W19" s="87">
        <v>12</v>
      </c>
      <c r="X19" s="12">
        <f t="shared" si="16"/>
        <v>31768.79422642053</v>
      </c>
      <c r="Y19" s="12">
        <f t="shared" si="17"/>
        <v>24224.648256059572</v>
      </c>
      <c r="Z19" s="12">
        <f t="shared" si="25"/>
        <v>139723.11311673885</v>
      </c>
      <c r="AA19" s="12">
        <f t="shared" si="8"/>
        <v>5693.7910482193565</v>
      </c>
      <c r="AB19" s="12">
        <f t="shared" si="8"/>
        <v>163.87582096438712</v>
      </c>
      <c r="AC19" s="12">
        <f t="shared" si="18"/>
        <v>3076.1678854867537</v>
      </c>
      <c r="AD19" s="12">
        <f t="shared" si="19"/>
        <v>5114.8171744819729</v>
      </c>
      <c r="AE19" s="12">
        <f t="shared" si="20"/>
        <v>57422.247008417748</v>
      </c>
      <c r="AF19" s="12">
        <f t="shared" si="21"/>
        <v>2062.4614123221108</v>
      </c>
      <c r="AG19" s="12">
        <f t="shared" si="22"/>
        <v>3416.239743708275</v>
      </c>
      <c r="AH19" s="12">
        <f t="shared" si="23"/>
        <v>43139.352860447099</v>
      </c>
      <c r="AI19" s="12">
        <f t="shared" si="12"/>
        <v>59484.708420739858</v>
      </c>
      <c r="AJ19" s="12">
        <v>0</v>
      </c>
      <c r="AK19" s="12">
        <f t="shared" si="13"/>
        <v>0</v>
      </c>
      <c r="AL19" s="12">
        <f t="shared" si="14"/>
        <v>-1477.3248509486289</v>
      </c>
      <c r="AM19" s="367">
        <f t="shared" si="9"/>
        <v>2.4450068907740485E-2</v>
      </c>
    </row>
    <row r="20" spans="1:39">
      <c r="A20" s="87">
        <v>9</v>
      </c>
      <c r="B20" s="10">
        <f t="shared" si="24"/>
        <v>0.8555695250408144</v>
      </c>
      <c r="C20" s="10">
        <f t="shared" si="26"/>
        <v>0.64460891621779726</v>
      </c>
      <c r="D20" s="10">
        <f t="shared" si="27"/>
        <v>0.55150774428553495</v>
      </c>
      <c r="E20" s="10">
        <f t="shared" si="28"/>
        <v>1.7925975313254718E-2</v>
      </c>
      <c r="G20" s="87">
        <v>80</v>
      </c>
      <c r="H20" s="5">
        <f>SUM(D21:D$61)/D21</f>
        <v>8.5484056064350593</v>
      </c>
      <c r="I20" s="10">
        <f t="shared" si="15"/>
        <v>0.59293306636023524</v>
      </c>
      <c r="K20" s="161">
        <v>13</v>
      </c>
      <c r="L20" s="364">
        <f t="shared" si="10"/>
        <v>56324.06755576143</v>
      </c>
      <c r="M20" s="364">
        <f t="shared" si="1"/>
        <v>5693.7910482193565</v>
      </c>
      <c r="N20" s="364">
        <f t="shared" si="11"/>
        <v>163.87582096438712</v>
      </c>
      <c r="O20" s="364">
        <f t="shared" si="2"/>
        <v>3092.69913915082</v>
      </c>
      <c r="P20" s="364">
        <f t="shared" si="3"/>
        <v>5517.4723013682851</v>
      </c>
      <c r="Q20" s="364">
        <f t="shared" si="4"/>
        <v>59441.139882423638</v>
      </c>
      <c r="R20" s="364">
        <f t="shared" si="5"/>
        <v>-11.930261624700506</v>
      </c>
      <c r="S20" s="364">
        <f t="shared" si="6"/>
        <v>-9.2352530173258192</v>
      </c>
      <c r="T20" s="364">
        <f t="shared" si="7"/>
        <v>808.20852363939275</v>
      </c>
      <c r="U20" s="10">
        <f t="shared" si="0"/>
        <v>0.21503095669203354</v>
      </c>
      <c r="W20" s="87">
        <v>13</v>
      </c>
      <c r="X20" s="12">
        <f t="shared" si="16"/>
        <v>34711.167768239451</v>
      </c>
      <c r="Y20" s="12">
        <f t="shared" si="17"/>
        <v>27033.827851886454</v>
      </c>
      <c r="Z20" s="12">
        <f t="shared" si="25"/>
        <v>143139.35286044714</v>
      </c>
      <c r="AA20" s="12">
        <f t="shared" si="8"/>
        <v>5693.7910482193565</v>
      </c>
      <c r="AB20" s="12">
        <f t="shared" si="8"/>
        <v>163.87582096438712</v>
      </c>
      <c r="AC20" s="12">
        <f t="shared" si="18"/>
        <v>3363.745542369044</v>
      </c>
      <c r="AD20" s="12">
        <f t="shared" si="19"/>
        <v>5872.362089750427</v>
      </c>
      <c r="AE20" s="12">
        <f t="shared" si="20"/>
        <v>62703.832887677432</v>
      </c>
      <c r="AF20" s="12">
        <f t="shared" si="21"/>
        <v>2062.4614123220526</v>
      </c>
      <c r="AG20" s="12">
        <f t="shared" si="22"/>
        <v>3342.885216312226</v>
      </c>
      <c r="AH20" s="12">
        <f t="shared" si="23"/>
        <v>46482.238076759328</v>
      </c>
      <c r="AI20" s="12">
        <f t="shared" si="12"/>
        <v>64766.294299999485</v>
      </c>
      <c r="AJ20" s="12">
        <v>0</v>
      </c>
      <c r="AK20" s="12">
        <f t="shared" si="13"/>
        <v>0</v>
      </c>
      <c r="AL20" s="12">
        <f t="shared" si="14"/>
        <v>-1477.3248509486289</v>
      </c>
      <c r="AM20" s="367">
        <f t="shared" si="9"/>
        <v>2.3354061266235737E-2</v>
      </c>
    </row>
    <row r="21" spans="1:39">
      <c r="A21" s="87">
        <v>10</v>
      </c>
      <c r="B21" s="10">
        <f t="shared" si="24"/>
        <v>0.83064495326461352</v>
      </c>
      <c r="C21" s="10">
        <f t="shared" si="26"/>
        <v>0.61391325354075932</v>
      </c>
      <c r="D21" s="10">
        <f t="shared" si="27"/>
        <v>0.50994394579589086</v>
      </c>
      <c r="E21" s="10">
        <f t="shared" si="28"/>
        <v>1.9109507896579846E-2</v>
      </c>
      <c r="G21" s="87">
        <v>81</v>
      </c>
      <c r="H21" s="5">
        <f>SUM(D22:D$61)/D22</f>
        <v>8.1934102475245378</v>
      </c>
      <c r="I21" s="10">
        <f t="shared" si="15"/>
        <v>0.60983760726073633</v>
      </c>
      <c r="K21" s="161">
        <v>14</v>
      </c>
      <c r="L21" s="364">
        <f t="shared" si="10"/>
        <v>61984.066586486078</v>
      </c>
      <c r="M21" s="364">
        <f t="shared" si="1"/>
        <v>5693.7910482193565</v>
      </c>
      <c r="N21" s="364">
        <f t="shared" si="11"/>
        <v>163.87582096438712</v>
      </c>
      <c r="O21" s="364">
        <f t="shared" si="2"/>
        <v>3375.6990906870524</v>
      </c>
      <c r="P21" s="364">
        <f t="shared" si="3"/>
        <v>6336.725939471452</v>
      </c>
      <c r="Q21" s="364">
        <f t="shared" si="4"/>
        <v>64660.149837628996</v>
      </c>
      <c r="R21" s="364">
        <f t="shared" si="5"/>
        <v>-107.19487267234945</v>
      </c>
      <c r="S21" s="364">
        <f t="shared" si="6"/>
        <v>-79.575597262491343</v>
      </c>
      <c r="T21" s="364">
        <f t="shared" si="7"/>
        <v>787.25378180010546</v>
      </c>
      <c r="U21" s="10">
        <f t="shared" si="0"/>
        <v>0.18649675903482366</v>
      </c>
      <c r="W21" s="87">
        <v>14</v>
      </c>
      <c r="X21" s="12">
        <f t="shared" si="16"/>
        <v>37631.997885727797</v>
      </c>
      <c r="Y21" s="12">
        <f t="shared" si="17"/>
        <v>29905.036336561327</v>
      </c>
      <c r="Z21" s="12">
        <f t="shared" si="25"/>
        <v>146482.23807675936</v>
      </c>
      <c r="AA21" s="12">
        <f t="shared" si="8"/>
        <v>5693.7910482193565</v>
      </c>
      <c r="AB21" s="12">
        <f t="shared" si="8"/>
        <v>163.87582096438712</v>
      </c>
      <c r="AC21" s="12">
        <f t="shared" si="18"/>
        <v>3653.3474724772045</v>
      </c>
      <c r="AD21" s="12">
        <f t="shared" si="19"/>
        <v>6733.4810349102636</v>
      </c>
      <c r="AE21" s="12">
        <f t="shared" si="20"/>
        <v>67924.354474788939</v>
      </c>
      <c r="AF21" s="12">
        <f t="shared" si="21"/>
        <v>2062.4614123220963</v>
      </c>
      <c r="AG21" s="12">
        <f t="shared" si="22"/>
        <v>3276.0094952957579</v>
      </c>
      <c r="AH21" s="12">
        <f t="shared" si="23"/>
        <v>49758.247572055086</v>
      </c>
      <c r="AI21" s="12">
        <f t="shared" si="12"/>
        <v>69986.815887111035</v>
      </c>
      <c r="AJ21" s="12">
        <v>0</v>
      </c>
      <c r="AK21" s="12">
        <f t="shared" si="13"/>
        <v>0</v>
      </c>
      <c r="AL21" s="12">
        <f t="shared" si="14"/>
        <v>-1477.3248509486289</v>
      </c>
      <c r="AM21" s="367">
        <f t="shared" si="9"/>
        <v>2.2364551076691441E-2</v>
      </c>
    </row>
    <row r="22" spans="1:39">
      <c r="A22" s="87">
        <v>11</v>
      </c>
      <c r="B22" s="10">
        <f t="shared" si="24"/>
        <v>0.80351734801484564</v>
      </c>
      <c r="C22" s="10">
        <f t="shared" si="26"/>
        <v>0.5846792890864374</v>
      </c>
      <c r="D22" s="10">
        <f t="shared" si="27"/>
        <v>0.46979995180593948</v>
      </c>
      <c r="E22" s="10">
        <f t="shared" si="28"/>
        <v>2.03033556098089E-2</v>
      </c>
      <c r="G22" s="87">
        <v>82</v>
      </c>
      <c r="H22" s="5">
        <f>SUM(D23:D$61)/D23</f>
        <v>7.8400811035316096</v>
      </c>
      <c r="I22" s="10">
        <f t="shared" si="15"/>
        <v>0.62666280459373291</v>
      </c>
      <c r="K22" s="161">
        <v>15</v>
      </c>
      <c r="L22" s="364">
        <f t="shared" si="10"/>
        <v>67775.654417864731</v>
      </c>
      <c r="M22" s="364">
        <f t="shared" si="1"/>
        <v>5693.7910482193565</v>
      </c>
      <c r="N22" s="364">
        <f t="shared" si="11"/>
        <v>163.87582096438712</v>
      </c>
      <c r="O22" s="364">
        <f t="shared" si="2"/>
        <v>3665.2784822559852</v>
      </c>
      <c r="P22" s="364">
        <f t="shared" si="3"/>
        <v>7275.793814674239</v>
      </c>
      <c r="Q22" s="364">
        <f t="shared" si="4"/>
        <v>69898.301840516811</v>
      </c>
      <c r="R22" s="364">
        <f t="shared" si="5"/>
        <v>-203.2475278153579</v>
      </c>
      <c r="S22" s="364">
        <f t="shared" si="6"/>
        <v>-143.94419424040726</v>
      </c>
      <c r="T22" s="364">
        <f t="shared" si="7"/>
        <v>752.79468614610141</v>
      </c>
      <c r="U22" s="10">
        <f t="shared" si="0"/>
        <v>0.16081229457276014</v>
      </c>
      <c r="W22" s="87">
        <v>15</v>
      </c>
      <c r="X22" s="12">
        <f t="shared" si="16"/>
        <v>40523.539291850495</v>
      </c>
      <c r="Y22" s="12">
        <f t="shared" si="17"/>
        <v>32835.4346555179</v>
      </c>
      <c r="Z22" s="12">
        <f t="shared" si="25"/>
        <v>149758.24757205512</v>
      </c>
      <c r="AA22" s="12">
        <f t="shared" si="8"/>
        <v>5693.7910482193565</v>
      </c>
      <c r="AB22" s="12">
        <f t="shared" si="8"/>
        <v>163.87582096438712</v>
      </c>
      <c r="AC22" s="12">
        <f t="shared" si="18"/>
        <v>3944.4444587311682</v>
      </c>
      <c r="AD22" s="12">
        <f t="shared" si="19"/>
        <v>7711.4672275406729</v>
      </c>
      <c r="AE22" s="12">
        <f t="shared" si="20"/>
        <v>73059.404993491786</v>
      </c>
      <c r="AF22" s="12">
        <f t="shared" si="21"/>
        <v>2062.4614123220672</v>
      </c>
      <c r="AG22" s="12">
        <f t="shared" si="22"/>
        <v>3215.554225383969</v>
      </c>
      <c r="AH22" s="12">
        <f t="shared" si="23"/>
        <v>52973.801797439053</v>
      </c>
      <c r="AI22" s="12">
        <f t="shared" si="12"/>
        <v>75121.866405813853</v>
      </c>
      <c r="AJ22" s="12">
        <v>0</v>
      </c>
      <c r="AK22" s="12">
        <f t="shared" si="13"/>
        <v>0</v>
      </c>
      <c r="AL22" s="12">
        <f t="shared" si="14"/>
        <v>-1477.3248509486289</v>
      </c>
      <c r="AM22" s="367">
        <f t="shared" si="9"/>
        <v>2.1471633632977882E-2</v>
      </c>
    </row>
    <row r="23" spans="1:39">
      <c r="A23" s="87">
        <v>12</v>
      </c>
      <c r="B23" s="10">
        <f t="shared" si="24"/>
        <v>0.77410314273452985</v>
      </c>
      <c r="C23" s="10">
        <f t="shared" si="26"/>
        <v>0.5568374181775595</v>
      </c>
      <c r="D23" s="10">
        <f t="shared" si="27"/>
        <v>0.43104959540343041</v>
      </c>
      <c r="E23" s="10">
        <f t="shared" si="28"/>
        <v>2.1490575687430763E-2</v>
      </c>
      <c r="G23" s="87">
        <v>83</v>
      </c>
      <c r="H23" s="5">
        <f>SUM(D24:D$61)/D24</f>
        <v>7.4893389593091761</v>
      </c>
      <c r="I23" s="10">
        <f t="shared" si="15"/>
        <v>0.64336481146146784</v>
      </c>
      <c r="K23" s="161">
        <v>16</v>
      </c>
      <c r="L23" s="364">
        <f t="shared" si="10"/>
        <v>73692.956408516024</v>
      </c>
      <c r="M23" s="364">
        <f t="shared" si="1"/>
        <v>5693.7910482193565</v>
      </c>
      <c r="N23" s="364">
        <f t="shared" si="11"/>
        <v>163.87582096438712</v>
      </c>
      <c r="O23" s="364">
        <f t="shared" si="2"/>
        <v>3961.1435817885499</v>
      </c>
      <c r="P23" s="364">
        <f t="shared" si="3"/>
        <v>8351.5452002031125</v>
      </c>
      <c r="Q23" s="364">
        <f t="shared" si="4"/>
        <v>75132.069383068301</v>
      </c>
      <c r="R23" s="364">
        <f t="shared" si="5"/>
        <v>-299.59936571186699</v>
      </c>
      <c r="S23" s="364">
        <f t="shared" si="6"/>
        <v>-201.25673170695919</v>
      </c>
      <c r="T23" s="364">
        <f t="shared" si="7"/>
        <v>708.99535755276611</v>
      </c>
      <c r="U23" s="10">
        <f t="shared" si="0"/>
        <v>0.13776284280543993</v>
      </c>
      <c r="W23" s="87">
        <v>16</v>
      </c>
      <c r="X23" s="12">
        <f t="shared" si="16"/>
        <v>43378.04440972778</v>
      </c>
      <c r="Y23" s="12">
        <f t="shared" si="17"/>
        <v>35822.054599845964</v>
      </c>
      <c r="Z23" s="12">
        <f t="shared" si="25"/>
        <v>152973.80179743908</v>
      </c>
      <c r="AA23" s="12">
        <f t="shared" si="8"/>
        <v>5693.7910482193565</v>
      </c>
      <c r="AB23" s="12">
        <f t="shared" si="8"/>
        <v>163.87582096438712</v>
      </c>
      <c r="AC23" s="12">
        <f t="shared" si="18"/>
        <v>4236.500711841436</v>
      </c>
      <c r="AD23" s="12">
        <f t="shared" si="19"/>
        <v>8821.1643825200645</v>
      </c>
      <c r="AE23" s="12">
        <f t="shared" si="20"/>
        <v>78082.88915382803</v>
      </c>
      <c r="AF23" s="12">
        <f t="shared" si="21"/>
        <v>2062.4614123220672</v>
      </c>
      <c r="AG23" s="12">
        <f t="shared" si="22"/>
        <v>3161.496848130836</v>
      </c>
      <c r="AH23" s="12">
        <f t="shared" si="23"/>
        <v>56135.298645569892</v>
      </c>
      <c r="AI23" s="12">
        <f t="shared" si="12"/>
        <v>80145.350566150097</v>
      </c>
      <c r="AJ23" s="12">
        <v>0</v>
      </c>
      <c r="AK23" s="12">
        <f t="shared" si="13"/>
        <v>0</v>
      </c>
      <c r="AL23" s="12">
        <f t="shared" si="14"/>
        <v>-1477.3248509486289</v>
      </c>
      <c r="AM23" s="367">
        <f t="shared" si="9"/>
        <v>2.0666916890234255E-2</v>
      </c>
    </row>
    <row r="24" spans="1:39">
      <c r="A24" s="87">
        <v>13</v>
      </c>
      <c r="B24" s="10">
        <f t="shared" si="24"/>
        <v>0.74234518199131738</v>
      </c>
      <c r="C24" s="10">
        <f t="shared" si="26"/>
        <v>0.53032135064529462</v>
      </c>
      <c r="D24" s="10">
        <f t="shared" si="27"/>
        <v>0.3936814995586625</v>
      </c>
      <c r="E24" s="10">
        <f t="shared" si="28"/>
        <v>2.2650516220518408E-2</v>
      </c>
      <c r="G24" s="87">
        <v>84</v>
      </c>
      <c r="H24" s="5">
        <f>SUM(D25:D$61)/D25</f>
        <v>7.142113892428692</v>
      </c>
      <c r="I24" s="10">
        <f t="shared" si="15"/>
        <v>0.65989933845577653</v>
      </c>
      <c r="K24" s="87">
        <v>17</v>
      </c>
      <c r="L24" s="12">
        <f t="shared" si="10"/>
        <v>79729.642804630668</v>
      </c>
      <c r="M24" s="12">
        <f t="shared" si="1"/>
        <v>5693.7910482193565</v>
      </c>
      <c r="N24" s="12">
        <f t="shared" si="11"/>
        <v>163.87582096438712</v>
      </c>
      <c r="O24" s="12">
        <f t="shared" si="2"/>
        <v>4262.9779015942822</v>
      </c>
      <c r="P24" s="12">
        <f t="shared" si="3"/>
        <v>9583.0316083334201</v>
      </c>
      <c r="Q24" s="12">
        <f t="shared" si="4"/>
        <v>80335.198481090512</v>
      </c>
      <c r="R24" s="12">
        <f t="shared" si="5"/>
        <v>-395.69415594401653</v>
      </c>
      <c r="S24" s="12">
        <f t="shared" si="6"/>
        <v>-250.48094597458027</v>
      </c>
      <c r="T24" s="364">
        <f t="shared" si="7"/>
        <v>659.43903773063266</v>
      </c>
      <c r="U24" s="10">
        <f t="shared" si="0"/>
        <v>0.11715431174205422</v>
      </c>
      <c r="W24" s="87">
        <v>17</v>
      </c>
      <c r="X24" s="12">
        <f t="shared" si="16"/>
        <v>46187.84274682781</v>
      </c>
      <c r="Y24" s="12">
        <f t="shared" si="17"/>
        <v>38861.860070636256</v>
      </c>
      <c r="Z24" s="12">
        <f t="shared" si="25"/>
        <v>156135.29864556991</v>
      </c>
      <c r="AA24" s="12">
        <f t="shared" si="8"/>
        <v>5693.7910482193565</v>
      </c>
      <c r="AB24" s="12">
        <f t="shared" si="8"/>
        <v>163.87582096438712</v>
      </c>
      <c r="AC24" s="12">
        <f t="shared" si="18"/>
        <v>4528.9809022359523</v>
      </c>
      <c r="AD24" s="12">
        <f t="shared" si="19"/>
        <v>10079.109713517189</v>
      </c>
      <c r="AE24" s="12">
        <f t="shared" si="20"/>
        <v>82967.027821115713</v>
      </c>
      <c r="AF24" s="12">
        <f t="shared" si="21"/>
        <v>2062.4614123220963</v>
      </c>
      <c r="AG24" s="12">
        <f t="shared" si="22"/>
        <v>3113.8545486233147</v>
      </c>
      <c r="AH24" s="12">
        <f t="shared" si="23"/>
        <v>59249.153194193204</v>
      </c>
      <c r="AI24" s="12">
        <f t="shared" si="12"/>
        <v>85029.489233437809</v>
      </c>
      <c r="AJ24" s="12">
        <v>0</v>
      </c>
      <c r="AK24" s="12">
        <f t="shared" si="13"/>
        <v>0</v>
      </c>
      <c r="AL24" s="12">
        <f t="shared" si="14"/>
        <v>-1477.3248509486289</v>
      </c>
      <c r="AM24" s="367">
        <f t="shared" si="9"/>
        <v>1.9943309268532827E-2</v>
      </c>
    </row>
    <row r="25" spans="1:39">
      <c r="A25" s="87">
        <v>14</v>
      </c>
      <c r="B25" s="10">
        <f t="shared" si="24"/>
        <v>0.70822113207288151</v>
      </c>
      <c r="C25" s="10">
        <f t="shared" si="26"/>
        <v>0.50506795299551888</v>
      </c>
      <c r="D25" s="10">
        <f t="shared" si="27"/>
        <v>0.35769979744421926</v>
      </c>
      <c r="E25" s="10">
        <f t="shared" si="28"/>
        <v>2.3758588287079961E-2</v>
      </c>
      <c r="G25" s="87">
        <v>85</v>
      </c>
      <c r="H25" s="5">
        <f>SUM(D26:D$61)/D26</f>
        <v>6.7993362554331078</v>
      </c>
      <c r="I25" s="10">
        <f t="shared" si="15"/>
        <v>0.67622208307461396</v>
      </c>
      <c r="K25" s="87">
        <v>18</v>
      </c>
      <c r="L25" s="12">
        <f t="shared" si="10"/>
        <v>85879.005184993875</v>
      </c>
      <c r="M25" s="12">
        <f t="shared" si="1"/>
        <v>5693.7910482193565</v>
      </c>
      <c r="N25" s="12">
        <f t="shared" si="11"/>
        <v>163.87582096438712</v>
      </c>
      <c r="O25" s="12">
        <f t="shared" si="2"/>
        <v>4570.4460206124422</v>
      </c>
      <c r="P25" s="12">
        <f t="shared" si="3"/>
        <v>10991.712366255017</v>
      </c>
      <c r="Q25" s="12">
        <f t="shared" si="4"/>
        <v>85478.557808776415</v>
      </c>
      <c r="R25" s="12">
        <f t="shared" si="5"/>
        <v>-490.90374217015051</v>
      </c>
      <c r="S25" s="12">
        <f t="shared" si="6"/>
        <v>-290.69011748086365</v>
      </c>
      <c r="T25" s="364">
        <f t="shared" si="7"/>
        <v>607.15586496195738</v>
      </c>
      <c r="U25" s="10">
        <f t="shared" si="0"/>
        <v>9.8810397140219788E-2</v>
      </c>
      <c r="W25" s="87">
        <v>18</v>
      </c>
      <c r="X25" s="12">
        <f t="shared" si="16"/>
        <v>48945.423115941834</v>
      </c>
      <c r="Y25" s="12">
        <f t="shared" si="17"/>
        <v>41951.818501935108</v>
      </c>
      <c r="Z25" s="12">
        <f t="shared" si="25"/>
        <v>159249.15319419323</v>
      </c>
      <c r="AA25" s="12">
        <f t="shared" si="8"/>
        <v>5693.7910482193565</v>
      </c>
      <c r="AB25" s="12">
        <f t="shared" si="8"/>
        <v>163.87582096438712</v>
      </c>
      <c r="AC25" s="12">
        <f t="shared" si="18"/>
        <v>4821.3578422565961</v>
      </c>
      <c r="AD25" s="12">
        <f t="shared" si="19"/>
        <v>11503.679543949358</v>
      </c>
      <c r="AE25" s="12">
        <f t="shared" si="20"/>
        <v>87682.37373111707</v>
      </c>
      <c r="AF25" s="12">
        <f t="shared" si="21"/>
        <v>2062.4614123220817</v>
      </c>
      <c r="AG25" s="12">
        <f t="shared" si="22"/>
        <v>3072.6891357871982</v>
      </c>
      <c r="AH25" s="12">
        <f t="shared" si="23"/>
        <v>62321.842329980405</v>
      </c>
      <c r="AI25" s="12">
        <f t="shared" si="12"/>
        <v>89744.835143439152</v>
      </c>
      <c r="AJ25" s="12">
        <v>0</v>
      </c>
      <c r="AK25" s="12">
        <f t="shared" si="13"/>
        <v>0</v>
      </c>
      <c r="AL25" s="12">
        <f t="shared" si="14"/>
        <v>-1477.3248509486289</v>
      </c>
      <c r="AM25" s="367">
        <f t="shared" si="9"/>
        <v>1.929485384478169E-2</v>
      </c>
    </row>
    <row r="26" spans="1:39">
      <c r="A26" s="87">
        <v>15</v>
      </c>
      <c r="B26" s="10">
        <f t="shared" si="24"/>
        <v>0.67175286312359339</v>
      </c>
      <c r="C26" s="10">
        <f t="shared" si="26"/>
        <v>0.48101709809097021</v>
      </c>
      <c r="D26" s="10">
        <f t="shared" si="27"/>
        <v>0.32312461285401162</v>
      </c>
      <c r="E26" s="10">
        <f t="shared" si="28"/>
        <v>2.4786190226236932E-2</v>
      </c>
      <c r="G26" s="87">
        <v>86</v>
      </c>
      <c r="H26" s="5">
        <f>SUM(D27:D$61)/D27</f>
        <v>6.4619271443429547</v>
      </c>
      <c r="I26" s="10">
        <f t="shared" si="15"/>
        <v>0.69228918360271652</v>
      </c>
      <c r="K26" s="87">
        <v>19</v>
      </c>
      <c r="L26" s="12">
        <f t="shared" si="10"/>
        <v>92134.043845789711</v>
      </c>
      <c r="M26" s="12">
        <f t="shared" si="1"/>
        <v>5693.7910482193565</v>
      </c>
      <c r="N26" s="12">
        <f t="shared" si="11"/>
        <v>163.87582096438712</v>
      </c>
      <c r="O26" s="12">
        <f t="shared" si="2"/>
        <v>4883.197953652234</v>
      </c>
      <c r="P26" s="12">
        <f t="shared" si="3"/>
        <v>12601.686106726915</v>
      </c>
      <c r="Q26" s="12">
        <f t="shared" si="4"/>
        <v>90529.994531063494</v>
      </c>
      <c r="R26" s="12">
        <f t="shared" si="5"/>
        <v>-584.52361109349295</v>
      </c>
      <c r="S26" s="12">
        <f t="shared" si="6"/>
        <v>-321.12420070843973</v>
      </c>
      <c r="T26" s="364">
        <f t="shared" si="7"/>
        <v>554.64949209833605</v>
      </c>
      <c r="U26" s="10">
        <f t="shared" si="0"/>
        <v>8.2569766183251112E-2</v>
      </c>
      <c r="W26" s="87">
        <v>19</v>
      </c>
      <c r="X26" s="12">
        <f t="shared" si="16"/>
        <v>51643.517055805212</v>
      </c>
      <c r="Y26" s="12">
        <f t="shared" si="17"/>
        <v>45088.982742990243</v>
      </c>
      <c r="Z26" s="12">
        <f t="shared" si="25"/>
        <v>162321.84232998043</v>
      </c>
      <c r="AA26" s="12">
        <f t="shared" si="8"/>
        <v>5693.7910482193565</v>
      </c>
      <c r="AB26" s="12">
        <f t="shared" si="8"/>
        <v>163.87582096438712</v>
      </c>
      <c r="AC26" s="12">
        <f t="shared" si="18"/>
        <v>5113.120751302522</v>
      </c>
      <c r="AD26" s="12">
        <f t="shared" si="19"/>
        <v>13115.234006552437</v>
      </c>
      <c r="AE26" s="12">
        <f t="shared" si="20"/>
        <v>92197.840358478439</v>
      </c>
      <c r="AF26" s="12">
        <f t="shared" si="21"/>
        <v>2062.4614123220817</v>
      </c>
      <c r="AG26" s="12">
        <f t="shared" si="22"/>
        <v>3038.1130731810981</v>
      </c>
      <c r="AH26" s="12">
        <f t="shared" si="23"/>
        <v>65359.955403161504</v>
      </c>
      <c r="AI26" s="12">
        <f t="shared" si="12"/>
        <v>94260.301770800521</v>
      </c>
      <c r="AJ26" s="12">
        <v>0</v>
      </c>
      <c r="AK26" s="12">
        <f t="shared" si="13"/>
        <v>0</v>
      </c>
      <c r="AL26" s="12">
        <f t="shared" si="14"/>
        <v>-1477.3248509486289</v>
      </c>
      <c r="AM26" s="367">
        <f t="shared" si="9"/>
        <v>1.8716600486858637E-2</v>
      </c>
    </row>
    <row r="27" spans="1:39">
      <c r="A27" s="87">
        <v>16</v>
      </c>
      <c r="B27" s="10">
        <f t="shared" si="24"/>
        <v>0.6330165412147728</v>
      </c>
      <c r="C27" s="10">
        <f t="shared" si="26"/>
        <v>0.45811152199140021</v>
      </c>
      <c r="D27" s="10">
        <f t="shared" si="27"/>
        <v>0.28999217114163151</v>
      </c>
      <c r="E27" s="10">
        <f t="shared" si="28"/>
        <v>2.5700855329032473E-2</v>
      </c>
      <c r="G27" s="87">
        <v>87</v>
      </c>
      <c r="H27" s="5">
        <f>SUM(D28:D$61)/D28</f>
        <v>6.130788525312127</v>
      </c>
      <c r="I27" s="10">
        <f t="shared" si="15"/>
        <v>0.70805768927085111</v>
      </c>
      <c r="K27" s="87">
        <v>20</v>
      </c>
      <c r="L27" s="12">
        <f t="shared" si="10"/>
        <v>98487.564750159348</v>
      </c>
      <c r="M27" s="12">
        <f t="shared" si="1"/>
        <v>5693.7910482193565</v>
      </c>
      <c r="N27" s="12">
        <f t="shared" si="11"/>
        <v>163.87582096438712</v>
      </c>
      <c r="O27" s="12">
        <f t="shared" si="2"/>
        <v>5200.8739988707166</v>
      </c>
      <c r="P27" s="12">
        <f t="shared" si="3"/>
        <v>14439.921978273071</v>
      </c>
      <c r="Q27" s="12">
        <f t="shared" si="4"/>
        <v>95454.200724550872</v>
      </c>
      <c r="R27" s="12">
        <f t="shared" si="5"/>
        <v>-675.76872653891041</v>
      </c>
      <c r="S27" s="12">
        <f t="shared" si="6"/>
        <v>-341.25589497004677</v>
      </c>
      <c r="T27" s="364">
        <f t="shared" si="7"/>
        <v>503.92397778536224</v>
      </c>
      <c r="U27" s="10">
        <f t="shared" si="0"/>
        <v>6.8283266437280346E-2</v>
      </c>
      <c r="W27" s="87">
        <v>20</v>
      </c>
      <c r="X27" s="12">
        <f t="shared" si="16"/>
        <v>54275.181626999198</v>
      </c>
      <c r="Y27" s="12">
        <f t="shared" si="17"/>
        <v>48270.583697617549</v>
      </c>
      <c r="Z27" s="12">
        <f t="shared" si="25"/>
        <v>165359.95540316153</v>
      </c>
      <c r="AA27" s="12">
        <f t="shared" si="8"/>
        <v>5693.7910482193565</v>
      </c>
      <c r="AB27" s="12">
        <f t="shared" si="8"/>
        <v>163.87582096438712</v>
      </c>
      <c r="AC27" s="12">
        <f t="shared" si="18"/>
        <v>5403.784027593586</v>
      </c>
      <c r="AD27" s="12">
        <f t="shared" si="19"/>
        <v>14936.25607269895</v>
      </c>
      <c r="AE27" s="12">
        <f t="shared" si="20"/>
        <v>96480.747094444319</v>
      </c>
      <c r="AF27" s="12">
        <f t="shared" si="21"/>
        <v>2062.4614123220381</v>
      </c>
      <c r="AG27" s="12">
        <f t="shared" si="22"/>
        <v>3010.2969367965275</v>
      </c>
      <c r="AH27" s="12">
        <f t="shared" si="23"/>
        <v>68370.252339958039</v>
      </c>
      <c r="AI27" s="12">
        <f t="shared" si="12"/>
        <v>98543.208506766357</v>
      </c>
      <c r="AJ27" s="12">
        <v>0</v>
      </c>
      <c r="AK27" s="12">
        <f t="shared" si="13"/>
        <v>0</v>
      </c>
      <c r="AL27" s="12">
        <f t="shared" si="14"/>
        <v>-1477.3248509486289</v>
      </c>
      <c r="AM27" s="367">
        <f t="shared" si="9"/>
        <v>1.8204509849178319E-2</v>
      </c>
    </row>
    <row r="28" spans="1:39">
      <c r="A28" s="87">
        <v>17</v>
      </c>
      <c r="B28" s="10">
        <f t="shared" si="24"/>
        <v>0.5921529874590129</v>
      </c>
      <c r="C28" s="10">
        <f t="shared" si="26"/>
        <v>0.43629668761085727</v>
      </c>
      <c r="D28" s="10">
        <f t="shared" si="27"/>
        <v>0.25835438698724084</v>
      </c>
      <c r="E28" s="10">
        <f t="shared" si="28"/>
        <v>2.6466706116376085E-2</v>
      </c>
      <c r="G28" s="87">
        <v>88</v>
      </c>
      <c r="H28" s="5">
        <f>SUM(D29:D$61)/D29</f>
        <v>5.8067932172265611</v>
      </c>
      <c r="I28" s="10">
        <f t="shared" si="15"/>
        <v>0.72348603727492566</v>
      </c>
      <c r="K28" s="87">
        <v>21</v>
      </c>
      <c r="L28" s="12">
        <f t="shared" si="10"/>
        <v>104932.28424185984</v>
      </c>
      <c r="M28" s="12">
        <f t="shared" si="1"/>
        <v>5693.7910482193565</v>
      </c>
      <c r="N28" s="12">
        <f t="shared" si="11"/>
        <v>163.87582096438712</v>
      </c>
      <c r="O28" s="12">
        <f t="shared" si="2"/>
        <v>5523.1099734557411</v>
      </c>
      <c r="P28" s="12">
        <f t="shared" si="3"/>
        <v>16536.481883458171</v>
      </c>
      <c r="Q28" s="12">
        <f t="shared" si="4"/>
        <v>100212.59737968692</v>
      </c>
      <c r="R28" s="12">
        <f t="shared" si="5"/>
        <v>-763.76982057454006</v>
      </c>
      <c r="S28" s="12">
        <f t="shared" si="6"/>
        <v>-350.85727419525983</v>
      </c>
      <c r="T28" s="364">
        <f t="shared" si="7"/>
        <v>456.5124340080485</v>
      </c>
      <c r="U28" s="10">
        <f t="shared" si="0"/>
        <v>5.581118232292169E-2</v>
      </c>
      <c r="W28" s="87">
        <v>21</v>
      </c>
      <c r="X28" s="12">
        <f t="shared" si="16"/>
        <v>56833.87963303976</v>
      </c>
      <c r="Y28" s="12">
        <f t="shared" si="17"/>
        <v>51494.134080843018</v>
      </c>
      <c r="Z28" s="12">
        <f t="shared" si="25"/>
        <v>168370.25233995807</v>
      </c>
      <c r="AA28" s="12">
        <f t="shared" si="8"/>
        <v>5693.7910482193565</v>
      </c>
      <c r="AB28" s="12">
        <f t="shared" si="8"/>
        <v>163.87582096438712</v>
      </c>
      <c r="AC28" s="12">
        <f t="shared" si="18"/>
        <v>5692.8964470568872</v>
      </c>
      <c r="AD28" s="12">
        <f t="shared" si="19"/>
        <v>16991.478658907952</v>
      </c>
      <c r="AE28" s="12">
        <f t="shared" si="20"/>
        <v>100496.88531696462</v>
      </c>
      <c r="AF28" s="12">
        <f t="shared" si="21"/>
        <v>2062.4614123220672</v>
      </c>
      <c r="AG28" s="12">
        <f t="shared" si="22"/>
        <v>2989.4786547876874</v>
      </c>
      <c r="AH28" s="12">
        <f t="shared" si="23"/>
        <v>71359.730994745725</v>
      </c>
      <c r="AI28" s="12">
        <f t="shared" si="12"/>
        <v>102559.34672928668</v>
      </c>
      <c r="AJ28" s="12">
        <v>0</v>
      </c>
      <c r="AK28" s="12">
        <f t="shared" si="13"/>
        <v>0</v>
      </c>
      <c r="AL28" s="12">
        <f t="shared" si="14"/>
        <v>-1477.3248509486289</v>
      </c>
      <c r="AM28" s="367">
        <f t="shared" si="9"/>
        <v>1.7755385011549496E-2</v>
      </c>
    </row>
    <row r="29" spans="1:39">
      <c r="A29" s="87">
        <v>18</v>
      </c>
      <c r="B29" s="10">
        <f t="shared" si="24"/>
        <v>0.5493776378129519</v>
      </c>
      <c r="C29" s="10">
        <f t="shared" si="26"/>
        <v>0.41552065486748313</v>
      </c>
      <c r="D29" s="10">
        <f t="shared" si="27"/>
        <v>0.22827775583358872</v>
      </c>
      <c r="E29" s="10">
        <f t="shared" si="28"/>
        <v>2.7045305812608465E-2</v>
      </c>
      <c r="G29" s="87">
        <v>89</v>
      </c>
      <c r="H29" s="5">
        <f>SUM(D30:D$61)/D30</f>
        <v>5.4907749493210947</v>
      </c>
      <c r="I29" s="10">
        <f t="shared" si="15"/>
        <v>0.73853452622280502</v>
      </c>
      <c r="K29" s="87">
        <v>22</v>
      </c>
      <c r="L29" s="12">
        <f t="shared" si="10"/>
        <v>111460.9393256875</v>
      </c>
      <c r="M29" s="12">
        <f t="shared" si="1"/>
        <v>5693.7910482193565</v>
      </c>
      <c r="N29" s="12">
        <f t="shared" si="11"/>
        <v>163.87582096438712</v>
      </c>
      <c r="O29" s="12">
        <f t="shared" si="2"/>
        <v>5849.5427276471237</v>
      </c>
      <c r="P29" s="12">
        <f t="shared" si="3"/>
        <v>18924.721938121245</v>
      </c>
      <c r="Q29" s="12">
        <f t="shared" si="4"/>
        <v>104763.24574426436</v>
      </c>
      <c r="R29" s="12">
        <f t="shared" si="5"/>
        <v>-847.57040179602336</v>
      </c>
      <c r="S29" s="12">
        <f t="shared" si="6"/>
        <v>-350.0607294132592</v>
      </c>
      <c r="T29" s="364">
        <f t="shared" si="7"/>
        <v>413.50888289336683</v>
      </c>
      <c r="U29" s="10">
        <f t="shared" si="0"/>
        <v>4.5020587496925148E-2</v>
      </c>
      <c r="W29" s="87">
        <v>22</v>
      </c>
      <c r="X29" s="12">
        <f t="shared" si="16"/>
        <v>59313.55525427642</v>
      </c>
      <c r="Y29" s="12">
        <f t="shared" si="17"/>
        <v>54757.543808886898</v>
      </c>
      <c r="Z29" s="12">
        <f t="shared" si="25"/>
        <v>171359.73099474577</v>
      </c>
      <c r="AA29" s="12">
        <f t="shared" si="8"/>
        <v>5693.7910482193565</v>
      </c>
      <c r="AB29" s="12">
        <f t="shared" si="8"/>
        <v>163.87582096438712</v>
      </c>
      <c r="AC29" s="12">
        <f t="shared" si="18"/>
        <v>5980.0507145209149</v>
      </c>
      <c r="AD29" s="12">
        <f t="shared" si="19"/>
        <v>19307.991795465688</v>
      </c>
      <c r="AE29" s="12">
        <f t="shared" si="20"/>
        <v>104210.61179715149</v>
      </c>
      <c r="AF29" s="12">
        <f t="shared" si="21"/>
        <v>2062.4614123220235</v>
      </c>
      <c r="AG29" s="12">
        <f t="shared" si="22"/>
        <v>2975.9749879122896</v>
      </c>
      <c r="AH29" s="12">
        <f t="shared" si="23"/>
        <v>74335.705982658008</v>
      </c>
      <c r="AI29" s="12">
        <f t="shared" si="12"/>
        <v>106273.07320947351</v>
      </c>
      <c r="AJ29" s="12">
        <v>0</v>
      </c>
      <c r="AK29" s="12">
        <f t="shared" si="13"/>
        <v>0</v>
      </c>
      <c r="AL29" s="12">
        <f t="shared" si="14"/>
        <v>-1477.3248509486289</v>
      </c>
      <c r="AM29" s="367">
        <f t="shared" si="9"/>
        <v>1.7366828079366847E-2</v>
      </c>
    </row>
    <row r="30" spans="1:39">
      <c r="A30" s="87">
        <v>19</v>
      </c>
      <c r="B30" s="10">
        <f t="shared" si="24"/>
        <v>0.50498917983059022</v>
      </c>
      <c r="C30" s="10">
        <f t="shared" si="26"/>
        <v>0.39573395701665059</v>
      </c>
      <c r="D30" s="10">
        <f t="shared" si="27"/>
        <v>0.19984136638495242</v>
      </c>
      <c r="E30" s="10">
        <f t="shared" si="28"/>
        <v>2.7396996420599364E-2</v>
      </c>
      <c r="G30" s="87">
        <v>90</v>
      </c>
      <c r="H30" s="5">
        <f>SUM(D31:D$61)/D31</f>
        <v>5.1835187279876713</v>
      </c>
      <c r="I30" s="10">
        <f t="shared" si="15"/>
        <v>0.75316577485772995</v>
      </c>
      <c r="K30" s="87">
        <v>23</v>
      </c>
      <c r="L30" s="12">
        <f t="shared" si="10"/>
        <v>118066.40097253544</v>
      </c>
      <c r="M30" s="12">
        <f t="shared" si="1"/>
        <v>5693.7910482193565</v>
      </c>
      <c r="N30" s="12">
        <f t="shared" si="11"/>
        <v>163.87582096438712</v>
      </c>
      <c r="O30" s="12">
        <f t="shared" si="2"/>
        <v>6179.8158099895209</v>
      </c>
      <c r="P30" s="12">
        <f t="shared" si="3"/>
        <v>21641.457528035004</v>
      </c>
      <c r="Q30" s="12">
        <f t="shared" si="4"/>
        <v>109060.79930886932</v>
      </c>
      <c r="R30" s="12">
        <f t="shared" si="5"/>
        <v>-926.12482712438214</v>
      </c>
      <c r="S30" s="12">
        <f t="shared" si="6"/>
        <v>-339.40618971628805</v>
      </c>
      <c r="T30" s="364">
        <f t="shared" si="7"/>
        <v>375.60462488188693</v>
      </c>
      <c r="U30" s="10">
        <f t="shared" si="0"/>
        <v>3.5782871239924255E-2</v>
      </c>
      <c r="W30" s="87">
        <v>23</v>
      </c>
      <c r="X30" s="12">
        <f t="shared" si="16"/>
        <v>61708.703093218588</v>
      </c>
      <c r="Y30" s="12">
        <f t="shared" si="17"/>
        <v>58059.24782310029</v>
      </c>
      <c r="Z30" s="12">
        <f t="shared" si="25"/>
        <v>174335.70598265805</v>
      </c>
      <c r="AA30" s="12">
        <f t="shared" si="8"/>
        <v>5693.7910482193565</v>
      </c>
      <c r="AB30" s="12">
        <f t="shared" si="8"/>
        <v>163.87582096438712</v>
      </c>
      <c r="AC30" s="12">
        <f t="shared" si="18"/>
        <v>6264.8933071786923</v>
      </c>
      <c r="AD30" s="12">
        <f t="shared" si="19"/>
        <v>21915.31981738886</v>
      </c>
      <c r="AE30" s="12">
        <f t="shared" si="20"/>
        <v>107584.97822104162</v>
      </c>
      <c r="AF30" s="12">
        <f t="shared" si="21"/>
        <v>2062.4614123220672</v>
      </c>
      <c r="AG30" s="12">
        <f t="shared" si="22"/>
        <v>2970.1958481244255</v>
      </c>
      <c r="AH30" s="12">
        <f t="shared" si="23"/>
        <v>77305.90183078243</v>
      </c>
      <c r="AI30" s="12">
        <f t="shared" si="12"/>
        <v>109647.43963336368</v>
      </c>
      <c r="AJ30" s="12">
        <v>0</v>
      </c>
      <c r="AK30" s="12">
        <f t="shared" si="13"/>
        <v>0</v>
      </c>
      <c r="AL30" s="12">
        <f t="shared" si="14"/>
        <v>-1477.3248509486289</v>
      </c>
      <c r="AM30" s="367">
        <f t="shared" si="9"/>
        <v>1.7037220409798826E-2</v>
      </c>
    </row>
    <row r="31" spans="1:39">
      <c r="A31" s="87">
        <v>20</v>
      </c>
      <c r="B31" s="10">
        <f t="shared" si="24"/>
        <v>0.45937567149659059</v>
      </c>
      <c r="C31" s="10">
        <f t="shared" si="26"/>
        <v>0.37688948287300061</v>
      </c>
      <c r="D31" s="10">
        <f t="shared" si="27"/>
        <v>0.17313385927478744</v>
      </c>
      <c r="E31" s="10">
        <f t="shared" si="28"/>
        <v>2.7482797510763771E-2</v>
      </c>
      <c r="G31" s="87">
        <v>91</v>
      </c>
      <c r="H31" s="5">
        <f>SUM(D32:D$61)/D32</f>
        <v>4.8857517544272469</v>
      </c>
      <c r="I31" s="10">
        <f t="shared" si="15"/>
        <v>0.76734515455108343</v>
      </c>
      <c r="K31" s="87">
        <v>24</v>
      </c>
      <c r="L31" s="12">
        <f t="shared" si="10"/>
        <v>124741.78763678465</v>
      </c>
      <c r="M31" s="12">
        <f t="shared" si="1"/>
        <v>5693.7910482193565</v>
      </c>
      <c r="N31" s="12">
        <f t="shared" si="11"/>
        <v>163.87582096438712</v>
      </c>
      <c r="O31" s="12">
        <f t="shared" si="2"/>
        <v>6513.5851432019808</v>
      </c>
      <c r="P31" s="12">
        <f t="shared" si="3"/>
        <v>24727.071761379317</v>
      </c>
      <c r="Q31" s="12">
        <f t="shared" si="4"/>
        <v>113056.51413566987</v>
      </c>
      <c r="R31" s="12">
        <f t="shared" si="5"/>
        <v>-998.29788980759622</v>
      </c>
      <c r="S31" s="12">
        <f t="shared" si="6"/>
        <v>-319.86527675256235</v>
      </c>
      <c r="T31" s="364">
        <f t="shared" si="7"/>
        <v>343.13011138182026</v>
      </c>
      <c r="U31" s="10">
        <f t="shared" si="0"/>
        <v>2.7971547455591966E-2</v>
      </c>
      <c r="W31" s="87">
        <v>24</v>
      </c>
      <c r="X31" s="12">
        <f t="shared" si="16"/>
        <v>64014.428720909375</v>
      </c>
      <c r="Y31" s="12">
        <f t="shared" si="17"/>
        <v>61398.347605129216</v>
      </c>
      <c r="Z31" s="12">
        <f t="shared" si="25"/>
        <v>177305.90183078247</v>
      </c>
      <c r="AA31" s="12">
        <f t="shared" si="8"/>
        <v>5693.7910482193565</v>
      </c>
      <c r="AB31" s="12">
        <f t="shared" si="8"/>
        <v>163.87582096438712</v>
      </c>
      <c r="AC31" s="12">
        <f t="shared" si="18"/>
        <v>6547.1345776646785</v>
      </c>
      <c r="AD31" s="12">
        <f t="shared" si="19"/>
        <v>24845.45629082204</v>
      </c>
      <c r="AE31" s="12">
        <f t="shared" si="20"/>
        <v>110581.90842781415</v>
      </c>
      <c r="AF31" s="12">
        <f t="shared" si="21"/>
        <v>2062.4614123220526</v>
      </c>
      <c r="AG31" s="12">
        <f t="shared" si="22"/>
        <v>2972.6622393466341</v>
      </c>
      <c r="AH31" s="12">
        <f t="shared" si="23"/>
        <v>80278.564070129069</v>
      </c>
      <c r="AI31" s="12">
        <f t="shared" si="12"/>
        <v>112644.36984013621</v>
      </c>
      <c r="AJ31" s="12">
        <v>0</v>
      </c>
      <c r="AK31" s="12">
        <f t="shared" si="13"/>
        <v>0</v>
      </c>
      <c r="AL31" s="12">
        <f t="shared" si="14"/>
        <v>-1477.3248509486289</v>
      </c>
      <c r="AM31" s="367">
        <f t="shared" si="9"/>
        <v>1.6765726400826075E-2</v>
      </c>
    </row>
    <row r="32" spans="1:39">
      <c r="A32" s="87">
        <v>21</v>
      </c>
      <c r="B32" s="10">
        <f t="shared" si="24"/>
        <v>0.41301669887418385</v>
      </c>
      <c r="C32" s="10">
        <f t="shared" si="26"/>
        <v>0.35894236464095297</v>
      </c>
      <c r="D32" s="10">
        <f t="shared" si="27"/>
        <v>0.14824919053009997</v>
      </c>
      <c r="E32" s="10">
        <f t="shared" si="28"/>
        <v>2.7266904069625893E-2</v>
      </c>
      <c r="G32" s="87">
        <v>92</v>
      </c>
      <c r="H32" s="5">
        <f>SUM(D33:D$61)/D33</f>
        <v>4.5981351334774825</v>
      </c>
      <c r="I32" s="10">
        <f t="shared" si="15"/>
        <v>0.78104118412011991</v>
      </c>
      <c r="K32" s="87">
        <v>25</v>
      </c>
      <c r="L32" s="12">
        <f t="shared" si="10"/>
        <v>131480.57599907467</v>
      </c>
      <c r="M32" s="12">
        <f t="shared" si="1"/>
        <v>5693.7910482193565</v>
      </c>
      <c r="N32" s="12">
        <f t="shared" si="11"/>
        <v>163.87582096438712</v>
      </c>
      <c r="O32" s="12">
        <f t="shared" si="2"/>
        <v>6850.5245613164825</v>
      </c>
      <c r="P32" s="12">
        <f t="shared" si="3"/>
        <v>28225.541755926071</v>
      </c>
      <c r="Q32" s="12">
        <f t="shared" si="4"/>
        <v>116698.34053548396</v>
      </c>
      <c r="R32" s="12">
        <f t="shared" si="5"/>
        <v>-1062.8665037639148</v>
      </c>
      <c r="S32" s="12">
        <f t="shared" si="6"/>
        <v>-292.83275780875317</v>
      </c>
      <c r="T32" s="364">
        <f t="shared" si="7"/>
        <v>316.10281970091893</v>
      </c>
      <c r="U32" s="10">
        <f t="shared" si="0"/>
        <v>2.1460481584694192E-2</v>
      </c>
      <c r="W32" s="87">
        <v>25</v>
      </c>
      <c r="X32" s="12">
        <f t="shared" si="16"/>
        <v>66226.498987737548</v>
      </c>
      <c r="Y32" s="12">
        <f t="shared" si="17"/>
        <v>64774.768324121833</v>
      </c>
      <c r="Z32" s="12">
        <f t="shared" si="25"/>
        <v>180278.5640701291</v>
      </c>
      <c r="AA32" s="12">
        <f t="shared" si="8"/>
        <v>5693.7910482193565</v>
      </c>
      <c r="AB32" s="12">
        <f t="shared" si="8"/>
        <v>163.87582096438712</v>
      </c>
      <c r="AC32" s="12">
        <f t="shared" si="18"/>
        <v>6826.5591269557181</v>
      </c>
      <c r="AD32" s="12">
        <f t="shared" si="19"/>
        <v>28132.842009781074</v>
      </c>
      <c r="AE32" s="12">
        <f t="shared" si="20"/>
        <v>113162.43824396697</v>
      </c>
      <c r="AF32" s="12">
        <f t="shared" si="21"/>
        <v>2062.4614123220235</v>
      </c>
      <c r="AG32" s="12">
        <f t="shared" si="22"/>
        <v>2984.0288576433527</v>
      </c>
      <c r="AH32" s="12">
        <f t="shared" si="23"/>
        <v>83262.592927772421</v>
      </c>
      <c r="AI32" s="12">
        <f t="shared" si="12"/>
        <v>115224.899656289</v>
      </c>
      <c r="AJ32" s="12">
        <v>0</v>
      </c>
      <c r="AK32" s="12">
        <f t="shared" si="13"/>
        <v>0</v>
      </c>
      <c r="AL32" s="12">
        <f t="shared" si="14"/>
        <v>-1477.3248509486289</v>
      </c>
      <c r="AM32" s="367">
        <f t="shared" si="9"/>
        <v>1.6552322085739313E-2</v>
      </c>
    </row>
    <row r="33" spans="1:39">
      <c r="A33" s="87">
        <v>22</v>
      </c>
      <c r="B33" s="10">
        <f t="shared" si="24"/>
        <v>0.3664799601260495</v>
      </c>
      <c r="C33" s="10">
        <f t="shared" si="26"/>
        <v>0.3418498710866219</v>
      </c>
      <c r="D33" s="10">
        <f t="shared" si="27"/>
        <v>0.12528112712492034</v>
      </c>
      <c r="E33" s="10">
        <f t="shared" si="28"/>
        <v>2.6719759126987611E-2</v>
      </c>
      <c r="G33" s="87">
        <v>93</v>
      </c>
      <c r="H33" s="5">
        <f>SUM(D34:D$61)/D34</f>
        <v>4.3212566030204274</v>
      </c>
      <c r="I33" s="10">
        <f t="shared" si="15"/>
        <v>0.7942258760466463</v>
      </c>
      <c r="K33" s="87">
        <v>26</v>
      </c>
      <c r="L33" s="12">
        <f t="shared" si="10"/>
        <v>138276.70588568546</v>
      </c>
      <c r="M33" s="12">
        <f t="shared" si="1"/>
        <v>5693.7910482193565</v>
      </c>
      <c r="N33" s="12">
        <f t="shared" si="11"/>
        <v>163.87582096438712</v>
      </c>
      <c r="O33" s="12">
        <f t="shared" si="2"/>
        <v>7190.3310556470215</v>
      </c>
      <c r="P33" s="12">
        <f t="shared" si="3"/>
        <v>32184.351110584415</v>
      </c>
      <c r="Q33" s="12">
        <f t="shared" si="4"/>
        <v>119931.12527015638</v>
      </c>
      <c r="R33" s="12">
        <f t="shared" si="5"/>
        <v>-1118.524212153352</v>
      </c>
      <c r="S33" s="12">
        <f t="shared" si="6"/>
        <v>-260.07702100909404</v>
      </c>
      <c r="T33" s="364">
        <f t="shared" si="7"/>
        <v>294.28093946732656</v>
      </c>
      <c r="U33" s="10">
        <f t="shared" si="0"/>
        <v>1.6122686992073375E-2</v>
      </c>
      <c r="W33" s="87">
        <v>26</v>
      </c>
      <c r="X33" s="12">
        <f t="shared" si="16"/>
        <v>68341.380616731461</v>
      </c>
      <c r="Y33" s="12">
        <f t="shared" si="17"/>
        <v>68189.43453771052</v>
      </c>
      <c r="Z33" s="12">
        <f t="shared" si="25"/>
        <v>183262.59292777246</v>
      </c>
      <c r="AA33" s="12">
        <f t="shared" si="8"/>
        <v>5693.7910482193565</v>
      </c>
      <c r="AB33" s="12">
        <f t="shared" si="8"/>
        <v>163.87582096438712</v>
      </c>
      <c r="AC33" s="12">
        <f t="shared" si="18"/>
        <v>7103.0365190848479</v>
      </c>
      <c r="AD33" s="12">
        <f t="shared" si="19"/>
        <v>31814.269057850663</v>
      </c>
      <c r="AE33" s="12">
        <f t="shared" si="20"/>
        <v>115287.03643060911</v>
      </c>
      <c r="AF33" s="12">
        <f t="shared" si="21"/>
        <v>2062.4614123220381</v>
      </c>
      <c r="AG33" s="12">
        <f t="shared" si="22"/>
        <v>3005.1127345334621</v>
      </c>
      <c r="AH33" s="12">
        <f t="shared" si="23"/>
        <v>86267.705662305889</v>
      </c>
      <c r="AI33" s="12">
        <f t="shared" si="12"/>
        <v>117349.49784293114</v>
      </c>
      <c r="AJ33" s="12">
        <v>0</v>
      </c>
      <c r="AK33" s="12">
        <f t="shared" si="13"/>
        <v>0</v>
      </c>
      <c r="AL33" s="12">
        <f t="shared" si="14"/>
        <v>-1477.3248509486289</v>
      </c>
      <c r="AM33" s="367">
        <f t="shared" si="9"/>
        <v>1.6397851228252769E-2</v>
      </c>
    </row>
    <row r="34" spans="1:39">
      <c r="A34" s="87">
        <v>23</v>
      </c>
      <c r="B34" s="10">
        <f t="shared" si="24"/>
        <v>0.32041065098736266</v>
      </c>
      <c r="C34" s="10">
        <f t="shared" si="26"/>
        <v>0.32557130579678267</v>
      </c>
      <c r="D34" s="10">
        <f t="shared" si="27"/>
        <v>0.10431651403315285</v>
      </c>
      <c r="E34" s="10">
        <f t="shared" si="28"/>
        <v>2.5821582778460167E-2</v>
      </c>
      <c r="G34" s="87">
        <v>94</v>
      </c>
      <c r="H34" s="5">
        <f>SUM(D35:D$61)/D35</f>
        <v>4.0556244925075493</v>
      </c>
      <c r="I34" s="10">
        <f t="shared" si="15"/>
        <v>0.80687502416630719</v>
      </c>
      <c r="K34" s="87">
        <v>27</v>
      </c>
      <c r="L34" s="12">
        <f t="shared" si="10"/>
        <v>145124.67637893377</v>
      </c>
      <c r="M34" s="12">
        <f t="shared" si="1"/>
        <v>5693.7910482193565</v>
      </c>
      <c r="N34" s="12">
        <f t="shared" si="11"/>
        <v>163.87582096438712</v>
      </c>
      <c r="O34" s="12">
        <f t="shared" si="2"/>
        <v>7532.7295803094376</v>
      </c>
      <c r="P34" s="12">
        <f t="shared" si="3"/>
        <v>36654.25025699535</v>
      </c>
      <c r="Q34" s="12">
        <f t="shared" si="4"/>
        <v>122696.9603418773</v>
      </c>
      <c r="R34" s="12">
        <f t="shared" si="5"/>
        <v>-1163.8894123744685</v>
      </c>
      <c r="S34" s="12">
        <f t="shared" si="6"/>
        <v>-223.64487697952492</v>
      </c>
      <c r="T34" s="364">
        <f t="shared" si="7"/>
        <v>277.22182611359767</v>
      </c>
      <c r="U34" s="10">
        <f t="shared" si="0"/>
        <v>1.1829839955048511E-2</v>
      </c>
      <c r="W34" s="87">
        <v>27</v>
      </c>
      <c r="X34" s="12">
        <f t="shared" si="16"/>
        <v>70356.265926058331</v>
      </c>
      <c r="Y34" s="12">
        <f t="shared" si="17"/>
        <v>71644.468739970689</v>
      </c>
      <c r="Z34" s="12">
        <f t="shared" si="25"/>
        <v>186267.70566230593</v>
      </c>
      <c r="AA34" s="12">
        <f t="shared" si="8"/>
        <v>5693.7910482193565</v>
      </c>
      <c r="AB34" s="12">
        <f t="shared" si="8"/>
        <v>163.87582096438712</v>
      </c>
      <c r="AC34" s="12">
        <f t="shared" si="18"/>
        <v>7376.5324946641995</v>
      </c>
      <c r="AD34" s="12">
        <f t="shared" si="19"/>
        <v>35928.691908037799</v>
      </c>
      <c r="AE34" s="12">
        <f t="shared" si="20"/>
        <v>116916.02906758834</v>
      </c>
      <c r="AF34" s="12">
        <f t="shared" si="21"/>
        <v>2062.4614123220381</v>
      </c>
      <c r="AG34" s="12">
        <f t="shared" si="22"/>
        <v>3036.9297857161987</v>
      </c>
      <c r="AH34" s="12">
        <f t="shared" si="23"/>
        <v>89304.635448022091</v>
      </c>
      <c r="AI34" s="12">
        <f t="shared" si="12"/>
        <v>118978.49047991038</v>
      </c>
      <c r="AJ34" s="12">
        <v>0</v>
      </c>
      <c r="AK34" s="12">
        <f t="shared" si="13"/>
        <v>0</v>
      </c>
      <c r="AL34" s="12">
        <f t="shared" si="14"/>
        <v>-1477.3248509486289</v>
      </c>
      <c r="AM34" s="367">
        <f t="shared" si="9"/>
        <v>1.6304113345455562E-2</v>
      </c>
    </row>
    <row r="35" spans="1:39">
      <c r="A35" s="87">
        <v>24</v>
      </c>
      <c r="B35" s="10">
        <f t="shared" si="24"/>
        <v>0.27551226496624787</v>
      </c>
      <c r="C35" s="10">
        <f t="shared" si="26"/>
        <v>0.31006791028265024</v>
      </c>
      <c r="D35" s="10">
        <f t="shared" si="27"/>
        <v>8.54275122553243E-2</v>
      </c>
      <c r="E35" s="10">
        <f t="shared" si="28"/>
        <v>2.4566113603759085E-2</v>
      </c>
      <c r="G35" s="87">
        <v>95</v>
      </c>
      <c r="H35" s="5">
        <f>SUM(D36:D$61)/D36</f>
        <v>3.801663088559887</v>
      </c>
      <c r="I35" s="10">
        <f t="shared" si="15"/>
        <v>0.81896842435429107</v>
      </c>
      <c r="K35" s="87">
        <v>28</v>
      </c>
      <c r="L35" s="12">
        <f t="shared" si="10"/>
        <v>152019.63032680587</v>
      </c>
      <c r="M35" s="12">
        <f t="shared" si="1"/>
        <v>5693.7910482193565</v>
      </c>
      <c r="N35" s="12">
        <f t="shared" si="11"/>
        <v>163.87582096438712</v>
      </c>
      <c r="O35" s="12">
        <f t="shared" si="2"/>
        <v>7877.4772777030421</v>
      </c>
      <c r="P35" s="12">
        <f t="shared" si="3"/>
        <v>41688.81950265816</v>
      </c>
      <c r="Q35" s="12">
        <f t="shared" si="4"/>
        <v>124935.72169159001</v>
      </c>
      <c r="R35" s="12">
        <f t="shared" si="5"/>
        <v>-1197.5183624842903</v>
      </c>
      <c r="S35" s="12">
        <f t="shared" si="6"/>
        <v>-185.72208470549953</v>
      </c>
      <c r="T35" s="364">
        <f t="shared" si="7"/>
        <v>264.34323468503322</v>
      </c>
      <c r="U35" s="10">
        <f t="shared" si="0"/>
        <v>8.4526326599071323E-3</v>
      </c>
      <c r="W35" s="87">
        <v>28</v>
      </c>
      <c r="X35" s="12">
        <f t="shared" si="16"/>
        <v>72269.084918380802</v>
      </c>
      <c r="Y35" s="12">
        <f t="shared" si="17"/>
        <v>75143.418938278512</v>
      </c>
      <c r="Z35" s="12">
        <f t="shared" si="25"/>
        <v>189304.63544802213</v>
      </c>
      <c r="AA35" s="12">
        <f t="shared" si="8"/>
        <v>5693.7910482193565</v>
      </c>
      <c r="AB35" s="12">
        <f t="shared" si="8"/>
        <v>163.87582096438712</v>
      </c>
      <c r="AC35" s="12">
        <f t="shared" si="18"/>
        <v>7647.1209541957141</v>
      </c>
      <c r="AD35" s="12">
        <f t="shared" si="19"/>
        <v>40516.925269864929</v>
      </c>
      <c r="AE35" s="12">
        <f t="shared" si="20"/>
        <v>118010.15335592304</v>
      </c>
      <c r="AF35" s="12">
        <f t="shared" si="21"/>
        <v>2062.461412322009</v>
      </c>
      <c r="AG35" s="12">
        <f t="shared" si="22"/>
        <v>3080.7417945575071</v>
      </c>
      <c r="AH35" s="12">
        <f t="shared" si="23"/>
        <v>92385.377242579591</v>
      </c>
      <c r="AI35" s="12">
        <f t="shared" si="12"/>
        <v>120072.61476824505</v>
      </c>
      <c r="AJ35" s="12">
        <v>0</v>
      </c>
      <c r="AK35" s="12">
        <f t="shared" si="13"/>
        <v>0</v>
      </c>
      <c r="AL35" s="12">
        <f t="shared" si="14"/>
        <v>-1477.3248509486289</v>
      </c>
      <c r="AM35" s="367">
        <f t="shared" si="9"/>
        <v>1.6273990265829541E-2</v>
      </c>
    </row>
    <row r="36" spans="1:39">
      <c r="A36" s="87">
        <v>25</v>
      </c>
      <c r="B36" s="10">
        <f t="shared" si="24"/>
        <v>0.23251800737366329</v>
      </c>
      <c r="C36" s="10">
        <f t="shared" si="26"/>
        <v>0.29530277169776209</v>
      </c>
      <c r="D36" s="10">
        <f t="shared" si="27"/>
        <v>6.8663212047083449E-2</v>
      </c>
      <c r="E36" s="10">
        <f t="shared" si="28"/>
        <v>2.2964169659690874E-2</v>
      </c>
      <c r="G36" s="87">
        <v>96</v>
      </c>
      <c r="H36" s="5">
        <f>SUM(D37:D$61)/D37</f>
        <v>3.5597095461322685</v>
      </c>
      <c r="I36" s="10">
        <f t="shared" si="15"/>
        <v>0.8304900216127491</v>
      </c>
      <c r="K36" s="87">
        <v>29</v>
      </c>
      <c r="L36" s="12">
        <f t="shared" si="10"/>
        <v>158957.42478288419</v>
      </c>
      <c r="M36" s="12">
        <f t="shared" si="1"/>
        <v>5693.7910482193565</v>
      </c>
      <c r="N36" s="12">
        <f t="shared" si="11"/>
        <v>163.87582096438712</v>
      </c>
      <c r="O36" s="12">
        <f t="shared" si="2"/>
        <v>8224.367000506958</v>
      </c>
      <c r="P36" s="12">
        <f t="shared" si="3"/>
        <v>47343.783037662361</v>
      </c>
      <c r="Q36" s="12">
        <f t="shared" si="4"/>
        <v>126585.84817406989</v>
      </c>
      <c r="R36" s="12">
        <f t="shared" si="5"/>
        <v>-1217.9242010861344</v>
      </c>
      <c r="S36" s="12">
        <f t="shared" si="6"/>
        <v>-148.45931087048754</v>
      </c>
      <c r="T36" s="364">
        <f t="shared" si="7"/>
        <v>254.98444752194962</v>
      </c>
      <c r="U36" s="10">
        <f t="shared" si="0"/>
        <v>5.8620199228518032E-3</v>
      </c>
      <c r="W36" s="87">
        <v>29</v>
      </c>
      <c r="X36" s="12">
        <f t="shared" si="16"/>
        <v>74078.503411742509</v>
      </c>
      <c r="Y36" s="12">
        <f t="shared" si="17"/>
        <v>78691.524023832244</v>
      </c>
      <c r="Z36" s="12">
        <f t="shared" si="25"/>
        <v>192385.37724257965</v>
      </c>
      <c r="AA36" s="12">
        <f t="shared" si="8"/>
        <v>5693.7910482193565</v>
      </c>
      <c r="AB36" s="12">
        <f t="shared" si="8"/>
        <v>163.87582096438712</v>
      </c>
      <c r="AC36" s="12">
        <f t="shared" si="18"/>
        <v>7914.9971331414854</v>
      </c>
      <c r="AD36" s="12">
        <f t="shared" si="19"/>
        <v>45621.208539059109</v>
      </c>
      <c r="AE36" s="12">
        <f t="shared" si="20"/>
        <v>118531.26984459003</v>
      </c>
      <c r="AF36" s="12">
        <f t="shared" si="21"/>
        <v>2062.4614123220672</v>
      </c>
      <c r="AG36" s="12">
        <f t="shared" si="22"/>
        <v>3138.117298808781</v>
      </c>
      <c r="AH36" s="12">
        <f t="shared" si="23"/>
        <v>95523.494541388369</v>
      </c>
      <c r="AI36" s="12">
        <f t="shared" si="12"/>
        <v>120593.7312569121</v>
      </c>
      <c r="AJ36" s="12">
        <v>0</v>
      </c>
      <c r="AK36" s="12">
        <f t="shared" si="13"/>
        <v>0</v>
      </c>
      <c r="AL36" s="12">
        <f t="shared" si="14"/>
        <v>-1477.3248509486289</v>
      </c>
      <c r="AM36" s="367">
        <f t="shared" si="9"/>
        <v>1.6311620684413608E-2</v>
      </c>
    </row>
    <row r="37" spans="1:39">
      <c r="A37" s="87">
        <v>26</v>
      </c>
      <c r="B37" s="10">
        <f t="shared" si="24"/>
        <v>0.19215302983404892</v>
      </c>
      <c r="C37" s="10">
        <f t="shared" si="26"/>
        <v>0.28124073495024959</v>
      </c>
      <c r="D37" s="10">
        <f t="shared" si="27"/>
        <v>5.4041259333445155E-2</v>
      </c>
      <c r="E37" s="10">
        <f t="shared" si="28"/>
        <v>2.1046484999084222E-2</v>
      </c>
      <c r="G37" s="87">
        <v>97</v>
      </c>
      <c r="H37" s="5">
        <f>SUM(D38:D$61)/D38</f>
        <v>3.3300124367866903</v>
      </c>
      <c r="I37" s="10">
        <f t="shared" si="15"/>
        <v>0.84142797920063384</v>
      </c>
      <c r="K37" s="87">
        <v>30</v>
      </c>
      <c r="L37" s="12">
        <f t="shared" si="10"/>
        <v>165934.68535045889</v>
      </c>
      <c r="M37" s="12">
        <f t="shared" si="1"/>
        <v>5693.7910482193565</v>
      </c>
      <c r="N37" s="12">
        <f t="shared" si="11"/>
        <v>163.87582096438712</v>
      </c>
      <c r="O37" s="12">
        <f t="shared" si="2"/>
        <v>8573.2300288856932</v>
      </c>
      <c r="P37" s="12">
        <f t="shared" si="3"/>
        <v>53676.016883459495</v>
      </c>
      <c r="Q37" s="12">
        <f t="shared" si="4"/>
        <v>127585.41707462569</v>
      </c>
      <c r="R37" s="12">
        <f t="shared" si="5"/>
        <v>-1223.6033514856099</v>
      </c>
      <c r="S37" s="12">
        <f t="shared" si="6"/>
        <v>-113.78259060186076</v>
      </c>
      <c r="T37" s="364">
        <f t="shared" si="7"/>
        <v>248.46373186369792</v>
      </c>
      <c r="U37" s="10">
        <f t="shared" si="0"/>
        <v>3.9313162519447192E-3</v>
      </c>
      <c r="W37" s="87">
        <v>30</v>
      </c>
      <c r="X37" s="12">
        <f t="shared" si="16"/>
        <v>75783.907350238776</v>
      </c>
      <c r="Y37" s="12">
        <f t="shared" si="17"/>
        <v>82296.029230322325</v>
      </c>
      <c r="Z37" s="12">
        <f t="shared" si="25"/>
        <v>195523.49454138844</v>
      </c>
      <c r="AA37" s="12">
        <f t="shared" si="8"/>
        <v>5693.7910482193565</v>
      </c>
      <c r="AB37" s="12">
        <f t="shared" si="8"/>
        <v>163.87582096438712</v>
      </c>
      <c r="AC37" s="12">
        <f t="shared" si="18"/>
        <v>8180.4925903908043</v>
      </c>
      <c r="AD37" s="12">
        <f t="shared" si="19"/>
        <v>51284.6192001046</v>
      </c>
      <c r="AE37" s="12">
        <f t="shared" si="20"/>
        <v>118443.26378578023</v>
      </c>
      <c r="AF37" s="12">
        <f t="shared" si="21"/>
        <v>2062.4614123220526</v>
      </c>
      <c r="AG37" s="12">
        <f t="shared" si="22"/>
        <v>3211.0111849950695</v>
      </c>
      <c r="AH37" s="12">
        <f t="shared" si="23"/>
        <v>98734.505726383431</v>
      </c>
      <c r="AI37" s="12">
        <f t="shared" si="12"/>
        <v>120505.72519810229</v>
      </c>
      <c r="AJ37" s="12">
        <v>0</v>
      </c>
      <c r="AK37" s="12">
        <f t="shared" si="13"/>
        <v>0</v>
      </c>
      <c r="AL37" s="12">
        <f t="shared" si="14"/>
        <v>-1477.3248509486289</v>
      </c>
      <c r="AM37" s="367">
        <f t="shared" si="9"/>
        <v>1.6422636024006509E-2</v>
      </c>
    </row>
    <row r="38" spans="1:39">
      <c r="A38" s="87">
        <v>27</v>
      </c>
      <c r="B38" s="10">
        <f t="shared" si="24"/>
        <v>0.15508913309706007</v>
      </c>
      <c r="C38" s="10">
        <f t="shared" si="26"/>
        <v>0.2678483190002377</v>
      </c>
      <c r="D38" s="10">
        <f t="shared" si="27"/>
        <v>4.1540363595251671E-2</v>
      </c>
      <c r="E38" s="10">
        <f t="shared" si="28"/>
        <v>1.886516041725033E-2</v>
      </c>
      <c r="G38" s="87">
        <v>98</v>
      </c>
      <c r="H38" s="5">
        <f>SUM(D39:D$61)/D39</f>
        <v>3.1127319731412597</v>
      </c>
      <c r="I38" s="10">
        <f t="shared" si="15"/>
        <v>0.85177466794565437</v>
      </c>
      <c r="K38" s="87">
        <v>31</v>
      </c>
      <c r="L38" s="12">
        <f t="shared" si="10"/>
        <v>172948.84295185123</v>
      </c>
      <c r="M38" s="12">
        <f t="shared" si="1"/>
        <v>5693.7910482193565</v>
      </c>
      <c r="N38" s="12">
        <f t="shared" si="11"/>
        <v>163.87582096438712</v>
      </c>
      <c r="O38" s="12">
        <f t="shared" si="2"/>
        <v>8923.9379089553095</v>
      </c>
      <c r="P38" s="12">
        <f t="shared" si="3"/>
        <v>60742.191035265401</v>
      </c>
      <c r="Q38" s="12">
        <f t="shared" si="4"/>
        <v>127873.57581097512</v>
      </c>
      <c r="R38" s="12">
        <f t="shared" si="5"/>
        <v>-1213.0707581790193</v>
      </c>
      <c r="S38" s="12">
        <f t="shared" si="6"/>
        <v>-83.215584963839731</v>
      </c>
      <c r="T38" s="364">
        <f t="shared" si="7"/>
        <v>244.12830933061784</v>
      </c>
      <c r="U38" s="10">
        <f t="shared" si="0"/>
        <v>2.5389728662430998E-3</v>
      </c>
      <c r="W38" s="87">
        <v>31</v>
      </c>
      <c r="X38" s="12">
        <f t="shared" si="16"/>
        <v>77385.373901444444</v>
      </c>
      <c r="Y38" s="12">
        <f t="shared" si="17"/>
        <v>85966.568820154163</v>
      </c>
      <c r="Z38" s="12">
        <f t="shared" si="25"/>
        <v>198734.5057263835</v>
      </c>
      <c r="AA38" s="12">
        <f t="shared" si="8"/>
        <v>5693.7910482193565</v>
      </c>
      <c r="AB38" s="12">
        <f t="shared" si="8"/>
        <v>163.87582096438712</v>
      </c>
      <c r="AC38" s="12">
        <f t="shared" si="18"/>
        <v>8444.0928974426788</v>
      </c>
      <c r="AD38" s="12">
        <f t="shared" si="19"/>
        <v>57550.323682135531</v>
      </c>
      <c r="AE38" s="12">
        <f t="shared" si="20"/>
        <v>117713.16575183869</v>
      </c>
      <c r="AF38" s="12">
        <f t="shared" si="21"/>
        <v>2062.4614123220526</v>
      </c>
      <c r="AG38" s="12">
        <f t="shared" si="22"/>
        <v>3301.8697164346386</v>
      </c>
      <c r="AH38" s="12">
        <f t="shared" si="23"/>
        <v>102036.37544281807</v>
      </c>
      <c r="AI38" s="12">
        <f t="shared" si="12"/>
        <v>119775.62716416075</v>
      </c>
      <c r="AJ38" s="12">
        <v>0</v>
      </c>
      <c r="AK38" s="12">
        <f t="shared" si="13"/>
        <v>0</v>
      </c>
      <c r="AL38" s="12">
        <f t="shared" si="14"/>
        <v>-1477.3248509486289</v>
      </c>
      <c r="AM38" s="367">
        <f t="shared" si="9"/>
        <v>1.6614476204653839E-2</v>
      </c>
    </row>
    <row r="39" spans="1:39">
      <c r="A39" s="87">
        <v>28</v>
      </c>
      <c r="B39" s="10">
        <f t="shared" si="24"/>
        <v>0.12189536158169187</v>
      </c>
      <c r="C39" s="10">
        <f t="shared" si="26"/>
        <v>0.25509363714308358</v>
      </c>
      <c r="D39" s="10">
        <f t="shared" si="27"/>
        <v>3.1094731136745078E-2</v>
      </c>
      <c r="E39" s="10">
        <f t="shared" si="28"/>
        <v>1.6493035428545137E-2</v>
      </c>
      <c r="G39" s="87">
        <v>99</v>
      </c>
      <c r="H39" s="5">
        <f>SUM(D40:D$61)/D40</f>
        <v>2.9079418928924556</v>
      </c>
      <c r="I39" s="10">
        <f t="shared" si="15"/>
        <v>0.86152657652893072</v>
      </c>
      <c r="K39" s="87">
        <v>32</v>
      </c>
      <c r="L39" s="12">
        <f t="shared" si="10"/>
        <v>179998.15217468777</v>
      </c>
      <c r="M39" s="12">
        <f t="shared" si="1"/>
        <v>5693.7910482193565</v>
      </c>
      <c r="N39" s="12">
        <f t="shared" si="11"/>
        <v>163.87582096438712</v>
      </c>
      <c r="O39" s="12">
        <f t="shared" si="2"/>
        <v>9276.4033700971377</v>
      </c>
      <c r="P39" s="12">
        <f t="shared" si="3"/>
        <v>68596.98772112091</v>
      </c>
      <c r="Q39" s="12">
        <f t="shared" si="4"/>
        <v>127392.38842434513</v>
      </c>
      <c r="R39" s="12">
        <f t="shared" si="5"/>
        <v>-1184.9053734261688</v>
      </c>
      <c r="S39" s="12">
        <f t="shared" si="6"/>
        <v>-57.745077493462311</v>
      </c>
      <c r="T39" s="364">
        <f t="shared" si="7"/>
        <v>241.39336151953177</v>
      </c>
      <c r="U39" s="10">
        <f t="shared" si="0"/>
        <v>1.5717286427648829E-3</v>
      </c>
      <c r="W39" s="87">
        <v>32</v>
      </c>
      <c r="X39" s="12">
        <f t="shared" si="16"/>
        <v>78883.63039988649</v>
      </c>
      <c r="Y39" s="12">
        <f t="shared" si="17"/>
        <v>89715.639843269339</v>
      </c>
      <c r="Z39" s="12">
        <f t="shared" si="25"/>
        <v>202036.37544281816</v>
      </c>
      <c r="AA39" s="12">
        <f t="shared" si="8"/>
        <v>5693.7910482193565</v>
      </c>
      <c r="AB39" s="12">
        <f t="shared" si="8"/>
        <v>163.87582096438712</v>
      </c>
      <c r="AC39" s="12">
        <f t="shared" si="18"/>
        <v>8706.4592735205406</v>
      </c>
      <c r="AD39" s="12">
        <f t="shared" si="19"/>
        <v>64460.665743674035</v>
      </c>
      <c r="AE39" s="12">
        <f t="shared" si="20"/>
        <v>116312.51758793526</v>
      </c>
      <c r="AF39" s="12">
        <f t="shared" si="21"/>
        <v>2062.4614123220381</v>
      </c>
      <c r="AG39" s="12">
        <f t="shared" si="22"/>
        <v>3413.7705169651836</v>
      </c>
      <c r="AH39" s="12">
        <f t="shared" si="23"/>
        <v>105450.14595978326</v>
      </c>
      <c r="AI39" s="12">
        <f t="shared" si="12"/>
        <v>118374.9790002573</v>
      </c>
      <c r="AJ39" s="12">
        <v>0</v>
      </c>
      <c r="AK39" s="12">
        <f t="shared" si="13"/>
        <v>0</v>
      </c>
      <c r="AL39" s="12">
        <f t="shared" si="14"/>
        <v>-1477.3248509486289</v>
      </c>
      <c r="AM39" s="367">
        <f t="shared" si="9"/>
        <v>1.6896811326589045E-2</v>
      </c>
    </row>
    <row r="40" spans="1:39">
      <c r="A40" s="87">
        <v>29</v>
      </c>
      <c r="B40" s="10">
        <f t="shared" si="24"/>
        <v>9.2989767038243437E-2</v>
      </c>
      <c r="C40" s="10">
        <f t="shared" si="26"/>
        <v>0.24294632108865097</v>
      </c>
      <c r="D40" s="10">
        <f t="shared" si="27"/>
        <v>2.2591521800831942E-2</v>
      </c>
      <c r="E40" s="10">
        <f t="shared" si="28"/>
        <v>1.4020401948119073E-2</v>
      </c>
      <c r="G40" s="87">
        <v>100</v>
      </c>
      <c r="H40" s="5">
        <f>SUM(D41:D$61)/D41</f>
        <v>2.7156329295237138</v>
      </c>
      <c r="I40" s="10">
        <f t="shared" si="15"/>
        <v>0.87068414621315648</v>
      </c>
      <c r="K40" s="87">
        <v>33</v>
      </c>
      <c r="L40" s="12">
        <f t="shared" si="10"/>
        <v>187081.69103792336</v>
      </c>
      <c r="M40" s="12">
        <f t="shared" si="1"/>
        <v>5693.7910482193565</v>
      </c>
      <c r="N40" s="12">
        <f t="shared" si="11"/>
        <v>163.87582096438712</v>
      </c>
      <c r="O40" s="12">
        <f t="shared" si="2"/>
        <v>9630.5803132589172</v>
      </c>
      <c r="P40" s="12">
        <f t="shared" si="3"/>
        <v>77290.846175625979</v>
      </c>
      <c r="Q40" s="12">
        <f t="shared" si="4"/>
        <v>126089.14751605726</v>
      </c>
      <c r="R40" s="12">
        <f t="shared" si="5"/>
        <v>-1137.8071132459881</v>
      </c>
      <c r="S40" s="12">
        <f t="shared" si="6"/>
        <v>-37.758274314187211</v>
      </c>
      <c r="T40" s="364">
        <f t="shared" si="7"/>
        <v>239.76761240150418</v>
      </c>
      <c r="U40" s="10">
        <f t="shared" si="0"/>
        <v>9.2771554820977192E-4</v>
      </c>
      <c r="W40" s="87">
        <v>33</v>
      </c>
      <c r="X40" s="12">
        <f t="shared" si="16"/>
        <v>80280.002612182914</v>
      </c>
      <c r="Y40" s="12">
        <f t="shared" si="17"/>
        <v>93559.200199361643</v>
      </c>
      <c r="Z40" s="12">
        <f t="shared" si="25"/>
        <v>205450.14595978335</v>
      </c>
      <c r="AA40" s="12">
        <f t="shared" si="8"/>
        <v>5693.7910482193565</v>
      </c>
      <c r="AB40" s="12">
        <f t="shared" si="8"/>
        <v>163.87582096438712</v>
      </c>
      <c r="AC40" s="12">
        <f t="shared" si="18"/>
        <v>8968.4559019399767</v>
      </c>
      <c r="AD40" s="12">
        <f t="shared" si="19"/>
        <v>72056.111796910918</v>
      </c>
      <c r="AE40" s="12">
        <f t="shared" si="20"/>
        <v>114219.0007315066</v>
      </c>
      <c r="AF40" s="12">
        <f t="shared" si="21"/>
        <v>2062.4614123219799</v>
      </c>
      <c r="AG40" s="12">
        <f t="shared" si="22"/>
        <v>3550.6111518302328</v>
      </c>
      <c r="AH40" s="12">
        <f t="shared" si="23"/>
        <v>109000.75711161349</v>
      </c>
      <c r="AI40" s="12">
        <f t="shared" si="12"/>
        <v>116281.46214382858</v>
      </c>
      <c r="AJ40" s="12">
        <v>0</v>
      </c>
      <c r="AK40" s="12">
        <f t="shared" si="13"/>
        <v>0</v>
      </c>
      <c r="AL40" s="12">
        <f t="shared" si="14"/>
        <v>-1477.3248509486289</v>
      </c>
      <c r="AM40" s="367">
        <f t="shared" si="9"/>
        <v>1.7282105764603761E-2</v>
      </c>
    </row>
    <row r="41" spans="1:39">
      <c r="A41" s="87">
        <v>30</v>
      </c>
      <c r="B41" s="10">
        <f t="shared" si="24"/>
        <v>6.8599118726394334E-2</v>
      </c>
      <c r="C41" s="10">
        <f t="shared" si="26"/>
        <v>0.23137744865585813</v>
      </c>
      <c r="D41" s="10">
        <f t="shared" si="27"/>
        <v>1.5872289070953421E-2</v>
      </c>
      <c r="E41" s="10">
        <f t="shared" si="28"/>
        <v>1.1548789577185706E-2</v>
      </c>
      <c r="G41" s="87">
        <v>101</v>
      </c>
      <c r="H41" s="5">
        <f>SUM(D42:D$61)/D42</f>
        <v>2.5357177424978281</v>
      </c>
      <c r="I41" s="10">
        <f t="shared" si="15"/>
        <v>0.87925153607153206</v>
      </c>
      <c r="K41" s="87">
        <v>34</v>
      </c>
      <c r="L41" s="12">
        <f t="shared" si="10"/>
        <v>194199.34274938336</v>
      </c>
      <c r="M41" s="12">
        <f t="shared" si="1"/>
        <v>5693.7910482193565</v>
      </c>
      <c r="N41" s="12">
        <f t="shared" si="11"/>
        <v>163.87582096438712</v>
      </c>
      <c r="O41" s="12">
        <f t="shared" si="2"/>
        <v>9986.4628988319164</v>
      </c>
      <c r="P41" s="12">
        <f t="shared" si="3"/>
        <v>86867.202580872574</v>
      </c>
      <c r="Q41" s="12">
        <f t="shared" si="4"/>
        <v>123919.18435544081</v>
      </c>
      <c r="R41" s="12">
        <f t="shared" si="5"/>
        <v>-1070.6660608431266</v>
      </c>
      <c r="S41" s="12">
        <f t="shared" si="6"/>
        <v>-23.068931616744603</v>
      </c>
      <c r="T41" s="364">
        <f t="shared" si="7"/>
        <v>238.8646364455181</v>
      </c>
      <c r="U41" s="10">
        <f t="shared" si="0"/>
        <v>5.1904530209006259E-4</v>
      </c>
      <c r="W41" s="87">
        <v>34</v>
      </c>
      <c r="X41" s="12">
        <f t="shared" si="16"/>
        <v>81576.354164230317</v>
      </c>
      <c r="Y41" s="12">
        <f t="shared" si="17"/>
        <v>97517.437546852874</v>
      </c>
      <c r="Z41" s="12">
        <f t="shared" si="25"/>
        <v>209000.75711161358</v>
      </c>
      <c r="AA41" s="12">
        <f t="shared" si="8"/>
        <v>5693.7910482193565</v>
      </c>
      <c r="AB41" s="12">
        <f t="shared" si="8"/>
        <v>163.87582096438712</v>
      </c>
      <c r="AC41" s="12">
        <f t="shared" si="18"/>
        <v>9231.1853469169091</v>
      </c>
      <c r="AD41" s="12">
        <f t="shared" si="19"/>
        <v>80374.102687716877</v>
      </c>
      <c r="AE41" s="12">
        <f t="shared" si="20"/>
        <v>111418.32818521617</v>
      </c>
      <c r="AF41" s="12">
        <f t="shared" si="21"/>
        <v>2062.4614123220235</v>
      </c>
      <c r="AG41" s="12">
        <f t="shared" si="22"/>
        <v>3717.366096139132</v>
      </c>
      <c r="AH41" s="12">
        <f t="shared" si="23"/>
        <v>112718.12320775262</v>
      </c>
      <c r="AI41" s="12">
        <f t="shared" si="12"/>
        <v>113480.7895975382</v>
      </c>
      <c r="AJ41" s="12">
        <v>0</v>
      </c>
      <c r="AK41" s="12">
        <f t="shared" si="13"/>
        <v>0</v>
      </c>
      <c r="AL41" s="12">
        <f t="shared" si="14"/>
        <v>-1477.3248509486289</v>
      </c>
      <c r="AM41" s="367">
        <f t="shared" si="9"/>
        <v>1.7786376219459887E-2</v>
      </c>
    </row>
    <row r="42" spans="1:39">
      <c r="A42" s="87">
        <v>31</v>
      </c>
      <c r="B42" s="10">
        <f t="shared" si="24"/>
        <v>4.8733914782149813E-2</v>
      </c>
      <c r="C42" s="10">
        <f t="shared" si="26"/>
        <v>0.220359474910341</v>
      </c>
      <c r="D42" s="10">
        <f t="shared" si="27"/>
        <v>1.0738979871719838E-2</v>
      </c>
      <c r="E42" s="10">
        <f t="shared" si="28"/>
        <v>9.1820725229981651E-3</v>
      </c>
      <c r="G42" s="87">
        <v>102</v>
      </c>
      <c r="H42" s="5">
        <f>SUM(D43:D$61)/D43</f>
        <v>2.3680371297360607</v>
      </c>
      <c r="I42" s="10">
        <f t="shared" si="15"/>
        <v>0.88723632715542566</v>
      </c>
      <c r="K42" s="87">
        <v>35</v>
      </c>
      <c r="L42" s="12">
        <f t="shared" si="10"/>
        <v>201351.76077571299</v>
      </c>
      <c r="M42" s="12">
        <f t="shared" si="1"/>
        <v>5693.7910482193565</v>
      </c>
      <c r="N42" s="12">
        <f t="shared" si="11"/>
        <v>163.87582096438712</v>
      </c>
      <c r="O42" s="12">
        <f t="shared" si="2"/>
        <v>10344.083800148399</v>
      </c>
      <c r="P42" s="12">
        <f t="shared" si="3"/>
        <v>97359.225279329083</v>
      </c>
      <c r="Q42" s="12">
        <f t="shared" si="4"/>
        <v>120849.17844921499</v>
      </c>
      <c r="R42" s="12">
        <f t="shared" si="5"/>
        <v>-982.64392542772111</v>
      </c>
      <c r="S42" s="12">
        <f t="shared" si="6"/>
        <v>-13.030249564241689</v>
      </c>
      <c r="T42" s="364">
        <f t="shared" si="7"/>
        <v>238.40096670631755</v>
      </c>
      <c r="U42" s="10">
        <f t="shared" si="0"/>
        <v>2.7344264580807053E-4</v>
      </c>
      <c r="W42" s="87">
        <v>35</v>
      </c>
      <c r="X42" s="12">
        <f t="shared" si="16"/>
        <v>82775.019274305916</v>
      </c>
      <c r="Y42" s="12">
        <f t="shared" si="17"/>
        <v>101615.77476241486</v>
      </c>
      <c r="Z42" s="12">
        <f t="shared" si="25"/>
        <v>212718.12320775271</v>
      </c>
      <c r="AA42" s="12">
        <f t="shared" si="8"/>
        <v>5693.7910482193565</v>
      </c>
      <c r="AB42" s="12">
        <f t="shared" si="8"/>
        <v>163.87582096438712</v>
      </c>
      <c r="AC42" s="12">
        <f t="shared" si="18"/>
        <v>9496.0354631987866</v>
      </c>
      <c r="AD42" s="12">
        <f t="shared" si="19"/>
        <v>89447.906127012218</v>
      </c>
      <c r="AE42" s="12">
        <f t="shared" si="20"/>
        <v>107906.37718784033</v>
      </c>
      <c r="AF42" s="12">
        <f t="shared" si="21"/>
        <v>2062.4614123219653</v>
      </c>
      <c r="AG42" s="12">
        <f t="shared" si="22"/>
        <v>3920.4411885924455</v>
      </c>
      <c r="AH42" s="12">
        <f t="shared" si="23"/>
        <v>116638.56439634507</v>
      </c>
      <c r="AI42" s="12">
        <f t="shared" si="12"/>
        <v>109968.8386001623</v>
      </c>
      <c r="AJ42" s="12">
        <v>0</v>
      </c>
      <c r="AK42" s="12">
        <f t="shared" si="13"/>
        <v>0</v>
      </c>
      <c r="AL42" s="12">
        <f t="shared" si="14"/>
        <v>-1477.3248509486289</v>
      </c>
      <c r="AM42" s="367">
        <f t="shared" si="9"/>
        <v>1.8430217084810963E-2</v>
      </c>
    </row>
    <row r="43" spans="1:39">
      <c r="A43" s="87">
        <v>32</v>
      </c>
      <c r="B43" s="10">
        <f t="shared" si="24"/>
        <v>3.3185127667613785E-2</v>
      </c>
      <c r="C43" s="10">
        <f t="shared" si="26"/>
        <v>0.20986616658127716</v>
      </c>
      <c r="D43" s="10">
        <f t="shared" si="27"/>
        <v>6.9644355311123838E-3</v>
      </c>
      <c r="E43" s="10">
        <f t="shared" si="28"/>
        <v>7.0158254323593357E-3</v>
      </c>
      <c r="G43" s="87">
        <v>103</v>
      </c>
      <c r="H43" s="5">
        <f>SUM(D44:D$61)/D44</f>
        <v>2.2123673013852843</v>
      </c>
      <c r="I43" s="10">
        <f t="shared" si="15"/>
        <v>0.89464917612451034</v>
      </c>
      <c r="K43" s="87">
        <v>36</v>
      </c>
      <c r="L43" s="12">
        <f t="shared" si="10"/>
        <v>208540.31930582356</v>
      </c>
      <c r="M43" s="12">
        <f t="shared" si="1"/>
        <v>5693.7910482193565</v>
      </c>
      <c r="N43" s="12">
        <f t="shared" si="11"/>
        <v>163.87582096438712</v>
      </c>
      <c r="O43" s="12">
        <f t="shared" si="2"/>
        <v>10703.511726653927</v>
      </c>
      <c r="P43" s="12">
        <f t="shared" si="3"/>
        <v>108786.09353836351</v>
      </c>
      <c r="Q43" s="12">
        <f t="shared" si="4"/>
        <v>116860.919298637</v>
      </c>
      <c r="R43" s="12">
        <f t="shared" si="5"/>
        <v>-873.26657726804842</v>
      </c>
      <c r="S43" s="12">
        <f t="shared" si="6"/>
        <v>-6.7105337779521381</v>
      </c>
      <c r="T43" s="364">
        <f t="shared" si="7"/>
        <v>238.18388641233216</v>
      </c>
      <c r="U43" s="10">
        <f t="shared" si="0"/>
        <v>1.3463492508490255E-4</v>
      </c>
      <c r="W43" s="87">
        <v>36</v>
      </c>
      <c r="X43" s="12">
        <f t="shared" si="16"/>
        <v>83878.731175772511</v>
      </c>
      <c r="Y43" s="12">
        <f t="shared" si="17"/>
        <v>105886.20566246692</v>
      </c>
      <c r="Z43" s="12">
        <f t="shared" si="25"/>
        <v>216638.56439634514</v>
      </c>
      <c r="AA43" s="12">
        <f t="shared" si="8"/>
        <v>5693.7910482193565</v>
      </c>
      <c r="AB43" s="12">
        <f t="shared" si="8"/>
        <v>163.87582096438712</v>
      </c>
      <c r="AC43" s="12">
        <f t="shared" si="18"/>
        <v>9764.7426032747208</v>
      </c>
      <c r="AD43" s="12">
        <f t="shared" si="19"/>
        <v>99305.627970171583</v>
      </c>
      <c r="AE43" s="12">
        <f t="shared" si="20"/>
        <v>103691.50528627553</v>
      </c>
      <c r="AF43" s="12">
        <f t="shared" si="21"/>
        <v>2062.4614123220235</v>
      </c>
      <c r="AG43" s="12">
        <f t="shared" si="22"/>
        <v>4168.1689662157241</v>
      </c>
      <c r="AH43" s="12">
        <f t="shared" si="23"/>
        <v>120806.7333625608</v>
      </c>
      <c r="AI43" s="12">
        <f t="shared" si="12"/>
        <v>105753.96669859755</v>
      </c>
      <c r="AJ43" s="12">
        <v>0</v>
      </c>
      <c r="AK43" s="12">
        <f t="shared" si="13"/>
        <v>0</v>
      </c>
      <c r="AL43" s="12">
        <f t="shared" si="14"/>
        <v>-1477.3248509486289</v>
      </c>
      <c r="AM43" s="367">
        <f t="shared" si="9"/>
        <v>1.9240198428336797E-2</v>
      </c>
    </row>
    <row r="44" spans="1:39">
      <c r="A44" s="87">
        <v>33</v>
      </c>
      <c r="B44" s="10">
        <f t="shared" si="24"/>
        <v>2.1546336864902874E-2</v>
      </c>
      <c r="C44" s="10">
        <f t="shared" si="26"/>
        <v>0.19987253960121634</v>
      </c>
      <c r="D44" s="10">
        <f t="shared" si="27"/>
        <v>4.3065210682914469E-3</v>
      </c>
      <c r="E44" s="10">
        <f t="shared" si="28"/>
        <v>5.1265439555740122E-3</v>
      </c>
      <c r="G44" s="87">
        <v>104</v>
      </c>
      <c r="H44" s="5">
        <f>SUM(D45:D$61)/D45</f>
        <v>2.0684279574312248</v>
      </c>
      <c r="I44" s="10">
        <f t="shared" si="15"/>
        <v>0.90150343059851312</v>
      </c>
      <c r="K44" s="161">
        <v>37</v>
      </c>
      <c r="L44" s="364">
        <f t="shared" si="10"/>
        <v>215767.05196347978</v>
      </c>
      <c r="M44" s="364">
        <f t="shared" si="1"/>
        <v>5693.7910482193565</v>
      </c>
      <c r="N44" s="364">
        <f t="shared" si="11"/>
        <v>163.87582096438712</v>
      </c>
      <c r="O44" s="364">
        <f t="shared" si="2"/>
        <v>11064.848359536738</v>
      </c>
      <c r="P44" s="364">
        <f t="shared" si="3"/>
        <v>121148.93603211893</v>
      </c>
      <c r="Q44" s="364">
        <f t="shared" si="4"/>
        <v>111955.40431911587</v>
      </c>
      <c r="R44" s="364">
        <f t="shared" si="5"/>
        <v>-742.52480096332147</v>
      </c>
      <c r="S44" s="364">
        <f t="shared" si="6"/>
        <v>-3.0903335923642397</v>
      </c>
      <c r="T44" s="364">
        <f t="shared" si="7"/>
        <v>238.09300480237636</v>
      </c>
      <c r="U44" s="10">
        <f t="shared" si="0"/>
        <v>6.1438117920468749E-5</v>
      </c>
      <c r="W44" s="87">
        <v>37</v>
      </c>
      <c r="X44" s="12">
        <f t="shared" si="16"/>
        <v>84890.548794904054</v>
      </c>
      <c r="Y44" s="12">
        <f t="shared" si="17"/>
        <v>110369.09630243295</v>
      </c>
      <c r="Z44" s="12">
        <f t="shared" si="25"/>
        <v>220806.73336256086</v>
      </c>
      <c r="AA44" s="12">
        <f t="shared" si="8"/>
        <v>5693.7910482193565</v>
      </c>
      <c r="AB44" s="12">
        <f t="shared" si="8"/>
        <v>163.87582096438712</v>
      </c>
      <c r="AC44" s="12">
        <f t="shared" si="18"/>
        <v>10039.478016229601</v>
      </c>
      <c r="AD44" s="12">
        <f t="shared" si="19"/>
        <v>109969.62980456195</v>
      </c>
      <c r="AE44" s="12">
        <f t="shared" si="20"/>
        <v>98796.9471239376</v>
      </c>
      <c r="AF44" s="12">
        <f t="shared" si="21"/>
        <v>2062.4614123220526</v>
      </c>
      <c r="AG44" s="12">
        <f t="shared" si="22"/>
        <v>4471.5105897993453</v>
      </c>
      <c r="AH44" s="12">
        <f t="shared" si="23"/>
        <v>125278.24395236015</v>
      </c>
      <c r="AI44" s="12">
        <f t="shared" si="12"/>
        <v>100859.40853625965</v>
      </c>
      <c r="AJ44" s="12">
        <v>0</v>
      </c>
      <c r="AK44" s="12">
        <f t="shared" si="13"/>
        <v>0</v>
      </c>
      <c r="AL44" s="12">
        <f t="shared" si="14"/>
        <v>-1477.3248509486289</v>
      </c>
      <c r="AM44" s="367">
        <f t="shared" si="9"/>
        <v>2.0250789102781663E-2</v>
      </c>
    </row>
    <row r="45" spans="1:39">
      <c r="A45" s="87">
        <v>34</v>
      </c>
      <c r="B45" s="10">
        <f t="shared" si="24"/>
        <v>1.3260398021154954E-2</v>
      </c>
      <c r="C45" s="10">
        <f t="shared" si="26"/>
        <v>0.19035479962020604</v>
      </c>
      <c r="D45" s="10">
        <f t="shared" si="27"/>
        <v>2.5241804082011278E-3</v>
      </c>
      <c r="E45" s="10">
        <f t="shared" si="28"/>
        <v>3.5628136957911324E-3</v>
      </c>
      <c r="G45" s="87">
        <v>105</v>
      </c>
      <c r="H45" s="5">
        <f>SUM(D46:D$61)/D46</f>
        <v>1.9358908829172514</v>
      </c>
      <c r="I45" s="10">
        <f t="shared" si="15"/>
        <v>0.90781471986108331</v>
      </c>
      <c r="K45" s="161">
        <v>38</v>
      </c>
      <c r="L45" s="364">
        <f t="shared" si="10"/>
        <v>223034.58243162185</v>
      </c>
      <c r="M45" s="364">
        <f t="shared" si="1"/>
        <v>5693.7910482193565</v>
      </c>
      <c r="N45" s="364">
        <f t="shared" si="11"/>
        <v>163.87582096438712</v>
      </c>
      <c r="O45" s="364">
        <f t="shared" si="2"/>
        <v>11428.224882943841</v>
      </c>
      <c r="P45" s="364">
        <f t="shared" si="3"/>
        <v>134426.63419953594</v>
      </c>
      <c r="Q45" s="364">
        <f t="shared" si="4"/>
        <v>106157.06654601407</v>
      </c>
      <c r="R45" s="364">
        <f t="shared" si="5"/>
        <v>-590.97820372934802</v>
      </c>
      <c r="S45" s="364">
        <f t="shared" si="6"/>
        <v>-1.2346353789413509</v>
      </c>
      <c r="T45" s="364">
        <f t="shared" si="7"/>
        <v>238.05999699458621</v>
      </c>
      <c r="U45" s="10">
        <f t="shared" si="0"/>
        <v>2.5740285221967929E-5</v>
      </c>
      <c r="W45" s="87">
        <v>38</v>
      </c>
      <c r="X45" s="12">
        <f t="shared" si="16"/>
        <v>85813.784386547195</v>
      </c>
      <c r="Y45" s="12">
        <f t="shared" si="17"/>
        <v>115115.65000739461</v>
      </c>
      <c r="Z45" s="12">
        <f t="shared" si="25"/>
        <v>225278.24395236021</v>
      </c>
      <c r="AA45" s="12">
        <f t="shared" si="8"/>
        <v>5693.7910482193565</v>
      </c>
      <c r="AB45" s="12">
        <f t="shared" si="8"/>
        <v>163.87582096438712</v>
      </c>
      <c r="AC45" s="12">
        <f t="shared" si="18"/>
        <v>10322.967481059839</v>
      </c>
      <c r="AD45" s="12">
        <f t="shared" si="19"/>
        <v>121456.72247836809</v>
      </c>
      <c r="AE45" s="12">
        <f t="shared" si="20"/>
        <v>93263.133211566485</v>
      </c>
      <c r="AF45" s="12">
        <f t="shared" si="21"/>
        <v>2062.4614123220381</v>
      </c>
      <c r="AG45" s="12">
        <f t="shared" si="22"/>
        <v>4845.0654833447752</v>
      </c>
      <c r="AH45" s="12">
        <f t="shared" si="23"/>
        <v>130123.30943570493</v>
      </c>
      <c r="AI45" s="12">
        <f t="shared" si="12"/>
        <v>95325.594623888523</v>
      </c>
      <c r="AJ45" s="12">
        <v>0</v>
      </c>
      <c r="AK45" s="12">
        <f t="shared" si="13"/>
        <v>0</v>
      </c>
      <c r="AL45" s="12">
        <f t="shared" si="14"/>
        <v>-1477.3248509486289</v>
      </c>
      <c r="AM45" s="367">
        <f t="shared" si="9"/>
        <v>2.1507027923963085E-2</v>
      </c>
    </row>
    <row r="46" spans="1:39">
      <c r="A46" s="87">
        <v>35</v>
      </c>
      <c r="B46" s="10">
        <f t="shared" si="24"/>
        <v>7.6844046853889215E-3</v>
      </c>
      <c r="C46" s="10">
        <f t="shared" si="26"/>
        <v>0.18129028535257716</v>
      </c>
      <c r="D46" s="10">
        <f t="shared" si="27"/>
        <v>1.3931079181788385E-3</v>
      </c>
      <c r="E46" s="10">
        <f t="shared" si="28"/>
        <v>2.3404976095973561E-3</v>
      </c>
      <c r="G46" s="87">
        <v>106</v>
      </c>
      <c r="H46" s="5">
        <f>SUM(D47:D$61)/D47</f>
        <v>1.8143887526935978</v>
      </c>
      <c r="I46" s="10">
        <f t="shared" si="15"/>
        <v>0.91360053558601917</v>
      </c>
      <c r="K46" s="161">
        <v>39</v>
      </c>
      <c r="L46" s="364">
        <f t="shared" si="10"/>
        <v>230346.05152276356</v>
      </c>
      <c r="M46" s="364">
        <f t="shared" si="1"/>
        <v>5693.7910482193565</v>
      </c>
      <c r="N46" s="364">
        <f t="shared" si="11"/>
        <v>163.87582096438712</v>
      </c>
      <c r="O46" s="364">
        <f t="shared" si="2"/>
        <v>11793.798337500928</v>
      </c>
      <c r="P46" s="364">
        <f t="shared" si="3"/>
        <v>148571.80399700682</v>
      </c>
      <c r="Q46" s="364">
        <f t="shared" si="4"/>
        <v>99517.815618642111</v>
      </c>
      <c r="R46" s="364">
        <f t="shared" si="5"/>
        <v>-419.85452812947915</v>
      </c>
      <c r="S46" s="364">
        <f t="shared" si="6"/>
        <v>-0.40423529680555387</v>
      </c>
      <c r="T46" s="364">
        <f t="shared" si="7"/>
        <v>238.05017228976277</v>
      </c>
      <c r="U46" s="10">
        <f t="shared" si="0"/>
        <v>9.7967743086298117E-6</v>
      </c>
      <c r="W46" s="87">
        <v>39</v>
      </c>
      <c r="X46" s="12">
        <f t="shared" si="16"/>
        <v>86651.934941967644</v>
      </c>
      <c r="Y46" s="12">
        <f t="shared" si="17"/>
        <v>120191.33084434336</v>
      </c>
      <c r="Z46" s="12">
        <f t="shared" si="25"/>
        <v>230123.30943570498</v>
      </c>
      <c r="AA46" s="12">
        <f t="shared" si="8"/>
        <v>5693.7910482193565</v>
      </c>
      <c r="AB46" s="12">
        <f t="shared" si="8"/>
        <v>163.87582096438712</v>
      </c>
      <c r="AC46" s="12">
        <f t="shared" si="18"/>
        <v>10618.6590506783</v>
      </c>
      <c r="AD46" s="12">
        <f t="shared" si="19"/>
        <v>133779.67078209086</v>
      </c>
      <c r="AE46" s="12">
        <f t="shared" si="20"/>
        <v>87149.707869831371</v>
      </c>
      <c r="AF46" s="12">
        <f t="shared" si="21"/>
        <v>2062.4614123220526</v>
      </c>
      <c r="AG46" s="12">
        <f t="shared" si="22"/>
        <v>5308.5470300248371</v>
      </c>
      <c r="AH46" s="12">
        <f t="shared" si="23"/>
        <v>135431.85646572977</v>
      </c>
      <c r="AI46" s="12">
        <f t="shared" si="12"/>
        <v>89212.169282153423</v>
      </c>
      <c r="AJ46" s="12">
        <v>0</v>
      </c>
      <c r="AK46" s="12">
        <f t="shared" si="13"/>
        <v>0</v>
      </c>
      <c r="AL46" s="12">
        <f t="shared" si="14"/>
        <v>-1477.3248509486289</v>
      </c>
      <c r="AM46" s="367">
        <f t="shared" si="9"/>
        <v>2.3068271715030342E-2</v>
      </c>
    </row>
    <row r="47" spans="1:39">
      <c r="A47" s="87">
        <v>36</v>
      </c>
      <c r="B47" s="10">
        <f t="shared" si="24"/>
        <v>4.1619264277165781E-3</v>
      </c>
      <c r="C47" s="10">
        <f t="shared" si="26"/>
        <v>0.17265741462150208</v>
      </c>
      <c r="D47" s="10">
        <f t="shared" si="27"/>
        <v>7.1858745685444828E-4</v>
      </c>
      <c r="E47" s="10">
        <f t="shared" si="28"/>
        <v>1.443340650438457E-3</v>
      </c>
      <c r="G47" s="87">
        <v>107</v>
      </c>
      <c r="H47" s="5">
        <f>SUM(D48:D$61)/D48</f>
        <v>1.7035238211467285</v>
      </c>
      <c r="I47" s="10">
        <f t="shared" si="15"/>
        <v>0.91887981804063201</v>
      </c>
      <c r="K47" s="161">
        <v>40</v>
      </c>
      <c r="L47" s="364">
        <f t="shared" si="10"/>
        <v>237705.04620768875</v>
      </c>
      <c r="M47" s="364">
        <f t="shared" si="1"/>
        <v>5693.7910482193565</v>
      </c>
      <c r="N47" s="364">
        <f t="shared" si="11"/>
        <v>163.87582096438712</v>
      </c>
      <c r="O47" s="364">
        <f t="shared" si="2"/>
        <v>12161.748071747186</v>
      </c>
      <c r="P47" s="364">
        <f t="shared" si="3"/>
        <v>163507.39039972334</v>
      </c>
      <c r="Q47" s="364">
        <f t="shared" si="4"/>
        <v>92120.452729235752</v>
      </c>
      <c r="R47" s="364">
        <f t="shared" si="5"/>
        <v>-231.13362226818572</v>
      </c>
      <c r="S47" s="364">
        <f t="shared" si="6"/>
        <v>-9.3166750836604528E-2</v>
      </c>
      <c r="T47" s="364">
        <f t="shared" si="7"/>
        <v>238.04811377709686</v>
      </c>
      <c r="U47" s="10">
        <f t="shared" si="0"/>
        <v>3.3471535867981425E-6</v>
      </c>
      <c r="W47" s="87">
        <v>40</v>
      </c>
      <c r="X47" s="12">
        <f t="shared" si="16"/>
        <v>87408.620289620027</v>
      </c>
      <c r="Y47" s="12">
        <f t="shared" si="17"/>
        <v>125680.69130425293</v>
      </c>
      <c r="Z47" s="12">
        <f t="shared" si="25"/>
        <v>235431.85646572983</v>
      </c>
      <c r="AA47" s="12">
        <f t="shared" si="8"/>
        <v>5693.7910482193565</v>
      </c>
      <c r="AB47" s="12">
        <f t="shared" si="8"/>
        <v>163.87582096438712</v>
      </c>
      <c r="AC47" s="12">
        <f t="shared" si="18"/>
        <v>10930.961341056398</v>
      </c>
      <c r="AD47" s="12">
        <f t="shared" si="19"/>
        <v>146950.76934567449</v>
      </c>
      <c r="AE47" s="12">
        <f t="shared" si="20"/>
        <v>80536.957404187779</v>
      </c>
      <c r="AF47" s="12">
        <f t="shared" si="21"/>
        <v>2062.4614123220526</v>
      </c>
      <c r="AG47" s="12">
        <f t="shared" si="22"/>
        <v>5888.9769041167965</v>
      </c>
      <c r="AH47" s="12">
        <f t="shared" si="23"/>
        <v>141320.83336984657</v>
      </c>
      <c r="AI47" s="12">
        <f t="shared" si="12"/>
        <v>82599.418816509831</v>
      </c>
      <c r="AJ47" s="12">
        <v>0</v>
      </c>
      <c r="AK47" s="12">
        <f t="shared" si="13"/>
        <v>0</v>
      </c>
      <c r="AL47" s="12">
        <f t="shared" si="14"/>
        <v>-1477.3248509486289</v>
      </c>
      <c r="AM47" s="367">
        <f t="shared" si="9"/>
        <v>2.5013509184871108E-2</v>
      </c>
    </row>
    <row r="48" spans="1:39">
      <c r="A48" s="87">
        <v>37</v>
      </c>
      <c r="B48" s="10">
        <f t="shared" si="24"/>
        <v>2.0891386029979211E-3</v>
      </c>
      <c r="C48" s="10">
        <f t="shared" si="26"/>
        <v>0.1644356329728591</v>
      </c>
      <c r="D48" s="10">
        <f t="shared" si="27"/>
        <v>3.4352882855199774E-4</v>
      </c>
      <c r="E48" s="10">
        <f t="shared" si="28"/>
        <v>8.2910576994231011E-4</v>
      </c>
      <c r="G48" s="87">
        <v>108</v>
      </c>
      <c r="H48" s="5">
        <f>SUM(D49:D$61)/D49</f>
        <v>1.6028761589532887</v>
      </c>
      <c r="I48" s="10">
        <f t="shared" si="15"/>
        <v>0.92367256385936725</v>
      </c>
      <c r="K48" s="87">
        <v>41</v>
      </c>
      <c r="L48" s="12">
        <f t="shared" si="10"/>
        <v>245115.53723430249</v>
      </c>
      <c r="U48"/>
      <c r="W48" s="87">
        <v>41</v>
      </c>
      <c r="X48" s="12">
        <f t="shared" si="16"/>
        <v>88087.530924055012</v>
      </c>
      <c r="Y48" s="12">
        <f t="shared" si="17"/>
        <v>131694.29079537373</v>
      </c>
      <c r="Z48" s="12">
        <f t="shared" si="25"/>
        <v>241320.83336984663</v>
      </c>
    </row>
    <row r="49" spans="1:38">
      <c r="A49" s="87">
        <v>38</v>
      </c>
      <c r="B49" s="10">
        <f t="shared" si="24"/>
        <v>9.6279846880891926E-4</v>
      </c>
      <c r="C49" s="10">
        <f t="shared" si="26"/>
        <v>0.15660536473605632</v>
      </c>
      <c r="D49" s="10">
        <f t="shared" si="27"/>
        <v>1.5077940537513735E-4</v>
      </c>
      <c r="E49" s="10">
        <f t="shared" si="28"/>
        <v>4.3980403974051911E-4</v>
      </c>
      <c r="G49" s="87">
        <v>109</v>
      </c>
      <c r="H49" s="5">
        <f>SUM(D50:D$61)/D50</f>
        <v>1.5120110861275136</v>
      </c>
      <c r="I49" s="10">
        <f t="shared" si="15"/>
        <v>0.927999472089166</v>
      </c>
      <c r="U49" s="10">
        <f>SUM(U7:U47)</f>
        <v>8.5697135129829309</v>
      </c>
      <c r="AK49" s="57" t="s">
        <v>786</v>
      </c>
      <c r="AL49" s="370">
        <f>AL47/U51</f>
        <v>-3.0276674686015227E-2</v>
      </c>
    </row>
    <row r="50" spans="1:38">
      <c r="A50" s="87">
        <v>39</v>
      </c>
      <c r="B50" s="10">
        <f t="shared" si="24"/>
        <v>4.0308610198001654E-4</v>
      </c>
      <c r="C50" s="10">
        <f t="shared" si="26"/>
        <v>0.14914796641529171</v>
      </c>
      <c r="D50" s="10">
        <f t="shared" si="27"/>
        <v>6.0119472400586353E-5</v>
      </c>
      <c r="E50" s="10">
        <f t="shared" si="28"/>
        <v>2.1334826916362035E-4</v>
      </c>
      <c r="G50" s="87">
        <v>110</v>
      </c>
      <c r="H50" s="5">
        <f>SUM(D51:D$61)/D51</f>
        <v>1.4304854368843776</v>
      </c>
      <c r="I50" s="10">
        <f t="shared" si="15"/>
        <v>0.93188164586264866</v>
      </c>
      <c r="U50"/>
    </row>
    <row r="51" spans="1:38">
      <c r="A51" s="87">
        <v>40</v>
      </c>
      <c r="B51" s="10">
        <f t="shared" si="24"/>
        <v>1.5148967961083434E-4</v>
      </c>
      <c r="C51" s="10">
        <f t="shared" si="26"/>
        <v>0.14204568230027784</v>
      </c>
      <c r="D51" s="10">
        <f t="shared" si="27"/>
        <v>2.151845490177145E-5</v>
      </c>
      <c r="E51" s="10">
        <f t="shared" si="28"/>
        <v>9.3618838518362544E-5</v>
      </c>
      <c r="G51" s="87">
        <v>111</v>
      </c>
      <c r="H51" s="5">
        <f>SUM(D52:D$61)/D52</f>
        <v>1.357852278030097</v>
      </c>
      <c r="I51" s="10">
        <f t="shared" si="15"/>
        <v>0.93534036771285256</v>
      </c>
      <c r="S51" s="340" t="s">
        <v>772</v>
      </c>
      <c r="U51" s="12">
        <f>D63*U49</f>
        <v>48794.158086026669</v>
      </c>
    </row>
    <row r="52" spans="1:38">
      <c r="A52" s="87">
        <v>41</v>
      </c>
      <c r="B52" s="10">
        <f t="shared" si="24"/>
        <v>5.042875949335321E-5</v>
      </c>
      <c r="C52" s="10">
        <f t="shared" si="26"/>
        <v>0.13528160219074079</v>
      </c>
      <c r="D52" s="10">
        <f t="shared" si="27"/>
        <v>6.8220833807523522E-6</v>
      </c>
      <c r="E52" s="10">
        <f t="shared" si="28"/>
        <v>3.6709342149738646E-5</v>
      </c>
      <c r="G52" s="87">
        <v>112</v>
      </c>
      <c r="H52" s="5">
        <f>SUM(D53:D$61)/D53</f>
        <v>1.2936636947324154</v>
      </c>
      <c r="I52" s="10">
        <f t="shared" si="15"/>
        <v>0.93839696691750407</v>
      </c>
      <c r="S52" s="81" t="s">
        <v>786</v>
      </c>
      <c r="T52" s="100"/>
      <c r="U52" s="348">
        <f>T47/U51</f>
        <v>4.8786191444763838E-3</v>
      </c>
    </row>
    <row r="53" spans="1:38">
      <c r="A53" s="87">
        <v>42</v>
      </c>
      <c r="B53" s="10">
        <f t="shared" si="24"/>
        <v>1.4647043789842214E-5</v>
      </c>
      <c r="C53" s="10">
        <f t="shared" si="26"/>
        <v>0.12883962113403885</v>
      </c>
      <c r="D53" s="10">
        <f t="shared" si="27"/>
        <v>1.8871195726169474E-6</v>
      </c>
      <c r="E53" s="10">
        <f t="shared" si="28"/>
        <v>1.2687880537905511E-5</v>
      </c>
      <c r="G53" s="87">
        <v>113</v>
      </c>
      <c r="H53" s="5">
        <f>SUM(D54:D$61)/D54</f>
        <v>1.23747127031857</v>
      </c>
      <c r="I53" s="10">
        <f t="shared" si="15"/>
        <v>0.94107279665149668</v>
      </c>
      <c r="U53"/>
    </row>
    <row r="54" spans="1:38">
      <c r="A54" s="87">
        <v>43</v>
      </c>
      <c r="B54" s="10">
        <f t="shared" si="24"/>
        <v>3.6496768485635139E-6</v>
      </c>
      <c r="C54" s="10">
        <f t="shared" si="26"/>
        <v>0.12270440108003698</v>
      </c>
      <c r="D54" s="10">
        <f t="shared" si="27"/>
        <v>4.4783141183866282E-7</v>
      </c>
      <c r="E54" s="10">
        <f t="shared" si="28"/>
        <v>3.8067223552599483E-6</v>
      </c>
      <c r="G54" s="87">
        <v>114</v>
      </c>
      <c r="H54" s="5">
        <f>SUM(D55:D$61)/D55</f>
        <v>1.1888239468170434</v>
      </c>
      <c r="I54" s="10">
        <f t="shared" si="15"/>
        <v>0.94338933586585505</v>
      </c>
      <c r="U54"/>
    </row>
    <row r="55" spans="1:38">
      <c r="A55" s="87">
        <v>44</v>
      </c>
      <c r="B55" s="10">
        <f t="shared" si="24"/>
        <v>7.6548598284144051E-7</v>
      </c>
      <c r="C55" s="10">
        <f t="shared" si="26"/>
        <v>0.11686133436193999</v>
      </c>
      <c r="D55" s="10">
        <f t="shared" si="27"/>
        <v>8.9455713390211835E-8</v>
      </c>
      <c r="E55" s="10">
        <f t="shared" si="28"/>
        <v>9.7458797803110577E-7</v>
      </c>
      <c r="G55" s="87">
        <v>115</v>
      </c>
      <c r="H55" s="5">
        <f>SUM(D56:D$61)/D56</f>
        <v>1.1472630904730012</v>
      </c>
      <c r="I55" s="10">
        <f t="shared" si="15"/>
        <v>0.94536842426319045</v>
      </c>
      <c r="U55"/>
    </row>
    <row r="56" spans="1:38">
      <c r="A56" s="87">
        <v>45</v>
      </c>
      <c r="B56" s="10">
        <f t="shared" si="24"/>
        <v>1.322880427333667E-7</v>
      </c>
      <c r="C56" s="10">
        <f t="shared" si="26"/>
        <v>0.1112965089161333</v>
      </c>
      <c r="D56" s="10">
        <f t="shared" si="27"/>
        <v>1.472319732757197E-8</v>
      </c>
      <c r="E56" s="10">
        <f t="shared" si="28"/>
        <v>2.0886761729573698E-7</v>
      </c>
      <c r="G56" s="87">
        <v>116</v>
      </c>
      <c r="H56" s="5">
        <f>SUM(D57:D$61)/D57</f>
        <v>1.1123147040305734</v>
      </c>
      <c r="I56" s="10">
        <f t="shared" si="15"/>
        <v>0.94703263314140129</v>
      </c>
      <c r="U56"/>
    </row>
    <row r="57" spans="1:38">
      <c r="A57" s="87">
        <v>46</v>
      </c>
      <c r="B57" s="10">
        <f t="shared" si="24"/>
        <v>1.8389762566021821E-8</v>
      </c>
      <c r="C57" s="10">
        <f t="shared" si="26"/>
        <v>0.10599667515822221</v>
      </c>
      <c r="D57" s="10">
        <f t="shared" si="27"/>
        <v>1.9492536889474501E-9</v>
      </c>
      <c r="E57" s="10">
        <f t="shared" si="28"/>
        <v>3.6676117195696988E-8</v>
      </c>
      <c r="G57" s="87">
        <v>117</v>
      </c>
      <c r="H57" s="5">
        <f>SUM(D58:D$61)/D58</f>
        <v>1.0834768876968608</v>
      </c>
      <c r="I57" s="10">
        <f t="shared" si="15"/>
        <v>0.94840586249062564</v>
      </c>
      <c r="U57"/>
    </row>
    <row r="58" spans="1:38">
      <c r="A58" s="87">
        <v>47</v>
      </c>
      <c r="B58" s="10">
        <f t="shared" si="24"/>
        <v>2.0016234784620456E-9</v>
      </c>
      <c r="C58" s="10">
        <f t="shared" si="26"/>
        <v>0.10094921443640208</v>
      </c>
      <c r="D58" s="10">
        <f t="shared" si="27"/>
        <v>2.0206231774820206E-10</v>
      </c>
      <c r="E58" s="10">
        <f t="shared" si="28"/>
        <v>5.1514607230443127E-9</v>
      </c>
      <c r="G58" s="87">
        <v>118</v>
      </c>
      <c r="H58" s="5">
        <f>SUM(D59:D$61)/D59</f>
        <v>1.0601649913759992</v>
      </c>
      <c r="I58" s="10">
        <f t="shared" si="15"/>
        <v>0.94951595279161904</v>
      </c>
      <c r="K58" s="87"/>
      <c r="L58" s="87"/>
      <c r="M58" s="87"/>
      <c r="N58" s="12"/>
      <c r="O58" s="12"/>
      <c r="P58" s="12"/>
      <c r="Q58" s="12"/>
      <c r="R58" s="82"/>
      <c r="S58" s="12"/>
      <c r="T58" s="12"/>
      <c r="U58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</row>
    <row r="59" spans="1:38">
      <c r="A59" s="87">
        <v>48</v>
      </c>
      <c r="B59" s="10">
        <f t="shared" si="24"/>
        <v>1.6548722573022758E-10</v>
      </c>
      <c r="C59" s="10">
        <f t="shared" si="26"/>
        <v>9.6142108987049613E-2</v>
      </c>
      <c r="D59" s="10">
        <f t="shared" si="27"/>
        <v>1.5910290892120022E-11</v>
      </c>
      <c r="E59" s="10">
        <f t="shared" si="28"/>
        <v>5.6343033220305578E-10</v>
      </c>
      <c r="G59" s="87">
        <v>119</v>
      </c>
      <c r="H59" s="5">
        <f>SUM(D60:D$61)/D60</f>
        <v>1.0408396845642858</v>
      </c>
      <c r="I59" s="10">
        <f t="shared" si="15"/>
        <v>0.95043620549693875</v>
      </c>
      <c r="K59" s="87"/>
      <c r="L59" s="87"/>
      <c r="M59" s="87"/>
      <c r="N59" s="12"/>
      <c r="O59" s="12"/>
      <c r="P59" s="12"/>
      <c r="Q59" s="12"/>
      <c r="R59" s="82"/>
      <c r="U59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</row>
    <row r="60" spans="1:38">
      <c r="A60" s="87">
        <v>49</v>
      </c>
      <c r="B60" s="10">
        <f t="shared" si="24"/>
        <v>1.0044163898995098E-11</v>
      </c>
      <c r="C60" s="10">
        <f t="shared" si="26"/>
        <v>9.1563913320999626E-2</v>
      </c>
      <c r="D60" s="10">
        <f t="shared" si="27"/>
        <v>9.196829526295008E-13</v>
      </c>
      <c r="E60" s="10">
        <f t="shared" si="28"/>
        <v>4.6563029260531089E-11</v>
      </c>
      <c r="G60" s="87">
        <v>120</v>
      </c>
      <c r="H60" s="5">
        <f>SUM(D61:D$61)/D61</f>
        <v>1</v>
      </c>
      <c r="I60" s="10">
        <f t="shared" si="15"/>
        <v>0.95238095238095233</v>
      </c>
      <c r="K60" s="87"/>
      <c r="L60" s="87"/>
      <c r="M60" s="87"/>
      <c r="N60" s="12"/>
      <c r="O60" s="12"/>
      <c r="P60" s="12"/>
      <c r="Q60" s="12"/>
      <c r="R60" s="82"/>
      <c r="U60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</row>
    <row r="61" spans="1:38">
      <c r="A61" s="87">
        <v>50</v>
      </c>
      <c r="B61" s="10">
        <f t="shared" si="24"/>
        <v>4.3071050961429317E-13</v>
      </c>
      <c r="C61" s="10">
        <f t="shared" si="26"/>
        <v>8.7203726972380588E-2</v>
      </c>
      <c r="D61" s="10">
        <f t="shared" si="27"/>
        <v>3.7559561684539727E-14</v>
      </c>
      <c r="E61" s="10">
        <f t="shared" si="28"/>
        <v>2.811149067616886E-12</v>
      </c>
      <c r="G61" s="87"/>
      <c r="H61" s="87"/>
      <c r="I61" s="87"/>
      <c r="K61" s="87"/>
      <c r="L61" s="87"/>
      <c r="M61" s="87"/>
      <c r="N61" s="12"/>
      <c r="O61" s="12"/>
      <c r="P61" s="12"/>
      <c r="Q61" s="12"/>
      <c r="R61" s="82"/>
      <c r="U61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</row>
    <row r="62" spans="1:38">
      <c r="D62" s="5">
        <f>SUM(D11:D61)</f>
        <v>12.008303465592858</v>
      </c>
      <c r="E62" s="10">
        <f>SUM(E12:E61)</f>
        <v>0.62902501379913334</v>
      </c>
      <c r="G62" s="87"/>
      <c r="H62" s="87"/>
      <c r="I62" s="87"/>
      <c r="K62" s="87"/>
      <c r="L62" s="87"/>
      <c r="M62" s="87"/>
      <c r="N62" s="12"/>
      <c r="O62" s="12"/>
      <c r="P62" s="12"/>
      <c r="Q62" s="12"/>
      <c r="R62" s="82"/>
      <c r="S62" s="12"/>
      <c r="T62" s="12"/>
      <c r="U62" s="10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</row>
    <row r="63" spans="1:38">
      <c r="C63" s="9" t="s">
        <v>101</v>
      </c>
      <c r="D63" s="81">
        <f>(200+50*D62+100000*E62)/(D62*0.98-0.58)</f>
        <v>5693.7910482193565</v>
      </c>
      <c r="E63" s="87"/>
      <c r="G63" s="87"/>
      <c r="H63" s="87"/>
      <c r="I63" s="87"/>
      <c r="K63" s="87"/>
      <c r="L63" s="87"/>
      <c r="M63" s="87"/>
      <c r="N63" s="12"/>
      <c r="O63" s="12"/>
      <c r="P63" s="12"/>
      <c r="Q63" s="12"/>
      <c r="R63" s="82"/>
      <c r="S63" s="12"/>
      <c r="T63" s="12"/>
      <c r="U63" s="10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</row>
    <row r="64" spans="1:38">
      <c r="C64" s="9" t="s">
        <v>802</v>
      </c>
      <c r="D64" s="12">
        <f>100000*E62</f>
        <v>62902.50137991333</v>
      </c>
      <c r="E64" s="87"/>
      <c r="G64" s="87"/>
      <c r="H64" s="87"/>
      <c r="I64" s="87"/>
      <c r="K64" s="87"/>
      <c r="L64" s="87"/>
      <c r="M64" s="87"/>
      <c r="N64" s="12"/>
      <c r="O64" s="12"/>
      <c r="P64" s="12"/>
      <c r="Q64" s="12"/>
      <c r="R64" s="82"/>
      <c r="S64" s="12"/>
      <c r="T64" s="12"/>
      <c r="U64" s="10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</row>
    <row r="65" spans="3:38">
      <c r="C65" s="9" t="s">
        <v>809</v>
      </c>
      <c r="D65" s="12">
        <f>200+50*D62</f>
        <v>800.41517327964289</v>
      </c>
      <c r="E65" s="87"/>
      <c r="G65" s="87"/>
      <c r="H65" s="87"/>
      <c r="I65" s="87"/>
      <c r="K65" s="87"/>
      <c r="L65" s="87"/>
      <c r="M65" s="87"/>
      <c r="N65" s="12"/>
      <c r="O65" s="12"/>
      <c r="P65" s="12"/>
      <c r="Q65" s="12"/>
      <c r="R65" s="82"/>
      <c r="S65" s="12"/>
      <c r="T65" s="12"/>
      <c r="U65" s="10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</row>
    <row r="66" spans="3:38">
      <c r="C66" s="9" t="s">
        <v>808</v>
      </c>
      <c r="D66" s="10">
        <f>0.02*D62+0.58</f>
        <v>0.82016606931185709</v>
      </c>
      <c r="E66" s="87"/>
      <c r="G66" s="87"/>
      <c r="H66" s="87"/>
      <c r="I66" s="87"/>
      <c r="K66" s="87"/>
      <c r="L66" s="87"/>
      <c r="M66" s="87"/>
      <c r="N66" s="12"/>
      <c r="O66" s="12"/>
      <c r="P66" s="12"/>
      <c r="Q66" s="12"/>
      <c r="R66" s="82"/>
      <c r="S66" s="12"/>
      <c r="T66" s="12"/>
      <c r="U66" s="10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</row>
    <row r="67" spans="3:38">
      <c r="D67" s="87"/>
      <c r="E67" s="87"/>
      <c r="G67" s="87"/>
      <c r="H67" s="87"/>
      <c r="I67" s="87"/>
      <c r="K67" s="87"/>
      <c r="L67" s="87"/>
      <c r="M67" s="87"/>
      <c r="N67" s="12"/>
      <c r="O67" s="12"/>
      <c r="P67" s="12"/>
      <c r="Q67" s="12"/>
      <c r="R67" s="82"/>
      <c r="S67" s="12"/>
      <c r="T67" s="12"/>
      <c r="U67" s="10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</row>
    <row r="68" spans="3:38">
      <c r="D68" s="87"/>
      <c r="E68" s="87"/>
      <c r="G68" s="87"/>
      <c r="H68" s="87"/>
      <c r="I68" s="87"/>
      <c r="K68" s="87"/>
      <c r="L68" s="87"/>
      <c r="M68" s="87"/>
      <c r="N68" s="12"/>
      <c r="O68" s="12"/>
      <c r="P68" s="12"/>
      <c r="Q68" s="12"/>
      <c r="R68" s="82"/>
      <c r="S68" s="12"/>
      <c r="T68" s="12"/>
      <c r="U68" s="10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</row>
    <row r="69" spans="3:38">
      <c r="D69" s="87"/>
      <c r="E69" s="87"/>
      <c r="G69" s="87"/>
      <c r="H69" s="87"/>
      <c r="I69" s="87"/>
      <c r="K69" s="87"/>
      <c r="L69" s="87"/>
      <c r="M69" s="87"/>
      <c r="N69" s="12"/>
      <c r="O69" s="12"/>
      <c r="P69" s="12"/>
      <c r="Q69" s="12"/>
      <c r="R69" s="82"/>
      <c r="S69" s="12"/>
      <c r="T69" s="12"/>
      <c r="U69" s="10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</row>
    <row r="70" spans="3:38">
      <c r="D70" s="87"/>
      <c r="E70" s="87"/>
      <c r="G70" s="87"/>
      <c r="H70" s="87"/>
      <c r="I70" s="87"/>
      <c r="K70" s="87"/>
      <c r="L70" s="87"/>
      <c r="M70" s="87"/>
      <c r="N70" s="12"/>
      <c r="O70" s="12"/>
      <c r="P70" s="12"/>
      <c r="Q70" s="12"/>
      <c r="R70" s="82"/>
      <c r="S70" s="12"/>
      <c r="T70" s="12"/>
      <c r="U70" s="10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</row>
    <row r="71" spans="3:38">
      <c r="D71" s="87"/>
      <c r="E71" s="87"/>
      <c r="G71" s="87"/>
      <c r="H71" s="87"/>
      <c r="I71" s="87"/>
      <c r="K71" s="87"/>
      <c r="L71" s="87"/>
      <c r="M71" s="87"/>
      <c r="N71" s="12"/>
      <c r="O71" s="12"/>
      <c r="P71" s="12"/>
      <c r="Q71" s="12"/>
      <c r="R71" s="82"/>
      <c r="S71" s="12"/>
      <c r="T71" s="12"/>
      <c r="U71" s="10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</row>
    <row r="72" spans="3:38">
      <c r="D72" s="87"/>
      <c r="E72" s="87"/>
      <c r="G72" s="87"/>
      <c r="H72" s="87"/>
      <c r="I72" s="87"/>
      <c r="K72" s="87"/>
      <c r="L72" s="87"/>
      <c r="M72" s="87"/>
      <c r="N72" s="12"/>
      <c r="O72" s="12"/>
      <c r="P72" s="12"/>
      <c r="Q72" s="12"/>
      <c r="R72" s="82"/>
      <c r="S72" s="12"/>
      <c r="T72" s="12"/>
      <c r="U72" s="10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</row>
    <row r="73" spans="3:38">
      <c r="D73" s="87"/>
      <c r="E73" s="87"/>
      <c r="G73" s="87"/>
      <c r="H73" s="87"/>
      <c r="I73" s="87"/>
      <c r="K73" s="87"/>
      <c r="L73" s="87"/>
      <c r="M73" s="87"/>
      <c r="N73" s="12"/>
      <c r="O73" s="12"/>
      <c r="P73" s="12"/>
      <c r="Q73" s="12"/>
      <c r="R73" s="82"/>
      <c r="S73" s="12"/>
      <c r="T73" s="12"/>
      <c r="U73" s="10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"/>
  <sheetViews>
    <sheetView zoomScale="125" zoomScaleNormal="125" zoomScalePageLayoutView="125" workbookViewId="0"/>
  </sheetViews>
  <sheetFormatPr baseColWidth="10" defaultRowHeight="12" x14ac:dyDescent="0"/>
  <cols>
    <col min="2" max="6" width="14.1640625" customWidth="1"/>
  </cols>
  <sheetData>
    <row r="1" spans="1:9" ht="15">
      <c r="A1" s="70" t="s">
        <v>720</v>
      </c>
      <c r="B1" s="19"/>
      <c r="C1" s="19"/>
      <c r="D1" s="19"/>
      <c r="E1" s="19"/>
      <c r="F1" s="87"/>
    </row>
    <row r="2" spans="1:9">
      <c r="A2" s="87"/>
      <c r="B2" s="19"/>
      <c r="C2" s="19"/>
      <c r="D2" s="19"/>
      <c r="E2" s="19"/>
      <c r="F2" s="87"/>
    </row>
    <row r="3" spans="1:9">
      <c r="A3" s="331" t="s">
        <v>279</v>
      </c>
      <c r="C3" s="19"/>
      <c r="D3" s="19"/>
      <c r="E3" s="19"/>
      <c r="F3" s="87"/>
    </row>
    <row r="4" spans="1:9">
      <c r="B4" s="19" t="s">
        <v>370</v>
      </c>
    </row>
    <row r="5" spans="1:9">
      <c r="A5" s="87" t="s">
        <v>368</v>
      </c>
      <c r="B5" s="87" t="s">
        <v>581</v>
      </c>
      <c r="C5" s="19" t="s">
        <v>583</v>
      </c>
      <c r="D5" s="19" t="s">
        <v>583</v>
      </c>
      <c r="E5" s="19" t="s">
        <v>583</v>
      </c>
      <c r="F5" s="19" t="s">
        <v>588</v>
      </c>
    </row>
    <row r="6" spans="1:9">
      <c r="A6" s="87" t="s">
        <v>580</v>
      </c>
      <c r="B6" s="19" t="s">
        <v>582</v>
      </c>
      <c r="C6" s="19" t="s">
        <v>584</v>
      </c>
      <c r="D6" s="19" t="s">
        <v>585</v>
      </c>
      <c r="E6" s="19" t="s">
        <v>587</v>
      </c>
      <c r="F6" s="19" t="s">
        <v>586</v>
      </c>
      <c r="H6" s="331" t="s">
        <v>589</v>
      </c>
    </row>
    <row r="7" spans="1:9">
      <c r="A7" s="87">
        <v>1</v>
      </c>
      <c r="B7" s="19">
        <v>-2.9749935492873192</v>
      </c>
      <c r="C7" s="19">
        <f>EXP(0.09+0.18*B7)</f>
        <v>0.64050468769166446</v>
      </c>
      <c r="D7" s="19">
        <f>97*C7</f>
        <v>62.128954706091456</v>
      </c>
      <c r="E7" s="19">
        <f>MAX(100-97*C7,0)*EXP(-0.05) - 0.5</f>
        <v>35.524052620165101</v>
      </c>
      <c r="F7" s="87">
        <v>-0.5</v>
      </c>
      <c r="H7" s="76" t="s">
        <v>402</v>
      </c>
      <c r="I7" s="332">
        <f>COUNTIF(D7:D106,"&lt;100")/100</f>
        <v>0.37</v>
      </c>
    </row>
    <row r="8" spans="1:9">
      <c r="A8" s="87">
        <v>2</v>
      </c>
      <c r="B8" s="19">
        <v>-0.77350705396384001</v>
      </c>
      <c r="C8" s="19">
        <f t="shared" ref="C8:C71" si="0">EXP(0.09+0.18*B8)</f>
        <v>0.95196094450351265</v>
      </c>
      <c r="D8" s="19">
        <f t="shared" ref="D8:D71" si="1">97*C8</f>
        <v>92.340211616840733</v>
      </c>
      <c r="E8" s="19">
        <f t="shared" ref="E8:E71" si="2">MAX(100-97*C8,0)*EXP(-0.05) - 0.5</f>
        <v>6.7862160955098441</v>
      </c>
      <c r="F8" s="87">
        <v>-0.5</v>
      </c>
      <c r="H8" s="76" t="s">
        <v>403</v>
      </c>
      <c r="I8" s="81">
        <f>AVERAGE(D7:D106)</f>
        <v>106.49037316715065</v>
      </c>
    </row>
    <row r="9" spans="1:9">
      <c r="A9" s="87">
        <v>3</v>
      </c>
      <c r="B9" s="19">
        <v>-0.57206534620490856</v>
      </c>
      <c r="C9" s="19">
        <f t="shared" si="0"/>
        <v>0.9871120083828393</v>
      </c>
      <c r="D9" s="19">
        <f t="shared" si="1"/>
        <v>95.749864813135417</v>
      </c>
      <c r="E9" s="19">
        <f t="shared" si="2"/>
        <v>3.5428536478514312</v>
      </c>
      <c r="F9" s="87">
        <v>-0.5</v>
      </c>
      <c r="H9" s="76" t="s">
        <v>390</v>
      </c>
      <c r="I9" s="111">
        <f>PERCENTILE(C7:C106,0.05)</f>
        <v>0.84181513162912935</v>
      </c>
    </row>
    <row r="10" spans="1:9">
      <c r="A10" s="87">
        <v>4</v>
      </c>
      <c r="B10" s="19">
        <v>-0.59045191846962553</v>
      </c>
      <c r="C10" s="19">
        <f t="shared" si="0"/>
        <v>0.98385047938078363</v>
      </c>
      <c r="D10" s="19">
        <f t="shared" si="1"/>
        <v>95.433496499936012</v>
      </c>
      <c r="E10" s="19">
        <f t="shared" si="2"/>
        <v>3.8437924963463628</v>
      </c>
      <c r="F10" s="87">
        <v>-0.5</v>
      </c>
      <c r="H10" s="76" t="s">
        <v>396</v>
      </c>
      <c r="I10" s="81">
        <f>PERCENTILE(E7:E106,0.95)</f>
        <v>16.949288100101157</v>
      </c>
    </row>
    <row r="11" spans="1:9">
      <c r="A11" s="87">
        <v>5</v>
      </c>
      <c r="B11" s="19">
        <v>-0.79064420788199641</v>
      </c>
      <c r="C11" s="19">
        <f t="shared" si="0"/>
        <v>0.94902896672489667</v>
      </c>
      <c r="D11" s="19">
        <f t="shared" si="1"/>
        <v>92.055809772314973</v>
      </c>
      <c r="E11" s="19">
        <f t="shared" si="2"/>
        <v>7.0567474984050245</v>
      </c>
      <c r="F11" s="87">
        <v>-0.5</v>
      </c>
      <c r="H11" s="76" t="s">
        <v>578</v>
      </c>
      <c r="I11" s="81">
        <f>AVERAGE(E7:E106)</f>
        <v>3.1575438151047268</v>
      </c>
    </row>
    <row r="12" spans="1:9">
      <c r="A12" s="87">
        <v>6</v>
      </c>
      <c r="B12" s="19">
        <v>0.58146042647422291</v>
      </c>
      <c r="C12" s="19">
        <f t="shared" si="0"/>
        <v>1.2149013459724198</v>
      </c>
      <c r="D12" s="19">
        <f t="shared" si="1"/>
        <v>117.84543055932473</v>
      </c>
      <c r="E12" s="19">
        <f t="shared" si="2"/>
        <v>-0.5</v>
      </c>
      <c r="F12" s="87">
        <v>-0.5</v>
      </c>
      <c r="H12" s="76" t="s">
        <v>579</v>
      </c>
      <c r="I12" s="81">
        <f>AVERAGE(F102:F106)</f>
        <v>22.906606977737948</v>
      </c>
    </row>
    <row r="13" spans="1:9">
      <c r="A13" s="87">
        <v>7</v>
      </c>
      <c r="B13" s="19">
        <v>0.10103462955157738</v>
      </c>
      <c r="C13" s="19">
        <f t="shared" si="0"/>
        <v>1.114255237516306</v>
      </c>
      <c r="D13" s="19">
        <f t="shared" si="1"/>
        <v>108.08275803908168</v>
      </c>
      <c r="E13" s="19">
        <f t="shared" si="2"/>
        <v>-0.5</v>
      </c>
      <c r="F13" s="87">
        <v>-0.5</v>
      </c>
    </row>
    <row r="14" spans="1:9">
      <c r="A14" s="87">
        <v>8</v>
      </c>
      <c r="B14" s="19">
        <v>0.57476995607430581</v>
      </c>
      <c r="C14" s="19">
        <f t="shared" si="0"/>
        <v>1.2134391395366102</v>
      </c>
      <c r="D14" s="19">
        <f t="shared" si="1"/>
        <v>117.70359653505119</v>
      </c>
      <c r="E14" s="19">
        <f t="shared" si="2"/>
        <v>-0.5</v>
      </c>
      <c r="F14" s="87">
        <v>-0.5</v>
      </c>
    </row>
    <row r="15" spans="1:9">
      <c r="A15" s="87">
        <v>9</v>
      </c>
      <c r="B15" s="19">
        <v>0.95662699095555581</v>
      </c>
      <c r="C15" s="19">
        <f t="shared" si="0"/>
        <v>1.2997771911718028</v>
      </c>
      <c r="D15" s="19">
        <f t="shared" si="1"/>
        <v>126.07838754366487</v>
      </c>
      <c r="E15" s="19">
        <f t="shared" si="2"/>
        <v>-0.5</v>
      </c>
      <c r="F15" s="87">
        <v>-0.5</v>
      </c>
    </row>
    <row r="16" spans="1:9">
      <c r="A16" s="87">
        <v>10</v>
      </c>
      <c r="B16" s="19">
        <v>-0.32828211260493845</v>
      </c>
      <c r="C16" s="19">
        <f t="shared" si="0"/>
        <v>1.0313918696052617</v>
      </c>
      <c r="D16" s="19">
        <f t="shared" si="1"/>
        <v>100.04501135171039</v>
      </c>
      <c r="E16" s="19">
        <f t="shared" si="2"/>
        <v>-0.5</v>
      </c>
      <c r="F16" s="87">
        <v>-0.5</v>
      </c>
    </row>
    <row r="17" spans="1:6">
      <c r="A17" s="87">
        <v>11</v>
      </c>
      <c r="B17" s="19">
        <v>-0.97381416708230972</v>
      </c>
      <c r="C17" s="19">
        <f t="shared" si="0"/>
        <v>0.91824912234399725</v>
      </c>
      <c r="D17" s="19">
        <f t="shared" si="1"/>
        <v>89.070164867367737</v>
      </c>
      <c r="E17" s="19">
        <f t="shared" si="2"/>
        <v>9.8967807831014731</v>
      </c>
      <c r="F17" s="87">
        <v>-0.5</v>
      </c>
    </row>
    <row r="18" spans="1:6">
      <c r="A18" s="87">
        <v>12</v>
      </c>
      <c r="B18" s="19">
        <v>1.0876669875869993</v>
      </c>
      <c r="C18" s="19">
        <f t="shared" si="0"/>
        <v>1.3307997239967335</v>
      </c>
      <c r="D18" s="19">
        <f t="shared" si="1"/>
        <v>129.08757322768315</v>
      </c>
      <c r="E18" s="19">
        <f t="shared" si="2"/>
        <v>-0.5</v>
      </c>
      <c r="F18" s="87">
        <v>-0.5</v>
      </c>
    </row>
    <row r="19" spans="1:6">
      <c r="A19" s="87">
        <v>13</v>
      </c>
      <c r="B19" s="19">
        <v>-1.5403384168166667</v>
      </c>
      <c r="C19" s="19">
        <f t="shared" si="0"/>
        <v>0.82922735028095063</v>
      </c>
      <c r="D19" s="19">
        <f t="shared" si="1"/>
        <v>80.435052977252212</v>
      </c>
      <c r="E19" s="19">
        <f t="shared" si="2"/>
        <v>18.110753296835338</v>
      </c>
      <c r="F19" s="87">
        <v>-0.5</v>
      </c>
    </row>
    <row r="20" spans="1:6">
      <c r="A20" s="87">
        <v>14</v>
      </c>
      <c r="B20" s="19">
        <v>5.882270670554135E-2</v>
      </c>
      <c r="C20" s="19">
        <f t="shared" si="0"/>
        <v>1.105821046101364</v>
      </c>
      <c r="D20" s="19">
        <f t="shared" si="1"/>
        <v>107.26464147183231</v>
      </c>
      <c r="E20" s="19">
        <f t="shared" si="2"/>
        <v>-0.5</v>
      </c>
      <c r="F20" s="87">
        <v>-0.5</v>
      </c>
    </row>
    <row r="21" spans="1:6">
      <c r="A21" s="87">
        <v>15</v>
      </c>
      <c r="B21" s="19">
        <v>0.40844952309271321</v>
      </c>
      <c r="C21" s="19">
        <f t="shared" si="0"/>
        <v>1.1776499844861703</v>
      </c>
      <c r="D21" s="19">
        <f t="shared" si="1"/>
        <v>114.23204849515852</v>
      </c>
      <c r="E21" s="19">
        <f t="shared" si="2"/>
        <v>-0.5</v>
      </c>
      <c r="F21" s="87">
        <v>-0.5</v>
      </c>
    </row>
    <row r="22" spans="1:6">
      <c r="A22" s="87">
        <v>16</v>
      </c>
      <c r="B22" s="19">
        <v>-1.4522674973704852</v>
      </c>
      <c r="C22" s="19">
        <f t="shared" si="0"/>
        <v>0.84247764643692824</v>
      </c>
      <c r="D22" s="19">
        <f t="shared" si="1"/>
        <v>81.720331704382033</v>
      </c>
      <c r="E22" s="19">
        <f t="shared" si="2"/>
        <v>16.888158352904625</v>
      </c>
      <c r="F22" s="87">
        <v>-0.5</v>
      </c>
    </row>
    <row r="23" spans="1:6">
      <c r="A23" s="87">
        <v>17</v>
      </c>
      <c r="B23" s="19">
        <v>0.60756860875699203</v>
      </c>
      <c r="C23" s="19">
        <f t="shared" si="0"/>
        <v>1.2206241784310978</v>
      </c>
      <c r="D23" s="19">
        <f t="shared" si="1"/>
        <v>118.40054530781649</v>
      </c>
      <c r="E23" s="19">
        <f t="shared" si="2"/>
        <v>-0.5</v>
      </c>
      <c r="F23" s="87">
        <v>-0.5</v>
      </c>
    </row>
    <row r="24" spans="1:6">
      <c r="A24" s="87">
        <v>18</v>
      </c>
      <c r="B24" s="19">
        <v>-2.7428086468717083E-2</v>
      </c>
      <c r="C24" s="19">
        <f t="shared" si="0"/>
        <v>1.0887855975365186</v>
      </c>
      <c r="D24" s="19">
        <f t="shared" si="1"/>
        <v>105.6122029610423</v>
      </c>
      <c r="E24" s="19">
        <f t="shared" si="2"/>
        <v>-0.5</v>
      </c>
      <c r="F24" s="87">
        <v>-0.5</v>
      </c>
    </row>
    <row r="25" spans="1:6">
      <c r="A25" s="87">
        <v>19</v>
      </c>
      <c r="B25" s="19">
        <v>-0.64620962803019211</v>
      </c>
      <c r="C25" s="19">
        <f t="shared" si="0"/>
        <v>0.9740255603298984</v>
      </c>
      <c r="D25" s="19">
        <f t="shared" si="1"/>
        <v>94.480479352000145</v>
      </c>
      <c r="E25" s="19">
        <f t="shared" si="2"/>
        <v>4.75033044951671</v>
      </c>
      <c r="F25" s="87">
        <v>-0.5</v>
      </c>
    </row>
    <row r="26" spans="1:6">
      <c r="A26" s="87">
        <v>20</v>
      </c>
      <c r="B26" s="19">
        <v>0.25791564439714421</v>
      </c>
      <c r="C26" s="19">
        <f t="shared" si="0"/>
        <v>1.1461687009788764</v>
      </c>
      <c r="D26" s="19">
        <f t="shared" si="1"/>
        <v>111.17836399495101</v>
      </c>
      <c r="E26" s="19">
        <f t="shared" si="2"/>
        <v>-0.5</v>
      </c>
      <c r="F26" s="87">
        <v>-0.5</v>
      </c>
    </row>
    <row r="27" spans="1:6">
      <c r="A27" s="87">
        <v>21</v>
      </c>
      <c r="B27" s="19">
        <v>0.48246647565974854</v>
      </c>
      <c r="C27" s="19">
        <f t="shared" si="0"/>
        <v>1.1934448601678378</v>
      </c>
      <c r="D27" s="19">
        <f t="shared" si="1"/>
        <v>115.76415143628027</v>
      </c>
      <c r="E27" s="19">
        <f t="shared" si="2"/>
        <v>-0.5</v>
      </c>
      <c r="F27" s="87">
        <v>-0.5</v>
      </c>
    </row>
    <row r="28" spans="1:6">
      <c r="A28" s="87">
        <v>22</v>
      </c>
      <c r="B28" s="19">
        <v>-0.27781879907706752</v>
      </c>
      <c r="C28" s="19">
        <f t="shared" si="0"/>
        <v>1.0408030890469122</v>
      </c>
      <c r="D28" s="19">
        <f t="shared" si="1"/>
        <v>100.95789963755048</v>
      </c>
      <c r="E28" s="19">
        <f t="shared" si="2"/>
        <v>-0.5</v>
      </c>
      <c r="F28" s="87">
        <v>-0.5</v>
      </c>
    </row>
    <row r="29" spans="1:6">
      <c r="A29" s="87">
        <v>23</v>
      </c>
      <c r="B29" s="19">
        <v>-1.8051741790259257</v>
      </c>
      <c r="C29" s="19">
        <f t="shared" si="0"/>
        <v>0.79062512242163796</v>
      </c>
      <c r="D29" s="19">
        <f t="shared" si="1"/>
        <v>76.690636874898885</v>
      </c>
      <c r="E29" s="19">
        <f t="shared" si="2"/>
        <v>21.672552070968099</v>
      </c>
      <c r="F29" s="87">
        <v>-0.5</v>
      </c>
    </row>
    <row r="30" spans="1:6">
      <c r="A30" s="87">
        <v>24</v>
      </c>
      <c r="B30" s="19">
        <v>-0.16921603673836216</v>
      </c>
      <c r="C30" s="19">
        <f t="shared" si="0"/>
        <v>1.061349395751094</v>
      </c>
      <c r="D30" s="19">
        <f t="shared" si="1"/>
        <v>102.95089138785612</v>
      </c>
      <c r="E30" s="19">
        <f t="shared" si="2"/>
        <v>-0.5</v>
      </c>
      <c r="F30" s="87">
        <v>-0.5</v>
      </c>
    </row>
    <row r="31" spans="1:6">
      <c r="A31" s="87">
        <v>25</v>
      </c>
      <c r="B31" s="19">
        <v>1.2828922990593128</v>
      </c>
      <c r="C31" s="19">
        <f t="shared" si="0"/>
        <v>1.3783961509599645</v>
      </c>
      <c r="D31" s="19">
        <f t="shared" si="1"/>
        <v>133.70442664311656</v>
      </c>
      <c r="E31" s="19">
        <f t="shared" si="2"/>
        <v>-0.5</v>
      </c>
      <c r="F31" s="87">
        <v>-0.5</v>
      </c>
    </row>
    <row r="32" spans="1:6">
      <c r="A32" s="87">
        <v>26</v>
      </c>
      <c r="B32" s="19">
        <v>-1.618036549189128</v>
      </c>
      <c r="C32" s="19">
        <f t="shared" si="0"/>
        <v>0.81771077650673629</v>
      </c>
      <c r="D32" s="19">
        <f t="shared" si="1"/>
        <v>79.317945321153417</v>
      </c>
      <c r="E32" s="19">
        <f t="shared" si="2"/>
        <v>19.173378969651534</v>
      </c>
      <c r="F32" s="87">
        <v>-0.5</v>
      </c>
    </row>
    <row r="33" spans="1:6">
      <c r="A33" s="87">
        <v>27</v>
      </c>
      <c r="B33" s="19">
        <v>0.96317535280832089</v>
      </c>
      <c r="C33" s="19">
        <f t="shared" si="0"/>
        <v>1.3013101484942891</v>
      </c>
      <c r="D33" s="19">
        <f t="shared" si="1"/>
        <v>126.22708440394604</v>
      </c>
      <c r="E33" s="19">
        <f t="shared" si="2"/>
        <v>-0.5</v>
      </c>
      <c r="F33" s="87">
        <v>-0.5</v>
      </c>
    </row>
    <row r="34" spans="1:6">
      <c r="A34" s="87">
        <v>28</v>
      </c>
      <c r="B34" s="19">
        <v>0.19363596948096529</v>
      </c>
      <c r="C34" s="19">
        <f t="shared" si="0"/>
        <v>1.132983563077208</v>
      </c>
      <c r="D34" s="19">
        <f t="shared" si="1"/>
        <v>109.89940561848918</v>
      </c>
      <c r="E34" s="19">
        <f t="shared" si="2"/>
        <v>-0.5</v>
      </c>
      <c r="F34" s="87">
        <v>-0.5</v>
      </c>
    </row>
    <row r="35" spans="1:6">
      <c r="A35" s="87">
        <v>29</v>
      </c>
      <c r="B35" s="19">
        <v>-0.80061795415531378</v>
      </c>
      <c r="C35" s="19">
        <f t="shared" si="0"/>
        <v>0.94732672783335736</v>
      </c>
      <c r="D35" s="19">
        <f t="shared" si="1"/>
        <v>91.89069259983566</v>
      </c>
      <c r="E35" s="19">
        <f t="shared" si="2"/>
        <v>7.213811811357707</v>
      </c>
      <c r="F35" s="87">
        <v>-0.5</v>
      </c>
    </row>
    <row r="36" spans="1:6">
      <c r="A36" s="87">
        <v>30</v>
      </c>
      <c r="B36" s="19">
        <v>1.0423491403344087</v>
      </c>
      <c r="C36" s="19">
        <f t="shared" si="0"/>
        <v>1.3199882634859033</v>
      </c>
      <c r="D36" s="19">
        <f t="shared" si="1"/>
        <v>128.03886155813262</v>
      </c>
      <c r="E36" s="19">
        <f t="shared" si="2"/>
        <v>-0.5</v>
      </c>
      <c r="F36" s="87">
        <v>-0.5</v>
      </c>
    </row>
    <row r="37" spans="1:6">
      <c r="A37" s="87">
        <v>31</v>
      </c>
      <c r="B37" s="19">
        <v>-0.38692405723850243</v>
      </c>
      <c r="C37" s="19">
        <f t="shared" si="0"/>
        <v>1.0205622181376974</v>
      </c>
      <c r="D37" s="19">
        <f t="shared" si="1"/>
        <v>98.994535159356644</v>
      </c>
      <c r="E37" s="19">
        <f t="shared" si="2"/>
        <v>0.45642774172088141</v>
      </c>
      <c r="F37" s="87">
        <v>-0.5</v>
      </c>
    </row>
    <row r="38" spans="1:6">
      <c r="A38" s="87">
        <v>32</v>
      </c>
      <c r="B38" s="19">
        <v>1.6762351151555777</v>
      </c>
      <c r="C38" s="19">
        <f t="shared" si="0"/>
        <v>1.4795268204265803</v>
      </c>
      <c r="D38" s="19">
        <f t="shared" si="1"/>
        <v>143.5141015813783</v>
      </c>
      <c r="E38" s="19">
        <f t="shared" si="2"/>
        <v>-0.5</v>
      </c>
      <c r="F38" s="87">
        <v>-0.5</v>
      </c>
    </row>
    <row r="39" spans="1:6">
      <c r="A39" s="87">
        <v>33</v>
      </c>
      <c r="B39" s="19">
        <v>-0.52133941608190071</v>
      </c>
      <c r="C39" s="19">
        <f t="shared" si="0"/>
        <v>0.99616627267405744</v>
      </c>
      <c r="D39" s="19">
        <f t="shared" si="1"/>
        <v>96.628128449383567</v>
      </c>
      <c r="E39" s="19">
        <f t="shared" si="2"/>
        <v>2.7074234345831996</v>
      </c>
      <c r="F39" s="87">
        <v>-0.5</v>
      </c>
    </row>
    <row r="40" spans="1:6">
      <c r="A40" s="87">
        <v>34</v>
      </c>
      <c r="B40" s="19">
        <v>1.4179886420606636</v>
      </c>
      <c r="C40" s="19">
        <f t="shared" si="0"/>
        <v>1.4123259505137464</v>
      </c>
      <c r="D40" s="19">
        <f t="shared" si="1"/>
        <v>136.99561719983339</v>
      </c>
      <c r="E40" s="19">
        <f t="shared" si="2"/>
        <v>-0.5</v>
      </c>
      <c r="F40" s="87">
        <v>-0.5</v>
      </c>
    </row>
    <row r="41" spans="1:6">
      <c r="A41" s="87">
        <v>35</v>
      </c>
      <c r="B41" s="19">
        <v>-1.0839448805199936</v>
      </c>
      <c r="C41" s="19">
        <f t="shared" si="0"/>
        <v>0.90022542167360886</v>
      </c>
      <c r="D41" s="19">
        <f t="shared" si="1"/>
        <v>87.321865902340065</v>
      </c>
      <c r="E41" s="19">
        <f t="shared" si="2"/>
        <v>11.55981420145994</v>
      </c>
      <c r="F41" s="87">
        <v>-0.5</v>
      </c>
    </row>
    <row r="42" spans="1:6">
      <c r="A42" s="87">
        <v>36</v>
      </c>
      <c r="B42" s="19">
        <v>6.7331029640627094E-2</v>
      </c>
      <c r="C42" s="19">
        <f t="shared" si="0"/>
        <v>1.1075159064701885</v>
      </c>
      <c r="D42" s="19">
        <f t="shared" si="1"/>
        <v>107.42904292760828</v>
      </c>
      <c r="E42" s="19">
        <f t="shared" si="2"/>
        <v>-0.5</v>
      </c>
      <c r="F42" s="87">
        <v>-0.5</v>
      </c>
    </row>
    <row r="43" spans="1:6">
      <c r="A43" s="87">
        <v>37</v>
      </c>
      <c r="B43" s="19">
        <v>1.3334670256881509</v>
      </c>
      <c r="C43" s="19">
        <f t="shared" si="0"/>
        <v>1.3910016019913651</v>
      </c>
      <c r="D43" s="19">
        <f t="shared" si="1"/>
        <v>134.92715539316242</v>
      </c>
      <c r="E43" s="19">
        <f t="shared" si="2"/>
        <v>-0.5</v>
      </c>
      <c r="F43" s="87">
        <v>-0.5</v>
      </c>
    </row>
    <row r="44" spans="1:6">
      <c r="A44" s="87">
        <v>38</v>
      </c>
      <c r="B44" s="19">
        <v>0.3521131475281436</v>
      </c>
      <c r="C44" s="19">
        <f t="shared" si="0"/>
        <v>1.1657683139000607</v>
      </c>
      <c r="D44" s="19">
        <f t="shared" si="1"/>
        <v>113.0795264483059</v>
      </c>
      <c r="E44" s="19">
        <f t="shared" si="2"/>
        <v>-0.5</v>
      </c>
      <c r="F44" s="87">
        <v>-0.5</v>
      </c>
    </row>
    <row r="45" spans="1:6">
      <c r="A45" s="87">
        <v>39</v>
      </c>
      <c r="B45" s="19">
        <v>0.83937720773974434</v>
      </c>
      <c r="C45" s="19">
        <f t="shared" si="0"/>
        <v>1.2726328915058283</v>
      </c>
      <c r="D45" s="19">
        <f t="shared" si="1"/>
        <v>123.44539047606534</v>
      </c>
      <c r="E45" s="19">
        <f t="shared" si="2"/>
        <v>-0.5</v>
      </c>
      <c r="F45" s="87">
        <v>-0.5</v>
      </c>
    </row>
    <row r="46" spans="1:6">
      <c r="A46" s="87">
        <v>40</v>
      </c>
      <c r="B46" s="19">
        <v>1.0490884960745461</v>
      </c>
      <c r="C46" s="19">
        <f t="shared" si="0"/>
        <v>1.3215904917946886</v>
      </c>
      <c r="D46" s="19">
        <f t="shared" si="1"/>
        <v>128.19427770408478</v>
      </c>
      <c r="E46" s="19">
        <f t="shared" si="2"/>
        <v>-0.5</v>
      </c>
      <c r="F46" s="87">
        <v>-0.5</v>
      </c>
    </row>
    <row r="47" spans="1:6">
      <c r="A47" s="87">
        <v>41</v>
      </c>
      <c r="B47" s="19">
        <v>0.93603830464417115</v>
      </c>
      <c r="C47" s="19">
        <f t="shared" si="0"/>
        <v>1.294969178958139</v>
      </c>
      <c r="D47" s="19">
        <f t="shared" si="1"/>
        <v>125.61201035893949</v>
      </c>
      <c r="E47" s="19">
        <f t="shared" si="2"/>
        <v>-0.5</v>
      </c>
      <c r="F47" s="87">
        <v>-0.5</v>
      </c>
    </row>
    <row r="48" spans="1:6">
      <c r="A48" s="87">
        <v>42</v>
      </c>
      <c r="B48" s="19">
        <v>0.70680016506230459</v>
      </c>
      <c r="C48" s="19">
        <f t="shared" si="0"/>
        <v>1.2426224553067211</v>
      </c>
      <c r="D48" s="19">
        <f t="shared" si="1"/>
        <v>120.53437816475194</v>
      </c>
      <c r="E48" s="19">
        <f t="shared" si="2"/>
        <v>-0.5</v>
      </c>
      <c r="F48" s="87">
        <v>-0.5</v>
      </c>
    </row>
    <row r="49" spans="1:6">
      <c r="A49" s="87">
        <v>43</v>
      </c>
      <c r="B49" s="19">
        <v>-1.0577491593721788</v>
      </c>
      <c r="C49" s="19">
        <f t="shared" si="0"/>
        <v>0.90448021469478257</v>
      </c>
      <c r="D49" s="19">
        <f t="shared" si="1"/>
        <v>87.734580825393905</v>
      </c>
      <c r="E49" s="19">
        <f t="shared" si="2"/>
        <v>11.167227622720578</v>
      </c>
      <c r="F49" s="87">
        <v>-0.5</v>
      </c>
    </row>
    <row r="50" spans="1:6">
      <c r="A50" s="87">
        <v>44</v>
      </c>
      <c r="B50" s="19">
        <v>0.48289621190633625</v>
      </c>
      <c r="C50" s="19">
        <f t="shared" si="0"/>
        <v>1.1935371797110159</v>
      </c>
      <c r="D50" s="19">
        <f t="shared" si="1"/>
        <v>115.77310643196854</v>
      </c>
      <c r="E50" s="19">
        <f t="shared" si="2"/>
        <v>-0.5</v>
      </c>
      <c r="F50" s="87">
        <v>-0.5</v>
      </c>
    </row>
    <row r="51" spans="1:6">
      <c r="A51" s="87">
        <v>45</v>
      </c>
      <c r="B51" s="19">
        <v>0.49453319661552086</v>
      </c>
      <c r="C51" s="19">
        <f t="shared" si="0"/>
        <v>1.19603985121929</v>
      </c>
      <c r="D51" s="19">
        <f t="shared" si="1"/>
        <v>116.01586556827114</v>
      </c>
      <c r="E51" s="19">
        <f t="shared" si="2"/>
        <v>-0.5</v>
      </c>
      <c r="F51" s="87">
        <v>-0.5</v>
      </c>
    </row>
    <row r="52" spans="1:6">
      <c r="A52" s="87">
        <v>46</v>
      </c>
      <c r="B52" s="19">
        <v>-0.95156337920343503</v>
      </c>
      <c r="C52" s="19">
        <f t="shared" si="0"/>
        <v>0.92193421503674833</v>
      </c>
      <c r="D52" s="19">
        <f t="shared" si="1"/>
        <v>89.427618858564585</v>
      </c>
      <c r="E52" s="19">
        <f t="shared" si="2"/>
        <v>9.556760028769812</v>
      </c>
      <c r="F52" s="87">
        <v>-0.5</v>
      </c>
    </row>
    <row r="53" spans="1:6">
      <c r="A53" s="87">
        <v>47</v>
      </c>
      <c r="B53" s="19">
        <v>0.36083520171814598</v>
      </c>
      <c r="C53" s="19">
        <f t="shared" si="0"/>
        <v>1.167599972341242</v>
      </c>
      <c r="D53" s="19">
        <f t="shared" si="1"/>
        <v>113.25719731710048</v>
      </c>
      <c r="E53" s="19">
        <f t="shared" si="2"/>
        <v>-0.5</v>
      </c>
      <c r="F53" s="87">
        <v>-0.5</v>
      </c>
    </row>
    <row r="54" spans="1:6">
      <c r="A54" s="87">
        <v>48</v>
      </c>
      <c r="B54" s="19">
        <v>0.86734416981926188</v>
      </c>
      <c r="C54" s="19">
        <f t="shared" si="0"/>
        <v>1.2790555455807111</v>
      </c>
      <c r="D54" s="19">
        <f t="shared" si="1"/>
        <v>124.06838792132898</v>
      </c>
      <c r="E54" s="19">
        <f t="shared" si="2"/>
        <v>-0.5</v>
      </c>
      <c r="F54" s="87">
        <v>-0.5</v>
      </c>
    </row>
    <row r="55" spans="1:6">
      <c r="A55" s="87">
        <v>49</v>
      </c>
      <c r="B55" s="19">
        <v>-1.1549400369403884</v>
      </c>
      <c r="C55" s="19">
        <f t="shared" si="0"/>
        <v>0.88879451968271461</v>
      </c>
      <c r="D55" s="19">
        <f t="shared" si="1"/>
        <v>86.213068409223311</v>
      </c>
      <c r="E55" s="19">
        <f t="shared" si="2"/>
        <v>12.614535002725223</v>
      </c>
      <c r="F55" s="87">
        <v>-0.5</v>
      </c>
    </row>
    <row r="56" spans="1:6">
      <c r="A56" s="87">
        <v>50</v>
      </c>
      <c r="B56" s="19">
        <v>0.22028643797966652</v>
      </c>
      <c r="C56" s="19">
        <f t="shared" si="0"/>
        <v>1.1384316377627839</v>
      </c>
      <c r="D56" s="19">
        <f t="shared" si="1"/>
        <v>110.42786886299004</v>
      </c>
      <c r="E56" s="19">
        <f t="shared" si="2"/>
        <v>-0.5</v>
      </c>
      <c r="F56" s="87">
        <v>-0.5</v>
      </c>
    </row>
    <row r="57" spans="1:6">
      <c r="A57" s="87">
        <v>51</v>
      </c>
      <c r="B57" s="19">
        <v>1.1422162060625851</v>
      </c>
      <c r="C57" s="19">
        <f t="shared" si="0"/>
        <v>1.3439310209571633</v>
      </c>
      <c r="D57" s="19">
        <f t="shared" si="1"/>
        <v>130.36130903284484</v>
      </c>
      <c r="E57" s="19">
        <f t="shared" si="2"/>
        <v>-0.5</v>
      </c>
      <c r="F57" s="87">
        <v>-0.5</v>
      </c>
    </row>
    <row r="58" spans="1:6">
      <c r="A58" s="87">
        <v>52</v>
      </c>
      <c r="B58" s="19">
        <v>0.63185439103108365</v>
      </c>
      <c r="C58" s="19">
        <f t="shared" si="0"/>
        <v>1.2259717445461562</v>
      </c>
      <c r="D58" s="19">
        <f t="shared" si="1"/>
        <v>118.91925922097715</v>
      </c>
      <c r="E58" s="19">
        <f t="shared" si="2"/>
        <v>-0.5</v>
      </c>
      <c r="F58" s="87">
        <v>-0.5</v>
      </c>
    </row>
    <row r="59" spans="1:6">
      <c r="A59" s="87">
        <v>53</v>
      </c>
      <c r="B59" s="19">
        <v>-0.70356463766074739</v>
      </c>
      <c r="C59" s="19">
        <f t="shared" si="0"/>
        <v>0.96402154524808414</v>
      </c>
      <c r="D59" s="19">
        <f t="shared" si="1"/>
        <v>93.510089889064162</v>
      </c>
      <c r="E59" s="19">
        <f t="shared" si="2"/>
        <v>5.6733934598868627</v>
      </c>
      <c r="F59" s="87">
        <v>-0.5</v>
      </c>
    </row>
    <row r="60" spans="1:6">
      <c r="A60" s="87">
        <v>54</v>
      </c>
      <c r="B60" s="19">
        <v>-0.93579956228495575</v>
      </c>
      <c r="C60" s="19">
        <f t="shared" si="0"/>
        <v>0.92455390634096046</v>
      </c>
      <c r="D60" s="19">
        <f t="shared" si="1"/>
        <v>89.681728915073165</v>
      </c>
      <c r="E60" s="19">
        <f t="shared" si="2"/>
        <v>9.3150430659573118</v>
      </c>
      <c r="F60" s="87">
        <v>-0.5</v>
      </c>
    </row>
    <row r="61" spans="1:6">
      <c r="A61" s="87">
        <v>55</v>
      </c>
      <c r="B61" s="19">
        <v>-0.39633960113860667</v>
      </c>
      <c r="C61" s="19">
        <f t="shared" si="0"/>
        <v>1.0188340363046511</v>
      </c>
      <c r="D61" s="19">
        <f t="shared" si="1"/>
        <v>98.82690152155115</v>
      </c>
      <c r="E61" s="19">
        <f t="shared" si="2"/>
        <v>0.61588579053756276</v>
      </c>
      <c r="F61" s="87">
        <v>-0.5</v>
      </c>
    </row>
    <row r="62" spans="1:6">
      <c r="A62" s="87">
        <v>56</v>
      </c>
      <c r="B62" s="19">
        <v>-8.4593239080277272E-2</v>
      </c>
      <c r="C62" s="19">
        <f t="shared" si="0"/>
        <v>1.0776397327620977</v>
      </c>
      <c r="D62" s="19">
        <f t="shared" si="1"/>
        <v>104.53105407792347</v>
      </c>
      <c r="E62" s="19">
        <f t="shared" si="2"/>
        <v>-0.5</v>
      </c>
      <c r="F62" s="87">
        <v>-0.5</v>
      </c>
    </row>
    <row r="63" spans="1:6">
      <c r="A63" s="87">
        <v>57</v>
      </c>
      <c r="B63" s="19">
        <v>-1.6831336324685253</v>
      </c>
      <c r="C63" s="19">
        <f t="shared" si="0"/>
        <v>0.80818518784492477</v>
      </c>
      <c r="D63" s="19">
        <f t="shared" si="1"/>
        <v>78.393963220957701</v>
      </c>
      <c r="E63" s="19">
        <f t="shared" si="2"/>
        <v>20.052297931069667</v>
      </c>
      <c r="F63" s="87">
        <v>-0.5</v>
      </c>
    </row>
    <row r="64" spans="1:6">
      <c r="A64" s="87">
        <v>58</v>
      </c>
      <c r="B64" s="19">
        <v>-0.1158093709818786</v>
      </c>
      <c r="C64" s="19">
        <f t="shared" si="0"/>
        <v>1.0716015586807808</v>
      </c>
      <c r="D64" s="19">
        <f t="shared" si="1"/>
        <v>103.94535119203573</v>
      </c>
      <c r="E64" s="19">
        <f t="shared" si="2"/>
        <v>-0.5</v>
      </c>
      <c r="F64" s="87">
        <v>-0.5</v>
      </c>
    </row>
    <row r="65" spans="1:6">
      <c r="A65" s="87">
        <v>59</v>
      </c>
      <c r="B65" s="19">
        <v>-0.31049125936988275</v>
      </c>
      <c r="C65" s="19">
        <f t="shared" si="0"/>
        <v>1.0347000452005117</v>
      </c>
      <c r="D65" s="19">
        <f t="shared" si="1"/>
        <v>100.36590438444964</v>
      </c>
      <c r="E65" s="19">
        <f t="shared" si="2"/>
        <v>-0.5</v>
      </c>
      <c r="F65" s="87">
        <v>-0.5</v>
      </c>
    </row>
    <row r="66" spans="1:6">
      <c r="A66" s="87">
        <v>60</v>
      </c>
      <c r="B66" s="19">
        <v>1.256007635674905</v>
      </c>
      <c r="C66" s="19">
        <f t="shared" si="0"/>
        <v>1.371741875786034</v>
      </c>
      <c r="D66" s="19">
        <f t="shared" si="1"/>
        <v>133.05896195124529</v>
      </c>
      <c r="E66" s="19">
        <f t="shared" si="2"/>
        <v>-0.5</v>
      </c>
      <c r="F66" s="87">
        <v>-0.5</v>
      </c>
    </row>
    <row r="67" spans="1:6">
      <c r="A67" s="87">
        <v>61</v>
      </c>
      <c r="B67" s="19">
        <v>0.76476680987980217</v>
      </c>
      <c r="C67" s="19">
        <f t="shared" si="0"/>
        <v>1.2556558500698083</v>
      </c>
      <c r="D67" s="19">
        <f t="shared" si="1"/>
        <v>121.79861745677141</v>
      </c>
      <c r="E67" s="19">
        <f t="shared" si="2"/>
        <v>-0.5</v>
      </c>
      <c r="F67" s="87">
        <v>-0.5</v>
      </c>
    </row>
    <row r="68" spans="1:6">
      <c r="A68" s="87">
        <v>62</v>
      </c>
      <c r="B68" s="19">
        <v>-0.21456912691064645</v>
      </c>
      <c r="C68" s="19">
        <f t="shared" si="0"/>
        <v>1.0527202803355158</v>
      </c>
      <c r="D68" s="19">
        <f t="shared" si="1"/>
        <v>102.11386719254503</v>
      </c>
      <c r="E68" s="19">
        <f t="shared" si="2"/>
        <v>-0.5</v>
      </c>
      <c r="F68" s="87">
        <v>-0.5</v>
      </c>
    </row>
    <row r="69" spans="1:6">
      <c r="A69" s="87">
        <v>63</v>
      </c>
      <c r="B69" s="19">
        <v>-0.28450358513509855</v>
      </c>
      <c r="C69" s="19">
        <f t="shared" si="0"/>
        <v>1.0395514839258571</v>
      </c>
      <c r="D69" s="19">
        <f t="shared" si="1"/>
        <v>100.83649394080814</v>
      </c>
      <c r="E69" s="19">
        <f t="shared" si="2"/>
        <v>-0.5</v>
      </c>
      <c r="F69" s="87">
        <v>-0.5</v>
      </c>
    </row>
    <row r="70" spans="1:6">
      <c r="A70" s="87">
        <v>64</v>
      </c>
      <c r="B70" s="19">
        <v>-1.2738860277750064</v>
      </c>
      <c r="C70" s="19">
        <f t="shared" si="0"/>
        <v>0.86996744723961361</v>
      </c>
      <c r="D70" s="19">
        <f t="shared" si="1"/>
        <v>84.38684238224252</v>
      </c>
      <c r="E70" s="19">
        <f t="shared" si="2"/>
        <v>14.351694935378386</v>
      </c>
      <c r="F70" s="87">
        <v>0.45642774172088141</v>
      </c>
    </row>
    <row r="71" spans="1:6">
      <c r="A71" s="87">
        <v>65</v>
      </c>
      <c r="B71" s="19">
        <v>0.53841745284444187</v>
      </c>
      <c r="C71" s="19">
        <f t="shared" si="0"/>
        <v>1.2055249816821392</v>
      </c>
      <c r="D71" s="19">
        <f t="shared" si="1"/>
        <v>116.93592322316751</v>
      </c>
      <c r="E71" s="19">
        <f t="shared" si="2"/>
        <v>-0.5</v>
      </c>
      <c r="F71" s="87">
        <v>0.61588579053756276</v>
      </c>
    </row>
    <row r="72" spans="1:6">
      <c r="A72" s="87">
        <v>66</v>
      </c>
      <c r="B72" s="19">
        <v>-0.6955519893381279</v>
      </c>
      <c r="C72" s="19">
        <f t="shared" ref="C72:C106" si="3">EXP(0.09+0.18*B72)</f>
        <v>0.96541293420197449</v>
      </c>
      <c r="D72" s="19">
        <f t="shared" ref="D72:D106" si="4">97*C72</f>
        <v>93.645054617591526</v>
      </c>
      <c r="E72" s="19">
        <f t="shared" ref="E72:E106" si="5">MAX(100-97*C72,0)*EXP(-0.05) - 0.5</f>
        <v>5.5450110388418823</v>
      </c>
      <c r="F72" s="87">
        <v>0.78409958524555323</v>
      </c>
    </row>
    <row r="73" spans="1:6">
      <c r="A73" s="87">
        <v>67</v>
      </c>
      <c r="B73" s="19">
        <v>-0.4062894731760025</v>
      </c>
      <c r="C73" s="19">
        <f t="shared" si="3"/>
        <v>1.0170109610429166</v>
      </c>
      <c r="D73" s="19">
        <f t="shared" si="4"/>
        <v>98.65006322116291</v>
      </c>
      <c r="E73" s="19">
        <f t="shared" si="5"/>
        <v>0.78409958524555323</v>
      </c>
      <c r="F73" s="87">
        <v>1.3405734400252254</v>
      </c>
    </row>
    <row r="74" spans="1:6">
      <c r="A74" s="87">
        <v>68</v>
      </c>
      <c r="B74" s="19">
        <v>-1.1826568879769184</v>
      </c>
      <c r="C74" s="19">
        <f t="shared" si="3"/>
        <v>0.88437133720463845</v>
      </c>
      <c r="D74" s="19">
        <f t="shared" si="4"/>
        <v>85.784019708849925</v>
      </c>
      <c r="E74" s="19">
        <f t="shared" si="5"/>
        <v>13.022658751064178</v>
      </c>
      <c r="F74" s="87">
        <v>2.7074234345831996</v>
      </c>
    </row>
    <row r="75" spans="1:6">
      <c r="A75" s="87">
        <v>69</v>
      </c>
      <c r="B75" s="19">
        <v>-0.1966759555216413</v>
      </c>
      <c r="C75" s="19">
        <f t="shared" si="3"/>
        <v>1.0561163171200934</v>
      </c>
      <c r="D75" s="19">
        <f t="shared" si="4"/>
        <v>102.44328276064905</v>
      </c>
      <c r="E75" s="19">
        <f t="shared" si="5"/>
        <v>-0.5</v>
      </c>
      <c r="F75" s="87">
        <v>2.7668978501628083</v>
      </c>
    </row>
    <row r="76" spans="1:6">
      <c r="A76" s="87">
        <v>70</v>
      </c>
      <c r="B76" s="19">
        <v>0.15487557902815752</v>
      </c>
      <c r="C76" s="19">
        <f t="shared" si="3"/>
        <v>1.1251063946704871</v>
      </c>
      <c r="D76" s="19">
        <f t="shared" si="4"/>
        <v>109.13532028303725</v>
      </c>
      <c r="E76" s="19">
        <f t="shared" si="5"/>
        <v>-0.5</v>
      </c>
      <c r="F76" s="87">
        <v>2.8540749154264295</v>
      </c>
    </row>
    <row r="77" spans="1:6">
      <c r="A77" s="87">
        <v>71</v>
      </c>
      <c r="B77" s="19">
        <v>0.39171027310658246</v>
      </c>
      <c r="C77" s="19">
        <f t="shared" si="3"/>
        <v>1.1741069888571039</v>
      </c>
      <c r="D77" s="19">
        <f t="shared" si="4"/>
        <v>113.88837791913907</v>
      </c>
      <c r="E77" s="19">
        <f t="shared" si="5"/>
        <v>-0.5</v>
      </c>
      <c r="F77" s="87">
        <v>3.5428536478514312</v>
      </c>
    </row>
    <row r="78" spans="1:6">
      <c r="A78" s="87">
        <v>72</v>
      </c>
      <c r="B78" s="19">
        <v>-0.32408706829301082</v>
      </c>
      <c r="C78" s="19">
        <f t="shared" si="3"/>
        <v>1.0321709759502218</v>
      </c>
      <c r="D78" s="19">
        <f t="shared" si="4"/>
        <v>100.12058466717151</v>
      </c>
      <c r="E78" s="19">
        <f t="shared" si="5"/>
        <v>-0.5</v>
      </c>
      <c r="F78" s="87">
        <v>3.547270816200534</v>
      </c>
    </row>
    <row r="79" spans="1:6">
      <c r="A79" s="87">
        <v>73</v>
      </c>
      <c r="B79" s="19">
        <v>-0.95832092483760789</v>
      </c>
      <c r="C79" s="19">
        <f t="shared" si="3"/>
        <v>0.9208134945183637</v>
      </c>
      <c r="D79" s="19">
        <f t="shared" si="4"/>
        <v>89.318908968281278</v>
      </c>
      <c r="E79" s="19">
        <f t="shared" si="5"/>
        <v>9.660168075141538</v>
      </c>
      <c r="F79" s="87">
        <v>3.8437924963463628</v>
      </c>
    </row>
    <row r="80" spans="1:6">
      <c r="A80" s="87">
        <v>74</v>
      </c>
      <c r="B80" s="19">
        <v>0.24457222025375813</v>
      </c>
      <c r="C80" s="19">
        <f t="shared" si="3"/>
        <v>1.143419117576788</v>
      </c>
      <c r="D80" s="19">
        <f t="shared" si="4"/>
        <v>110.91165440494844</v>
      </c>
      <c r="E80" s="19">
        <f t="shared" si="5"/>
        <v>-0.5</v>
      </c>
      <c r="F80" s="87">
        <v>3.8735660789948474</v>
      </c>
    </row>
    <row r="81" spans="1:6">
      <c r="A81" s="87">
        <v>75</v>
      </c>
      <c r="B81" s="19">
        <v>-0.52493533075903542</v>
      </c>
      <c r="C81" s="19">
        <f t="shared" si="3"/>
        <v>0.99552169809598834</v>
      </c>
      <c r="D81" s="19">
        <f t="shared" si="4"/>
        <v>96.565604715310869</v>
      </c>
      <c r="E81" s="19">
        <f t="shared" si="5"/>
        <v>2.7668978501628083</v>
      </c>
      <c r="F81" s="87">
        <v>4.75033044951671</v>
      </c>
    </row>
    <row r="82" spans="1:6">
      <c r="A82" s="87">
        <v>76</v>
      </c>
      <c r="B82" s="19">
        <v>-0.17045749700628221</v>
      </c>
      <c r="C82" s="19">
        <f t="shared" si="3"/>
        <v>1.0611122500897663</v>
      </c>
      <c r="D82" s="19">
        <f t="shared" si="4"/>
        <v>102.92788825870733</v>
      </c>
      <c r="E82" s="19">
        <f t="shared" si="5"/>
        <v>-0.5</v>
      </c>
      <c r="F82" s="87">
        <v>5.5450110388418823</v>
      </c>
    </row>
    <row r="83" spans="1:6">
      <c r="A83" s="87">
        <v>77</v>
      </c>
      <c r="B83" s="19">
        <v>-0.81962980402749963</v>
      </c>
      <c r="C83" s="19">
        <f t="shared" si="3"/>
        <v>0.94409039054472488</v>
      </c>
      <c r="D83" s="19">
        <f t="shared" si="4"/>
        <v>91.576767882838311</v>
      </c>
      <c r="E83" s="19">
        <f t="shared" si="5"/>
        <v>7.5124262392436449</v>
      </c>
      <c r="F83" s="87">
        <v>5.6733934598868627</v>
      </c>
    </row>
    <row r="84" spans="1:6">
      <c r="A84" s="87">
        <v>78</v>
      </c>
      <c r="B84" s="19">
        <v>-0.92871232482139021</v>
      </c>
      <c r="C84" s="19">
        <f t="shared" si="3"/>
        <v>0.92573411493335134</v>
      </c>
      <c r="D84" s="19">
        <f t="shared" si="4"/>
        <v>89.796209148535084</v>
      </c>
      <c r="E84" s="19">
        <f t="shared" si="5"/>
        <v>9.2061460993646236</v>
      </c>
      <c r="F84" s="87">
        <v>6.4490143961235464</v>
      </c>
    </row>
    <row r="85" spans="1:6">
      <c r="A85" s="87">
        <v>79</v>
      </c>
      <c r="B85" s="19">
        <v>-7.2392367655993439E-2</v>
      </c>
      <c r="C85" s="19">
        <f t="shared" si="3"/>
        <v>1.0800089993381505</v>
      </c>
      <c r="D85" s="19">
        <f t="shared" si="4"/>
        <v>104.76087293580061</v>
      </c>
      <c r="E85" s="19">
        <f t="shared" si="5"/>
        <v>-0.5</v>
      </c>
      <c r="F85" s="87">
        <v>6.7862160955098441</v>
      </c>
    </row>
    <row r="86" spans="1:6">
      <c r="A86" s="87">
        <v>80</v>
      </c>
      <c r="B86" s="19">
        <v>-0.75222033046884462</v>
      </c>
      <c r="C86" s="19">
        <f t="shared" si="3"/>
        <v>0.95561548471190128</v>
      </c>
      <c r="D86" s="19">
        <f t="shared" si="4"/>
        <v>92.694702017054425</v>
      </c>
      <c r="E86" s="19">
        <f t="shared" si="5"/>
        <v>6.4490143961235464</v>
      </c>
      <c r="F86" s="87">
        <v>7.0567474984050245</v>
      </c>
    </row>
    <row r="87" spans="1:6">
      <c r="A87" s="87">
        <v>81</v>
      </c>
      <c r="B87" s="19">
        <v>0.77041477197781205</v>
      </c>
      <c r="C87" s="19">
        <f t="shared" si="3"/>
        <v>1.2569330405738071</v>
      </c>
      <c r="D87" s="19">
        <f t="shared" si="4"/>
        <v>121.92250493565929</v>
      </c>
      <c r="E87" s="19">
        <f t="shared" si="5"/>
        <v>-0.5</v>
      </c>
      <c r="F87" s="87">
        <v>7.213811811357707</v>
      </c>
    </row>
    <row r="88" spans="1:6">
      <c r="A88" s="87">
        <v>82</v>
      </c>
      <c r="B88" s="19">
        <v>1.7909223970491439</v>
      </c>
      <c r="C88" s="19">
        <f t="shared" si="3"/>
        <v>1.5103871844006114</v>
      </c>
      <c r="D88" s="19">
        <f t="shared" si="4"/>
        <v>146.50755688685931</v>
      </c>
      <c r="E88" s="19">
        <f t="shared" si="5"/>
        <v>-0.5</v>
      </c>
      <c r="F88" s="87">
        <v>7.5124262392436449</v>
      </c>
    </row>
    <row r="89" spans="1:6">
      <c r="A89" s="87">
        <v>83</v>
      </c>
      <c r="B89" s="19">
        <v>-4.1052317101275548E-2</v>
      </c>
      <c r="C89" s="19">
        <f t="shared" si="3"/>
        <v>1.0861187729857613</v>
      </c>
      <c r="D89" s="19">
        <f t="shared" si="4"/>
        <v>105.35352097961885</v>
      </c>
      <c r="E89" s="19">
        <f t="shared" si="5"/>
        <v>-0.5</v>
      </c>
      <c r="F89" s="87">
        <v>9.2061460993646236</v>
      </c>
    </row>
    <row r="90" spans="1:6">
      <c r="A90" s="87">
        <v>84</v>
      </c>
      <c r="B90" s="19">
        <v>-0.2734486770350486</v>
      </c>
      <c r="C90" s="19">
        <f t="shared" si="3"/>
        <v>1.0416221297161223</v>
      </c>
      <c r="D90" s="19">
        <f t="shared" si="4"/>
        <v>101.03734658246387</v>
      </c>
      <c r="E90" s="19">
        <f t="shared" si="5"/>
        <v>-0.5</v>
      </c>
      <c r="F90" s="87">
        <v>9.3150430659573118</v>
      </c>
    </row>
    <row r="91" spans="1:6">
      <c r="A91" s="87">
        <v>85</v>
      </c>
      <c r="B91" s="19">
        <v>0.53170879255048931</v>
      </c>
      <c r="C91" s="19">
        <f t="shared" si="3"/>
        <v>1.2040701179117059</v>
      </c>
      <c r="D91" s="19">
        <f t="shared" si="4"/>
        <v>116.79480143743548</v>
      </c>
      <c r="E91" s="19">
        <f t="shared" si="5"/>
        <v>-0.5</v>
      </c>
      <c r="F91" s="87">
        <v>9.556760028769812</v>
      </c>
    </row>
    <row r="92" spans="1:6">
      <c r="A92" s="87">
        <v>86</v>
      </c>
      <c r="B92" s="19">
        <v>0.94843926490284503</v>
      </c>
      <c r="C92" s="19">
        <f t="shared" si="3"/>
        <v>1.2978630025522053</v>
      </c>
      <c r="D92" s="19">
        <f t="shared" si="4"/>
        <v>125.89271124756392</v>
      </c>
      <c r="E92" s="19">
        <f t="shared" si="5"/>
        <v>-0.5</v>
      </c>
      <c r="F92" s="87">
        <v>9.660168075141538</v>
      </c>
    </row>
    <row r="93" spans="1:6">
      <c r="A93" s="87">
        <v>87</v>
      </c>
      <c r="B93" s="19">
        <v>-0.57233478401030879</v>
      </c>
      <c r="C93" s="19">
        <f t="shared" si="3"/>
        <v>0.98706413579095031</v>
      </c>
      <c r="D93" s="19">
        <f t="shared" si="4"/>
        <v>95.745221171722179</v>
      </c>
      <c r="E93" s="19">
        <f t="shared" si="5"/>
        <v>3.547270816200534</v>
      </c>
      <c r="F93" s="87">
        <v>9.8967807831014731</v>
      </c>
    </row>
    <row r="94" spans="1:6">
      <c r="A94" s="87">
        <v>88</v>
      </c>
      <c r="B94" s="19">
        <v>1.3358908290683758</v>
      </c>
      <c r="C94" s="19">
        <f t="shared" si="3"/>
        <v>1.3916086069844695</v>
      </c>
      <c r="D94" s="19">
        <f t="shared" si="4"/>
        <v>134.98603487749355</v>
      </c>
      <c r="E94" s="19">
        <f t="shared" si="5"/>
        <v>-0.5</v>
      </c>
      <c r="F94" s="87">
        <v>11.167227622720578</v>
      </c>
    </row>
    <row r="95" spans="1:6">
      <c r="A95" s="87">
        <v>89</v>
      </c>
      <c r="B95" s="19">
        <v>-1.335329216090031</v>
      </c>
      <c r="C95" s="19">
        <f t="shared" si="3"/>
        <v>0.86039881496531956</v>
      </c>
      <c r="D95" s="19">
        <f t="shared" si="4"/>
        <v>83.458685051635996</v>
      </c>
      <c r="E95" s="19">
        <f t="shared" si="5"/>
        <v>15.234585498817349</v>
      </c>
      <c r="F95" s="87">
        <v>11.55981420145994</v>
      </c>
    </row>
    <row r="96" spans="1:6">
      <c r="A96" s="87">
        <v>90</v>
      </c>
      <c r="B96" s="19">
        <v>0.76476680987980217</v>
      </c>
      <c r="C96" s="19">
        <f t="shared" si="3"/>
        <v>1.2556558500698083</v>
      </c>
      <c r="D96" s="19">
        <f t="shared" si="4"/>
        <v>121.79861745677141</v>
      </c>
      <c r="E96" s="19">
        <f t="shared" si="5"/>
        <v>-0.5</v>
      </c>
      <c r="F96" s="87">
        <v>12.614535002725223</v>
      </c>
    </row>
    <row r="97" spans="1:6">
      <c r="A97" s="87">
        <v>91</v>
      </c>
      <c r="B97" s="19">
        <v>-0.53021040002931841</v>
      </c>
      <c r="C97" s="19">
        <f t="shared" si="3"/>
        <v>0.99457688645703435</v>
      </c>
      <c r="D97" s="19">
        <f t="shared" si="4"/>
        <v>96.473957986332337</v>
      </c>
      <c r="E97" s="19">
        <f t="shared" si="5"/>
        <v>2.8540749154264295</v>
      </c>
      <c r="F97" s="87">
        <v>12.927957418397721</v>
      </c>
    </row>
    <row r="98" spans="1:6">
      <c r="A98" s="87">
        <v>92</v>
      </c>
      <c r="B98" s="19">
        <v>0.42388251131342258</v>
      </c>
      <c r="C98" s="19">
        <f t="shared" si="3"/>
        <v>1.1809259711241074</v>
      </c>
      <c r="D98" s="19">
        <f t="shared" si="4"/>
        <v>114.54981919903841</v>
      </c>
      <c r="E98" s="19">
        <f t="shared" si="5"/>
        <v>-0.5</v>
      </c>
      <c r="F98" s="87">
        <v>13.022658751064178</v>
      </c>
    </row>
    <row r="99" spans="1:6">
      <c r="A99" s="87">
        <v>93</v>
      </c>
      <c r="B99" s="19">
        <v>-0.59227431847830303</v>
      </c>
      <c r="C99" s="19">
        <f t="shared" si="3"/>
        <v>0.98352779786661959</v>
      </c>
      <c r="D99" s="19">
        <f t="shared" si="4"/>
        <v>95.402196393062098</v>
      </c>
      <c r="E99" s="19">
        <f t="shared" si="5"/>
        <v>3.8735660789948474</v>
      </c>
      <c r="F99" s="87">
        <v>14.351694935378386</v>
      </c>
    </row>
    <row r="100" spans="1:6">
      <c r="A100" s="87">
        <v>94</v>
      </c>
      <c r="B100" s="19">
        <v>-0.4393325525597902</v>
      </c>
      <c r="C100" s="19">
        <f t="shared" si="3"/>
        <v>1.0109799829045782</v>
      </c>
      <c r="D100" s="19">
        <f t="shared" si="4"/>
        <v>98.065058341744091</v>
      </c>
      <c r="E100" s="19">
        <f t="shared" si="5"/>
        <v>1.3405734400252254</v>
      </c>
      <c r="F100" s="87">
        <v>15.234585498817349</v>
      </c>
    </row>
    <row r="101" spans="1:6">
      <c r="A101" s="87">
        <v>95</v>
      </c>
      <c r="B101" s="19">
        <v>1.4123679648037069</v>
      </c>
      <c r="C101" s="19">
        <f t="shared" si="3"/>
        <v>1.4108977919822987</v>
      </c>
      <c r="D101" s="19">
        <f t="shared" si="4"/>
        <v>136.85708582228298</v>
      </c>
      <c r="E101" s="19">
        <f t="shared" si="5"/>
        <v>-0.5</v>
      </c>
      <c r="F101" s="87">
        <v>16.888158352904625</v>
      </c>
    </row>
    <row r="102" spans="1:6">
      <c r="A102" s="87">
        <v>96</v>
      </c>
      <c r="B102" s="19">
        <v>-1.1762131180148572</v>
      </c>
      <c r="C102" s="19">
        <f t="shared" si="3"/>
        <v>0.88539769569763371</v>
      </c>
      <c r="D102" s="19">
        <f t="shared" si="4"/>
        <v>85.883576482670463</v>
      </c>
      <c r="E102" s="19">
        <f t="shared" si="5"/>
        <v>12.927957418397721</v>
      </c>
      <c r="F102" s="87">
        <v>18.110753296835338</v>
      </c>
    </row>
    <row r="103" spans="1:6">
      <c r="A103" s="87">
        <v>97</v>
      </c>
      <c r="B103" s="19">
        <v>-0.15704472389188595</v>
      </c>
      <c r="C103" s="19">
        <f t="shared" si="3"/>
        <v>1.0636771875217115</v>
      </c>
      <c r="D103" s="19">
        <f t="shared" si="4"/>
        <v>103.17668718960601</v>
      </c>
      <c r="E103" s="19">
        <f t="shared" si="5"/>
        <v>-0.5</v>
      </c>
      <c r="F103" s="87">
        <v>19.173378969651534</v>
      </c>
    </row>
    <row r="104" spans="1:6">
      <c r="A104" s="87">
        <v>98</v>
      </c>
      <c r="B104" s="19">
        <v>0.70454461820190772</v>
      </c>
      <c r="C104" s="19">
        <f t="shared" si="3"/>
        <v>1.2421180549345399</v>
      </c>
      <c r="D104" s="19">
        <f t="shared" si="4"/>
        <v>120.48545132865037</v>
      </c>
      <c r="E104" s="19">
        <f t="shared" si="5"/>
        <v>-0.5</v>
      </c>
      <c r="F104" s="87">
        <v>20.052297931069667</v>
      </c>
    </row>
    <row r="105" spans="1:6">
      <c r="A105" s="87">
        <v>99</v>
      </c>
      <c r="B105" s="19">
        <v>-0.21081291379232425</v>
      </c>
      <c r="C105" s="19">
        <f t="shared" si="3"/>
        <v>1.0534322845187885</v>
      </c>
      <c r="D105" s="19">
        <f t="shared" si="4"/>
        <v>102.18293159832248</v>
      </c>
      <c r="E105" s="19">
        <f t="shared" si="5"/>
        <v>-0.5</v>
      </c>
      <c r="F105" s="87">
        <v>21.672552070968099</v>
      </c>
    </row>
    <row r="106" spans="1:6">
      <c r="A106" s="87">
        <v>100</v>
      </c>
      <c r="B106" s="19">
        <v>0.61679429563810118</v>
      </c>
      <c r="C106" s="19">
        <f t="shared" si="3"/>
        <v>1.2226528597675352</v>
      </c>
      <c r="D106" s="19">
        <f t="shared" si="4"/>
        <v>118.59732739745091</v>
      </c>
      <c r="E106" s="19">
        <f t="shared" si="5"/>
        <v>-0.5</v>
      </c>
      <c r="F106" s="87">
        <v>35.524052620165101</v>
      </c>
    </row>
    <row r="107" spans="1:6">
      <c r="A107" s="87"/>
      <c r="B107" s="19"/>
      <c r="C107" s="19"/>
      <c r="D107" s="19"/>
      <c r="E107" s="19"/>
      <c r="F107" s="87"/>
    </row>
    <row r="108" spans="1:6">
      <c r="A108" s="87"/>
      <c r="B108" s="19"/>
      <c r="C108" s="19"/>
      <c r="D108" s="19"/>
      <c r="E108" s="19"/>
      <c r="F108" s="87"/>
    </row>
    <row r="109" spans="1:6">
      <c r="A109" s="87"/>
      <c r="B109" s="19"/>
      <c r="C109" s="19"/>
      <c r="D109" s="19"/>
      <c r="E109" s="19"/>
      <c r="F109" s="87"/>
    </row>
    <row r="110" spans="1:6">
      <c r="A110" s="87"/>
      <c r="B110" s="19"/>
      <c r="C110" s="19"/>
      <c r="D110" s="19"/>
      <c r="E110" s="19"/>
      <c r="F110" s="87"/>
    </row>
    <row r="111" spans="1:6">
      <c r="A111" s="87"/>
      <c r="B111" s="19"/>
      <c r="C111" s="19"/>
      <c r="D111" s="19"/>
      <c r="E111" s="19"/>
      <c r="F111" s="87"/>
    </row>
    <row r="112" spans="1:6">
      <c r="A112" s="87"/>
      <c r="B112" s="19"/>
      <c r="C112" s="19"/>
      <c r="D112" s="19"/>
      <c r="E112" s="19"/>
      <c r="F112" s="87"/>
    </row>
  </sheetData>
  <pageMargins left="0.75" right="0.75" top="1" bottom="1" header="0.5" footer="0.5"/>
  <pageSetup paperSize="9" orientation="portrait" horizontalDpi="4294967292" verticalDpi="4294967292"/>
  <ignoredErrors>
    <ignoredError sqref="I12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zoomScale="125" zoomScaleNormal="125" zoomScalePageLayoutView="125" workbookViewId="0"/>
  </sheetViews>
  <sheetFormatPr baseColWidth="10" defaultRowHeight="12" x14ac:dyDescent="0"/>
  <cols>
    <col min="9" max="9" width="10.83203125" style="82"/>
    <col min="13" max="14" width="10.83203125" style="8"/>
    <col min="18" max="18" width="10.83203125" style="25"/>
  </cols>
  <sheetData>
    <row r="1" spans="1:18" ht="15">
      <c r="A1" s="70" t="s">
        <v>615</v>
      </c>
    </row>
    <row r="3" spans="1:18">
      <c r="A3" s="52" t="s">
        <v>9</v>
      </c>
      <c r="B3" s="51">
        <v>2.2000000000000001E-4</v>
      </c>
      <c r="H3" s="87"/>
      <c r="I3" s="12"/>
      <c r="J3" s="87"/>
      <c r="K3" s="87"/>
      <c r="L3" s="87"/>
      <c r="P3" s="25"/>
      <c r="R3" s="24"/>
    </row>
    <row r="4" spans="1:18">
      <c r="A4" s="52" t="s">
        <v>10</v>
      </c>
      <c r="B4" s="93">
        <v>2.7E-6</v>
      </c>
      <c r="H4" s="87"/>
      <c r="I4" s="12"/>
      <c r="J4" s="87"/>
      <c r="K4" s="87"/>
      <c r="L4" s="87"/>
      <c r="P4" s="25"/>
      <c r="R4" s="24"/>
    </row>
    <row r="5" spans="1:18">
      <c r="A5" s="52" t="s">
        <v>24</v>
      </c>
      <c r="B5" s="51">
        <v>1.1240000000000001</v>
      </c>
      <c r="H5" s="87"/>
      <c r="I5" s="12"/>
      <c r="J5" s="87"/>
      <c r="K5" s="87"/>
      <c r="L5" s="87"/>
      <c r="P5" s="25"/>
      <c r="R5" s="24"/>
    </row>
    <row r="6" spans="1:18">
      <c r="A6" s="9" t="s">
        <v>25</v>
      </c>
      <c r="B6" s="18">
        <f>EXP(-B4/LN(B5))</f>
        <v>0.99997690236831238</v>
      </c>
      <c r="H6" s="87"/>
      <c r="I6" s="12"/>
      <c r="J6" s="87"/>
      <c r="K6" s="87"/>
      <c r="L6" s="87"/>
      <c r="P6" s="25"/>
      <c r="R6" s="24"/>
    </row>
    <row r="7" spans="1:18">
      <c r="A7" s="9" t="s">
        <v>27</v>
      </c>
      <c r="B7" s="18">
        <f>EXP(-B3)</f>
        <v>0.99978002419822543</v>
      </c>
      <c r="H7" s="87"/>
      <c r="I7" s="12"/>
      <c r="J7" s="87"/>
      <c r="K7" s="87"/>
      <c r="L7" s="87"/>
      <c r="P7" s="25"/>
      <c r="R7" s="24"/>
    </row>
    <row r="8" spans="1:18">
      <c r="H8" s="87"/>
      <c r="I8" s="12"/>
      <c r="J8" s="87"/>
      <c r="K8" s="87"/>
      <c r="L8" s="87"/>
      <c r="P8" s="25"/>
      <c r="R8" s="24"/>
    </row>
    <row r="9" spans="1:18">
      <c r="A9" s="11" t="s">
        <v>1</v>
      </c>
      <c r="E9" s="87"/>
      <c r="F9" s="87"/>
      <c r="G9" s="87"/>
      <c r="H9" s="87"/>
      <c r="I9" s="12" t="s">
        <v>703</v>
      </c>
      <c r="J9" s="87"/>
      <c r="K9" s="87"/>
      <c r="L9" s="87"/>
      <c r="M9" s="87" t="s">
        <v>700</v>
      </c>
      <c r="P9" s="25"/>
      <c r="R9" s="24"/>
    </row>
    <row r="10" spans="1:18">
      <c r="B10" s="87" t="s">
        <v>0</v>
      </c>
      <c r="C10" s="87" t="s">
        <v>101</v>
      </c>
      <c r="D10" s="87" t="s">
        <v>89</v>
      </c>
      <c r="E10" s="87" t="s">
        <v>691</v>
      </c>
      <c r="F10" s="87" t="s">
        <v>388</v>
      </c>
      <c r="G10" s="87" t="s">
        <v>692</v>
      </c>
      <c r="H10" s="87" t="s">
        <v>693</v>
      </c>
      <c r="I10" s="12" t="s">
        <v>691</v>
      </c>
      <c r="J10" s="87" t="s">
        <v>592</v>
      </c>
      <c r="K10" s="22" t="s">
        <v>489</v>
      </c>
      <c r="L10" s="87" t="s">
        <v>681</v>
      </c>
      <c r="M10" s="87" t="s">
        <v>391</v>
      </c>
      <c r="N10" s="10"/>
      <c r="O10" s="87" t="s">
        <v>689</v>
      </c>
      <c r="P10" s="7" t="s">
        <v>690</v>
      </c>
      <c r="R10" s="24"/>
    </row>
    <row r="11" spans="1:18">
      <c r="B11" s="87">
        <v>0</v>
      </c>
      <c r="C11" s="12"/>
      <c r="D11" s="12">
        <f>0.1*C12+100</f>
        <v>473.95868828961386</v>
      </c>
      <c r="E11" s="12"/>
      <c r="F11" s="12"/>
      <c r="G11" s="87"/>
      <c r="H11" s="87"/>
      <c r="I11" s="12"/>
      <c r="J11" s="12">
        <f>-D11</f>
        <v>-473.95868828961386</v>
      </c>
      <c r="K11" s="12">
        <f xml:space="preserve"> J11</f>
        <v>-473.95868828961386</v>
      </c>
      <c r="L11" s="10">
        <f t="shared" ref="L11:L16" si="0">1.1^-B11</f>
        <v>1</v>
      </c>
      <c r="M11" s="12">
        <f t="shared" ref="M11:M16" si="1">K11*L11</f>
        <v>-473.95868828961386</v>
      </c>
      <c r="N11" s="10"/>
      <c r="O11" s="10">
        <f>B$7*B$6^((B$5^(50+B11))*(B$5-1))</f>
        <v>0.99879147253188127</v>
      </c>
      <c r="P11" s="10">
        <v>1</v>
      </c>
      <c r="R11" s="24"/>
    </row>
    <row r="12" spans="1:18">
      <c r="B12" s="87">
        <v>1</v>
      </c>
      <c r="C12" s="355">
        <v>3739.5868828961384</v>
      </c>
      <c r="D12" s="12">
        <v>0</v>
      </c>
      <c r="E12" s="12"/>
      <c r="F12" s="12">
        <f>0.08*(C12-D12+E12)</f>
        <v>299.16695063169107</v>
      </c>
      <c r="G12" s="12">
        <f>(1-O11)*10000</f>
        <v>12.085274681187252</v>
      </c>
      <c r="H12" s="87"/>
      <c r="I12" s="12">
        <f>O11*E13</f>
        <v>2996.374417595644</v>
      </c>
      <c r="J12" s="12">
        <f>C12-D12+F12-G12-I12</f>
        <v>1030.2941412509981</v>
      </c>
      <c r="K12" s="12">
        <f>J12*P11</f>
        <v>1030.2941412509981</v>
      </c>
      <c r="L12" s="10">
        <f t="shared" si="0"/>
        <v>0.90909090909090906</v>
      </c>
      <c r="M12" s="12">
        <f t="shared" si="1"/>
        <v>936.63103750090738</v>
      </c>
      <c r="N12" s="10"/>
      <c r="O12" s="10">
        <f t="shared" ref="O12:O15" si="2">B$7*B$6^((B$5^(50+B12))*(B$5-1))</f>
        <v>0.99866896026142493</v>
      </c>
      <c r="P12" s="10">
        <f>P11*O11</f>
        <v>0.99879147253188127</v>
      </c>
      <c r="R12" s="24"/>
    </row>
    <row r="13" spans="1:18">
      <c r="B13" s="87">
        <v>2</v>
      </c>
      <c r="C13" s="12">
        <f>C12</f>
        <v>3739.5868828961384</v>
      </c>
      <c r="D13" s="12">
        <f>0.06*C13</f>
        <v>224.3752129737683</v>
      </c>
      <c r="E13" s="133">
        <v>3000</v>
      </c>
      <c r="F13" s="12">
        <f>0.08*(C13-D13+E13)</f>
        <v>521.21693359378958</v>
      </c>
      <c r="G13" s="12">
        <f t="shared" ref="G13:G16" si="3">(1-O12)*10000</f>
        <v>13.310397385750683</v>
      </c>
      <c r="H13" s="87"/>
      <c r="I13" s="12">
        <f t="shared" ref="I13:I15" si="4">O12*E14</f>
        <v>6491.348241699262</v>
      </c>
      <c r="J13" s="12">
        <f>C13-D13+E13+F13-G13-I13</f>
        <v>531.76996443114695</v>
      </c>
      <c r="K13" s="12">
        <f t="shared" ref="K13:K16" si="5">J13*P12</f>
        <v>531.12730582241136</v>
      </c>
      <c r="L13" s="10">
        <f t="shared" si="0"/>
        <v>0.82644628099173545</v>
      </c>
      <c r="M13" s="12">
        <f t="shared" si="1"/>
        <v>438.94818663009198</v>
      </c>
      <c r="N13" s="10"/>
      <c r="O13" s="10">
        <f t="shared" si="2"/>
        <v>0.99853127440738909</v>
      </c>
      <c r="P13" s="10">
        <f>P12*O12</f>
        <v>0.99746204139139139</v>
      </c>
      <c r="R13" s="24"/>
    </row>
    <row r="14" spans="1:18">
      <c r="B14" s="87">
        <v>3</v>
      </c>
      <c r="C14" s="12">
        <f>C13</f>
        <v>3739.5868828961384</v>
      </c>
      <c r="D14" s="12">
        <f>0.06*C14</f>
        <v>224.3752129737683</v>
      </c>
      <c r="E14" s="133">
        <v>6500</v>
      </c>
      <c r="F14" s="12">
        <f>0.08*(C14-D14+E14)</f>
        <v>801.21693359378958</v>
      </c>
      <c r="G14" s="12">
        <f t="shared" si="3"/>
        <v>14.687255926109088</v>
      </c>
      <c r="H14" s="87"/>
      <c r="I14" s="12">
        <f t="shared" si="4"/>
        <v>10484.578381277586</v>
      </c>
      <c r="J14" s="12">
        <f>C14-D14+E14+F14-G14-I14</f>
        <v>317.16296631246405</v>
      </c>
      <c r="K14" s="12">
        <f t="shared" si="5"/>
        <v>316.35801983177947</v>
      </c>
      <c r="L14" s="10">
        <f t="shared" si="0"/>
        <v>0.75131480090157754</v>
      </c>
      <c r="M14" s="12">
        <f t="shared" si="1"/>
        <v>237.68446268353071</v>
      </c>
      <c r="N14" s="10"/>
      <c r="O14" s="10">
        <f t="shared" si="2"/>
        <v>0.99837653816669825</v>
      </c>
      <c r="P14" s="10">
        <f>P13*O13</f>
        <v>0.99599704336354189</v>
      </c>
      <c r="R14" s="24"/>
    </row>
    <row r="15" spans="1:18">
      <c r="B15" s="87">
        <v>4</v>
      </c>
      <c r="C15" s="12">
        <f>C14</f>
        <v>3739.5868828961384</v>
      </c>
      <c r="D15" s="12">
        <f>0.06*C15</f>
        <v>224.3752129737683</v>
      </c>
      <c r="E15" s="133">
        <v>10500</v>
      </c>
      <c r="F15" s="12">
        <f>0.08*(C15-D15+E15)</f>
        <v>1121.2169335937897</v>
      </c>
      <c r="G15" s="12">
        <f t="shared" si="3"/>
        <v>16.234618333017536</v>
      </c>
      <c r="H15" s="87"/>
      <c r="I15" s="12">
        <f t="shared" si="4"/>
        <v>14975.648072500473</v>
      </c>
      <c r="J15" s="5">
        <f>C15-D15+E15+F15-G15-I15</f>
        <v>144.54591268266995</v>
      </c>
      <c r="K15" s="12">
        <f t="shared" si="5"/>
        <v>143.96730166222397</v>
      </c>
      <c r="L15" s="10">
        <f t="shared" si="0"/>
        <v>0.68301345536507052</v>
      </c>
      <c r="M15" s="12">
        <f t="shared" si="1"/>
        <v>98.331604167901062</v>
      </c>
      <c r="N15" s="10"/>
      <c r="O15" s="10">
        <f t="shared" si="2"/>
        <v>0.99820264325485253</v>
      </c>
      <c r="P15" s="10">
        <f>P14*O14</f>
        <v>0.99438008017755974</v>
      </c>
      <c r="R15" s="24"/>
    </row>
    <row r="16" spans="1:18">
      <c r="B16" s="87">
        <v>5</v>
      </c>
      <c r="C16" s="12">
        <f>C15</f>
        <v>3739.5868828961384</v>
      </c>
      <c r="D16" s="12">
        <f>0.06*C16</f>
        <v>224.3752129737683</v>
      </c>
      <c r="E16" s="133">
        <v>15000</v>
      </c>
      <c r="F16" s="12">
        <f>0.08*(C16-D16+E16)</f>
        <v>1481.2169335937897</v>
      </c>
      <c r="G16" s="12">
        <f t="shared" si="3"/>
        <v>17.973567451474715</v>
      </c>
      <c r="H16" s="12">
        <f>20000*O15</f>
        <v>19964.052865097052</v>
      </c>
      <c r="I16" s="12"/>
      <c r="J16" s="12">
        <f>C16-D16+E16+F16-G16-I16-H16</f>
        <v>14.402170967634447</v>
      </c>
      <c r="K16" s="12">
        <f t="shared" si="5"/>
        <v>14.321231921527264</v>
      </c>
      <c r="L16" s="10">
        <f t="shared" si="0"/>
        <v>0.62092132305915493</v>
      </c>
      <c r="M16" s="12">
        <f t="shared" si="1"/>
        <v>8.8923582725517125</v>
      </c>
      <c r="N16" s="10"/>
      <c r="O16" s="12"/>
      <c r="P16" s="24"/>
      <c r="R16" s="24"/>
    </row>
    <row r="17" spans="1:18">
      <c r="E17" s="87"/>
      <c r="F17" s="87"/>
      <c r="G17" s="87"/>
      <c r="H17" s="87"/>
      <c r="I17" s="12"/>
      <c r="J17" s="87"/>
      <c r="K17" s="87"/>
      <c r="L17" s="87"/>
      <c r="M17" s="12">
        <f>SUM(M11:M16)</f>
        <v>1246.5289609653692</v>
      </c>
      <c r="N17" s="10"/>
      <c r="O17" s="12"/>
      <c r="P17" s="24"/>
      <c r="R17" s="24"/>
    </row>
    <row r="18" spans="1:18">
      <c r="L18" s="87"/>
      <c r="M18" s="308">
        <f>M17-C12/3</f>
        <v>-1.0231815394945443E-11</v>
      </c>
      <c r="N18" s="356" t="s">
        <v>694</v>
      </c>
      <c r="O18" s="353"/>
      <c r="P18" s="354"/>
      <c r="Q18" s="306"/>
      <c r="R18" s="24"/>
    </row>
    <row r="19" spans="1:18">
      <c r="I19"/>
      <c r="M19"/>
      <c r="N19"/>
      <c r="R19"/>
    </row>
    <row r="20" spans="1:18">
      <c r="A20" t="s">
        <v>708</v>
      </c>
      <c r="L20" s="87"/>
      <c r="M20"/>
      <c r="N20"/>
      <c r="R20" s="24"/>
    </row>
    <row r="21" spans="1:18">
      <c r="A21" t="s">
        <v>705</v>
      </c>
      <c r="E21" s="87"/>
      <c r="F21" s="87"/>
      <c r="G21" s="87"/>
      <c r="H21" s="87"/>
      <c r="I21" s="12"/>
      <c r="J21" s="87"/>
      <c r="K21" s="87"/>
      <c r="L21" s="87"/>
      <c r="P21" s="25"/>
      <c r="R21" s="24"/>
    </row>
    <row r="22" spans="1:18">
      <c r="A22" s="1" t="s">
        <v>203</v>
      </c>
      <c r="E22" s="87"/>
      <c r="G22" s="87"/>
      <c r="H22" s="11" t="s">
        <v>695</v>
      </c>
      <c r="I22" s="12"/>
      <c r="J22" s="87"/>
      <c r="M22" s="10"/>
      <c r="N22" s="10"/>
      <c r="O22" s="87"/>
      <c r="P22" s="24"/>
      <c r="R22" s="24"/>
    </row>
    <row r="23" spans="1:18">
      <c r="A23" s="60" t="s">
        <v>696</v>
      </c>
      <c r="B23" s="60"/>
      <c r="C23" s="60"/>
      <c r="D23" s="56">
        <f>COUNTIF(R29:R88,"&lt;0")/10</f>
        <v>0.4</v>
      </c>
      <c r="E23" s="87"/>
      <c r="G23" s="87"/>
      <c r="H23" s="336" t="s">
        <v>704</v>
      </c>
      <c r="I23" s="81"/>
      <c r="J23" s="332"/>
      <c r="K23" s="100"/>
      <c r="L23" s="56">
        <f>1-COUNTIF(P34:P88,"&lt;0")/10</f>
        <v>0.6</v>
      </c>
      <c r="M23" s="10"/>
      <c r="N23" s="10"/>
      <c r="O23" s="87"/>
      <c r="P23" s="24"/>
      <c r="R23" s="24"/>
    </row>
    <row r="24" spans="1:18">
      <c r="A24" s="60" t="s">
        <v>697</v>
      </c>
      <c r="B24" s="49">
        <f>D23-NORMSINV(0.975)*SQRT(D23*(1-D23)/500)</f>
        <v>0.35705934055078825</v>
      </c>
      <c r="E24" s="87"/>
      <c r="G24" s="87"/>
      <c r="H24" s="60" t="s">
        <v>697</v>
      </c>
      <c r="I24" s="57">
        <f>L23-NORMSINV(0.975)*SQRT(L23*(1-L23)/500)</f>
        <v>0.55705934055078821</v>
      </c>
      <c r="J24" s="87"/>
      <c r="M24" s="10"/>
      <c r="N24" s="10"/>
      <c r="O24" s="87"/>
      <c r="P24" s="24"/>
      <c r="R24" s="24"/>
    </row>
    <row r="25" spans="1:18">
      <c r="A25" s="60" t="s">
        <v>698</v>
      </c>
      <c r="B25" s="49">
        <f>D23+NORMSINV(0.975)*SQRT(D23*(1-D23)/500)</f>
        <v>0.44294065944921179</v>
      </c>
      <c r="E25" s="87"/>
      <c r="F25" s="87"/>
      <c r="G25" s="87"/>
      <c r="H25" s="60" t="s">
        <v>698</v>
      </c>
      <c r="I25" s="57">
        <f>L23+NORMSINV(0.975)*SQRT(L23*(1-L23)/500)</f>
        <v>0.64294065944921175</v>
      </c>
      <c r="J25" s="87"/>
      <c r="K25" s="87"/>
      <c r="L25" s="87"/>
      <c r="P25" s="25"/>
      <c r="R25" s="24"/>
    </row>
    <row r="26" spans="1:18">
      <c r="E26" s="87"/>
      <c r="F26" s="87" t="s">
        <v>608</v>
      </c>
      <c r="G26" s="87"/>
      <c r="H26" s="87"/>
      <c r="I26" s="12"/>
      <c r="J26" s="87"/>
      <c r="K26" s="87"/>
      <c r="L26" s="87"/>
      <c r="P26" s="25"/>
      <c r="R26" s="24"/>
    </row>
    <row r="27" spans="1:18">
      <c r="E27" s="87"/>
      <c r="F27" s="87" t="s">
        <v>706</v>
      </c>
      <c r="G27" s="87"/>
      <c r="H27" s="87"/>
      <c r="I27" s="12"/>
      <c r="J27" s="87" t="s">
        <v>703</v>
      </c>
      <c r="K27" s="87"/>
      <c r="L27" s="87"/>
      <c r="M27" s="10"/>
      <c r="N27" s="10" t="s">
        <v>699</v>
      </c>
      <c r="O27" s="87" t="s">
        <v>700</v>
      </c>
      <c r="P27" s="24" t="s">
        <v>701</v>
      </c>
      <c r="Q27" s="87"/>
      <c r="R27" s="24" t="s">
        <v>709</v>
      </c>
    </row>
    <row r="28" spans="1:18" ht="14" customHeight="1">
      <c r="B28" s="87" t="s">
        <v>0</v>
      </c>
      <c r="C28" s="87" t="s">
        <v>101</v>
      </c>
      <c r="D28" s="87" t="s">
        <v>89</v>
      </c>
      <c r="E28" s="87" t="s">
        <v>691</v>
      </c>
      <c r="F28" s="87" t="s">
        <v>707</v>
      </c>
      <c r="G28" s="87" t="s">
        <v>388</v>
      </c>
      <c r="H28" s="87" t="s">
        <v>692</v>
      </c>
      <c r="I28" s="12" t="s">
        <v>693</v>
      </c>
      <c r="J28" s="87" t="s">
        <v>691</v>
      </c>
      <c r="K28" s="87" t="s">
        <v>592</v>
      </c>
      <c r="L28" s="22" t="s">
        <v>489</v>
      </c>
      <c r="M28" s="87" t="s">
        <v>681</v>
      </c>
      <c r="N28" s="10" t="s">
        <v>621</v>
      </c>
      <c r="O28" s="87" t="s">
        <v>391</v>
      </c>
      <c r="P28" s="24" t="s">
        <v>702</v>
      </c>
      <c r="Q28" s="87"/>
      <c r="R28" s="24" t="s">
        <v>702</v>
      </c>
    </row>
    <row r="29" spans="1:18">
      <c r="B29" s="87">
        <v>0</v>
      </c>
      <c r="D29" s="12">
        <f>IF(B29&lt;0.5,0.1*3740+100,0.06*3740)</f>
        <v>474</v>
      </c>
      <c r="E29" s="87">
        <v>0</v>
      </c>
      <c r="F29" s="5">
        <v>-0.26821634133346378</v>
      </c>
      <c r="G29" s="12">
        <f>IF(B29&lt;0.5,0,(EXP(F29)-1)*(C29-D29+E29))</f>
        <v>0</v>
      </c>
      <c r="H29" s="87">
        <v>0</v>
      </c>
      <c r="I29" s="12">
        <v>0</v>
      </c>
      <c r="J29" s="12">
        <v>0</v>
      </c>
      <c r="K29" s="12">
        <f>C29-D29+E29+G29-H29-I29-J29</f>
        <v>-474</v>
      </c>
      <c r="L29" s="12">
        <f>K29*N29</f>
        <v>-474</v>
      </c>
      <c r="M29" s="10">
        <f>1.1^-B29</f>
        <v>1</v>
      </c>
      <c r="N29" s="10">
        <f>P11</f>
        <v>1</v>
      </c>
      <c r="O29" s="12">
        <f>M29*L29</f>
        <v>-474</v>
      </c>
      <c r="P29" s="24"/>
      <c r="Q29" s="87"/>
      <c r="R29" s="24">
        <f>IF(B29&lt;4.5,10^8,K29)</f>
        <v>100000000</v>
      </c>
    </row>
    <row r="30" spans="1:18">
      <c r="B30" s="87">
        <v>1</v>
      </c>
      <c r="C30" s="87">
        <v>3740</v>
      </c>
      <c r="D30" s="12">
        <f t="shared" ref="D30:D88" si="6">IF(B30&lt;0.5,0.1*3740+100,0.06*3740)</f>
        <v>224.4</v>
      </c>
      <c r="E30" s="87">
        <v>0</v>
      </c>
      <c r="F30" s="5">
        <v>0.14427479431498796</v>
      </c>
      <c r="G30" s="12">
        <f t="shared" ref="G30:G88" si="7">IF(B30&lt;0.5,0,(EXP(F30)-1)*(C30-D30+E30))</f>
        <v>545.62642054098069</v>
      </c>
      <c r="H30" s="12">
        <f>(1-O$11)*10000</f>
        <v>12.085274681187252</v>
      </c>
      <c r="I30" s="12">
        <v>0</v>
      </c>
      <c r="J30" s="12">
        <f>O$11*E31</f>
        <v>2996.374417595644</v>
      </c>
      <c r="K30" s="12">
        <f t="shared" ref="K30:K88" si="8">C30-D30+E30+G30-H30-I30-J30</f>
        <v>1052.7667282641492</v>
      </c>
      <c r="L30" s="12">
        <f t="shared" ref="L30:L88" si="9">K30*N30</f>
        <v>1052.7667282641492</v>
      </c>
      <c r="M30" s="10">
        <f t="shared" ref="M30:M88" si="10">1.1^-B30</f>
        <v>0.90909090909090906</v>
      </c>
      <c r="N30" s="10">
        <f>P11</f>
        <v>1</v>
      </c>
      <c r="O30" s="12">
        <f t="shared" ref="O30:O88" si="11">M30*L30</f>
        <v>957.06066205831735</v>
      </c>
      <c r="P30" s="24"/>
      <c r="Q30" s="87"/>
      <c r="R30" s="24">
        <f t="shared" ref="R30:R88" si="12">IF(B30&lt;4.5,10^8,K30)</f>
        <v>100000000</v>
      </c>
    </row>
    <row r="31" spans="1:18">
      <c r="B31" s="87">
        <v>2</v>
      </c>
      <c r="C31" s="87">
        <v>3740</v>
      </c>
      <c r="D31" s="12">
        <f t="shared" si="6"/>
        <v>224.4</v>
      </c>
      <c r="E31" s="12">
        <v>3000</v>
      </c>
      <c r="F31" s="5">
        <v>0.14933108463475947</v>
      </c>
      <c r="G31" s="12">
        <f t="shared" si="7"/>
        <v>1049.3851642609202</v>
      </c>
      <c r="H31" s="12">
        <f>(1-O$12)*10000</f>
        <v>13.310397385750683</v>
      </c>
      <c r="I31" s="12">
        <v>0</v>
      </c>
      <c r="J31" s="12">
        <f>O$12*E32</f>
        <v>6491.348241699262</v>
      </c>
      <c r="K31" s="12">
        <f t="shared" si="8"/>
        <v>1060.3265251759085</v>
      </c>
      <c r="L31" s="12">
        <f t="shared" si="9"/>
        <v>1059.0450914450585</v>
      </c>
      <c r="M31" s="10">
        <f t="shared" si="10"/>
        <v>0.82644628099173545</v>
      </c>
      <c r="N31" s="10">
        <f t="shared" ref="N31:N34" si="13">P12</f>
        <v>0.99879147253188127</v>
      </c>
      <c r="O31" s="12">
        <f t="shared" si="11"/>
        <v>875.24387722732092</v>
      </c>
      <c r="P31" s="24"/>
      <c r="Q31" s="87"/>
      <c r="R31" s="24">
        <f t="shared" si="12"/>
        <v>100000000</v>
      </c>
    </row>
    <row r="32" spans="1:18">
      <c r="B32" s="87">
        <v>3</v>
      </c>
      <c r="C32" s="87">
        <v>3740</v>
      </c>
      <c r="D32" s="12">
        <f t="shared" si="6"/>
        <v>224.4</v>
      </c>
      <c r="E32" s="12">
        <v>6500</v>
      </c>
      <c r="F32" s="5">
        <v>0.16898044481815305</v>
      </c>
      <c r="G32" s="12">
        <f t="shared" si="7"/>
        <v>1843.8417475993588</v>
      </c>
      <c r="H32" s="12">
        <f>(1-O$13)*10000</f>
        <v>14.687255926109088</v>
      </c>
      <c r="I32" s="12">
        <v>0</v>
      </c>
      <c r="J32" s="12">
        <f>O$13*E33</f>
        <v>10484.578381277586</v>
      </c>
      <c r="K32" s="12">
        <f t="shared" si="8"/>
        <v>1360.1761103956651</v>
      </c>
      <c r="L32" s="12">
        <f t="shared" si="9"/>
        <v>1356.7240397270625</v>
      </c>
      <c r="M32" s="10">
        <f t="shared" si="10"/>
        <v>0.75131480090157754</v>
      </c>
      <c r="N32" s="10">
        <f t="shared" si="13"/>
        <v>0.99746204139139139</v>
      </c>
      <c r="O32" s="12">
        <f t="shared" si="11"/>
        <v>1019.3268517859219</v>
      </c>
      <c r="P32" s="24"/>
      <c r="Q32" s="87"/>
      <c r="R32" s="24">
        <f t="shared" si="12"/>
        <v>100000000</v>
      </c>
    </row>
    <row r="33" spans="2:18">
      <c r="B33" s="87">
        <v>4</v>
      </c>
      <c r="C33" s="87">
        <v>3740</v>
      </c>
      <c r="D33" s="12">
        <f t="shared" si="6"/>
        <v>224.4</v>
      </c>
      <c r="E33" s="12">
        <v>10500</v>
      </c>
      <c r="F33" s="5">
        <v>-2.9322437109658428E-3</v>
      </c>
      <c r="G33" s="12">
        <f t="shared" si="7"/>
        <v>-41.036960367775087</v>
      </c>
      <c r="H33" s="12">
        <f>(1-O$14)*10000</f>
        <v>16.234618333017536</v>
      </c>
      <c r="I33" s="12">
        <v>0</v>
      </c>
      <c r="J33" s="12">
        <f>O$14*E34</f>
        <v>14975.648072500473</v>
      </c>
      <c r="K33" s="12">
        <f t="shared" si="8"/>
        <v>-1017.3196512012655</v>
      </c>
      <c r="L33" s="12">
        <f t="shared" si="9"/>
        <v>-1013.2473647520901</v>
      </c>
      <c r="M33" s="10">
        <f t="shared" si="10"/>
        <v>0.68301345536507052</v>
      </c>
      <c r="N33" s="10">
        <f t="shared" si="13"/>
        <v>0.99599704336354189</v>
      </c>
      <c r="O33" s="12">
        <f t="shared" si="11"/>
        <v>-692.06158373887706</v>
      </c>
      <c r="P33" s="24"/>
      <c r="Q33" s="87"/>
      <c r="R33" s="24">
        <f t="shared" si="12"/>
        <v>100000000</v>
      </c>
    </row>
    <row r="34" spans="2:18">
      <c r="B34" s="87">
        <v>5</v>
      </c>
      <c r="C34" s="87">
        <v>3740</v>
      </c>
      <c r="D34" s="12">
        <f t="shared" si="6"/>
        <v>224.4</v>
      </c>
      <c r="E34" s="12">
        <v>15000</v>
      </c>
      <c r="F34" s="5">
        <v>8.772169753166964E-2</v>
      </c>
      <c r="G34" s="12">
        <f t="shared" si="7"/>
        <v>1697.5891089521922</v>
      </c>
      <c r="H34" s="12">
        <f>(1-O$15)*10000</f>
        <v>17.973567451474715</v>
      </c>
      <c r="I34" s="12">
        <f>20000*O$15</f>
        <v>19964.052865097052</v>
      </c>
      <c r="J34" s="12">
        <v>0</v>
      </c>
      <c r="K34" s="12">
        <f t="shared" si="8"/>
        <v>231.16267640366641</v>
      </c>
      <c r="L34" s="12">
        <f t="shared" si="9"/>
        <v>229.86356069633709</v>
      </c>
      <c r="M34" s="10">
        <f t="shared" si="10"/>
        <v>0.62092132305915493</v>
      </c>
      <c r="N34" s="10">
        <f t="shared" si="13"/>
        <v>0.99438008017755974</v>
      </c>
      <c r="O34" s="12">
        <f t="shared" si="11"/>
        <v>142.72718623065799</v>
      </c>
      <c r="P34" s="24">
        <f t="shared" ref="P34:P88" si="14">IF(B34&lt;4.5,10^8,SUM(O29:O34)-3740/3)</f>
        <v>581.63032689667443</v>
      </c>
      <c r="Q34" s="87"/>
      <c r="R34" s="24">
        <f t="shared" si="12"/>
        <v>231.16267640366641</v>
      </c>
    </row>
    <row r="35" spans="2:18">
      <c r="B35" s="87">
        <f>B29</f>
        <v>0</v>
      </c>
      <c r="C35" s="87">
        <f>IF(B35&lt;0.5,0,3740)</f>
        <v>0</v>
      </c>
      <c r="D35" s="12">
        <f t="shared" si="6"/>
        <v>474</v>
      </c>
      <c r="E35" s="12">
        <f>E29</f>
        <v>0</v>
      </c>
      <c r="F35" s="5">
        <v>9.6166435418417684E-2</v>
      </c>
      <c r="G35" s="12">
        <f t="shared" si="7"/>
        <v>0</v>
      </c>
      <c r="H35" s="87">
        <f>H29</f>
        <v>0</v>
      </c>
      <c r="I35" s="12">
        <f>I29</f>
        <v>0</v>
      </c>
      <c r="J35" s="12">
        <f>J29</f>
        <v>0</v>
      </c>
      <c r="K35" s="12">
        <f t="shared" si="8"/>
        <v>-474</v>
      </c>
      <c r="L35" s="12">
        <f t="shared" si="9"/>
        <v>-474</v>
      </c>
      <c r="M35" s="10">
        <f t="shared" si="10"/>
        <v>1</v>
      </c>
      <c r="N35" s="10">
        <f>N29</f>
        <v>1</v>
      </c>
      <c r="O35" s="12">
        <f t="shared" si="11"/>
        <v>-474</v>
      </c>
      <c r="P35" s="24">
        <f t="shared" si="14"/>
        <v>100000000</v>
      </c>
      <c r="Q35" s="87"/>
      <c r="R35" s="24">
        <f t="shared" si="12"/>
        <v>100000000</v>
      </c>
    </row>
    <row r="36" spans="2:18">
      <c r="B36" s="87">
        <f t="shared" ref="B36:B88" si="15">B30</f>
        <v>1</v>
      </c>
      <c r="C36" s="87">
        <f t="shared" ref="C36:C88" si="16">IF(B36&lt;0.5,0,3740)</f>
        <v>3740</v>
      </c>
      <c r="D36" s="12">
        <f t="shared" si="6"/>
        <v>224.4</v>
      </c>
      <c r="E36" s="12">
        <f t="shared" ref="E36:E88" si="17">E30</f>
        <v>0</v>
      </c>
      <c r="F36" s="5">
        <v>0.20964890968054534</v>
      </c>
      <c r="G36" s="12">
        <f t="shared" si="7"/>
        <v>819.99613450840582</v>
      </c>
      <c r="H36" s="12">
        <f>H30</f>
        <v>12.085274681187252</v>
      </c>
      <c r="I36" s="12">
        <f t="shared" ref="I36:J40" si="18">I30</f>
        <v>0</v>
      </c>
      <c r="J36" s="12">
        <f t="shared" si="18"/>
        <v>2996.374417595644</v>
      </c>
      <c r="K36" s="12">
        <f t="shared" si="8"/>
        <v>1327.1364422315751</v>
      </c>
      <c r="L36" s="12">
        <f t="shared" si="9"/>
        <v>1327.1364422315751</v>
      </c>
      <c r="M36" s="10">
        <f t="shared" si="10"/>
        <v>0.90909090909090906</v>
      </c>
      <c r="N36" s="10">
        <f t="shared" ref="N36:N88" si="19">N30</f>
        <v>1</v>
      </c>
      <c r="O36" s="12">
        <f t="shared" si="11"/>
        <v>1206.4876747559772</v>
      </c>
      <c r="P36" s="24">
        <f t="shared" si="14"/>
        <v>100000000</v>
      </c>
      <c r="Q36" s="87"/>
      <c r="R36" s="24">
        <f t="shared" si="12"/>
        <v>100000000</v>
      </c>
    </row>
    <row r="37" spans="2:18">
      <c r="B37" s="87">
        <f t="shared" si="15"/>
        <v>2</v>
      </c>
      <c r="C37" s="87">
        <f t="shared" si="16"/>
        <v>3740</v>
      </c>
      <c r="D37" s="12">
        <f t="shared" si="6"/>
        <v>224.4</v>
      </c>
      <c r="E37" s="12">
        <f t="shared" si="17"/>
        <v>3000</v>
      </c>
      <c r="F37" s="5">
        <v>0.29071685634728056</v>
      </c>
      <c r="G37" s="12">
        <f t="shared" si="7"/>
        <v>2198.2712965066989</v>
      </c>
      <c r="H37" s="12">
        <f t="shared" ref="H37:J52" si="20">H31</f>
        <v>13.310397385750683</v>
      </c>
      <c r="I37" s="12">
        <f t="shared" si="18"/>
        <v>0</v>
      </c>
      <c r="J37" s="12">
        <f t="shared" si="18"/>
        <v>6491.348241699262</v>
      </c>
      <c r="K37" s="12">
        <f t="shared" si="8"/>
        <v>2209.2126574216863</v>
      </c>
      <c r="L37" s="12">
        <f t="shared" si="9"/>
        <v>2206.5427632422766</v>
      </c>
      <c r="M37" s="10">
        <f t="shared" si="10"/>
        <v>0.82644628099173545</v>
      </c>
      <c r="N37" s="10">
        <f t="shared" si="19"/>
        <v>0.99879147253188127</v>
      </c>
      <c r="O37" s="12">
        <f t="shared" si="11"/>
        <v>1823.5890605308068</v>
      </c>
      <c r="P37" s="24">
        <f t="shared" si="14"/>
        <v>100000000</v>
      </c>
      <c r="Q37" s="87"/>
      <c r="R37" s="24">
        <f t="shared" si="12"/>
        <v>100000000</v>
      </c>
    </row>
    <row r="38" spans="2:18">
      <c r="B38" s="87">
        <f t="shared" si="15"/>
        <v>3</v>
      </c>
      <c r="C38" s="87">
        <f t="shared" si="16"/>
        <v>3740</v>
      </c>
      <c r="D38" s="12">
        <f t="shared" si="6"/>
        <v>224.4</v>
      </c>
      <c r="E38" s="12">
        <f t="shared" si="17"/>
        <v>6500</v>
      </c>
      <c r="F38" s="5">
        <v>2.5956536723533652E-2</v>
      </c>
      <c r="G38" s="12">
        <f t="shared" si="7"/>
        <v>263.37363594875552</v>
      </c>
      <c r="H38" s="12">
        <f t="shared" si="20"/>
        <v>14.687255926109088</v>
      </c>
      <c r="I38" s="12">
        <f t="shared" si="18"/>
        <v>0</v>
      </c>
      <c r="J38" s="12">
        <f t="shared" si="18"/>
        <v>10484.578381277586</v>
      </c>
      <c r="K38" s="12">
        <f t="shared" si="8"/>
        <v>-220.29200125493844</v>
      </c>
      <c r="L38" s="12">
        <f t="shared" si="9"/>
        <v>-219.73290927394584</v>
      </c>
      <c r="M38" s="10">
        <f t="shared" si="10"/>
        <v>0.75131480090157754</v>
      </c>
      <c r="N38" s="10">
        <f t="shared" si="19"/>
        <v>0.99746204139139139</v>
      </c>
      <c r="O38" s="12">
        <f t="shared" si="11"/>
        <v>-165.088586982679</v>
      </c>
      <c r="P38" s="24">
        <f t="shared" si="14"/>
        <v>100000000</v>
      </c>
      <c r="Q38" s="87"/>
      <c r="R38" s="24">
        <f t="shared" si="12"/>
        <v>100000000</v>
      </c>
    </row>
    <row r="39" spans="2:18">
      <c r="B39" s="87">
        <f t="shared" si="15"/>
        <v>4</v>
      </c>
      <c r="C39" s="87">
        <f t="shared" si="16"/>
        <v>3740</v>
      </c>
      <c r="D39" s="12">
        <f t="shared" si="6"/>
        <v>224.4</v>
      </c>
      <c r="E39" s="12">
        <f t="shared" si="17"/>
        <v>10500</v>
      </c>
      <c r="F39" s="5">
        <v>-0.19531661205808631</v>
      </c>
      <c r="G39" s="12">
        <f t="shared" si="7"/>
        <v>-2486.7293239286369</v>
      </c>
      <c r="H39" s="12">
        <f t="shared" si="20"/>
        <v>16.234618333017536</v>
      </c>
      <c r="I39" s="12">
        <f t="shared" si="18"/>
        <v>0</v>
      </c>
      <c r="J39" s="12">
        <f t="shared" si="18"/>
        <v>14975.648072500473</v>
      </c>
      <c r="K39" s="12">
        <f t="shared" si="8"/>
        <v>-3463.0120147621274</v>
      </c>
      <c r="L39" s="12">
        <f t="shared" si="9"/>
        <v>-3449.1497278355009</v>
      </c>
      <c r="M39" s="10">
        <f t="shared" si="10"/>
        <v>0.68301345536507052</v>
      </c>
      <c r="N39" s="10">
        <f t="shared" si="19"/>
        <v>0.99599704336354189</v>
      </c>
      <c r="O39" s="12">
        <f t="shared" si="11"/>
        <v>-2355.8156736804181</v>
      </c>
      <c r="P39" s="24">
        <f t="shared" si="14"/>
        <v>100000000</v>
      </c>
      <c r="Q39" s="87"/>
      <c r="R39" s="24">
        <f t="shared" si="12"/>
        <v>100000000</v>
      </c>
    </row>
    <row r="40" spans="2:18">
      <c r="B40" s="87">
        <f t="shared" si="15"/>
        <v>5</v>
      </c>
      <c r="C40" s="87">
        <f t="shared" si="16"/>
        <v>3740</v>
      </c>
      <c r="D40" s="12">
        <f t="shared" si="6"/>
        <v>224.4</v>
      </c>
      <c r="E40" s="12">
        <f t="shared" si="17"/>
        <v>15000</v>
      </c>
      <c r="F40" s="5">
        <v>0.2400906977930572</v>
      </c>
      <c r="G40" s="12">
        <f t="shared" si="7"/>
        <v>5024.4757037872732</v>
      </c>
      <c r="H40" s="12">
        <f t="shared" si="20"/>
        <v>17.973567451474715</v>
      </c>
      <c r="I40" s="12">
        <f t="shared" si="18"/>
        <v>19964.052865097052</v>
      </c>
      <c r="J40" s="12">
        <f t="shared" si="18"/>
        <v>0</v>
      </c>
      <c r="K40" s="12">
        <f t="shared" si="8"/>
        <v>3558.0492712387459</v>
      </c>
      <c r="L40" s="12">
        <f t="shared" si="9"/>
        <v>3538.0533196100923</v>
      </c>
      <c r="M40" s="10">
        <f t="shared" si="10"/>
        <v>0.62092132305915493</v>
      </c>
      <c r="N40" s="10">
        <f t="shared" si="19"/>
        <v>0.99438008017755974</v>
      </c>
      <c r="O40" s="12">
        <f t="shared" si="11"/>
        <v>2196.8527482661339</v>
      </c>
      <c r="P40" s="24">
        <f t="shared" si="14"/>
        <v>985.35855622315444</v>
      </c>
      <c r="Q40" s="87"/>
      <c r="R40" s="24">
        <f t="shared" si="12"/>
        <v>3558.0492712387459</v>
      </c>
    </row>
    <row r="41" spans="2:18">
      <c r="B41" s="87">
        <f t="shared" si="15"/>
        <v>0</v>
      </c>
      <c r="C41" s="87">
        <f t="shared" si="16"/>
        <v>0</v>
      </c>
      <c r="D41" s="12">
        <f t="shared" si="6"/>
        <v>474</v>
      </c>
      <c r="E41" s="12">
        <f t="shared" si="17"/>
        <v>0</v>
      </c>
      <c r="F41" s="5">
        <v>0.13143883410913987</v>
      </c>
      <c r="G41" s="12">
        <f t="shared" si="7"/>
        <v>0</v>
      </c>
      <c r="H41" s="12">
        <f t="shared" si="20"/>
        <v>0</v>
      </c>
      <c r="I41" s="12">
        <f t="shared" si="20"/>
        <v>0</v>
      </c>
      <c r="J41" s="12">
        <f t="shared" si="20"/>
        <v>0</v>
      </c>
      <c r="K41" s="12">
        <f t="shared" si="8"/>
        <v>-474</v>
      </c>
      <c r="L41" s="12">
        <f t="shared" si="9"/>
        <v>-474</v>
      </c>
      <c r="M41" s="10">
        <f t="shared" si="10"/>
        <v>1</v>
      </c>
      <c r="N41" s="10">
        <f t="shared" si="19"/>
        <v>1</v>
      </c>
      <c r="O41" s="12">
        <f t="shared" si="11"/>
        <v>-474</v>
      </c>
      <c r="P41" s="24">
        <f t="shared" si="14"/>
        <v>100000000</v>
      </c>
      <c r="Q41" s="87"/>
      <c r="R41" s="24">
        <f t="shared" si="12"/>
        <v>100000000</v>
      </c>
    </row>
    <row r="42" spans="2:18">
      <c r="B42" s="87">
        <f t="shared" si="15"/>
        <v>1</v>
      </c>
      <c r="C42" s="87">
        <f t="shared" si="16"/>
        <v>3740</v>
      </c>
      <c r="D42" s="12">
        <f t="shared" si="6"/>
        <v>224.4</v>
      </c>
      <c r="E42" s="12">
        <f t="shared" si="17"/>
        <v>0</v>
      </c>
      <c r="F42" s="5">
        <v>0.13151672096166295</v>
      </c>
      <c r="G42" s="12">
        <f t="shared" si="7"/>
        <v>494.14211457240447</v>
      </c>
      <c r="H42" s="12">
        <f t="shared" si="20"/>
        <v>12.085274681187252</v>
      </c>
      <c r="I42" s="12">
        <f t="shared" si="20"/>
        <v>0</v>
      </c>
      <c r="J42" s="12">
        <f t="shared" si="20"/>
        <v>2996.374417595644</v>
      </c>
      <c r="K42" s="12">
        <f t="shared" si="8"/>
        <v>1001.2824222955728</v>
      </c>
      <c r="L42" s="12">
        <f t="shared" si="9"/>
        <v>1001.2824222955728</v>
      </c>
      <c r="M42" s="10">
        <f t="shared" si="10"/>
        <v>0.90909090909090906</v>
      </c>
      <c r="N42" s="10">
        <f t="shared" si="19"/>
        <v>1</v>
      </c>
      <c r="O42" s="12">
        <f t="shared" si="11"/>
        <v>910.25674754142983</v>
      </c>
      <c r="P42" s="24">
        <f t="shared" si="14"/>
        <v>100000000</v>
      </c>
      <c r="Q42" s="87"/>
      <c r="R42" s="24">
        <f t="shared" si="12"/>
        <v>100000000</v>
      </c>
    </row>
    <row r="43" spans="2:18">
      <c r="B43" s="87">
        <f t="shared" si="15"/>
        <v>2</v>
      </c>
      <c r="C43" s="87">
        <f t="shared" si="16"/>
        <v>3740</v>
      </c>
      <c r="D43" s="12">
        <f t="shared" si="6"/>
        <v>224.4</v>
      </c>
      <c r="E43" s="12">
        <f t="shared" si="17"/>
        <v>3000</v>
      </c>
      <c r="F43" s="5">
        <v>1.3007219371793333E-2</v>
      </c>
      <c r="G43" s="12">
        <f t="shared" si="7"/>
        <v>85.303415973487375</v>
      </c>
      <c r="H43" s="12">
        <f t="shared" si="20"/>
        <v>13.310397385750683</v>
      </c>
      <c r="I43" s="12">
        <f t="shared" si="20"/>
        <v>0</v>
      </c>
      <c r="J43" s="12">
        <f t="shared" si="20"/>
        <v>6491.348241699262</v>
      </c>
      <c r="K43" s="12">
        <f t="shared" si="8"/>
        <v>96.244776888474917</v>
      </c>
      <c r="L43" s="12">
        <f t="shared" si="9"/>
        <v>96.128462431942239</v>
      </c>
      <c r="M43" s="10">
        <f t="shared" si="10"/>
        <v>0.82644628099173545</v>
      </c>
      <c r="N43" s="10">
        <f t="shared" si="19"/>
        <v>0.99879147253188127</v>
      </c>
      <c r="O43" s="12">
        <f t="shared" si="11"/>
        <v>79.445010274332418</v>
      </c>
      <c r="P43" s="24">
        <f t="shared" si="14"/>
        <v>100000000</v>
      </c>
      <c r="Q43" s="87"/>
      <c r="R43" s="24">
        <f t="shared" si="12"/>
        <v>100000000</v>
      </c>
    </row>
    <row r="44" spans="2:18">
      <c r="B44" s="87">
        <f t="shared" si="15"/>
        <v>3</v>
      </c>
      <c r="C44" s="87">
        <f t="shared" si="16"/>
        <v>3740</v>
      </c>
      <c r="D44" s="12">
        <f t="shared" si="6"/>
        <v>224.4</v>
      </c>
      <c r="E44" s="12">
        <f t="shared" si="17"/>
        <v>6500</v>
      </c>
      <c r="F44" s="5">
        <v>-0.26536452974658459</v>
      </c>
      <c r="G44" s="12">
        <f t="shared" si="7"/>
        <v>-2334.3726336973168</v>
      </c>
      <c r="H44" s="12">
        <f t="shared" si="20"/>
        <v>14.687255926109088</v>
      </c>
      <c r="I44" s="12">
        <f t="shared" si="20"/>
        <v>0</v>
      </c>
      <c r="J44" s="12">
        <f t="shared" si="20"/>
        <v>10484.578381277586</v>
      </c>
      <c r="K44" s="12">
        <f t="shared" si="8"/>
        <v>-2818.0382709010119</v>
      </c>
      <c r="L44" s="12">
        <f t="shared" si="9"/>
        <v>-2810.8862064119903</v>
      </c>
      <c r="M44" s="10">
        <f t="shared" si="10"/>
        <v>0.75131480090157754</v>
      </c>
      <c r="N44" s="10">
        <f t="shared" si="19"/>
        <v>0.99746204139139139</v>
      </c>
      <c r="O44" s="12">
        <f t="shared" si="11"/>
        <v>-2111.8604105274153</v>
      </c>
      <c r="P44" s="24">
        <f t="shared" si="14"/>
        <v>100000000</v>
      </c>
      <c r="Q44" s="87"/>
      <c r="R44" s="24">
        <f t="shared" si="12"/>
        <v>100000000</v>
      </c>
    </row>
    <row r="45" spans="2:18">
      <c r="B45" s="87">
        <f t="shared" si="15"/>
        <v>4</v>
      </c>
      <c r="C45" s="87">
        <f t="shared" si="16"/>
        <v>3740</v>
      </c>
      <c r="D45" s="12">
        <f t="shared" si="6"/>
        <v>224.4</v>
      </c>
      <c r="E45" s="12">
        <f t="shared" si="17"/>
        <v>10500</v>
      </c>
      <c r="F45" s="5">
        <v>0.25066261873173062</v>
      </c>
      <c r="G45" s="12">
        <f t="shared" si="7"/>
        <v>3992.715324665066</v>
      </c>
      <c r="H45" s="12">
        <f t="shared" si="20"/>
        <v>16.234618333017536</v>
      </c>
      <c r="I45" s="12">
        <f t="shared" si="20"/>
        <v>0</v>
      </c>
      <c r="J45" s="12">
        <f t="shared" si="20"/>
        <v>14975.648072500473</v>
      </c>
      <c r="K45" s="12">
        <f t="shared" si="8"/>
        <v>3016.4326338315732</v>
      </c>
      <c r="L45" s="12">
        <f t="shared" si="9"/>
        <v>3004.3579848015484</v>
      </c>
      <c r="M45" s="10">
        <f t="shared" si="10"/>
        <v>0.68301345536507052</v>
      </c>
      <c r="N45" s="10">
        <f t="shared" si="19"/>
        <v>0.99599704336354189</v>
      </c>
      <c r="O45" s="12">
        <f t="shared" si="11"/>
        <v>2052.0169283529453</v>
      </c>
      <c r="P45" s="24">
        <f t="shared" si="14"/>
        <v>100000000</v>
      </c>
      <c r="Q45" s="87"/>
      <c r="R45" s="24">
        <f t="shared" si="12"/>
        <v>100000000</v>
      </c>
    </row>
    <row r="46" spans="2:18">
      <c r="B46" s="87">
        <f t="shared" si="15"/>
        <v>5</v>
      </c>
      <c r="C46" s="87">
        <f t="shared" si="16"/>
        <v>3740</v>
      </c>
      <c r="D46" s="12">
        <f t="shared" si="6"/>
        <v>224.4</v>
      </c>
      <c r="E46" s="12">
        <f t="shared" si="17"/>
        <v>15000</v>
      </c>
      <c r="F46" s="5">
        <v>6.4274946857331094E-2</v>
      </c>
      <c r="G46" s="12">
        <f t="shared" si="7"/>
        <v>1229.1684342961323</v>
      </c>
      <c r="H46" s="12">
        <f t="shared" si="20"/>
        <v>17.973567451474715</v>
      </c>
      <c r="I46" s="12">
        <f t="shared" si="20"/>
        <v>19964.052865097052</v>
      </c>
      <c r="J46" s="12">
        <f t="shared" si="20"/>
        <v>0</v>
      </c>
      <c r="K46" s="12">
        <f t="shared" si="8"/>
        <v>-237.25799825239665</v>
      </c>
      <c r="L46" s="12">
        <f t="shared" si="9"/>
        <v>-235.92462732498549</v>
      </c>
      <c r="M46" s="10">
        <f t="shared" si="10"/>
        <v>0.62092132305915493</v>
      </c>
      <c r="N46" s="10">
        <f t="shared" si="19"/>
        <v>0.99438008017755974</v>
      </c>
      <c r="O46" s="12">
        <f t="shared" si="11"/>
        <v>-146.49063174086805</v>
      </c>
      <c r="P46" s="24">
        <f t="shared" si="14"/>
        <v>-937.2990227662425</v>
      </c>
      <c r="Q46" s="87"/>
      <c r="R46" s="24">
        <f t="shared" si="12"/>
        <v>-237.25799825239665</v>
      </c>
    </row>
    <row r="47" spans="2:18">
      <c r="B47" s="87">
        <f t="shared" si="15"/>
        <v>0</v>
      </c>
      <c r="C47" s="87">
        <f t="shared" si="16"/>
        <v>0</v>
      </c>
      <c r="D47" s="12">
        <f t="shared" si="6"/>
        <v>474</v>
      </c>
      <c r="E47" s="12">
        <f t="shared" si="17"/>
        <v>0</v>
      </c>
      <c r="F47" s="5">
        <v>-0.14787036530440673</v>
      </c>
      <c r="G47" s="12">
        <f t="shared" si="7"/>
        <v>0</v>
      </c>
      <c r="H47" s="12">
        <f t="shared" si="20"/>
        <v>0</v>
      </c>
      <c r="I47" s="12">
        <f t="shared" si="20"/>
        <v>0</v>
      </c>
      <c r="J47" s="12">
        <f t="shared" si="20"/>
        <v>0</v>
      </c>
      <c r="K47" s="12">
        <f t="shared" si="8"/>
        <v>-474</v>
      </c>
      <c r="L47" s="12">
        <f t="shared" si="9"/>
        <v>-474</v>
      </c>
      <c r="M47" s="10">
        <f t="shared" si="10"/>
        <v>1</v>
      </c>
      <c r="N47" s="10">
        <f t="shared" si="19"/>
        <v>1</v>
      </c>
      <c r="O47" s="12">
        <f t="shared" si="11"/>
        <v>-474</v>
      </c>
      <c r="P47" s="24">
        <f t="shared" si="14"/>
        <v>100000000</v>
      </c>
      <c r="Q47" s="87"/>
      <c r="R47" s="24">
        <f t="shared" si="12"/>
        <v>100000000</v>
      </c>
    </row>
    <row r="48" spans="2:18">
      <c r="B48" s="87">
        <f t="shared" si="15"/>
        <v>1</v>
      </c>
      <c r="C48" s="87">
        <f t="shared" si="16"/>
        <v>3740</v>
      </c>
      <c r="D48" s="12">
        <f t="shared" si="6"/>
        <v>224.4</v>
      </c>
      <c r="E48" s="12">
        <f t="shared" si="17"/>
        <v>0</v>
      </c>
      <c r="F48" s="5">
        <v>9.4605446924397263E-2</v>
      </c>
      <c r="G48" s="12">
        <f t="shared" si="7"/>
        <v>348.83564527998709</v>
      </c>
      <c r="H48" s="12">
        <f t="shared" si="20"/>
        <v>12.085274681187252</v>
      </c>
      <c r="I48" s="12">
        <f t="shared" si="20"/>
        <v>0</v>
      </c>
      <c r="J48" s="12">
        <f t="shared" si="20"/>
        <v>2996.374417595644</v>
      </c>
      <c r="K48" s="12">
        <f t="shared" si="8"/>
        <v>855.97595300315561</v>
      </c>
      <c r="L48" s="12">
        <f t="shared" si="9"/>
        <v>855.97595300315561</v>
      </c>
      <c r="M48" s="10">
        <f t="shared" si="10"/>
        <v>0.90909090909090906</v>
      </c>
      <c r="N48" s="10">
        <f t="shared" si="19"/>
        <v>1</v>
      </c>
      <c r="O48" s="12">
        <f t="shared" si="11"/>
        <v>778.15995727559596</v>
      </c>
      <c r="P48" s="24">
        <f t="shared" si="14"/>
        <v>100000000</v>
      </c>
      <c r="Q48" s="87"/>
      <c r="R48" s="24">
        <f t="shared" si="12"/>
        <v>100000000</v>
      </c>
    </row>
    <row r="49" spans="2:18">
      <c r="B49" s="87">
        <f t="shared" si="15"/>
        <v>2</v>
      </c>
      <c r="C49" s="87">
        <f t="shared" si="16"/>
        <v>3740</v>
      </c>
      <c r="D49" s="12">
        <f t="shared" si="6"/>
        <v>224.4</v>
      </c>
      <c r="E49" s="12">
        <f t="shared" si="17"/>
        <v>3000</v>
      </c>
      <c r="F49" s="5">
        <v>0.19571972547448241</v>
      </c>
      <c r="G49" s="12">
        <f t="shared" si="7"/>
        <v>1408.5814469347163</v>
      </c>
      <c r="H49" s="12">
        <f t="shared" si="20"/>
        <v>13.310397385750683</v>
      </c>
      <c r="I49" s="12">
        <f t="shared" si="20"/>
        <v>0</v>
      </c>
      <c r="J49" s="12">
        <f t="shared" si="20"/>
        <v>6491.348241699262</v>
      </c>
      <c r="K49" s="12">
        <f t="shared" si="8"/>
        <v>1419.5228078497039</v>
      </c>
      <c r="L49" s="12">
        <f t="shared" si="9"/>
        <v>1417.8072755447965</v>
      </c>
      <c r="M49" s="10">
        <f t="shared" si="10"/>
        <v>0.82644628099173545</v>
      </c>
      <c r="N49" s="10">
        <f t="shared" si="19"/>
        <v>0.99879147253188127</v>
      </c>
      <c r="O49" s="12">
        <f t="shared" si="11"/>
        <v>1171.7415500370219</v>
      </c>
      <c r="P49" s="24">
        <f t="shared" si="14"/>
        <v>100000000</v>
      </c>
      <c r="Q49" s="87"/>
      <c r="R49" s="24">
        <f t="shared" si="12"/>
        <v>100000000</v>
      </c>
    </row>
    <row r="50" spans="2:18">
      <c r="B50" s="87">
        <f t="shared" si="15"/>
        <v>3</v>
      </c>
      <c r="C50" s="87">
        <f t="shared" si="16"/>
        <v>3740</v>
      </c>
      <c r="D50" s="12">
        <f t="shared" si="6"/>
        <v>224.4</v>
      </c>
      <c r="E50" s="12">
        <f t="shared" si="17"/>
        <v>6500</v>
      </c>
      <c r="F50" s="5">
        <v>7.2829494860634447E-2</v>
      </c>
      <c r="G50" s="12">
        <f t="shared" si="7"/>
        <v>756.64988496065007</v>
      </c>
      <c r="H50" s="12">
        <f t="shared" si="20"/>
        <v>14.687255926109088</v>
      </c>
      <c r="I50" s="12">
        <f t="shared" si="20"/>
        <v>0</v>
      </c>
      <c r="J50" s="12">
        <f t="shared" si="20"/>
        <v>10484.578381277586</v>
      </c>
      <c r="K50" s="12">
        <f t="shared" si="8"/>
        <v>272.98424775695639</v>
      </c>
      <c r="L50" s="12">
        <f t="shared" si="9"/>
        <v>272.29142503534706</v>
      </c>
      <c r="M50" s="10">
        <f t="shared" si="10"/>
        <v>0.75131480090157754</v>
      </c>
      <c r="N50" s="10">
        <f t="shared" si="19"/>
        <v>0.99746204139139139</v>
      </c>
      <c r="O50" s="12">
        <f t="shared" si="11"/>
        <v>204.5765777876386</v>
      </c>
      <c r="P50" s="24">
        <f t="shared" si="14"/>
        <v>100000000</v>
      </c>
      <c r="Q50" s="87"/>
      <c r="R50" s="24">
        <f t="shared" si="12"/>
        <v>100000000</v>
      </c>
    </row>
    <row r="51" spans="2:18">
      <c r="B51" s="87">
        <f t="shared" si="15"/>
        <v>4</v>
      </c>
      <c r="C51" s="87">
        <f t="shared" si="16"/>
        <v>3740</v>
      </c>
      <c r="D51" s="12">
        <f t="shared" si="6"/>
        <v>224.4</v>
      </c>
      <c r="E51" s="12">
        <f t="shared" si="17"/>
        <v>10500</v>
      </c>
      <c r="F51" s="5">
        <v>0.13759189545846312</v>
      </c>
      <c r="G51" s="12">
        <f t="shared" si="7"/>
        <v>2067.4012370877344</v>
      </c>
      <c r="H51" s="12">
        <f t="shared" si="20"/>
        <v>16.234618333017536</v>
      </c>
      <c r="I51" s="12">
        <f t="shared" si="20"/>
        <v>0</v>
      </c>
      <c r="J51" s="12">
        <f t="shared" si="20"/>
        <v>14975.648072500473</v>
      </c>
      <c r="K51" s="12">
        <f t="shared" si="8"/>
        <v>1091.1185462542435</v>
      </c>
      <c r="L51" s="12">
        <f t="shared" si="9"/>
        <v>1086.7508460283525</v>
      </c>
      <c r="M51" s="10">
        <f t="shared" si="10"/>
        <v>0.68301345536507052</v>
      </c>
      <c r="N51" s="10">
        <f t="shared" si="19"/>
        <v>0.99599704336354189</v>
      </c>
      <c r="O51" s="12">
        <f t="shared" si="11"/>
        <v>742.2654504667388</v>
      </c>
      <c r="P51" s="24">
        <f t="shared" si="14"/>
        <v>100000000</v>
      </c>
      <c r="Q51" s="87"/>
      <c r="R51" s="24">
        <f t="shared" si="12"/>
        <v>100000000</v>
      </c>
    </row>
    <row r="52" spans="2:18">
      <c r="B52" s="87">
        <f t="shared" si="15"/>
        <v>5</v>
      </c>
      <c r="C52" s="87">
        <f t="shared" si="16"/>
        <v>3740</v>
      </c>
      <c r="D52" s="12">
        <f t="shared" si="6"/>
        <v>224.4</v>
      </c>
      <c r="E52" s="12">
        <f t="shared" si="17"/>
        <v>15000</v>
      </c>
      <c r="F52" s="5">
        <v>-4.6144223739975065E-3</v>
      </c>
      <c r="G52" s="12">
        <f t="shared" si="7"/>
        <v>-85.241976412431683</v>
      </c>
      <c r="H52" s="12">
        <f t="shared" si="20"/>
        <v>17.973567451474715</v>
      </c>
      <c r="I52" s="12">
        <f t="shared" si="20"/>
        <v>19964.052865097052</v>
      </c>
      <c r="J52" s="12">
        <f t="shared" si="20"/>
        <v>0</v>
      </c>
      <c r="K52" s="12">
        <f t="shared" si="8"/>
        <v>-1551.6684089609589</v>
      </c>
      <c r="L52" s="12">
        <f t="shared" si="9"/>
        <v>-1542.9481569115849</v>
      </c>
      <c r="M52" s="10">
        <f t="shared" si="10"/>
        <v>0.62092132305915493</v>
      </c>
      <c r="N52" s="10">
        <f t="shared" si="19"/>
        <v>0.99438008017755974</v>
      </c>
      <c r="O52" s="12">
        <f t="shared" si="11"/>
        <v>-958.04941100122585</v>
      </c>
      <c r="P52" s="24">
        <f t="shared" si="14"/>
        <v>218.02745789910273</v>
      </c>
      <c r="Q52" s="87"/>
      <c r="R52" s="24">
        <f t="shared" si="12"/>
        <v>-1551.6684089609589</v>
      </c>
    </row>
    <row r="53" spans="2:18">
      <c r="B53" s="87">
        <f t="shared" si="15"/>
        <v>0</v>
      </c>
      <c r="C53" s="87">
        <f t="shared" si="16"/>
        <v>0</v>
      </c>
      <c r="D53" s="12">
        <f t="shared" si="6"/>
        <v>474</v>
      </c>
      <c r="E53" s="12">
        <f t="shared" si="17"/>
        <v>0</v>
      </c>
      <c r="F53" s="5">
        <v>-5.8770466290006873E-2</v>
      </c>
      <c r="G53" s="12">
        <f t="shared" si="7"/>
        <v>0</v>
      </c>
      <c r="H53" s="12">
        <f t="shared" ref="H53:J68" si="21">H47</f>
        <v>0</v>
      </c>
      <c r="I53" s="12">
        <f t="shared" si="21"/>
        <v>0</v>
      </c>
      <c r="J53" s="12">
        <f t="shared" si="21"/>
        <v>0</v>
      </c>
      <c r="K53" s="12">
        <f t="shared" si="8"/>
        <v>-474</v>
      </c>
      <c r="L53" s="12">
        <f t="shared" si="9"/>
        <v>-474</v>
      </c>
      <c r="M53" s="10">
        <f t="shared" si="10"/>
        <v>1</v>
      </c>
      <c r="N53" s="10">
        <f t="shared" si="19"/>
        <v>1</v>
      </c>
      <c r="O53" s="12">
        <f t="shared" si="11"/>
        <v>-474</v>
      </c>
      <c r="P53" s="24">
        <f t="shared" si="14"/>
        <v>100000000</v>
      </c>
      <c r="Q53" s="87"/>
      <c r="R53" s="24">
        <f t="shared" si="12"/>
        <v>100000000</v>
      </c>
    </row>
    <row r="54" spans="2:18">
      <c r="B54" s="87">
        <f t="shared" si="15"/>
        <v>1</v>
      </c>
      <c r="C54" s="87">
        <f t="shared" si="16"/>
        <v>3740</v>
      </c>
      <c r="D54" s="12">
        <f t="shared" si="6"/>
        <v>224.4</v>
      </c>
      <c r="E54" s="12">
        <f t="shared" si="17"/>
        <v>0</v>
      </c>
      <c r="F54" s="5">
        <v>0.20610601854452398</v>
      </c>
      <c r="G54" s="12">
        <f t="shared" si="7"/>
        <v>804.66276765763575</v>
      </c>
      <c r="H54" s="12">
        <f t="shared" si="21"/>
        <v>12.085274681187252</v>
      </c>
      <c r="I54" s="12">
        <f t="shared" si="21"/>
        <v>0</v>
      </c>
      <c r="J54" s="12">
        <f t="shared" si="21"/>
        <v>2996.374417595644</v>
      </c>
      <c r="K54" s="12">
        <f t="shared" si="8"/>
        <v>1311.8030753808048</v>
      </c>
      <c r="L54" s="12">
        <f t="shared" si="9"/>
        <v>1311.8030753808048</v>
      </c>
      <c r="M54" s="10">
        <f t="shared" si="10"/>
        <v>0.90909090909090906</v>
      </c>
      <c r="N54" s="10">
        <f t="shared" si="19"/>
        <v>1</v>
      </c>
      <c r="O54" s="12">
        <f t="shared" si="11"/>
        <v>1192.548250346186</v>
      </c>
      <c r="P54" s="24">
        <f t="shared" si="14"/>
        <v>100000000</v>
      </c>
      <c r="Q54" s="87"/>
      <c r="R54" s="24">
        <f t="shared" si="12"/>
        <v>100000000</v>
      </c>
    </row>
    <row r="55" spans="2:18">
      <c r="B55" s="87">
        <f t="shared" si="15"/>
        <v>2</v>
      </c>
      <c r="C55" s="87">
        <f t="shared" si="16"/>
        <v>3740</v>
      </c>
      <c r="D55" s="12">
        <f t="shared" si="6"/>
        <v>224.4</v>
      </c>
      <c r="E55" s="12">
        <f t="shared" si="17"/>
        <v>3000</v>
      </c>
      <c r="F55" s="5">
        <v>0.1170785380457528</v>
      </c>
      <c r="G55" s="12">
        <f t="shared" si="7"/>
        <v>809.28781587589458</v>
      </c>
      <c r="H55" s="12">
        <f t="shared" si="21"/>
        <v>13.310397385750683</v>
      </c>
      <c r="I55" s="12">
        <f t="shared" si="21"/>
        <v>0</v>
      </c>
      <c r="J55" s="12">
        <f t="shared" si="21"/>
        <v>6491.348241699262</v>
      </c>
      <c r="K55" s="12">
        <f t="shared" si="8"/>
        <v>820.22917679088278</v>
      </c>
      <c r="L55" s="12">
        <f t="shared" si="9"/>
        <v>819.23790730057863</v>
      </c>
      <c r="M55" s="10">
        <f t="shared" si="10"/>
        <v>0.82644628099173545</v>
      </c>
      <c r="N55" s="10">
        <f t="shared" si="19"/>
        <v>0.99879147253188127</v>
      </c>
      <c r="O55" s="12">
        <f t="shared" si="11"/>
        <v>677.05612173601537</v>
      </c>
      <c r="P55" s="24">
        <f t="shared" si="14"/>
        <v>100000000</v>
      </c>
      <c r="Q55" s="87"/>
      <c r="R55" s="24">
        <f t="shared" si="12"/>
        <v>100000000</v>
      </c>
    </row>
    <row r="56" spans="2:18">
      <c r="B56" s="87">
        <f t="shared" si="15"/>
        <v>3</v>
      </c>
      <c r="C56" s="87">
        <f t="shared" si="16"/>
        <v>3740</v>
      </c>
      <c r="D56" s="12">
        <f t="shared" si="6"/>
        <v>224.4</v>
      </c>
      <c r="E56" s="12">
        <f t="shared" si="17"/>
        <v>6500</v>
      </c>
      <c r="F56" s="5">
        <v>0.1258671899852925</v>
      </c>
      <c r="G56" s="12">
        <f t="shared" si="7"/>
        <v>1343.4077944808532</v>
      </c>
      <c r="H56" s="12">
        <f t="shared" si="21"/>
        <v>14.687255926109088</v>
      </c>
      <c r="I56" s="12">
        <f t="shared" si="21"/>
        <v>0</v>
      </c>
      <c r="J56" s="12">
        <f t="shared" si="21"/>
        <v>10484.578381277586</v>
      </c>
      <c r="K56" s="12">
        <f t="shared" si="8"/>
        <v>859.74215727716</v>
      </c>
      <c r="L56" s="12">
        <f t="shared" si="9"/>
        <v>857.56016726791472</v>
      </c>
      <c r="M56" s="10">
        <f t="shared" si="10"/>
        <v>0.75131480090157754</v>
      </c>
      <c r="N56" s="10">
        <f t="shared" si="19"/>
        <v>0.99746204139139139</v>
      </c>
      <c r="O56" s="12">
        <f t="shared" si="11"/>
        <v>644.29764633201682</v>
      </c>
      <c r="P56" s="24">
        <f t="shared" si="14"/>
        <v>100000000</v>
      </c>
      <c r="Q56" s="87"/>
      <c r="R56" s="24">
        <f t="shared" si="12"/>
        <v>100000000</v>
      </c>
    </row>
    <row r="57" spans="2:18">
      <c r="B57" s="87">
        <f t="shared" si="15"/>
        <v>4</v>
      </c>
      <c r="C57" s="87">
        <f t="shared" si="16"/>
        <v>3740</v>
      </c>
      <c r="D57" s="12">
        <f t="shared" si="6"/>
        <v>224.4</v>
      </c>
      <c r="E57" s="12">
        <f t="shared" si="17"/>
        <v>10500</v>
      </c>
      <c r="F57" s="5">
        <v>0.31538348952773959</v>
      </c>
      <c r="G57" s="12">
        <f t="shared" si="7"/>
        <v>5196.7727298480968</v>
      </c>
      <c r="H57" s="12">
        <f t="shared" si="21"/>
        <v>16.234618333017536</v>
      </c>
      <c r="I57" s="12">
        <f t="shared" si="21"/>
        <v>0</v>
      </c>
      <c r="J57" s="12">
        <f t="shared" si="21"/>
        <v>14975.648072500473</v>
      </c>
      <c r="K57" s="12">
        <f t="shared" si="8"/>
        <v>4220.4900390146031</v>
      </c>
      <c r="L57" s="12">
        <f t="shared" si="9"/>
        <v>4203.5956004038244</v>
      </c>
      <c r="M57" s="10">
        <f t="shared" si="10"/>
        <v>0.68301345536507052</v>
      </c>
      <c r="N57" s="10">
        <f t="shared" si="19"/>
        <v>0.99599704336354189</v>
      </c>
      <c r="O57" s="12">
        <f t="shared" si="11"/>
        <v>2871.1123559892244</v>
      </c>
      <c r="P57" s="24">
        <f t="shared" si="14"/>
        <v>100000000</v>
      </c>
      <c r="Q57" s="87"/>
      <c r="R57" s="24">
        <f t="shared" si="12"/>
        <v>100000000</v>
      </c>
    </row>
    <row r="58" spans="2:18">
      <c r="B58" s="87">
        <f t="shared" si="15"/>
        <v>5</v>
      </c>
      <c r="C58" s="87">
        <f t="shared" si="16"/>
        <v>3740</v>
      </c>
      <c r="D58" s="12">
        <f t="shared" si="6"/>
        <v>224.4</v>
      </c>
      <c r="E58" s="12">
        <f t="shared" si="17"/>
        <v>15000</v>
      </c>
      <c r="F58" s="5">
        <v>0.16125974429480266</v>
      </c>
      <c r="G58" s="12">
        <f t="shared" si="7"/>
        <v>3240.0471799732004</v>
      </c>
      <c r="H58" s="12">
        <f t="shared" si="21"/>
        <v>17.973567451474715</v>
      </c>
      <c r="I58" s="12">
        <f t="shared" si="21"/>
        <v>19964.052865097052</v>
      </c>
      <c r="J58" s="12">
        <f t="shared" si="21"/>
        <v>0</v>
      </c>
      <c r="K58" s="12">
        <f t="shared" si="8"/>
        <v>1773.620747424673</v>
      </c>
      <c r="L58" s="12">
        <f t="shared" si="9"/>
        <v>1763.6531410287298</v>
      </c>
      <c r="M58" s="10">
        <f t="shared" si="10"/>
        <v>0.62092132305915493</v>
      </c>
      <c r="N58" s="10">
        <f t="shared" si="19"/>
        <v>0.99438008017755974</v>
      </c>
      <c r="O58" s="12">
        <f t="shared" si="11"/>
        <v>1095.0898417449932</v>
      </c>
      <c r="P58" s="24">
        <f t="shared" si="14"/>
        <v>4759.4375494817696</v>
      </c>
      <c r="Q58" s="87"/>
      <c r="R58" s="24">
        <f t="shared" si="12"/>
        <v>1773.620747424673</v>
      </c>
    </row>
    <row r="59" spans="2:18">
      <c r="B59" s="87">
        <f t="shared" si="15"/>
        <v>0</v>
      </c>
      <c r="C59" s="87">
        <f t="shared" si="16"/>
        <v>0</v>
      </c>
      <c r="D59" s="12">
        <f t="shared" si="6"/>
        <v>474</v>
      </c>
      <c r="E59" s="12">
        <f t="shared" si="17"/>
        <v>0</v>
      </c>
      <c r="F59" s="5">
        <v>-5.7666157369385407E-3</v>
      </c>
      <c r="G59" s="12">
        <f t="shared" si="7"/>
        <v>0</v>
      </c>
      <c r="H59" s="12">
        <f t="shared" si="21"/>
        <v>0</v>
      </c>
      <c r="I59" s="12">
        <f t="shared" si="21"/>
        <v>0</v>
      </c>
      <c r="J59" s="12">
        <f t="shared" si="21"/>
        <v>0</v>
      </c>
      <c r="K59" s="12">
        <f t="shared" si="8"/>
        <v>-474</v>
      </c>
      <c r="L59" s="12">
        <f t="shared" si="9"/>
        <v>-474</v>
      </c>
      <c r="M59" s="10">
        <f t="shared" si="10"/>
        <v>1</v>
      </c>
      <c r="N59" s="10">
        <f t="shared" si="19"/>
        <v>1</v>
      </c>
      <c r="O59" s="12">
        <f t="shared" si="11"/>
        <v>-474</v>
      </c>
      <c r="P59" s="24">
        <f t="shared" si="14"/>
        <v>100000000</v>
      </c>
      <c r="Q59" s="87"/>
      <c r="R59" s="24">
        <f t="shared" si="12"/>
        <v>100000000</v>
      </c>
    </row>
    <row r="60" spans="2:18">
      <c r="B60" s="87">
        <f t="shared" si="15"/>
        <v>1</v>
      </c>
      <c r="C60" s="87">
        <f t="shared" si="16"/>
        <v>3740</v>
      </c>
      <c r="D60" s="12">
        <f t="shared" si="6"/>
        <v>224.4</v>
      </c>
      <c r="E60" s="12">
        <f t="shared" si="17"/>
        <v>0</v>
      </c>
      <c r="F60" s="5">
        <v>0.10108793862338644</v>
      </c>
      <c r="G60" s="12">
        <f t="shared" si="7"/>
        <v>373.96819001672316</v>
      </c>
      <c r="H60" s="12">
        <f t="shared" si="21"/>
        <v>12.085274681187252</v>
      </c>
      <c r="I60" s="12">
        <f t="shared" si="21"/>
        <v>0</v>
      </c>
      <c r="J60" s="12">
        <f t="shared" si="21"/>
        <v>2996.374417595644</v>
      </c>
      <c r="K60" s="12">
        <f t="shared" si="8"/>
        <v>881.10849773989139</v>
      </c>
      <c r="L60" s="12">
        <f t="shared" si="9"/>
        <v>881.10849773989139</v>
      </c>
      <c r="M60" s="10">
        <f t="shared" si="10"/>
        <v>0.90909090909090906</v>
      </c>
      <c r="N60" s="10">
        <f t="shared" si="19"/>
        <v>1</v>
      </c>
      <c r="O60" s="12">
        <f t="shared" si="11"/>
        <v>801.00772521808301</v>
      </c>
      <c r="P60" s="24">
        <f t="shared" si="14"/>
        <v>100000000</v>
      </c>
      <c r="Q60" s="87"/>
      <c r="R60" s="24">
        <f t="shared" si="12"/>
        <v>100000000</v>
      </c>
    </row>
    <row r="61" spans="2:18">
      <c r="B61" s="87">
        <f t="shared" si="15"/>
        <v>2</v>
      </c>
      <c r="C61" s="87">
        <f t="shared" si="16"/>
        <v>3740</v>
      </c>
      <c r="D61" s="12">
        <f t="shared" si="6"/>
        <v>224.4</v>
      </c>
      <c r="E61" s="12">
        <f t="shared" si="17"/>
        <v>3000</v>
      </c>
      <c r="F61" s="5">
        <v>0.24084266801248305</v>
      </c>
      <c r="G61" s="12">
        <f t="shared" si="7"/>
        <v>1774.3336833043059</v>
      </c>
      <c r="H61" s="12">
        <f t="shared" si="21"/>
        <v>13.310397385750683</v>
      </c>
      <c r="I61" s="12">
        <f t="shared" si="21"/>
        <v>0</v>
      </c>
      <c r="J61" s="12">
        <f t="shared" si="21"/>
        <v>6491.348241699262</v>
      </c>
      <c r="K61" s="12">
        <f t="shared" si="8"/>
        <v>1785.2750442192928</v>
      </c>
      <c r="L61" s="12">
        <f t="shared" si="9"/>
        <v>1783.1174902902069</v>
      </c>
      <c r="M61" s="10">
        <f t="shared" si="10"/>
        <v>0.82644628099173545</v>
      </c>
      <c r="N61" s="10">
        <f t="shared" si="19"/>
        <v>0.99879147253188127</v>
      </c>
      <c r="O61" s="12">
        <f t="shared" si="11"/>
        <v>1473.6508184216584</v>
      </c>
      <c r="P61" s="24">
        <f t="shared" si="14"/>
        <v>100000000</v>
      </c>
      <c r="Q61" s="87"/>
      <c r="R61" s="24">
        <f t="shared" si="12"/>
        <v>100000000</v>
      </c>
    </row>
    <row r="62" spans="2:18">
      <c r="B62" s="87">
        <f t="shared" si="15"/>
        <v>3</v>
      </c>
      <c r="C62" s="87">
        <f t="shared" si="16"/>
        <v>3740</v>
      </c>
      <c r="D62" s="12">
        <f t="shared" si="6"/>
        <v>224.4</v>
      </c>
      <c r="E62" s="12">
        <f t="shared" si="17"/>
        <v>6500</v>
      </c>
      <c r="F62" s="5">
        <v>-0.16034172045299783</v>
      </c>
      <c r="G62" s="12">
        <f t="shared" si="7"/>
        <v>-1483.7846612314911</v>
      </c>
      <c r="H62" s="12">
        <f t="shared" si="21"/>
        <v>14.687255926109088</v>
      </c>
      <c r="I62" s="12">
        <f t="shared" si="21"/>
        <v>0</v>
      </c>
      <c r="J62" s="12">
        <f t="shared" si="21"/>
        <v>10484.578381277586</v>
      </c>
      <c r="K62" s="12">
        <f t="shared" si="8"/>
        <v>-1967.4502984351857</v>
      </c>
      <c r="L62" s="12">
        <f t="shared" si="9"/>
        <v>-1962.4569910132625</v>
      </c>
      <c r="M62" s="10">
        <f t="shared" si="10"/>
        <v>0.75131480090157754</v>
      </c>
      <c r="N62" s="10">
        <f t="shared" si="19"/>
        <v>0.99746204139139139</v>
      </c>
      <c r="O62" s="12">
        <f t="shared" si="11"/>
        <v>-1474.4229834810383</v>
      </c>
      <c r="P62" s="24">
        <f t="shared" si="14"/>
        <v>100000000</v>
      </c>
      <c r="Q62" s="87"/>
      <c r="R62" s="24">
        <f t="shared" si="12"/>
        <v>100000000</v>
      </c>
    </row>
    <row r="63" spans="2:18">
      <c r="B63" s="87">
        <f t="shared" si="15"/>
        <v>4</v>
      </c>
      <c r="C63" s="87">
        <f t="shared" si="16"/>
        <v>3740</v>
      </c>
      <c r="D63" s="12">
        <f t="shared" si="6"/>
        <v>224.4</v>
      </c>
      <c r="E63" s="12">
        <f t="shared" si="17"/>
        <v>10500</v>
      </c>
      <c r="F63" s="5">
        <v>5.4884630066517281E-2</v>
      </c>
      <c r="G63" s="12">
        <f t="shared" si="7"/>
        <v>790.7423337740513</v>
      </c>
      <c r="H63" s="12">
        <f t="shared" si="21"/>
        <v>16.234618333017536</v>
      </c>
      <c r="I63" s="12">
        <f t="shared" si="21"/>
        <v>0</v>
      </c>
      <c r="J63" s="12">
        <f t="shared" si="21"/>
        <v>14975.648072500473</v>
      </c>
      <c r="K63" s="12">
        <f t="shared" si="8"/>
        <v>-185.54035705943897</v>
      </c>
      <c r="L63" s="12">
        <f t="shared" si="9"/>
        <v>-184.79764705581709</v>
      </c>
      <c r="M63" s="10">
        <f t="shared" si="10"/>
        <v>0.68301345536507052</v>
      </c>
      <c r="N63" s="10">
        <f t="shared" si="19"/>
        <v>0.99599704336354189</v>
      </c>
      <c r="O63" s="12">
        <f t="shared" si="11"/>
        <v>-126.21927945892838</v>
      </c>
      <c r="P63" s="24">
        <f t="shared" si="14"/>
        <v>100000000</v>
      </c>
      <c r="Q63" s="87"/>
      <c r="R63" s="24">
        <f t="shared" si="12"/>
        <v>100000000</v>
      </c>
    </row>
    <row r="64" spans="2:18">
      <c r="B64" s="87">
        <f t="shared" si="15"/>
        <v>5</v>
      </c>
      <c r="C64" s="87">
        <f t="shared" si="16"/>
        <v>3740</v>
      </c>
      <c r="D64" s="12">
        <f t="shared" si="6"/>
        <v>224.4</v>
      </c>
      <c r="E64" s="12">
        <f t="shared" si="17"/>
        <v>15000</v>
      </c>
      <c r="F64" s="5">
        <v>-2.4572078523924568E-2</v>
      </c>
      <c r="G64" s="12">
        <f t="shared" si="7"/>
        <v>-449.42254139736792</v>
      </c>
      <c r="H64" s="12">
        <f t="shared" si="21"/>
        <v>17.973567451474715</v>
      </c>
      <c r="I64" s="12">
        <f t="shared" si="21"/>
        <v>19964.052865097052</v>
      </c>
      <c r="J64" s="12">
        <f t="shared" si="21"/>
        <v>0</v>
      </c>
      <c r="K64" s="12">
        <f t="shared" si="8"/>
        <v>-1915.8489739458964</v>
      </c>
      <c r="L64" s="12">
        <f t="shared" si="9"/>
        <v>-1905.0820563204161</v>
      </c>
      <c r="M64" s="10">
        <f t="shared" si="10"/>
        <v>0.62092132305915493</v>
      </c>
      <c r="N64" s="10">
        <f t="shared" si="19"/>
        <v>0.99438008017755974</v>
      </c>
      <c r="O64" s="12">
        <f t="shared" si="11"/>
        <v>-1182.9060709467283</v>
      </c>
      <c r="P64" s="24">
        <f t="shared" si="14"/>
        <v>-2229.5564569136204</v>
      </c>
      <c r="Q64" s="87"/>
      <c r="R64" s="24">
        <f t="shared" si="12"/>
        <v>-1915.8489739458964</v>
      </c>
    </row>
    <row r="65" spans="2:18">
      <c r="B65" s="87">
        <f t="shared" si="15"/>
        <v>0</v>
      </c>
      <c r="C65" s="87">
        <f t="shared" si="16"/>
        <v>0</v>
      </c>
      <c r="D65" s="12">
        <f t="shared" si="6"/>
        <v>474</v>
      </c>
      <c r="E65" s="12">
        <f t="shared" si="17"/>
        <v>0</v>
      </c>
      <c r="F65" s="5">
        <v>0.24954589566215873</v>
      </c>
      <c r="G65" s="12">
        <f t="shared" si="7"/>
        <v>0</v>
      </c>
      <c r="H65" s="12">
        <f t="shared" si="21"/>
        <v>0</v>
      </c>
      <c r="I65" s="12">
        <f t="shared" si="21"/>
        <v>0</v>
      </c>
      <c r="J65" s="12">
        <f t="shared" si="21"/>
        <v>0</v>
      </c>
      <c r="K65" s="12">
        <f t="shared" si="8"/>
        <v>-474</v>
      </c>
      <c r="L65" s="12">
        <f t="shared" si="9"/>
        <v>-474</v>
      </c>
      <c r="M65" s="10">
        <f t="shared" si="10"/>
        <v>1</v>
      </c>
      <c r="N65" s="10">
        <f t="shared" si="19"/>
        <v>1</v>
      </c>
      <c r="O65" s="12">
        <f t="shared" si="11"/>
        <v>-474</v>
      </c>
      <c r="P65" s="24">
        <f t="shared" si="14"/>
        <v>100000000</v>
      </c>
      <c r="Q65" s="87"/>
      <c r="R65" s="24">
        <f t="shared" si="12"/>
        <v>100000000</v>
      </c>
    </row>
    <row r="66" spans="2:18">
      <c r="B66" s="87">
        <f t="shared" si="15"/>
        <v>1</v>
      </c>
      <c r="C66" s="87">
        <f t="shared" si="16"/>
        <v>3740</v>
      </c>
      <c r="D66" s="12">
        <f t="shared" si="6"/>
        <v>224.4</v>
      </c>
      <c r="E66" s="12">
        <f t="shared" si="17"/>
        <v>0</v>
      </c>
      <c r="F66" s="5">
        <v>0.44844438338652254</v>
      </c>
      <c r="G66" s="12">
        <f t="shared" si="7"/>
        <v>1989.3880041789487</v>
      </c>
      <c r="H66" s="12">
        <f t="shared" si="21"/>
        <v>12.085274681187252</v>
      </c>
      <c r="I66" s="12">
        <f t="shared" si="21"/>
        <v>0</v>
      </c>
      <c r="J66" s="12">
        <f t="shared" si="21"/>
        <v>2996.374417595644</v>
      </c>
      <c r="K66" s="12">
        <f t="shared" si="8"/>
        <v>2496.5283119021174</v>
      </c>
      <c r="L66" s="12">
        <f t="shared" si="9"/>
        <v>2496.5283119021174</v>
      </c>
      <c r="M66" s="10">
        <f t="shared" si="10"/>
        <v>0.90909090909090906</v>
      </c>
      <c r="N66" s="10">
        <f t="shared" si="19"/>
        <v>1</v>
      </c>
      <c r="O66" s="12">
        <f t="shared" si="11"/>
        <v>2269.5711926382883</v>
      </c>
      <c r="P66" s="24">
        <f t="shared" si="14"/>
        <v>100000000</v>
      </c>
      <c r="Q66" s="87"/>
      <c r="R66" s="24">
        <f t="shared" si="12"/>
        <v>100000000</v>
      </c>
    </row>
    <row r="67" spans="2:18">
      <c r="B67" s="87">
        <f t="shared" si="15"/>
        <v>2</v>
      </c>
      <c r="C67" s="87">
        <f t="shared" si="16"/>
        <v>3740</v>
      </c>
      <c r="D67" s="12">
        <f t="shared" si="6"/>
        <v>224.4</v>
      </c>
      <c r="E67" s="12">
        <f t="shared" si="17"/>
        <v>3000</v>
      </c>
      <c r="F67" s="5">
        <v>-9.2592572906869397E-3</v>
      </c>
      <c r="G67" s="12">
        <f t="shared" si="7"/>
        <v>-60.05117313763477</v>
      </c>
      <c r="H67" s="12">
        <f t="shared" si="21"/>
        <v>13.310397385750683</v>
      </c>
      <c r="I67" s="12">
        <f t="shared" si="21"/>
        <v>0</v>
      </c>
      <c r="J67" s="12">
        <f t="shared" si="21"/>
        <v>6491.348241699262</v>
      </c>
      <c r="K67" s="12">
        <f t="shared" si="8"/>
        <v>-49.109812222646724</v>
      </c>
      <c r="L67" s="12">
        <f t="shared" si="9"/>
        <v>-49.050461665621505</v>
      </c>
      <c r="M67" s="10">
        <f t="shared" si="10"/>
        <v>0.82644628099173545</v>
      </c>
      <c r="N67" s="10">
        <f t="shared" si="19"/>
        <v>0.99879147253188127</v>
      </c>
      <c r="O67" s="12">
        <f t="shared" si="11"/>
        <v>-40.537571624480577</v>
      </c>
      <c r="P67" s="24">
        <f t="shared" si="14"/>
        <v>100000000</v>
      </c>
      <c r="Q67" s="87"/>
      <c r="R67" s="24">
        <f t="shared" si="12"/>
        <v>100000000</v>
      </c>
    </row>
    <row r="68" spans="2:18">
      <c r="B68" s="87">
        <f t="shared" si="15"/>
        <v>3</v>
      </c>
      <c r="C68" s="87">
        <f t="shared" si="16"/>
        <v>3740</v>
      </c>
      <c r="D68" s="12">
        <f t="shared" si="6"/>
        <v>224.4</v>
      </c>
      <c r="E68" s="12">
        <f t="shared" si="17"/>
        <v>6500</v>
      </c>
      <c r="F68" s="5">
        <v>0.12660984925270896</v>
      </c>
      <c r="G68" s="12">
        <f t="shared" si="7"/>
        <v>1351.846800153093</v>
      </c>
      <c r="H68" s="12">
        <f t="shared" si="21"/>
        <v>14.687255926109088</v>
      </c>
      <c r="I68" s="12">
        <f t="shared" si="21"/>
        <v>0</v>
      </c>
      <c r="J68" s="12">
        <f t="shared" si="21"/>
        <v>10484.578381277586</v>
      </c>
      <c r="K68" s="12">
        <f t="shared" si="8"/>
        <v>868.18116294939864</v>
      </c>
      <c r="L68" s="12">
        <f t="shared" si="9"/>
        <v>865.97775509305939</v>
      </c>
      <c r="M68" s="10">
        <f t="shared" si="10"/>
        <v>0.75131480090157754</v>
      </c>
      <c r="N68" s="10">
        <f t="shared" si="19"/>
        <v>0.99746204139139139</v>
      </c>
      <c r="O68" s="12">
        <f t="shared" si="11"/>
        <v>650.62190465293702</v>
      </c>
      <c r="P68" s="24">
        <f t="shared" si="14"/>
        <v>100000000</v>
      </c>
      <c r="Q68" s="87"/>
      <c r="R68" s="24">
        <f t="shared" si="12"/>
        <v>100000000</v>
      </c>
    </row>
    <row r="69" spans="2:18">
      <c r="B69" s="87">
        <f t="shared" si="15"/>
        <v>4</v>
      </c>
      <c r="C69" s="87">
        <f t="shared" si="16"/>
        <v>3740</v>
      </c>
      <c r="D69" s="12">
        <f t="shared" si="6"/>
        <v>224.4</v>
      </c>
      <c r="E69" s="12">
        <f t="shared" si="17"/>
        <v>10500</v>
      </c>
      <c r="F69" s="5">
        <v>-0.2106125849019736</v>
      </c>
      <c r="G69" s="12">
        <f t="shared" si="7"/>
        <v>-2661.7327805805389</v>
      </c>
      <c r="H69" s="12">
        <f t="shared" ref="H69:J84" si="22">H63</f>
        <v>16.234618333017536</v>
      </c>
      <c r="I69" s="12">
        <f t="shared" si="22"/>
        <v>0</v>
      </c>
      <c r="J69" s="12">
        <f t="shared" si="22"/>
        <v>14975.648072500473</v>
      </c>
      <c r="K69" s="12">
        <f t="shared" si="8"/>
        <v>-3638.0154714140281</v>
      </c>
      <c r="L69" s="12">
        <f t="shared" si="9"/>
        <v>-3623.4526532391942</v>
      </c>
      <c r="M69" s="10">
        <f t="shared" si="10"/>
        <v>0.68301345536507052</v>
      </c>
      <c r="N69" s="10">
        <f t="shared" si="19"/>
        <v>0.99599704336354189</v>
      </c>
      <c r="O69" s="12">
        <f t="shared" si="11"/>
        <v>-2474.8669170406347</v>
      </c>
      <c r="P69" s="24">
        <f t="shared" si="14"/>
        <v>100000000</v>
      </c>
      <c r="Q69" s="87"/>
      <c r="R69" s="24">
        <f t="shared" si="12"/>
        <v>100000000</v>
      </c>
    </row>
    <row r="70" spans="2:18">
      <c r="B70" s="87">
        <f t="shared" si="15"/>
        <v>5</v>
      </c>
      <c r="C70" s="87">
        <f t="shared" si="16"/>
        <v>3740</v>
      </c>
      <c r="D70" s="12">
        <f t="shared" si="6"/>
        <v>224.4</v>
      </c>
      <c r="E70" s="12">
        <f t="shared" si="17"/>
        <v>15000</v>
      </c>
      <c r="F70" s="5">
        <v>3.274762496585093E-4</v>
      </c>
      <c r="G70" s="12">
        <f t="shared" si="7"/>
        <v>6.064412169457789</v>
      </c>
      <c r="H70" s="12">
        <f t="shared" si="22"/>
        <v>17.973567451474715</v>
      </c>
      <c r="I70" s="12">
        <f t="shared" si="22"/>
        <v>19964.052865097052</v>
      </c>
      <c r="J70" s="12">
        <f t="shared" si="22"/>
        <v>0</v>
      </c>
      <c r="K70" s="12">
        <f t="shared" si="8"/>
        <v>-1460.3620203790706</v>
      </c>
      <c r="L70" s="12">
        <f t="shared" si="9"/>
        <v>-1452.1549029128034</v>
      </c>
      <c r="M70" s="10">
        <f t="shared" si="10"/>
        <v>0.62092132305915493</v>
      </c>
      <c r="N70" s="10">
        <f t="shared" si="19"/>
        <v>0.99438008017755974</v>
      </c>
      <c r="O70" s="12">
        <f t="shared" si="11"/>
        <v>-901.67394360345656</v>
      </c>
      <c r="P70" s="24">
        <f t="shared" si="14"/>
        <v>-2217.5520016440132</v>
      </c>
      <c r="Q70" s="87"/>
      <c r="R70" s="24">
        <f t="shared" si="12"/>
        <v>-1460.3620203790706</v>
      </c>
    </row>
    <row r="71" spans="2:18">
      <c r="B71" s="87">
        <f t="shared" si="15"/>
        <v>0</v>
      </c>
      <c r="C71" s="87">
        <f t="shared" si="16"/>
        <v>0</v>
      </c>
      <c r="D71" s="12">
        <f t="shared" si="6"/>
        <v>474</v>
      </c>
      <c r="E71" s="12">
        <f t="shared" si="17"/>
        <v>0</v>
      </c>
      <c r="F71" s="5">
        <v>-5.289215192140545E-2</v>
      </c>
      <c r="G71" s="12">
        <f t="shared" si="7"/>
        <v>0</v>
      </c>
      <c r="H71" s="12">
        <f t="shared" si="22"/>
        <v>0</v>
      </c>
      <c r="I71" s="12">
        <f t="shared" si="22"/>
        <v>0</v>
      </c>
      <c r="J71" s="12">
        <f t="shared" si="22"/>
        <v>0</v>
      </c>
      <c r="K71" s="12">
        <f t="shared" si="8"/>
        <v>-474</v>
      </c>
      <c r="L71" s="12">
        <f t="shared" si="9"/>
        <v>-474</v>
      </c>
      <c r="M71" s="10">
        <f t="shared" si="10"/>
        <v>1</v>
      </c>
      <c r="N71" s="10">
        <f t="shared" si="19"/>
        <v>1</v>
      </c>
      <c r="O71" s="12">
        <f t="shared" si="11"/>
        <v>-474</v>
      </c>
      <c r="P71" s="24">
        <f t="shared" si="14"/>
        <v>100000000</v>
      </c>
      <c r="Q71" s="87"/>
      <c r="R71" s="24">
        <f t="shared" si="12"/>
        <v>100000000</v>
      </c>
    </row>
    <row r="72" spans="2:18">
      <c r="B72" s="87">
        <f t="shared" si="15"/>
        <v>1</v>
      </c>
      <c r="C72" s="87">
        <f t="shared" si="16"/>
        <v>3740</v>
      </c>
      <c r="D72" s="12">
        <f t="shared" si="6"/>
        <v>224.4</v>
      </c>
      <c r="E72" s="12">
        <f t="shared" si="17"/>
        <v>0</v>
      </c>
      <c r="F72" s="5">
        <v>0.1995851006943849</v>
      </c>
      <c r="G72" s="12">
        <f t="shared" si="7"/>
        <v>776.5823436316382</v>
      </c>
      <c r="H72" s="12">
        <f t="shared" si="22"/>
        <v>12.085274681187252</v>
      </c>
      <c r="I72" s="12">
        <f t="shared" si="22"/>
        <v>0</v>
      </c>
      <c r="J72" s="12">
        <f t="shared" si="22"/>
        <v>2996.374417595644</v>
      </c>
      <c r="K72" s="12">
        <f t="shared" si="8"/>
        <v>1283.7226513548071</v>
      </c>
      <c r="L72" s="12">
        <f t="shared" si="9"/>
        <v>1283.7226513548071</v>
      </c>
      <c r="M72" s="10">
        <f t="shared" si="10"/>
        <v>0.90909090909090906</v>
      </c>
      <c r="N72" s="10">
        <f t="shared" si="19"/>
        <v>1</v>
      </c>
      <c r="O72" s="12">
        <f t="shared" si="11"/>
        <v>1167.0205921407337</v>
      </c>
      <c r="P72" s="24">
        <f t="shared" si="14"/>
        <v>100000000</v>
      </c>
      <c r="Q72" s="87"/>
      <c r="R72" s="24">
        <f t="shared" si="12"/>
        <v>100000000</v>
      </c>
    </row>
    <row r="73" spans="2:18">
      <c r="B73" s="87">
        <f t="shared" si="15"/>
        <v>2</v>
      </c>
      <c r="C73" s="87">
        <f t="shared" si="16"/>
        <v>3740</v>
      </c>
      <c r="D73" s="12">
        <f t="shared" si="6"/>
        <v>224.4</v>
      </c>
      <c r="E73" s="12">
        <f t="shared" si="17"/>
        <v>3000</v>
      </c>
      <c r="F73" s="5">
        <v>-0.10255558759643463</v>
      </c>
      <c r="G73" s="12">
        <f t="shared" si="7"/>
        <v>-635.08870004431128</v>
      </c>
      <c r="H73" s="12">
        <f t="shared" si="22"/>
        <v>13.310397385750683</v>
      </c>
      <c r="I73" s="12">
        <f t="shared" si="22"/>
        <v>0</v>
      </c>
      <c r="J73" s="12">
        <f t="shared" si="22"/>
        <v>6491.348241699262</v>
      </c>
      <c r="K73" s="12">
        <f t="shared" si="8"/>
        <v>-624.14733912932297</v>
      </c>
      <c r="L73" s="12">
        <f t="shared" si="9"/>
        <v>-623.393039925832</v>
      </c>
      <c r="M73" s="10">
        <f t="shared" si="10"/>
        <v>0.82644628099173545</v>
      </c>
      <c r="N73" s="10">
        <f t="shared" si="19"/>
        <v>0.99879147253188127</v>
      </c>
      <c r="O73" s="12">
        <f t="shared" si="11"/>
        <v>-515.2008594428363</v>
      </c>
      <c r="P73" s="24">
        <f t="shared" si="14"/>
        <v>100000000</v>
      </c>
      <c r="Q73" s="87"/>
      <c r="R73" s="24">
        <f t="shared" si="12"/>
        <v>100000000</v>
      </c>
    </row>
    <row r="74" spans="2:18">
      <c r="B74" s="87">
        <f t="shared" si="15"/>
        <v>3</v>
      </c>
      <c r="C74" s="87">
        <f t="shared" si="16"/>
        <v>3740</v>
      </c>
      <c r="D74" s="12">
        <f t="shared" si="6"/>
        <v>224.4</v>
      </c>
      <c r="E74" s="12">
        <f t="shared" si="17"/>
        <v>6500</v>
      </c>
      <c r="F74" s="5">
        <v>0.1109590256822412</v>
      </c>
      <c r="G74" s="12">
        <f t="shared" si="7"/>
        <v>1175.3218793080964</v>
      </c>
      <c r="H74" s="12">
        <f t="shared" si="22"/>
        <v>14.687255926109088</v>
      </c>
      <c r="I74" s="12">
        <f t="shared" si="22"/>
        <v>0</v>
      </c>
      <c r="J74" s="12">
        <f t="shared" si="22"/>
        <v>10484.578381277586</v>
      </c>
      <c r="K74" s="12">
        <f t="shared" si="8"/>
        <v>691.65624210440183</v>
      </c>
      <c r="L74" s="12">
        <f t="shared" si="9"/>
        <v>689.90084719055506</v>
      </c>
      <c r="M74" s="10">
        <f t="shared" si="10"/>
        <v>0.75131480090157754</v>
      </c>
      <c r="N74" s="10">
        <f t="shared" si="19"/>
        <v>0.99746204139139139</v>
      </c>
      <c r="O74" s="12">
        <f t="shared" si="11"/>
        <v>518.33271764880158</v>
      </c>
      <c r="P74" s="24">
        <f t="shared" si="14"/>
        <v>100000000</v>
      </c>
      <c r="Q74" s="87"/>
      <c r="R74" s="24">
        <f t="shared" si="12"/>
        <v>100000000</v>
      </c>
    </row>
    <row r="75" spans="2:18">
      <c r="B75" s="87">
        <f t="shared" si="15"/>
        <v>4</v>
      </c>
      <c r="C75" s="87">
        <f t="shared" si="16"/>
        <v>3740</v>
      </c>
      <c r="D75" s="12">
        <f t="shared" si="6"/>
        <v>224.4</v>
      </c>
      <c r="E75" s="12">
        <f t="shared" si="17"/>
        <v>10500</v>
      </c>
      <c r="F75" s="5">
        <v>7.0581712811253972E-2</v>
      </c>
      <c r="G75" s="12">
        <f t="shared" si="7"/>
        <v>1024.9924261916447</v>
      </c>
      <c r="H75" s="12">
        <f t="shared" si="22"/>
        <v>16.234618333017536</v>
      </c>
      <c r="I75" s="12">
        <f t="shared" si="22"/>
        <v>0</v>
      </c>
      <c r="J75" s="12">
        <f t="shared" si="22"/>
        <v>14975.648072500473</v>
      </c>
      <c r="K75" s="12">
        <f t="shared" si="8"/>
        <v>48.709735358153921</v>
      </c>
      <c r="L75" s="12">
        <f t="shared" si="9"/>
        <v>48.51475239974188</v>
      </c>
      <c r="M75" s="10">
        <f t="shared" si="10"/>
        <v>0.68301345536507052</v>
      </c>
      <c r="N75" s="10">
        <f t="shared" si="19"/>
        <v>0.99599704336354189</v>
      </c>
      <c r="O75" s="12">
        <f t="shared" si="11"/>
        <v>33.136228672728549</v>
      </c>
      <c r="P75" s="24">
        <f t="shared" si="14"/>
        <v>100000000</v>
      </c>
      <c r="Q75" s="87"/>
      <c r="R75" s="24">
        <f t="shared" si="12"/>
        <v>100000000</v>
      </c>
    </row>
    <row r="76" spans="2:18">
      <c r="B76" s="87">
        <f t="shared" si="15"/>
        <v>5</v>
      </c>
      <c r="C76" s="87">
        <f t="shared" si="16"/>
        <v>3740</v>
      </c>
      <c r="D76" s="12">
        <f t="shared" si="6"/>
        <v>224.4</v>
      </c>
      <c r="E76" s="12">
        <f t="shared" si="17"/>
        <v>15000</v>
      </c>
      <c r="F76" s="5">
        <v>0.29113836166681722</v>
      </c>
      <c r="G76" s="12">
        <f t="shared" si="7"/>
        <v>6257.3413189230723</v>
      </c>
      <c r="H76" s="12">
        <f t="shared" si="22"/>
        <v>17.973567451474715</v>
      </c>
      <c r="I76" s="12">
        <f t="shared" si="22"/>
        <v>19964.052865097052</v>
      </c>
      <c r="J76" s="12">
        <f t="shared" si="22"/>
        <v>0</v>
      </c>
      <c r="K76" s="12">
        <f t="shared" si="8"/>
        <v>4790.9148863745431</v>
      </c>
      <c r="L76" s="12">
        <f t="shared" si="9"/>
        <v>4763.9903288369824</v>
      </c>
      <c r="M76" s="10">
        <f t="shared" si="10"/>
        <v>0.62092132305915493</v>
      </c>
      <c r="N76" s="10">
        <f t="shared" si="19"/>
        <v>0.99438008017755974</v>
      </c>
      <c r="O76" s="12">
        <f t="shared" si="11"/>
        <v>2958.0631780224776</v>
      </c>
      <c r="P76" s="24">
        <f t="shared" si="14"/>
        <v>2440.6851903752386</v>
      </c>
      <c r="Q76" s="87"/>
      <c r="R76" s="24">
        <f t="shared" si="12"/>
        <v>4790.9148863745431</v>
      </c>
    </row>
    <row r="77" spans="2:18">
      <c r="B77" s="87">
        <f t="shared" si="15"/>
        <v>0</v>
      </c>
      <c r="C77" s="87">
        <f t="shared" si="16"/>
        <v>0</v>
      </c>
      <c r="D77" s="12">
        <f t="shared" si="6"/>
        <v>474</v>
      </c>
      <c r="E77" s="12">
        <f t="shared" si="17"/>
        <v>0</v>
      </c>
      <c r="F77" s="5">
        <v>6.9775650848168946E-3</v>
      </c>
      <c r="G77" s="12">
        <f t="shared" si="7"/>
        <v>0</v>
      </c>
      <c r="H77" s="12">
        <f t="shared" si="22"/>
        <v>0</v>
      </c>
      <c r="I77" s="12">
        <f t="shared" si="22"/>
        <v>0</v>
      </c>
      <c r="J77" s="12">
        <f t="shared" si="22"/>
        <v>0</v>
      </c>
      <c r="K77" s="12">
        <f t="shared" si="8"/>
        <v>-474</v>
      </c>
      <c r="L77" s="12">
        <f t="shared" si="9"/>
        <v>-474</v>
      </c>
      <c r="M77" s="10">
        <f t="shared" si="10"/>
        <v>1</v>
      </c>
      <c r="N77" s="10">
        <f t="shared" si="19"/>
        <v>1</v>
      </c>
      <c r="O77" s="12">
        <f t="shared" si="11"/>
        <v>-474</v>
      </c>
      <c r="P77" s="24">
        <f t="shared" si="14"/>
        <v>100000000</v>
      </c>
      <c r="Q77" s="87"/>
      <c r="R77" s="24">
        <f t="shared" si="12"/>
        <v>100000000</v>
      </c>
    </row>
    <row r="78" spans="2:18">
      <c r="B78" s="87">
        <f t="shared" si="15"/>
        <v>1</v>
      </c>
      <c r="C78" s="87">
        <f t="shared" si="16"/>
        <v>3740</v>
      </c>
      <c r="D78" s="12">
        <f t="shared" si="6"/>
        <v>224.4</v>
      </c>
      <c r="E78" s="12">
        <f t="shared" si="17"/>
        <v>0</v>
      </c>
      <c r="F78" s="5">
        <v>0.11254026180205984</v>
      </c>
      <c r="G78" s="12">
        <f t="shared" si="7"/>
        <v>418.76882799276621</v>
      </c>
      <c r="H78" s="12">
        <f t="shared" si="22"/>
        <v>12.085274681187252</v>
      </c>
      <c r="I78" s="12">
        <f t="shared" si="22"/>
        <v>0</v>
      </c>
      <c r="J78" s="12">
        <f t="shared" si="22"/>
        <v>2996.374417595644</v>
      </c>
      <c r="K78" s="12">
        <f t="shared" si="8"/>
        <v>925.90913571593455</v>
      </c>
      <c r="L78" s="12">
        <f t="shared" si="9"/>
        <v>925.90913571593455</v>
      </c>
      <c r="M78" s="10">
        <f t="shared" si="10"/>
        <v>0.90909090909090906</v>
      </c>
      <c r="N78" s="10">
        <f t="shared" si="19"/>
        <v>1</v>
      </c>
      <c r="O78" s="12">
        <f t="shared" si="11"/>
        <v>841.73557792357678</v>
      </c>
      <c r="P78" s="24">
        <f t="shared" si="14"/>
        <v>100000000</v>
      </c>
      <c r="Q78" s="87"/>
      <c r="R78" s="24">
        <f t="shared" si="12"/>
        <v>100000000</v>
      </c>
    </row>
    <row r="79" spans="2:18">
      <c r="B79" s="87">
        <f t="shared" si="15"/>
        <v>2</v>
      </c>
      <c r="C79" s="87">
        <f t="shared" si="16"/>
        <v>3740</v>
      </c>
      <c r="D79" s="12">
        <f t="shared" si="6"/>
        <v>224.4</v>
      </c>
      <c r="E79" s="12">
        <f t="shared" si="17"/>
        <v>3000</v>
      </c>
      <c r="F79" s="5">
        <v>2.740727172233165E-2</v>
      </c>
      <c r="G79" s="12">
        <f t="shared" si="7"/>
        <v>181.04445429486046</v>
      </c>
      <c r="H79" s="12">
        <f t="shared" si="22"/>
        <v>13.310397385750683</v>
      </c>
      <c r="I79" s="12">
        <f t="shared" si="22"/>
        <v>0</v>
      </c>
      <c r="J79" s="12">
        <f t="shared" si="22"/>
        <v>6491.348241699262</v>
      </c>
      <c r="K79" s="12">
        <f t="shared" si="8"/>
        <v>191.98581520984862</v>
      </c>
      <c r="L79" s="12">
        <f t="shared" si="9"/>
        <v>191.75379507867837</v>
      </c>
      <c r="M79" s="10">
        <f t="shared" si="10"/>
        <v>0.82644628099173545</v>
      </c>
      <c r="N79" s="10">
        <f t="shared" si="19"/>
        <v>0.99879147253188127</v>
      </c>
      <c r="O79" s="12">
        <f t="shared" si="11"/>
        <v>158.47421080882509</v>
      </c>
      <c r="P79" s="24">
        <f t="shared" si="14"/>
        <v>100000000</v>
      </c>
      <c r="Q79" s="87"/>
      <c r="R79" s="24">
        <f t="shared" si="12"/>
        <v>100000000</v>
      </c>
    </row>
    <row r="80" spans="2:18">
      <c r="B80" s="87">
        <f t="shared" si="15"/>
        <v>3</v>
      </c>
      <c r="C80" s="87">
        <f t="shared" si="16"/>
        <v>3740</v>
      </c>
      <c r="D80" s="12">
        <f t="shared" si="6"/>
        <v>224.4</v>
      </c>
      <c r="E80" s="12">
        <f t="shared" si="17"/>
        <v>6500</v>
      </c>
      <c r="F80" s="5">
        <v>-0.20394180506234988</v>
      </c>
      <c r="G80" s="12">
        <f t="shared" si="7"/>
        <v>-1847.7797631776414</v>
      </c>
      <c r="H80" s="12">
        <f t="shared" si="22"/>
        <v>14.687255926109088</v>
      </c>
      <c r="I80" s="12">
        <f t="shared" si="22"/>
        <v>0</v>
      </c>
      <c r="J80" s="12">
        <f t="shared" si="22"/>
        <v>10484.578381277586</v>
      </c>
      <c r="K80" s="12">
        <f t="shared" si="8"/>
        <v>-2331.4454003813362</v>
      </c>
      <c r="L80" s="12">
        <f t="shared" si="9"/>
        <v>-2325.5282884569374</v>
      </c>
      <c r="M80" s="10">
        <f t="shared" si="10"/>
        <v>0.75131480090157754</v>
      </c>
      <c r="N80" s="10">
        <f t="shared" si="19"/>
        <v>0.99746204139139139</v>
      </c>
      <c r="O80" s="12">
        <f t="shared" si="11"/>
        <v>-1747.2038230330104</v>
      </c>
      <c r="P80" s="24">
        <f t="shared" si="14"/>
        <v>100000000</v>
      </c>
      <c r="Q80" s="87"/>
      <c r="R80" s="24">
        <f t="shared" si="12"/>
        <v>100000000</v>
      </c>
    </row>
    <row r="81" spans="2:18">
      <c r="B81" s="87">
        <f t="shared" si="15"/>
        <v>4</v>
      </c>
      <c r="C81" s="87">
        <f t="shared" si="16"/>
        <v>3740</v>
      </c>
      <c r="D81" s="12">
        <f t="shared" si="6"/>
        <v>224.4</v>
      </c>
      <c r="E81" s="12">
        <f t="shared" si="17"/>
        <v>10500</v>
      </c>
      <c r="F81" s="5">
        <v>-6.674418823939049E-2</v>
      </c>
      <c r="G81" s="12">
        <f t="shared" si="7"/>
        <v>-904.92470015551044</v>
      </c>
      <c r="H81" s="12">
        <f t="shared" si="22"/>
        <v>16.234618333017536</v>
      </c>
      <c r="I81" s="12">
        <f t="shared" si="22"/>
        <v>0</v>
      </c>
      <c r="J81" s="12">
        <f t="shared" si="22"/>
        <v>14975.648072500473</v>
      </c>
      <c r="K81" s="12">
        <f t="shared" si="8"/>
        <v>-1881.2073909890005</v>
      </c>
      <c r="L81" s="12">
        <f t="shared" si="9"/>
        <v>-1873.676999378687</v>
      </c>
      <c r="M81" s="10">
        <f t="shared" si="10"/>
        <v>0.68301345536507052</v>
      </c>
      <c r="N81" s="10">
        <f t="shared" si="19"/>
        <v>0.99599704336354189</v>
      </c>
      <c r="O81" s="12">
        <f t="shared" si="11"/>
        <v>-1279.7466015836942</v>
      </c>
      <c r="P81" s="24">
        <f t="shared" si="14"/>
        <v>100000000</v>
      </c>
      <c r="Q81" s="87"/>
      <c r="R81" s="24">
        <f t="shared" si="12"/>
        <v>100000000</v>
      </c>
    </row>
    <row r="82" spans="2:18">
      <c r="B82" s="87">
        <f t="shared" si="15"/>
        <v>5</v>
      </c>
      <c r="C82" s="87">
        <f t="shared" si="16"/>
        <v>3740</v>
      </c>
      <c r="D82" s="12">
        <f t="shared" si="6"/>
        <v>224.4</v>
      </c>
      <c r="E82" s="12">
        <f t="shared" si="17"/>
        <v>15000</v>
      </c>
      <c r="F82" s="5">
        <v>0.32487534003332258</v>
      </c>
      <c r="G82" s="12">
        <f t="shared" si="7"/>
        <v>7107.3634718485482</v>
      </c>
      <c r="H82" s="12">
        <f t="shared" si="22"/>
        <v>17.973567451474715</v>
      </c>
      <c r="I82" s="12">
        <f t="shared" si="22"/>
        <v>19964.052865097052</v>
      </c>
      <c r="J82" s="12">
        <f t="shared" si="22"/>
        <v>0</v>
      </c>
      <c r="K82" s="12">
        <f t="shared" si="8"/>
        <v>5640.9370393000208</v>
      </c>
      <c r="L82" s="12">
        <f t="shared" si="9"/>
        <v>5609.2354254157208</v>
      </c>
      <c r="M82" s="10">
        <f t="shared" si="10"/>
        <v>0.62092132305915493</v>
      </c>
      <c r="N82" s="10">
        <f t="shared" si="19"/>
        <v>0.99438008017755974</v>
      </c>
      <c r="O82" s="12">
        <f t="shared" si="11"/>
        <v>3482.8938816994109</v>
      </c>
      <c r="P82" s="24">
        <f t="shared" si="14"/>
        <v>-264.51342085155852</v>
      </c>
      <c r="Q82" s="87"/>
      <c r="R82" s="24">
        <f t="shared" si="12"/>
        <v>5640.9370393000208</v>
      </c>
    </row>
    <row r="83" spans="2:18">
      <c r="B83" s="87">
        <f t="shared" si="15"/>
        <v>0</v>
      </c>
      <c r="C83" s="87">
        <f t="shared" si="16"/>
        <v>0</v>
      </c>
      <c r="D83" s="12">
        <f t="shared" si="6"/>
        <v>474</v>
      </c>
      <c r="E83" s="12">
        <f t="shared" si="17"/>
        <v>0</v>
      </c>
      <c r="F83" s="5">
        <v>-9.8904216479859308E-2</v>
      </c>
      <c r="G83" s="12">
        <f t="shared" si="7"/>
        <v>0</v>
      </c>
      <c r="H83" s="12">
        <f t="shared" si="22"/>
        <v>0</v>
      </c>
      <c r="I83" s="12">
        <f t="shared" si="22"/>
        <v>0</v>
      </c>
      <c r="J83" s="12">
        <f t="shared" si="22"/>
        <v>0</v>
      </c>
      <c r="K83" s="12">
        <f t="shared" si="8"/>
        <v>-474</v>
      </c>
      <c r="L83" s="12">
        <f t="shared" si="9"/>
        <v>-474</v>
      </c>
      <c r="M83" s="10">
        <f t="shared" si="10"/>
        <v>1</v>
      </c>
      <c r="N83" s="10">
        <f t="shared" si="19"/>
        <v>1</v>
      </c>
      <c r="O83" s="12">
        <f t="shared" si="11"/>
        <v>-474</v>
      </c>
      <c r="P83" s="24">
        <f t="shared" si="14"/>
        <v>100000000</v>
      </c>
      <c r="Q83" s="87"/>
      <c r="R83" s="24">
        <f t="shared" si="12"/>
        <v>100000000</v>
      </c>
    </row>
    <row r="84" spans="2:18">
      <c r="B84" s="87">
        <f t="shared" si="15"/>
        <v>1</v>
      </c>
      <c r="C84" s="87">
        <f t="shared" si="16"/>
        <v>3740</v>
      </c>
      <c r="D84" s="12">
        <f t="shared" si="6"/>
        <v>224.4</v>
      </c>
      <c r="E84" s="12">
        <f t="shared" si="17"/>
        <v>0</v>
      </c>
      <c r="F84" s="5">
        <v>0.11937967332807603</v>
      </c>
      <c r="G84" s="12">
        <f t="shared" si="7"/>
        <v>445.76982571676814</v>
      </c>
      <c r="H84" s="12">
        <f t="shared" si="22"/>
        <v>12.085274681187252</v>
      </c>
      <c r="I84" s="12">
        <f t="shared" si="22"/>
        <v>0</v>
      </c>
      <c r="J84" s="12">
        <f t="shared" si="22"/>
        <v>2996.374417595644</v>
      </c>
      <c r="K84" s="12">
        <f t="shared" si="8"/>
        <v>952.91013343993654</v>
      </c>
      <c r="L84" s="12">
        <f t="shared" si="9"/>
        <v>952.91013343993654</v>
      </c>
      <c r="M84" s="10">
        <f t="shared" si="10"/>
        <v>0.90909090909090906</v>
      </c>
      <c r="N84" s="10">
        <f t="shared" si="19"/>
        <v>1</v>
      </c>
      <c r="O84" s="12">
        <f t="shared" si="11"/>
        <v>866.28193949085141</v>
      </c>
      <c r="P84" s="24">
        <f t="shared" si="14"/>
        <v>100000000</v>
      </c>
      <c r="Q84" s="87"/>
      <c r="R84" s="24">
        <f t="shared" si="12"/>
        <v>100000000</v>
      </c>
    </row>
    <row r="85" spans="2:18">
      <c r="B85" s="87">
        <f t="shared" si="15"/>
        <v>2</v>
      </c>
      <c r="C85" s="87">
        <f t="shared" si="16"/>
        <v>3740</v>
      </c>
      <c r="D85" s="12">
        <f t="shared" si="6"/>
        <v>224.4</v>
      </c>
      <c r="E85" s="12">
        <f t="shared" si="17"/>
        <v>3000</v>
      </c>
      <c r="F85" s="5">
        <v>7.8274628271465196E-2</v>
      </c>
      <c r="G85" s="12">
        <f t="shared" si="7"/>
        <v>530.49758674517625</v>
      </c>
      <c r="H85" s="12">
        <f t="shared" ref="H85:J88" si="23">H79</f>
        <v>13.310397385750683</v>
      </c>
      <c r="I85" s="12">
        <f t="shared" si="23"/>
        <v>0</v>
      </c>
      <c r="J85" s="12">
        <f t="shared" si="23"/>
        <v>6491.348241699262</v>
      </c>
      <c r="K85" s="12">
        <f t="shared" si="8"/>
        <v>541.43894766016365</v>
      </c>
      <c r="L85" s="12">
        <f t="shared" si="9"/>
        <v>540.78460381960701</v>
      </c>
      <c r="M85" s="10">
        <f t="shared" si="10"/>
        <v>0.82644628099173545</v>
      </c>
      <c r="N85" s="10">
        <f t="shared" si="19"/>
        <v>0.99879147253188127</v>
      </c>
      <c r="O85" s="12">
        <f t="shared" si="11"/>
        <v>446.92942464430325</v>
      </c>
      <c r="P85" s="24">
        <f t="shared" si="14"/>
        <v>100000000</v>
      </c>
      <c r="Q85" s="87"/>
      <c r="R85" s="24">
        <f t="shared" si="12"/>
        <v>100000000</v>
      </c>
    </row>
    <row r="86" spans="2:18">
      <c r="B86" s="87">
        <f t="shared" si="15"/>
        <v>3</v>
      </c>
      <c r="C86" s="87">
        <f t="shared" si="16"/>
        <v>3740</v>
      </c>
      <c r="D86" s="12">
        <f t="shared" si="6"/>
        <v>224.4</v>
      </c>
      <c r="E86" s="12">
        <f t="shared" si="17"/>
        <v>6500</v>
      </c>
      <c r="F86" s="5">
        <v>0.29675035324937199</v>
      </c>
      <c r="G86" s="12">
        <f t="shared" si="7"/>
        <v>3460.1831077234242</v>
      </c>
      <c r="H86" s="12">
        <f t="shared" si="23"/>
        <v>14.687255926109088</v>
      </c>
      <c r="I86" s="12">
        <f t="shared" si="23"/>
        <v>0</v>
      </c>
      <c r="J86" s="12">
        <f t="shared" si="23"/>
        <v>10484.578381277586</v>
      </c>
      <c r="K86" s="12">
        <f t="shared" si="8"/>
        <v>2976.5174705197296</v>
      </c>
      <c r="L86" s="12">
        <f t="shared" si="9"/>
        <v>2968.9631923817501</v>
      </c>
      <c r="M86" s="10">
        <f t="shared" si="10"/>
        <v>0.75131480090157754</v>
      </c>
      <c r="N86" s="10">
        <f t="shared" si="19"/>
        <v>0.99746204139139139</v>
      </c>
      <c r="O86" s="12">
        <f t="shared" si="11"/>
        <v>2230.6259897684067</v>
      </c>
      <c r="P86" s="24">
        <f t="shared" si="14"/>
        <v>100000000</v>
      </c>
      <c r="Q86" s="87"/>
      <c r="R86" s="24">
        <f t="shared" si="12"/>
        <v>100000000</v>
      </c>
    </row>
    <row r="87" spans="2:18">
      <c r="B87" s="87">
        <f t="shared" si="15"/>
        <v>4</v>
      </c>
      <c r="C87" s="87">
        <f t="shared" si="16"/>
        <v>3740</v>
      </c>
      <c r="D87" s="12">
        <f t="shared" si="6"/>
        <v>224.4</v>
      </c>
      <c r="E87" s="12">
        <f t="shared" si="17"/>
        <v>10500</v>
      </c>
      <c r="F87" s="5">
        <v>0.35354243113426492</v>
      </c>
      <c r="G87" s="12">
        <f t="shared" si="7"/>
        <v>5944.0637811219276</v>
      </c>
      <c r="H87" s="12">
        <f t="shared" si="23"/>
        <v>16.234618333017536</v>
      </c>
      <c r="I87" s="12">
        <f t="shared" si="23"/>
        <v>0</v>
      </c>
      <c r="J87" s="12">
        <f t="shared" si="23"/>
        <v>14975.648072500473</v>
      </c>
      <c r="K87" s="12">
        <f t="shared" si="8"/>
        <v>4967.7810902884339</v>
      </c>
      <c r="L87" s="12">
        <f t="shared" si="9"/>
        <v>4947.8952780045929</v>
      </c>
      <c r="M87" s="10">
        <f t="shared" si="10"/>
        <v>0.68301345536507052</v>
      </c>
      <c r="N87" s="10">
        <f t="shared" si="19"/>
        <v>0.99599704336354189</v>
      </c>
      <c r="O87" s="12">
        <f t="shared" si="11"/>
        <v>3379.4790506144332</v>
      </c>
      <c r="P87" s="24">
        <f t="shared" si="14"/>
        <v>100000000</v>
      </c>
      <c r="Q87" s="87"/>
      <c r="R87" s="24">
        <f t="shared" si="12"/>
        <v>100000000</v>
      </c>
    </row>
    <row r="88" spans="2:18">
      <c r="B88" s="87">
        <f t="shared" si="15"/>
        <v>5</v>
      </c>
      <c r="C88" s="87">
        <f t="shared" si="16"/>
        <v>3740</v>
      </c>
      <c r="D88" s="12">
        <f t="shared" si="6"/>
        <v>224.4</v>
      </c>
      <c r="E88" s="12">
        <f t="shared" si="17"/>
        <v>15000</v>
      </c>
      <c r="F88" s="5">
        <v>0.20055314411758446</v>
      </c>
      <c r="G88" s="12">
        <f t="shared" si="7"/>
        <v>4111.9177263015936</v>
      </c>
      <c r="H88" s="12">
        <f t="shared" si="23"/>
        <v>17.973567451474715</v>
      </c>
      <c r="I88" s="12">
        <f t="shared" si="23"/>
        <v>19964.052865097052</v>
      </c>
      <c r="J88" s="12">
        <f t="shared" si="23"/>
        <v>0</v>
      </c>
      <c r="K88" s="12">
        <f t="shared" si="8"/>
        <v>2645.491293753068</v>
      </c>
      <c r="L88" s="12">
        <f t="shared" si="9"/>
        <v>2630.6238447912119</v>
      </c>
      <c r="M88" s="10">
        <f t="shared" si="10"/>
        <v>0.62092132305915493</v>
      </c>
      <c r="N88" s="10">
        <f t="shared" si="19"/>
        <v>0.99438008017755974</v>
      </c>
      <c r="O88" s="12">
        <f t="shared" si="11"/>
        <v>1633.4104381787204</v>
      </c>
      <c r="P88" s="24">
        <f t="shared" si="14"/>
        <v>6836.0601760300478</v>
      </c>
      <c r="Q88" s="87"/>
      <c r="R88" s="24">
        <f t="shared" si="12"/>
        <v>2645.491293753068</v>
      </c>
    </row>
  </sheetData>
  <pageMargins left="0.75" right="0.75" top="1" bottom="1" header="0.5" footer="0.5"/>
  <pageSetup paperSize="9" orientation="portrait" horizontalDpi="4294967292" verticalDpi="4294967292"/>
  <ignoredErrors>
    <ignoredError sqref="F12 G29 K29 J16" emptyCellReference="1"/>
    <ignoredError sqref="H31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zoomScale="125" zoomScaleNormal="125" zoomScalePageLayoutView="125" workbookViewId="0"/>
  </sheetViews>
  <sheetFormatPr baseColWidth="10" defaultRowHeight="12" x14ac:dyDescent="0"/>
  <cols>
    <col min="2" max="2" width="11.83203125" customWidth="1"/>
  </cols>
  <sheetData>
    <row r="1" spans="1:9" ht="15">
      <c r="A1" s="70" t="s">
        <v>629</v>
      </c>
    </row>
    <row r="3" spans="1:9">
      <c r="A3" s="1" t="s">
        <v>1</v>
      </c>
    </row>
    <row r="4" spans="1:9">
      <c r="A4" s="87"/>
      <c r="B4" s="87" t="s">
        <v>594</v>
      </c>
    </row>
    <row r="5" spans="1:9">
      <c r="A5" s="87" t="s">
        <v>0</v>
      </c>
      <c r="B5" s="87" t="s">
        <v>593</v>
      </c>
      <c r="C5" s="87" t="s">
        <v>595</v>
      </c>
      <c r="D5" s="87" t="s">
        <v>596</v>
      </c>
      <c r="E5" s="87" t="s">
        <v>597</v>
      </c>
    </row>
    <row r="6" spans="1:9">
      <c r="A6" s="87">
        <v>1</v>
      </c>
      <c r="B6" s="12">
        <v>100</v>
      </c>
      <c r="C6" s="81">
        <f>0.03*B6</f>
        <v>3</v>
      </c>
      <c r="D6" s="12">
        <f>1.08*(B6-C6)</f>
        <v>104.76</v>
      </c>
      <c r="E6" s="12">
        <f>MAX(500-D6,0)</f>
        <v>395.24</v>
      </c>
    </row>
    <row r="7" spans="1:9">
      <c r="A7" s="87">
        <v>2</v>
      </c>
      <c r="B7" s="12">
        <f>100+D6</f>
        <v>204.76</v>
      </c>
      <c r="C7" s="81">
        <f>0.03*B7</f>
        <v>6.1427999999999994</v>
      </c>
      <c r="D7" s="12">
        <f>1.08*(B7-C7)</f>
        <v>214.50657600000002</v>
      </c>
      <c r="E7" s="12">
        <f t="shared" ref="E7:E10" si="0">MAX(500-D7,0)</f>
        <v>285.493424</v>
      </c>
    </row>
    <row r="8" spans="1:9">
      <c r="A8" s="87">
        <v>3</v>
      </c>
      <c r="B8" s="12">
        <f t="shared" ref="B8:B10" si="1">100+D7</f>
        <v>314.506576</v>
      </c>
      <c r="C8" s="81">
        <f t="shared" ref="C8:C10" si="2">0.03*B8</f>
        <v>9.4351972799999988</v>
      </c>
      <c r="D8" s="12">
        <f t="shared" ref="D8:D10" si="3">1.08*(B8-C8)</f>
        <v>329.47708901760001</v>
      </c>
      <c r="E8" s="12">
        <f t="shared" si="0"/>
        <v>170.52291098239999</v>
      </c>
    </row>
    <row r="9" spans="1:9">
      <c r="A9" s="87">
        <v>4</v>
      </c>
      <c r="B9" s="12">
        <f t="shared" si="1"/>
        <v>429.47708901760001</v>
      </c>
      <c r="C9" s="81">
        <f t="shared" si="2"/>
        <v>12.884312670527999</v>
      </c>
      <c r="D9" s="12">
        <f t="shared" si="3"/>
        <v>449.92019845483782</v>
      </c>
      <c r="E9" s="12">
        <f t="shared" si="0"/>
        <v>50.079801545162184</v>
      </c>
    </row>
    <row r="10" spans="1:9">
      <c r="A10" s="87">
        <v>5</v>
      </c>
      <c r="B10" s="12">
        <f t="shared" si="1"/>
        <v>549.92019845483787</v>
      </c>
      <c r="C10" s="81">
        <f t="shared" si="2"/>
        <v>16.497605953645134</v>
      </c>
      <c r="D10" s="12">
        <f t="shared" si="3"/>
        <v>576.09639990128824</v>
      </c>
      <c r="E10" s="12">
        <f t="shared" si="0"/>
        <v>0</v>
      </c>
    </row>
    <row r="11" spans="1:9">
      <c r="A11" s="87"/>
      <c r="B11" s="12"/>
      <c r="C11" s="12"/>
      <c r="D11" s="12"/>
      <c r="E11" s="12"/>
    </row>
    <row r="12" spans="1:9">
      <c r="A12" s="1" t="s">
        <v>2</v>
      </c>
    </row>
    <row r="13" spans="1:9">
      <c r="B13" s="87" t="s">
        <v>590</v>
      </c>
      <c r="C13" s="87"/>
      <c r="F13" s="87"/>
      <c r="I13" s="87" t="s">
        <v>598</v>
      </c>
    </row>
    <row r="14" spans="1:9">
      <c r="A14" s="87" t="s">
        <v>0</v>
      </c>
      <c r="B14" s="87" t="s">
        <v>591</v>
      </c>
      <c r="C14" s="87" t="s">
        <v>595</v>
      </c>
      <c r="D14" s="87" t="s">
        <v>476</v>
      </c>
      <c r="E14" s="87" t="s">
        <v>477</v>
      </c>
      <c r="F14" s="87" t="s">
        <v>599</v>
      </c>
      <c r="G14" s="87" t="s">
        <v>592</v>
      </c>
      <c r="H14" s="22" t="s">
        <v>489</v>
      </c>
    </row>
    <row r="15" spans="1:9">
      <c r="A15" s="87">
        <v>1</v>
      </c>
      <c r="B15" s="333">
        <v>2E-3</v>
      </c>
      <c r="C15" s="84">
        <f>C6</f>
        <v>3</v>
      </c>
      <c r="D15" s="12">
        <f>0.02*B6</f>
        <v>2</v>
      </c>
      <c r="E15" s="12">
        <f>0.06*(C15-D15)</f>
        <v>0.06</v>
      </c>
      <c r="F15" s="12">
        <f>B15*E6</f>
        <v>0.79048000000000007</v>
      </c>
      <c r="G15" s="10">
        <f>C15-D15+E15-F15</f>
        <v>0.26951999999999998</v>
      </c>
      <c r="H15" s="57">
        <f>G15*I15</f>
        <v>0.26951999999999998</v>
      </c>
      <c r="I15" s="87">
        <v>1</v>
      </c>
    </row>
    <row r="16" spans="1:9">
      <c r="A16" s="87">
        <v>2</v>
      </c>
      <c r="B16" s="59">
        <v>2.8E-3</v>
      </c>
      <c r="C16" s="84">
        <f t="shared" ref="C16:C19" si="4">C7</f>
        <v>6.1427999999999994</v>
      </c>
      <c r="D16" s="12">
        <f t="shared" ref="D16:D19" si="5">0.02*B7</f>
        <v>4.0952000000000002</v>
      </c>
      <c r="E16" s="12">
        <f>0.06*(C16-D16)</f>
        <v>0.12285599999999995</v>
      </c>
      <c r="F16" s="12">
        <f t="shared" ref="F16:F19" si="6">B16*E7</f>
        <v>0.79938158719999997</v>
      </c>
      <c r="G16" s="10">
        <f>C16-D16+E16-F16</f>
        <v>1.3710744127999992</v>
      </c>
      <c r="H16" s="57">
        <f>G16*I16</f>
        <v>1.3683322639743991</v>
      </c>
      <c r="I16" s="5">
        <f>I15*(1-B15)</f>
        <v>0.998</v>
      </c>
    </row>
    <row r="17" spans="1:9">
      <c r="A17" s="87">
        <v>3</v>
      </c>
      <c r="B17" s="59">
        <v>3.2000000000000002E-3</v>
      </c>
      <c r="C17" s="84">
        <f t="shared" si="4"/>
        <v>9.4351972799999988</v>
      </c>
      <c r="D17" s="12">
        <f t="shared" si="5"/>
        <v>6.2901315200000001</v>
      </c>
      <c r="E17" s="12">
        <f>0.06*(C17-D17)</f>
        <v>0.18870394559999992</v>
      </c>
      <c r="F17" s="12">
        <f t="shared" si="6"/>
        <v>0.54567331514368</v>
      </c>
      <c r="G17" s="10">
        <f>C17-D17+E17-F17</f>
        <v>2.7880963904563187</v>
      </c>
      <c r="H17" s="57">
        <f>G17*I17</f>
        <v>2.7747291411219148</v>
      </c>
      <c r="I17" s="5">
        <f>I16*(1-B16)</f>
        <v>0.99520560000000002</v>
      </c>
    </row>
    <row r="18" spans="1:9">
      <c r="A18" s="87">
        <v>4</v>
      </c>
      <c r="B18" s="59">
        <v>3.7000000000000002E-3</v>
      </c>
      <c r="C18" s="84">
        <f t="shared" si="4"/>
        <v>12.884312670527999</v>
      </c>
      <c r="D18" s="12">
        <f t="shared" si="5"/>
        <v>8.5895417803520004</v>
      </c>
      <c r="E18" s="12">
        <f>0.06*(C18-D18)</f>
        <v>0.2576862534105599</v>
      </c>
      <c r="F18" s="12">
        <f t="shared" si="6"/>
        <v>0.18529526571710009</v>
      </c>
      <c r="G18" s="10">
        <f>C18-D18+E18-F18</f>
        <v>4.3671618778694583</v>
      </c>
      <c r="H18" s="57">
        <f>G18*I18</f>
        <v>4.3323160402999221</v>
      </c>
      <c r="I18" s="5">
        <f>I17*(1-B17)</f>
        <v>0.99202094208000002</v>
      </c>
    </row>
    <row r="19" spans="1:9">
      <c r="A19" s="87">
        <v>5</v>
      </c>
      <c r="B19" s="59">
        <v>4.4000000000000003E-3</v>
      </c>
      <c r="C19" s="84">
        <f t="shared" si="4"/>
        <v>16.497605953645134</v>
      </c>
      <c r="D19" s="12">
        <f t="shared" si="5"/>
        <v>10.998403969096758</v>
      </c>
      <c r="E19" s="12">
        <f>0.06*(C19-D19)</f>
        <v>0.32995211907290256</v>
      </c>
      <c r="F19" s="12">
        <f t="shared" si="6"/>
        <v>0</v>
      </c>
      <c r="G19" s="10">
        <f>C19-D19+E19-F19</f>
        <v>5.8291541036212786</v>
      </c>
      <c r="H19" s="57">
        <f>G19*I19</f>
        <v>5.7612471665058846</v>
      </c>
      <c r="I19" s="5">
        <f>I18*(1-B18)</f>
        <v>0.98835046459430398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"/>
  <sheetViews>
    <sheetView zoomScale="125" zoomScaleNormal="125" zoomScalePageLayoutView="125" workbookViewId="0"/>
  </sheetViews>
  <sheetFormatPr baseColWidth="10" defaultRowHeight="12" x14ac:dyDescent="0"/>
  <sheetData>
    <row r="1" spans="1:17" ht="15">
      <c r="A1" s="70" t="s">
        <v>654</v>
      </c>
    </row>
    <row r="3" spans="1:17">
      <c r="A3" s="1" t="s">
        <v>1</v>
      </c>
    </row>
    <row r="5" spans="1:17">
      <c r="A5" s="1" t="s">
        <v>601</v>
      </c>
    </row>
    <row r="6" spans="1:17">
      <c r="A6" s="87"/>
      <c r="B6" s="87"/>
      <c r="C6" s="87"/>
    </row>
    <row r="7" spans="1:17">
      <c r="A7" s="87" t="s">
        <v>0</v>
      </c>
      <c r="B7" s="87" t="s">
        <v>611</v>
      </c>
      <c r="C7" s="87" t="s">
        <v>610</v>
      </c>
      <c r="D7" s="87" t="s">
        <v>595</v>
      </c>
      <c r="E7" s="87" t="s">
        <v>596</v>
      </c>
    </row>
    <row r="8" spans="1:17">
      <c r="A8" s="87">
        <v>1</v>
      </c>
      <c r="B8" s="87">
        <v>0</v>
      </c>
      <c r="C8" s="12">
        <f>0.25*0.95*750</f>
        <v>178.125</v>
      </c>
      <c r="D8" s="12">
        <f>0.01*C8*1.065</f>
        <v>1.8970312499999999</v>
      </c>
      <c r="E8" s="12">
        <f>0.99*D8*100</f>
        <v>187.80609375</v>
      </c>
    </row>
    <row r="9" spans="1:17">
      <c r="A9" s="87">
        <v>2</v>
      </c>
      <c r="B9" s="12">
        <f>E8</f>
        <v>187.80609375</v>
      </c>
      <c r="C9" s="12">
        <f>1.025*0.95*750</f>
        <v>730.31249999999989</v>
      </c>
      <c r="D9" s="12">
        <f>0.01*(E8+C9)*1.065</f>
        <v>9.7779630234375006</v>
      </c>
      <c r="E9" s="12">
        <f>0.99*D9*100</f>
        <v>968.01833932031252</v>
      </c>
    </row>
    <row r="10" spans="1:17">
      <c r="A10" s="87">
        <v>3</v>
      </c>
      <c r="B10" s="12">
        <f t="shared" ref="B10:B12" si="0">E9</f>
        <v>968.01833932031252</v>
      </c>
      <c r="C10" s="12">
        <f t="shared" ref="C10:C12" si="1">1.025*0.95*750</f>
        <v>730.31249999999989</v>
      </c>
      <c r="D10" s="12">
        <f>0.01*(E9+C10)*1.065</f>
        <v>18.087223438761328</v>
      </c>
      <c r="E10" s="12">
        <f>0.99*D10*100</f>
        <v>1790.6351204373714</v>
      </c>
    </row>
    <row r="11" spans="1:17">
      <c r="A11" s="87">
        <v>4</v>
      </c>
      <c r="B11" s="12">
        <f t="shared" si="0"/>
        <v>1790.6351204373714</v>
      </c>
      <c r="C11" s="12">
        <f t="shared" si="1"/>
        <v>730.31249999999989</v>
      </c>
      <c r="D11" s="12">
        <f>0.01*(E10+C11)*1.065</f>
        <v>26.848092157658005</v>
      </c>
      <c r="E11" s="12">
        <f>0.99*D11*100</f>
        <v>2657.9611236081428</v>
      </c>
    </row>
    <row r="12" spans="1:17">
      <c r="A12" s="87">
        <v>5</v>
      </c>
      <c r="B12" s="12">
        <f t="shared" si="0"/>
        <v>2657.9611236081428</v>
      </c>
      <c r="C12" s="12">
        <f t="shared" si="1"/>
        <v>730.31249999999989</v>
      </c>
      <c r="D12" s="12">
        <f>0.01*(E11+C12)*1.065</f>
        <v>36.085114091426718</v>
      </c>
      <c r="E12" s="12">
        <f>0.99*D12*100</f>
        <v>3572.4262950512448</v>
      </c>
    </row>
    <row r="14" spans="1:17">
      <c r="A14" s="1" t="s">
        <v>602</v>
      </c>
    </row>
    <row r="15" spans="1:17">
      <c r="E15" s="87"/>
      <c r="F15" s="87"/>
      <c r="G15" s="87"/>
      <c r="H15" s="87"/>
      <c r="I15" s="87" t="s">
        <v>86</v>
      </c>
      <c r="J15" s="87" t="s">
        <v>86</v>
      </c>
      <c r="N15" s="87" t="s">
        <v>282</v>
      </c>
      <c r="P15" s="52" t="s">
        <v>9</v>
      </c>
      <c r="Q15" s="51">
        <v>2.2000000000000001E-4</v>
      </c>
    </row>
    <row r="16" spans="1:17">
      <c r="A16" s="87" t="s">
        <v>0</v>
      </c>
      <c r="B16" s="87" t="s">
        <v>612</v>
      </c>
      <c r="C16" s="87" t="s">
        <v>476</v>
      </c>
      <c r="D16" s="87" t="s">
        <v>477</v>
      </c>
      <c r="E16" s="87" t="s">
        <v>595</v>
      </c>
      <c r="F16" s="87" t="s">
        <v>599</v>
      </c>
      <c r="G16" s="87" t="s">
        <v>592</v>
      </c>
      <c r="H16" s="22" t="s">
        <v>489</v>
      </c>
      <c r="I16" s="87" t="s">
        <v>603</v>
      </c>
      <c r="J16" s="87" t="s">
        <v>167</v>
      </c>
      <c r="L16" s="87" t="s">
        <v>48</v>
      </c>
      <c r="M16" s="7" t="s">
        <v>32</v>
      </c>
      <c r="N16" s="87" t="s">
        <v>604</v>
      </c>
      <c r="P16" s="52" t="s">
        <v>10</v>
      </c>
      <c r="Q16" s="51">
        <v>2.7E-6</v>
      </c>
    </row>
    <row r="17" spans="1:17">
      <c r="A17" s="87">
        <v>0</v>
      </c>
      <c r="B17" s="87"/>
      <c r="C17" s="87">
        <f>150+0.1*750</f>
        <v>225</v>
      </c>
      <c r="D17" s="87"/>
      <c r="E17" s="87"/>
      <c r="F17" s="87"/>
      <c r="G17" s="12">
        <f>-C17</f>
        <v>-225</v>
      </c>
      <c r="H17" s="12">
        <f>G17</f>
        <v>-225</v>
      </c>
      <c r="I17" s="12">
        <f>G17</f>
        <v>-225</v>
      </c>
      <c r="J17" s="87"/>
      <c r="L17" s="10">
        <f>Q$19*Q$18^((Q$17^(50+A17))*(Q$17-1))</f>
        <v>0.99879147253188127</v>
      </c>
      <c r="M17" s="10">
        <v>1</v>
      </c>
      <c r="N17" s="10">
        <f>M17</f>
        <v>1</v>
      </c>
      <c r="P17" s="52" t="s">
        <v>24</v>
      </c>
      <c r="Q17" s="51">
        <v>1.1240000000000001</v>
      </c>
    </row>
    <row r="18" spans="1:17">
      <c r="A18" s="87">
        <v>1</v>
      </c>
      <c r="B18" s="12">
        <f>750-C8</f>
        <v>571.875</v>
      </c>
      <c r="D18" s="12">
        <f>0.055*B18</f>
        <v>31.453125</v>
      </c>
      <c r="E18" s="12">
        <f>D8</f>
        <v>1.8970312499999999</v>
      </c>
      <c r="F18" s="12">
        <f>(1-L17)*(3000-E8)</f>
        <v>3.3986135813792204</v>
      </c>
      <c r="G18" s="12">
        <f>B18-C18+D18+E18-F18</f>
        <v>601.82654266862085</v>
      </c>
      <c r="H18" s="12">
        <f>G18*N17</f>
        <v>601.82654266862085</v>
      </c>
      <c r="I18" s="12">
        <f>(G18*N17)*1.085^-A18</f>
        <v>554.67884116923585</v>
      </c>
      <c r="J18" s="12">
        <f>750*N17*1.085^-(A18-1)</f>
        <v>750</v>
      </c>
      <c r="L18" s="10">
        <f t="shared" ref="L18:L21" si="2">Q$19*Q$18^((Q$17^(50+A18))*(Q$17-1))</f>
        <v>0.99866896026142493</v>
      </c>
      <c r="M18" s="10">
        <f>M17*L17</f>
        <v>0.99879147253188127</v>
      </c>
      <c r="N18" s="10">
        <f>M18*0.9</f>
        <v>0.89891232527869314</v>
      </c>
      <c r="P18" s="53" t="s">
        <v>25</v>
      </c>
      <c r="Q18" s="77">
        <f>EXP(-Q16/LN(Q17))</f>
        <v>0.99997690236831238</v>
      </c>
    </row>
    <row r="19" spans="1:17">
      <c r="A19" s="87">
        <v>2</v>
      </c>
      <c r="B19" s="12">
        <f>750-C9</f>
        <v>19.687500000000114</v>
      </c>
      <c r="C19" s="87">
        <f>0.025*750+65</f>
        <v>83.75</v>
      </c>
      <c r="D19" s="12">
        <f>0.055*(B19-C19)</f>
        <v>-3.5234374999999938</v>
      </c>
      <c r="E19" s="12">
        <f t="shared" ref="E19:E22" si="3">D9</f>
        <v>9.7779630234375006</v>
      </c>
      <c r="F19" s="12">
        <f t="shared" ref="F19:F21" si="4">(1-L18)*(3000-E9)</f>
        <v>2.7046483384204243</v>
      </c>
      <c r="G19" s="12">
        <f t="shared" ref="G19:G22" si="5">B19-C19+D19+E19-F19</f>
        <v>-60.512622814982812</v>
      </c>
      <c r="H19" s="12">
        <f t="shared" ref="H19:H22" si="6">G19*N18</f>
        <v>-54.395542483328697</v>
      </c>
      <c r="I19" s="12">
        <f t="shared" ref="I19:I22" si="7">(G19*N18)*1.085^-A19</f>
        <v>-46.206581140672938</v>
      </c>
      <c r="J19" s="12">
        <f t="shared" ref="J19:J22" si="8">750*N18*1.085^-(A19-1)</f>
        <v>621.36796678250676</v>
      </c>
      <c r="L19" s="10">
        <f t="shared" si="2"/>
        <v>0.99853127440738909</v>
      </c>
      <c r="M19" s="10">
        <f>M18*L18</f>
        <v>0.99746204139139139</v>
      </c>
      <c r="N19" s="10">
        <f>M19*(0.9^2)</f>
        <v>0.80794425352702703</v>
      </c>
      <c r="P19" s="53" t="s">
        <v>27</v>
      </c>
      <c r="Q19" s="77">
        <f>EXP(-Q15)</f>
        <v>0.99978002419822543</v>
      </c>
    </row>
    <row r="20" spans="1:17">
      <c r="A20" s="87">
        <v>3</v>
      </c>
      <c r="B20" s="12">
        <f>750-C10</f>
        <v>19.687500000000114</v>
      </c>
      <c r="C20" s="87">
        <f t="shared" ref="C20:C22" si="9">0.025*750+65</f>
        <v>83.75</v>
      </c>
      <c r="D20" s="12">
        <f t="shared" ref="D20:D22" si="10">0.055*(B20-C20)</f>
        <v>-3.5234374999999938</v>
      </c>
      <c r="E20" s="12">
        <f t="shared" si="3"/>
        <v>18.087223438761328</v>
      </c>
      <c r="F20" s="12">
        <f t="shared" si="4"/>
        <v>1.7762251494184422</v>
      </c>
      <c r="G20" s="12">
        <f t="shared" si="5"/>
        <v>-51.274939210657003</v>
      </c>
      <c r="H20" s="12">
        <f t="shared" si="6"/>
        <v>-41.42729248519796</v>
      </c>
      <c r="I20" s="12">
        <f t="shared" si="7"/>
        <v>-32.433762782719974</v>
      </c>
      <c r="J20" s="12">
        <f t="shared" si="8"/>
        <v>514.73438819704836</v>
      </c>
      <c r="L20" s="10">
        <f t="shared" si="2"/>
        <v>0.99837653816669825</v>
      </c>
      <c r="M20" s="10">
        <f>M19*L19</f>
        <v>0.99599704336354189</v>
      </c>
      <c r="N20" s="10">
        <f>M20*(0.9^3)</f>
        <v>0.72608184461202208</v>
      </c>
    </row>
    <row r="21" spans="1:17">
      <c r="A21" s="87">
        <v>4</v>
      </c>
      <c r="B21" s="12">
        <f>750-C11</f>
        <v>19.687500000000114</v>
      </c>
      <c r="C21" s="87">
        <f t="shared" si="9"/>
        <v>83.75</v>
      </c>
      <c r="D21" s="12">
        <f t="shared" si="10"/>
        <v>-3.5234374999999938</v>
      </c>
      <c r="E21" s="12">
        <f t="shared" si="3"/>
        <v>26.848092157658005</v>
      </c>
      <c r="F21" s="12">
        <f t="shared" si="4"/>
        <v>0.55528706132759642</v>
      </c>
      <c r="G21" s="12">
        <f t="shared" si="5"/>
        <v>-41.293132403669482</v>
      </c>
      <c r="H21" s="12">
        <f t="shared" si="6"/>
        <v>-29.982193745464798</v>
      </c>
      <c r="I21" s="12">
        <f t="shared" si="7"/>
        <v>-21.634379992666869</v>
      </c>
      <c r="J21" s="12">
        <f t="shared" si="8"/>
        <v>426.3415172027058</v>
      </c>
      <c r="L21" s="10">
        <f t="shared" si="2"/>
        <v>0.99820264325485253</v>
      </c>
      <c r="M21" s="10">
        <f>M20*L20</f>
        <v>0.99438008017755974</v>
      </c>
      <c r="N21" s="10">
        <f>M21*(0.9^3)</f>
        <v>0.72490307844944113</v>
      </c>
    </row>
    <row r="22" spans="1:17">
      <c r="A22" s="87">
        <v>5</v>
      </c>
      <c r="B22" s="12">
        <f>750-C12</f>
        <v>19.687500000000114</v>
      </c>
      <c r="C22" s="87">
        <f t="shared" si="9"/>
        <v>83.75</v>
      </c>
      <c r="D22" s="12">
        <f t="shared" si="10"/>
        <v>-3.5234374999999938</v>
      </c>
      <c r="E22" s="12">
        <f t="shared" si="3"/>
        <v>36.085114091426718</v>
      </c>
      <c r="F22" s="12">
        <f>L21*0.1*E12</f>
        <v>356.60053705532926</v>
      </c>
      <c r="G22" s="12">
        <f t="shared" si="5"/>
        <v>-388.10136046390244</v>
      </c>
      <c r="H22" s="12">
        <f t="shared" si="6"/>
        <v>-281.33587095069907</v>
      </c>
      <c r="I22" s="12">
        <f t="shared" si="7"/>
        <v>-187.10113338262852</v>
      </c>
      <c r="J22" s="12">
        <f t="shared" si="8"/>
        <v>392.30356499684365</v>
      </c>
      <c r="L22" s="334"/>
    </row>
    <row r="23" spans="1:17">
      <c r="I23" s="12">
        <f>SUM(I17:I22)</f>
        <v>42.302983870547536</v>
      </c>
      <c r="J23" s="12">
        <f>SUM(J18:J22)</f>
        <v>2704.7474371791045</v>
      </c>
    </row>
    <row r="24" spans="1:17">
      <c r="J24" s="302">
        <f>I23/J23</f>
        <v>1.5640271357338677E-2</v>
      </c>
    </row>
    <row r="25" spans="1:17">
      <c r="D25" s="87"/>
      <c r="E25" s="10"/>
      <c r="F25" s="10"/>
      <c r="G25" s="10"/>
    </row>
    <row r="26" spans="1:17">
      <c r="A26" s="1" t="s">
        <v>2</v>
      </c>
    </row>
    <row r="28" spans="1:17">
      <c r="A28" s="11" t="s">
        <v>605</v>
      </c>
    </row>
    <row r="29" spans="1:17">
      <c r="B29" s="87"/>
      <c r="C29" s="87"/>
      <c r="H29" s="87"/>
      <c r="I29" s="87"/>
      <c r="J29" s="87" t="s">
        <v>86</v>
      </c>
      <c r="K29" s="87" t="s">
        <v>86</v>
      </c>
    </row>
    <row r="30" spans="1:17">
      <c r="A30" s="87" t="s">
        <v>0</v>
      </c>
      <c r="B30" s="87" t="s">
        <v>612</v>
      </c>
      <c r="C30" s="87" t="s">
        <v>613</v>
      </c>
      <c r="D30" s="87" t="s">
        <v>476</v>
      </c>
      <c r="E30" s="87" t="s">
        <v>477</v>
      </c>
      <c r="F30" s="87" t="s">
        <v>595</v>
      </c>
      <c r="G30" s="87" t="s">
        <v>599</v>
      </c>
      <c r="H30" s="87" t="s">
        <v>614</v>
      </c>
      <c r="I30" s="87" t="s">
        <v>592</v>
      </c>
      <c r="J30" s="87" t="s">
        <v>603</v>
      </c>
      <c r="K30" s="87" t="s">
        <v>167</v>
      </c>
    </row>
    <row r="31" spans="1:17">
      <c r="A31" s="87">
        <v>0</v>
      </c>
      <c r="B31" s="87"/>
      <c r="C31" s="87"/>
      <c r="D31" s="12">
        <f>C17</f>
        <v>225</v>
      </c>
      <c r="E31" s="87"/>
      <c r="F31" s="87"/>
      <c r="G31" s="87"/>
      <c r="H31" s="87"/>
      <c r="I31" s="12">
        <f>-D31</f>
        <v>-225</v>
      </c>
      <c r="J31" s="12">
        <f>I31</f>
        <v>-225</v>
      </c>
      <c r="K31" s="87"/>
    </row>
    <row r="32" spans="1:17">
      <c r="A32" s="87">
        <v>1</v>
      </c>
      <c r="B32" s="12">
        <f>B18</f>
        <v>571.875</v>
      </c>
      <c r="E32" s="12">
        <f>0.055*B32</f>
        <v>31.453125</v>
      </c>
      <c r="F32" s="12">
        <f t="shared" ref="F32:G36" si="11">E18</f>
        <v>1.8970312499999999</v>
      </c>
      <c r="G32" s="12">
        <f t="shared" si="11"/>
        <v>3.3986135813792204</v>
      </c>
      <c r="H32" s="12">
        <f>C33*L17*0.9</f>
        <v>359.56493011147722</v>
      </c>
      <c r="I32" s="12">
        <f>B32+C32-D32+E32+F32-G32-H32</f>
        <v>242.26161255714362</v>
      </c>
      <c r="J32" s="12">
        <f t="shared" ref="J32:J35" si="12">I32*N17*1.085^-A32</f>
        <v>223.28259221856555</v>
      </c>
      <c r="K32" s="12">
        <f>750*N17*1.085^-(A32-1)</f>
        <v>750</v>
      </c>
    </row>
    <row r="33" spans="1:11">
      <c r="A33" s="87">
        <v>2</v>
      </c>
      <c r="B33" s="12">
        <f>B19</f>
        <v>19.687500000000114</v>
      </c>
      <c r="C33" s="87">
        <v>400</v>
      </c>
      <c r="D33" s="87">
        <f>C19</f>
        <v>83.75</v>
      </c>
      <c r="E33" s="12">
        <f>0.055*(B33+C33-D33)</f>
        <v>18.476562500000007</v>
      </c>
      <c r="F33" s="12">
        <f t="shared" si="11"/>
        <v>9.7779630234375006</v>
      </c>
      <c r="G33" s="12">
        <f t="shared" si="11"/>
        <v>2.7046483384204243</v>
      </c>
      <c r="H33" s="12">
        <f t="shared" ref="H33:H34" si="13">C34*L18*0.9</f>
        <v>359.520825694113</v>
      </c>
      <c r="I33" s="12">
        <f t="shared" ref="I33:I36" si="14">B33+C33-D33+E33+F33-G33-H33</f>
        <v>1.9665514909041804</v>
      </c>
      <c r="J33" s="12">
        <f t="shared" si="12"/>
        <v>1.501630846668188</v>
      </c>
      <c r="K33" s="12">
        <f t="shared" ref="K33:K36" si="15">750*N18*1.085^-(A33-1)</f>
        <v>621.36796678250676</v>
      </c>
    </row>
    <row r="34" spans="1:11">
      <c r="A34" s="87">
        <v>3</v>
      </c>
      <c r="B34" s="12">
        <f>B20</f>
        <v>19.687500000000114</v>
      </c>
      <c r="C34" s="87">
        <v>400</v>
      </c>
      <c r="D34" s="87">
        <f>C20</f>
        <v>83.75</v>
      </c>
      <c r="E34" s="12">
        <f t="shared" ref="E34:E36" si="16">0.055*(B34+C34-D34)</f>
        <v>18.476562500000007</v>
      </c>
      <c r="F34" s="12">
        <f t="shared" si="11"/>
        <v>18.087223438761328</v>
      </c>
      <c r="G34" s="12">
        <f t="shared" si="11"/>
        <v>1.7762251494184422</v>
      </c>
      <c r="H34" s="12">
        <f t="shared" si="13"/>
        <v>359.47125878666009</v>
      </c>
      <c r="I34" s="12">
        <f t="shared" si="14"/>
        <v>11.253802002682903</v>
      </c>
      <c r="J34" s="12">
        <f t="shared" si="12"/>
        <v>7.1185485575934893</v>
      </c>
      <c r="K34" s="12">
        <f t="shared" si="15"/>
        <v>514.73438819704836</v>
      </c>
    </row>
    <row r="35" spans="1:11">
      <c r="A35" s="87">
        <v>4</v>
      </c>
      <c r="B35" s="12">
        <f>B21</f>
        <v>19.687500000000114</v>
      </c>
      <c r="C35" s="87">
        <v>400</v>
      </c>
      <c r="D35" s="87">
        <f>C21</f>
        <v>83.75</v>
      </c>
      <c r="E35" s="12">
        <f t="shared" si="16"/>
        <v>18.476562500000007</v>
      </c>
      <c r="F35" s="12">
        <f t="shared" si="11"/>
        <v>26.848092157658005</v>
      </c>
      <c r="G35" s="12">
        <f t="shared" si="11"/>
        <v>0.55528706132759642</v>
      </c>
      <c r="H35" s="12">
        <f>C36*L20</f>
        <v>374.39120181251184</v>
      </c>
      <c r="I35" s="12">
        <f t="shared" si="14"/>
        <v>6.3156657838187016</v>
      </c>
      <c r="J35" s="12">
        <f t="shared" si="12"/>
        <v>3.3089161688706383</v>
      </c>
      <c r="K35" s="12">
        <f t="shared" si="15"/>
        <v>426.3415172027058</v>
      </c>
    </row>
    <row r="36" spans="1:11">
      <c r="A36" s="87">
        <v>5</v>
      </c>
      <c r="B36" s="12">
        <f>B22</f>
        <v>19.687500000000114</v>
      </c>
      <c r="C36" s="87">
        <v>375</v>
      </c>
      <c r="D36" s="87">
        <f>C22</f>
        <v>83.75</v>
      </c>
      <c r="E36" s="12">
        <f t="shared" si="16"/>
        <v>17.101562500000007</v>
      </c>
      <c r="F36" s="12">
        <f t="shared" si="11"/>
        <v>36.085114091426718</v>
      </c>
      <c r="G36" s="12">
        <f t="shared" si="11"/>
        <v>356.60053705532926</v>
      </c>
      <c r="H36" s="12">
        <v>0</v>
      </c>
      <c r="I36" s="12">
        <f t="shared" si="14"/>
        <v>7.5236395360975621</v>
      </c>
      <c r="J36" s="12">
        <f>I36*N21*1.085^-A36</f>
        <v>3.6270975259751426</v>
      </c>
      <c r="K36" s="12">
        <f t="shared" si="15"/>
        <v>392.30356499684365</v>
      </c>
    </row>
    <row r="37" spans="1:11">
      <c r="J37" s="12">
        <f>SUM(J31:J36)</f>
        <v>13.838785317673011</v>
      </c>
      <c r="K37" s="12">
        <f>SUM(K32:K36)</f>
        <v>2704.7474371791045</v>
      </c>
    </row>
    <row r="38" spans="1:11">
      <c r="K38" s="302">
        <f>J37/K37</f>
        <v>5.1164796858467736E-3</v>
      </c>
    </row>
    <row r="39" spans="1:11">
      <c r="A39" s="1" t="s">
        <v>3</v>
      </c>
    </row>
    <row r="41" spans="1:11">
      <c r="A41" s="1" t="s">
        <v>606</v>
      </c>
    </row>
    <row r="42" spans="1:11">
      <c r="G42" s="87" t="s">
        <v>608</v>
      </c>
      <c r="H42" s="87" t="s">
        <v>607</v>
      </c>
    </row>
    <row r="43" spans="1:11">
      <c r="A43" s="87" t="s">
        <v>0</v>
      </c>
      <c r="B43" s="87" t="s">
        <v>611</v>
      </c>
      <c r="C43" s="87" t="s">
        <v>610</v>
      </c>
      <c r="D43" s="87" t="s">
        <v>595</v>
      </c>
      <c r="E43" s="87" t="s">
        <v>596</v>
      </c>
      <c r="G43" s="87" t="s">
        <v>580</v>
      </c>
      <c r="H43" s="87" t="s">
        <v>318</v>
      </c>
    </row>
    <row r="44" spans="1:11">
      <c r="A44" s="87">
        <v>1</v>
      </c>
      <c r="B44" s="87">
        <v>0</v>
      </c>
      <c r="C44" s="12">
        <f>0.25*0.95*750</f>
        <v>178.125</v>
      </c>
      <c r="D44" s="12">
        <f>0.01*C44*H44</f>
        <v>1.6546166739198624</v>
      </c>
      <c r="E44" s="12">
        <f>0.99*D44*100</f>
        <v>163.80705071806639</v>
      </c>
      <c r="G44" s="10">
        <v>-0.71872999999999998</v>
      </c>
      <c r="H44" s="10">
        <f>EXP(0.07+0.2*G44)</f>
        <v>0.92890760641115089</v>
      </c>
    </row>
    <row r="45" spans="1:11">
      <c r="A45" s="87">
        <v>2</v>
      </c>
      <c r="B45" s="12">
        <f>E44</f>
        <v>163.80705071806639</v>
      </c>
      <c r="C45" s="12">
        <f>1.025*0.95*750</f>
        <v>730.31249999999989</v>
      </c>
      <c r="D45" s="12">
        <f>0.01*(E44+C45)*H45</f>
        <v>7.7055381137093004</v>
      </c>
      <c r="E45" s="12">
        <f>0.99*D45*100</f>
        <v>762.84827325722074</v>
      </c>
      <c r="G45" s="10">
        <v>-1.09365</v>
      </c>
      <c r="H45" s="10">
        <f>EXP(0.07+0.2*G45)</f>
        <v>0.86180176996700175</v>
      </c>
    </row>
    <row r="46" spans="1:11">
      <c r="A46" s="87">
        <v>3</v>
      </c>
      <c r="B46" s="12">
        <f t="shared" ref="B46:B48" si="17">E45</f>
        <v>762.84827325722074</v>
      </c>
      <c r="C46" s="12">
        <f t="shared" ref="C46:C48" si="18">1.025*0.95*750</f>
        <v>730.31249999999989</v>
      </c>
      <c r="D46" s="12">
        <f t="shared" ref="D46:D48" si="19">0.01*(E45+C46)*H46</f>
        <v>16.300280079452627</v>
      </c>
      <c r="E46" s="12">
        <f>0.99*D46*100</f>
        <v>1613.72772786581</v>
      </c>
      <c r="G46" s="10">
        <v>8.8510000000000005E-2</v>
      </c>
      <c r="H46" s="10">
        <f>EXP(0.07+0.2*G46)</f>
        <v>1.0916627580494738</v>
      </c>
    </row>
    <row r="47" spans="1:11">
      <c r="A47" s="87">
        <v>4</v>
      </c>
      <c r="B47" s="12">
        <f t="shared" si="17"/>
        <v>1613.72772786581</v>
      </c>
      <c r="C47" s="12">
        <f t="shared" si="18"/>
        <v>730.31249999999989</v>
      </c>
      <c r="D47" s="12">
        <f t="shared" si="19"/>
        <v>28.785538528996003</v>
      </c>
      <c r="E47" s="12">
        <f>0.99*D47*100</f>
        <v>2849.7683143706045</v>
      </c>
      <c r="G47" s="10">
        <v>0.67706</v>
      </c>
      <c r="H47" s="10">
        <f>EXP(0.07+0.2*G47)</f>
        <v>1.228030909486759</v>
      </c>
    </row>
    <row r="48" spans="1:11">
      <c r="A48" s="87">
        <v>5</v>
      </c>
      <c r="B48" s="12">
        <f t="shared" si="17"/>
        <v>2849.7683143706045</v>
      </c>
      <c r="C48" s="12">
        <f t="shared" si="18"/>
        <v>730.31249999999989</v>
      </c>
      <c r="D48" s="12">
        <f t="shared" si="19"/>
        <v>47.87389982108882</v>
      </c>
      <c r="E48" s="12">
        <f>0.99*D48*100</f>
        <v>4739.5160822877933</v>
      </c>
      <c r="G48" s="10">
        <v>1.103</v>
      </c>
      <c r="H48" s="10">
        <f>EXP(0.07+0.2*G48)</f>
        <v>1.3372295851233538</v>
      </c>
    </row>
    <row r="51" spans="1:11">
      <c r="A51" s="11" t="s">
        <v>609</v>
      </c>
    </row>
    <row r="52" spans="1:11">
      <c r="B52" s="87"/>
      <c r="C52" s="87"/>
      <c r="H52" s="87"/>
      <c r="I52" s="87"/>
      <c r="J52" s="87" t="s">
        <v>86</v>
      </c>
      <c r="K52" s="87" t="s">
        <v>86</v>
      </c>
    </row>
    <row r="53" spans="1:11">
      <c r="A53" s="87" t="s">
        <v>341</v>
      </c>
      <c r="B53" s="87" t="s">
        <v>612</v>
      </c>
      <c r="C53" s="87" t="s">
        <v>613</v>
      </c>
      <c r="D53" s="87" t="s">
        <v>476</v>
      </c>
      <c r="E53" s="87" t="s">
        <v>477</v>
      </c>
      <c r="F53" s="87" t="s">
        <v>595</v>
      </c>
      <c r="G53" s="87" t="s">
        <v>599</v>
      </c>
      <c r="H53" s="87" t="s">
        <v>614</v>
      </c>
      <c r="I53" s="87" t="s">
        <v>592</v>
      </c>
      <c r="J53" s="87" t="s">
        <v>603</v>
      </c>
      <c r="K53" s="87" t="s">
        <v>167</v>
      </c>
    </row>
    <row r="54" spans="1:11">
      <c r="A54" s="87">
        <v>0</v>
      </c>
      <c r="B54" s="87"/>
      <c r="C54" s="87"/>
      <c r="D54" s="87">
        <f>D31</f>
        <v>225</v>
      </c>
      <c r="E54" s="87"/>
      <c r="F54" s="87"/>
      <c r="G54" s="87"/>
      <c r="H54" s="87"/>
      <c r="I54" s="12">
        <f>-D54</f>
        <v>-225</v>
      </c>
      <c r="J54" s="12">
        <f>I54</f>
        <v>-225</v>
      </c>
      <c r="K54" s="12"/>
    </row>
    <row r="55" spans="1:11">
      <c r="A55" s="87">
        <v>1</v>
      </c>
      <c r="B55" s="12">
        <f>B32</f>
        <v>571.875</v>
      </c>
      <c r="D55" s="87"/>
      <c r="E55" s="12">
        <f>E32</f>
        <v>31.453125</v>
      </c>
      <c r="F55" s="12">
        <f>D44</f>
        <v>1.6546166739198624</v>
      </c>
      <c r="G55" s="12">
        <f>(1-L17)*(3000-E44)</f>
        <v>3.4276170840918754</v>
      </c>
      <c r="H55" s="12">
        <f>H32</f>
        <v>359.56493011147722</v>
      </c>
      <c r="I55" s="12">
        <f>B55+C55-D55+E55+F55-G55-H55</f>
        <v>241.99019447835087</v>
      </c>
      <c r="J55" s="12">
        <f>I55*N17*1.085^-A55</f>
        <v>223.03243730723582</v>
      </c>
      <c r="K55" s="12">
        <f>750*N17*1.085^-(A55-1)</f>
        <v>750</v>
      </c>
    </row>
    <row r="56" spans="1:11">
      <c r="A56" s="87">
        <v>2</v>
      </c>
      <c r="B56" s="12">
        <f>B33</f>
        <v>19.687500000000114</v>
      </c>
      <c r="C56" s="87">
        <v>400</v>
      </c>
      <c r="D56" s="87">
        <f>D33</f>
        <v>83.75</v>
      </c>
      <c r="E56" s="12">
        <f>E33</f>
        <v>18.476562500000007</v>
      </c>
      <c r="F56" s="12">
        <f t="shared" ref="F56:F59" si="20">D45</f>
        <v>7.7055381137093004</v>
      </c>
      <c r="G56" s="12">
        <f t="shared" ref="G56:G58" si="21">(1-L18)*(3000-E45)</f>
        <v>2.9777378495164717</v>
      </c>
      <c r="H56" s="12">
        <f t="shared" ref="H56:H58" si="22">H33</f>
        <v>359.520825694113</v>
      </c>
      <c r="I56" s="12">
        <f t="shared" ref="I56:I59" si="23">B56+C56-D56+E56+F56-G56-H56</f>
        <v>-0.3789629299200783</v>
      </c>
      <c r="J56" s="12">
        <f>I56*N18*1.085^-A56</f>
        <v>-0.28937072227389327</v>
      </c>
      <c r="K56" s="12">
        <f t="shared" ref="K56:K59" si="24">750*N18*1.085^-(A56-1)</f>
        <v>621.36796678250676</v>
      </c>
    </row>
    <row r="57" spans="1:11">
      <c r="A57" s="87">
        <v>3</v>
      </c>
      <c r="B57" s="12">
        <f>B34</f>
        <v>19.687500000000114</v>
      </c>
      <c r="C57" s="87">
        <v>400</v>
      </c>
      <c r="D57" s="87">
        <f>D34</f>
        <v>83.75</v>
      </c>
      <c r="E57" s="12">
        <f>E34</f>
        <v>18.476562500000007</v>
      </c>
      <c r="F57" s="12">
        <f t="shared" si="20"/>
        <v>16.300280079452627</v>
      </c>
      <c r="G57" s="12">
        <f t="shared" si="21"/>
        <v>2.0360535644103592</v>
      </c>
      <c r="H57" s="12">
        <f t="shared" si="22"/>
        <v>359.47125878666009</v>
      </c>
      <c r="I57" s="12">
        <f t="shared" si="23"/>
        <v>9.2070302283823366</v>
      </c>
      <c r="J57" s="12">
        <f>I57*N19*1.085^-A57</f>
        <v>5.8238710558747924</v>
      </c>
      <c r="K57" s="12">
        <f t="shared" si="24"/>
        <v>514.73438819704836</v>
      </c>
    </row>
    <row r="58" spans="1:11">
      <c r="A58" s="87">
        <v>4</v>
      </c>
      <c r="B58" s="12">
        <f>B35</f>
        <v>19.687500000000114</v>
      </c>
      <c r="C58" s="87">
        <v>400</v>
      </c>
      <c r="D58" s="87">
        <f>D35</f>
        <v>83.75</v>
      </c>
      <c r="E58" s="12">
        <f>E35</f>
        <v>18.476562500000007</v>
      </c>
      <c r="F58" s="12">
        <f t="shared" si="20"/>
        <v>28.785538528996003</v>
      </c>
      <c r="G58" s="12">
        <f t="shared" si="21"/>
        <v>0.24389540777191121</v>
      </c>
      <c r="H58" s="12">
        <f t="shared" si="22"/>
        <v>374.39120181251184</v>
      </c>
      <c r="I58" s="12">
        <f t="shared" si="23"/>
        <v>8.5645038087124021</v>
      </c>
      <c r="J58" s="12">
        <f>I58*N20*1.085^-A58</f>
        <v>4.487131856091918</v>
      </c>
      <c r="K58" s="12">
        <f t="shared" si="24"/>
        <v>426.3415172027058</v>
      </c>
    </row>
    <row r="59" spans="1:11">
      <c r="A59" s="87">
        <v>5</v>
      </c>
      <c r="B59" s="12">
        <f>B36</f>
        <v>19.687500000000114</v>
      </c>
      <c r="C59" s="87">
        <v>375</v>
      </c>
      <c r="D59" s="87">
        <f>D36</f>
        <v>83.75</v>
      </c>
      <c r="E59" s="12">
        <f>E36</f>
        <v>17.101562500000007</v>
      </c>
      <c r="F59" s="12">
        <f t="shared" si="20"/>
        <v>47.87389982108882</v>
      </c>
      <c r="G59" s="12">
        <f>L21*E48*0.1</f>
        <v>473.09974810885592</v>
      </c>
      <c r="H59" s="12">
        <f>H36</f>
        <v>0</v>
      </c>
      <c r="I59" s="12">
        <f t="shared" si="23"/>
        <v>-97.186785787767008</v>
      </c>
      <c r="J59" s="12">
        <f>I59*N21*1.085^-A59</f>
        <v>-46.85311525053833</v>
      </c>
      <c r="K59" s="12">
        <f t="shared" si="24"/>
        <v>392.30356499684365</v>
      </c>
    </row>
    <row r="60" spans="1:11">
      <c r="J60" s="12">
        <f>SUM(J54:J59)</f>
        <v>-38.79904575360969</v>
      </c>
      <c r="K60" s="335">
        <f>SUM(K55:K59)</f>
        <v>2704.7474371791045</v>
      </c>
    </row>
    <row r="61" spans="1:11">
      <c r="K61" s="302">
        <f>J60/K60</f>
        <v>-1.4344794349477176E-2</v>
      </c>
    </row>
  </sheetData>
  <pageMargins left="0.75" right="0.75" top="1" bottom="1" header="0.5" footer="0.5"/>
  <pageSetup paperSize="9" orientation="portrait" horizontalDpi="4294967292" verticalDpi="4294967292"/>
  <ignoredErrors>
    <ignoredError sqref="G18:G22 I32:I36 I55" emptyCellReference="1"/>
    <ignoredError sqref="E33:E36" formula="1"/>
    <ignoredError sqref="H55" evalError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zoomScale="125" zoomScaleNormal="125" zoomScalePageLayoutView="125" workbookViewId="0">
      <selection activeCell="A2" sqref="A2"/>
    </sheetView>
  </sheetViews>
  <sheetFormatPr baseColWidth="10" defaultRowHeight="12" x14ac:dyDescent="0"/>
  <sheetData>
    <row r="1" spans="1:4" ht="15">
      <c r="A1" s="70" t="s">
        <v>719</v>
      </c>
    </row>
    <row r="2" spans="1:4">
      <c r="A2" s="167"/>
      <c r="B2" s="167"/>
      <c r="C2" s="167"/>
      <c r="D2" s="167"/>
    </row>
    <row r="3" spans="1:4">
      <c r="A3" s="1" t="s">
        <v>1</v>
      </c>
      <c r="B3" s="57">
        <f>41+420*EXP(-0.07/2)-400</f>
        <v>46.554274828177938</v>
      </c>
      <c r="C3" s="167"/>
      <c r="D3" s="167"/>
    </row>
    <row r="4" spans="1:4">
      <c r="A4" s="167"/>
      <c r="B4" s="167"/>
      <c r="C4" s="167"/>
      <c r="D4" s="167"/>
    </row>
    <row r="5" spans="1:4">
      <c r="A5" s="1" t="s">
        <v>2</v>
      </c>
      <c r="B5" s="167"/>
      <c r="C5" s="167"/>
      <c r="D5" s="167"/>
    </row>
    <row r="6" spans="1:4">
      <c r="A6" s="63" t="s">
        <v>387</v>
      </c>
      <c r="B6" s="304">
        <v>400</v>
      </c>
      <c r="C6" s="167"/>
      <c r="D6" s="167"/>
    </row>
    <row r="7" spans="1:4">
      <c r="A7" s="63" t="s">
        <v>511</v>
      </c>
      <c r="B7" s="304">
        <v>420</v>
      </c>
      <c r="C7" s="167"/>
      <c r="D7" s="167"/>
    </row>
    <row r="8" spans="1:4">
      <c r="A8" s="63" t="s">
        <v>512</v>
      </c>
      <c r="B8" s="61">
        <v>7.0000000000000007E-2</v>
      </c>
      <c r="C8" s="167"/>
      <c r="D8" s="167"/>
    </row>
    <row r="9" spans="1:4">
      <c r="A9" s="63" t="s">
        <v>42</v>
      </c>
      <c r="B9" s="304">
        <v>0.5</v>
      </c>
      <c r="C9" s="167"/>
      <c r="D9" s="167"/>
    </row>
    <row r="10" spans="1:4">
      <c r="A10" s="108" t="s">
        <v>517</v>
      </c>
      <c r="B10" s="303">
        <v>0.38599589804456141</v>
      </c>
      <c r="C10" s="167" t="s">
        <v>520</v>
      </c>
      <c r="D10" s="167"/>
    </row>
    <row r="11" spans="1:4">
      <c r="A11" s="97" t="s">
        <v>518</v>
      </c>
      <c r="B11" s="195">
        <f>(LN(B6/B7)+(B8+B10*B10/2)*B9)/(B10*SQRT(B9))</f>
        <v>8.5945691034977109E-2</v>
      </c>
      <c r="C11" s="167"/>
      <c r="D11" s="167"/>
    </row>
    <row r="12" spans="1:4">
      <c r="A12" s="97" t="s">
        <v>519</v>
      </c>
      <c r="B12" s="195">
        <f>B11-B10*SQRT(B9)</f>
        <v>-0.18699462598252348</v>
      </c>
      <c r="C12" s="167"/>
      <c r="D12" s="167"/>
    </row>
    <row r="13" spans="1:4">
      <c r="A13" s="63" t="s">
        <v>513</v>
      </c>
      <c r="B13" s="305">
        <f>B6*NORMDIST(B11,0,1,TRUE)-(B7*EXP(-B8*B9))*NORMDIST(B12,0,1,TRUE)</f>
        <v>40.999922462664358</v>
      </c>
      <c r="C13" s="167"/>
      <c r="D13" s="167"/>
    </row>
    <row r="14" spans="1:4">
      <c r="A14" s="167"/>
      <c r="B14" s="167"/>
      <c r="C14" s="167"/>
      <c r="D14" s="167"/>
    </row>
    <row r="15" spans="1:4">
      <c r="A15" s="1" t="s">
        <v>3</v>
      </c>
      <c r="B15" s="302">
        <f>NORMDIST(B11,0,1,TRUE)</f>
        <v>0.53424520516704599</v>
      </c>
      <c r="C15" s="167"/>
      <c r="D15" s="167"/>
    </row>
    <row r="16" spans="1:4">
      <c r="A16" s="167"/>
      <c r="B16" s="167"/>
      <c r="C16" s="167"/>
      <c r="D16" s="167"/>
    </row>
    <row r="17" spans="1:4">
      <c r="A17" s="1" t="s">
        <v>4</v>
      </c>
      <c r="B17" s="167"/>
      <c r="C17" s="167"/>
      <c r="D17" s="167"/>
    </row>
    <row r="18" spans="1:4">
      <c r="A18" s="167" t="s">
        <v>514</v>
      </c>
      <c r="B18" s="96">
        <f>B6*NORMDIST(B11,0,1,TRUE)</f>
        <v>213.69808206681839</v>
      </c>
      <c r="C18" s="57">
        <f>B18*10000/400</f>
        <v>5342.4520516704597</v>
      </c>
      <c r="D18" s="167"/>
    </row>
    <row r="19" spans="1:4">
      <c r="A19" s="167" t="s">
        <v>515</v>
      </c>
      <c r="B19" s="197">
        <f>-(B7*EXP(-B8*B9))*NORMDIST(B12,0,1,TRUE)</f>
        <v>-172.69815960415403</v>
      </c>
      <c r="C19" s="74">
        <f>B19*10000</f>
        <v>-1726981.5960415404</v>
      </c>
      <c r="D19" s="167"/>
    </row>
    <row r="20" spans="1:4">
      <c r="A20" s="167" t="s">
        <v>516</v>
      </c>
      <c r="B20" s="173">
        <f>B18+B19</f>
        <v>40.999922462664358</v>
      </c>
      <c r="C20" s="167"/>
      <c r="D20" s="16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"/>
  <sheetViews>
    <sheetView zoomScale="125" zoomScaleNormal="125" zoomScalePageLayoutView="125" workbookViewId="0"/>
  </sheetViews>
  <sheetFormatPr baseColWidth="10" defaultRowHeight="12" x14ac:dyDescent="0"/>
  <sheetData>
    <row r="1" spans="1:11" ht="15">
      <c r="A1" s="70" t="s">
        <v>718</v>
      </c>
      <c r="G1" s="82"/>
      <c r="H1" s="4"/>
      <c r="I1" s="4"/>
    </row>
    <row r="2" spans="1:11">
      <c r="G2" s="82"/>
    </row>
    <row r="3" spans="1:11">
      <c r="A3" s="52" t="s">
        <v>9</v>
      </c>
      <c r="B3" s="51">
        <v>2.2000000000000001E-4</v>
      </c>
      <c r="G3" s="82"/>
    </row>
    <row r="4" spans="1:11">
      <c r="A4" s="52" t="s">
        <v>10</v>
      </c>
      <c r="B4" s="147">
        <v>2.7E-6</v>
      </c>
      <c r="G4" s="82"/>
    </row>
    <row r="5" spans="1:11">
      <c r="A5" s="52" t="s">
        <v>24</v>
      </c>
      <c r="B5" s="51">
        <v>1.1240000000000001</v>
      </c>
      <c r="G5" s="82"/>
    </row>
    <row r="6" spans="1:11">
      <c r="A6" s="52" t="s">
        <v>82</v>
      </c>
      <c r="B6" s="51">
        <v>60</v>
      </c>
      <c r="G6" s="82"/>
    </row>
    <row r="7" spans="1:11">
      <c r="A7" s="52" t="s">
        <v>512</v>
      </c>
      <c r="B7" s="61">
        <v>0.04</v>
      </c>
      <c r="G7" s="82"/>
    </row>
    <row r="8" spans="1:11">
      <c r="A8" s="52" t="s">
        <v>616</v>
      </c>
      <c r="B8" s="61">
        <v>0.25</v>
      </c>
      <c r="G8" s="82"/>
    </row>
    <row r="9" spans="1:11">
      <c r="A9" s="52" t="s">
        <v>617</v>
      </c>
      <c r="B9" s="61">
        <v>0.03</v>
      </c>
      <c r="G9" s="82"/>
    </row>
    <row r="10" spans="1:11">
      <c r="A10" s="52" t="s">
        <v>418</v>
      </c>
      <c r="B10" s="69">
        <v>10000</v>
      </c>
      <c r="G10" s="82"/>
    </row>
    <row r="11" spans="1:11">
      <c r="A11" s="9" t="s">
        <v>25</v>
      </c>
      <c r="B11" s="18">
        <v>0.99997690236831238</v>
      </c>
      <c r="C11" s="18"/>
      <c r="D11" s="18"/>
      <c r="G11" s="82"/>
    </row>
    <row r="12" spans="1:11">
      <c r="A12" s="9" t="s">
        <v>27</v>
      </c>
      <c r="B12" s="18">
        <v>0.99978002419822543</v>
      </c>
      <c r="C12" s="18"/>
      <c r="D12" s="18"/>
      <c r="G12" s="82"/>
    </row>
    <row r="13" spans="1:11">
      <c r="G13" s="82"/>
    </row>
    <row r="14" spans="1:11">
      <c r="D14" s="6" t="s">
        <v>618</v>
      </c>
      <c r="G14" s="82"/>
    </row>
    <row r="15" spans="1:11">
      <c r="C15" s="87" t="s">
        <v>99</v>
      </c>
      <c r="D15" s="18" t="s">
        <v>619</v>
      </c>
      <c r="G15" s="82"/>
    </row>
    <row r="16" spans="1:11">
      <c r="C16" s="87" t="s">
        <v>264</v>
      </c>
      <c r="D16" s="18" t="s">
        <v>620</v>
      </c>
      <c r="G16" s="82"/>
      <c r="H16" s="18" t="s">
        <v>535</v>
      </c>
      <c r="I16" s="4"/>
      <c r="J16" s="4"/>
      <c r="K16" s="11" t="s">
        <v>1</v>
      </c>
    </row>
    <row r="17" spans="1:15">
      <c r="A17" s="87" t="s">
        <v>0</v>
      </c>
      <c r="B17" s="7" t="s">
        <v>84</v>
      </c>
      <c r="C17" s="87" t="s">
        <v>621</v>
      </c>
      <c r="D17" s="4"/>
      <c r="E17" s="87" t="s">
        <v>622</v>
      </c>
      <c r="F17" s="87" t="s">
        <v>623</v>
      </c>
      <c r="G17" s="12" t="s">
        <v>624</v>
      </c>
      <c r="H17" s="4" t="s">
        <v>22</v>
      </c>
      <c r="I17" s="4" t="s">
        <v>23</v>
      </c>
      <c r="J17" s="4"/>
      <c r="K17" t="s">
        <v>625</v>
      </c>
      <c r="O17" s="5">
        <f>SUMPRODUCT(C19:C138,D19:D138)</f>
        <v>24.1435900888962</v>
      </c>
    </row>
    <row r="18" spans="1:15">
      <c r="A18" s="87">
        <v>0</v>
      </c>
      <c r="B18" s="10">
        <f t="shared" ref="B18:B49" si="0">(B$12^A18)*B$11^((B$5^B$6)*((B$5^A18) - 1))</f>
        <v>1</v>
      </c>
      <c r="C18" s="10"/>
      <c r="D18" s="4"/>
      <c r="E18" s="87"/>
      <c r="F18" s="87"/>
      <c r="G18" s="12"/>
      <c r="H18" s="24">
        <v>1</v>
      </c>
      <c r="I18" s="5">
        <f>B18*H18*EXP(-B$9*A18)</f>
        <v>1</v>
      </c>
      <c r="J18" s="4"/>
      <c r="K18" t="s">
        <v>626</v>
      </c>
      <c r="O18" s="5">
        <f>SUMPRODUCT(C19:C138,G19:G138)</f>
        <v>83.609699715220998</v>
      </c>
    </row>
    <row r="19" spans="1:15">
      <c r="A19" s="5">
        <f>1/12</f>
        <v>8.3333333333333329E-2</v>
      </c>
      <c r="B19" s="10">
        <f t="shared" si="0"/>
        <v>0.9997303534430424</v>
      </c>
      <c r="C19" s="10">
        <f>1-B19</f>
        <v>2.6964655695760342E-4</v>
      </c>
      <c r="D19" s="12">
        <f>0.05*B$10*EXP(-B$9*A19)</f>
        <v>498.75156119873003</v>
      </c>
      <c r="E19" s="10">
        <f t="shared" ref="E19:E50" si="1">(LN(1.05/EXP(B$9*A19))+(B$7+(B$8^2)/2)*A19)/(B$8*SQRT(A19))</f>
        <v>0.7236877432168064</v>
      </c>
      <c r="F19" s="10">
        <f t="shared" ref="F19:F50" si="2">E19-0.25*SQRT(A19)</f>
        <v>0.65151895956810324</v>
      </c>
      <c r="G19" s="12">
        <f t="shared" ref="G19:G50" si="3">(EXP(-B$7*A19)*NORMDIST(-F19,0,1,TRUE)-1.05*EXP(-B$9*A19)*NORMDIST(-E19,0,1,TRUE))*B$10</f>
        <v>107.54311632946101</v>
      </c>
      <c r="H19" s="24">
        <v>4</v>
      </c>
      <c r="I19" s="5">
        <f t="shared" ref="I19:I82" si="4">B19*H19*EXP(-B$9*A19)</f>
        <v>3.9889365964598045</v>
      </c>
      <c r="J19" s="4"/>
      <c r="K19" s="336" t="s">
        <v>627</v>
      </c>
      <c r="L19" s="100"/>
      <c r="M19" s="100"/>
      <c r="N19" s="100"/>
      <c r="O19" s="81">
        <f>O17+O18</f>
        <v>107.7532898041172</v>
      </c>
    </row>
    <row r="20" spans="1:15">
      <c r="A20" s="5">
        <f>A19+1/12</f>
        <v>0.16666666666666666</v>
      </c>
      <c r="B20" s="10">
        <f t="shared" si="0"/>
        <v>0.99945832052799255</v>
      </c>
      <c r="C20" s="10">
        <f>B19-B20</f>
        <v>2.7203291504984684E-4</v>
      </c>
      <c r="D20" s="12">
        <f t="shared" ref="D20:D83" si="5">0.05*B$10*EXP(-B$9*A20)</f>
        <v>497.50623959634117</v>
      </c>
      <c r="E20" s="10">
        <f t="shared" si="1"/>
        <v>0.54540499465346282</v>
      </c>
      <c r="F20" s="10">
        <f t="shared" si="2"/>
        <v>0.44334292203749703</v>
      </c>
      <c r="G20" s="12">
        <f t="shared" si="3"/>
        <v>207.33078885047496</v>
      </c>
      <c r="H20" s="24">
        <f>IF(H19=4,2,4)</f>
        <v>2</v>
      </c>
      <c r="I20" s="5">
        <f t="shared" si="4"/>
        <v>1.9889470027166247</v>
      </c>
      <c r="J20" s="4"/>
    </row>
    <row r="21" spans="1:15">
      <c r="A21" s="5">
        <f t="shared" ref="A21:A84" si="6">A20+1/12</f>
        <v>0.25</v>
      </c>
      <c r="B21" s="10">
        <f t="shared" si="0"/>
        <v>0.99918387917808238</v>
      </c>
      <c r="C21" s="10">
        <f t="shared" ref="C21:C84" si="7">B20-B21</f>
        <v>2.7444134991017055E-4</v>
      </c>
      <c r="D21" s="12">
        <f t="shared" si="5"/>
        <v>496.26402740956922</v>
      </c>
      <c r="E21" s="10">
        <f t="shared" si="1"/>
        <v>0.47282131335545635</v>
      </c>
      <c r="F21" s="10">
        <f t="shared" si="2"/>
        <v>0.34782131335545635</v>
      </c>
      <c r="G21" s="12">
        <f t="shared" si="3"/>
        <v>287.82826754455368</v>
      </c>
      <c r="H21" s="24">
        <f t="shared" ref="H21:H84" si="8">IF(H20=4,2,4)</f>
        <v>4</v>
      </c>
      <c r="I21" s="5">
        <f t="shared" si="4"/>
        <v>3.9668721280290526</v>
      </c>
      <c r="J21" s="4"/>
      <c r="K21" s="1" t="s">
        <v>2</v>
      </c>
    </row>
    <row r="22" spans="1:15">
      <c r="A22" s="5">
        <f t="shared" si="6"/>
        <v>0.33333333333333331</v>
      </c>
      <c r="B22" s="10">
        <f t="shared" si="0"/>
        <v>0.99890700712477087</v>
      </c>
      <c r="C22" s="10">
        <f t="shared" si="7"/>
        <v>2.7687205331150544E-4</v>
      </c>
      <c r="D22" s="12">
        <f t="shared" si="5"/>
        <v>495.02491687458405</v>
      </c>
      <c r="E22" s="10">
        <f t="shared" si="1"/>
        <v>0.43329096742062029</v>
      </c>
      <c r="F22" s="10">
        <f t="shared" si="2"/>
        <v>0.28895340012321385</v>
      </c>
      <c r="G22" s="12">
        <f t="shared" si="3"/>
        <v>356.42965490211952</v>
      </c>
      <c r="H22" s="24">
        <f t="shared" si="8"/>
        <v>2</v>
      </c>
      <c r="I22" s="5">
        <f t="shared" si="4"/>
        <v>1.9779354326695169</v>
      </c>
      <c r="J22" s="4"/>
      <c r="K22" s="100" t="s">
        <v>628</v>
      </c>
      <c r="L22" s="100"/>
      <c r="M22" s="337">
        <f>(O19/I139)/B10</f>
        <v>1.2757159068574006E-3</v>
      </c>
    </row>
    <row r="23" spans="1:15">
      <c r="A23" s="5">
        <f t="shared" si="6"/>
        <v>0.41666666666666663</v>
      </c>
      <c r="B23" s="10">
        <f t="shared" si="0"/>
        <v>0.99862768190632623</v>
      </c>
      <c r="C23" s="10">
        <f t="shared" si="7"/>
        <v>2.7932521844464819E-4</v>
      </c>
      <c r="D23" s="12">
        <f t="shared" si="5"/>
        <v>493.78890024694073</v>
      </c>
      <c r="E23" s="10">
        <f t="shared" si="1"/>
        <v>0.40884863127980109</v>
      </c>
      <c r="F23" s="10">
        <f t="shared" si="2"/>
        <v>0.24747432518782539</v>
      </c>
      <c r="G23" s="12">
        <f t="shared" si="3"/>
        <v>416.82001208488305</v>
      </c>
      <c r="H23" s="24">
        <f t="shared" si="8"/>
        <v>4</v>
      </c>
      <c r="I23" s="5">
        <f t="shared" si="4"/>
        <v>3.9448901184374128</v>
      </c>
      <c r="J23" s="4"/>
    </row>
    <row r="24" spans="1:15">
      <c r="A24" s="5">
        <f t="shared" si="6"/>
        <v>0.49999999999999994</v>
      </c>
      <c r="B24" s="10">
        <f t="shared" si="0"/>
        <v>0.99834588086640175</v>
      </c>
      <c r="C24" s="10">
        <f t="shared" si="7"/>
        <v>2.8180103992447858E-4</v>
      </c>
      <c r="D24" s="12">
        <f t="shared" si="5"/>
        <v>492.55596980153132</v>
      </c>
      <c r="E24" s="10">
        <f t="shared" si="1"/>
        <v>0.39267146641106326</v>
      </c>
      <c r="F24" s="10">
        <f t="shared" si="2"/>
        <v>0.2158947711144264</v>
      </c>
      <c r="G24" s="12">
        <f t="shared" si="3"/>
        <v>471.10276887063264</v>
      </c>
      <c r="H24" s="24">
        <f t="shared" si="8"/>
        <v>2</v>
      </c>
      <c r="I24" s="5">
        <f t="shared" si="4"/>
        <v>1.9669648941900584</v>
      </c>
      <c r="J24" s="4"/>
    </row>
    <row r="25" spans="1:15">
      <c r="A25" s="5">
        <f t="shared" si="6"/>
        <v>0.58333333333333326</v>
      </c>
      <c r="B25" s="10">
        <f t="shared" si="0"/>
        <v>0.99806158115260957</v>
      </c>
      <c r="C25" s="10">
        <f t="shared" si="7"/>
        <v>2.8429971379217989E-4</v>
      </c>
      <c r="D25" s="12">
        <f t="shared" si="5"/>
        <v>491.32611783253662</v>
      </c>
      <c r="E25" s="10">
        <f t="shared" si="1"/>
        <v>0.38154611215499384</v>
      </c>
      <c r="F25" s="10">
        <f t="shared" si="2"/>
        <v>0.19060545819850053</v>
      </c>
      <c r="G25" s="12">
        <f t="shared" si="3"/>
        <v>520.6073216067025</v>
      </c>
      <c r="H25" s="24">
        <f t="shared" si="8"/>
        <v>4</v>
      </c>
      <c r="I25" s="5">
        <f t="shared" si="4"/>
        <v>3.9229897762041186</v>
      </c>
      <c r="J25" s="4"/>
    </row>
    <row r="26" spans="1:15">
      <c r="A26" s="5">
        <f t="shared" si="6"/>
        <v>0.66666666666666663</v>
      </c>
      <c r="B26" s="10">
        <f t="shared" si="0"/>
        <v>0.99777475971508511</v>
      </c>
      <c r="C26" s="10">
        <f t="shared" si="7"/>
        <v>2.8682143752445377E-4</v>
      </c>
      <c r="D26" s="12">
        <f t="shared" si="5"/>
        <v>490.09933665337763</v>
      </c>
      <c r="E26" s="10">
        <f t="shared" si="1"/>
        <v>0.37374394921653725</v>
      </c>
      <c r="F26" s="10">
        <f t="shared" si="2"/>
        <v>0.16961980398460574</v>
      </c>
      <c r="G26" s="12">
        <f t="shared" si="3"/>
        <v>566.2364660174868</v>
      </c>
      <c r="H26" s="24">
        <f t="shared" si="8"/>
        <v>2</v>
      </c>
      <c r="I26" s="5">
        <f t="shared" si="4"/>
        <v>1.9560349914633859</v>
      </c>
      <c r="J26" s="4"/>
    </row>
    <row r="27" spans="1:15">
      <c r="A27" s="5">
        <f t="shared" si="6"/>
        <v>0.75</v>
      </c>
      <c r="B27" s="10">
        <f t="shared" si="0"/>
        <v>0.99748539330505059</v>
      </c>
      <c r="C27" s="10">
        <f t="shared" si="7"/>
        <v>2.8936641003451946E-4</v>
      </c>
      <c r="D27" s="12">
        <f t="shared" si="5"/>
        <v>488.87561859666818</v>
      </c>
      <c r="E27" s="10">
        <f t="shared" si="1"/>
        <v>0.36824630696065253</v>
      </c>
      <c r="F27" s="10">
        <f t="shared" si="2"/>
        <v>0.15173995601454288</v>
      </c>
      <c r="G27" s="12">
        <f t="shared" si="3"/>
        <v>608.63649973272425</v>
      </c>
      <c r="H27" s="24">
        <f t="shared" si="8"/>
        <v>4</v>
      </c>
      <c r="I27" s="5">
        <f t="shared" si="4"/>
        <v>3.9011703095451797</v>
      </c>
      <c r="J27" s="4"/>
    </row>
    <row r="28" spans="1:15">
      <c r="A28" s="5">
        <f t="shared" si="6"/>
        <v>0.83333333333333337</v>
      </c>
      <c r="B28" s="10">
        <f t="shared" si="0"/>
        <v>0.99719345847337093</v>
      </c>
      <c r="C28" s="10">
        <f t="shared" si="7"/>
        <v>2.9193483167966328E-4</v>
      </c>
      <c r="D28" s="12">
        <f t="shared" si="5"/>
        <v>487.65495601416632</v>
      </c>
      <c r="E28" s="10">
        <f t="shared" si="1"/>
        <v>0.36441149131374667</v>
      </c>
      <c r="F28" s="10">
        <f t="shared" si="2"/>
        <v>0.13619375901992745</v>
      </c>
      <c r="G28" s="12">
        <f t="shared" si="3"/>
        <v>648.28909623000425</v>
      </c>
      <c r="H28" s="24">
        <f t="shared" si="8"/>
        <v>2</v>
      </c>
      <c r="I28" s="5">
        <f t="shared" si="4"/>
        <v>1.9451453285177842</v>
      </c>
      <c r="J28" s="4"/>
      <c r="N28" s="12"/>
    </row>
    <row r="29" spans="1:15">
      <c r="A29" s="5">
        <f t="shared" si="6"/>
        <v>0.91666666666666674</v>
      </c>
      <c r="B29" s="10">
        <f t="shared" si="0"/>
        <v>0.99689893156910558</v>
      </c>
      <c r="C29" s="10">
        <f t="shared" si="7"/>
        <v>2.9452690426534645E-4</v>
      </c>
      <c r="D29" s="12">
        <f t="shared" si="5"/>
        <v>486.43734127672701</v>
      </c>
      <c r="E29" s="10">
        <f t="shared" si="1"/>
        <v>0.36181413067519724</v>
      </c>
      <c r="F29" s="10">
        <f t="shared" si="2"/>
        <v>0.12245735373611272</v>
      </c>
      <c r="G29" s="12">
        <f t="shared" si="3"/>
        <v>685.56479344598802</v>
      </c>
      <c r="H29" s="24">
        <f t="shared" si="8"/>
        <v>4</v>
      </c>
      <c r="I29" s="5">
        <f t="shared" si="4"/>
        <v>3.8794309263526841</v>
      </c>
      <c r="J29" s="4"/>
    </row>
    <row r="30" spans="1:15">
      <c r="A30" s="5">
        <f t="shared" si="6"/>
        <v>1</v>
      </c>
      <c r="B30" s="10">
        <f t="shared" si="0"/>
        <v>0.99660178873805627</v>
      </c>
      <c r="C30" s="10">
        <f t="shared" si="7"/>
        <v>2.9714283104931294E-4</v>
      </c>
      <c r="D30" s="12">
        <f t="shared" si="5"/>
        <v>485.22276677425407</v>
      </c>
      <c r="E30" s="10">
        <f t="shared" si="1"/>
        <v>0.36016065667772823</v>
      </c>
      <c r="F30" s="10">
        <f t="shared" si="2"/>
        <v>0.11016065667772823</v>
      </c>
      <c r="G30" s="12">
        <f t="shared" si="3"/>
        <v>720.75602242867683</v>
      </c>
      <c r="H30" s="24">
        <f t="shared" si="8"/>
        <v>2</v>
      </c>
      <c r="I30" s="5">
        <f t="shared" si="4"/>
        <v>1.9342955092146012</v>
      </c>
      <c r="J30" s="4"/>
    </row>
    <row r="31" spans="1:15">
      <c r="A31" s="5">
        <f t="shared" si="6"/>
        <v>1.0833333333333333</v>
      </c>
      <c r="B31" s="10">
        <f t="shared" si="0"/>
        <v>0.99630200592131046</v>
      </c>
      <c r="C31" s="10">
        <f t="shared" si="7"/>
        <v>2.9978281674580831E-4</v>
      </c>
      <c r="D31" s="12">
        <f t="shared" si="5"/>
        <v>484.01122491565303</v>
      </c>
      <c r="E31" s="10">
        <f t="shared" si="1"/>
        <v>0.35924173885111438</v>
      </c>
      <c r="F31" s="10">
        <f t="shared" si="2"/>
        <v>9.9033488917847801E-2</v>
      </c>
      <c r="G31" s="12">
        <f t="shared" si="3"/>
        <v>754.09849045243448</v>
      </c>
      <c r="H31" s="24">
        <f t="shared" si="8"/>
        <v>4</v>
      </c>
      <c r="I31" s="5">
        <f t="shared" si="4"/>
        <v>3.8577708341751653</v>
      </c>
      <c r="J31" s="4"/>
    </row>
    <row r="32" spans="1:15">
      <c r="A32" s="5">
        <f t="shared" si="6"/>
        <v>1.1666666666666665</v>
      </c>
      <c r="B32" s="10">
        <f t="shared" si="0"/>
        <v>0.99599955885377889</v>
      </c>
      <c r="C32" s="10">
        <f t="shared" si="7"/>
        <v>3.0244706753157491E-4</v>
      </c>
      <c r="D32" s="12">
        <f t="shared" si="5"/>
        <v>482.80270812878325</v>
      </c>
      <c r="E32" s="10">
        <f t="shared" si="1"/>
        <v>0.35890402784326736</v>
      </c>
      <c r="F32" s="10">
        <f t="shared" si="2"/>
        <v>8.8873165409606547E-2</v>
      </c>
      <c r="G32" s="12">
        <f t="shared" si="3"/>
        <v>785.7855731489966</v>
      </c>
      <c r="H32" s="24">
        <f t="shared" si="8"/>
        <v>2</v>
      </c>
      <c r="I32" s="5">
        <f t="shared" si="4"/>
        <v>1.9234851372387114</v>
      </c>
      <c r="J32" s="4"/>
    </row>
    <row r="33" spans="1:10">
      <c r="A33" s="5">
        <f t="shared" si="6"/>
        <v>1.2499999999999998</v>
      </c>
      <c r="B33" s="10">
        <f t="shared" si="0"/>
        <v>0.99569442306273037</v>
      </c>
      <c r="C33" s="10">
        <f t="shared" si="7"/>
        <v>3.051357910485164E-4</v>
      </c>
      <c r="D33" s="12">
        <f t="shared" si="5"/>
        <v>481.59720886041089</v>
      </c>
      <c r="E33" s="10">
        <f t="shared" si="1"/>
        <v>0.35903260608969229</v>
      </c>
      <c r="F33" s="10">
        <f t="shared" si="2"/>
        <v>7.9524108902218615E-2</v>
      </c>
      <c r="G33" s="12">
        <f t="shared" si="3"/>
        <v>815.9783209813038</v>
      </c>
      <c r="H33" s="24">
        <f t="shared" si="8"/>
        <v>4</v>
      </c>
      <c r="I33" s="5">
        <f t="shared" si="4"/>
        <v>3.8361892401991047</v>
      </c>
      <c r="J33" s="4"/>
    </row>
    <row r="34" spans="1:10">
      <c r="A34" s="5">
        <f t="shared" si="6"/>
        <v>1.333333333333333</v>
      </c>
      <c r="B34" s="10">
        <f t="shared" si="0"/>
        <v>0.99538657386632234</v>
      </c>
      <c r="C34" s="10">
        <f t="shared" si="7"/>
        <v>3.0784919640802766E-4</v>
      </c>
      <c r="D34" s="12">
        <f t="shared" si="5"/>
        <v>480.39471957616161</v>
      </c>
      <c r="E34" s="10">
        <f t="shared" si="1"/>
        <v>0.35953967533474196</v>
      </c>
      <c r="F34" s="10">
        <f t="shared" si="2"/>
        <v>7.0864540739929094E-2</v>
      </c>
      <c r="G34" s="12">
        <f t="shared" si="3"/>
        <v>844.81261076596093</v>
      </c>
      <c r="H34" s="24">
        <f t="shared" si="8"/>
        <v>2</v>
      </c>
      <c r="I34" s="5">
        <f t="shared" si="4"/>
        <v>1.9127138160895527</v>
      </c>
      <c r="J34" s="4"/>
    </row>
    <row r="35" spans="1:10">
      <c r="A35" s="5">
        <f t="shared" si="6"/>
        <v>1.4166666666666663</v>
      </c>
      <c r="B35" s="10">
        <f t="shared" si="0"/>
        <v>0.99507598637212702</v>
      </c>
      <c r="C35" s="10">
        <f t="shared" si="7"/>
        <v>3.1058749419532461E-4</v>
      </c>
      <c r="D35" s="12">
        <f t="shared" si="5"/>
        <v>479.19523276047352</v>
      </c>
      <c r="E35" s="10">
        <f t="shared" si="1"/>
        <v>0.36035703022391918</v>
      </c>
      <c r="F35" s="10">
        <f t="shared" si="2"/>
        <v>6.2797512367967157E-2</v>
      </c>
      <c r="G35" s="12">
        <f t="shared" si="3"/>
        <v>872.40437915709288</v>
      </c>
      <c r="H35" s="24">
        <f t="shared" si="8"/>
        <v>4</v>
      </c>
      <c r="I35" s="5">
        <f t="shared" si="4"/>
        <v>3.814685351231593</v>
      </c>
      <c r="J35" s="4"/>
    </row>
    <row r="36" spans="1:10">
      <c r="A36" s="5">
        <f t="shared" si="6"/>
        <v>1.4999999999999996</v>
      </c>
      <c r="B36" s="10">
        <f t="shared" si="0"/>
        <v>0.99476263547565336</v>
      </c>
      <c r="C36" s="10">
        <f t="shared" si="7"/>
        <v>3.133508964736631E-4</v>
      </c>
      <c r="D36" s="12">
        <f t="shared" si="5"/>
        <v>477.99874091654999</v>
      </c>
      <c r="E36" s="10">
        <f t="shared" si="1"/>
        <v>0.36143091268858735</v>
      </c>
      <c r="F36" s="10">
        <f t="shared" si="2"/>
        <v>5.5244694840690112E-2</v>
      </c>
      <c r="G36" s="12">
        <f t="shared" si="3"/>
        <v>898.85353200663656</v>
      </c>
      <c r="H36" s="24">
        <f t="shared" si="8"/>
        <v>2</v>
      </c>
      <c r="I36" s="5">
        <f t="shared" si="4"/>
        <v>1.9019811490727652</v>
      </c>
      <c r="J36" s="4"/>
    </row>
    <row r="37" spans="1:10">
      <c r="A37" s="5">
        <f t="shared" si="6"/>
        <v>1.5833333333333328</v>
      </c>
      <c r="B37" s="10">
        <f t="shared" si="0"/>
        <v>0.99444649585886635</v>
      </c>
      <c r="C37" s="10">
        <f t="shared" si="7"/>
        <v>3.1613961678700342E-4</v>
      </c>
      <c r="D37" s="12">
        <f t="shared" si="5"/>
        <v>476.80523656631317</v>
      </c>
      <c r="E37" s="10">
        <f t="shared" si="1"/>
        <v>0.36271840972737396</v>
      </c>
      <c r="F37" s="10">
        <f t="shared" si="2"/>
        <v>4.8141974924426123E-2</v>
      </c>
      <c r="G37" s="12">
        <f t="shared" si="3"/>
        <v>924.24691768442096</v>
      </c>
      <c r="H37" s="24">
        <f t="shared" si="8"/>
        <v>4</v>
      </c>
      <c r="I37" s="5">
        <f t="shared" si="4"/>
        <v>3.7932583736842238</v>
      </c>
      <c r="J37" s="4"/>
    </row>
    <row r="38" spans="1:10">
      <c r="A38" s="5">
        <f t="shared" si="6"/>
        <v>1.6666666666666661</v>
      </c>
      <c r="B38" s="10">
        <f t="shared" si="0"/>
        <v>0.9941275419887029</v>
      </c>
      <c r="C38" s="10">
        <f t="shared" si="7"/>
        <v>3.18953870163452E-4</v>
      </c>
      <c r="D38" s="12">
        <f t="shared" si="5"/>
        <v>475.614712250357</v>
      </c>
      <c r="E38" s="10">
        <f t="shared" si="1"/>
        <v>0.36418487867095645</v>
      </c>
      <c r="F38" s="10">
        <f t="shared" si="2"/>
        <v>4.1436266487005102E-2</v>
      </c>
      <c r="G38" s="12">
        <f t="shared" si="3"/>
        <v>948.66062476107959</v>
      </c>
      <c r="H38" s="24">
        <f t="shared" si="8"/>
        <v>2</v>
      </c>
      <c r="I38" s="5">
        <f t="shared" si="4"/>
        <v>1.8912867392924466</v>
      </c>
      <c r="J38" s="4"/>
    </row>
    <row r="39" spans="1:10">
      <c r="A39" s="5">
        <f t="shared" si="6"/>
        <v>1.7499999999999993</v>
      </c>
      <c r="B39" s="10">
        <f t="shared" si="0"/>
        <v>0.99380574811558287</v>
      </c>
      <c r="C39" s="10">
        <f t="shared" si="7"/>
        <v>3.2179387312003538E-4</v>
      </c>
      <c r="D39" s="12">
        <f t="shared" si="5"/>
        <v>474.42716052790064</v>
      </c>
      <c r="E39" s="10">
        <f t="shared" si="1"/>
        <v>0.36580207266949294</v>
      </c>
      <c r="F39" s="10">
        <f t="shared" si="2"/>
        <v>3.5083158786419155E-2</v>
      </c>
      <c r="G39" s="12">
        <f t="shared" si="3"/>
        <v>972.16178291959443</v>
      </c>
      <c r="H39" s="24">
        <f t="shared" si="8"/>
        <v>4</v>
      </c>
      <c r="I39" s="5">
        <f t="shared" si="4"/>
        <v>3.771907513558256</v>
      </c>
      <c r="J39" s="4"/>
    </row>
    <row r="40" spans="1:10">
      <c r="A40" s="5">
        <f t="shared" si="6"/>
        <v>1.8333333333333326</v>
      </c>
      <c r="B40" s="10">
        <f t="shared" si="0"/>
        <v>0.99348108827191861</v>
      </c>
      <c r="C40" s="10">
        <f t="shared" si="7"/>
        <v>3.2465984366425449E-4</v>
      </c>
      <c r="D40" s="12">
        <f t="shared" si="5"/>
        <v>473.24257397674194</v>
      </c>
      <c r="E40" s="10">
        <f t="shared" si="1"/>
        <v>0.36754675339329207</v>
      </c>
      <c r="F40" s="10">
        <f t="shared" si="2"/>
        <v>2.9045153200127127E-2</v>
      </c>
      <c r="G40" s="12">
        <f t="shared" si="3"/>
        <v>994.80999253581945</v>
      </c>
      <c r="H40" s="24">
        <f t="shared" si="8"/>
        <v>2</v>
      </c>
      <c r="I40" s="5">
        <f t="shared" si="4"/>
        <v>1.8806301896440702</v>
      </c>
      <c r="J40" s="4"/>
    </row>
    <row r="41" spans="1:10">
      <c r="A41" s="5">
        <f t="shared" si="6"/>
        <v>1.9166666666666659</v>
      </c>
      <c r="B41" s="10">
        <f t="shared" si="0"/>
        <v>0.99315353627062131</v>
      </c>
      <c r="C41" s="10">
        <f t="shared" si="7"/>
        <v>3.2755200129730433E-4</v>
      </c>
      <c r="D41" s="12">
        <f t="shared" si="5"/>
        <v>472.06094519321113</v>
      </c>
      <c r="E41" s="10">
        <f t="shared" si="1"/>
        <v>0.36939964908781048</v>
      </c>
      <c r="F41" s="10">
        <f t="shared" si="2"/>
        <v>2.3290321466224118E-2</v>
      </c>
      <c r="G41" s="12">
        <f t="shared" si="3"/>
        <v>1016.6584725520189</v>
      </c>
      <c r="H41" s="24">
        <f t="shared" si="8"/>
        <v>4</v>
      </c>
      <c r="I41" s="5">
        <f t="shared" si="4"/>
        <v>3.7506319764311167</v>
      </c>
      <c r="J41" s="4"/>
    </row>
    <row r="42" spans="1:10">
      <c r="A42" s="5">
        <f t="shared" si="6"/>
        <v>1.9999999999999991</v>
      </c>
      <c r="B42" s="10">
        <f t="shared" si="0"/>
        <v>0.99282306570360324</v>
      </c>
      <c r="C42" s="10">
        <f t="shared" si="7"/>
        <v>3.3047056701807076E-4</v>
      </c>
      <c r="D42" s="12">
        <f t="shared" si="5"/>
        <v>470.88226679212437</v>
      </c>
      <c r="E42" s="10">
        <f t="shared" si="1"/>
        <v>0.37134466154920176</v>
      </c>
      <c r="F42" s="10">
        <f t="shared" si="2"/>
        <v>1.7791270955928085E-2</v>
      </c>
      <c r="G42" s="12">
        <f t="shared" si="3"/>
        <v>1037.7549917584272</v>
      </c>
      <c r="H42" s="24">
        <f t="shared" si="8"/>
        <v>2</v>
      </c>
      <c r="I42" s="5">
        <f t="shared" si="4"/>
        <v>1.8700111028080757</v>
      </c>
      <c r="J42" s="4"/>
    </row>
    <row r="43" spans="1:10">
      <c r="A43" s="5">
        <f t="shared" si="6"/>
        <v>2.0833333333333326</v>
      </c>
      <c r="B43" s="10">
        <f t="shared" si="0"/>
        <v>0.99248964994027866</v>
      </c>
      <c r="C43" s="10">
        <f t="shared" si="7"/>
        <v>3.3341576332457379E-4</v>
      </c>
      <c r="D43" s="12">
        <f t="shared" si="5"/>
        <v>469.70653140673789</v>
      </c>
      <c r="E43" s="10">
        <f t="shared" si="1"/>
        <v>0.37336825524245365</v>
      </c>
      <c r="F43" s="10">
        <f t="shared" si="2"/>
        <v>1.2524336998937624E-2</v>
      </c>
      <c r="G43" s="12">
        <f t="shared" si="3"/>
        <v>1058.1426315131198</v>
      </c>
      <c r="H43" s="24">
        <f t="shared" si="8"/>
        <v>4</v>
      </c>
      <c r="I43" s="5">
        <f t="shared" si="4"/>
        <v>3.7294309674442863</v>
      </c>
      <c r="J43" s="4"/>
    </row>
    <row r="44" spans="1:10">
      <c r="A44" s="5">
        <f t="shared" si="6"/>
        <v>2.1666666666666661</v>
      </c>
      <c r="B44" s="10">
        <f t="shared" si="0"/>
        <v>0.99215326212606247</v>
      </c>
      <c r="C44" s="10">
        <f t="shared" si="7"/>
        <v>3.3638781421618802E-4</v>
      </c>
      <c r="D44" s="12">
        <f t="shared" si="5"/>
        <v>468.53373168870172</v>
      </c>
      <c r="E44" s="10">
        <f t="shared" si="1"/>
        <v>0.37545898153887752</v>
      </c>
      <c r="F44" s="10">
        <f t="shared" si="2"/>
        <v>7.4689454418839785E-3</v>
      </c>
      <c r="G44" s="12">
        <f t="shared" si="3"/>
        <v>1077.860415819662</v>
      </c>
      <c r="H44" s="24">
        <f t="shared" si="8"/>
        <v>2</v>
      </c>
      <c r="I44" s="5">
        <f t="shared" si="4"/>
        <v>1.8594290812441707</v>
      </c>
      <c r="J44" s="4"/>
    </row>
    <row r="45" spans="1:10">
      <c r="A45" s="5">
        <f t="shared" si="6"/>
        <v>2.2499999999999996</v>
      </c>
      <c r="B45" s="10">
        <f t="shared" si="0"/>
        <v>0.9918138751808655</v>
      </c>
      <c r="C45" s="10">
        <f t="shared" si="7"/>
        <v>3.3938694519697332E-4</v>
      </c>
      <c r="D45" s="12">
        <f t="shared" si="5"/>
        <v>467.36386030801378</v>
      </c>
      <c r="E45" s="10">
        <f t="shared" si="1"/>
        <v>0.37760710445181878</v>
      </c>
      <c r="F45" s="10">
        <f t="shared" si="2"/>
        <v>2.6071044518188313E-3</v>
      </c>
      <c r="G45" s="12">
        <f t="shared" si="3"/>
        <v>1096.9438359648009</v>
      </c>
      <c r="H45" s="24">
        <f t="shared" si="8"/>
        <v>4</v>
      </c>
      <c r="I45" s="5">
        <f t="shared" si="4"/>
        <v>3.708303691292639</v>
      </c>
      <c r="J45" s="4"/>
    </row>
    <row r="46" spans="1:10">
      <c r="A46" s="5">
        <f t="shared" si="6"/>
        <v>2.333333333333333</v>
      </c>
      <c r="B46" s="10">
        <f t="shared" si="0"/>
        <v>0.99147146179758849</v>
      </c>
      <c r="C46" s="10">
        <f t="shared" si="7"/>
        <v>3.424133832770071E-4</v>
      </c>
      <c r="D46" s="12">
        <f t="shared" si="5"/>
        <v>466.19690995297412</v>
      </c>
      <c r="E46" s="10">
        <f t="shared" si="1"/>
        <v>0.37980430349442529</v>
      </c>
      <c r="F46" s="10">
        <f t="shared" si="2"/>
        <v>-2.0770044185613457E-3</v>
      </c>
      <c r="G46" s="12">
        <f t="shared" si="3"/>
        <v>1115.425290555801</v>
      </c>
      <c r="H46" s="24">
        <f t="shared" si="8"/>
        <v>2</v>
      </c>
      <c r="I46" s="5">
        <f t="shared" si="4"/>
        <v>1.8488837271863761</v>
      </c>
      <c r="J46" s="4"/>
    </row>
    <row r="47" spans="1:10">
      <c r="A47" s="5">
        <f t="shared" si="6"/>
        <v>2.4166666666666665</v>
      </c>
      <c r="B47" s="10">
        <f t="shared" si="0"/>
        <v>0.99112599444061456</v>
      </c>
      <c r="C47" s="10">
        <f t="shared" si="7"/>
        <v>3.454673569739386E-4</v>
      </c>
      <c r="D47" s="12">
        <f t="shared" si="5"/>
        <v>465.03287333013924</v>
      </c>
      <c r="E47" s="10">
        <f t="shared" si="1"/>
        <v>0.38204343575876315</v>
      </c>
      <c r="F47" s="10">
        <f t="shared" si="2"/>
        <v>-6.5973581199374465E-3</v>
      </c>
      <c r="G47" s="12">
        <f t="shared" si="3"/>
        <v>1133.334457092835</v>
      </c>
      <c r="H47" s="24">
        <f t="shared" si="8"/>
        <v>4</v>
      </c>
      <c r="I47" s="5">
        <f t="shared" si="4"/>
        <v>3.6872493522152849</v>
      </c>
      <c r="J47" s="4"/>
    </row>
    <row r="48" spans="1:10">
      <c r="A48" s="5">
        <f t="shared" si="6"/>
        <v>2.5</v>
      </c>
      <c r="B48" s="10">
        <f t="shared" si="0"/>
        <v>0.99077744534429923</v>
      </c>
      <c r="C48" s="10">
        <f t="shared" si="7"/>
        <v>3.4854909631532038E-4</v>
      </c>
      <c r="D48" s="12">
        <f t="shared" si="5"/>
        <v>463.87174316427644</v>
      </c>
      <c r="E48" s="10">
        <f t="shared" si="1"/>
        <v>0.38431834391504538</v>
      </c>
      <c r="F48" s="10">
        <f t="shared" si="2"/>
        <v>-1.0966363606002061E-2</v>
      </c>
      <c r="G48" s="12">
        <f t="shared" si="3"/>
        <v>1150.6986076925284</v>
      </c>
      <c r="H48" s="24">
        <f t="shared" si="8"/>
        <v>2</v>
      </c>
      <c r="I48" s="5">
        <f t="shared" si="4"/>
        <v>1.8383746426388348</v>
      </c>
      <c r="J48" s="4"/>
    </row>
    <row r="49" spans="1:10">
      <c r="A49" s="5">
        <f t="shared" si="6"/>
        <v>2.5833333333333335</v>
      </c>
      <c r="B49" s="10">
        <f t="shared" si="0"/>
        <v>0.99042578651145985</v>
      </c>
      <c r="C49" s="10">
        <f t="shared" si="7"/>
        <v>3.5165883283938548E-4</v>
      </c>
      <c r="D49" s="12">
        <f t="shared" si="5"/>
        <v>462.71351219831843</v>
      </c>
      <c r="E49" s="10">
        <f t="shared" si="1"/>
        <v>0.38662370013931008</v>
      </c>
      <c r="F49" s="10">
        <f t="shared" si="2"/>
        <v>-1.5195081568729729E-2</v>
      </c>
      <c r="G49" s="12">
        <f t="shared" si="3"/>
        <v>1167.5428789170462</v>
      </c>
      <c r="H49" s="24">
        <f t="shared" si="8"/>
        <v>4</v>
      </c>
      <c r="I49" s="5">
        <f t="shared" si="4"/>
        <v>3.6662671539879961</v>
      </c>
      <c r="J49" s="4"/>
    </row>
    <row r="50" spans="1:10">
      <c r="A50" s="5">
        <f t="shared" si="6"/>
        <v>2.666666666666667</v>
      </c>
      <c r="B50" s="10">
        <f t="shared" ref="B50:B81" si="9">(B$12^A50)*B$11^((B$5^B$6)*((B$5^A50) - 1))</f>
        <v>0.99007098971186325</v>
      </c>
      <c r="C50" s="10">
        <f t="shared" si="7"/>
        <v>3.5479679959660171E-4</v>
      </c>
      <c r="D50" s="12">
        <f t="shared" si="5"/>
        <v>461.55817319331788</v>
      </c>
      <c r="E50" s="10">
        <f t="shared" si="1"/>
        <v>0.38895487838788068</v>
      </c>
      <c r="F50" s="10">
        <f t="shared" si="2"/>
        <v>-1.9293412075982341E-2</v>
      </c>
      <c r="G50" s="12">
        <f t="shared" si="3"/>
        <v>1183.8905036293156</v>
      </c>
      <c r="H50" s="24">
        <f t="shared" si="8"/>
        <v>2</v>
      </c>
      <c r="I50" s="5">
        <f t="shared" si="4"/>
        <v>1.8279014293724314</v>
      </c>
      <c r="J50" s="4"/>
    </row>
    <row r="51" spans="1:10">
      <c r="A51" s="5">
        <f t="shared" si="6"/>
        <v>2.7500000000000004</v>
      </c>
      <c r="B51" s="10">
        <f t="shared" si="9"/>
        <v>0.9897130264807128</v>
      </c>
      <c r="C51" s="10">
        <f t="shared" si="7"/>
        <v>3.5796323115044881E-4</v>
      </c>
      <c r="D51" s="12">
        <f t="shared" si="5"/>
        <v>460.40571892840228</v>
      </c>
      <c r="E51" s="10">
        <f t="shared" ref="E51:E82" si="10">(LN(1.05/EXP(B$9*A51))+(B$7+(B$8^2)/2)*A51)/(B$8*SQRT(A51))</f>
        <v>0.39130784921148276</v>
      </c>
      <c r="F51" s="10">
        <f t="shared" ref="F51:F82" si="11">E51-0.25*SQRT(A51)</f>
        <v>-2.3270249582942271E-2</v>
      </c>
      <c r="G51" s="12">
        <f t="shared" ref="G51:G82" si="12">(EXP(-B$7*A51)*NORMDIST(-F51,0,1,TRUE)-1.05*EXP(-B$9*A51)*NORMDIST(-E51,0,1,TRUE))*B$10</f>
        <v>1199.7630112264935</v>
      </c>
      <c r="H51" s="24">
        <f t="shared" si="8"/>
        <v>4</v>
      </c>
      <c r="I51" s="5">
        <f t="shared" si="4"/>
        <v>3.6453562999172591</v>
      </c>
      <c r="J51" s="4"/>
    </row>
    <row r="52" spans="1:10">
      <c r="A52" s="5">
        <f t="shared" si="6"/>
        <v>2.8333333333333339</v>
      </c>
      <c r="B52" s="10">
        <f t="shared" si="9"/>
        <v>0.98935186811713505</v>
      </c>
      <c r="C52" s="10">
        <f t="shared" si="7"/>
        <v>3.6115836357775155E-4</v>
      </c>
      <c r="D52" s="12">
        <f t="shared" si="5"/>
        <v>459.25614220072868</v>
      </c>
      <c r="E52" s="10">
        <f t="shared" si="10"/>
        <v>0.39367909262205714</v>
      </c>
      <c r="F52" s="10">
        <f t="shared" si="11"/>
        <v>-2.7133613143029478E-2</v>
      </c>
      <c r="G52" s="12">
        <f t="shared" si="12"/>
        <v>1215.1804013832568</v>
      </c>
      <c r="H52" s="24">
        <f t="shared" si="8"/>
        <v>2</v>
      </c>
      <c r="I52" s="5">
        <f t="shared" si="4"/>
        <v>1.8174636889222382</v>
      </c>
      <c r="J52" s="4"/>
    </row>
    <row r="53" spans="1:10">
      <c r="A53" s="5">
        <f t="shared" si="6"/>
        <v>2.9166666666666674</v>
      </c>
      <c r="B53" s="10">
        <f t="shared" si="9"/>
        <v>0.98898748568266526</v>
      </c>
      <c r="C53" s="10">
        <f t="shared" si="7"/>
        <v>3.6438243446978991E-4</v>
      </c>
      <c r="D53" s="12">
        <f t="shared" si="5"/>
        <v>458.10943582543877</v>
      </c>
      <c r="E53" s="10">
        <f t="shared" si="10"/>
        <v>0.39606552551697605</v>
      </c>
      <c r="F53" s="10">
        <f t="shared" si="11"/>
        <v>-3.0890756398007257E-2</v>
      </c>
      <c r="G53" s="12">
        <f t="shared" si="12"/>
        <v>1230.1612954791485</v>
      </c>
      <c r="H53" s="24">
        <f t="shared" si="8"/>
        <v>4</v>
      </c>
      <c r="I53" s="5">
        <f t="shared" si="4"/>
        <v>3.6245159928360398</v>
      </c>
      <c r="J53" s="4"/>
    </row>
    <row r="54" spans="1:10">
      <c r="A54" s="5">
        <f t="shared" si="6"/>
        <v>3.0000000000000009</v>
      </c>
      <c r="B54" s="10">
        <f t="shared" si="9"/>
        <v>0.98861984999973329</v>
      </c>
      <c r="C54" s="10">
        <f t="shared" si="7"/>
        <v>3.6763568293196602E-4</v>
      </c>
      <c r="D54" s="12">
        <f t="shared" si="5"/>
        <v>456.96559263561409</v>
      </c>
      <c r="E54" s="10">
        <f t="shared" si="10"/>
        <v>0.39846444091697525</v>
      </c>
      <c r="F54" s="10">
        <f t="shared" si="11"/>
        <v>-3.4548260975244161E-2</v>
      </c>
      <c r="G54" s="12">
        <f t="shared" si="12"/>
        <v>1244.7230691272182</v>
      </c>
      <c r="H54" s="24">
        <f t="shared" si="8"/>
        <v>2</v>
      </c>
      <c r="I54" s="5">
        <f t="shared" si="4"/>
        <v>1.8070610225858401</v>
      </c>
      <c r="J54" s="4"/>
    </row>
    <row r="55" spans="1:10">
      <c r="A55" s="5">
        <f t="shared" si="6"/>
        <v>3.0833333333333344</v>
      </c>
      <c r="B55" s="10">
        <f t="shared" si="9"/>
        <v>0.98824893165014915</v>
      </c>
      <c r="C55" s="10">
        <f t="shared" si="7"/>
        <v>3.7091834958413727E-4</v>
      </c>
      <c r="D55" s="12">
        <f t="shared" si="5"/>
        <v>455.82460548223088</v>
      </c>
      <c r="E55" s="10">
        <f t="shared" si="10"/>
        <v>0.40087345684863479</v>
      </c>
      <c r="F55" s="10">
        <f t="shared" si="11"/>
        <v>-3.8112116186896083E-2</v>
      </c>
      <c r="G55" s="12">
        <f t="shared" si="12"/>
        <v>1258.8819686185936</v>
      </c>
      <c r="H55" s="24">
        <f t="shared" si="8"/>
        <v>4</v>
      </c>
      <c r="I55" s="5">
        <f t="shared" si="4"/>
        <v>3.6037454351013229</v>
      </c>
      <c r="J55" s="4"/>
    </row>
    <row r="56" spans="1:10">
      <c r="A56" s="5">
        <f t="shared" si="6"/>
        <v>3.1666666666666679</v>
      </c>
      <c r="B56" s="10">
        <f t="shared" si="9"/>
        <v>0.98787470097358898</v>
      </c>
      <c r="C56" s="10">
        <f t="shared" si="7"/>
        <v>3.7423067656017217E-4</v>
      </c>
      <c r="D56" s="12">
        <f t="shared" si="5"/>
        <v>454.6864672341157</v>
      </c>
      <c r="E56" s="10">
        <f t="shared" si="10"/>
        <v>0.40329047314485694</v>
      </c>
      <c r="F56" s="10">
        <f t="shared" si="11"/>
        <v>-4.1587787356447747E-2</v>
      </c>
      <c r="G56" s="12">
        <f t="shared" si="12"/>
        <v>1272.6532136143687</v>
      </c>
      <c r="H56" s="24">
        <f t="shared" si="8"/>
        <v>2</v>
      </c>
      <c r="I56" s="5">
        <f t="shared" si="4"/>
        <v>1.7966930314225584</v>
      </c>
      <c r="J56" s="4"/>
    </row>
    <row r="57" spans="1:10">
      <c r="A57" s="5">
        <f t="shared" si="6"/>
        <v>3.2500000000000013</v>
      </c>
      <c r="B57" s="10">
        <f t="shared" si="9"/>
        <v>0.98749712806608203</v>
      </c>
      <c r="C57" s="10">
        <f t="shared" si="7"/>
        <v>3.7757290750695116E-4</v>
      </c>
      <c r="D57" s="12">
        <f t="shared" si="5"/>
        <v>453.55117077790084</v>
      </c>
      <c r="E57" s="10">
        <f t="shared" si="10"/>
        <v>0.40571363478035949</v>
      </c>
      <c r="F57" s="10">
        <f t="shared" si="11"/>
        <v>-4.4980274652639263E-2</v>
      </c>
      <c r="G57" s="12">
        <f t="shared" si="12"/>
        <v>1286.0510880264319</v>
      </c>
      <c r="H57" s="24">
        <f t="shared" si="8"/>
        <v>4</v>
      </c>
      <c r="I57" s="5">
        <f t="shared" si="4"/>
        <v>3.5830438285934898</v>
      </c>
      <c r="J57" s="4"/>
    </row>
    <row r="58" spans="1:10">
      <c r="A58" s="5">
        <f t="shared" si="6"/>
        <v>3.3333333333333348</v>
      </c>
      <c r="B58" s="10">
        <f t="shared" si="9"/>
        <v>0.98711618277849811</v>
      </c>
      <c r="C58" s="10">
        <f t="shared" si="7"/>
        <v>3.8094528758392254E-4</v>
      </c>
      <c r="D58" s="12">
        <f t="shared" si="5"/>
        <v>452.41870901797978</v>
      </c>
      <c r="E58" s="10">
        <f t="shared" si="10"/>
        <v>0.40814130062775433</v>
      </c>
      <c r="F58" s="10">
        <f t="shared" si="11"/>
        <v>-4.8294163959884173E-2</v>
      </c>
      <c r="G58" s="12">
        <f t="shared" si="12"/>
        <v>1299.0890207123789</v>
      </c>
      <c r="H58" s="24">
        <f t="shared" si="8"/>
        <v>2</v>
      </c>
      <c r="I58" s="5">
        <f t="shared" si="4"/>
        <v>1.7863593162536171</v>
      </c>
      <c r="J58" s="4"/>
    </row>
    <row r="59" spans="1:10">
      <c r="A59" s="5">
        <f t="shared" si="6"/>
        <v>3.4166666666666683</v>
      </c>
      <c r="B59" s="10">
        <f t="shared" si="9"/>
        <v>0.98673183471503623</v>
      </c>
      <c r="C59" s="10">
        <f t="shared" si="7"/>
        <v>3.8434806346188122E-4</v>
      </c>
      <c r="D59" s="12">
        <f t="shared" si="5"/>
        <v>451.28907487646273</v>
      </c>
      <c r="E59" s="10">
        <f t="shared" si="10"/>
        <v>0.41057201673109722</v>
      </c>
      <c r="F59" s="10">
        <f t="shared" si="11"/>
        <v>-5.1533671035961959E-2</v>
      </c>
      <c r="G59" s="12">
        <f t="shared" si="12"/>
        <v>1311.7796573513335</v>
      </c>
      <c r="H59" s="24">
        <f t="shared" si="8"/>
        <v>4</v>
      </c>
      <c r="I59" s="5">
        <f t="shared" si="4"/>
        <v>3.5624103747176274</v>
      </c>
      <c r="J59" s="4"/>
    </row>
    <row r="60" spans="1:10">
      <c r="A60" s="5">
        <f t="shared" si="6"/>
        <v>3.5000000000000018</v>
      </c>
      <c r="B60" s="10">
        <f t="shared" si="9"/>
        <v>0.98634405323171437</v>
      </c>
      <c r="C60" s="10">
        <f t="shared" si="7"/>
        <v>3.8778148332185847E-4</v>
      </c>
      <c r="D60" s="12">
        <f t="shared" si="5"/>
        <v>450.16226129313281</v>
      </c>
      <c r="E60" s="10">
        <f t="shared" si="10"/>
        <v>0.413004493361118</v>
      </c>
      <c r="F60" s="10">
        <f t="shared" si="11"/>
        <v>-5.470267998562478E-2</v>
      </c>
      <c r="G60" s="12">
        <f t="shared" si="12"/>
        <v>1324.1349246555028</v>
      </c>
      <c r="H60" s="24">
        <f t="shared" si="8"/>
        <v>2</v>
      </c>
      <c r="I60" s="5">
        <f t="shared" si="4"/>
        <v>1.7760594776632908</v>
      </c>
      <c r="J60" s="4"/>
    </row>
    <row r="61" spans="1:10">
      <c r="A61" s="5">
        <f t="shared" si="6"/>
        <v>3.5833333333333353</v>
      </c>
      <c r="B61" s="10">
        <f t="shared" si="9"/>
        <v>0.98595280743486202</v>
      </c>
      <c r="C61" s="10">
        <f t="shared" si="7"/>
        <v>3.9124579685234639E-4</v>
      </c>
      <c r="D61" s="12">
        <f t="shared" si="5"/>
        <v>449.03826122540124</v>
      </c>
      <c r="E61" s="10">
        <f t="shared" si="10"/>
        <v>0.41543758524962099</v>
      </c>
      <c r="F61" s="10">
        <f t="shared" si="11"/>
        <v>-5.7804776900401922E-2</v>
      </c>
      <c r="G61" s="12">
        <f t="shared" si="12"/>
        <v>1336.1660878973664</v>
      </c>
      <c r="H61" s="24">
        <f t="shared" si="8"/>
        <v>4</v>
      </c>
      <c r="I61" s="5">
        <f t="shared" si="4"/>
        <v>3.5418442744068264</v>
      </c>
      <c r="J61" s="4"/>
    </row>
    <row r="62" spans="1:10">
      <c r="A62" s="5">
        <f t="shared" si="6"/>
        <v>3.6666666666666687</v>
      </c>
      <c r="B62" s="10">
        <f t="shared" si="9"/>
        <v>0.98555806617961372</v>
      </c>
      <c r="C62" s="10">
        <f t="shared" si="7"/>
        <v>3.9474125524829873E-4</v>
      </c>
      <c r="D62" s="12">
        <f t="shared" si="5"/>
        <v>447.91706764826409</v>
      </c>
      <c r="E62" s="10">
        <f t="shared" si="10"/>
        <v>0.41787027450729264</v>
      </c>
      <c r="F62" s="10">
        <f t="shared" si="11"/>
        <v>-6.084327937087658E-2</v>
      </c>
      <c r="G62" s="12">
        <f t="shared" si="12"/>
        <v>1347.8838025873667</v>
      </c>
      <c r="H62" s="24">
        <f t="shared" si="8"/>
        <v>2</v>
      </c>
      <c r="I62" s="5">
        <f t="shared" si="4"/>
        <v>1.7657931160010656</v>
      </c>
      <c r="J62" s="4"/>
    </row>
    <row r="63" spans="1:10">
      <c r="A63" s="5">
        <f t="shared" si="6"/>
        <v>3.7500000000000022</v>
      </c>
      <c r="B63" s="10">
        <f t="shared" si="9"/>
        <v>0.98515979806840526</v>
      </c>
      <c r="C63" s="10">
        <f t="shared" si="7"/>
        <v>3.9826811120846628E-4</v>
      </c>
      <c r="D63" s="12">
        <f t="shared" si="5"/>
        <v>446.79867355425779</v>
      </c>
      <c r="E63" s="10">
        <f t="shared" si="10"/>
        <v>0.42030165581514456</v>
      </c>
      <c r="F63" s="10">
        <f t="shared" si="11"/>
        <v>-6.382126246078268E-2</v>
      </c>
      <c r="G63" s="12">
        <f t="shared" si="12"/>
        <v>1359.2981610162469</v>
      </c>
      <c r="H63" s="24">
        <f t="shared" si="8"/>
        <v>4</v>
      </c>
      <c r="I63" s="5">
        <f t="shared" si="4"/>
        <v>3.5213447281275512</v>
      </c>
      <c r="J63" s="4"/>
    </row>
    <row r="64" spans="1:10">
      <c r="A64" s="5">
        <f t="shared" si="6"/>
        <v>3.8333333333333357</v>
      </c>
      <c r="B64" s="10">
        <f t="shared" si="9"/>
        <v>0.98475797144947308</v>
      </c>
      <c r="C64" s="10">
        <f t="shared" si="7"/>
        <v>4.018266189321773E-4</v>
      </c>
      <c r="D64" s="12">
        <f t="shared" si="5"/>
        <v>445.68307195341566</v>
      </c>
      <c r="E64" s="10">
        <f t="shared" si="10"/>
        <v>0.42273092354939457</v>
      </c>
      <c r="F64" s="10">
        <f t="shared" si="11"/>
        <v>-6.6741581636886038E-2</v>
      </c>
      <c r="G64" s="12">
        <f t="shared" si="12"/>
        <v>1370.4187342751111</v>
      </c>
      <c r="H64" s="24">
        <f t="shared" si="8"/>
        <v>2</v>
      </c>
      <c r="I64" s="5">
        <f t="shared" si="4"/>
        <v>1.7555598313848606</v>
      </c>
      <c r="J64" s="4"/>
    </row>
    <row r="65" spans="1:10">
      <c r="A65" s="5">
        <f t="shared" si="6"/>
        <v>3.9166666666666692</v>
      </c>
      <c r="B65" s="10">
        <f t="shared" si="9"/>
        <v>0.98435255441535596</v>
      </c>
      <c r="C65" s="10">
        <f t="shared" si="7"/>
        <v>4.0541703411711705E-4</v>
      </c>
      <c r="D65" s="12">
        <f t="shared" si="5"/>
        <v>444.57025587322403</v>
      </c>
      <c r="E65" s="10">
        <f t="shared" si="10"/>
        <v>0.42515736055619396</v>
      </c>
      <c r="F65" s="10">
        <f t="shared" si="11"/>
        <v>-6.9606893070386089E-2</v>
      </c>
      <c r="G65" s="12">
        <f t="shared" si="12"/>
        <v>1381.2546102814495</v>
      </c>
      <c r="H65" s="24">
        <f t="shared" si="8"/>
        <v>4</v>
      </c>
      <c r="I65" s="5">
        <f t="shared" si="4"/>
        <v>3.5009109358871719</v>
      </c>
      <c r="J65" s="4"/>
    </row>
    <row r="66" spans="1:10">
      <c r="A66" s="5">
        <f t="shared" si="6"/>
        <v>4.0000000000000027</v>
      </c>
      <c r="B66" s="10">
        <f t="shared" si="9"/>
        <v>0.98394351480140108</v>
      </c>
      <c r="C66" s="10">
        <f t="shared" si="7"/>
        <v>4.0903961395488686E-4</v>
      </c>
      <c r="D66" s="12">
        <f t="shared" si="5"/>
        <v>443.46021835857874</v>
      </c>
      <c r="E66" s="10">
        <f t="shared" si="10"/>
        <v>0.42758032833886422</v>
      </c>
      <c r="F66" s="10">
        <f t="shared" si="11"/>
        <v>-7.2419671661135998E-2</v>
      </c>
      <c r="G66" s="12">
        <f t="shared" si="12"/>
        <v>1391.8144282677813</v>
      </c>
      <c r="H66" s="24">
        <f t="shared" si="8"/>
        <v>2</v>
      </c>
      <c r="I66" s="5">
        <f t="shared" si="4"/>
        <v>1.745359223705347</v>
      </c>
      <c r="J66" s="4"/>
    </row>
    <row r="67" spans="1:10">
      <c r="A67" s="5">
        <f t="shared" si="6"/>
        <v>4.0833333333333357</v>
      </c>
      <c r="B67" s="10">
        <f t="shared" si="9"/>
        <v>0.98353082018427151</v>
      </c>
      <c r="C67" s="10">
        <f t="shared" si="7"/>
        <v>4.126946171295609E-4</v>
      </c>
      <c r="D67" s="12">
        <f t="shared" si="5"/>
        <v>442.35295247174173</v>
      </c>
      <c r="E67" s="10">
        <f t="shared" si="10"/>
        <v>0.42999925845824682</v>
      </c>
      <c r="F67" s="10">
        <f t="shared" si="11"/>
        <v>-7.5182227082675857E-2</v>
      </c>
      <c r="G67" s="12">
        <f t="shared" si="12"/>
        <v>1402.106410128976</v>
      </c>
      <c r="H67" s="24">
        <f t="shared" si="8"/>
        <v>4</v>
      </c>
      <c r="I67" s="5">
        <f t="shared" si="4"/>
        <v>3.4805420972437298</v>
      </c>
      <c r="J67" s="4"/>
    </row>
    <row r="68" spans="1:10">
      <c r="A68" s="5">
        <f t="shared" si="6"/>
        <v>4.1666666666666687</v>
      </c>
      <c r="B68" s="10">
        <f t="shared" si="9"/>
        <v>0.98311443788046171</v>
      </c>
      <c r="C68" s="10">
        <f t="shared" si="7"/>
        <v>4.1638230380980357E-4</v>
      </c>
      <c r="D68" s="12">
        <f t="shared" si="5"/>
        <v>441.24845129229766</v>
      </c>
      <c r="E68" s="10">
        <f t="shared" si="10"/>
        <v>0.43241364497807211</v>
      </c>
      <c r="F68" s="10">
        <f t="shared" si="11"/>
        <v>-7.7896718101756801E-2</v>
      </c>
      <c r="G68" s="12">
        <f t="shared" si="12"/>
        <v>1412.1383889728033</v>
      </c>
      <c r="H68" s="24">
        <f t="shared" si="8"/>
        <v>2</v>
      </c>
      <c r="I68" s="5">
        <f t="shared" si="4"/>
        <v>1.7351908926314061</v>
      </c>
      <c r="J68" s="4"/>
    </row>
    <row r="69" spans="1:10">
      <c r="A69" s="5">
        <f t="shared" si="6"/>
        <v>4.2500000000000018</v>
      </c>
      <c r="B69" s="10">
        <f t="shared" si="9"/>
        <v>0.98269433494481284</v>
      </c>
      <c r="C69" s="10">
        <f t="shared" si="7"/>
        <v>4.2010293564886947E-4</v>
      </c>
      <c r="D69" s="12">
        <f t="shared" si="5"/>
        <v>440.14670791711052</v>
      </c>
      <c r="E69" s="10">
        <f t="shared" si="10"/>
        <v>0.43482303781312498</v>
      </c>
      <c r="F69" s="10">
        <f t="shared" si="11"/>
        <v>-8.0565165389082705E-2</v>
      </c>
      <c r="G69" s="12">
        <f t="shared" si="12"/>
        <v>1421.9178351743972</v>
      </c>
      <c r="H69" s="24">
        <f t="shared" si="8"/>
        <v>4</v>
      </c>
      <c r="I69" s="5">
        <f t="shared" si="4"/>
        <v>3.4602374113180296</v>
      </c>
      <c r="J69" s="4"/>
    </row>
    <row r="70" spans="1:10">
      <c r="A70" s="5">
        <f t="shared" si="6"/>
        <v>4.3333333333333348</v>
      </c>
      <c r="B70" s="10">
        <f t="shared" si="9"/>
        <v>0.98227047816903679</v>
      </c>
      <c r="C70" s="10">
        <f t="shared" si="7"/>
        <v>4.2385677577605474E-4</v>
      </c>
      <c r="D70" s="12">
        <f t="shared" si="5"/>
        <v>439.04771546028064</v>
      </c>
      <c r="E70" s="10">
        <f t="shared" si="10"/>
        <v>0.43722703685949127</v>
      </c>
      <c r="F70" s="10">
        <f t="shared" si="11"/>
        <v>-8.3189463007041997E-2</v>
      </c>
      <c r="G70" s="12">
        <f t="shared" si="12"/>
        <v>1431.4518801976917</v>
      </c>
      <c r="H70" s="24">
        <f t="shared" si="8"/>
        <v>2</v>
      </c>
      <c r="I70" s="5">
        <f t="shared" si="4"/>
        <v>1.7250544376167722</v>
      </c>
      <c r="J70" s="4"/>
    </row>
    <row r="71" spans="1:10">
      <c r="A71" s="5">
        <f t="shared" si="6"/>
        <v>4.4166666666666679</v>
      </c>
      <c r="B71" s="10">
        <f t="shared" si="9"/>
        <v>0.98184283408024342</v>
      </c>
      <c r="C71" s="10">
        <f t="shared" si="7"/>
        <v>4.2764408879336635E-4</v>
      </c>
      <c r="D71" s="12">
        <f t="shared" si="5"/>
        <v>437.95146705310157</v>
      </c>
      <c r="E71" s="10">
        <f t="shared" si="10"/>
        <v>0.43962528680409846</v>
      </c>
      <c r="F71" s="10">
        <f t="shared" si="11"/>
        <v>-8.577138873417206E-2</v>
      </c>
      <c r="G71" s="12">
        <f t="shared" si="12"/>
        <v>1440.7473384147052</v>
      </c>
      <c r="H71" s="24">
        <f t="shared" si="8"/>
        <v>4</v>
      </c>
      <c r="I71" s="5">
        <f t="shared" si="4"/>
        <v>3.4399960768081406</v>
      </c>
      <c r="J71" s="4"/>
    </row>
    <row r="72" spans="1:10">
      <c r="A72" s="5">
        <f t="shared" si="6"/>
        <v>4.5000000000000009</v>
      </c>
      <c r="B72" s="10">
        <f t="shared" si="9"/>
        <v>0.98141136893947289</v>
      </c>
      <c r="C72" s="10">
        <f t="shared" si="7"/>
        <v>4.3146514077052611E-4</v>
      </c>
      <c r="D72" s="12">
        <f t="shared" si="5"/>
        <v>436.85795584401723</v>
      </c>
      <c r="E72" s="10">
        <f t="shared" si="10"/>
        <v>0.44201747252576845</v>
      </c>
      <c r="F72" s="10">
        <f t="shared" si="11"/>
        <v>-8.8312613364142256E-2</v>
      </c>
      <c r="G72" s="12">
        <f t="shared" si="12"/>
        <v>1449.8107271257277</v>
      </c>
      <c r="H72" s="24">
        <f t="shared" si="8"/>
        <v>2</v>
      </c>
      <c r="I72" s="5">
        <f t="shared" si="4"/>
        <v>1.714949457907907</v>
      </c>
      <c r="J72" s="4"/>
    </row>
    <row r="73" spans="1:10">
      <c r="A73" s="5">
        <f t="shared" si="6"/>
        <v>4.5833333333333339</v>
      </c>
      <c r="B73" s="10">
        <f t="shared" si="9"/>
        <v>0.98097604874023581</v>
      </c>
      <c r="C73" s="10">
        <f t="shared" si="7"/>
        <v>4.3532019923708809E-4</v>
      </c>
      <c r="D73" s="12">
        <f t="shared" si="5"/>
        <v>435.76717499857892</v>
      </c>
      <c r="E73" s="10">
        <f t="shared" si="10"/>
        <v>0.44440331501257957</v>
      </c>
      <c r="F73" s="10">
        <f t="shared" si="11"/>
        <v>-9.0814709098467561E-2</v>
      </c>
      <c r="G73" s="12">
        <f t="shared" si="12"/>
        <v>1458.6482849595566</v>
      </c>
      <c r="H73" s="24">
        <f t="shared" si="8"/>
        <v>4</v>
      </c>
      <c r="I73" s="5">
        <f t="shared" si="4"/>
        <v>3.4198172920064067</v>
      </c>
      <c r="J73" s="4"/>
    </row>
    <row r="74" spans="1:10">
      <c r="A74" s="5">
        <f t="shared" si="6"/>
        <v>4.666666666666667</v>
      </c>
      <c r="B74" s="10">
        <f t="shared" si="9"/>
        <v>0.98053683920705847</v>
      </c>
      <c r="C74" s="10">
        <f t="shared" si="7"/>
        <v>4.3920953317733158E-4</v>
      </c>
      <c r="D74" s="12">
        <f t="shared" si="5"/>
        <v>434.67911769940292</v>
      </c>
      <c r="E74" s="10">
        <f t="shared" si="10"/>
        <v>0.44678256773095776</v>
      </c>
      <c r="F74" s="10">
        <f t="shared" si="11"/>
        <v>-9.3279157136363977E-2</v>
      </c>
      <c r="G74" s="12">
        <f t="shared" si="12"/>
        <v>1467.2659888120997</v>
      </c>
      <c r="H74" s="24">
        <f t="shared" si="8"/>
        <v>2</v>
      </c>
      <c r="I74" s="5">
        <f t="shared" si="4"/>
        <v>1.704875552553142</v>
      </c>
      <c r="J74" s="4"/>
    </row>
    <row r="75" spans="1:10">
      <c r="A75" s="5">
        <f t="shared" si="6"/>
        <v>4.75</v>
      </c>
      <c r="B75" s="10">
        <f t="shared" si="9"/>
        <v>0.98009370579403499</v>
      </c>
      <c r="C75" s="10">
        <f t="shared" si="7"/>
        <v>4.4313341302348874E-4</v>
      </c>
      <c r="D75" s="12">
        <f t="shared" si="5"/>
        <v>433.59377714612748</v>
      </c>
      <c r="E75" s="10">
        <f t="shared" si="10"/>
        <v>0.44915501339086922</v>
      </c>
      <c r="F75" s="10">
        <f t="shared" si="11"/>
        <v>-9.5707354551715029E-2</v>
      </c>
      <c r="G75" s="12">
        <f t="shared" si="12"/>
        <v>1475.6695694636774</v>
      </c>
      <c r="H75" s="24">
        <f t="shared" si="8"/>
        <v>4</v>
      </c>
      <c r="I75" s="5">
        <f t="shared" si="4"/>
        <v>3.3997002548190483</v>
      </c>
      <c r="J75" s="4"/>
    </row>
    <row r="76" spans="1:10">
      <c r="A76" s="5">
        <f t="shared" si="6"/>
        <v>4.833333333333333</v>
      </c>
      <c r="B76" s="10">
        <f t="shared" si="9"/>
        <v>0.9796466136833869</v>
      </c>
      <c r="C76" s="10">
        <f t="shared" si="7"/>
        <v>4.4709211064808407E-4</v>
      </c>
      <c r="D76" s="12">
        <f t="shared" si="5"/>
        <v>432.51114655537066</v>
      </c>
      <c r="E76" s="10">
        <f t="shared" si="10"/>
        <v>0.45152046105908156</v>
      </c>
      <c r="F76" s="10">
        <f t="shared" si="11"/>
        <v>-9.8100620535623351E-2</v>
      </c>
      <c r="G76" s="12">
        <f t="shared" si="12"/>
        <v>1483.864525999662</v>
      </c>
      <c r="H76" s="24">
        <f t="shared" si="8"/>
        <v>2</v>
      </c>
      <c r="I76" s="5">
        <f t="shared" si="4"/>
        <v>1.6948323204131517</v>
      </c>
      <c r="J76" s="4"/>
    </row>
    <row r="77" spans="1:10">
      <c r="A77" s="5">
        <f t="shared" si="6"/>
        <v>4.9166666666666661</v>
      </c>
      <c r="B77" s="10">
        <f t="shared" si="9"/>
        <v>0.97919552778403096</v>
      </c>
      <c r="C77" s="10">
        <f t="shared" si="7"/>
        <v>4.5108589935594079E-4</v>
      </c>
      <c r="D77" s="12">
        <f t="shared" si="5"/>
        <v>431.4312191606877</v>
      </c>
      <c r="E77" s="10">
        <f t="shared" si="10"/>
        <v>0.45387874357891994</v>
      </c>
      <c r="F77" s="10">
        <f t="shared" si="11"/>
        <v>-0.10046020207316636</v>
      </c>
      <c r="G77" s="12">
        <f t="shared" si="12"/>
        <v>1491.8561391453616</v>
      </c>
      <c r="H77" s="24">
        <f t="shared" si="8"/>
        <v>4</v>
      </c>
      <c r="I77" s="5">
        <f t="shared" si="4"/>
        <v>3.3796441627884604</v>
      </c>
      <c r="J77" s="4"/>
    </row>
    <row r="78" spans="1:10">
      <c r="A78" s="5">
        <f t="shared" si="6"/>
        <v>4.9999999999999991</v>
      </c>
      <c r="B78" s="10">
        <f t="shared" si="9"/>
        <v>0.97874041273015389</v>
      </c>
      <c r="C78" s="10">
        <f t="shared" si="7"/>
        <v>4.551150538770754E-4</v>
      </c>
      <c r="D78" s="12">
        <f t="shared" si="5"/>
        <v>430.35398821252892</v>
      </c>
      <c r="E78" s="10">
        <f t="shared" si="10"/>
        <v>0.45622971526044503</v>
      </c>
      <c r="F78" s="10">
        <f t="shared" si="11"/>
        <v>-0.10278727911450231</v>
      </c>
      <c r="G78" s="12">
        <f t="shared" si="12"/>
        <v>1499.6494836140851</v>
      </c>
      <c r="H78" s="24">
        <f t="shared" si="8"/>
        <v>2</v>
      </c>
      <c r="I78" s="5">
        <f t="shared" si="4"/>
        <v>1.6848193601727932</v>
      </c>
      <c r="J78" s="4"/>
    </row>
    <row r="79" spans="1:10">
      <c r="A79" s="5">
        <f t="shared" si="6"/>
        <v>5.0833333333333321</v>
      </c>
      <c r="B79" s="10">
        <f t="shared" si="9"/>
        <v>0.9782812328797964</v>
      </c>
      <c r="C79" s="10">
        <f t="shared" si="7"/>
        <v>4.5917985035748288E-4</v>
      </c>
      <c r="D79" s="12">
        <f t="shared" si="5"/>
        <v>429.27944697819737</v>
      </c>
      <c r="E79" s="10">
        <f t="shared" si="10"/>
        <v>0.45857324980967229</v>
      </c>
      <c r="F79" s="10">
        <f t="shared" si="11"/>
        <v>-0.10508296929318939</v>
      </c>
      <c r="G79" s="12">
        <f t="shared" si="12"/>
        <v>1507.2494395568176</v>
      </c>
      <c r="H79" s="24">
        <f t="shared" si="8"/>
        <v>4</v>
      </c>
      <c r="I79" s="5">
        <f t="shared" si="4"/>
        <v>3.3596482131183047</v>
      </c>
      <c r="J79" s="4"/>
    </row>
    <row r="80" spans="1:10">
      <c r="A80" s="5">
        <f t="shared" si="6"/>
        <v>5.1666666666666652</v>
      </c>
      <c r="B80" s="10">
        <f t="shared" si="9"/>
        <v>0.97781795231344648</v>
      </c>
      <c r="C80" s="10">
        <f t="shared" si="7"/>
        <v>4.6328056634992176E-4</v>
      </c>
      <c r="D80" s="12">
        <f t="shared" si="5"/>
        <v>428.20758874180683</v>
      </c>
      <c r="E80" s="10">
        <f t="shared" si="10"/>
        <v>0.460909238469496</v>
      </c>
      <c r="F80" s="10">
        <f t="shared" si="11"/>
        <v>-0.10734833223824797</v>
      </c>
      <c r="G80" s="12">
        <f t="shared" si="12"/>
        <v>1514.6607031926717</v>
      </c>
      <c r="H80" s="24">
        <f t="shared" si="8"/>
        <v>2</v>
      </c>
      <c r="I80" s="5">
        <f t="shared" si="4"/>
        <v>1.6748362703543678</v>
      </c>
      <c r="J80" s="4"/>
    </row>
    <row r="81" spans="1:10">
      <c r="A81" s="5">
        <f t="shared" si="6"/>
        <v>5.2499999999999982</v>
      </c>
      <c r="B81" s="10">
        <f t="shared" si="9"/>
        <v>0.97735053483264167</v>
      </c>
      <c r="C81" s="10">
        <f t="shared" si="7"/>
        <v>4.6741748080481038E-4</v>
      </c>
      <c r="D81" s="12">
        <f t="shared" si="5"/>
        <v>427.13840680423976</v>
      </c>
      <c r="E81" s="10">
        <f t="shared" si="10"/>
        <v>0.46323758834842627</v>
      </c>
      <c r="F81" s="10">
        <f t="shared" si="11"/>
        <v>-0.1095843735210536</v>
      </c>
      <c r="G81" s="12">
        <f t="shared" si="12"/>
        <v>1521.8877966911425</v>
      </c>
      <c r="H81" s="24">
        <f t="shared" si="8"/>
        <v>4</v>
      </c>
      <c r="I81" s="5">
        <f t="shared" si="4"/>
        <v>3.3397116027014895</v>
      </c>
      <c r="J81" s="4"/>
    </row>
    <row r="82" spans="1:10">
      <c r="A82" s="5">
        <f t="shared" si="6"/>
        <v>5.3333333333333313</v>
      </c>
      <c r="B82" s="10">
        <f t="shared" ref="B82:B113" si="13">(B$12^A82)*B$11^((B$5^B$6)*((B$5^A82) - 1))</f>
        <v>0.97687894395858232</v>
      </c>
      <c r="C82" s="10">
        <f t="shared" si="7"/>
        <v>4.7159087405934663E-4</v>
      </c>
      <c r="D82" s="12">
        <f t="shared" si="5"/>
        <v>426.07189448310572</v>
      </c>
      <c r="E82" s="10">
        <f t="shared" si="10"/>
        <v>0.46555822091623617</v>
      </c>
      <c r="F82" s="10">
        <f t="shared" si="11"/>
        <v>-0.11179204827338945</v>
      </c>
      <c r="G82" s="12">
        <f t="shared" si="12"/>
        <v>1528.9350773700216</v>
      </c>
      <c r="H82" s="24">
        <f t="shared" si="8"/>
        <v>2</v>
      </c>
      <c r="I82" s="5">
        <f t="shared" si="4"/>
        <v>1.6648826493323554</v>
      </c>
      <c r="J82" s="4"/>
    </row>
    <row r="83" spans="1:10">
      <c r="A83" s="5">
        <f t="shared" si="6"/>
        <v>5.4166666666666643</v>
      </c>
      <c r="B83" s="10">
        <f t="shared" si="13"/>
        <v>0.97640314293075359</v>
      </c>
      <c r="C83" s="10">
        <f t="shared" si="7"/>
        <v>4.7580102782873723E-4</v>
      </c>
      <c r="D83" s="12">
        <f t="shared" si="5"/>
        <v>425.00804511269911</v>
      </c>
      <c r="E83" s="10">
        <f t="shared" ref="E83:E114" si="14">(LN(1.05/EXP(B$9*A83))+(B$7+(B$8^2)/2)*A83)/(B$8*SQRT(A83))</f>
        <v>0.46787107064818029</v>
      </c>
      <c r="F83" s="10">
        <f t="shared" ref="F83:F114" si="15">E83-0.25*SQRT(A83)</f>
        <v>-0.11397226450885883</v>
      </c>
      <c r="G83" s="12">
        <f t="shared" ref="G83:G114" si="16">(EXP(-B$7*A83)*NORMDIST(-F83,0,1,TRUE)-1.05*EXP(-B$9*A83)*NORMDIST(-E83,0,1,TRUE))*B$10</f>
        <v>1535.8067462664294</v>
      </c>
      <c r="H83" s="24">
        <f t="shared" si="8"/>
        <v>4</v>
      </c>
      <c r="I83" s="5">
        <f t="shared" ref="I83:I138" si="17">B83*H83*EXP(-B$9*A83)</f>
        <v>3.3198335281511593</v>
      </c>
      <c r="J83" s="4"/>
    </row>
    <row r="84" spans="1:10">
      <c r="A84" s="5">
        <f t="shared" si="6"/>
        <v>5.4999999999999973</v>
      </c>
      <c r="B84" s="10">
        <f t="shared" si="13"/>
        <v>0.97592309470556038</v>
      </c>
      <c r="C84" s="10">
        <f t="shared" si="7"/>
        <v>4.8004822519320811E-4</v>
      </c>
      <c r="D84" s="12">
        <f t="shared" ref="D84:D138" si="18">0.05*B$10*EXP(-B$9*A84)</f>
        <v>423.94685204395796</v>
      </c>
      <c r="E84" s="10">
        <f t="shared" si="14"/>
        <v>0.47017608380167908</v>
      </c>
      <c r="F84" s="10">
        <f t="shared" si="15"/>
        <v>-0.11612588617624953</v>
      </c>
      <c r="G84" s="12">
        <f t="shared" si="16"/>
        <v>1542.5068561327998</v>
      </c>
      <c r="H84" s="24">
        <f t="shared" si="8"/>
        <v>2</v>
      </c>
      <c r="I84" s="5">
        <f t="shared" si="17"/>
        <v>1.654958095349679</v>
      </c>
      <c r="J84" s="4"/>
    </row>
    <row r="85" spans="1:10">
      <c r="A85" s="5">
        <f t="shared" ref="A85:A138" si="19">A84+1/12</f>
        <v>5.5833333333333304</v>
      </c>
      <c r="B85" s="10">
        <f t="shared" si="13"/>
        <v>0.9754387619549727</v>
      </c>
      <c r="C85" s="10">
        <f t="shared" ref="C85:C138" si="20">B84-B85</f>
        <v>4.8433275058767933E-4</v>
      </c>
      <c r="D85" s="12">
        <f t="shared" si="18"/>
        <v>422.88830864442212</v>
      </c>
      <c r="E85" s="10">
        <f t="shared" si="14"/>
        <v>0.4724732173112729</v>
      </c>
      <c r="F85" s="10">
        <f t="shared" si="15"/>
        <v>-0.11825373597030298</v>
      </c>
      <c r="G85" s="12">
        <f t="shared" si="16"/>
        <v>1549.0393189046774</v>
      </c>
      <c r="H85" s="24">
        <f t="shared" ref="H85:H137" si="21">IF(H84=4,2,4)</f>
        <v>4</v>
      </c>
      <c r="I85" s="5">
        <f t="shared" si="17"/>
        <v>3.3000131858347799</v>
      </c>
      <c r="J85" s="4"/>
    </row>
    <row r="86" spans="1:10">
      <c r="A86" s="5">
        <f t="shared" si="19"/>
        <v>5.6666666666666634</v>
      </c>
      <c r="B86" s="10">
        <f t="shared" si="13"/>
        <v>0.97495010706518381</v>
      </c>
      <c r="C86" s="10">
        <f t="shared" si="20"/>
        <v>4.8865488978888649E-4</v>
      </c>
      <c r="D86" s="12">
        <f t="shared" si="18"/>
        <v>421.83240829819192</v>
      </c>
      <c r="E86" s="10">
        <f t="shared" si="14"/>
        <v>0.47476243778935201</v>
      </c>
      <c r="F86" s="10">
        <f t="shared" si="15"/>
        <v>-0.12035659792255193</v>
      </c>
      <c r="G86" s="12">
        <f t="shared" si="16"/>
        <v>1555.4079126826459</v>
      </c>
      <c r="H86" s="24">
        <f t="shared" si="21"/>
        <v>2</v>
      </c>
      <c r="I86" s="5">
        <f t="shared" si="17"/>
        <v>1.645062206535546</v>
      </c>
      <c r="J86" s="4"/>
    </row>
    <row r="87" spans="1:10">
      <c r="A87" s="5">
        <f t="shared" si="19"/>
        <v>5.7499999999999964</v>
      </c>
      <c r="B87" s="10">
        <f t="shared" si="13"/>
        <v>0.9744570921352802</v>
      </c>
      <c r="C87" s="10">
        <f t="shared" si="20"/>
        <v>4.930149299036124E-4</v>
      </c>
      <c r="D87" s="12">
        <f t="shared" si="18"/>
        <v>420.77914440588671</v>
      </c>
      <c r="E87" s="10">
        <f t="shared" si="14"/>
        <v>0.47704372062160016</v>
      </c>
      <c r="F87" s="10">
        <f t="shared" si="15"/>
        <v>-0.12243521979248961</v>
      </c>
      <c r="G87" s="12">
        <f t="shared" si="16"/>
        <v>1561.6162882668261</v>
      </c>
      <c r="H87" s="24">
        <f t="shared" si="21"/>
        <v>4</v>
      </c>
      <c r="I87" s="5">
        <f t="shared" si="17"/>
        <v>3.2802497719114521</v>
      </c>
      <c r="J87" s="4"/>
    </row>
    <row r="88" spans="1:10">
      <c r="A88" s="5">
        <f t="shared" si="19"/>
        <v>5.8333333333333295</v>
      </c>
      <c r="B88" s="10">
        <f t="shared" si="13"/>
        <v>0.97395967897592539</v>
      </c>
      <c r="C88" s="10">
        <f t="shared" si="20"/>
        <v>4.9741315935480923E-4</v>
      </c>
      <c r="D88" s="12">
        <f t="shared" si="18"/>
        <v>419.72851038460374</v>
      </c>
      <c r="E88" s="10">
        <f t="shared" si="14"/>
        <v>0.47931704914737194</v>
      </c>
      <c r="F88" s="10">
        <f t="shared" si="15"/>
        <v>-0.12449031527718779</v>
      </c>
      <c r="G88" s="12">
        <f t="shared" si="16"/>
        <v>1567.6679752787604</v>
      </c>
      <c r="H88" s="24">
        <f t="shared" si="21"/>
        <v>2</v>
      </c>
      <c r="I88" s="5">
        <f t="shared" si="17"/>
        <v>1.6351945809249282</v>
      </c>
      <c r="J88" s="4"/>
    </row>
    <row r="89" spans="1:10">
      <c r="A89" s="5">
        <f t="shared" si="19"/>
        <v>5.9166666666666625</v>
      </c>
      <c r="B89" s="10">
        <f t="shared" si="13"/>
        <v>0.97345782910805778</v>
      </c>
      <c r="C89" s="10">
        <f t="shared" si="20"/>
        <v>5.0184986786760977E-4</v>
      </c>
      <c r="D89" s="12">
        <f t="shared" si="18"/>
        <v>418.68049966787697</v>
      </c>
      <c r="E89" s="10">
        <f t="shared" si="14"/>
        <v>0.48158241391634027</v>
      </c>
      <c r="F89" s="10">
        <f t="shared" si="15"/>
        <v>-0.12652256605559387</v>
      </c>
      <c r="G89" s="12">
        <f t="shared" si="16"/>
        <v>1573.5663879023748</v>
      </c>
      <c r="H89" s="24">
        <f t="shared" si="21"/>
        <v>4</v>
      </c>
      <c r="I89" s="5">
        <f t="shared" si="17"/>
        <v>3.2605424823725473</v>
      </c>
      <c r="J89" s="4"/>
    </row>
    <row r="90" spans="1:10">
      <c r="A90" s="5">
        <f t="shared" si="19"/>
        <v>5.9999999999999956</v>
      </c>
      <c r="B90" s="10">
        <f t="shared" si="13"/>
        <v>0.97295150376160167</v>
      </c>
      <c r="C90" s="10">
        <f t="shared" si="20"/>
        <v>5.0632534645611571E-4</v>
      </c>
      <c r="D90" s="12">
        <f t="shared" si="18"/>
        <v>417.63510570563608</v>
      </c>
      <c r="E90" s="10">
        <f t="shared" si="14"/>
        <v>0.48383981201371185</v>
      </c>
      <c r="F90" s="10">
        <f t="shared" si="15"/>
        <v>-0.1285326236820824</v>
      </c>
      <c r="G90" s="12">
        <f t="shared" si="16"/>
        <v>1579.3148302728305</v>
      </c>
      <c r="H90" s="24">
        <f t="shared" si="21"/>
        <v>2</v>
      </c>
      <c r="I90" s="5">
        <f t="shared" si="17"/>
        <v>1.6253548164797362</v>
      </c>
      <c r="J90" s="4"/>
    </row>
    <row r="91" spans="1:10">
      <c r="A91" s="5">
        <f t="shared" si="19"/>
        <v>6.0833333333333286</v>
      </c>
      <c r="B91" s="10">
        <f t="shared" si="13"/>
        <v>0.97244066387419481</v>
      </c>
      <c r="C91" s="10">
        <f t="shared" si="20"/>
        <v>5.1083988740685538E-4</v>
      </c>
      <c r="D91" s="12">
        <f t="shared" si="18"/>
        <v>416.59232196416531</v>
      </c>
      <c r="E91" s="10">
        <f t="shared" si="14"/>
        <v>0.48608924644716861</v>
      </c>
      <c r="F91" s="10">
        <f t="shared" si="15"/>
        <v>-0.13052111134236205</v>
      </c>
      <c r="G91" s="12">
        <f t="shared" si="16"/>
        <v>1584.9165015395261</v>
      </c>
      <c r="H91" s="24">
        <f t="shared" si="21"/>
        <v>4</v>
      </c>
      <c r="I91" s="5">
        <f t="shared" si="17"/>
        <v>3.2408905130858017</v>
      </c>
      <c r="J91" s="4"/>
    </row>
    <row r="92" spans="1:10">
      <c r="A92" s="5">
        <f t="shared" si="19"/>
        <v>6.1666666666666616</v>
      </c>
      <c r="B92" s="10">
        <f t="shared" si="13"/>
        <v>0.9719252700899299</v>
      </c>
      <c r="C92" s="10">
        <f t="shared" si="20"/>
        <v>5.153937842649059E-4</v>
      </c>
      <c r="D92" s="12">
        <f t="shared" si="18"/>
        <v>415.55214192606286</v>
      </c>
      <c r="E92" s="10">
        <f t="shared" si="14"/>
        <v>0.4883307255894434</v>
      </c>
      <c r="F92" s="10">
        <f t="shared" si="15"/>
        <v>-0.13248862548352885</v>
      </c>
      <c r="G92" s="12">
        <f t="shared" si="16"/>
        <v>1590.3745006272663</v>
      </c>
      <c r="H92" s="24">
        <f t="shared" si="21"/>
        <v>2</v>
      </c>
      <c r="I92" s="5">
        <f t="shared" si="17"/>
        <v>1.6155425111117503</v>
      </c>
      <c r="J92" s="4"/>
    </row>
    <row r="93" spans="1:10">
      <c r="A93" s="5">
        <f t="shared" si="19"/>
        <v>6.2499999999999947</v>
      </c>
      <c r="B93" s="10">
        <f t="shared" si="13"/>
        <v>0.97140528275811378</v>
      </c>
      <c r="C93" s="10">
        <f t="shared" si="20"/>
        <v>5.1998733181612966E-4</v>
      </c>
      <c r="D93" s="12">
        <f t="shared" si="18"/>
        <v>414.51455909020024</v>
      </c>
      <c r="E93" s="10">
        <f t="shared" si="14"/>
        <v>0.49056426267109127</v>
      </c>
      <c r="F93" s="10">
        <f t="shared" si="15"/>
        <v>-0.13443573732890851</v>
      </c>
      <c r="G93" s="12">
        <f t="shared" si="16"/>
        <v>1595.6918307174433</v>
      </c>
      <c r="H93" s="24">
        <f t="shared" si="21"/>
        <v>4</v>
      </c>
      <c r="I93" s="5">
        <f t="shared" si="17"/>
        <v>3.2212930598429668</v>
      </c>
      <c r="J93" s="4"/>
    </row>
    <row r="94" spans="1:10">
      <c r="A94" s="5">
        <f t="shared" si="19"/>
        <v>6.3333333333333277</v>
      </c>
      <c r="B94" s="10">
        <f t="shared" si="13"/>
        <v>0.97088066193204248</v>
      </c>
      <c r="C94" s="10">
        <f t="shared" si="20"/>
        <v>5.2462082607129812E-4</v>
      </c>
      <c r="D94" s="12">
        <f t="shared" si="18"/>
        <v>413.47956697168121</v>
      </c>
      <c r="E94" s="10">
        <f t="shared" si="14"/>
        <v>0.49278987531860496</v>
      </c>
      <c r="F94" s="10">
        <f t="shared" si="15"/>
        <v>-0.1363629942872906</v>
      </c>
      <c r="G94" s="12">
        <f t="shared" si="16"/>
        <v>1600.8714034693521</v>
      </c>
      <c r="H94" s="24">
        <f t="shared" si="21"/>
        <v>2</v>
      </c>
      <c r="I94" s="5">
        <f t="shared" si="17"/>
        <v>1.6057572627073606</v>
      </c>
      <c r="J94" s="4"/>
    </row>
    <row r="95" spans="1:10">
      <c r="A95" s="5">
        <f t="shared" si="19"/>
        <v>6.4166666666666607</v>
      </c>
      <c r="B95" s="10">
        <f t="shared" si="13"/>
        <v>0.97035136736779382</v>
      </c>
      <c r="C95" s="10">
        <f t="shared" si="20"/>
        <v>5.2929456424866128E-4</v>
      </c>
      <c r="D95" s="12">
        <f t="shared" si="18"/>
        <v>412.44715910180173</v>
      </c>
      <c r="E95" s="10">
        <f t="shared" si="14"/>
        <v>0.49500758513353693</v>
      </c>
      <c r="F95" s="10">
        <f t="shared" si="15"/>
        <v>-0.13827092126524043</v>
      </c>
      <c r="G95" s="12">
        <f t="shared" si="16"/>
        <v>1605.9160429999324</v>
      </c>
      <c r="H95" s="24">
        <f t="shared" si="21"/>
        <v>4</v>
      </c>
      <c r="I95" s="5">
        <f t="shared" si="17"/>
        <v>3.2017493184111627</v>
      </c>
      <c r="J95" s="4"/>
    </row>
    <row r="96" spans="1:10">
      <c r="A96" s="5">
        <f t="shared" si="19"/>
        <v>6.4999999999999938</v>
      </c>
      <c r="B96" s="10">
        <f t="shared" si="13"/>
        <v>0.96981735852303874</v>
      </c>
      <c r="C96" s="10">
        <f t="shared" si="20"/>
        <v>5.3400884475507393E-4</v>
      </c>
      <c r="D96" s="12">
        <f t="shared" si="18"/>
        <v>411.41732902800925</v>
      </c>
      <c r="E96" s="10">
        <f t="shared" si="14"/>
        <v>0.49721741730873703</v>
      </c>
      <c r="F96" s="10">
        <f t="shared" si="15"/>
        <v>-0.14016002189036081</v>
      </c>
      <c r="G96" s="12">
        <f t="shared" si="16"/>
        <v>1610.8284896388286</v>
      </c>
      <c r="H96" s="24">
        <f t="shared" si="21"/>
        <v>2</v>
      </c>
      <c r="I96" s="5">
        <f t="shared" si="17"/>
        <v>1.5959986691541914</v>
      </c>
      <c r="J96" s="4"/>
    </row>
    <row r="97" spans="1:10">
      <c r="A97" s="5">
        <f t="shared" si="19"/>
        <v>6.5833333333333268</v>
      </c>
      <c r="B97" s="10">
        <f t="shared" si="13"/>
        <v>0.96927859455587018</v>
      </c>
      <c r="C97" s="10">
        <f t="shared" si="20"/>
        <v>5.3876396716856512E-4</v>
      </c>
      <c r="D97" s="12">
        <f t="shared" si="18"/>
        <v>410.39007031386251</v>
      </c>
      <c r="E97" s="10">
        <f t="shared" si="14"/>
        <v>0.49941940027822829</v>
      </c>
      <c r="F97" s="10">
        <f t="shared" si="15"/>
        <v>-0.14203077965263189</v>
      </c>
      <c r="G97" s="12">
        <f t="shared" si="16"/>
        <v>1615.6114034742081</v>
      </c>
      <c r="H97" s="24">
        <f t="shared" si="21"/>
        <v>4</v>
      </c>
      <c r="I97" s="5">
        <f t="shared" si="17"/>
        <v>3.1822584845880431</v>
      </c>
      <c r="J97" s="4"/>
    </row>
    <row r="98" spans="1:10">
      <c r="A98" s="5">
        <f t="shared" si="19"/>
        <v>6.6666666666666599</v>
      </c>
      <c r="B98" s="10">
        <f t="shared" si="13"/>
        <v>0.96873503432365382</v>
      </c>
      <c r="C98" s="10">
        <f t="shared" si="20"/>
        <v>5.4356023221635574E-4</v>
      </c>
      <c r="D98" s="12">
        <f t="shared" si="18"/>
        <v>409.36537653899103</v>
      </c>
      <c r="E98" s="10">
        <f t="shared" si="14"/>
        <v>0.50161356539759006</v>
      </c>
      <c r="F98" s="10">
        <f t="shared" si="15"/>
        <v>-0.14388365897031241</v>
      </c>
      <c r="G98" s="12">
        <f t="shared" si="16"/>
        <v>1620.2673677035716</v>
      </c>
      <c r="H98" s="24">
        <f t="shared" si="21"/>
        <v>2</v>
      </c>
      <c r="I98" s="5">
        <f t="shared" si="17"/>
        <v>1.5862663283696599</v>
      </c>
      <c r="J98" s="4"/>
    </row>
    <row r="99" spans="1:10">
      <c r="A99" s="5">
        <f t="shared" si="19"/>
        <v>6.7499999999999929</v>
      </c>
      <c r="B99" s="10">
        <f t="shared" si="13"/>
        <v>0.96818663638189573</v>
      </c>
      <c r="C99" s="10">
        <f t="shared" si="20"/>
        <v>5.483979417580942E-4</v>
      </c>
      <c r="D99" s="12">
        <f t="shared" si="18"/>
        <v>408.34324129905553</v>
      </c>
      <c r="E99" s="10">
        <f t="shared" si="14"/>
        <v>0.50379994665203753</v>
      </c>
      <c r="F99" s="10">
        <f t="shared" si="15"/>
        <v>-0.14571910618629114</v>
      </c>
      <c r="G99" s="12">
        <f t="shared" si="16"/>
        <v>1624.7988918026258</v>
      </c>
      <c r="H99" s="24">
        <f t="shared" si="21"/>
        <v>4</v>
      </c>
      <c r="I99" s="5">
        <f t="shared" si="17"/>
        <v>3.1628197542609069</v>
      </c>
      <c r="J99" s="4"/>
    </row>
    <row r="100" spans="1:10">
      <c r="A100" s="5">
        <f t="shared" si="19"/>
        <v>6.8333333333333259</v>
      </c>
      <c r="B100" s="10">
        <f t="shared" si="13"/>
        <v>0.96763335898313418</v>
      </c>
      <c r="C100" s="10">
        <f t="shared" si="20"/>
        <v>5.5327739876154247E-4</v>
      </c>
      <c r="D100" s="12">
        <f t="shared" si="18"/>
        <v>407.32365820570737</v>
      </c>
      <c r="E100" s="10">
        <f t="shared" si="14"/>
        <v>0.50597858038966925</v>
      </c>
      <c r="F100" s="10">
        <f t="shared" si="15"/>
        <v>-0.14753755050025219</v>
      </c>
      <c r="G100" s="12">
        <f t="shared" si="16"/>
        <v>1629.2084145242763</v>
      </c>
      <c r="H100" s="24">
        <f t="shared" si="21"/>
        <v>2</v>
      </c>
      <c r="I100" s="5">
        <f t="shared" si="17"/>
        <v>1.5765598383315467</v>
      </c>
      <c r="J100" s="4"/>
    </row>
    <row r="101" spans="1:10">
      <c r="A101" s="5">
        <f t="shared" si="19"/>
        <v>6.916666666666659</v>
      </c>
      <c r="B101" s="10">
        <f t="shared" si="13"/>
        <v>0.96707516007585037</v>
      </c>
      <c r="C101" s="10">
        <f t="shared" si="20"/>
        <v>5.5819890728381338E-4</v>
      </c>
      <c r="D101" s="12">
        <f t="shared" si="18"/>
        <v>406.30662088654896</v>
      </c>
      <c r="E101" s="10">
        <f t="shared" si="14"/>
        <v>0.50814950507761092</v>
      </c>
      <c r="F101" s="10">
        <f t="shared" si="15"/>
        <v>-0.14933940484153452</v>
      </c>
      <c r="G101" s="12">
        <f t="shared" si="16"/>
        <v>1633.4983067388659</v>
      </c>
      <c r="H101" s="24">
        <f t="shared" si="21"/>
        <v>4</v>
      </c>
      <c r="I101" s="5">
        <f t="shared" si="17"/>
        <v>3.1434323234698973</v>
      </c>
      <c r="J101" s="4"/>
    </row>
    <row r="102" spans="1:10">
      <c r="A102" s="5">
        <f t="shared" si="19"/>
        <v>6.999999999999992</v>
      </c>
      <c r="B102" s="10">
        <f t="shared" si="13"/>
        <v>0.96651199730340354</v>
      </c>
      <c r="C102" s="10">
        <f t="shared" si="20"/>
        <v>5.6316277244683466E-4</v>
      </c>
      <c r="D102" s="12">
        <f t="shared" si="18"/>
        <v>405.29212298509367</v>
      </c>
      <c r="E102" s="10">
        <f t="shared" si="14"/>
        <v>0.51031276107898949</v>
      </c>
      <c r="F102" s="10">
        <f t="shared" si="15"/>
        <v>-0.15112506668715775</v>
      </c>
      <c r="G102" s="12">
        <f t="shared" si="16"/>
        <v>1637.6708741258976</v>
      </c>
      <c r="H102" s="24">
        <f t="shared" si="21"/>
        <v>2</v>
      </c>
      <c r="I102" s="5">
        <f t="shared" si="17"/>
        <v>1.5668787971106382</v>
      </c>
      <c r="J102" s="4"/>
    </row>
    <row r="103" spans="1:10">
      <c r="A103" s="5">
        <f t="shared" si="19"/>
        <v>7.083333333333325</v>
      </c>
      <c r="B103" s="10">
        <f t="shared" si="13"/>
        <v>0.96594382800298861</v>
      </c>
      <c r="C103" s="10">
        <f t="shared" si="20"/>
        <v>5.6816930041492242E-4</v>
      </c>
      <c r="D103" s="12">
        <f t="shared" si="18"/>
        <v>404.28015816072633</v>
      </c>
      <c r="E103" s="10">
        <f t="shared" si="14"/>
        <v>0.51246839044889458</v>
      </c>
      <c r="F103" s="10">
        <f t="shared" si="15"/>
        <v>-0.15289491882907635</v>
      </c>
      <c r="G103" s="12">
        <f t="shared" si="16"/>
        <v>1641.728359726769</v>
      </c>
      <c r="H103" s="24">
        <f t="shared" si="21"/>
        <v>4</v>
      </c>
      <c r="I103" s="5">
        <f t="shared" si="17"/>
        <v>3.1240953884754052</v>
      </c>
      <c r="J103" s="4"/>
    </row>
    <row r="104" spans="1:10">
      <c r="A104" s="5">
        <f t="shared" si="19"/>
        <v>7.1666666666666581</v>
      </c>
      <c r="B104" s="10">
        <f t="shared" si="13"/>
        <v>0.96537060920461726</v>
      </c>
      <c r="C104" s="10">
        <f t="shared" si="20"/>
        <v>5.7321879837135548E-4</v>
      </c>
      <c r="D104" s="12">
        <f t="shared" si="18"/>
        <v>403.27072008866355</v>
      </c>
      <c r="E104" s="10">
        <f t="shared" si="14"/>
        <v>0.51461643674764512</v>
      </c>
      <c r="F104" s="10">
        <f t="shared" si="15"/>
        <v>-0.15464933009439663</v>
      </c>
      <c r="G104" s="12">
        <f t="shared" si="16"/>
        <v>1645.6729463672316</v>
      </c>
      <c r="H104" s="24">
        <f t="shared" si="21"/>
        <v>2</v>
      </c>
      <c r="I104" s="5">
        <f t="shared" si="17"/>
        <v>1.5572228029055113</v>
      </c>
      <c r="J104" s="4"/>
    </row>
    <row r="105" spans="1:10">
      <c r="A105" s="5">
        <f t="shared" si="19"/>
        <v>7.2499999999999911</v>
      </c>
      <c r="B105" s="10">
        <f t="shared" si="13"/>
        <v>0.96479229763012397</v>
      </c>
      <c r="C105" s="10">
        <f t="shared" si="20"/>
        <v>5.783115744932843E-4</v>
      </c>
      <c r="D105" s="12">
        <f t="shared" si="18"/>
        <v>402.26380245991407</v>
      </c>
      <c r="E105" s="10">
        <f t="shared" si="14"/>
        <v>0.51675694486984869</v>
      </c>
      <c r="F105" s="10">
        <f t="shared" si="15"/>
        <v>-0.15638865602196395</v>
      </c>
      <c r="G105" s="12">
        <f t="shared" si="16"/>
        <v>1649.5067589577488</v>
      </c>
      <c r="H105" s="24">
        <f t="shared" si="21"/>
        <v>4</v>
      </c>
      <c r="I105" s="5">
        <f t="shared" si="17"/>
        <v>3.1048081458298462</v>
      </c>
      <c r="J105" s="4"/>
    </row>
    <row r="106" spans="1:10">
      <c r="A106" s="5">
        <f t="shared" si="19"/>
        <v>7.3333333333333242</v>
      </c>
      <c r="B106" s="10">
        <f t="shared" si="13"/>
        <v>0.964208849692198</v>
      </c>
      <c r="C106" s="10">
        <f t="shared" si="20"/>
        <v>5.8344793792597383E-4</v>
      </c>
      <c r="D106" s="12">
        <f t="shared" si="18"/>
        <v>401.25939898123937</v>
      </c>
      <c r="E106" s="10">
        <f t="shared" si="14"/>
        <v>0.51888996088787942</v>
      </c>
      <c r="F106" s="10">
        <f t="shared" si="15"/>
        <v>-0.15811323949845013</v>
      </c>
      <c r="G106" s="12">
        <f t="shared" si="16"/>
        <v>1653.2318666792567</v>
      </c>
      <c r="H106" s="24">
        <f t="shared" si="21"/>
        <v>2</v>
      </c>
      <c r="I106" s="5">
        <f t="shared" si="17"/>
        <v>1.5475914540795341</v>
      </c>
      <c r="J106" s="4"/>
    </row>
    <row r="107" spans="1:10">
      <c r="A107" s="5">
        <f t="shared" si="19"/>
        <v>7.4166666666666572</v>
      </c>
      <c r="B107" s="10">
        <f t="shared" si="13"/>
        <v>0.96362022149344151</v>
      </c>
      <c r="C107" s="10">
        <f t="shared" si="20"/>
        <v>5.8862819875649119E-4</v>
      </c>
      <c r="D107" s="12">
        <f t="shared" si="18"/>
        <v>400.25750337511448</v>
      </c>
      <c r="E107" s="10">
        <f t="shared" si="14"/>
        <v>0.52101553190852812</v>
      </c>
      <c r="F107" s="10">
        <f t="shared" si="15"/>
        <v>-0.15982341135681277</v>
      </c>
      <c r="G107" s="12">
        <f t="shared" si="16"/>
        <v>1656.8502850613015</v>
      </c>
      <c r="H107" s="24">
        <f t="shared" si="21"/>
        <v>4</v>
      </c>
      <c r="I107" s="5">
        <f t="shared" si="17"/>
        <v>3.085569792453918</v>
      </c>
      <c r="J107" s="4"/>
    </row>
    <row r="108" spans="1:10">
      <c r="A108" s="5">
        <f t="shared" si="19"/>
        <v>7.4999999999999902</v>
      </c>
      <c r="B108" s="10">
        <f t="shared" si="13"/>
        <v>0.96302636882545445</v>
      </c>
      <c r="C108" s="10">
        <f t="shared" si="20"/>
        <v>5.9385266798706038E-4</v>
      </c>
      <c r="D108" s="12">
        <f t="shared" si="18"/>
        <v>399.25810937968862</v>
      </c>
      <c r="E108" s="10">
        <f t="shared" si="14"/>
        <v>0.52313370594170383</v>
      </c>
      <c r="F108" s="10">
        <f t="shared" si="15"/>
        <v>-0.16151949093975337</v>
      </c>
      <c r="G108" s="12">
        <f t="shared" si="16"/>
        <v>1660.3639779590546</v>
      </c>
      <c r="H108" s="24">
        <f t="shared" si="21"/>
        <v>2</v>
      </c>
      <c r="I108" s="5">
        <f t="shared" si="17"/>
        <v>1.5379843492001506</v>
      </c>
      <c r="J108" s="4"/>
    </row>
    <row r="109" spans="1:10">
      <c r="A109" s="5">
        <f t="shared" si="19"/>
        <v>7.5833333333333233</v>
      </c>
      <c r="B109" s="10">
        <f t="shared" si="13"/>
        <v>0.96242724716794803</v>
      </c>
      <c r="C109" s="10">
        <f t="shared" si="20"/>
        <v>5.9912165750641844E-4</v>
      </c>
      <c r="D109" s="12">
        <f t="shared" si="18"/>
        <v>398.26121074874612</v>
      </c>
      <c r="E109" s="10">
        <f t="shared" si="14"/>
        <v>0.52524453178015396</v>
      </c>
      <c r="F109" s="10">
        <f t="shared" si="15"/>
        <v>-0.16320178663060836</v>
      </c>
      <c r="G109" s="12">
        <f t="shared" si="16"/>
        <v>1663.7748594352147</v>
      </c>
      <c r="H109" s="24">
        <f t="shared" si="21"/>
        <v>4</v>
      </c>
      <c r="I109" s="5">
        <f t="shared" si="17"/>
        <v>3.0663795257175175</v>
      </c>
      <c r="J109" s="4"/>
    </row>
    <row r="110" spans="1:10">
      <c r="A110" s="5">
        <f t="shared" si="19"/>
        <v>7.6666666666666563</v>
      </c>
      <c r="B110" s="10">
        <f t="shared" si="13"/>
        <v>0.96182281168788741</v>
      </c>
      <c r="C110" s="10">
        <f t="shared" si="20"/>
        <v>6.0443548006061665E-4</v>
      </c>
      <c r="D110" s="12">
        <f t="shared" si="18"/>
        <v>397.26680125166712</v>
      </c>
      <c r="E110" s="10">
        <f t="shared" si="14"/>
        <v>0.52734805888927572</v>
      </c>
      <c r="F110" s="10">
        <f t="shared" si="15"/>
        <v>-0.16487059635389667</v>
      </c>
      <c r="G110" s="12">
        <f t="shared" si="16"/>
        <v>1667.0847955524061</v>
      </c>
      <c r="H110" s="24">
        <f t="shared" si="21"/>
        <v>2</v>
      </c>
      <c r="I110" s="5">
        <f t="shared" si="17"/>
        <v>1.5284010870805265</v>
      </c>
      <c r="J110" s="4"/>
    </row>
    <row r="111" spans="1:10">
      <c r="A111" s="5">
        <f t="shared" si="19"/>
        <v>7.7499999999999893</v>
      </c>
      <c r="B111" s="10">
        <f t="shared" si="13"/>
        <v>0.96121301723866259</v>
      </c>
      <c r="C111" s="10">
        <f t="shared" si="20"/>
        <v>6.0979444922482084E-4</v>
      </c>
      <c r="D111" s="12">
        <f t="shared" si="18"/>
        <v>396.27487467338915</v>
      </c>
      <c r="E111" s="10">
        <f t="shared" si="14"/>
        <v>0.52944433730617069</v>
      </c>
      <c r="F111" s="10">
        <f t="shared" si="15"/>
        <v>-0.16652620804758156</v>
      </c>
      <c r="G111" s="12">
        <f t="shared" si="16"/>
        <v>1670.2956060812739</v>
      </c>
      <c r="H111" s="24">
        <f t="shared" si="21"/>
        <v>4</v>
      </c>
      <c r="I111" s="5">
        <f t="shared" si="17"/>
        <v>3.0472365435254503</v>
      </c>
      <c r="J111" s="4"/>
    </row>
    <row r="112" spans="1:10">
      <c r="A112" s="5">
        <f t="shared" si="19"/>
        <v>7.8333333333333224</v>
      </c>
      <c r="B112" s="10">
        <f t="shared" si="13"/>
        <v>0.96059781835929225</v>
      </c>
      <c r="C112" s="10">
        <f t="shared" si="20"/>
        <v>6.1519887937033779E-4</v>
      </c>
      <c r="D112" s="12">
        <f t="shared" si="18"/>
        <v>395.2854248143679</v>
      </c>
      <c r="E112" s="10">
        <f t="shared" si="14"/>
        <v>0.53153341754717542</v>
      </c>
      <c r="F112" s="10">
        <f t="shared" si="15"/>
        <v>-0.16816890010893515</v>
      </c>
      <c r="G112" s="12">
        <f t="shared" si="16"/>
        <v>1673.4090661291418</v>
      </c>
      <c r="H112" s="24">
        <f t="shared" si="21"/>
        <v>2</v>
      </c>
      <c r="I112" s="5">
        <f t="shared" si="17"/>
        <v>1.5188412668236315</v>
      </c>
      <c r="J112" s="4"/>
    </row>
    <row r="113" spans="1:10">
      <c r="A113" s="5">
        <f t="shared" si="19"/>
        <v>7.9166666666666554</v>
      </c>
      <c r="B113" s="10">
        <f t="shared" si="13"/>
        <v>0.95997716927365717</v>
      </c>
      <c r="C113" s="10">
        <f t="shared" si="20"/>
        <v>6.2064908563508325E-4</v>
      </c>
      <c r="D113" s="12">
        <f t="shared" si="18"/>
        <v>394.29844549053843</v>
      </c>
      <c r="E113" s="10">
        <f t="shared" si="14"/>
        <v>0.53361535052315623</v>
      </c>
      <c r="F113" s="10">
        <f t="shared" si="15"/>
        <v>-0.16979894181576549</v>
      </c>
      <c r="G113" s="12">
        <f t="shared" si="16"/>
        <v>1676.4269076937617</v>
      </c>
      <c r="H113" s="24">
        <f t="shared" si="21"/>
        <v>4</v>
      </c>
      <c r="I113" s="5">
        <f t="shared" si="17"/>
        <v>3.0281400444080839</v>
      </c>
      <c r="J113" s="4"/>
    </row>
    <row r="114" spans="1:10">
      <c r="A114" s="5">
        <f t="shared" si="19"/>
        <v>7.9999999999999885</v>
      </c>
      <c r="B114" s="10">
        <f t="shared" ref="B114:B138" si="22">(B$12^A114)*B$11^((B$5^B$6)*((B$5^A114) - 1))</f>
        <v>0.95935102388976845</v>
      </c>
      <c r="C114" s="10">
        <f t="shared" si="20"/>
        <v>6.2614538388872099E-4</v>
      </c>
      <c r="D114" s="12">
        <f t="shared" si="18"/>
        <v>393.31393053327685</v>
      </c>
      <c r="E114" s="10">
        <f t="shared" si="14"/>
        <v>0.53569018746194175</v>
      </c>
      <c r="F114" s="10">
        <f t="shared" si="15"/>
        <v>-0.17141659372460527</v>
      </c>
      <c r="G114" s="12">
        <f t="shared" si="16"/>
        <v>1679.3508211463675</v>
      </c>
      <c r="H114" s="24">
        <f t="shared" si="21"/>
        <v>2</v>
      </c>
      <c r="I114" s="5">
        <f t="shared" si="17"/>
        <v>1.5093044878688335</v>
      </c>
      <c r="J114" s="4"/>
    </row>
    <row r="115" spans="1:10">
      <c r="A115" s="5">
        <f t="shared" si="19"/>
        <v>8.0833333333333215</v>
      </c>
      <c r="B115" s="10">
        <f t="shared" si="22"/>
        <v>0.95871933579906599</v>
      </c>
      <c r="C115" s="10">
        <f t="shared" si="20"/>
        <v>6.3168809070246468E-4</v>
      </c>
      <c r="D115" s="12">
        <f t="shared" si="18"/>
        <v>392.3318737893614</v>
      </c>
      <c r="E115" s="10">
        <f t="shared" ref="E115:E138" si="23">(LN(1.05/EXP(B$9*A115))+(B$7+(B$8^2)/2)*A115)/(B$8*SQRT(A115))</f>
        <v>0.53775797983729345</v>
      </c>
      <c r="F115" s="10">
        <f t="shared" ref="F115:F138" si="24">E115-0.25*SQRT(A115)</f>
        <v>-0.17302210804737195</v>
      </c>
      <c r="G115" s="12">
        <f t="shared" ref="G115:G137" si="25">(EXP(-B$7*A115)*NORMDIST(-F115,0,1,TRUE)-1.05*EXP(-B$9*A115)*NORMDIST(-E115,0,1,TRUE))*B$10</f>
        <v>1682.1824566479854</v>
      </c>
      <c r="H115" s="24">
        <f t="shared" si="21"/>
        <v>4</v>
      </c>
      <c r="I115" s="5">
        <f t="shared" si="17"/>
        <v>3.0090892276171166</v>
      </c>
      <c r="J115" s="4"/>
    </row>
    <row r="116" spans="1:10">
      <c r="A116" s="5">
        <f t="shared" si="19"/>
        <v>8.1666666666666554</v>
      </c>
      <c r="B116" s="10">
        <f t="shared" si="22"/>
        <v>0.95808205827575588</v>
      </c>
      <c r="C116" s="10">
        <f t="shared" si="20"/>
        <v>6.3727752331010912E-4</v>
      </c>
      <c r="D116" s="12">
        <f t="shared" si="18"/>
        <v>391.35226912093424</v>
      </c>
      <c r="E116" s="10">
        <f t="shared" si="23"/>
        <v>0.53981877930389377</v>
      </c>
      <c r="F116" s="10">
        <f t="shared" si="24"/>
        <v>-0.17461572900786604</v>
      </c>
      <c r="G116" s="12">
        <f t="shared" si="25"/>
        <v>1684.9234255026731</v>
      </c>
      <c r="H116" s="24">
        <f t="shared" si="21"/>
        <v>2</v>
      </c>
      <c r="I116" s="5">
        <f t="shared" si="17"/>
        <v>1.499790350041089</v>
      </c>
      <c r="J116" s="4"/>
    </row>
    <row r="117" spans="1:10">
      <c r="A117" s="5">
        <f t="shared" si="19"/>
        <v>8.2499999999999893</v>
      </c>
      <c r="B117" s="10">
        <f t="shared" si="22"/>
        <v>0.95743914427617893</v>
      </c>
      <c r="C117" s="10">
        <f t="shared" si="20"/>
        <v>6.4291399957694395E-4</v>
      </c>
      <c r="D117" s="12">
        <f t="shared" si="18"/>
        <v>390.37511040546303</v>
      </c>
      <c r="E117" s="10">
        <f t="shared" si="23"/>
        <v>0.54187263763785454</v>
      </c>
      <c r="F117" s="10">
        <f t="shared" si="24"/>
        <v>-0.1761976931793986</v>
      </c>
      <c r="G117" s="12">
        <f t="shared" si="25"/>
        <v>1687.5753014511524</v>
      </c>
      <c r="H117" s="24">
        <f t="shared" si="21"/>
        <v>4</v>
      </c>
      <c r="I117" s="5">
        <f t="shared" si="17"/>
        <v>2.9900832932266033</v>
      </c>
      <c r="J117" s="4"/>
    </row>
    <row r="118" spans="1:10">
      <c r="A118" s="5">
        <f t="shared" si="19"/>
        <v>8.3333333333333233</v>
      </c>
      <c r="B118" s="10">
        <f t="shared" si="22"/>
        <v>0.95679054643821826</v>
      </c>
      <c r="C118" s="10">
        <f t="shared" si="20"/>
        <v>6.4859783796067383E-4</v>
      </c>
      <c r="D118" s="12">
        <f t="shared" si="18"/>
        <v>389.40039153570257</v>
      </c>
      <c r="E118" s="10">
        <f t="shared" si="23"/>
        <v>0.54391960668230732</v>
      </c>
      <c r="F118" s="10">
        <f t="shared" si="24"/>
        <v>-0.1777682298047244</v>
      </c>
      <c r="G118" s="12">
        <f t="shared" si="25"/>
        <v>1690.1396219080307</v>
      </c>
      <c r="H118" s="24">
        <f t="shared" si="21"/>
        <v>2</v>
      </c>
      <c r="I118" s="5">
        <f t="shared" si="17"/>
        <v>1.4902984536028039</v>
      </c>
      <c r="J118" s="4"/>
    </row>
    <row r="119" spans="1:10">
      <c r="A119" s="5">
        <f t="shared" si="19"/>
        <v>8.4166666666666572</v>
      </c>
      <c r="B119" s="10">
        <f t="shared" si="22"/>
        <v>0.95613621708074437</v>
      </c>
      <c r="C119" s="10">
        <f t="shared" si="20"/>
        <v>6.5432935747389287E-4</v>
      </c>
      <c r="D119" s="12">
        <f t="shared" si="18"/>
        <v>388.42810641965679</v>
      </c>
      <c r="E119" s="10">
        <f t="shared" si="23"/>
        <v>0.5459597382976622</v>
      </c>
      <c r="F119" s="10">
        <f t="shared" si="24"/>
        <v>-0.17932756109938786</v>
      </c>
      <c r="G119" s="12">
        <f t="shared" si="25"/>
        <v>1692.6178891456507</v>
      </c>
      <c r="H119" s="24">
        <f t="shared" si="21"/>
        <v>4</v>
      </c>
      <c r="I119" s="5">
        <f t="shared" si="17"/>
        <v>2.9711214422394194</v>
      </c>
      <c r="J119" s="4"/>
    </row>
    <row r="120" spans="1:10">
      <c r="A120" s="5">
        <f t="shared" si="19"/>
        <v>8.4999999999999911</v>
      </c>
      <c r="B120" s="10">
        <f t="shared" si="22"/>
        <v>0.9554761082030977</v>
      </c>
      <c r="C120" s="10">
        <f t="shared" si="20"/>
        <v>6.6010887764667014E-4</v>
      </c>
      <c r="D120" s="12">
        <f t="shared" si="18"/>
        <v>387.45824898054053</v>
      </c>
      <c r="E120" s="10">
        <f t="shared" si="23"/>
        <v>0.54799308431616367</v>
      </c>
      <c r="F120" s="10">
        <f t="shared" si="24"/>
        <v>-0.18087590253949848</v>
      </c>
      <c r="G120" s="12">
        <f t="shared" si="25"/>
        <v>1695.0115714273961</v>
      </c>
      <c r="H120" s="24">
        <f t="shared" si="21"/>
        <v>2</v>
      </c>
      <c r="I120" s="5">
        <f t="shared" si="17"/>
        <v>1.480828399308455</v>
      </c>
      <c r="J120" s="4"/>
    </row>
    <row r="121" spans="1:10">
      <c r="A121" s="5">
        <f t="shared" si="19"/>
        <v>8.583333333333325</v>
      </c>
      <c r="B121" s="10">
        <f t="shared" si="22"/>
        <v>0.95481017148461134</v>
      </c>
      <c r="C121" s="10">
        <f t="shared" si="20"/>
        <v>6.659367184863596E-4</v>
      </c>
      <c r="D121" s="12">
        <f t="shared" si="18"/>
        <v>386.49081315674169</v>
      </c>
      <c r="E121" s="10">
        <f t="shared" si="23"/>
        <v>0.55001969650040161</v>
      </c>
      <c r="F121" s="10">
        <f t="shared" si="24"/>
        <v>-0.18241346313488749</v>
      </c>
      <c r="G121" s="12">
        <f t="shared" si="25"/>
        <v>1697.3221040930787</v>
      </c>
      <c r="H121" s="24">
        <f t="shared" si="21"/>
        <v>4</v>
      </c>
      <c r="I121" s="5">
        <f t="shared" si="17"/>
        <v>2.9522028766993236</v>
      </c>
      <c r="J121" s="4"/>
    </row>
    <row r="122" spans="1:10">
      <c r="A122" s="5">
        <f t="shared" si="19"/>
        <v>8.666666666666659</v>
      </c>
      <c r="B122" s="10">
        <f t="shared" si="22"/>
        <v>0.95413835828417504</v>
      </c>
      <c r="C122" s="10">
        <f t="shared" si="20"/>
        <v>6.7181320043629977E-4</v>
      </c>
      <c r="D122" s="12">
        <f t="shared" si="18"/>
        <v>385.52579290178323</v>
      </c>
      <c r="E122" s="10">
        <f t="shared" si="23"/>
        <v>0.55203962650546234</v>
      </c>
      <c r="F122" s="10">
        <f t="shared" si="24"/>
        <v>-0.18394044568852452</v>
      </c>
      <c r="G122" s="12">
        <f t="shared" si="25"/>
        <v>1699.5508905989234</v>
      </c>
      <c r="H122" s="24">
        <f t="shared" si="21"/>
        <v>2</v>
      </c>
      <c r="I122" s="5">
        <f t="shared" si="17"/>
        <v>1.4713797884620492</v>
      </c>
      <c r="J122" s="4"/>
    </row>
    <row r="123" spans="1:10">
      <c r="A123" s="5">
        <f t="shared" si="19"/>
        <v>8.7499999999999929</v>
      </c>
      <c r="B123" s="10">
        <f t="shared" si="22"/>
        <v>0.95346061963984052</v>
      </c>
      <c r="C123" s="10">
        <f t="shared" si="20"/>
        <v>6.7773864433451347E-4</v>
      </c>
      <c r="D123" s="12">
        <f t="shared" si="18"/>
        <v>384.56318218428532</v>
      </c>
      <c r="E123" s="10">
        <f t="shared" si="23"/>
        <v>0.55405292584443544</v>
      </c>
      <c r="F123" s="10">
        <f t="shared" si="24"/>
        <v>-0.18545704704301624</v>
      </c>
      <c r="G123" s="12">
        <f t="shared" si="25"/>
        <v>1701.6993035144774</v>
      </c>
      <c r="H123" s="24">
        <f t="shared" si="21"/>
        <v>4</v>
      </c>
      <c r="I123" s="5">
        <f t="shared" si="17"/>
        <v>2.9333267998087806</v>
      </c>
      <c r="J123" s="4"/>
    </row>
    <row r="124" spans="1:10">
      <c r="A124" s="5">
        <f t="shared" si="19"/>
        <v>8.8333333333333268</v>
      </c>
      <c r="B124" s="10">
        <f t="shared" si="22"/>
        <v>0.95277690626846934</v>
      </c>
      <c r="C124" s="10">
        <f t="shared" si="20"/>
        <v>6.8371337137118626E-4</v>
      </c>
      <c r="D124" s="12">
        <f t="shared" si="18"/>
        <v>383.60297498792795</v>
      </c>
      <c r="E124" s="10">
        <f t="shared" si="23"/>
        <v>0.55605964585700518</v>
      </c>
      <c r="F124" s="10">
        <f t="shared" si="24"/>
        <v>-0.1869634583149532</v>
      </c>
      <c r="G124" s="12">
        <f t="shared" si="25"/>
        <v>1703.76868547862</v>
      </c>
      <c r="H124" s="24">
        <f t="shared" si="21"/>
        <v>2</v>
      </c>
      <c r="I124" s="5">
        <f t="shared" si="17"/>
        <v>1.4619522229775161</v>
      </c>
      <c r="J124" s="4"/>
    </row>
    <row r="125" spans="1:10">
      <c r="A125" s="5">
        <f t="shared" si="19"/>
        <v>8.9166666666666607</v>
      </c>
      <c r="B125" s="10">
        <f t="shared" si="22"/>
        <v>0.95208716856542597</v>
      </c>
      <c r="C125" s="10">
        <f t="shared" si="20"/>
        <v>6.8973770304336934E-4</v>
      </c>
      <c r="D125" s="12">
        <f t="shared" si="18"/>
        <v>382.64516531141288</v>
      </c>
      <c r="E125" s="10">
        <f t="shared" si="23"/>
        <v>0.55805983768089062</v>
      </c>
      <c r="F125" s="10">
        <f t="shared" si="24"/>
        <v>-0.18845986511781398</v>
      </c>
      <c r="G125" s="12">
        <f t="shared" si="25"/>
        <v>1705.7603501167603</v>
      </c>
      <c r="H125" s="24">
        <f t="shared" si="21"/>
        <v>4</v>
      </c>
      <c r="I125" s="5">
        <f t="shared" si="17"/>
        <v>2.9144924160527399</v>
      </c>
      <c r="J125" s="4"/>
    </row>
    <row r="126" spans="1:10">
      <c r="A126" s="5">
        <f t="shared" si="19"/>
        <v>8.9999999999999947</v>
      </c>
      <c r="B126" s="10">
        <f t="shared" si="22"/>
        <v>0.95139135660431551</v>
      </c>
      <c r="C126" s="10">
        <f t="shared" si="20"/>
        <v>6.9581196111045962E-4</v>
      </c>
      <c r="D126" s="12">
        <f t="shared" si="18"/>
        <v>381.68974716842661</v>
      </c>
      <c r="E126" s="10">
        <f t="shared" si="23"/>
        <v>0.56005355222590936</v>
      </c>
      <c r="F126" s="10">
        <f t="shared" si="24"/>
        <v>-0.18994644777409042</v>
      </c>
      <c r="G126" s="12">
        <f t="shared" si="25"/>
        <v>1707.6755829211434</v>
      </c>
      <c r="H126" s="24">
        <f t="shared" si="21"/>
        <v>2</v>
      </c>
      <c r="I126" s="5">
        <f t="shared" si="17"/>
        <v>1.4525453054421105</v>
      </c>
      <c r="J126" s="4"/>
    </row>
    <row r="127" spans="1:10">
      <c r="A127" s="5">
        <f t="shared" si="19"/>
        <v>9.0833333333333286</v>
      </c>
      <c r="B127" s="10">
        <f t="shared" si="22"/>
        <v>0.95068942013676783</v>
      </c>
      <c r="C127" s="10">
        <f t="shared" si="20"/>
        <v>7.0193646754768135E-4</v>
      </c>
      <c r="D127" s="12">
        <f t="shared" si="18"/>
        <v>380.73671458760271</v>
      </c>
      <c r="E127" s="10">
        <f t="shared" si="23"/>
        <v>0.56204084015045719</v>
      </c>
      <c r="F127" s="10">
        <f t="shared" si="24"/>
        <v>-0.19142338151725613</v>
      </c>
      <c r="G127" s="12">
        <f t="shared" si="25"/>
        <v>1709.5156420960927</v>
      </c>
      <c r="H127" s="24">
        <f t="shared" si="21"/>
        <v>4</v>
      </c>
      <c r="I127" s="5">
        <f t="shared" si="17"/>
        <v>2.8956989313285288</v>
      </c>
      <c r="J127" s="4"/>
    </row>
    <row r="128" spans="1:10">
      <c r="A128" s="5">
        <f t="shared" si="19"/>
        <v>9.1666666666666625</v>
      </c>
      <c r="B128" s="10">
        <f t="shared" si="22"/>
        <v>0.9499813085922697</v>
      </c>
      <c r="C128" s="10">
        <f t="shared" si="20"/>
        <v>7.0811154449812452E-4</v>
      </c>
      <c r="D128" s="12">
        <f t="shared" si="18"/>
        <v>379.78606161248427</v>
      </c>
      <c r="E128" s="10">
        <f t="shared" si="23"/>
        <v>0.56402175184021941</v>
      </c>
      <c r="F128" s="10">
        <f t="shared" si="24"/>
        <v>-0.1928908366841533</v>
      </c>
      <c r="G128" s="12">
        <f t="shared" si="25"/>
        <v>1711.2817593699194</v>
      </c>
      <c r="H128" s="24">
        <f t="shared" si="21"/>
        <v>2</v>
      </c>
      <c r="I128" s="5">
        <f t="shared" si="17"/>
        <v>1.4431586391829287</v>
      </c>
      <c r="J128" s="4"/>
    </row>
    <row r="129" spans="1:10">
      <c r="A129" s="5">
        <f t="shared" si="19"/>
        <v>9.2499999999999964</v>
      </c>
      <c r="B129" s="10">
        <f t="shared" si="22"/>
        <v>0.94926697107804558</v>
      </c>
      <c r="C129" s="10">
        <f t="shared" si="20"/>
        <v>7.1433751422411706E-4</v>
      </c>
      <c r="D129" s="12">
        <f t="shared" si="18"/>
        <v>378.83778230148721</v>
      </c>
      <c r="E129" s="10">
        <f t="shared" si="23"/>
        <v>0.56599633738893718</v>
      </c>
      <c r="F129" s="10">
        <f t="shared" si="24"/>
        <v>-0.19434897889834013</v>
      </c>
      <c r="G129" s="12">
        <f t="shared" si="25"/>
        <v>1712.9751407750944</v>
      </c>
      <c r="H129" s="24">
        <f t="shared" si="21"/>
        <v>4</v>
      </c>
      <c r="I129" s="5">
        <f t="shared" si="17"/>
        <v>2.8769455530820545</v>
      </c>
      <c r="J129" s="4"/>
    </row>
    <row r="130" spans="1:10">
      <c r="A130" s="5">
        <f t="shared" si="19"/>
        <v>9.3333333333333304</v>
      </c>
      <c r="B130" s="10">
        <f t="shared" si="22"/>
        <v>0.94854635637898888</v>
      </c>
      <c r="C130" s="10">
        <f t="shared" si="20"/>
        <v>7.2061469905670972E-4</v>
      </c>
      <c r="D130" s="12">
        <f t="shared" si="18"/>
        <v>377.89187072786279</v>
      </c>
      <c r="E130" s="10">
        <f t="shared" si="23"/>
        <v>0.56796464658106927</v>
      </c>
      <c r="F130" s="10">
        <f t="shared" si="24"/>
        <v>-0.195797969244904</v>
      </c>
      <c r="G130" s="12">
        <f t="shared" si="25"/>
        <v>1714.5969673982333</v>
      </c>
      <c r="H130" s="24">
        <f t="shared" si="21"/>
        <v>2</v>
      </c>
      <c r="I130" s="5">
        <f t="shared" si="17"/>
        <v>1.4337918283366164</v>
      </c>
      <c r="J130" s="4"/>
    </row>
    <row r="131" spans="1:10">
      <c r="A131" s="5">
        <f t="shared" si="19"/>
        <v>9.4166666666666643</v>
      </c>
      <c r="B131" s="10">
        <f t="shared" si="22"/>
        <v>0.94781941295764438</v>
      </c>
      <c r="C131" s="10">
        <f t="shared" si="20"/>
        <v>7.2694342134449474E-4</v>
      </c>
      <c r="D131" s="12">
        <f t="shared" si="18"/>
        <v>376.94832097966048</v>
      </c>
      <c r="E131" s="10">
        <f t="shared" si="23"/>
        <v>0.56992672887620521</v>
      </c>
      <c r="F131" s="10">
        <f t="shared" si="24"/>
        <v>-0.19723796443721009</v>
      </c>
      <c r="G131" s="12">
        <f t="shared" si="25"/>
        <v>1716.1483961013196</v>
      </c>
      <c r="H131" s="24">
        <f t="shared" si="21"/>
        <v>4</v>
      </c>
      <c r="I131" s="5">
        <f t="shared" si="17"/>
        <v>2.8582314904504917</v>
      </c>
      <c r="J131" s="4"/>
    </row>
    <row r="132" spans="1:10">
      <c r="A132" s="5">
        <f t="shared" si="19"/>
        <v>9.4999999999999982</v>
      </c>
      <c r="B132" s="10">
        <f t="shared" si="22"/>
        <v>0.94708608895424362</v>
      </c>
      <c r="C132" s="10">
        <f t="shared" si="20"/>
        <v>7.3332400340075932E-4</v>
      </c>
      <c r="D132" s="12">
        <f t="shared" si="18"/>
        <v>376.00712715969138</v>
      </c>
      <c r="E132" s="10">
        <f t="shared" si="23"/>
        <v>0.57188263339508838</v>
      </c>
      <c r="F132" s="10">
        <f t="shared" si="24"/>
        <v>-0.19866911697603362</v>
      </c>
      <c r="G132" s="12">
        <f t="shared" si="25"/>
        <v>1717.6305602155162</v>
      </c>
      <c r="H132" s="24">
        <f t="shared" si="21"/>
        <v>2</v>
      </c>
      <c r="I132" s="5">
        <f t="shared" si="17"/>
        <v>1.4244444779223722</v>
      </c>
      <c r="J132" s="4"/>
    </row>
    <row r="133" spans="1:10">
      <c r="A133" s="5">
        <f t="shared" si="19"/>
        <v>9.5833333333333321</v>
      </c>
      <c r="B133" s="10">
        <f t="shared" si="22"/>
        <v>0.94634633218679431</v>
      </c>
      <c r="C133" s="10">
        <f t="shared" si="20"/>
        <v>7.3975676744930663E-4</v>
      </c>
      <c r="D133" s="12">
        <f t="shared" si="18"/>
        <v>375.06828338549093</v>
      </c>
      <c r="E133" s="10">
        <f t="shared" si="23"/>
        <v>0.57383240890713016</v>
      </c>
      <c r="F133" s="10">
        <f t="shared" si="24"/>
        <v>-0.20009157530148269</v>
      </c>
      <c r="G133" s="12">
        <f t="shared" si="25"/>
        <v>1719.0445702088803</v>
      </c>
      <c r="H133" s="24">
        <f t="shared" si="21"/>
        <v>4</v>
      </c>
      <c r="I133" s="5">
        <f t="shared" si="17"/>
        <v>2.8395559544116518</v>
      </c>
      <c r="J133" s="4"/>
    </row>
    <row r="134" spans="1:10">
      <c r="A134" s="5">
        <f t="shared" si="19"/>
        <v>9.6666666666666661</v>
      </c>
      <c r="B134" s="10">
        <f t="shared" si="22"/>
        <v>0.94560009015122437</v>
      </c>
      <c r="C134" s="10">
        <f t="shared" si="20"/>
        <v>7.4624203556994395E-4</v>
      </c>
      <c r="D134" s="12">
        <f t="shared" si="18"/>
        <v>374.13178378928262</v>
      </c>
      <c r="E134" s="10">
        <f t="shared" si="23"/>
        <v>0.57577610381929523</v>
      </c>
      <c r="F134" s="10">
        <f t="shared" si="24"/>
        <v>-0.20150548393810597</v>
      </c>
      <c r="G134" s="12">
        <f t="shared" si="25"/>
        <v>1720.3915143291511</v>
      </c>
      <c r="H134" s="24">
        <f t="shared" si="21"/>
        <v>2</v>
      </c>
      <c r="I134" s="5">
        <f t="shared" si="17"/>
        <v>1.4151161939183361</v>
      </c>
      <c r="J134" s="4"/>
    </row>
    <row r="135" spans="1:10">
      <c r="A135" s="5">
        <f t="shared" si="19"/>
        <v>9.75</v>
      </c>
      <c r="B135" s="10">
        <f t="shared" si="22"/>
        <v>0.94484731002158462</v>
      </c>
      <c r="C135" s="10">
        <f t="shared" si="20"/>
        <v>7.5278012963975183E-4</v>
      </c>
      <c r="D135" s="12">
        <f t="shared" si="18"/>
        <v>373.19762251794089</v>
      </c>
      <c r="E135" s="10">
        <f t="shared" si="23"/>
        <v>0.57771376616625414</v>
      </c>
      <c r="F135" s="10">
        <f t="shared" si="24"/>
        <v>-0.20291098363354565</v>
      </c>
      <c r="G135" s="12">
        <f t="shared" si="25"/>
        <v>1721.6724592227872</v>
      </c>
      <c r="H135" s="24">
        <f t="shared" si="21"/>
        <v>4</v>
      </c>
      <c r="I135" s="5">
        <f t="shared" si="17"/>
        <v>2.8209181579402176</v>
      </c>
      <c r="J135" s="4"/>
    </row>
    <row r="136" spans="1:10">
      <c r="A136" s="5">
        <f t="shared" si="19"/>
        <v>9.8333333333333339</v>
      </c>
      <c r="B136" s="10">
        <f t="shared" si="22"/>
        <v>0.94408793865030738</v>
      </c>
      <c r="C136" s="10">
        <f t="shared" si="20"/>
        <v>7.5937137127723986E-4</v>
      </c>
      <c r="D136" s="12">
        <f t="shared" si="18"/>
        <v>372.26579373295471</v>
      </c>
      <c r="E136" s="10">
        <f t="shared" si="23"/>
        <v>0.57964544360170278</v>
      </c>
      <c r="F136" s="10">
        <f t="shared" si="24"/>
        <v>-0.20430821149107969</v>
      </c>
      <c r="G136" s="12">
        <f t="shared" si="25"/>
        <v>1722.8884505313233</v>
      </c>
      <c r="H136" s="24">
        <f t="shared" si="21"/>
        <v>2</v>
      </c>
      <c r="I136" s="5">
        <f t="shared" si="17"/>
        <v>1.4058065833414628</v>
      </c>
      <c r="J136" s="4"/>
    </row>
    <row r="137" spans="1:10">
      <c r="A137" s="5">
        <f t="shared" si="19"/>
        <v>9.9166666666666679</v>
      </c>
      <c r="B137" s="10">
        <f t="shared" si="22"/>
        <v>0.94332192256852576</v>
      </c>
      <c r="C137" s="10">
        <f t="shared" si="20"/>
        <v>7.6601608178161751E-4</v>
      </c>
      <c r="D137" s="12">
        <f t="shared" si="18"/>
        <v>371.33629161039113</v>
      </c>
      <c r="E137" s="10">
        <f t="shared" si="23"/>
        <v>0.5815711833907603</v>
      </c>
      <c r="F137" s="10">
        <f t="shared" si="24"/>
        <v>-0.20569730109637241</v>
      </c>
      <c r="G137" s="12">
        <f t="shared" si="25"/>
        <v>1724.0405134660718</v>
      </c>
      <c r="H137" s="24">
        <f t="shared" si="21"/>
        <v>4</v>
      </c>
      <c r="I137" s="5">
        <f t="shared" si="17"/>
        <v>2.8023173161710471</v>
      </c>
      <c r="J137" s="4"/>
    </row>
    <row r="138" spans="1:10">
      <c r="A138" s="5">
        <f t="shared" si="19"/>
        <v>10.000000000000002</v>
      </c>
      <c r="B138" s="10">
        <f t="shared" si="22"/>
        <v>0.94254920798645458</v>
      </c>
      <c r="C138" s="10">
        <f t="shared" si="20"/>
        <v>7.7271458207117671E-4</v>
      </c>
      <c r="D138" s="12">
        <f t="shared" si="18"/>
        <v>370.40911034085894</v>
      </c>
      <c r="E138" s="10">
        <f t="shared" si="23"/>
        <v>0.58349103240335998</v>
      </c>
      <c r="F138" s="10">
        <f t="shared" si="24"/>
        <v>-0.2070783826387349</v>
      </c>
      <c r="G138" s="12">
        <f>(EXP(-0.04*A138)*NORMDIST(-F138,0,1,TRUE)-1.05*EXP(-0.03*A138)*NORMDIST(-E138,0,1,TRUE))*10000</f>
        <v>1725.1296533621417</v>
      </c>
      <c r="H138" s="24">
        <v>1</v>
      </c>
      <c r="I138" s="5">
        <f t="shared" si="17"/>
        <v>0.69825762716548767</v>
      </c>
      <c r="J138" s="4"/>
    </row>
    <row r="139" spans="1:10">
      <c r="A139" s="5"/>
      <c r="B139" s="5"/>
      <c r="C139" s="5"/>
      <c r="D139" s="5"/>
      <c r="E139" s="4"/>
      <c r="F139" s="4"/>
      <c r="G139" s="12"/>
      <c r="H139" s="338"/>
      <c r="I139" s="162">
        <f>SUM(I18:I138)/36</f>
        <v>8.4464957460283401</v>
      </c>
      <c r="J139" s="338"/>
    </row>
    <row r="140" spans="1:10">
      <c r="G140" s="82"/>
    </row>
    <row r="141" spans="1:10">
      <c r="G141" s="82"/>
    </row>
    <row r="142" spans="1:10">
      <c r="G142" s="82"/>
    </row>
    <row r="143" spans="1:10">
      <c r="G143" s="82"/>
    </row>
    <row r="144" spans="1:10">
      <c r="G144" s="82"/>
    </row>
    <row r="145" spans="7:7">
      <c r="G145" s="82"/>
    </row>
    <row r="146" spans="7:7">
      <c r="G146" s="82"/>
    </row>
    <row r="147" spans="7:7">
      <c r="G147" s="82"/>
    </row>
    <row r="148" spans="7:7">
      <c r="G148" s="82"/>
    </row>
    <row r="149" spans="7:7">
      <c r="G149" s="82"/>
    </row>
    <row r="150" spans="7:7">
      <c r="G150" s="82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="125" zoomScaleNormal="125" zoomScalePageLayoutView="125" workbookViewId="0"/>
  </sheetViews>
  <sheetFormatPr baseColWidth="10" defaultRowHeight="12" x14ac:dyDescent="0"/>
  <sheetData>
    <row r="1" spans="1:5" ht="15">
      <c r="A1" s="70" t="s">
        <v>756</v>
      </c>
      <c r="C1" s="3"/>
      <c r="D1" s="3"/>
      <c r="E1" s="3"/>
    </row>
    <row r="2" spans="1:5">
      <c r="C2" s="3"/>
      <c r="D2" s="3"/>
      <c r="E2" s="3"/>
    </row>
    <row r="3" spans="1:5">
      <c r="A3" s="52" t="s">
        <v>9</v>
      </c>
      <c r="B3" s="51">
        <v>2.2000000000000001E-4</v>
      </c>
      <c r="C3" s="3"/>
      <c r="D3" s="3"/>
      <c r="E3" s="3"/>
    </row>
    <row r="4" spans="1:5">
      <c r="A4" s="52" t="s">
        <v>10</v>
      </c>
      <c r="B4" s="51">
        <f>2.7/1000000</f>
        <v>2.7E-6</v>
      </c>
      <c r="C4" s="3"/>
      <c r="D4" s="3"/>
      <c r="E4" s="3"/>
    </row>
    <row r="5" spans="1:5">
      <c r="A5" s="52" t="s">
        <v>24</v>
      </c>
      <c r="B5" s="51">
        <v>1.1240000000000001</v>
      </c>
      <c r="C5" s="3"/>
      <c r="D5" s="3"/>
      <c r="E5" s="3"/>
    </row>
    <row r="6" spans="1:5">
      <c r="A6" s="52" t="s">
        <v>74</v>
      </c>
      <c r="B6" s="61">
        <v>0.05</v>
      </c>
      <c r="C6" s="3"/>
      <c r="D6" s="3"/>
      <c r="E6" s="3"/>
    </row>
    <row r="7" spans="1:5">
      <c r="A7" s="9" t="s">
        <v>25</v>
      </c>
      <c r="B7" s="18">
        <f>EXP(-B4/LN(B5))</f>
        <v>0.99997690236831238</v>
      </c>
      <c r="C7" s="3"/>
      <c r="D7" s="3"/>
      <c r="E7" s="3"/>
    </row>
    <row r="8" spans="1:5">
      <c r="A8" s="9" t="s">
        <v>27</v>
      </c>
      <c r="B8" s="18">
        <f>EXP(-B3)</f>
        <v>0.99978002419822543</v>
      </c>
      <c r="C8" s="3"/>
      <c r="D8" s="3"/>
      <c r="E8" s="3"/>
    </row>
    <row r="9" spans="1:5">
      <c r="B9" s="14"/>
      <c r="C9" s="3"/>
      <c r="D9" s="3"/>
      <c r="E9" s="3"/>
    </row>
    <row r="10" spans="1:5">
      <c r="A10" s="3" t="s">
        <v>0</v>
      </c>
      <c r="B10" s="7" t="s">
        <v>13</v>
      </c>
      <c r="C10" s="62" t="s">
        <v>149</v>
      </c>
      <c r="D10" s="3" t="s">
        <v>35</v>
      </c>
      <c r="E10" s="3" t="s">
        <v>23</v>
      </c>
    </row>
    <row r="11" spans="1:5">
      <c r="A11" s="3">
        <v>0</v>
      </c>
      <c r="B11" s="10">
        <f t="shared" ref="B11:B42" si="0">(B$8^A11)*(B$7^((B$5^30)*(B$5^A11-1)))</f>
        <v>1</v>
      </c>
      <c r="C11" s="10">
        <f>(1+$B$6)^(-(A11+1))</f>
        <v>0.95238095238095233</v>
      </c>
      <c r="D11" s="3">
        <f>1.03^A11</f>
        <v>1</v>
      </c>
      <c r="E11" s="10">
        <f>(B11-B12)*C11*D11</f>
        <v>3.0042463296261107E-4</v>
      </c>
    </row>
    <row r="12" spans="1:5">
      <c r="A12" s="3">
        <v>1</v>
      </c>
      <c r="B12" s="10">
        <f t="shared" si="0"/>
        <v>0.99968455413538926</v>
      </c>
      <c r="C12" s="10">
        <f t="shared" ref="C12:C75" si="1">(1+$B$6)^(-(A12+1))</f>
        <v>0.90702947845804982</v>
      </c>
      <c r="D12" s="10">
        <f>1.03^A12</f>
        <v>1.03</v>
      </c>
      <c r="E12" s="10">
        <f>(B12-B13)*C12*D12</f>
        <v>3.0566502053932463E-4</v>
      </c>
    </row>
    <row r="13" spans="1:5">
      <c r="A13" s="3">
        <v>2</v>
      </c>
      <c r="B13" s="10">
        <f t="shared" si="0"/>
        <v>0.99935737385854984</v>
      </c>
      <c r="C13" s="10">
        <f t="shared" si="1"/>
        <v>0.86383759853147601</v>
      </c>
      <c r="D13" s="10">
        <f t="shared" ref="D13:D76" si="2">1.03^A13</f>
        <v>1.0609</v>
      </c>
      <c r="E13" s="10">
        <f t="shared" ref="E13:E76" si="3">(B13-B14)*C13*D13</f>
        <v>3.1193048939750909E-4</v>
      </c>
    </row>
    <row r="14" spans="1:5">
      <c r="A14" s="3">
        <v>3</v>
      </c>
      <c r="B14" s="10">
        <f t="shared" si="0"/>
        <v>0.99901700385874892</v>
      </c>
      <c r="C14" s="10">
        <f t="shared" si="1"/>
        <v>0.82270247479188197</v>
      </c>
      <c r="D14" s="10">
        <f t="shared" si="2"/>
        <v>1.092727</v>
      </c>
      <c r="E14" s="10">
        <f t="shared" si="3"/>
        <v>3.1931591353342819E-4</v>
      </c>
    </row>
    <row r="15" spans="1:5">
      <c r="A15" s="3">
        <v>4</v>
      </c>
      <c r="B15" s="10">
        <f t="shared" si="0"/>
        <v>0.99866180947934369</v>
      </c>
      <c r="C15" s="10">
        <f t="shared" si="1"/>
        <v>0.78352616646845896</v>
      </c>
      <c r="D15" s="10">
        <f t="shared" si="2"/>
        <v>1.1255088099999999</v>
      </c>
      <c r="E15" s="10">
        <f t="shared" si="3"/>
        <v>3.2792592106001094E-4</v>
      </c>
    </row>
    <row r="16" spans="1:5">
      <c r="A16" s="3">
        <v>5</v>
      </c>
      <c r="B16" s="10">
        <f t="shared" si="0"/>
        <v>0.99828995472068149</v>
      </c>
      <c r="C16" s="10">
        <f t="shared" si="1"/>
        <v>0.74621539663662761</v>
      </c>
      <c r="D16" s="10">
        <f t="shared" si="2"/>
        <v>1.1592740742999998</v>
      </c>
      <c r="E16" s="10">
        <f t="shared" si="3"/>
        <v>3.3787585603115982E-4</v>
      </c>
    </row>
    <row r="17" spans="1:5">
      <c r="A17" s="3">
        <v>6</v>
      </c>
      <c r="B17" s="10">
        <f t="shared" si="0"/>
        <v>0.99789937757263891</v>
      </c>
      <c r="C17" s="10">
        <f t="shared" si="1"/>
        <v>0.71068133013012147</v>
      </c>
      <c r="D17" s="10">
        <f t="shared" si="2"/>
        <v>1.1940522965289999</v>
      </c>
      <c r="E17" s="10">
        <f t="shared" si="3"/>
        <v>3.4929283092640707E-4</v>
      </c>
    </row>
    <row r="18" spans="1:5">
      <c r="A18" s="3">
        <v>7</v>
      </c>
      <c r="B18" s="10">
        <f t="shared" si="0"/>
        <v>0.99748776235992498</v>
      </c>
      <c r="C18" s="10">
        <f t="shared" si="1"/>
        <v>0.67683936202868722</v>
      </c>
      <c r="D18" s="10">
        <f t="shared" si="2"/>
        <v>1.22987386542487</v>
      </c>
      <c r="E18" s="10">
        <f t="shared" si="3"/>
        <v>3.6231687720199123E-4</v>
      </c>
    </row>
    <row r="19" spans="1:5">
      <c r="A19" s="3">
        <v>8</v>
      </c>
      <c r="B19" s="10">
        <f t="shared" si="0"/>
        <v>0.99705250874762563</v>
      </c>
      <c r="C19" s="10">
        <f t="shared" si="1"/>
        <v>0.64460891621779726</v>
      </c>
      <c r="D19" s="10">
        <f t="shared" si="2"/>
        <v>1.2667700813876159</v>
      </c>
      <c r="E19" s="10">
        <f t="shared" si="3"/>
        <v>3.7710220165092272E-4</v>
      </c>
    </row>
    <row r="20" spans="1:5">
      <c r="A20" s="3">
        <v>9</v>
      </c>
      <c r="B20" s="10">
        <f t="shared" si="0"/>
        <v>0.996590697015312</v>
      </c>
      <c r="C20" s="10">
        <f t="shared" si="1"/>
        <v>0.61391325354075932</v>
      </c>
      <c r="D20" s="10">
        <f t="shared" si="2"/>
        <v>1.3047731838292445</v>
      </c>
      <c r="E20" s="10">
        <f t="shared" si="3"/>
        <v>3.9381855653658314E-4</v>
      </c>
    </row>
    <row r="21" spans="1:5">
      <c r="A21" s="3">
        <v>10</v>
      </c>
      <c r="B21" s="10">
        <f t="shared" si="0"/>
        <v>0.99609904916523506</v>
      </c>
      <c r="C21" s="10">
        <f t="shared" si="1"/>
        <v>0.5846792890864374</v>
      </c>
      <c r="D21" s="10">
        <f t="shared" si="2"/>
        <v>1.3439163793441218</v>
      </c>
      <c r="E21" s="10">
        <f t="shared" si="3"/>
        <v>4.1265273163898389E-4</v>
      </c>
    </row>
    <row r="22" spans="1:5">
      <c r="A22" s="3">
        <v>11</v>
      </c>
      <c r="B22" s="10">
        <f t="shared" si="0"/>
        <v>0.99557388538346703</v>
      </c>
      <c r="C22" s="10">
        <f t="shared" si="1"/>
        <v>0.5568374181775595</v>
      </c>
      <c r="D22" s="10">
        <f t="shared" si="2"/>
        <v>1.3842338707244455</v>
      </c>
      <c r="E22" s="10">
        <f t="shared" si="3"/>
        <v>4.3381017632703779E-4</v>
      </c>
    </row>
    <row r="23" spans="1:5">
      <c r="A23" s="3">
        <v>12</v>
      </c>
      <c r="B23" s="10">
        <f t="shared" si="0"/>
        <v>0.9950110753223016</v>
      </c>
      <c r="C23" s="10">
        <f t="shared" si="1"/>
        <v>0.53032135064529462</v>
      </c>
      <c r="D23" s="10">
        <f t="shared" si="2"/>
        <v>1.4257608868461786</v>
      </c>
      <c r="E23" s="10">
        <f t="shared" si="3"/>
        <v>4.5751675960564888E-4</v>
      </c>
    </row>
    <row r="24" spans="1:5">
      <c r="A24" s="3">
        <v>13</v>
      </c>
      <c r="B24" s="10">
        <f t="shared" si="0"/>
        <v>0.99440598361771904</v>
      </c>
      <c r="C24" s="10">
        <f t="shared" si="1"/>
        <v>0.50506795299551888</v>
      </c>
      <c r="D24" s="10">
        <f t="shared" si="2"/>
        <v>1.4685337134515639</v>
      </c>
      <c r="E24" s="10">
        <f t="shared" si="3"/>
        <v>4.8402067562540392E-4</v>
      </c>
    </row>
    <row r="25" spans="1:5">
      <c r="A25" s="3">
        <v>14</v>
      </c>
      <c r="B25" s="10">
        <f t="shared" si="0"/>
        <v>0.99375340899741949</v>
      </c>
      <c r="C25" s="10">
        <f t="shared" si="1"/>
        <v>0.48101709809097021</v>
      </c>
      <c r="D25" s="10">
        <f t="shared" si="2"/>
        <v>1.512589724855111</v>
      </c>
      <c r="E25" s="10">
        <f t="shared" si="3"/>
        <v>5.1359450136675381E-4</v>
      </c>
    </row>
    <row r="26" spans="1:5">
      <c r="A26" s="3">
        <v>15</v>
      </c>
      <c r="B26" s="10">
        <f t="shared" si="0"/>
        <v>0.99304751627308252</v>
      </c>
      <c r="C26" s="10">
        <f t="shared" si="1"/>
        <v>0.45811152199140021</v>
      </c>
      <c r="D26" s="10">
        <f t="shared" si="2"/>
        <v>1.5579674166007644</v>
      </c>
      <c r="E26" s="10">
        <f t="shared" si="3"/>
        <v>5.4653741199419694E-4</v>
      </c>
    </row>
    <row r="27" spans="1:5">
      <c r="A27" s="3">
        <v>16</v>
      </c>
      <c r="B27" s="10">
        <f t="shared" si="0"/>
        <v>0.99228176044563066</v>
      </c>
      <c r="C27" s="10">
        <f t="shared" si="1"/>
        <v>0.43629668761085727</v>
      </c>
      <c r="D27" s="10">
        <f t="shared" si="2"/>
        <v>1.6047064390987871</v>
      </c>
      <c r="E27" s="10">
        <f t="shared" si="3"/>
        <v>5.8317755759584031E-4</v>
      </c>
    </row>
    <row r="28" spans="1:5">
      <c r="A28" s="3">
        <v>17</v>
      </c>
      <c r="B28" s="10">
        <f t="shared" si="0"/>
        <v>0.99144880208516517</v>
      </c>
      <c r="C28" s="10">
        <f t="shared" si="1"/>
        <v>0.41552065486748313</v>
      </c>
      <c r="D28" s="10">
        <f t="shared" si="2"/>
        <v>1.6528476322717507</v>
      </c>
      <c r="E28" s="10">
        <f t="shared" si="3"/>
        <v>6.2387460253140418E-4</v>
      </c>
    </row>
    <row r="29" spans="1:5">
      <c r="A29" s="3">
        <v>18</v>
      </c>
      <c r="B29" s="10">
        <f t="shared" si="0"/>
        <v>0.99054041307909579</v>
      </c>
      <c r="C29" s="10">
        <f t="shared" si="1"/>
        <v>0.39573395701665059</v>
      </c>
      <c r="D29" s="10">
        <f t="shared" si="2"/>
        <v>1.7024330612399032</v>
      </c>
      <c r="E29" s="10">
        <f t="shared" si="3"/>
        <v>6.6902242521389992E-4</v>
      </c>
    </row>
    <row r="30" spans="1:5">
      <c r="A30" s="3">
        <v>19</v>
      </c>
      <c r="B30" s="10">
        <f t="shared" si="0"/>
        <v>0.98954737177450924</v>
      </c>
      <c r="C30" s="10">
        <f t="shared" si="1"/>
        <v>0.37688948287300061</v>
      </c>
      <c r="D30" s="10">
        <f t="shared" si="2"/>
        <v>1.7535060530771003</v>
      </c>
      <c r="E30" s="10">
        <f t="shared" si="3"/>
        <v>7.1905197161665731E-4</v>
      </c>
    </row>
    <row r="31" spans="1:5">
      <c r="A31" s="3">
        <v>20</v>
      </c>
      <c r="B31" s="10">
        <f t="shared" si="0"/>
        <v>0.98845934647638034</v>
      </c>
      <c r="C31" s="10">
        <f t="shared" si="1"/>
        <v>0.35894236464095297</v>
      </c>
      <c r="D31" s="10">
        <f t="shared" si="2"/>
        <v>1.8061112346694133</v>
      </c>
      <c r="E31" s="10">
        <f t="shared" si="3"/>
        <v>7.7443424983755988E-4</v>
      </c>
    </row>
    <row r="32" spans="1:5">
      <c r="A32" s="3">
        <v>21</v>
      </c>
      <c r="B32" s="10">
        <f t="shared" si="0"/>
        <v>0.987264766205045</v>
      </c>
      <c r="C32" s="10">
        <f t="shared" si="1"/>
        <v>0.3418498710866219</v>
      </c>
      <c r="D32" s="10">
        <f t="shared" si="2"/>
        <v>1.8602945717094954</v>
      </c>
      <c r="E32" s="10">
        <f t="shared" si="3"/>
        <v>8.3568344531883903E-4</v>
      </c>
    </row>
    <row r="33" spans="1:5">
      <c r="A33" s="3">
        <v>22</v>
      </c>
      <c r="B33" s="10">
        <f t="shared" si="0"/>
        <v>0.985950677568731</v>
      </c>
      <c r="C33" s="10">
        <f t="shared" si="1"/>
        <v>0.32557130579678267</v>
      </c>
      <c r="D33" s="10">
        <f t="shared" si="2"/>
        <v>1.9161034088607805</v>
      </c>
      <c r="E33" s="10">
        <f t="shared" si="3"/>
        <v>9.0336012640626401E-4</v>
      </c>
    </row>
    <row r="34" spans="1:5">
      <c r="A34" s="3">
        <v>23</v>
      </c>
      <c r="B34" s="10">
        <f t="shared" si="0"/>
        <v>0.9845025865755338</v>
      </c>
      <c r="C34" s="10">
        <f t="shared" si="1"/>
        <v>0.31006791028265024</v>
      </c>
      <c r="D34" s="10">
        <f t="shared" si="2"/>
        <v>1.973586511126604</v>
      </c>
      <c r="E34" s="10">
        <f t="shared" si="3"/>
        <v>9.7807449730618668E-4</v>
      </c>
    </row>
    <row r="35" spans="1:5">
      <c r="A35" s="3">
        <v>24</v>
      </c>
      <c r="B35" s="10">
        <f t="shared" si="0"/>
        <v>0.9829042842014416</v>
      </c>
      <c r="C35" s="10">
        <f t="shared" si="1"/>
        <v>0.29530277169776209</v>
      </c>
      <c r="D35" s="10">
        <f t="shared" si="2"/>
        <v>2.0327941064604018</v>
      </c>
      <c r="E35" s="10">
        <f t="shared" si="3"/>
        <v>1.0604896395737863E-3</v>
      </c>
    </row>
    <row r="36" spans="1:5">
      <c r="A36" s="3">
        <v>25</v>
      </c>
      <c r="B36" s="10">
        <f t="shared" si="0"/>
        <v>0.98113765455639779</v>
      </c>
      <c r="C36" s="10">
        <f t="shared" si="1"/>
        <v>0.28124073495024959</v>
      </c>
      <c r="D36" s="10">
        <f t="shared" si="2"/>
        <v>2.0937779296542138</v>
      </c>
      <c r="E36" s="10">
        <f t="shared" si="3"/>
        <v>1.1513246633248853E-3</v>
      </c>
    </row>
    <row r="37" spans="1:5">
      <c r="A37" s="3">
        <v>26</v>
      </c>
      <c r="B37" s="10">
        <f t="shared" si="0"/>
        <v>0.97918246456114499</v>
      </c>
      <c r="C37" s="10">
        <f t="shared" si="1"/>
        <v>0.2678483190002377</v>
      </c>
      <c r="D37" s="10">
        <f t="shared" si="2"/>
        <v>2.1565912675438406</v>
      </c>
      <c r="E37" s="10">
        <f t="shared" si="3"/>
        <v>1.2513576645393843E-3</v>
      </c>
    </row>
    <row r="38" spans="1:5">
      <c r="A38" s="3">
        <v>27</v>
      </c>
      <c r="B38" s="10">
        <f t="shared" si="0"/>
        <v>0.97701613417926136</v>
      </c>
      <c r="C38" s="10">
        <f t="shared" si="1"/>
        <v>0.25509363714308358</v>
      </c>
      <c r="D38" s="10">
        <f t="shared" si="2"/>
        <v>2.2212890055701555</v>
      </c>
      <c r="E38" s="10">
        <f t="shared" si="3"/>
        <v>1.3614283541509601E-3</v>
      </c>
    </row>
    <row r="39" spans="1:5">
      <c r="A39" s="3">
        <v>28</v>
      </c>
      <c r="B39" s="10">
        <f t="shared" si="0"/>
        <v>0.97461348646091051</v>
      </c>
      <c r="C39" s="10">
        <f t="shared" si="1"/>
        <v>0.24294632108865097</v>
      </c>
      <c r="D39" s="10">
        <f t="shared" si="2"/>
        <v>2.2879276757372602</v>
      </c>
      <c r="E39" s="10">
        <f t="shared" si="3"/>
        <v>1.4824401869591346E-3</v>
      </c>
    </row>
    <row r="40" spans="1:5">
      <c r="A40" s="3">
        <v>29</v>
      </c>
      <c r="B40" s="10">
        <f t="shared" si="0"/>
        <v>0.97194647697181014</v>
      </c>
      <c r="C40" s="10">
        <f t="shared" si="1"/>
        <v>0.23137744865585813</v>
      </c>
      <c r="D40" s="10">
        <f t="shared" si="2"/>
        <v>2.3565655060093778</v>
      </c>
      <c r="E40" s="10">
        <f t="shared" si="3"/>
        <v>1.6153617724522112E-3</v>
      </c>
    </row>
    <row r="41" spans="1:5">
      <c r="A41" s="3">
        <v>30</v>
      </c>
      <c r="B41" s="10">
        <f t="shared" si="0"/>
        <v>0.96898390263311407</v>
      </c>
      <c r="C41" s="10">
        <f t="shared" si="1"/>
        <v>0.220359474910341</v>
      </c>
      <c r="D41" s="10">
        <f t="shared" si="2"/>
        <v>2.4272624711896591</v>
      </c>
      <c r="E41" s="10">
        <f t="shared" si="3"/>
        <v>1.7612272940039633E-3</v>
      </c>
    </row>
    <row r="42" spans="1:5">
      <c r="A42" s="3">
        <v>31</v>
      </c>
      <c r="B42" s="10">
        <f t="shared" si="0"/>
        <v>0.9656910906225441</v>
      </c>
      <c r="C42" s="10">
        <f t="shared" si="1"/>
        <v>0.20986616658127716</v>
      </c>
      <c r="D42" s="10">
        <f t="shared" si="2"/>
        <v>2.5000803453253493</v>
      </c>
      <c r="E42" s="10">
        <f t="shared" si="3"/>
        <v>1.9211355960428479E-3</v>
      </c>
    </row>
    <row r="43" spans="1:5">
      <c r="A43" s="3">
        <v>32</v>
      </c>
      <c r="B43" s="10">
        <f t="shared" ref="B43:B74" si="4">(B$8^A43)*(B$7^((B$5^30)*(B$5^A43-1)))</f>
        <v>0.96202956882964996</v>
      </c>
      <c r="C43" s="10">
        <f t="shared" si="1"/>
        <v>0.19987253960121634</v>
      </c>
      <c r="D43" s="10">
        <f t="shared" si="2"/>
        <v>2.5750827556851092</v>
      </c>
      <c r="E43" s="10">
        <f t="shared" si="3"/>
        <v>2.096247519123086E-3</v>
      </c>
    </row>
    <row r="44" spans="1:5">
      <c r="A44" s="3">
        <v>33</v>
      </c>
      <c r="B44" s="10">
        <f t="shared" si="4"/>
        <v>0.95795672047330538</v>
      </c>
      <c r="C44" s="10">
        <f t="shared" si="1"/>
        <v>0.19035479962020604</v>
      </c>
      <c r="D44" s="10">
        <f t="shared" si="2"/>
        <v>2.6523352383556626</v>
      </c>
      <c r="E44" s="10">
        <f t="shared" si="3"/>
        <v>2.2877809688014472E-3</v>
      </c>
    </row>
    <row r="45" spans="1:5">
      <c r="A45" s="3">
        <v>34</v>
      </c>
      <c r="B45" s="10">
        <f t="shared" si="4"/>
        <v>0.95342542694280474</v>
      </c>
      <c r="C45" s="10">
        <f t="shared" si="1"/>
        <v>0.18129028535257716</v>
      </c>
      <c r="D45" s="10">
        <f t="shared" si="2"/>
        <v>2.7319052955063321</v>
      </c>
      <c r="E45" s="10">
        <f t="shared" si="3"/>
        <v>2.497003094507665E-3</v>
      </c>
    </row>
    <row r="46" spans="1:5">
      <c r="A46" s="3">
        <v>35</v>
      </c>
      <c r="B46" s="10">
        <f t="shared" si="4"/>
        <v>0.94838370479200929</v>
      </c>
      <c r="C46" s="10">
        <f t="shared" si="1"/>
        <v>0.17265741462150208</v>
      </c>
      <c r="D46" s="10">
        <f t="shared" si="2"/>
        <v>2.8138624543715225</v>
      </c>
      <c r="E46" s="10">
        <f t="shared" si="3"/>
        <v>2.7252188282837196E-3</v>
      </c>
    </row>
    <row r="47" spans="1:5">
      <c r="A47" s="3">
        <v>36</v>
      </c>
      <c r="B47" s="10">
        <f t="shared" si="4"/>
        <v>0.94277434518767378</v>
      </c>
      <c r="C47" s="10">
        <f t="shared" si="1"/>
        <v>0.1644356329728591</v>
      </c>
      <c r="D47" s="10">
        <f t="shared" si="2"/>
        <v>2.898278328002668</v>
      </c>
      <c r="E47" s="10">
        <f t="shared" si="3"/>
        <v>2.973754890235574E-3</v>
      </c>
    </row>
    <row r="48" spans="1:5">
      <c r="A48" s="3">
        <v>37</v>
      </c>
      <c r="B48" s="10">
        <f t="shared" si="4"/>
        <v>0.93653456708877769</v>
      </c>
      <c r="C48" s="10">
        <f t="shared" si="1"/>
        <v>0.15660536473605632</v>
      </c>
      <c r="D48" s="10">
        <f t="shared" si="2"/>
        <v>2.9852266778427476</v>
      </c>
      <c r="E48" s="10">
        <f t="shared" si="3"/>
        <v>3.2439382089525896E-3</v>
      </c>
    </row>
    <row r="49" spans="1:5">
      <c r="A49" s="3">
        <v>38</v>
      </c>
      <c r="B49" s="10">
        <f t="shared" si="4"/>
        <v>0.92959569912378159</v>
      </c>
      <c r="C49" s="10">
        <f t="shared" si="1"/>
        <v>0.14914796641529171</v>
      </c>
      <c r="D49" s="10">
        <f t="shared" si="2"/>
        <v>3.0747834781780301</v>
      </c>
      <c r="E49" s="10">
        <f t="shared" si="3"/>
        <v>3.5370675341462139E-3</v>
      </c>
    </row>
    <row r="50" spans="1:5">
      <c r="A50" s="3">
        <v>39</v>
      </c>
      <c r="B50" s="10">
        <f t="shared" si="4"/>
        <v>0.92188290965386233</v>
      </c>
      <c r="C50" s="10">
        <f t="shared" si="1"/>
        <v>0.14204568230027784</v>
      </c>
      <c r="D50" s="10">
        <f t="shared" si="2"/>
        <v>3.1670269825233714</v>
      </c>
      <c r="E50" s="10">
        <f t="shared" si="3"/>
        <v>3.8543768413721617E-3</v>
      </c>
    </row>
    <row r="51" spans="1:5">
      <c r="A51" s="3">
        <v>40</v>
      </c>
      <c r="B51" s="10">
        <f t="shared" si="4"/>
        <v>0.9133150099784656</v>
      </c>
      <c r="C51" s="10">
        <f t="shared" si="1"/>
        <v>0.13528160219074079</v>
      </c>
      <c r="D51" s="10">
        <f t="shared" si="2"/>
        <v>3.262037791999072</v>
      </c>
      <c r="E51" s="10">
        <f t="shared" si="3"/>
        <v>4.1969889551676121E-3</v>
      </c>
    </row>
    <row r="52" spans="1:5">
      <c r="A52" s="3">
        <v>41</v>
      </c>
      <c r="B52" s="10">
        <f t="shared" si="4"/>
        <v>0.90380436215922499</v>
      </c>
      <c r="C52" s="10">
        <f t="shared" si="1"/>
        <v>0.12883962113403885</v>
      </c>
      <c r="D52" s="10">
        <f t="shared" si="2"/>
        <v>3.3598989257590444</v>
      </c>
      <c r="E52" s="10">
        <f t="shared" si="3"/>
        <v>4.5658576632250283E-3</v>
      </c>
    </row>
    <row r="53" spans="1:5">
      <c r="A53" s="3">
        <v>42</v>
      </c>
      <c r="B53" s="10">
        <f t="shared" si="4"/>
        <v>0.89325693058453293</v>
      </c>
      <c r="C53" s="10">
        <f t="shared" si="1"/>
        <v>0.12270440108003698</v>
      </c>
      <c r="D53" s="10">
        <f t="shared" si="2"/>
        <v>3.4606958935318159</v>
      </c>
      <c r="E53" s="10">
        <f t="shared" si="3"/>
        <v>4.9616964841773022E-3</v>
      </c>
    </row>
    <row r="54" spans="1:5">
      <c r="A54" s="3">
        <v>43</v>
      </c>
      <c r="B54" s="10">
        <f t="shared" si="4"/>
        <v>0.88157252518975948</v>
      </c>
      <c r="C54" s="10">
        <f t="shared" si="1"/>
        <v>0.11686133436193999</v>
      </c>
      <c r="D54" s="10">
        <f t="shared" si="2"/>
        <v>3.5645167703377703</v>
      </c>
      <c r="E54" s="10">
        <f t="shared" si="3"/>
        <v>5.3848922192590359E-3</v>
      </c>
    </row>
    <row r="55" spans="1:5">
      <c r="A55" s="3">
        <v>44</v>
      </c>
      <c r="B55" s="10">
        <f t="shared" si="4"/>
        <v>0.8686452941152274</v>
      </c>
      <c r="C55" s="10">
        <f t="shared" si="1"/>
        <v>0.1112965089161333</v>
      </c>
      <c r="D55" s="10">
        <f t="shared" si="2"/>
        <v>3.6714522734479029</v>
      </c>
      <c r="E55" s="10">
        <f t="shared" si="3"/>
        <v>5.8354015107731153E-3</v>
      </c>
    </row>
    <row r="56" spans="1:5">
      <c r="A56" s="3">
        <v>45</v>
      </c>
      <c r="B56" s="10">
        <f t="shared" si="4"/>
        <v>0.85436453431027493</v>
      </c>
      <c r="C56" s="10">
        <f t="shared" si="1"/>
        <v>0.10599667515822221</v>
      </c>
      <c r="D56" s="10">
        <f t="shared" si="2"/>
        <v>3.78159584165134</v>
      </c>
      <c r="E56" s="10">
        <f t="shared" si="3"/>
        <v>6.31262891132214E-3</v>
      </c>
    </row>
    <row r="57" spans="1:5">
      <c r="A57" s="3">
        <v>46</v>
      </c>
      <c r="B57" s="10">
        <f t="shared" si="4"/>
        <v>0.83861589975023321</v>
      </c>
      <c r="C57" s="10">
        <f t="shared" si="1"/>
        <v>0.10094921443640208</v>
      </c>
      <c r="D57" s="10">
        <f t="shared" si="2"/>
        <v>3.8950437169008802</v>
      </c>
      <c r="E57" s="10">
        <f t="shared" si="3"/>
        <v>6.8152855196874675E-3</v>
      </c>
    </row>
    <row r="58" spans="1:5">
      <c r="A58" s="3">
        <v>47</v>
      </c>
      <c r="B58" s="10">
        <f t="shared" si="4"/>
        <v>0.8212830977970661</v>
      </c>
      <c r="C58" s="10">
        <f t="shared" si="1"/>
        <v>9.6142108987049613E-2</v>
      </c>
      <c r="D58" s="10">
        <f t="shared" si="2"/>
        <v>4.0118950284079071</v>
      </c>
      <c r="E58" s="10">
        <f t="shared" si="3"/>
        <v>7.3412281657296349E-3</v>
      </c>
    </row>
    <row r="59" spans="1:5">
      <c r="A59" s="3">
        <v>48</v>
      </c>
      <c r="B59" s="10">
        <f t="shared" si="4"/>
        <v>0.80225017366749773</v>
      </c>
      <c r="C59" s="10">
        <f t="shared" si="1"/>
        <v>9.1563913320999626E-2</v>
      </c>
      <c r="D59" s="10">
        <f t="shared" si="2"/>
        <v>4.1322518792601439</v>
      </c>
      <c r="E59" s="10">
        <f t="shared" si="3"/>
        <v>7.8872805528991674E-3</v>
      </c>
    </row>
    <row r="60" spans="1:5">
      <c r="A60" s="3">
        <v>49</v>
      </c>
      <c r="B60" s="10">
        <f t="shared" si="4"/>
        <v>0.78140448929992257</v>
      </c>
      <c r="C60" s="10">
        <f t="shared" si="1"/>
        <v>8.7203726972380588E-2</v>
      </c>
      <c r="D60" s="10">
        <f t="shared" si="2"/>
        <v>4.2562194356379477</v>
      </c>
      <c r="E60" s="10">
        <f t="shared" si="3"/>
        <v>8.4490398359755373E-3</v>
      </c>
    </row>
    <row r="61" spans="1:5">
      <c r="A61" s="3">
        <v>50</v>
      </c>
      <c r="B61" s="10">
        <f t="shared" si="4"/>
        <v>0.7586405037794326</v>
      </c>
      <c r="C61" s="10">
        <f t="shared" si="1"/>
        <v>8.3051168545124371E-2</v>
      </c>
      <c r="D61" s="10">
        <f t="shared" si="2"/>
        <v>4.3839060187070862</v>
      </c>
      <c r="E61" s="10">
        <f t="shared" si="3"/>
        <v>9.0206749751463051E-3</v>
      </c>
    </row>
    <row r="62" spans="1:5">
      <c r="A62" s="3">
        <v>51</v>
      </c>
      <c r="B62" s="10">
        <f t="shared" si="4"/>
        <v>0.73386445472004902</v>
      </c>
      <c r="C62" s="10">
        <f t="shared" si="1"/>
        <v>7.9096350995356543E-2</v>
      </c>
      <c r="D62" s="10">
        <f t="shared" si="2"/>
        <v>4.5154231992682989</v>
      </c>
      <c r="E62" s="10">
        <f t="shared" si="3"/>
        <v>9.5947270066172943E-3</v>
      </c>
    </row>
    <row r="63" spans="1:5">
      <c r="A63" s="3">
        <v>52</v>
      </c>
      <c r="B63" s="10">
        <f t="shared" si="4"/>
        <v>0.70700001953094871</v>
      </c>
      <c r="C63" s="10">
        <f t="shared" si="1"/>
        <v>7.5329858090815757E-2</v>
      </c>
      <c r="D63" s="10">
        <f t="shared" si="2"/>
        <v>4.6508858952463479</v>
      </c>
      <c r="E63" s="10">
        <f t="shared" si="3"/>
        <v>1.0161926202324782E-2</v>
      </c>
    </row>
    <row r="64" spans="1:5">
      <c r="A64" s="3">
        <v>53</v>
      </c>
      <c r="B64" s="10">
        <f t="shared" si="4"/>
        <v>0.67799499729786594</v>
      </c>
      <c r="C64" s="10">
        <f t="shared" si="1"/>
        <v>7.1742721991253117E-2</v>
      </c>
      <c r="D64" s="10">
        <f t="shared" si="2"/>
        <v>4.7904124721037373</v>
      </c>
      <c r="E64" s="10">
        <f t="shared" si="3"/>
        <v>1.071104695962081E-2</v>
      </c>
    </row>
    <row r="65" spans="1:5">
      <c r="A65" s="3">
        <v>54</v>
      </c>
      <c r="B65" s="10">
        <f t="shared" si="4"/>
        <v>0.64682899030610408</v>
      </c>
      <c r="C65" s="10">
        <f t="shared" si="1"/>
        <v>6.8326401896431521E-2</v>
      </c>
      <c r="D65" s="10">
        <f t="shared" si="2"/>
        <v>4.9341248462668501</v>
      </c>
      <c r="E65" s="10">
        <f t="shared" si="3"/>
        <v>1.1228827998103789E-2</v>
      </c>
    </row>
    <row r="66" spans="1:5">
      <c r="A66" s="3">
        <v>55</v>
      </c>
      <c r="B66" s="10">
        <f t="shared" si="4"/>
        <v>0.61352197288678756</v>
      </c>
      <c r="C66" s="10">
        <f t="shared" si="1"/>
        <v>6.5072763710887174E-2</v>
      </c>
      <c r="D66" s="10">
        <f t="shared" si="2"/>
        <v>5.0821485916548559</v>
      </c>
      <c r="E66" s="10">
        <f t="shared" si="3"/>
        <v>1.1699992604950698E-2</v>
      </c>
    </row>
    <row r="67" spans="1:5">
      <c r="A67" s="3">
        <v>56</v>
      </c>
      <c r="B67" s="10">
        <f t="shared" si="4"/>
        <v>0.57814350865610398</v>
      </c>
      <c r="C67" s="10">
        <f t="shared" si="1"/>
        <v>6.1974060677035397E-2</v>
      </c>
      <c r="D67" s="10">
        <f t="shared" si="2"/>
        <v>5.2346130494045005</v>
      </c>
      <c r="E67" s="10">
        <f t="shared" si="3"/>
        <v>1.2107410424182922E-2</v>
      </c>
    </row>
    <row r="68" spans="1:5">
      <c r="A68" s="3">
        <v>57</v>
      </c>
      <c r="B68" s="10">
        <f t="shared" si="4"/>
        <v>0.54082221164990651</v>
      </c>
      <c r="C68" s="10">
        <f t="shared" si="1"/>
        <v>5.9022914930509894E-2</v>
      </c>
      <c r="D68" s="10">
        <f t="shared" si="2"/>
        <v>5.3916514408866361</v>
      </c>
      <c r="E68" s="10">
        <f t="shared" si="3"/>
        <v>1.2432447256689993E-2</v>
      </c>
    </row>
    <row r="69" spans="1:5">
      <c r="A69" s="3">
        <v>58</v>
      </c>
      <c r="B69" s="10">
        <f t="shared" si="4"/>
        <v>0.50175484276108195</v>
      </c>
      <c r="C69" s="10">
        <f t="shared" si="1"/>
        <v>5.6212299933818946E-2</v>
      </c>
      <c r="D69" s="10">
        <f t="shared" si="2"/>
        <v>5.5534009841132352</v>
      </c>
      <c r="E69" s="10">
        <f t="shared" si="3"/>
        <v>1.2655550501574778E-2</v>
      </c>
    </row>
    <row r="70" spans="1:5">
      <c r="A70" s="3">
        <v>59</v>
      </c>
      <c r="B70" s="10">
        <f t="shared" si="4"/>
        <v>0.46121419781599265</v>
      </c>
      <c r="C70" s="10">
        <f t="shared" si="1"/>
        <v>5.3535523746494243E-2</v>
      </c>
      <c r="D70" s="10">
        <f t="shared" si="2"/>
        <v>5.7200030136366324</v>
      </c>
      <c r="E70" s="10">
        <f t="shared" si="3"/>
        <v>1.2757112504967989E-2</v>
      </c>
    </row>
    <row r="71" spans="1:5">
      <c r="A71" s="3">
        <v>60</v>
      </c>
      <c r="B71" s="10">
        <f t="shared" si="4"/>
        <v>0.41955469599677292</v>
      </c>
      <c r="C71" s="10">
        <f t="shared" si="1"/>
        <v>5.0986213091899268E-2</v>
      </c>
      <c r="D71" s="10">
        <f t="shared" si="2"/>
        <v>5.8916031040457311</v>
      </c>
      <c r="E71" s="10">
        <f t="shared" si="3"/>
        <v>1.2718638893822609E-2</v>
      </c>
    </row>
    <row r="72" spans="1:5">
      <c r="A72" s="3">
        <v>61</v>
      </c>
      <c r="B72" s="10">
        <f t="shared" si="4"/>
        <v>0.37721435045354818</v>
      </c>
      <c r="C72" s="10">
        <f t="shared" si="1"/>
        <v>4.855829818276123E-2</v>
      </c>
      <c r="D72" s="10">
        <f t="shared" si="2"/>
        <v>6.068351197167102</v>
      </c>
      <c r="E72" s="10">
        <f t="shared" si="3"/>
        <v>1.2524220492940925E-2</v>
      </c>
    </row>
    <row r="73" spans="1:5">
      <c r="A73" s="3">
        <v>62</v>
      </c>
      <c r="B73" s="10">
        <f t="shared" si="4"/>
        <v>0.33471164843943058</v>
      </c>
      <c r="C73" s="10">
        <f t="shared" si="1"/>
        <v>4.6245998269296387E-2</v>
      </c>
      <c r="D73" s="10">
        <f t="shared" si="2"/>
        <v>6.2504017330821151</v>
      </c>
      <c r="E73" s="10">
        <f t="shared" si="3"/>
        <v>1.2162262847958879E-2</v>
      </c>
    </row>
    <row r="74" spans="1:5">
      <c r="A74" s="3">
        <v>63</v>
      </c>
      <c r="B74" s="10">
        <f t="shared" si="4"/>
        <v>0.29263585690372979</v>
      </c>
      <c r="C74" s="10">
        <f t="shared" si="1"/>
        <v>4.4043807875520369E-2</v>
      </c>
      <c r="D74" s="10">
        <f t="shared" si="2"/>
        <v>6.4379137850745796</v>
      </c>
      <c r="E74" s="10">
        <f t="shared" si="3"/>
        <v>1.1627365932736307E-2</v>
      </c>
    </row>
    <row r="75" spans="1:5">
      <c r="A75" s="3">
        <v>64</v>
      </c>
      <c r="B75" s="10">
        <f t="shared" ref="B75:B106" si="5">(B$8^A75)*(B$7^((B$5^30)*(B$5^A75-1)))</f>
        <v>0.25162948702683835</v>
      </c>
      <c r="C75" s="10">
        <f t="shared" si="1"/>
        <v>4.1946483690971779E-2</v>
      </c>
      <c r="D75" s="10">
        <f t="shared" si="2"/>
        <v>6.6310511986268157</v>
      </c>
      <c r="E75" s="10">
        <f t="shared" si="3"/>
        <v>1.0922171483258632E-2</v>
      </c>
    </row>
    <row r="76" spans="1:5">
      <c r="A76" s="3">
        <v>65</v>
      </c>
      <c r="B76" s="10">
        <f t="shared" si="5"/>
        <v>0.21236218622465031</v>
      </c>
      <c r="C76" s="10">
        <f t="shared" ref="C76:C130" si="6">(1+$B$6)^(-(A76+1))</f>
        <v>3.9949032086639788E-2</v>
      </c>
      <c r="D76" s="10">
        <f t="shared" si="2"/>
        <v>6.8299827345856201</v>
      </c>
      <c r="E76" s="10">
        <f t="shared" si="3"/>
        <v>1.0058915909561365E-2</v>
      </c>
    </row>
    <row r="77" spans="1:5">
      <c r="A77" s="3">
        <v>66</v>
      </c>
      <c r="B77" s="10">
        <f t="shared" si="5"/>
        <v>0.17549624636027675</v>
      </c>
      <c r="C77" s="10">
        <f t="shared" si="6"/>
        <v>3.8046697225371226E-2</v>
      </c>
      <c r="D77" s="10">
        <f t="shared" ref="D77:D130" si="7">1.03^A77</f>
        <v>7.0348822166231884</v>
      </c>
      <c r="E77" s="10">
        <f t="shared" ref="E77:E130" si="8">(B77-B78)*C77*D77</f>
        <v>9.0603602330854745E-3</v>
      </c>
    </row>
    <row r="78" spans="1:5">
      <c r="A78" s="3">
        <v>67</v>
      </c>
      <c r="B78" s="10">
        <f t="shared" si="5"/>
        <v>0.14164523314209301</v>
      </c>
      <c r="C78" s="10">
        <f t="shared" si="6"/>
        <v>3.6234949738448791E-2</v>
      </c>
      <c r="D78" s="10">
        <f t="shared" si="7"/>
        <v>7.2459286831218845</v>
      </c>
      <c r="E78" s="10">
        <f t="shared" si="8"/>
        <v>7.9597405849035161E-3</v>
      </c>
    </row>
    <row r="79" spans="1:5">
      <c r="A79" s="3">
        <v>68</v>
      </c>
      <c r="B79" s="10">
        <f t="shared" si="5"/>
        <v>0.11132886337931157</v>
      </c>
      <c r="C79" s="10">
        <f t="shared" si="6"/>
        <v>3.4509475941379798E-2</v>
      </c>
      <c r="D79" s="10">
        <f t="shared" si="7"/>
        <v>7.4633065436155404</v>
      </c>
      <c r="E79" s="10">
        <f t="shared" si="8"/>
        <v>6.7994243446453462E-3</v>
      </c>
    </row>
    <row r="80" spans="1:5">
      <c r="A80" s="3">
        <v>69</v>
      </c>
      <c r="B80" s="10">
        <f t="shared" si="5"/>
        <v>8.4928950010428494E-2</v>
      </c>
      <c r="C80" s="10">
        <f t="shared" si="6"/>
        <v>3.2866167563218862E-2</v>
      </c>
      <c r="D80" s="10">
        <f t="shared" si="7"/>
        <v>7.6872057399240061</v>
      </c>
      <c r="E80" s="10">
        <f t="shared" si="8"/>
        <v>5.6280961605121339E-3</v>
      </c>
    </row>
    <row r="81" spans="1:5">
      <c r="A81" s="3">
        <v>70</v>
      </c>
      <c r="B81" s="10">
        <f t="shared" si="5"/>
        <v>6.2652604804110806E-2</v>
      </c>
      <c r="C81" s="10">
        <f t="shared" si="6"/>
        <v>3.1301111964970339E-2</v>
      </c>
      <c r="D81" s="10">
        <f t="shared" si="7"/>
        <v>7.9178219121217266</v>
      </c>
      <c r="E81" s="10">
        <f t="shared" si="8"/>
        <v>4.4965468074339987E-3</v>
      </c>
    </row>
    <row r="82" spans="1:5">
      <c r="A82" s="3">
        <v>71</v>
      </c>
      <c r="B82" s="10">
        <f t="shared" si="5"/>
        <v>4.4509415865548851E-2</v>
      </c>
      <c r="C82" s="10">
        <f t="shared" si="6"/>
        <v>2.9810582823781274E-2</v>
      </c>
      <c r="D82" s="10">
        <f t="shared" si="7"/>
        <v>8.1553565694853791</v>
      </c>
      <c r="E82" s="10">
        <f t="shared" si="8"/>
        <v>3.4524749302125993E-3</v>
      </c>
    </row>
    <row r="83" spans="1:5">
      <c r="A83" s="3">
        <v>72</v>
      </c>
      <c r="B83" s="10">
        <f t="shared" si="5"/>
        <v>3.0308475206883356E-2</v>
      </c>
      <c r="C83" s="10">
        <f t="shared" si="6"/>
        <v>2.8391031260744073E-2</v>
      </c>
      <c r="D83" s="10">
        <f t="shared" si="7"/>
        <v>8.4000172665699395</v>
      </c>
      <c r="E83" s="10">
        <f t="shared" si="8"/>
        <v>2.5350691137149598E-3</v>
      </c>
    </row>
    <row r="84" spans="1:5">
      <c r="A84" s="3">
        <v>73</v>
      </c>
      <c r="B84" s="10">
        <f t="shared" si="5"/>
        <v>1.967859286876816E-2</v>
      </c>
      <c r="C84" s="10">
        <f t="shared" si="6"/>
        <v>2.7039077391184833E-2</v>
      </c>
      <c r="D84" s="10">
        <f t="shared" si="7"/>
        <v>8.6520177845670379</v>
      </c>
      <c r="E84" s="10">
        <f t="shared" si="8"/>
        <v>1.7704007750083861E-3</v>
      </c>
    </row>
    <row r="85" spans="1:5">
      <c r="A85" s="3">
        <v>74</v>
      </c>
      <c r="B85" s="10">
        <f t="shared" si="5"/>
        <v>1.2110920551009577E-2</v>
      </c>
      <c r="C85" s="10">
        <f t="shared" si="6"/>
        <v>2.5751502277318886E-2</v>
      </c>
      <c r="D85" s="10">
        <f t="shared" si="7"/>
        <v>8.9115783181040484</v>
      </c>
      <c r="E85" s="10">
        <f t="shared" si="8"/>
        <v>1.1686919137538271E-3</v>
      </c>
    </row>
    <row r="86" spans="1:5">
      <c r="A86" s="3">
        <v>75</v>
      </c>
      <c r="B86" s="10">
        <f t="shared" si="5"/>
        <v>7.0182821419145468E-3</v>
      </c>
      <c r="C86" s="10">
        <f t="shared" si="6"/>
        <v>2.4525240264113228E-2</v>
      </c>
      <c r="D86" s="10">
        <f t="shared" si="7"/>
        <v>9.1789256676471709</v>
      </c>
      <c r="E86" s="10">
        <f t="shared" si="8"/>
        <v>7.2422587953986769E-4</v>
      </c>
    </row>
    <row r="87" spans="1:5">
      <c r="A87" s="3">
        <v>76</v>
      </c>
      <c r="B87" s="10">
        <f t="shared" si="5"/>
        <v>3.8011498768596077E-3</v>
      </c>
      <c r="C87" s="10">
        <f t="shared" si="6"/>
        <v>2.3357371680107829E-2</v>
      </c>
      <c r="D87" s="10">
        <f t="shared" si="7"/>
        <v>9.4542934376765846</v>
      </c>
      <c r="E87" s="10">
        <f t="shared" si="8"/>
        <v>4.1805025566933943E-4</v>
      </c>
    </row>
    <row r="88" spans="1:5">
      <c r="A88" s="3">
        <v>77</v>
      </c>
      <c r="B88" s="10">
        <f t="shared" si="5"/>
        <v>1.9080416440434447E-3</v>
      </c>
      <c r="C88" s="10">
        <f t="shared" si="6"/>
        <v>2.2245115885816989E-2</v>
      </c>
      <c r="D88" s="10">
        <f t="shared" si="7"/>
        <v>9.7379222408068813</v>
      </c>
      <c r="E88" s="10">
        <f t="shared" si="8"/>
        <v>2.2283896329962084E-4</v>
      </c>
    </row>
    <row r="89" spans="1:5">
      <c r="A89" s="3">
        <v>78</v>
      </c>
      <c r="B89" s="10">
        <f t="shared" si="5"/>
        <v>8.7933829314746986E-4</v>
      </c>
      <c r="C89" s="10">
        <f t="shared" si="6"/>
        <v>2.1185824653159029E-2</v>
      </c>
      <c r="D89" s="10">
        <f t="shared" si="7"/>
        <v>10.03005990803109</v>
      </c>
      <c r="E89" s="10">
        <f t="shared" si="8"/>
        <v>1.0862615278307829E-4</v>
      </c>
    </row>
    <row r="90" spans="1:5">
      <c r="A90" s="3">
        <v>79</v>
      </c>
      <c r="B90" s="10">
        <f t="shared" si="5"/>
        <v>3.6814458725205936E-4</v>
      </c>
      <c r="C90" s="10">
        <f t="shared" si="6"/>
        <v>2.0176975860151457E-2</v>
      </c>
      <c r="D90" s="10">
        <f t="shared" si="7"/>
        <v>10.330961705272022</v>
      </c>
      <c r="E90" s="10">
        <f t="shared" si="8"/>
        <v>4.7898496623686268E-5</v>
      </c>
    </row>
    <row r="91" spans="1:5">
      <c r="A91" s="3">
        <v>80</v>
      </c>
      <c r="B91" s="10">
        <f t="shared" si="5"/>
        <v>1.3835779824540375E-4</v>
      </c>
      <c r="C91" s="10">
        <f t="shared" si="6"/>
        <v>1.9216167485858526E-2</v>
      </c>
      <c r="D91" s="10">
        <f t="shared" si="7"/>
        <v>10.640890556430181</v>
      </c>
      <c r="E91" s="10">
        <f t="shared" si="8"/>
        <v>1.8873332663987503E-5</v>
      </c>
    </row>
    <row r="92" spans="1:5">
      <c r="A92" s="3">
        <v>81</v>
      </c>
      <c r="B92" s="10">
        <f t="shared" si="5"/>
        <v>4.6057342979873536E-5</v>
      </c>
      <c r="C92" s="10">
        <f t="shared" si="6"/>
        <v>1.8301111891293836E-2</v>
      </c>
      <c r="D92" s="10">
        <f t="shared" si="7"/>
        <v>10.960117273123087</v>
      </c>
      <c r="E92" s="10">
        <f t="shared" si="8"/>
        <v>6.5550262221356451E-6</v>
      </c>
    </row>
    <row r="93" spans="1:5">
      <c r="A93" s="3">
        <v>82</v>
      </c>
      <c r="B93" s="10">
        <f t="shared" si="5"/>
        <v>1.3377364945074746E-5</v>
      </c>
      <c r="C93" s="10">
        <f t="shared" si="6"/>
        <v>1.7429630372660796E-2</v>
      </c>
      <c r="D93" s="10">
        <f t="shared" si="7"/>
        <v>11.28892079131678</v>
      </c>
      <c r="E93" s="10">
        <f t="shared" si="8"/>
        <v>1.9762865468048085E-6</v>
      </c>
    </row>
    <row r="94" spans="1:5">
      <c r="A94" s="3">
        <v>83</v>
      </c>
      <c r="B94" s="10">
        <f t="shared" si="5"/>
        <v>3.3333046473639564E-6</v>
      </c>
      <c r="C94" s="10">
        <f t="shared" si="6"/>
        <v>1.6599647973962663E-2</v>
      </c>
      <c r="D94" s="10">
        <f t="shared" si="7"/>
        <v>11.627588415056282</v>
      </c>
      <c r="E94" s="10">
        <f t="shared" si="8"/>
        <v>5.0843228599153463E-7</v>
      </c>
    </row>
    <row r="95" spans="1:5">
      <c r="A95" s="3">
        <v>84</v>
      </c>
      <c r="B95" s="10">
        <f t="shared" si="5"/>
        <v>6.9912983805720493E-7</v>
      </c>
      <c r="C95" s="10">
        <f t="shared" si="6"/>
        <v>1.580918854663111E-2</v>
      </c>
      <c r="D95" s="10">
        <f t="shared" si="7"/>
        <v>11.976416067507971</v>
      </c>
      <c r="E95" s="10">
        <f t="shared" si="8"/>
        <v>1.0949556850974916E-7</v>
      </c>
    </row>
    <row r="96" spans="1:5">
      <c r="A96" s="3">
        <v>85</v>
      </c>
      <c r="B96" s="10">
        <f t="shared" si="5"/>
        <v>1.2082065506905631E-7</v>
      </c>
      <c r="C96" s="10">
        <f t="shared" si="6"/>
        <v>1.5056370044410581E-2</v>
      </c>
      <c r="D96" s="10">
        <f t="shared" si="7"/>
        <v>12.335708549533209</v>
      </c>
      <c r="E96" s="10">
        <f t="shared" si="8"/>
        <v>1.9320668164418176E-8</v>
      </c>
    </row>
    <row r="97" spans="1:5">
      <c r="A97" s="3">
        <v>86</v>
      </c>
      <c r="B97" s="10">
        <f t="shared" si="5"/>
        <v>1.6795646181487834E-8</v>
      </c>
      <c r="C97" s="10">
        <f t="shared" si="6"/>
        <v>1.4339400042295789E-2</v>
      </c>
      <c r="D97" s="10">
        <f t="shared" si="7"/>
        <v>12.705779806019205</v>
      </c>
      <c r="E97" s="10">
        <f t="shared" si="8"/>
        <v>2.7269836992412954E-9</v>
      </c>
    </row>
    <row r="98" spans="1:5">
      <c r="A98" s="3">
        <v>87</v>
      </c>
      <c r="B98" s="10">
        <f t="shared" si="5"/>
        <v>1.8281127672046951E-9</v>
      </c>
      <c r="C98" s="10">
        <f t="shared" si="6"/>
        <v>1.3656571468853134E-2</v>
      </c>
      <c r="D98" s="10">
        <f t="shared" si="7"/>
        <v>13.086953200199783</v>
      </c>
      <c r="E98" s="10">
        <f t="shared" si="8"/>
        <v>2.9971310418928651E-10</v>
      </c>
    </row>
    <row r="99" spans="1:5">
      <c r="A99" s="3">
        <v>88</v>
      </c>
      <c r="B99" s="10">
        <f t="shared" si="5"/>
        <v>1.5114196721911145E-10</v>
      </c>
      <c r="C99" s="10">
        <f t="shared" si="6"/>
        <v>1.3006258541764888E-2</v>
      </c>
      <c r="D99" s="10">
        <f t="shared" si="7"/>
        <v>13.479561796205774</v>
      </c>
      <c r="E99" s="10">
        <f t="shared" si="8"/>
        <v>2.4889724767126373E-11</v>
      </c>
    </row>
    <row r="100" spans="1:5">
      <c r="A100" s="3">
        <v>89</v>
      </c>
      <c r="B100" s="10">
        <f t="shared" si="5"/>
        <v>9.1734856516360888E-12</v>
      </c>
      <c r="C100" s="10">
        <f t="shared" si="6"/>
        <v>1.2386912896918942E-2</v>
      </c>
      <c r="D100" s="10">
        <f t="shared" si="7"/>
        <v>13.883948650091947</v>
      </c>
      <c r="E100" s="10">
        <f t="shared" si="8"/>
        <v>1.509997063126539E-12</v>
      </c>
    </row>
    <row r="101" spans="1:5">
      <c r="A101" s="3">
        <v>90</v>
      </c>
      <c r="B101" s="10">
        <f t="shared" si="5"/>
        <v>3.9337437338620972E-13</v>
      </c>
      <c r="C101" s="10">
        <f t="shared" si="6"/>
        <v>1.1797059901827561E-2</v>
      </c>
      <c r="D101" s="10">
        <f t="shared" si="7"/>
        <v>14.300467109594708</v>
      </c>
      <c r="E101" s="10">
        <f t="shared" si="8"/>
        <v>6.4437802468039183E-14</v>
      </c>
    </row>
    <row r="102" spans="1:5">
      <c r="A102" s="3">
        <v>91</v>
      </c>
      <c r="B102" s="10">
        <f t="shared" si="5"/>
        <v>1.1415403783465481E-14</v>
      </c>
      <c r="C102" s="10">
        <f t="shared" si="6"/>
        <v>1.123529514459768E-2</v>
      </c>
      <c r="D102" s="10">
        <f t="shared" si="7"/>
        <v>14.729481122882547</v>
      </c>
      <c r="E102" s="10">
        <f t="shared" si="8"/>
        <v>1.8537905178798641E-15</v>
      </c>
    </row>
    <row r="103" spans="1:5">
      <c r="A103" s="3">
        <v>92</v>
      </c>
      <c r="B103" s="10">
        <f t="shared" si="5"/>
        <v>2.1358035581518322E-16</v>
      </c>
      <c r="C103" s="10">
        <f t="shared" si="6"/>
        <v>1.0700281090093026E-2</v>
      </c>
      <c r="D103" s="10">
        <f t="shared" si="7"/>
        <v>15.171365556569024</v>
      </c>
      <c r="E103" s="10">
        <f t="shared" si="8"/>
        <v>3.4276085981547788E-17</v>
      </c>
    </row>
    <row r="104" spans="1:5">
      <c r="A104" s="3">
        <v>93</v>
      </c>
      <c r="B104" s="10">
        <f t="shared" si="5"/>
        <v>2.439944031995579E-18</v>
      </c>
      <c r="C104" s="10">
        <f t="shared" si="6"/>
        <v>1.0190743895326695E-2</v>
      </c>
      <c r="D104" s="10">
        <f t="shared" si="7"/>
        <v>15.626506523266093</v>
      </c>
      <c r="E104" s="10">
        <f t="shared" si="8"/>
        <v>3.8600120245822218E-19</v>
      </c>
    </row>
    <row r="105" spans="1:5">
      <c r="A105" s="3">
        <v>94</v>
      </c>
      <c r="B105" s="10">
        <f t="shared" si="5"/>
        <v>1.6009573862435197E-20</v>
      </c>
      <c r="C105" s="10">
        <f t="shared" si="6"/>
        <v>9.7054703765016102E-3</v>
      </c>
      <c r="D105" s="10">
        <f t="shared" si="7"/>
        <v>16.095301718964077</v>
      </c>
      <c r="E105" s="10">
        <f t="shared" si="8"/>
        <v>2.4920965078119483E-21</v>
      </c>
    </row>
    <row r="106" spans="1:5">
      <c r="A106" s="3">
        <v>95</v>
      </c>
      <c r="B106" s="10">
        <f t="shared" si="5"/>
        <v>5.6324781536770255E-23</v>
      </c>
      <c r="C106" s="10">
        <f t="shared" si="6"/>
        <v>9.2433051204777253E-3</v>
      </c>
      <c r="D106" s="10">
        <f t="shared" si="7"/>
        <v>16.578160770533</v>
      </c>
      <c r="E106" s="10">
        <f t="shared" si="8"/>
        <v>8.6159695823965286E-24</v>
      </c>
    </row>
    <row r="107" spans="1:5">
      <c r="A107" s="3">
        <v>96</v>
      </c>
      <c r="B107" s="10">
        <f t="shared" ref="B107:B131" si="9">(B$8^A107)*(B$7^((B$5^30)*(B$5^A107-1)))</f>
        <v>9.8350088595090603E-26</v>
      </c>
      <c r="C107" s="10">
        <f t="shared" si="6"/>
        <v>8.8031477337883104E-3</v>
      </c>
      <c r="D107" s="10">
        <f t="shared" si="7"/>
        <v>17.075505593648987</v>
      </c>
      <c r="E107" s="10">
        <f t="shared" si="8"/>
        <v>1.4772062107194491E-26</v>
      </c>
    </row>
    <row r="108" spans="1:5">
      <c r="A108" s="3">
        <v>97</v>
      </c>
      <c r="B108" s="10">
        <f t="shared" si="9"/>
        <v>7.8141037338241476E-29</v>
      </c>
      <c r="C108" s="10">
        <f t="shared" si="6"/>
        <v>8.3839502226555323E-3</v>
      </c>
      <c r="D108" s="10">
        <f t="shared" si="7"/>
        <v>17.587770761458458</v>
      </c>
      <c r="E108" s="10">
        <f t="shared" si="8"/>
        <v>1.1518508186603634E-29</v>
      </c>
    </row>
    <row r="109" spans="1:5">
      <c r="A109" s="3">
        <v>98</v>
      </c>
      <c r="B109" s="10">
        <f t="shared" si="9"/>
        <v>2.5621726106161672E-32</v>
      </c>
      <c r="C109" s="10">
        <f t="shared" si="6"/>
        <v>7.9847144977671734E-3</v>
      </c>
      <c r="D109" s="10">
        <f t="shared" si="7"/>
        <v>18.115403884302207</v>
      </c>
      <c r="E109" s="10">
        <f t="shared" si="8"/>
        <v>3.705639225677644E-33</v>
      </c>
    </row>
    <row r="110" spans="1:5">
      <c r="A110" s="3">
        <v>99</v>
      </c>
      <c r="B110" s="10">
        <f t="shared" si="9"/>
        <v>3.1067039256379596E-36</v>
      </c>
      <c r="C110" s="10">
        <f t="shared" si="6"/>
        <v>7.6044899978735007E-3</v>
      </c>
      <c r="D110" s="10">
        <f t="shared" si="7"/>
        <v>18.658866000831278</v>
      </c>
      <c r="E110" s="10">
        <f t="shared" si="8"/>
        <v>4.4079635165210876E-37</v>
      </c>
    </row>
    <row r="111" spans="1:5">
      <c r="A111" s="3">
        <v>100</v>
      </c>
      <c r="B111" s="10">
        <f t="shared" si="9"/>
        <v>1.2313483687656479E-40</v>
      </c>
      <c r="C111" s="10">
        <f t="shared" si="6"/>
        <v>7.2423714265461899E-3</v>
      </c>
      <c r="D111" s="10">
        <f t="shared" si="7"/>
        <v>19.218631980856216</v>
      </c>
      <c r="E111" s="10">
        <f t="shared" si="8"/>
        <v>1.7138756382640899E-41</v>
      </c>
    </row>
    <row r="112" spans="1:5">
      <c r="A112" s="3">
        <v>101</v>
      </c>
      <c r="B112" s="10">
        <f t="shared" si="9"/>
        <v>1.3887878654912891E-45</v>
      </c>
      <c r="C112" s="10">
        <f t="shared" si="6"/>
        <v>6.8974965967106578E-3</v>
      </c>
      <c r="D112" s="10">
        <f t="shared" si="7"/>
        <v>19.795190940281898</v>
      </c>
      <c r="E112" s="10">
        <f t="shared" si="8"/>
        <v>1.8962077209486806E-46</v>
      </c>
    </row>
    <row r="113" spans="1:5">
      <c r="A113" s="3">
        <v>102</v>
      </c>
      <c r="B113" s="10">
        <f t="shared" si="9"/>
        <v>3.8140146013128438E-51</v>
      </c>
      <c r="C113" s="10">
        <f t="shared" si="6"/>
        <v>6.5690443778196727E-3</v>
      </c>
      <c r="D113" s="10">
        <f t="shared" si="7"/>
        <v>20.389046668490355</v>
      </c>
      <c r="E113" s="10">
        <f t="shared" si="8"/>
        <v>5.1083567974159457E-52</v>
      </c>
    </row>
    <row r="114" spans="1:5">
      <c r="A114" s="3">
        <v>103</v>
      </c>
      <c r="B114" s="10">
        <f t="shared" si="9"/>
        <v>2.1406476840979599E-57</v>
      </c>
      <c r="C114" s="10">
        <f t="shared" si="6"/>
        <v>6.2562327407806413E-3</v>
      </c>
      <c r="D114" s="10">
        <f t="shared" si="7"/>
        <v>21.000718068545069</v>
      </c>
      <c r="E114" s="10">
        <f t="shared" si="8"/>
        <v>2.8124978284147116E-58</v>
      </c>
    </row>
    <row r="115" spans="1:5">
      <c r="A115" s="3">
        <v>104</v>
      </c>
      <c r="B115" s="10">
        <f t="shared" si="9"/>
        <v>2.0165828971175139E-64</v>
      </c>
      <c r="C115" s="10">
        <f t="shared" si="6"/>
        <v>5.9583168959815632E-3</v>
      </c>
      <c r="D115" s="10">
        <f t="shared" si="7"/>
        <v>21.630739610601417</v>
      </c>
      <c r="E115" s="10">
        <f t="shared" si="8"/>
        <v>2.5990284952927207E-65</v>
      </c>
    </row>
    <row r="116" spans="1:5">
      <c r="A116" s="3">
        <v>105</v>
      </c>
      <c r="B116" s="10">
        <f t="shared" si="9"/>
        <v>2.555545401499117E-72</v>
      </c>
      <c r="C116" s="10">
        <f t="shared" si="6"/>
        <v>5.6745875199824408E-3</v>
      </c>
      <c r="D116" s="10">
        <f t="shared" si="7"/>
        <v>22.279661798919463</v>
      </c>
      <c r="E116" s="10">
        <f t="shared" si="8"/>
        <v>3.2309221450926234E-73</v>
      </c>
    </row>
    <row r="117" spans="1:5">
      <c r="A117" s="3">
        <v>106</v>
      </c>
      <c r="B117" s="10">
        <f t="shared" si="9"/>
        <v>3.3971798746880413E-81</v>
      </c>
      <c r="C117" s="10">
        <f t="shared" si="6"/>
        <v>5.4043690666499425E-3</v>
      </c>
      <c r="D117" s="10">
        <f t="shared" si="7"/>
        <v>22.948051652887049</v>
      </c>
      <c r="E117" s="10">
        <f t="shared" si="8"/>
        <v>4.2131736642157572E-82</v>
      </c>
    </row>
    <row r="118" spans="1:5">
      <c r="A118" s="3">
        <v>107</v>
      </c>
      <c r="B118" s="10">
        <f t="shared" si="9"/>
        <v>3.5817565564722032E-91</v>
      </c>
      <c r="C118" s="10">
        <f t="shared" si="6"/>
        <v>5.1470181587142325E-3</v>
      </c>
      <c r="D118" s="10">
        <f t="shared" si="7"/>
        <v>23.636493202473659</v>
      </c>
      <c r="E118" s="10">
        <f t="shared" si="8"/>
        <v>4.3574740399842204E-92</v>
      </c>
    </row>
    <row r="119" spans="1:5">
      <c r="A119" s="3">
        <v>108</v>
      </c>
      <c r="B119" s="10">
        <f t="shared" si="9"/>
        <v>2.1874324312997292E-102</v>
      </c>
      <c r="C119" s="10">
        <f t="shared" si="6"/>
        <v>4.9019220559183155E-3</v>
      </c>
      <c r="D119" s="10">
        <f t="shared" si="7"/>
        <v>24.345587998547863</v>
      </c>
      <c r="E119" s="10">
        <f t="shared" si="8"/>
        <v>2.6104856865839616E-103</v>
      </c>
    </row>
    <row r="120" spans="1:5">
      <c r="A120" s="3">
        <v>109</v>
      </c>
      <c r="B120" s="10">
        <f t="shared" si="9"/>
        <v>5.4353693457141371E-115</v>
      </c>
      <c r="C120" s="10">
        <f t="shared" si="6"/>
        <v>4.6684971961126823E-3</v>
      </c>
      <c r="D120" s="10">
        <f t="shared" si="7"/>
        <v>25.075955638504301</v>
      </c>
      <c r="E120" s="10">
        <f t="shared" si="8"/>
        <v>6.3630253858215653E-116</v>
      </c>
    </row>
    <row r="121" spans="1:5">
      <c r="A121" s="3">
        <v>110</v>
      </c>
      <c r="B121" s="10">
        <f t="shared" si="9"/>
        <v>3.6944673223795302E-129</v>
      </c>
      <c r="C121" s="10">
        <f t="shared" si="6"/>
        <v>4.4461878058216012E-3</v>
      </c>
      <c r="D121" s="10">
        <f t="shared" si="7"/>
        <v>25.828234307659429</v>
      </c>
      <c r="E121" s="10">
        <f t="shared" si="8"/>
        <v>4.2426221047295511E-130</v>
      </c>
    </row>
    <row r="122" spans="1:5">
      <c r="A122" s="3">
        <v>111</v>
      </c>
      <c r="B122" s="10">
        <f t="shared" si="9"/>
        <v>4.3963723652091012E-145</v>
      </c>
      <c r="C122" s="10">
        <f t="shared" si="6"/>
        <v>4.2344645769729532E-3</v>
      </c>
      <c r="D122" s="10">
        <f t="shared" si="7"/>
        <v>26.603081336889215</v>
      </c>
      <c r="E122" s="10">
        <f t="shared" si="8"/>
        <v>4.9525049210747045E-146</v>
      </c>
    </row>
    <row r="123" spans="1:5">
      <c r="A123" s="3">
        <v>112</v>
      </c>
      <c r="B123" s="10">
        <f t="shared" si="9"/>
        <v>5.5464645802431054E-163</v>
      </c>
      <c r="C123" s="10">
        <f t="shared" si="6"/>
        <v>4.0328234066409081E-3</v>
      </c>
      <c r="D123" s="10">
        <f t="shared" si="7"/>
        <v>27.40117377699589</v>
      </c>
      <c r="E123" s="10">
        <f t="shared" si="8"/>
        <v>6.1290704876343713E-164</v>
      </c>
    </row>
    <row r="124" spans="1:5">
      <c r="A124" s="3">
        <v>113</v>
      </c>
      <c r="B124" s="10">
        <f t="shared" si="9"/>
        <v>4.2214744602326992E-183</v>
      </c>
      <c r="C124" s="10">
        <f t="shared" si="6"/>
        <v>3.8407841968008641E-3</v>
      </c>
      <c r="D124" s="10">
        <f t="shared" si="7"/>
        <v>28.223208990305761</v>
      </c>
      <c r="E124" s="10">
        <f t="shared" si="8"/>
        <v>4.5760468679881145E-184</v>
      </c>
    </row>
    <row r="125" spans="1:5">
      <c r="A125" s="3">
        <v>114</v>
      </c>
      <c r="B125" s="10">
        <f t="shared" si="9"/>
        <v>1.0285454285870391E-205</v>
      </c>
      <c r="C125" s="10">
        <f t="shared" si="6"/>
        <v>3.6578897112389186E-3</v>
      </c>
      <c r="D125" s="10">
        <f t="shared" si="7"/>
        <v>29.069905260014934</v>
      </c>
      <c r="E125" s="10">
        <f t="shared" si="8"/>
        <v>1.093698714434045E-206</v>
      </c>
    </row>
    <row r="126" spans="1:5">
      <c r="A126" s="3">
        <v>115</v>
      </c>
      <c r="B126" s="10">
        <f t="shared" si="9"/>
        <v>3.9350729932946118E-231</v>
      </c>
      <c r="C126" s="10">
        <f t="shared" si="6"/>
        <v>3.4837044868942079E-3</v>
      </c>
      <c r="D126" s="10">
        <f t="shared" si="7"/>
        <v>29.942002417815385</v>
      </c>
      <c r="E126" s="10">
        <f t="shared" si="8"/>
        <v>4.1046387581114606E-232</v>
      </c>
    </row>
    <row r="127" spans="1:5">
      <c r="A127" s="3">
        <v>116</v>
      </c>
      <c r="B127" s="10">
        <f t="shared" si="9"/>
        <v>1.0615791731015134E-259</v>
      </c>
      <c r="C127" s="10">
        <f t="shared" si="6"/>
        <v>3.3178137970421035E-3</v>
      </c>
      <c r="D127" s="10">
        <f t="shared" si="7"/>
        <v>30.840262490349847</v>
      </c>
      <c r="E127" s="10">
        <f t="shared" si="8"/>
        <v>1.0862316784092732E-260</v>
      </c>
    </row>
    <row r="128" spans="1:5">
      <c r="A128" s="3">
        <v>117</v>
      </c>
      <c r="B128" s="10">
        <f t="shared" si="9"/>
        <v>8.2112218140054802E-292</v>
      </c>
      <c r="C128" s="10">
        <f t="shared" si="6"/>
        <v>3.1598226638496225E-3</v>
      </c>
      <c r="D128" s="10">
        <f t="shared" si="7"/>
        <v>31.765470365060335</v>
      </c>
      <c r="E128" s="10">
        <f t="shared" si="8"/>
        <v>8.2418704611475531E-293</v>
      </c>
    </row>
    <row r="129" spans="1:5">
      <c r="A129" s="3">
        <v>118</v>
      </c>
      <c r="B129" s="10">
        <f t="shared" si="9"/>
        <v>0</v>
      </c>
      <c r="C129" s="10">
        <f t="shared" si="6"/>
        <v>3.0093549179520209E-3</v>
      </c>
      <c r="D129" s="10">
        <f t="shared" si="7"/>
        <v>32.718434476012149</v>
      </c>
      <c r="E129" s="10">
        <f t="shared" si="8"/>
        <v>0</v>
      </c>
    </row>
    <row r="130" spans="1:5">
      <c r="A130" s="3">
        <v>119</v>
      </c>
      <c r="B130" s="10">
        <f t="shared" si="9"/>
        <v>0</v>
      </c>
      <c r="C130" s="10">
        <f t="shared" si="6"/>
        <v>2.8660523028114487E-3</v>
      </c>
      <c r="D130" s="10">
        <f t="shared" si="7"/>
        <v>33.699987510292516</v>
      </c>
      <c r="E130" s="10">
        <f t="shared" si="8"/>
        <v>0</v>
      </c>
    </row>
    <row r="131" spans="1:5">
      <c r="A131" s="3">
        <v>120</v>
      </c>
      <c r="B131" s="10">
        <f t="shared" si="9"/>
        <v>0</v>
      </c>
    </row>
    <row r="132" spans="1:5">
      <c r="C132" s="3"/>
      <c r="D132" s="58" t="s">
        <v>122</v>
      </c>
      <c r="E132" s="57">
        <f>SUM(E11:E130)*100000</f>
        <v>33569.47138596727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1"/>
  <sheetViews>
    <sheetView zoomScale="125" zoomScaleNormal="125" zoomScalePageLayoutView="125" workbookViewId="0"/>
  </sheetViews>
  <sheetFormatPr baseColWidth="10" defaultRowHeight="12" x14ac:dyDescent="0"/>
  <cols>
    <col min="1" max="1" width="10.83203125" customWidth="1"/>
    <col min="2" max="2" width="14.1640625" customWidth="1"/>
    <col min="3" max="3" width="10.83203125" style="25"/>
  </cols>
  <sheetData>
    <row r="1" spans="1:7" ht="15">
      <c r="A1" s="70" t="s">
        <v>717</v>
      </c>
    </row>
    <row r="3" spans="1:7">
      <c r="A3" s="1" t="s">
        <v>279</v>
      </c>
    </row>
    <row r="4" spans="1:7">
      <c r="A4" s="52" t="s">
        <v>512</v>
      </c>
      <c r="B4" s="61">
        <v>0.04</v>
      </c>
    </row>
    <row r="5" spans="1:7">
      <c r="A5" s="52" t="s">
        <v>616</v>
      </c>
      <c r="B5" s="61">
        <v>0.25</v>
      </c>
    </row>
    <row r="6" spans="1:7">
      <c r="A6" s="63" t="s">
        <v>418</v>
      </c>
      <c r="B6" s="51">
        <v>100000</v>
      </c>
    </row>
    <row r="7" spans="1:7">
      <c r="A7" s="63" t="s">
        <v>635</v>
      </c>
      <c r="B7" s="61">
        <v>0.03</v>
      </c>
    </row>
    <row r="9" spans="1:7">
      <c r="B9" s="19" t="s">
        <v>370</v>
      </c>
    </row>
    <row r="10" spans="1:7">
      <c r="A10" s="87" t="s">
        <v>368</v>
      </c>
      <c r="B10" s="87" t="s">
        <v>581</v>
      </c>
    </row>
    <row r="11" spans="1:7">
      <c r="A11" s="87" t="s">
        <v>580</v>
      </c>
      <c r="B11" s="19" t="s">
        <v>582</v>
      </c>
      <c r="C11" s="24" t="s">
        <v>632</v>
      </c>
      <c r="D11" s="87" t="s">
        <v>631</v>
      </c>
      <c r="E11" s="87" t="s">
        <v>633</v>
      </c>
      <c r="G11" s="87" t="s">
        <v>634</v>
      </c>
    </row>
    <row r="12" spans="1:7">
      <c r="A12" s="87">
        <v>1</v>
      </c>
      <c r="B12" s="5">
        <v>-2.6816996978595853</v>
      </c>
      <c r="C12" s="24">
        <f t="shared" ref="C12:C75" si="0">B$6*EXP(B12*B$5*SQRT(10)+10*(B$4-(B$5^2)/2))</f>
        <v>13099.845346577871</v>
      </c>
      <c r="D12" s="24">
        <f>C12*(0.97^10)</f>
        <v>9660.1420171587743</v>
      </c>
      <c r="E12" s="24">
        <f t="shared" ref="E12:E75" si="1">MAX(B$6-D12,0)</f>
        <v>90339.857982841233</v>
      </c>
      <c r="G12" s="74">
        <f>AVERAGE(E12:E1011)/(EXP(10*B4))</f>
        <v>18384.745169443471</v>
      </c>
    </row>
    <row r="13" spans="1:7">
      <c r="A13" s="87">
        <v>2</v>
      </c>
      <c r="B13" s="5">
        <v>-0.16122839952004142</v>
      </c>
      <c r="C13" s="24">
        <f t="shared" si="0"/>
        <v>96082.571780841055</v>
      </c>
      <c r="D13" s="24">
        <f t="shared" ref="D13:D76" si="2">C13*(0.97^10)</f>
        <v>70853.606605305977</v>
      </c>
      <c r="E13" s="24">
        <f t="shared" si="1"/>
        <v>29146.393394694023</v>
      </c>
    </row>
    <row r="14" spans="1:7">
      <c r="A14" s="87">
        <v>3</v>
      </c>
      <c r="B14" s="5">
        <v>-0.59054286793980282</v>
      </c>
      <c r="C14" s="24">
        <f t="shared" si="0"/>
        <v>68429.57103825688</v>
      </c>
      <c r="D14" s="24">
        <f t="shared" si="2"/>
        <v>50461.616676681042</v>
      </c>
      <c r="E14" s="24">
        <f t="shared" si="1"/>
        <v>49538.383323318958</v>
      </c>
    </row>
    <row r="15" spans="1:7">
      <c r="A15" s="87">
        <v>4</v>
      </c>
      <c r="B15" s="5">
        <v>-0.16820649761939421</v>
      </c>
      <c r="C15" s="24">
        <f t="shared" si="0"/>
        <v>95553.975237163686</v>
      </c>
      <c r="D15" s="24">
        <f t="shared" si="2"/>
        <v>70463.806760605017</v>
      </c>
      <c r="E15" s="24">
        <f t="shared" si="1"/>
        <v>29536.193239394983</v>
      </c>
    </row>
    <row r="16" spans="1:7">
      <c r="A16" s="87">
        <v>5</v>
      </c>
      <c r="B16" s="5">
        <v>-1.0820190254889894</v>
      </c>
      <c r="C16" s="24">
        <f t="shared" si="0"/>
        <v>46398.124490078932</v>
      </c>
      <c r="D16" s="24">
        <f t="shared" si="2"/>
        <v>34215.096441658643</v>
      </c>
      <c r="E16" s="24">
        <f t="shared" si="1"/>
        <v>65784.90355834135</v>
      </c>
    </row>
    <row r="17" spans="1:5">
      <c r="A17" s="87">
        <v>6</v>
      </c>
      <c r="B17" s="5">
        <v>-0.36950268622604199</v>
      </c>
      <c r="C17" s="24">
        <f t="shared" si="0"/>
        <v>81495.896026990449</v>
      </c>
      <c r="D17" s="24">
        <f t="shared" si="2"/>
        <v>60097.039973223276</v>
      </c>
      <c r="E17" s="24">
        <f t="shared" si="1"/>
        <v>39902.960026776724</v>
      </c>
    </row>
    <row r="18" spans="1:5">
      <c r="A18" s="87">
        <v>7</v>
      </c>
      <c r="B18" s="5">
        <v>0.33159381018776912</v>
      </c>
      <c r="C18" s="24">
        <f t="shared" si="0"/>
        <v>141856.80176913957</v>
      </c>
      <c r="D18" s="24">
        <f t="shared" si="2"/>
        <v>104608.62818871465</v>
      </c>
      <c r="E18" s="24">
        <f t="shared" si="1"/>
        <v>0</v>
      </c>
    </row>
    <row r="19" spans="1:5">
      <c r="A19" s="87">
        <v>8</v>
      </c>
      <c r="B19" s="5">
        <v>0.68062490754527971</v>
      </c>
      <c r="C19" s="24">
        <f t="shared" si="0"/>
        <v>186933.21630506002</v>
      </c>
      <c r="D19" s="24">
        <f t="shared" si="2"/>
        <v>137849.06382141964</v>
      </c>
      <c r="E19" s="24">
        <f t="shared" si="1"/>
        <v>0</v>
      </c>
    </row>
    <row r="20" spans="1:5">
      <c r="A20" s="87">
        <v>9</v>
      </c>
      <c r="B20" s="5">
        <v>1.3805265552946366</v>
      </c>
      <c r="C20" s="24">
        <f t="shared" si="0"/>
        <v>325080.30927230197</v>
      </c>
      <c r="D20" s="24">
        <f t="shared" si="2"/>
        <v>239722.06323586052</v>
      </c>
      <c r="E20" s="24">
        <f t="shared" si="1"/>
        <v>0</v>
      </c>
    </row>
    <row r="21" spans="1:5">
      <c r="A21" s="87">
        <v>10</v>
      </c>
      <c r="B21" s="5">
        <v>-0.69477209763135761</v>
      </c>
      <c r="C21" s="24">
        <f t="shared" si="0"/>
        <v>63017.005288092776</v>
      </c>
      <c r="D21" s="24">
        <f t="shared" si="2"/>
        <v>46470.260104104891</v>
      </c>
      <c r="E21" s="24">
        <f t="shared" si="1"/>
        <v>53529.739895895109</v>
      </c>
    </row>
    <row r="22" spans="1:5">
      <c r="A22" s="87">
        <v>11</v>
      </c>
      <c r="B22" s="5">
        <v>-1.508078639744781</v>
      </c>
      <c r="C22" s="24">
        <f t="shared" si="0"/>
        <v>33129.672730747145</v>
      </c>
      <c r="D22" s="24">
        <f t="shared" si="2"/>
        <v>24430.619987785925</v>
      </c>
      <c r="E22" s="24">
        <f t="shared" si="1"/>
        <v>75569.380012214067</v>
      </c>
    </row>
    <row r="23" spans="1:5">
      <c r="A23" s="87">
        <v>12</v>
      </c>
      <c r="B23" s="5">
        <v>1.2329428500379436</v>
      </c>
      <c r="C23" s="24">
        <f t="shared" si="0"/>
        <v>289280.58333923633</v>
      </c>
      <c r="D23" s="24">
        <f t="shared" si="2"/>
        <v>213322.48159659185</v>
      </c>
      <c r="E23" s="24">
        <f t="shared" si="1"/>
        <v>0</v>
      </c>
    </row>
    <row r="24" spans="1:5">
      <c r="A24" s="87">
        <v>13</v>
      </c>
      <c r="B24" s="5">
        <v>1.443104338250123</v>
      </c>
      <c r="C24" s="24">
        <f t="shared" si="0"/>
        <v>341567.16582765244</v>
      </c>
      <c r="D24" s="24">
        <f t="shared" si="2"/>
        <v>251879.86903643174</v>
      </c>
      <c r="E24" s="24">
        <f t="shared" si="1"/>
        <v>0</v>
      </c>
    </row>
    <row r="25" spans="1:5">
      <c r="A25" s="87">
        <v>14</v>
      </c>
      <c r="B25" s="5">
        <v>0.33830929169198498</v>
      </c>
      <c r="C25" s="24">
        <f t="shared" si="0"/>
        <v>142611.92996497813</v>
      </c>
      <c r="D25" s="24">
        <f t="shared" si="2"/>
        <v>105165.47793922464</v>
      </c>
      <c r="E25" s="24">
        <f t="shared" si="1"/>
        <v>0</v>
      </c>
    </row>
    <row r="26" spans="1:5">
      <c r="A26" s="87">
        <v>15</v>
      </c>
      <c r="B26" s="5">
        <v>0.14597844710806385</v>
      </c>
      <c r="C26" s="24">
        <f t="shared" si="0"/>
        <v>122495.74338788571</v>
      </c>
      <c r="D26" s="24">
        <f t="shared" si="2"/>
        <v>90331.316616156793</v>
      </c>
      <c r="E26" s="24">
        <f t="shared" si="1"/>
        <v>9668.6833838432067</v>
      </c>
    </row>
    <row r="27" spans="1:5">
      <c r="A27" s="87">
        <v>16</v>
      </c>
      <c r="B27" s="5">
        <v>0.5645119927066844</v>
      </c>
      <c r="C27" s="24">
        <f t="shared" si="0"/>
        <v>170537.6514301142</v>
      </c>
      <c r="D27" s="24">
        <f t="shared" si="2"/>
        <v>125758.57870856357</v>
      </c>
      <c r="E27" s="24">
        <f t="shared" si="1"/>
        <v>0</v>
      </c>
    </row>
    <row r="28" spans="1:5">
      <c r="A28" s="87">
        <v>17</v>
      </c>
      <c r="B28" s="5">
        <v>0.62337676354218274</v>
      </c>
      <c r="C28" s="24">
        <f t="shared" si="0"/>
        <v>178661.4705598666</v>
      </c>
      <c r="D28" s="24">
        <f t="shared" si="2"/>
        <v>131749.27893737354</v>
      </c>
      <c r="E28" s="24">
        <f t="shared" si="1"/>
        <v>0</v>
      </c>
    </row>
    <row r="29" spans="1:5">
      <c r="A29" s="87">
        <v>18</v>
      </c>
      <c r="B29" s="5">
        <v>1.0780422599054873</v>
      </c>
      <c r="C29" s="24">
        <f t="shared" si="0"/>
        <v>255938.56233346273</v>
      </c>
      <c r="D29" s="24">
        <f t="shared" si="2"/>
        <v>188735.2708674969</v>
      </c>
      <c r="E29" s="24">
        <f t="shared" si="1"/>
        <v>0</v>
      </c>
    </row>
    <row r="30" spans="1:5">
      <c r="A30" s="87">
        <v>19</v>
      </c>
      <c r="B30" s="5">
        <v>-2.9571083359769545E-2</v>
      </c>
      <c r="C30" s="24">
        <f t="shared" si="0"/>
        <v>106622.24762868838</v>
      </c>
      <c r="D30" s="24">
        <f t="shared" si="2"/>
        <v>78625.817865160352</v>
      </c>
      <c r="E30" s="24">
        <f t="shared" si="1"/>
        <v>21374.182134839648</v>
      </c>
    </row>
    <row r="31" spans="1:5">
      <c r="A31" s="87">
        <v>20</v>
      </c>
      <c r="B31" s="5">
        <v>-0.26401039576740004</v>
      </c>
      <c r="C31" s="24">
        <f t="shared" si="0"/>
        <v>88584.034321471627</v>
      </c>
      <c r="D31" s="24">
        <f t="shared" si="2"/>
        <v>65324.004166341569</v>
      </c>
      <c r="E31" s="24">
        <f t="shared" si="1"/>
        <v>34675.995833658431</v>
      </c>
    </row>
    <row r="32" spans="1:5">
      <c r="A32" s="87">
        <v>21</v>
      </c>
      <c r="B32" s="5">
        <v>-0.38675807445542887</v>
      </c>
      <c r="C32" s="24">
        <f t="shared" si="0"/>
        <v>80391.711598751295</v>
      </c>
      <c r="D32" s="24">
        <f t="shared" si="2"/>
        <v>59282.787735298043</v>
      </c>
      <c r="E32" s="24">
        <f t="shared" si="1"/>
        <v>40717.212264701957</v>
      </c>
    </row>
    <row r="33" spans="1:5">
      <c r="A33" s="87">
        <v>22</v>
      </c>
      <c r="B33" s="5">
        <v>0.78667653724551201</v>
      </c>
      <c r="C33" s="24">
        <f t="shared" si="0"/>
        <v>203281.67846015113</v>
      </c>
      <c r="D33" s="24">
        <f t="shared" si="2"/>
        <v>149904.81425221247</v>
      </c>
      <c r="E33" s="24">
        <f t="shared" si="1"/>
        <v>0</v>
      </c>
    </row>
    <row r="34" spans="1:5">
      <c r="A34" s="87">
        <v>23</v>
      </c>
      <c r="B34" s="5">
        <v>-1.1938141142309178</v>
      </c>
      <c r="C34" s="24">
        <f t="shared" si="0"/>
        <v>42473.368671642405</v>
      </c>
      <c r="D34" s="24">
        <f t="shared" si="2"/>
        <v>31320.886808972296</v>
      </c>
      <c r="E34" s="24">
        <f t="shared" si="1"/>
        <v>68679.113191027704</v>
      </c>
    </row>
    <row r="35" spans="1:5">
      <c r="A35" s="87">
        <v>24</v>
      </c>
      <c r="B35" s="5">
        <v>-1.0700091479520779</v>
      </c>
      <c r="C35" s="24">
        <f t="shared" si="0"/>
        <v>46840.756053933444</v>
      </c>
      <c r="D35" s="24">
        <f t="shared" si="2"/>
        <v>34541.503636170193</v>
      </c>
      <c r="E35" s="24">
        <f t="shared" si="1"/>
        <v>65458.496363829807</v>
      </c>
    </row>
    <row r="36" spans="1:5">
      <c r="A36" s="87">
        <v>25</v>
      </c>
      <c r="B36" s="5">
        <v>0.53735675464849919</v>
      </c>
      <c r="C36" s="24">
        <f t="shared" si="0"/>
        <v>166915.55088283075</v>
      </c>
      <c r="D36" s="24">
        <f t="shared" si="2"/>
        <v>123087.55437495743</v>
      </c>
      <c r="E36" s="24">
        <f t="shared" si="1"/>
        <v>0</v>
      </c>
    </row>
    <row r="37" spans="1:5">
      <c r="A37" s="87">
        <v>26</v>
      </c>
      <c r="B37" s="5">
        <v>-5.6294311434612609E-2</v>
      </c>
      <c r="C37" s="24">
        <f t="shared" si="0"/>
        <v>104393.31336057775</v>
      </c>
      <c r="D37" s="24">
        <f t="shared" si="2"/>
        <v>76982.147958592701</v>
      </c>
      <c r="E37" s="24">
        <f t="shared" si="1"/>
        <v>23017.852041407299</v>
      </c>
    </row>
    <row r="38" spans="1:5">
      <c r="A38" s="87">
        <v>27</v>
      </c>
      <c r="B38" s="5">
        <v>-1.0869780453504063</v>
      </c>
      <c r="C38" s="24">
        <f t="shared" si="0"/>
        <v>46216.57909162651</v>
      </c>
      <c r="D38" s="24">
        <f t="shared" si="2"/>
        <v>34081.220484713071</v>
      </c>
      <c r="E38" s="24">
        <f t="shared" si="1"/>
        <v>65918.779515286937</v>
      </c>
    </row>
    <row r="39" spans="1:5">
      <c r="A39" s="87">
        <v>28</v>
      </c>
      <c r="B39" s="5">
        <v>0.35398556974541862</v>
      </c>
      <c r="C39" s="24">
        <f t="shared" si="0"/>
        <v>144390.34347706483</v>
      </c>
      <c r="D39" s="24">
        <f t="shared" si="2"/>
        <v>106476.92297063333</v>
      </c>
      <c r="E39" s="24">
        <f t="shared" si="1"/>
        <v>0</v>
      </c>
    </row>
    <row r="40" spans="1:5">
      <c r="A40" s="87">
        <v>29</v>
      </c>
      <c r="B40" s="5">
        <v>1.4107126844464801</v>
      </c>
      <c r="C40" s="24">
        <f t="shared" si="0"/>
        <v>332931.40831367089</v>
      </c>
      <c r="D40" s="24">
        <f t="shared" si="2"/>
        <v>245511.65309160759</v>
      </c>
      <c r="E40" s="24">
        <f t="shared" si="1"/>
        <v>0</v>
      </c>
    </row>
    <row r="41" spans="1:5">
      <c r="A41" s="87">
        <v>30</v>
      </c>
      <c r="B41" s="5">
        <v>9.4501046987716109E-2</v>
      </c>
      <c r="C41" s="24">
        <f t="shared" si="0"/>
        <v>117610.67714894442</v>
      </c>
      <c r="D41" s="24">
        <f t="shared" si="2"/>
        <v>86728.950910081621</v>
      </c>
      <c r="E41" s="24">
        <f t="shared" si="1"/>
        <v>13271.049089918379</v>
      </c>
    </row>
    <row r="42" spans="1:5">
      <c r="A42" s="87">
        <v>31</v>
      </c>
      <c r="B42" s="5">
        <v>-0.34723370845313184</v>
      </c>
      <c r="C42" s="24">
        <f t="shared" si="0"/>
        <v>82943.349300539354</v>
      </c>
      <c r="D42" s="24">
        <f t="shared" si="2"/>
        <v>61164.426939691286</v>
      </c>
      <c r="E42" s="24">
        <f t="shared" si="1"/>
        <v>38835.573060308714</v>
      </c>
    </row>
    <row r="43" spans="1:5">
      <c r="A43" s="87">
        <v>32</v>
      </c>
      <c r="B43" s="5">
        <v>-1.0623102753015701</v>
      </c>
      <c r="C43" s="24">
        <f t="shared" si="0"/>
        <v>47126.721379581395</v>
      </c>
      <c r="D43" s="24">
        <f t="shared" si="2"/>
        <v>34752.38136675836</v>
      </c>
      <c r="E43" s="24">
        <f t="shared" si="1"/>
        <v>65247.61863324164</v>
      </c>
    </row>
    <row r="44" spans="1:5">
      <c r="A44" s="87">
        <v>33</v>
      </c>
      <c r="B44" s="5">
        <v>0.39667042983637657</v>
      </c>
      <c r="C44" s="24">
        <f t="shared" si="0"/>
        <v>149345.99015660831</v>
      </c>
      <c r="D44" s="24">
        <f t="shared" si="2"/>
        <v>110131.33639649543</v>
      </c>
      <c r="E44" s="24">
        <f t="shared" si="1"/>
        <v>0</v>
      </c>
    </row>
    <row r="45" spans="1:5">
      <c r="A45" s="87">
        <v>34</v>
      </c>
      <c r="B45" s="5">
        <v>-0.88022943600662984</v>
      </c>
      <c r="C45" s="24">
        <f t="shared" si="0"/>
        <v>54423.04664239235</v>
      </c>
      <c r="D45" s="24">
        <f t="shared" si="2"/>
        <v>40132.867653228132</v>
      </c>
      <c r="E45" s="24">
        <f t="shared" si="1"/>
        <v>59867.132346771868</v>
      </c>
    </row>
    <row r="46" spans="1:5">
      <c r="A46" s="87">
        <v>35</v>
      </c>
      <c r="B46" s="5">
        <v>-1.7175443645101041</v>
      </c>
      <c r="C46" s="24">
        <f t="shared" si="0"/>
        <v>28073.670450129663</v>
      </c>
      <c r="D46" s="24">
        <f t="shared" si="2"/>
        <v>20702.201920422813</v>
      </c>
      <c r="E46" s="24">
        <f t="shared" si="1"/>
        <v>79297.798079577187</v>
      </c>
    </row>
    <row r="47" spans="1:5">
      <c r="A47" s="87">
        <v>36</v>
      </c>
      <c r="B47" s="5">
        <v>0.35219500205130316</v>
      </c>
      <c r="C47" s="24">
        <f t="shared" si="0"/>
        <v>144186.09371827976</v>
      </c>
      <c r="D47" s="24">
        <f t="shared" si="2"/>
        <v>106326.30427059275</v>
      </c>
      <c r="E47" s="24">
        <f t="shared" si="1"/>
        <v>0</v>
      </c>
    </row>
    <row r="48" spans="1:5">
      <c r="A48" s="87">
        <v>37</v>
      </c>
      <c r="B48" s="5">
        <v>-0.55636746765230782</v>
      </c>
      <c r="C48" s="24">
        <f t="shared" si="0"/>
        <v>70303.605338042616</v>
      </c>
      <c r="D48" s="24">
        <f t="shared" si="2"/>
        <v>51843.574783971693</v>
      </c>
      <c r="E48" s="24">
        <f t="shared" si="1"/>
        <v>48156.425216028307</v>
      </c>
    </row>
    <row r="49" spans="1:5">
      <c r="A49" s="87">
        <v>38</v>
      </c>
      <c r="B49" s="5">
        <v>0.92694790509995073</v>
      </c>
      <c r="C49" s="24">
        <f t="shared" si="0"/>
        <v>227121.89349205661</v>
      </c>
      <c r="D49" s="24">
        <f t="shared" si="2"/>
        <v>167485.16400710272</v>
      </c>
      <c r="E49" s="24">
        <f t="shared" si="1"/>
        <v>0</v>
      </c>
    </row>
    <row r="50" spans="1:5">
      <c r="A50" s="87">
        <v>39</v>
      </c>
      <c r="B50" s="5">
        <v>1.1438328328949865</v>
      </c>
      <c r="C50" s="24">
        <f t="shared" si="0"/>
        <v>269602.71233999194</v>
      </c>
      <c r="D50" s="24">
        <f t="shared" si="2"/>
        <v>198811.54475582304</v>
      </c>
      <c r="E50" s="24">
        <f t="shared" si="1"/>
        <v>0</v>
      </c>
    </row>
    <row r="51" spans="1:5">
      <c r="A51" s="87">
        <v>40</v>
      </c>
      <c r="B51" s="5">
        <v>1.3630824469146319</v>
      </c>
      <c r="C51" s="24">
        <f t="shared" si="0"/>
        <v>320627.9698908304</v>
      </c>
      <c r="D51" s="24">
        <f t="shared" si="2"/>
        <v>236438.80075483894</v>
      </c>
      <c r="E51" s="24">
        <f t="shared" si="1"/>
        <v>0</v>
      </c>
    </row>
    <row r="52" spans="1:5">
      <c r="A52" s="87">
        <v>41</v>
      </c>
      <c r="B52" s="5">
        <v>-0.61725813793600537</v>
      </c>
      <c r="C52" s="24">
        <f t="shared" si="0"/>
        <v>66999.474826516962</v>
      </c>
      <c r="D52" s="24">
        <f t="shared" si="2"/>
        <v>49407.029226362989</v>
      </c>
      <c r="E52" s="24">
        <f t="shared" si="1"/>
        <v>50592.970773637011</v>
      </c>
    </row>
    <row r="53" spans="1:5">
      <c r="A53" s="87">
        <v>42</v>
      </c>
      <c r="B53" s="5">
        <v>-1.133300884248456</v>
      </c>
      <c r="C53" s="24">
        <f t="shared" si="0"/>
        <v>44554.678661428166</v>
      </c>
      <c r="D53" s="24">
        <f t="shared" si="2"/>
        <v>32855.695010987751</v>
      </c>
      <c r="E53" s="24">
        <f t="shared" si="1"/>
        <v>67144.304989012249</v>
      </c>
    </row>
    <row r="54" spans="1:5">
      <c r="A54" s="87">
        <v>43</v>
      </c>
      <c r="B54" s="5">
        <v>-0.75120624387636781</v>
      </c>
      <c r="C54" s="24">
        <f t="shared" si="0"/>
        <v>60267.290182847901</v>
      </c>
      <c r="D54" s="24">
        <f t="shared" si="2"/>
        <v>44442.553843409893</v>
      </c>
      <c r="E54" s="24">
        <f t="shared" si="1"/>
        <v>55557.446156590107</v>
      </c>
    </row>
    <row r="55" spans="1:5">
      <c r="A55" s="87">
        <v>44</v>
      </c>
      <c r="B55" s="5">
        <v>-1.7269849195145071</v>
      </c>
      <c r="C55" s="24">
        <f t="shared" si="0"/>
        <v>27864.92496967316</v>
      </c>
      <c r="D55" s="24">
        <f t="shared" si="2"/>
        <v>20548.267966753912</v>
      </c>
      <c r="E55" s="24">
        <f t="shared" si="1"/>
        <v>79451.73203324608</v>
      </c>
    </row>
    <row r="56" spans="1:5">
      <c r="A56" s="87">
        <v>45</v>
      </c>
      <c r="B56" s="5">
        <v>-0.40869963413570076</v>
      </c>
      <c r="C56" s="24">
        <f t="shared" si="0"/>
        <v>79009.235863763577</v>
      </c>
      <c r="D56" s="24">
        <f t="shared" si="2"/>
        <v>58263.316773471306</v>
      </c>
      <c r="E56" s="24">
        <f t="shared" si="1"/>
        <v>41736.683226528694</v>
      </c>
    </row>
    <row r="57" spans="1:5">
      <c r="A57" s="87">
        <v>46</v>
      </c>
      <c r="B57" s="5">
        <v>-4.4881289795739576E-2</v>
      </c>
      <c r="C57" s="24">
        <f t="shared" si="0"/>
        <v>105339.49404399842</v>
      </c>
      <c r="D57" s="24">
        <f t="shared" si="2"/>
        <v>77679.884422949021</v>
      </c>
      <c r="E57" s="24">
        <f t="shared" si="1"/>
        <v>22320.115577050979</v>
      </c>
    </row>
    <row r="58" spans="1:5">
      <c r="A58" s="87">
        <v>47</v>
      </c>
      <c r="B58" s="5">
        <v>0.2734486770350486</v>
      </c>
      <c r="C58" s="24">
        <f t="shared" si="0"/>
        <v>135483.56570252217</v>
      </c>
      <c r="D58" s="24">
        <f t="shared" si="2"/>
        <v>99908.850146794051</v>
      </c>
      <c r="E58" s="24">
        <f t="shared" si="1"/>
        <v>91.149853205948602</v>
      </c>
    </row>
    <row r="59" spans="1:5">
      <c r="A59" s="87">
        <v>48</v>
      </c>
      <c r="B59" s="5">
        <v>-1.3010458133067004</v>
      </c>
      <c r="C59" s="24">
        <f t="shared" si="0"/>
        <v>39021.124698420099</v>
      </c>
      <c r="D59" s="24">
        <f t="shared" si="2"/>
        <v>28775.118811190561</v>
      </c>
      <c r="E59" s="24">
        <f t="shared" si="1"/>
        <v>71224.881188809435</v>
      </c>
    </row>
    <row r="60" spans="1:5">
      <c r="A60" s="87">
        <v>49</v>
      </c>
      <c r="B60" s="5">
        <v>-2.6061752578243613</v>
      </c>
      <c r="C60" s="24">
        <f t="shared" si="0"/>
        <v>13905.823884905363</v>
      </c>
      <c r="D60" s="24">
        <f t="shared" si="2"/>
        <v>10254.490037080976</v>
      </c>
      <c r="E60" s="24">
        <f t="shared" si="1"/>
        <v>89745.509962919023</v>
      </c>
    </row>
    <row r="61" spans="1:5">
      <c r="A61" s="87">
        <v>50</v>
      </c>
      <c r="B61" s="5">
        <v>0.64460891735507175</v>
      </c>
      <c r="C61" s="24">
        <f t="shared" si="0"/>
        <v>181685.70173748446</v>
      </c>
      <c r="D61" s="24">
        <f t="shared" si="2"/>
        <v>133979.41997305682</v>
      </c>
      <c r="E61" s="24">
        <f t="shared" si="1"/>
        <v>0</v>
      </c>
    </row>
    <row r="62" spans="1:5">
      <c r="A62" s="87">
        <v>51</v>
      </c>
      <c r="B62" s="5">
        <v>1.3012231647735462</v>
      </c>
      <c r="C62" s="24">
        <f t="shared" si="0"/>
        <v>305325.19514706591</v>
      </c>
      <c r="D62" s="24">
        <f t="shared" si="2"/>
        <v>225154.16545034864</v>
      </c>
      <c r="E62" s="24">
        <f t="shared" si="1"/>
        <v>0</v>
      </c>
    </row>
    <row r="63" spans="1:5">
      <c r="A63" s="87">
        <v>52</v>
      </c>
      <c r="B63" s="5">
        <v>0.13740191207034513</v>
      </c>
      <c r="C63" s="24">
        <f t="shared" si="0"/>
        <v>121667.98923004237</v>
      </c>
      <c r="D63" s="24">
        <f t="shared" si="2"/>
        <v>89720.91072902552</v>
      </c>
      <c r="E63" s="24">
        <f t="shared" si="1"/>
        <v>10279.08927097448</v>
      </c>
    </row>
    <row r="64" spans="1:5">
      <c r="A64" s="87">
        <v>53</v>
      </c>
      <c r="B64" s="5">
        <v>1.44636032928247</v>
      </c>
      <c r="C64" s="24">
        <f t="shared" si="0"/>
        <v>342447.52197402605</v>
      </c>
      <c r="D64" s="24">
        <f t="shared" si="2"/>
        <v>252529.0648990279</v>
      </c>
      <c r="E64" s="24">
        <f t="shared" si="1"/>
        <v>0</v>
      </c>
    </row>
    <row r="65" spans="1:5">
      <c r="A65" s="87">
        <v>54</v>
      </c>
      <c r="B65" s="5">
        <v>-1.2820214578823652</v>
      </c>
      <c r="C65" s="24">
        <f t="shared" si="0"/>
        <v>39612.440856267378</v>
      </c>
      <c r="D65" s="24">
        <f t="shared" si="2"/>
        <v>29211.169612609952</v>
      </c>
      <c r="E65" s="24">
        <f t="shared" si="1"/>
        <v>70788.830387390044</v>
      </c>
    </row>
    <row r="66" spans="1:5">
      <c r="A66" s="87">
        <v>55</v>
      </c>
      <c r="B66" s="5">
        <v>-0.18973992155224551</v>
      </c>
      <c r="C66" s="24">
        <f t="shared" si="0"/>
        <v>93941.064026599794</v>
      </c>
      <c r="D66" s="24">
        <f t="shared" si="2"/>
        <v>69274.407119395895</v>
      </c>
      <c r="E66" s="24">
        <f t="shared" si="1"/>
        <v>30725.592880604105</v>
      </c>
    </row>
    <row r="67" spans="1:5">
      <c r="A67" s="87">
        <v>56</v>
      </c>
      <c r="B67" s="5">
        <v>-0.5867218533239793</v>
      </c>
      <c r="C67" s="24">
        <f t="shared" si="0"/>
        <v>68636.594060189265</v>
      </c>
      <c r="D67" s="24">
        <f t="shared" si="2"/>
        <v>50614.280447876685</v>
      </c>
      <c r="E67" s="24">
        <f t="shared" si="1"/>
        <v>49385.719552123315</v>
      </c>
    </row>
    <row r="68" spans="1:5">
      <c r="A68" s="87">
        <v>57</v>
      </c>
      <c r="B68" s="5">
        <v>0.32030015972850379</v>
      </c>
      <c r="C68" s="24">
        <f t="shared" si="0"/>
        <v>140595.88280383594</v>
      </c>
      <c r="D68" s="24">
        <f t="shared" si="2"/>
        <v>103678.79612164036</v>
      </c>
      <c r="E68" s="24">
        <f t="shared" si="1"/>
        <v>0</v>
      </c>
    </row>
    <row r="69" spans="1:5">
      <c r="A69" s="87">
        <v>58</v>
      </c>
      <c r="B69" s="5">
        <v>-0.92906475401832722</v>
      </c>
      <c r="C69" s="24">
        <f t="shared" si="0"/>
        <v>52361.940802612393</v>
      </c>
      <c r="D69" s="24">
        <f t="shared" si="2"/>
        <v>38612.958478890359</v>
      </c>
      <c r="E69" s="24">
        <f t="shared" si="1"/>
        <v>61387.041521109641</v>
      </c>
    </row>
    <row r="70" spans="1:5">
      <c r="A70" s="87">
        <v>59</v>
      </c>
      <c r="B70" s="5">
        <v>-0.53700205171480775</v>
      </c>
      <c r="C70" s="24">
        <f t="shared" si="0"/>
        <v>71388.214171013329</v>
      </c>
      <c r="D70" s="24">
        <f t="shared" si="2"/>
        <v>52643.391505647647</v>
      </c>
      <c r="E70" s="24">
        <f t="shared" si="1"/>
        <v>47356.608494352353</v>
      </c>
    </row>
    <row r="71" spans="1:5">
      <c r="A71" s="87">
        <v>60</v>
      </c>
      <c r="B71" s="5">
        <v>-4.0287204683409072E-2</v>
      </c>
      <c r="C71" s="24">
        <f t="shared" si="0"/>
        <v>105722.77671007533</v>
      </c>
      <c r="D71" s="24">
        <f t="shared" si="2"/>
        <v>77962.526308334753</v>
      </c>
      <c r="E71" s="24">
        <f t="shared" si="1"/>
        <v>22037.473691665247</v>
      </c>
    </row>
    <row r="72" spans="1:5">
      <c r="A72" s="87">
        <v>61</v>
      </c>
      <c r="B72" s="5">
        <v>-0.84559587776311673</v>
      </c>
      <c r="C72" s="24">
        <f t="shared" si="0"/>
        <v>55933.749600699579</v>
      </c>
      <c r="D72" s="24">
        <f t="shared" si="2"/>
        <v>41246.896463255427</v>
      </c>
      <c r="E72" s="24">
        <f t="shared" si="1"/>
        <v>58753.103536744573</v>
      </c>
    </row>
    <row r="73" spans="1:5">
      <c r="A73" s="87">
        <v>62</v>
      </c>
      <c r="B73" s="5">
        <v>1.7722231859806925</v>
      </c>
      <c r="C73" s="24">
        <f t="shared" si="0"/>
        <v>443073.48358358338</v>
      </c>
      <c r="D73" s="24">
        <f t="shared" si="2"/>
        <v>326733.07678191829</v>
      </c>
      <c r="E73" s="24">
        <f t="shared" si="1"/>
        <v>0</v>
      </c>
    </row>
    <row r="74" spans="1:5">
      <c r="A74" s="87">
        <v>63</v>
      </c>
      <c r="B74" s="5">
        <v>-0.81706275523174554</v>
      </c>
      <c r="C74" s="24">
        <f t="shared" si="0"/>
        <v>57209.808532833595</v>
      </c>
      <c r="D74" s="24">
        <f t="shared" si="2"/>
        <v>42187.893107150827</v>
      </c>
      <c r="E74" s="24">
        <f t="shared" si="1"/>
        <v>57812.106892849173</v>
      </c>
    </row>
    <row r="75" spans="1:5">
      <c r="A75" s="87">
        <v>64</v>
      </c>
      <c r="B75" s="5">
        <v>0.2481999672454549</v>
      </c>
      <c r="C75" s="24">
        <f t="shared" si="0"/>
        <v>132806.00958357228</v>
      </c>
      <c r="D75" s="24">
        <f t="shared" si="2"/>
        <v>97934.355663565249</v>
      </c>
      <c r="E75" s="24">
        <f t="shared" si="1"/>
        <v>2065.6443364347506</v>
      </c>
    </row>
    <row r="76" spans="1:5">
      <c r="A76" s="87">
        <v>65</v>
      </c>
      <c r="B76" s="5">
        <v>-0.3548007043718826</v>
      </c>
      <c r="C76" s="24">
        <f t="shared" ref="C76:C139" si="3">B$6*EXP(B76*B$5*SQRT(10)+10*(B$4-(B$5^2)/2))</f>
        <v>82448.643846400897</v>
      </c>
      <c r="D76" s="24">
        <f t="shared" si="2"/>
        <v>60799.619202103073</v>
      </c>
      <c r="E76" s="24">
        <f t="shared" ref="E76:E139" si="4">MAX(B$6-D76,0)</f>
        <v>39200.380797896927</v>
      </c>
    </row>
    <row r="77" spans="1:5">
      <c r="A77" s="87">
        <v>66</v>
      </c>
      <c r="B77" s="5">
        <v>0.89212562670581974</v>
      </c>
      <c r="C77" s="24">
        <f t="shared" si="3"/>
        <v>220954.63762571663</v>
      </c>
      <c r="D77" s="24">
        <f t="shared" ref="D77:D140" si="5">C77*(0.97^10)</f>
        <v>162937.28073452934</v>
      </c>
      <c r="E77" s="24">
        <f t="shared" si="4"/>
        <v>0</v>
      </c>
    </row>
    <row r="78" spans="1:5">
      <c r="A78" s="87">
        <v>67</v>
      </c>
      <c r="B78" s="5">
        <v>-1.4595525499316864</v>
      </c>
      <c r="C78" s="24">
        <f t="shared" si="3"/>
        <v>34425.328269782352</v>
      </c>
      <c r="D78" s="24">
        <f t="shared" si="5"/>
        <v>25386.067642415539</v>
      </c>
      <c r="E78" s="24">
        <f t="shared" si="4"/>
        <v>74613.932357584461</v>
      </c>
    </row>
    <row r="79" spans="1:5">
      <c r="A79" s="87">
        <v>68</v>
      </c>
      <c r="B79" s="5">
        <v>-0.20198285710648634</v>
      </c>
      <c r="C79" s="24">
        <f t="shared" si="3"/>
        <v>93036.204844291176</v>
      </c>
      <c r="D79" s="24">
        <f t="shared" si="5"/>
        <v>68607.142126919105</v>
      </c>
      <c r="E79" s="24">
        <f t="shared" si="4"/>
        <v>31392.857873080895</v>
      </c>
    </row>
    <row r="80" spans="1:5">
      <c r="A80" s="87">
        <v>69</v>
      </c>
      <c r="B80" s="5">
        <v>0.24638666218379512</v>
      </c>
      <c r="C80" s="24">
        <f t="shared" si="3"/>
        <v>132615.76278497913</v>
      </c>
      <c r="D80" s="24">
        <f t="shared" si="5"/>
        <v>97794.063084218142</v>
      </c>
      <c r="E80" s="24">
        <f t="shared" si="4"/>
        <v>2205.9369157818583</v>
      </c>
    </row>
    <row r="81" spans="1:5">
      <c r="A81" s="87">
        <v>70</v>
      </c>
      <c r="B81" s="5">
        <v>-1.1010342859663069</v>
      </c>
      <c r="C81" s="24">
        <f t="shared" si="3"/>
        <v>45705.843424297302</v>
      </c>
      <c r="D81" s="24">
        <f t="shared" si="5"/>
        <v>33704.59168115873</v>
      </c>
      <c r="E81" s="24">
        <f t="shared" si="4"/>
        <v>66295.408318841277</v>
      </c>
    </row>
    <row r="82" spans="1:5">
      <c r="A82" s="87">
        <v>71</v>
      </c>
      <c r="B82" s="5">
        <v>0.29128159440006129</v>
      </c>
      <c r="C82" s="24">
        <f t="shared" si="3"/>
        <v>137407.16228494773</v>
      </c>
      <c r="D82" s="24">
        <f t="shared" si="5"/>
        <v>101327.35667708729</v>
      </c>
      <c r="E82" s="24">
        <f t="shared" si="4"/>
        <v>0</v>
      </c>
    </row>
    <row r="83" spans="1:5">
      <c r="A83" s="87">
        <v>72</v>
      </c>
      <c r="B83" s="5">
        <v>-4.0133727452484891E-2</v>
      </c>
      <c r="C83" s="24">
        <f t="shared" si="3"/>
        <v>105735.60529850677</v>
      </c>
      <c r="D83" s="24">
        <f t="shared" si="5"/>
        <v>77971.986418958099</v>
      </c>
      <c r="E83" s="24">
        <f t="shared" si="4"/>
        <v>22028.013581041901</v>
      </c>
    </row>
    <row r="84" spans="1:5">
      <c r="A84" s="87">
        <v>73</v>
      </c>
      <c r="B84" s="5">
        <v>0.5049332685302943</v>
      </c>
      <c r="C84" s="24">
        <f t="shared" si="3"/>
        <v>162691.37232917553</v>
      </c>
      <c r="D84" s="24">
        <f t="shared" si="5"/>
        <v>119972.54319317995</v>
      </c>
      <c r="E84" s="24">
        <f t="shared" si="4"/>
        <v>0</v>
      </c>
    </row>
    <row r="85" spans="1:5">
      <c r="A85" s="87">
        <v>74</v>
      </c>
      <c r="B85" s="5">
        <v>1.2815007721656002</v>
      </c>
      <c r="C85" s="24">
        <f t="shared" si="3"/>
        <v>300601.51036734268</v>
      </c>
      <c r="D85" s="24">
        <f t="shared" si="5"/>
        <v>221670.80632593439</v>
      </c>
      <c r="E85" s="24">
        <f t="shared" si="4"/>
        <v>0</v>
      </c>
    </row>
    <row r="86" spans="1:5">
      <c r="A86" s="87">
        <v>75</v>
      </c>
      <c r="B86" s="5">
        <v>-0.21042183107056189</v>
      </c>
      <c r="C86" s="24">
        <f t="shared" si="3"/>
        <v>92417.570924200525</v>
      </c>
      <c r="D86" s="24">
        <f t="shared" si="5"/>
        <v>68150.946548528678</v>
      </c>
      <c r="E86" s="24">
        <f t="shared" si="4"/>
        <v>31849.053451471322</v>
      </c>
    </row>
    <row r="87" spans="1:5">
      <c r="A87" s="87">
        <v>76</v>
      </c>
      <c r="B87" s="5">
        <v>-1.8142236513085663</v>
      </c>
      <c r="C87" s="24">
        <f t="shared" si="3"/>
        <v>26007.903047972886</v>
      </c>
      <c r="D87" s="24">
        <f t="shared" si="5"/>
        <v>19178.855197519348</v>
      </c>
      <c r="E87" s="24">
        <f t="shared" si="4"/>
        <v>80821.144802480645</v>
      </c>
    </row>
    <row r="88" spans="1:5">
      <c r="A88" s="87">
        <v>77</v>
      </c>
      <c r="B88" s="5">
        <v>-0.15905811778793577</v>
      </c>
      <c r="C88" s="24">
        <f t="shared" si="3"/>
        <v>96247.567762710256</v>
      </c>
      <c r="D88" s="24">
        <f t="shared" si="5"/>
        <v>70975.278623177044</v>
      </c>
      <c r="E88" s="24">
        <f t="shared" si="4"/>
        <v>29024.721376822956</v>
      </c>
    </row>
    <row r="89" spans="1:5">
      <c r="A89" s="87">
        <v>78</v>
      </c>
      <c r="B89" s="5">
        <v>0.46185505198081955</v>
      </c>
      <c r="C89" s="24">
        <f t="shared" si="3"/>
        <v>157243.98824083296</v>
      </c>
      <c r="D89" s="24">
        <f t="shared" si="5"/>
        <v>115955.5107379726</v>
      </c>
      <c r="E89" s="24">
        <f t="shared" si="4"/>
        <v>0</v>
      </c>
    </row>
    <row r="90" spans="1:5">
      <c r="A90" s="87">
        <v>79</v>
      </c>
      <c r="B90" s="5">
        <v>-8.8432443590136245E-2</v>
      </c>
      <c r="C90" s="24">
        <f t="shared" si="3"/>
        <v>101774.35947079946</v>
      </c>
      <c r="D90" s="24">
        <f t="shared" si="5"/>
        <v>75050.868173044859</v>
      </c>
      <c r="E90" s="24">
        <f t="shared" si="4"/>
        <v>24949.131826955141</v>
      </c>
    </row>
    <row r="91" spans="1:5">
      <c r="A91" s="87">
        <v>80</v>
      </c>
      <c r="B91" s="5">
        <v>5.1314827942405827E-2</v>
      </c>
      <c r="C91" s="24">
        <f t="shared" si="3"/>
        <v>113663.02153538018</v>
      </c>
      <c r="D91" s="24">
        <f t="shared" si="5"/>
        <v>83817.854415967144</v>
      </c>
      <c r="E91" s="24">
        <f t="shared" si="4"/>
        <v>16182.145584032856</v>
      </c>
    </row>
    <row r="92" spans="1:5">
      <c r="A92" s="87">
        <v>81</v>
      </c>
      <c r="B92" s="5">
        <v>0.71962631409405731</v>
      </c>
      <c r="C92" s="24">
        <f t="shared" si="3"/>
        <v>192786.7662754207</v>
      </c>
      <c r="D92" s="24">
        <f t="shared" si="5"/>
        <v>142165.6127975487</v>
      </c>
      <c r="E92" s="24">
        <f t="shared" si="4"/>
        <v>0</v>
      </c>
    </row>
    <row r="93" spans="1:5">
      <c r="A93" s="87">
        <v>82</v>
      </c>
      <c r="B93" s="5">
        <v>-0.46185505198081955</v>
      </c>
      <c r="C93" s="24">
        <f t="shared" si="3"/>
        <v>75757.822600369313</v>
      </c>
      <c r="D93" s="24">
        <f t="shared" si="5"/>
        <v>55865.646186538201</v>
      </c>
      <c r="E93" s="24">
        <f t="shared" si="4"/>
        <v>44134.353813461799</v>
      </c>
    </row>
    <row r="94" spans="1:5">
      <c r="A94" s="87">
        <v>83</v>
      </c>
      <c r="B94" s="5">
        <v>0.57747911341721192</v>
      </c>
      <c r="C94" s="24">
        <f t="shared" si="3"/>
        <v>172294.89436961792</v>
      </c>
      <c r="D94" s="24">
        <f t="shared" si="5"/>
        <v>127054.41204896937</v>
      </c>
      <c r="E94" s="24">
        <f t="shared" si="4"/>
        <v>0</v>
      </c>
    </row>
    <row r="95" spans="1:5">
      <c r="A95" s="87">
        <v>84</v>
      </c>
      <c r="B95" s="5">
        <v>-2.3808388505131006</v>
      </c>
      <c r="C95" s="24">
        <f t="shared" si="3"/>
        <v>16617.424418711151</v>
      </c>
      <c r="D95" s="24">
        <f t="shared" si="5"/>
        <v>12254.08969321053</v>
      </c>
      <c r="E95" s="24">
        <f t="shared" si="4"/>
        <v>87745.910306789476</v>
      </c>
    </row>
    <row r="96" spans="1:5">
      <c r="A96" s="87">
        <v>85</v>
      </c>
      <c r="B96" s="5">
        <v>-1.1069414540543221</v>
      </c>
      <c r="C96" s="24">
        <f t="shared" si="3"/>
        <v>45492.893555739378</v>
      </c>
      <c r="D96" s="24">
        <f t="shared" si="5"/>
        <v>33547.557310265016</v>
      </c>
      <c r="E96" s="24">
        <f t="shared" si="4"/>
        <v>66452.442689734977</v>
      </c>
    </row>
    <row r="97" spans="1:5">
      <c r="A97" s="87">
        <v>86</v>
      </c>
      <c r="B97" s="5">
        <v>1.846487975853961</v>
      </c>
      <c r="C97" s="24">
        <f t="shared" si="3"/>
        <v>469865.79197657498</v>
      </c>
      <c r="D97" s="24">
        <f t="shared" si="5"/>
        <v>346490.37140611978</v>
      </c>
      <c r="E97" s="24">
        <f t="shared" si="4"/>
        <v>0</v>
      </c>
    </row>
    <row r="98" spans="1:5">
      <c r="A98" s="87">
        <v>87</v>
      </c>
      <c r="B98" s="5">
        <v>0.6292407306318637</v>
      </c>
      <c r="C98" s="24">
        <f t="shared" si="3"/>
        <v>179491.64525853086</v>
      </c>
      <c r="D98" s="24">
        <f t="shared" si="5"/>
        <v>132361.46978970629</v>
      </c>
      <c r="E98" s="24">
        <f t="shared" si="4"/>
        <v>0</v>
      </c>
    </row>
    <row r="99" spans="1:5">
      <c r="A99" s="87">
        <v>88</v>
      </c>
      <c r="B99" s="5">
        <v>-0.16650005818519276</v>
      </c>
      <c r="C99" s="24">
        <f t="shared" si="3"/>
        <v>95682.970162057129</v>
      </c>
      <c r="D99" s="24">
        <f t="shared" si="5"/>
        <v>70558.930730468448</v>
      </c>
      <c r="E99" s="24">
        <f t="shared" si="4"/>
        <v>29441.069269531552</v>
      </c>
    </row>
    <row r="100" spans="1:5">
      <c r="A100" s="87">
        <v>89</v>
      </c>
      <c r="B100" s="5">
        <v>-0.21691789697797503</v>
      </c>
      <c r="C100" s="24">
        <f t="shared" si="3"/>
        <v>91944.168716989763</v>
      </c>
      <c r="D100" s="24">
        <f t="shared" si="5"/>
        <v>67801.848339206146</v>
      </c>
      <c r="E100" s="24">
        <f t="shared" si="4"/>
        <v>32198.151660793854</v>
      </c>
    </row>
    <row r="101" spans="1:5">
      <c r="A101" s="87">
        <v>90</v>
      </c>
      <c r="B101" s="5">
        <v>4.2450665205251426E-3</v>
      </c>
      <c r="C101" s="24">
        <f t="shared" si="3"/>
        <v>109511.13195118724</v>
      </c>
      <c r="D101" s="24">
        <f t="shared" si="5"/>
        <v>80756.150864379524</v>
      </c>
      <c r="E101" s="24">
        <f t="shared" si="4"/>
        <v>19243.849135620476</v>
      </c>
    </row>
    <row r="102" spans="1:5">
      <c r="A102" s="87">
        <v>91</v>
      </c>
      <c r="B102" s="5">
        <v>1.2162672646809369</v>
      </c>
      <c r="C102" s="24">
        <f t="shared" si="3"/>
        <v>285491.96524821472</v>
      </c>
      <c r="D102" s="24">
        <f t="shared" si="5"/>
        <v>210528.66320868192</v>
      </c>
      <c r="E102" s="24">
        <f t="shared" si="4"/>
        <v>0</v>
      </c>
    </row>
    <row r="103" spans="1:5">
      <c r="A103" s="87">
        <v>92</v>
      </c>
      <c r="B103" s="5">
        <v>-1.4037095752428286</v>
      </c>
      <c r="C103" s="24">
        <f t="shared" si="3"/>
        <v>35979.176055812568</v>
      </c>
      <c r="D103" s="24">
        <f t="shared" si="5"/>
        <v>26531.912489356488</v>
      </c>
      <c r="E103" s="24">
        <f t="shared" si="4"/>
        <v>73468.087510643512</v>
      </c>
    </row>
    <row r="104" spans="1:5">
      <c r="A104" s="87">
        <v>93</v>
      </c>
      <c r="B104" s="5">
        <v>-1.5974228517734446</v>
      </c>
      <c r="C104" s="24">
        <f t="shared" si="3"/>
        <v>30870.361118526838</v>
      </c>
      <c r="D104" s="24">
        <f t="shared" si="5"/>
        <v>22764.549094760794</v>
      </c>
      <c r="E104" s="24">
        <f t="shared" si="4"/>
        <v>77235.45090523921</v>
      </c>
    </row>
    <row r="105" spans="1:5">
      <c r="A105" s="87">
        <v>94</v>
      </c>
      <c r="B105" s="5">
        <v>-0.98854570751427673</v>
      </c>
      <c r="C105" s="24">
        <f t="shared" si="3"/>
        <v>49956.677720447682</v>
      </c>
      <c r="D105" s="24">
        <f t="shared" si="5"/>
        <v>36839.259450572441</v>
      </c>
      <c r="E105" s="24">
        <f t="shared" si="4"/>
        <v>63160.740549427559</v>
      </c>
    </row>
    <row r="106" spans="1:5">
      <c r="A106" s="87">
        <v>95</v>
      </c>
      <c r="B106" s="5">
        <v>-0.86311729319277219</v>
      </c>
      <c r="C106" s="24">
        <f t="shared" si="3"/>
        <v>55164.302618611669</v>
      </c>
      <c r="D106" s="24">
        <f t="shared" si="5"/>
        <v>40679.487694297313</v>
      </c>
      <c r="E106" s="24">
        <f t="shared" si="4"/>
        <v>59320.512305702687</v>
      </c>
    </row>
    <row r="107" spans="1:5">
      <c r="A107" s="87">
        <v>96</v>
      </c>
      <c r="B107" s="5">
        <v>-0.81749021774157882</v>
      </c>
      <c r="C107" s="24">
        <f t="shared" si="3"/>
        <v>57190.478385957766</v>
      </c>
      <c r="D107" s="24">
        <f t="shared" si="5"/>
        <v>42173.638590468167</v>
      </c>
      <c r="E107" s="24">
        <f t="shared" si="4"/>
        <v>57826.361409531833</v>
      </c>
    </row>
    <row r="108" spans="1:5">
      <c r="A108" s="87">
        <v>97</v>
      </c>
      <c r="B108" s="5">
        <v>0.99567841971293092</v>
      </c>
      <c r="C108" s="24">
        <f t="shared" si="3"/>
        <v>239804.28028527237</v>
      </c>
      <c r="D108" s="24">
        <f t="shared" si="5"/>
        <v>176837.46201503361</v>
      </c>
      <c r="E108" s="24">
        <f t="shared" si="4"/>
        <v>0</v>
      </c>
    </row>
    <row r="109" spans="1:5">
      <c r="A109" s="87">
        <v>98</v>
      </c>
      <c r="B109" s="5">
        <v>-0.21707478481403086</v>
      </c>
      <c r="C109" s="24">
        <f t="shared" si="3"/>
        <v>91932.765522292553</v>
      </c>
      <c r="D109" s="24">
        <f t="shared" si="5"/>
        <v>67793.43934831275</v>
      </c>
      <c r="E109" s="24">
        <f t="shared" si="4"/>
        <v>32206.56065168725</v>
      </c>
    </row>
    <row r="110" spans="1:5">
      <c r="A110" s="87">
        <v>99</v>
      </c>
      <c r="B110" s="5">
        <v>-0.52142695494694635</v>
      </c>
      <c r="C110" s="24">
        <f t="shared" si="3"/>
        <v>72272.665217405811</v>
      </c>
      <c r="D110" s="24">
        <f t="shared" si="5"/>
        <v>53295.607046314923</v>
      </c>
      <c r="E110" s="24">
        <f t="shared" si="4"/>
        <v>46704.392953685077</v>
      </c>
    </row>
    <row r="111" spans="1:5">
      <c r="A111" s="87">
        <v>100</v>
      </c>
      <c r="B111" s="5">
        <v>-0.76292280937195756</v>
      </c>
      <c r="C111" s="24">
        <f t="shared" si="3"/>
        <v>59711.626301723431</v>
      </c>
      <c r="D111" s="24">
        <f t="shared" si="5"/>
        <v>44032.79389102463</v>
      </c>
      <c r="E111" s="24">
        <f t="shared" si="4"/>
        <v>55967.20610897537</v>
      </c>
    </row>
    <row r="112" spans="1:5">
      <c r="A112" s="87">
        <v>101</v>
      </c>
      <c r="B112" s="5">
        <v>2.2189487935975194</v>
      </c>
      <c r="C112" s="24">
        <f t="shared" si="3"/>
        <v>630745.99363359262</v>
      </c>
      <c r="D112" s="24">
        <f t="shared" si="5"/>
        <v>465127.31364772597</v>
      </c>
      <c r="E112" s="24">
        <f t="shared" si="4"/>
        <v>0</v>
      </c>
    </row>
    <row r="113" spans="1:5">
      <c r="A113" s="87">
        <v>102</v>
      </c>
      <c r="B113" s="5">
        <v>0.76179730967851356</v>
      </c>
      <c r="C113" s="24">
        <f t="shared" si="3"/>
        <v>199322.44488768259</v>
      </c>
      <c r="D113" s="24">
        <f t="shared" si="5"/>
        <v>146985.17989186177</v>
      </c>
      <c r="E113" s="24">
        <f t="shared" si="4"/>
        <v>0</v>
      </c>
    </row>
    <row r="114" spans="1:5">
      <c r="A114" s="87">
        <v>103</v>
      </c>
      <c r="B114" s="5">
        <v>0.39014139474602416</v>
      </c>
      <c r="C114" s="24">
        <f t="shared" si="3"/>
        <v>148577.10368288582</v>
      </c>
      <c r="D114" s="24">
        <f t="shared" si="5"/>
        <v>109564.34095992929</v>
      </c>
      <c r="E114" s="24">
        <f t="shared" si="4"/>
        <v>0</v>
      </c>
    </row>
    <row r="115" spans="1:5">
      <c r="A115" s="87">
        <v>104</v>
      </c>
      <c r="B115" s="5">
        <v>-0.47877392717055045</v>
      </c>
      <c r="C115" s="24">
        <f t="shared" si="3"/>
        <v>74751.267036444071</v>
      </c>
      <c r="D115" s="24">
        <f t="shared" si="5"/>
        <v>55123.387828639396</v>
      </c>
      <c r="E115" s="24">
        <f t="shared" si="4"/>
        <v>44876.612171360604</v>
      </c>
    </row>
    <row r="116" spans="1:5">
      <c r="A116" s="87">
        <v>105</v>
      </c>
      <c r="B116" s="5">
        <v>1.1840438673971221</v>
      </c>
      <c r="C116" s="24">
        <f t="shared" si="3"/>
        <v>278310.96108599892</v>
      </c>
      <c r="D116" s="24">
        <f t="shared" si="5"/>
        <v>205233.21748413108</v>
      </c>
      <c r="E116" s="24">
        <f t="shared" si="4"/>
        <v>0</v>
      </c>
    </row>
    <row r="117" spans="1:5">
      <c r="A117" s="87">
        <v>106</v>
      </c>
      <c r="B117" s="5">
        <v>0.62179879023460671</v>
      </c>
      <c r="C117" s="24">
        <f t="shared" si="3"/>
        <v>178438.72979681139</v>
      </c>
      <c r="D117" s="24">
        <f t="shared" si="5"/>
        <v>131585.02452465365</v>
      </c>
      <c r="E117" s="24">
        <f t="shared" si="4"/>
        <v>0</v>
      </c>
    </row>
    <row r="118" spans="1:5">
      <c r="A118" s="87">
        <v>107</v>
      </c>
      <c r="B118" s="5">
        <v>-0.35349785321159288</v>
      </c>
      <c r="C118" s="24">
        <f t="shared" si="3"/>
        <v>82533.609227346446</v>
      </c>
      <c r="D118" s="24">
        <f t="shared" si="5"/>
        <v>60862.274723963143</v>
      </c>
      <c r="E118" s="24">
        <f t="shared" si="4"/>
        <v>39137.725276036857</v>
      </c>
    </row>
    <row r="119" spans="1:5">
      <c r="A119" s="87">
        <v>108</v>
      </c>
      <c r="B119" s="5">
        <v>1.5971454558894038</v>
      </c>
      <c r="C119" s="24">
        <f t="shared" si="3"/>
        <v>385802.09656484367</v>
      </c>
      <c r="D119" s="24">
        <f t="shared" si="5"/>
        <v>284499.7742135626</v>
      </c>
      <c r="E119" s="24">
        <f t="shared" si="4"/>
        <v>0</v>
      </c>
    </row>
    <row r="120" spans="1:5">
      <c r="A120" s="87">
        <v>109</v>
      </c>
      <c r="B120" s="5">
        <v>-0.72101329351426102</v>
      </c>
      <c r="C120" s="24">
        <f t="shared" si="3"/>
        <v>61723.154022084527</v>
      </c>
      <c r="D120" s="24">
        <f t="shared" si="5"/>
        <v>45516.142963936858</v>
      </c>
      <c r="E120" s="24">
        <f t="shared" si="4"/>
        <v>54483.857036063142</v>
      </c>
    </row>
    <row r="121" spans="1:5">
      <c r="A121" s="87">
        <v>110</v>
      </c>
      <c r="B121" s="5">
        <v>-0.25649228518886957</v>
      </c>
      <c r="C121" s="24">
        <f t="shared" si="3"/>
        <v>89112.109124895738</v>
      </c>
      <c r="D121" s="24">
        <f t="shared" si="5"/>
        <v>65713.419267191799</v>
      </c>
      <c r="E121" s="24">
        <f t="shared" si="4"/>
        <v>34286.580732808201</v>
      </c>
    </row>
    <row r="122" spans="1:5">
      <c r="A122" s="87">
        <v>111</v>
      </c>
      <c r="B122" s="5">
        <v>1.0037479114544112</v>
      </c>
      <c r="C122" s="24">
        <f t="shared" si="3"/>
        <v>241339.00026339886</v>
      </c>
      <c r="D122" s="24">
        <f t="shared" si="5"/>
        <v>177969.20155493176</v>
      </c>
      <c r="E122" s="24">
        <f t="shared" si="4"/>
        <v>0</v>
      </c>
    </row>
    <row r="123" spans="1:5">
      <c r="A123" s="87">
        <v>112</v>
      </c>
      <c r="B123" s="5">
        <v>-1.3056956049695145</v>
      </c>
      <c r="C123" s="24">
        <f t="shared" si="3"/>
        <v>38877.947025043854</v>
      </c>
      <c r="D123" s="24">
        <f t="shared" si="5"/>
        <v>28669.536140410233</v>
      </c>
      <c r="E123" s="24">
        <f t="shared" si="4"/>
        <v>71330.46385958977</v>
      </c>
    </row>
    <row r="124" spans="1:5">
      <c r="A124" s="87">
        <v>113</v>
      </c>
      <c r="B124" s="5">
        <v>1.4777697288081981</v>
      </c>
      <c r="C124" s="24">
        <f t="shared" si="3"/>
        <v>351057.39761264465</v>
      </c>
      <c r="D124" s="24">
        <f t="shared" si="5"/>
        <v>258878.19492451014</v>
      </c>
      <c r="E124" s="24">
        <f t="shared" si="4"/>
        <v>0</v>
      </c>
    </row>
    <row r="125" spans="1:5">
      <c r="A125" s="87">
        <v>114</v>
      </c>
      <c r="B125" s="5">
        <v>-1.2820214578823652</v>
      </c>
      <c r="C125" s="24">
        <f t="shared" si="3"/>
        <v>39612.440856267378</v>
      </c>
      <c r="D125" s="24">
        <f t="shared" si="5"/>
        <v>29211.169612609952</v>
      </c>
      <c r="E125" s="24">
        <f t="shared" si="4"/>
        <v>70788.830387390044</v>
      </c>
    </row>
    <row r="126" spans="1:5">
      <c r="A126" s="87">
        <v>115</v>
      </c>
      <c r="B126" s="5">
        <v>0.51451706895022653</v>
      </c>
      <c r="C126" s="24">
        <f t="shared" si="3"/>
        <v>163928.71098722974</v>
      </c>
      <c r="D126" s="24">
        <f t="shared" si="5"/>
        <v>120884.98657276892</v>
      </c>
      <c r="E126" s="24">
        <f t="shared" si="4"/>
        <v>0</v>
      </c>
    </row>
    <row r="127" spans="1:5">
      <c r="A127" s="87">
        <v>116</v>
      </c>
      <c r="B127" s="5">
        <v>0.57161514632753097</v>
      </c>
      <c r="C127" s="24">
        <f t="shared" si="3"/>
        <v>171498.00567984817</v>
      </c>
      <c r="D127" s="24">
        <f t="shared" si="5"/>
        <v>126466.76710268347</v>
      </c>
      <c r="E127" s="24">
        <f t="shared" si="4"/>
        <v>0</v>
      </c>
    </row>
    <row r="128" spans="1:5">
      <c r="A128" s="87">
        <v>117</v>
      </c>
      <c r="B128" s="5">
        <v>-0.38700591176166199</v>
      </c>
      <c r="C128" s="24">
        <f t="shared" si="3"/>
        <v>80375.961785145715</v>
      </c>
      <c r="D128" s="24">
        <f t="shared" si="5"/>
        <v>59271.173442751191</v>
      </c>
      <c r="E128" s="24">
        <f t="shared" si="4"/>
        <v>40728.826557248809</v>
      </c>
    </row>
    <row r="129" spans="1:5">
      <c r="A129" s="87">
        <v>118</v>
      </c>
      <c r="B129" s="5">
        <v>2.8882141123176552E-2</v>
      </c>
      <c r="C129" s="24">
        <f t="shared" si="3"/>
        <v>111665.02297268272</v>
      </c>
      <c r="D129" s="24">
        <f t="shared" si="5"/>
        <v>82344.482070332655</v>
      </c>
      <c r="E129" s="24">
        <f t="shared" si="4"/>
        <v>17655.517929667345</v>
      </c>
    </row>
    <row r="130" spans="1:5">
      <c r="A130" s="87">
        <v>119</v>
      </c>
      <c r="B130" s="5">
        <v>1.4428860595216975</v>
      </c>
      <c r="C130" s="24">
        <f t="shared" si="3"/>
        <v>341508.22855041252</v>
      </c>
      <c r="D130" s="24">
        <f t="shared" si="5"/>
        <v>251836.40726622153</v>
      </c>
      <c r="E130" s="24">
        <f t="shared" si="4"/>
        <v>0</v>
      </c>
    </row>
    <row r="131" spans="1:5">
      <c r="A131" s="87">
        <v>120</v>
      </c>
      <c r="B131" s="5">
        <v>-0.75110392572241835</v>
      </c>
      <c r="C131" s="24">
        <f t="shared" si="3"/>
        <v>60272.165377205281</v>
      </c>
      <c r="D131" s="24">
        <f t="shared" si="5"/>
        <v>44446.148929352326</v>
      </c>
      <c r="E131" s="24">
        <f t="shared" si="4"/>
        <v>55553.851070647674</v>
      </c>
    </row>
    <row r="132" spans="1:5">
      <c r="A132" s="87">
        <v>121</v>
      </c>
      <c r="B132" s="5">
        <v>-8.8355136540485546E-2</v>
      </c>
      <c r="C132" s="24">
        <f t="shared" si="3"/>
        <v>101780.57976257968</v>
      </c>
      <c r="D132" s="24">
        <f t="shared" si="5"/>
        <v>75055.45516627992</v>
      </c>
      <c r="E132" s="24">
        <f t="shared" si="4"/>
        <v>24944.54483372008</v>
      </c>
    </row>
    <row r="133" spans="1:5">
      <c r="A133" s="87">
        <v>122</v>
      </c>
      <c r="B133" s="5">
        <v>4.7638195610488765E-2</v>
      </c>
      <c r="C133" s="24">
        <f t="shared" si="3"/>
        <v>113333.12451498212</v>
      </c>
      <c r="D133" s="24">
        <f t="shared" si="5"/>
        <v>83574.580393734868</v>
      </c>
      <c r="E133" s="24">
        <f t="shared" si="4"/>
        <v>16425.419606265132</v>
      </c>
    </row>
    <row r="134" spans="1:5">
      <c r="A134" s="87">
        <v>123</v>
      </c>
      <c r="B134" s="5">
        <v>1.8635819287737831</v>
      </c>
      <c r="C134" s="24">
        <f t="shared" si="3"/>
        <v>476258.6368058119</v>
      </c>
      <c r="D134" s="24">
        <f t="shared" si="5"/>
        <v>351204.60942269454</v>
      </c>
      <c r="E134" s="24">
        <f t="shared" si="4"/>
        <v>0</v>
      </c>
    </row>
    <row r="135" spans="1:5">
      <c r="A135" s="87">
        <v>124</v>
      </c>
      <c r="B135" s="5">
        <v>4.5570232032332569E-2</v>
      </c>
      <c r="C135" s="24">
        <f t="shared" si="3"/>
        <v>113147.99110630556</v>
      </c>
      <c r="D135" s="24">
        <f t="shared" si="5"/>
        <v>83438.058551482478</v>
      </c>
      <c r="E135" s="24">
        <f t="shared" si="4"/>
        <v>16561.941448517522</v>
      </c>
    </row>
    <row r="136" spans="1:5">
      <c r="A136" s="87">
        <v>125</v>
      </c>
      <c r="B136" s="5">
        <v>-8.4824023360852152E-2</v>
      </c>
      <c r="C136" s="24">
        <f t="shared" si="3"/>
        <v>102065.10637552963</v>
      </c>
      <c r="D136" s="24">
        <f t="shared" si="5"/>
        <v>75265.271955412914</v>
      </c>
      <c r="E136" s="24">
        <f t="shared" si="4"/>
        <v>24734.728044587086</v>
      </c>
    </row>
    <row r="137" spans="1:5">
      <c r="A137" s="87">
        <v>126</v>
      </c>
      <c r="B137" s="5">
        <v>-0.11018983059329912</v>
      </c>
      <c r="C137" s="24">
        <f t="shared" si="3"/>
        <v>100038.73650907555</v>
      </c>
      <c r="D137" s="24">
        <f t="shared" si="5"/>
        <v>73770.97792587681</v>
      </c>
      <c r="E137" s="24">
        <f t="shared" si="4"/>
        <v>26229.02207412319</v>
      </c>
    </row>
    <row r="138" spans="1:5">
      <c r="A138" s="87">
        <v>127</v>
      </c>
      <c r="B138" s="5">
        <v>0.29687271307921037</v>
      </c>
      <c r="C138" s="24">
        <f t="shared" si="3"/>
        <v>138015.8692497279</v>
      </c>
      <c r="D138" s="24">
        <f t="shared" si="5"/>
        <v>101776.23187912516</v>
      </c>
      <c r="E138" s="24">
        <f t="shared" si="4"/>
        <v>0</v>
      </c>
    </row>
    <row r="139" spans="1:5">
      <c r="A139" s="87">
        <v>128</v>
      </c>
      <c r="B139" s="5">
        <v>-0.39410679164575413</v>
      </c>
      <c r="C139" s="24">
        <f t="shared" si="3"/>
        <v>79926.016277347982</v>
      </c>
      <c r="D139" s="24">
        <f t="shared" si="5"/>
        <v>58939.372769513153</v>
      </c>
      <c r="E139" s="24">
        <f t="shared" si="4"/>
        <v>41060.627230486847</v>
      </c>
    </row>
    <row r="140" spans="1:5">
      <c r="A140" s="87">
        <v>129</v>
      </c>
      <c r="B140" s="5">
        <v>-0.79861592894303612</v>
      </c>
      <c r="C140" s="24">
        <f t="shared" ref="C140:C203" si="6">B$6*EXP(B140*B$5*SQRT(10)+10*(B$4-(B$5^2)/2))</f>
        <v>58050.240911273664</v>
      </c>
      <c r="D140" s="24">
        <f t="shared" si="5"/>
        <v>42807.648220036222</v>
      </c>
      <c r="E140" s="24">
        <f t="shared" ref="E140:E203" si="7">MAX(B$6-D140,0)</f>
        <v>57192.351779963778</v>
      </c>
    </row>
    <row r="141" spans="1:5">
      <c r="A141" s="87">
        <v>130</v>
      </c>
      <c r="B141" s="5">
        <v>1.1559836821106728</v>
      </c>
      <c r="C141" s="24">
        <f t="shared" si="6"/>
        <v>272205.01917886699</v>
      </c>
      <c r="D141" s="24">
        <f t="shared" ref="D141:D204" si="8">C141*(0.97^10)</f>
        <v>200730.54860439317</v>
      </c>
      <c r="E141" s="24">
        <f t="shared" si="7"/>
        <v>0</v>
      </c>
    </row>
    <row r="142" spans="1:5">
      <c r="A142" s="87">
        <v>131</v>
      </c>
      <c r="B142" s="5">
        <v>-0.46364448280655779</v>
      </c>
      <c r="C142" s="24">
        <f t="shared" si="6"/>
        <v>75650.726106849514</v>
      </c>
      <c r="D142" s="24">
        <f t="shared" si="8"/>
        <v>55786.67064831085</v>
      </c>
      <c r="E142" s="24">
        <f t="shared" si="7"/>
        <v>44213.32935168915</v>
      </c>
    </row>
    <row r="143" spans="1:5">
      <c r="A143" s="87">
        <v>132</v>
      </c>
      <c r="B143" s="5">
        <v>4.9935806600842625E-2</v>
      </c>
      <c r="C143" s="24">
        <f t="shared" si="6"/>
        <v>113539.17225776764</v>
      </c>
      <c r="D143" s="24">
        <f t="shared" si="8"/>
        <v>83726.524970557162</v>
      </c>
      <c r="E143" s="24">
        <f t="shared" si="7"/>
        <v>16273.475029442838</v>
      </c>
    </row>
    <row r="144" spans="1:5">
      <c r="A144" s="87">
        <v>133</v>
      </c>
      <c r="B144" s="5">
        <v>-0.56621729527250864</v>
      </c>
      <c r="C144" s="24">
        <f t="shared" si="6"/>
        <v>69758.279075307189</v>
      </c>
      <c r="D144" s="24">
        <f t="shared" si="8"/>
        <v>51441.438040801142</v>
      </c>
      <c r="E144" s="24">
        <f t="shared" si="7"/>
        <v>48558.561959198858</v>
      </c>
    </row>
    <row r="145" spans="1:5">
      <c r="A145" s="87">
        <v>134</v>
      </c>
      <c r="B145" s="5">
        <v>3.0565843189833686E-2</v>
      </c>
      <c r="C145" s="24">
        <f t="shared" si="6"/>
        <v>111813.75739342159</v>
      </c>
      <c r="D145" s="24">
        <f t="shared" si="8"/>
        <v>82454.162420685243</v>
      </c>
      <c r="E145" s="24">
        <f t="shared" si="7"/>
        <v>17545.837579314757</v>
      </c>
    </row>
    <row r="146" spans="1:5">
      <c r="A146" s="87">
        <v>135</v>
      </c>
      <c r="B146" s="5">
        <v>1.5594059732393362</v>
      </c>
      <c r="C146" s="24">
        <f t="shared" si="6"/>
        <v>374461.44762436271</v>
      </c>
      <c r="D146" s="24">
        <f t="shared" si="8"/>
        <v>276136.90607020655</v>
      </c>
      <c r="E146" s="24">
        <f t="shared" si="7"/>
        <v>0</v>
      </c>
    </row>
    <row r="147" spans="1:5">
      <c r="A147" s="87">
        <v>136</v>
      </c>
      <c r="B147" s="5">
        <v>0.81952293840004131</v>
      </c>
      <c r="C147" s="24">
        <f t="shared" si="6"/>
        <v>208629.50093068363</v>
      </c>
      <c r="D147" s="24">
        <f t="shared" si="8"/>
        <v>153848.42756833398</v>
      </c>
      <c r="E147" s="24">
        <f t="shared" si="7"/>
        <v>0</v>
      </c>
    </row>
    <row r="148" spans="1:5">
      <c r="A148" s="87">
        <v>137</v>
      </c>
      <c r="B148" s="5">
        <v>1.4932174963178113</v>
      </c>
      <c r="C148" s="24">
        <f t="shared" si="6"/>
        <v>355370.98379176366</v>
      </c>
      <c r="D148" s="24">
        <f t="shared" si="8"/>
        <v>262059.13744643299</v>
      </c>
      <c r="E148" s="24">
        <f t="shared" si="7"/>
        <v>0</v>
      </c>
    </row>
    <row r="149" spans="1:5">
      <c r="A149" s="87">
        <v>138</v>
      </c>
      <c r="B149" s="5">
        <v>0.21167352315387689</v>
      </c>
      <c r="C149" s="24">
        <f t="shared" si="6"/>
        <v>129025.85354615845</v>
      </c>
      <c r="D149" s="24">
        <f t="shared" si="8"/>
        <v>95146.77739814877</v>
      </c>
      <c r="E149" s="24">
        <f t="shared" si="7"/>
        <v>4853.2226018512301</v>
      </c>
    </row>
    <row r="150" spans="1:5">
      <c r="A150" s="87">
        <v>139</v>
      </c>
      <c r="B150" s="5">
        <v>-0.14350462151924148</v>
      </c>
      <c r="C150" s="24">
        <f t="shared" si="6"/>
        <v>97438.345223290686</v>
      </c>
      <c r="D150" s="24">
        <f t="shared" si="8"/>
        <v>71853.38665237173</v>
      </c>
      <c r="E150" s="24">
        <f t="shared" si="7"/>
        <v>28146.61334762827</v>
      </c>
    </row>
    <row r="151" spans="1:5">
      <c r="A151" s="87">
        <v>140</v>
      </c>
      <c r="B151" s="5">
        <v>1.1695192370098084</v>
      </c>
      <c r="C151" s="24">
        <f t="shared" si="6"/>
        <v>275133.46991534298</v>
      </c>
      <c r="D151" s="24">
        <f t="shared" si="8"/>
        <v>202890.05883189378</v>
      </c>
      <c r="E151" s="24">
        <f t="shared" si="7"/>
        <v>0</v>
      </c>
    </row>
    <row r="152" spans="1:5">
      <c r="A152" s="87">
        <v>141</v>
      </c>
      <c r="B152" s="5">
        <v>0.43235104385530576</v>
      </c>
      <c r="C152" s="24">
        <f t="shared" si="6"/>
        <v>153618.72146463196</v>
      </c>
      <c r="D152" s="24">
        <f t="shared" si="8"/>
        <v>113282.15155077139</v>
      </c>
      <c r="E152" s="24">
        <f t="shared" si="7"/>
        <v>0</v>
      </c>
    </row>
    <row r="153" spans="1:5">
      <c r="A153" s="87">
        <v>142</v>
      </c>
      <c r="B153" s="5">
        <v>-1.2539908311737236</v>
      </c>
      <c r="C153" s="24">
        <f t="shared" si="6"/>
        <v>40500.057267301185</v>
      </c>
      <c r="D153" s="24">
        <f t="shared" si="8"/>
        <v>29865.719369534167</v>
      </c>
      <c r="E153" s="24">
        <f t="shared" si="7"/>
        <v>70134.28063046583</v>
      </c>
    </row>
    <row r="154" spans="1:5">
      <c r="A154" s="87">
        <v>143</v>
      </c>
      <c r="B154" s="5">
        <v>0.27813712222268805</v>
      </c>
      <c r="C154" s="24">
        <f t="shared" si="6"/>
        <v>135986.67296162093</v>
      </c>
      <c r="D154" s="24">
        <f t="shared" si="8"/>
        <v>100279.85357806945</v>
      </c>
      <c r="E154" s="24">
        <f t="shared" si="7"/>
        <v>0</v>
      </c>
    </row>
    <row r="155" spans="1:5">
      <c r="A155" s="87">
        <v>144</v>
      </c>
      <c r="B155" s="5">
        <v>-8.8816705101635307E-2</v>
      </c>
      <c r="C155" s="24">
        <f t="shared" si="6"/>
        <v>101743.44660214067</v>
      </c>
      <c r="D155" s="24">
        <f t="shared" si="8"/>
        <v>75028.072277864339</v>
      </c>
      <c r="E155" s="24">
        <f t="shared" si="7"/>
        <v>24971.927722135661</v>
      </c>
    </row>
    <row r="156" spans="1:5">
      <c r="A156" s="87">
        <v>145</v>
      </c>
      <c r="B156" s="5">
        <v>0.94424876806442626</v>
      </c>
      <c r="C156" s="24">
        <f t="shared" si="6"/>
        <v>230249.70230434646</v>
      </c>
      <c r="D156" s="24">
        <f t="shared" si="8"/>
        <v>169791.68568959984</v>
      </c>
      <c r="E156" s="24">
        <f t="shared" si="7"/>
        <v>0</v>
      </c>
    </row>
    <row r="157" spans="1:5">
      <c r="A157" s="87">
        <v>146</v>
      </c>
      <c r="B157" s="5">
        <v>-0.38395683077396825</v>
      </c>
      <c r="C157" s="24">
        <f t="shared" si="6"/>
        <v>80569.942561070784</v>
      </c>
      <c r="D157" s="24">
        <f t="shared" si="8"/>
        <v>59414.219547072142</v>
      </c>
      <c r="E157" s="24">
        <f t="shared" si="7"/>
        <v>40585.780452927858</v>
      </c>
    </row>
    <row r="158" spans="1:5">
      <c r="A158" s="87">
        <v>147</v>
      </c>
      <c r="B158" s="5">
        <v>-0.64771938923513517</v>
      </c>
      <c r="C158" s="24">
        <f t="shared" si="6"/>
        <v>65405.283805262945</v>
      </c>
      <c r="D158" s="24">
        <f t="shared" si="8"/>
        <v>48231.434304411014</v>
      </c>
      <c r="E158" s="24">
        <f t="shared" si="7"/>
        <v>51768.565695588986</v>
      </c>
    </row>
    <row r="159" spans="1:5">
      <c r="A159" s="87">
        <v>148</v>
      </c>
      <c r="B159" s="5">
        <v>0.43100726543343626</v>
      </c>
      <c r="C159" s="24">
        <f t="shared" si="6"/>
        <v>153455.61125272489</v>
      </c>
      <c r="D159" s="24">
        <f t="shared" si="8"/>
        <v>113161.87014516817</v>
      </c>
      <c r="E159" s="24">
        <f t="shared" si="7"/>
        <v>0</v>
      </c>
    </row>
    <row r="160" spans="1:5">
      <c r="A160" s="87">
        <v>149</v>
      </c>
      <c r="B160" s="5">
        <v>1.0498843039385974</v>
      </c>
      <c r="C160" s="24">
        <f t="shared" si="6"/>
        <v>250304.10685020895</v>
      </c>
      <c r="D160" s="24">
        <f t="shared" si="8"/>
        <v>184580.28745223014</v>
      </c>
      <c r="E160" s="24">
        <f t="shared" si="7"/>
        <v>0</v>
      </c>
    </row>
    <row r="161" spans="1:5">
      <c r="A161" s="87">
        <v>150</v>
      </c>
      <c r="B161" s="5">
        <v>-1.0927965377049986</v>
      </c>
      <c r="C161" s="24">
        <f t="shared" si="6"/>
        <v>46004.474634194477</v>
      </c>
      <c r="D161" s="24">
        <f t="shared" si="8"/>
        <v>33924.809540380731</v>
      </c>
      <c r="E161" s="24">
        <f t="shared" si="7"/>
        <v>66075.190459619276</v>
      </c>
    </row>
    <row r="162" spans="1:5">
      <c r="A162" s="87">
        <v>151</v>
      </c>
      <c r="B162" s="5">
        <v>-1.9060553313465789</v>
      </c>
      <c r="C162" s="24">
        <f t="shared" si="6"/>
        <v>24186.657488040979</v>
      </c>
      <c r="D162" s="24">
        <f t="shared" si="8"/>
        <v>17835.824780625295</v>
      </c>
      <c r="E162" s="24">
        <f t="shared" si="7"/>
        <v>82164.175219374709</v>
      </c>
    </row>
    <row r="163" spans="1:5">
      <c r="A163" s="87">
        <v>152</v>
      </c>
      <c r="B163" s="5">
        <v>0.86189629655564204</v>
      </c>
      <c r="C163" s="24">
        <f t="shared" si="6"/>
        <v>215736.77644471597</v>
      </c>
      <c r="D163" s="24">
        <f t="shared" si="8"/>
        <v>159089.50400887098</v>
      </c>
      <c r="E163" s="24">
        <f t="shared" si="7"/>
        <v>0</v>
      </c>
    </row>
    <row r="164" spans="1:5">
      <c r="A164" s="87">
        <v>153</v>
      </c>
      <c r="B164" s="5">
        <v>0.1984699338208884</v>
      </c>
      <c r="C164" s="24">
        <f t="shared" si="6"/>
        <v>127686.04090979969</v>
      </c>
      <c r="D164" s="24">
        <f t="shared" si="8"/>
        <v>94158.767234579122</v>
      </c>
      <c r="E164" s="24">
        <f t="shared" si="7"/>
        <v>5841.2327654208784</v>
      </c>
    </row>
    <row r="165" spans="1:5">
      <c r="A165" s="87">
        <v>154</v>
      </c>
      <c r="B165" s="5">
        <v>-1.4377064871951006</v>
      </c>
      <c r="C165" s="24">
        <f t="shared" si="6"/>
        <v>35025.046134293676</v>
      </c>
      <c r="D165" s="24">
        <f t="shared" si="8"/>
        <v>25828.314065036095</v>
      </c>
      <c r="E165" s="24">
        <f t="shared" si="7"/>
        <v>74171.685934963898</v>
      </c>
    </row>
    <row r="166" spans="1:5">
      <c r="A166" s="87">
        <v>155</v>
      </c>
      <c r="B166" s="5">
        <v>-0.68381041273823939</v>
      </c>
      <c r="C166" s="24">
        <f t="shared" si="6"/>
        <v>63565.482052589032</v>
      </c>
      <c r="D166" s="24">
        <f t="shared" si="8"/>
        <v>46874.720103285697</v>
      </c>
      <c r="E166" s="24">
        <f t="shared" si="7"/>
        <v>53125.279896714303</v>
      </c>
    </row>
    <row r="167" spans="1:5">
      <c r="A167" s="87">
        <v>156</v>
      </c>
      <c r="B167" s="5">
        <v>1.406583578500431</v>
      </c>
      <c r="C167" s="24">
        <f t="shared" si="6"/>
        <v>331846.377299293</v>
      </c>
      <c r="D167" s="24">
        <f t="shared" si="8"/>
        <v>244711.52504317605</v>
      </c>
      <c r="E167" s="24">
        <f t="shared" si="7"/>
        <v>0</v>
      </c>
    </row>
    <row r="168" spans="1:5">
      <c r="A168" s="87">
        <v>157</v>
      </c>
      <c r="B168" s="5">
        <v>-0.48100559979502577</v>
      </c>
      <c r="C168" s="24">
        <f t="shared" si="6"/>
        <v>74619.500236697539</v>
      </c>
      <c r="D168" s="24">
        <f t="shared" si="8"/>
        <v>55026.219811382573</v>
      </c>
      <c r="E168" s="24">
        <f t="shared" si="7"/>
        <v>44973.780188617427</v>
      </c>
    </row>
    <row r="169" spans="1:5">
      <c r="A169" s="87">
        <v>158</v>
      </c>
      <c r="B169" s="5">
        <v>-0.13408225640887395</v>
      </c>
      <c r="C169" s="24">
        <f t="shared" si="6"/>
        <v>98166.876797340999</v>
      </c>
      <c r="D169" s="24">
        <f t="shared" si="8"/>
        <v>72390.623412281173</v>
      </c>
      <c r="E169" s="24">
        <f t="shared" si="7"/>
        <v>27609.376587718827</v>
      </c>
    </row>
    <row r="170" spans="1:5">
      <c r="A170" s="87">
        <v>159</v>
      </c>
      <c r="B170" s="5">
        <v>1.4223951438907534</v>
      </c>
      <c r="C170" s="24">
        <f t="shared" si="6"/>
        <v>336020.53791847231</v>
      </c>
      <c r="D170" s="24">
        <f t="shared" si="8"/>
        <v>247789.65179329357</v>
      </c>
      <c r="E170" s="24">
        <f t="shared" si="7"/>
        <v>0</v>
      </c>
    </row>
    <row r="171" spans="1:5">
      <c r="A171" s="87">
        <v>160</v>
      </c>
      <c r="B171" s="5">
        <v>1.4411580195883289</v>
      </c>
      <c r="C171" s="24">
        <f t="shared" si="6"/>
        <v>341042.00056707428</v>
      </c>
      <c r="D171" s="24">
        <f t="shared" si="8"/>
        <v>251492.59950267436</v>
      </c>
      <c r="E171" s="24">
        <f t="shared" si="7"/>
        <v>0</v>
      </c>
    </row>
    <row r="172" spans="1:5">
      <c r="A172" s="87">
        <v>161</v>
      </c>
      <c r="B172" s="5">
        <v>-2.5818735593929887</v>
      </c>
      <c r="C172" s="24">
        <f t="shared" si="6"/>
        <v>14175.567958442545</v>
      </c>
      <c r="D172" s="24">
        <f t="shared" si="8"/>
        <v>10453.405824994214</v>
      </c>
      <c r="E172" s="24">
        <f t="shared" si="7"/>
        <v>89546.594175005783</v>
      </c>
    </row>
    <row r="173" spans="1:5">
      <c r="A173" s="87">
        <v>162</v>
      </c>
      <c r="B173" s="5">
        <v>1.1133170119137503</v>
      </c>
      <c r="C173" s="24">
        <f t="shared" si="6"/>
        <v>263176.40923109563</v>
      </c>
      <c r="D173" s="24">
        <f t="shared" si="8"/>
        <v>194072.63379658302</v>
      </c>
      <c r="E173" s="24">
        <f t="shared" si="7"/>
        <v>0</v>
      </c>
    </row>
    <row r="174" spans="1:5">
      <c r="A174" s="87">
        <v>163</v>
      </c>
      <c r="B174" s="5">
        <v>-0.30087221603025682</v>
      </c>
      <c r="C174" s="24">
        <f t="shared" si="6"/>
        <v>86039.785739940009</v>
      </c>
      <c r="D174" s="24">
        <f t="shared" si="8"/>
        <v>63447.813877501954</v>
      </c>
      <c r="E174" s="24">
        <f t="shared" si="7"/>
        <v>36552.186122498046</v>
      </c>
    </row>
    <row r="175" spans="1:5">
      <c r="A175" s="87">
        <v>164</v>
      </c>
      <c r="B175" s="5">
        <v>0.90242338046664372</v>
      </c>
      <c r="C175" s="24">
        <f t="shared" si="6"/>
        <v>222760.79108508275</v>
      </c>
      <c r="D175" s="24">
        <f t="shared" si="8"/>
        <v>164269.18187234065</v>
      </c>
      <c r="E175" s="24">
        <f t="shared" si="7"/>
        <v>0</v>
      </c>
    </row>
    <row r="176" spans="1:5">
      <c r="A176" s="87">
        <v>165</v>
      </c>
      <c r="B176" s="5">
        <v>-0.74351873990963213</v>
      </c>
      <c r="C176" s="24">
        <f t="shared" si="6"/>
        <v>60634.680248000215</v>
      </c>
      <c r="D176" s="24">
        <f t="shared" si="8"/>
        <v>44713.476141434709</v>
      </c>
      <c r="E176" s="24">
        <f t="shared" si="7"/>
        <v>55286.523858565291</v>
      </c>
    </row>
    <row r="177" spans="1:5">
      <c r="A177" s="87">
        <v>166</v>
      </c>
      <c r="B177" s="5">
        <v>-0.28577801458595786</v>
      </c>
      <c r="C177" s="24">
        <f t="shared" si="6"/>
        <v>87072.650044027585</v>
      </c>
      <c r="D177" s="24">
        <f t="shared" si="8"/>
        <v>64209.472935144673</v>
      </c>
      <c r="E177" s="24">
        <f t="shared" si="7"/>
        <v>35790.527064855327</v>
      </c>
    </row>
    <row r="178" spans="1:5">
      <c r="A178" s="87">
        <v>167</v>
      </c>
      <c r="B178" s="5">
        <v>0.23386746761389077</v>
      </c>
      <c r="C178" s="24">
        <f t="shared" si="6"/>
        <v>131309.69971880587</v>
      </c>
      <c r="D178" s="24">
        <f t="shared" si="8"/>
        <v>96830.940667975621</v>
      </c>
      <c r="E178" s="24">
        <f t="shared" si="7"/>
        <v>3169.0593320243788</v>
      </c>
    </row>
    <row r="179" spans="1:5">
      <c r="A179" s="87">
        <v>168</v>
      </c>
      <c r="B179" s="5">
        <v>0.96366193247376941</v>
      </c>
      <c r="C179" s="24">
        <f t="shared" si="6"/>
        <v>233810.70529343357</v>
      </c>
      <c r="D179" s="24">
        <f t="shared" si="8"/>
        <v>172417.65520969761</v>
      </c>
      <c r="E179" s="24">
        <f t="shared" si="7"/>
        <v>0</v>
      </c>
    </row>
    <row r="180" spans="1:5">
      <c r="A180" s="87">
        <v>169</v>
      </c>
      <c r="B180" s="5">
        <v>-0.3884906618623063</v>
      </c>
      <c r="C180" s="24">
        <f t="shared" si="6"/>
        <v>80281.671989876748</v>
      </c>
      <c r="D180" s="24">
        <f t="shared" si="8"/>
        <v>59201.641872799875</v>
      </c>
      <c r="E180" s="24">
        <f t="shared" si="7"/>
        <v>40798.358127200125</v>
      </c>
    </row>
    <row r="181" spans="1:5">
      <c r="A181" s="87">
        <v>170</v>
      </c>
      <c r="B181" s="5">
        <v>-0.87764192358008586</v>
      </c>
      <c r="C181" s="24">
        <f t="shared" si="6"/>
        <v>54534.488816733174</v>
      </c>
      <c r="D181" s="24">
        <f t="shared" si="8"/>
        <v>40215.04780134069</v>
      </c>
      <c r="E181" s="24">
        <f t="shared" si="7"/>
        <v>59784.95219865931</v>
      </c>
    </row>
    <row r="182" spans="1:5">
      <c r="A182" s="87">
        <v>171</v>
      </c>
      <c r="B182" s="5">
        <v>0.51661345423781313</v>
      </c>
      <c r="C182" s="24">
        <f t="shared" si="6"/>
        <v>164200.62154570036</v>
      </c>
      <c r="D182" s="24">
        <f t="shared" si="8"/>
        <v>121085.49997894262</v>
      </c>
      <c r="E182" s="24">
        <f t="shared" si="7"/>
        <v>0</v>
      </c>
    </row>
    <row r="183" spans="1:5">
      <c r="A183" s="87">
        <v>172</v>
      </c>
      <c r="B183" s="5">
        <v>1.9569324649637565</v>
      </c>
      <c r="C183" s="24">
        <f t="shared" si="6"/>
        <v>512736.02423493093</v>
      </c>
      <c r="D183" s="24">
        <f t="shared" si="8"/>
        <v>378103.91499902069</v>
      </c>
      <c r="E183" s="24">
        <f t="shared" si="7"/>
        <v>0</v>
      </c>
    </row>
    <row r="184" spans="1:5">
      <c r="A184" s="87">
        <v>173</v>
      </c>
      <c r="B184" s="5">
        <v>0.1723208242765395</v>
      </c>
      <c r="C184" s="24">
        <f t="shared" si="6"/>
        <v>125073.52435655684</v>
      </c>
      <c r="D184" s="24">
        <f t="shared" si="8"/>
        <v>92232.234496305464</v>
      </c>
      <c r="E184" s="24">
        <f t="shared" si="7"/>
        <v>7767.7655036945362</v>
      </c>
    </row>
    <row r="185" spans="1:5">
      <c r="A185" s="87">
        <v>174</v>
      </c>
      <c r="B185" s="5">
        <v>9.5116092779790051E-2</v>
      </c>
      <c r="C185" s="24">
        <f t="shared" si="6"/>
        <v>117667.87764562412</v>
      </c>
      <c r="D185" s="24">
        <f t="shared" si="8"/>
        <v>86771.131936403603</v>
      </c>
      <c r="E185" s="24">
        <f t="shared" si="7"/>
        <v>13228.868063596397</v>
      </c>
    </row>
    <row r="186" spans="1:5">
      <c r="A186" s="87">
        <v>175</v>
      </c>
      <c r="B186" s="5">
        <v>0.81439566201879643</v>
      </c>
      <c r="C186" s="24">
        <f t="shared" si="6"/>
        <v>207785.5395885288</v>
      </c>
      <c r="D186" s="24">
        <f t="shared" si="8"/>
        <v>153226.07011246239</v>
      </c>
      <c r="E186" s="24">
        <f t="shared" si="7"/>
        <v>0</v>
      </c>
    </row>
    <row r="187" spans="1:5">
      <c r="A187" s="87">
        <v>176</v>
      </c>
      <c r="B187" s="5">
        <v>0.84144630818627775</v>
      </c>
      <c r="C187" s="24">
        <f t="shared" si="6"/>
        <v>212276.9736900799</v>
      </c>
      <c r="D187" s="24">
        <f t="shared" si="8"/>
        <v>156538.16198330483</v>
      </c>
      <c r="E187" s="24">
        <f t="shared" si="7"/>
        <v>0</v>
      </c>
    </row>
    <row r="188" spans="1:5">
      <c r="A188" s="87">
        <v>177</v>
      </c>
      <c r="B188" s="5">
        <v>-0.89087279775412753</v>
      </c>
      <c r="C188" s="24">
        <f t="shared" si="6"/>
        <v>53967.035118606967</v>
      </c>
      <c r="D188" s="24">
        <f t="shared" si="8"/>
        <v>39796.593753446672</v>
      </c>
      <c r="E188" s="24">
        <f t="shared" si="7"/>
        <v>60203.406246553328</v>
      </c>
    </row>
    <row r="189" spans="1:5">
      <c r="A189" s="87">
        <v>178</v>
      </c>
      <c r="B189" s="5">
        <v>-1.1184511095052585</v>
      </c>
      <c r="C189" s="24">
        <f t="shared" si="6"/>
        <v>45080.823052086394</v>
      </c>
      <c r="D189" s="24">
        <f t="shared" si="8"/>
        <v>33243.686578889559</v>
      </c>
      <c r="E189" s="24">
        <f t="shared" si="7"/>
        <v>66756.313421110448</v>
      </c>
    </row>
    <row r="190" spans="1:5">
      <c r="A190" s="87">
        <v>179</v>
      </c>
      <c r="B190" s="5">
        <v>-4.8173660616157576E-2</v>
      </c>
      <c r="C190" s="24">
        <f t="shared" si="6"/>
        <v>105065.66790544515</v>
      </c>
      <c r="D190" s="24">
        <f t="shared" si="8"/>
        <v>77477.958421805364</v>
      </c>
      <c r="E190" s="24">
        <f t="shared" si="7"/>
        <v>22522.041578194636</v>
      </c>
    </row>
    <row r="191" spans="1:5">
      <c r="A191" s="87">
        <v>180</v>
      </c>
      <c r="B191" s="5">
        <v>1.1806559996330179</v>
      </c>
      <c r="C191" s="24">
        <f t="shared" si="6"/>
        <v>277566.54576149589</v>
      </c>
      <c r="D191" s="24">
        <f t="shared" si="8"/>
        <v>204684.26766341223</v>
      </c>
      <c r="E191" s="24">
        <f t="shared" si="7"/>
        <v>0</v>
      </c>
    </row>
    <row r="192" spans="1:5">
      <c r="A192" s="87">
        <v>181</v>
      </c>
      <c r="B192" s="5">
        <v>0.96634266810724512</v>
      </c>
      <c r="C192" s="24">
        <f t="shared" si="6"/>
        <v>234306.7475459018</v>
      </c>
      <c r="D192" s="24">
        <f t="shared" si="8"/>
        <v>172783.44873462699</v>
      </c>
      <c r="E192" s="24">
        <f t="shared" si="7"/>
        <v>0</v>
      </c>
    </row>
    <row r="193" spans="1:5">
      <c r="A193" s="87">
        <v>182</v>
      </c>
      <c r="B193" s="5">
        <v>7.9144228948280215E-2</v>
      </c>
      <c r="C193" s="24">
        <f t="shared" si="6"/>
        <v>116191.44199388033</v>
      </c>
      <c r="D193" s="24">
        <f t="shared" si="8"/>
        <v>85682.372664999901</v>
      </c>
      <c r="E193" s="24">
        <f t="shared" si="7"/>
        <v>14317.627335000099</v>
      </c>
    </row>
    <row r="194" spans="1:5">
      <c r="A194" s="87">
        <v>183</v>
      </c>
      <c r="B194" s="5">
        <v>-0.72658167482586578</v>
      </c>
      <c r="C194" s="24">
        <f t="shared" si="6"/>
        <v>61452.034048859648</v>
      </c>
      <c r="D194" s="24">
        <f t="shared" si="8"/>
        <v>45316.212554397724</v>
      </c>
      <c r="E194" s="24">
        <f t="shared" si="7"/>
        <v>54683.787445602276</v>
      </c>
    </row>
    <row r="195" spans="1:5">
      <c r="A195" s="87">
        <v>184</v>
      </c>
      <c r="B195" s="5">
        <v>1.0481608114787377</v>
      </c>
      <c r="C195" s="24">
        <f t="shared" si="6"/>
        <v>249963.28962722636</v>
      </c>
      <c r="D195" s="24">
        <f t="shared" si="8"/>
        <v>184328.96060914148</v>
      </c>
      <c r="E195" s="24">
        <f t="shared" si="7"/>
        <v>0</v>
      </c>
    </row>
    <row r="196" spans="1:5">
      <c r="A196" s="87">
        <v>185</v>
      </c>
      <c r="B196" s="5">
        <v>1.7863749235402793</v>
      </c>
      <c r="C196" s="24">
        <f t="shared" si="6"/>
        <v>448058.39250627201</v>
      </c>
      <c r="D196" s="24">
        <f t="shared" si="8"/>
        <v>330409.06889188266</v>
      </c>
      <c r="E196" s="24">
        <f t="shared" si="7"/>
        <v>0</v>
      </c>
    </row>
    <row r="197" spans="1:5">
      <c r="A197" s="87">
        <v>186</v>
      </c>
      <c r="B197" s="5">
        <v>0.83698523667408153</v>
      </c>
      <c r="C197" s="24">
        <f t="shared" si="6"/>
        <v>211529.63670712573</v>
      </c>
      <c r="D197" s="24">
        <f t="shared" si="8"/>
        <v>155987.05766115355</v>
      </c>
      <c r="E197" s="24">
        <f t="shared" si="7"/>
        <v>0</v>
      </c>
    </row>
    <row r="198" spans="1:5">
      <c r="A198" s="87">
        <v>187</v>
      </c>
      <c r="B198" s="5">
        <v>-1.3511680663214065</v>
      </c>
      <c r="C198" s="24">
        <f t="shared" si="6"/>
        <v>37505.14179734252</v>
      </c>
      <c r="D198" s="24">
        <f t="shared" si="8"/>
        <v>27657.196443975787</v>
      </c>
      <c r="E198" s="24">
        <f t="shared" si="7"/>
        <v>72342.803556024213</v>
      </c>
    </row>
    <row r="199" spans="1:5">
      <c r="A199" s="87">
        <v>188</v>
      </c>
      <c r="B199" s="5">
        <v>-0.15139335118874442</v>
      </c>
      <c r="C199" s="24">
        <f t="shared" si="6"/>
        <v>96832.553370476555</v>
      </c>
      <c r="D199" s="24">
        <f t="shared" si="8"/>
        <v>71406.661124230217</v>
      </c>
      <c r="E199" s="24">
        <f t="shared" si="7"/>
        <v>28593.338875769783</v>
      </c>
    </row>
    <row r="200" spans="1:5">
      <c r="A200" s="87">
        <v>189</v>
      </c>
      <c r="B200" s="5">
        <v>-0.27519604373082984</v>
      </c>
      <c r="C200" s="24">
        <f t="shared" si="6"/>
        <v>87804.136358314528</v>
      </c>
      <c r="D200" s="24">
        <f t="shared" si="8"/>
        <v>64748.888591793315</v>
      </c>
      <c r="E200" s="24">
        <f t="shared" si="7"/>
        <v>35251.111408206685</v>
      </c>
    </row>
    <row r="201" spans="1:5">
      <c r="A201" s="87">
        <v>190</v>
      </c>
      <c r="B201" s="5">
        <v>-2.1664800442522392</v>
      </c>
      <c r="C201" s="24">
        <f t="shared" si="6"/>
        <v>19686.189015961751</v>
      </c>
      <c r="D201" s="24">
        <f t="shared" si="8"/>
        <v>14517.07074698412</v>
      </c>
      <c r="E201" s="24">
        <f t="shared" si="7"/>
        <v>85482.929253015885</v>
      </c>
    </row>
    <row r="202" spans="1:5">
      <c r="A202" s="87">
        <v>191</v>
      </c>
      <c r="B202" s="5">
        <v>0.56864450925786514</v>
      </c>
      <c r="C202" s="24">
        <f t="shared" si="6"/>
        <v>171095.7160759269</v>
      </c>
      <c r="D202" s="24">
        <f t="shared" si="8"/>
        <v>126170.10904275293</v>
      </c>
      <c r="E202" s="24">
        <f t="shared" si="7"/>
        <v>0</v>
      </c>
    </row>
    <row r="203" spans="1:5">
      <c r="A203" s="87">
        <v>192</v>
      </c>
      <c r="B203" s="5">
        <v>-0.30303453968372196</v>
      </c>
      <c r="C203" s="24">
        <f t="shared" si="6"/>
        <v>85892.829214637983</v>
      </c>
      <c r="D203" s="24">
        <f t="shared" si="8"/>
        <v>63339.444590139596</v>
      </c>
      <c r="E203" s="24">
        <f t="shared" si="7"/>
        <v>36660.555409860404</v>
      </c>
    </row>
    <row r="204" spans="1:5">
      <c r="A204" s="87">
        <v>193</v>
      </c>
      <c r="B204" s="5">
        <v>-1.0275789463776164</v>
      </c>
      <c r="C204" s="24">
        <f t="shared" ref="C204:C267" si="9">B$6*EXP(B204*B$5*SQRT(10)+10*(B$4-(B$5^2)/2))</f>
        <v>48438.633079101433</v>
      </c>
      <c r="D204" s="24">
        <f t="shared" si="8"/>
        <v>35719.816706340163</v>
      </c>
      <c r="E204" s="24">
        <f t="shared" ref="E204:E267" si="10">MAX(B$6-D204,0)</f>
        <v>64280.183293659837</v>
      </c>
    </row>
    <row r="205" spans="1:5">
      <c r="A205" s="87">
        <v>194</v>
      </c>
      <c r="B205" s="5">
        <v>0.97738393378676847</v>
      </c>
      <c r="C205" s="24">
        <f t="shared" si="9"/>
        <v>236360.93700757873</v>
      </c>
      <c r="D205" s="24">
        <f t="shared" ref="D205:D268" si="11">C205*(0.97^10)</f>
        <v>174298.25760488087</v>
      </c>
      <c r="E205" s="24">
        <f t="shared" si="10"/>
        <v>0</v>
      </c>
    </row>
    <row r="206" spans="1:5">
      <c r="A206" s="87">
        <v>195</v>
      </c>
      <c r="B206" s="5">
        <v>-0.2884894456656184</v>
      </c>
      <c r="C206" s="24">
        <f t="shared" si="9"/>
        <v>86886.203235965368</v>
      </c>
      <c r="D206" s="24">
        <f t="shared" si="11"/>
        <v>64071.982560497047</v>
      </c>
      <c r="E206" s="24">
        <f t="shared" si="10"/>
        <v>35928.017439502953</v>
      </c>
    </row>
    <row r="207" spans="1:5">
      <c r="A207" s="87">
        <v>196</v>
      </c>
      <c r="B207" s="5">
        <v>0.38297002902254462</v>
      </c>
      <c r="C207" s="24">
        <f t="shared" si="9"/>
        <v>147737.13471545547</v>
      </c>
      <c r="D207" s="24">
        <f t="shared" si="11"/>
        <v>108944.92757750314</v>
      </c>
      <c r="E207" s="24">
        <f t="shared" si="10"/>
        <v>0</v>
      </c>
    </row>
    <row r="208" spans="1:5">
      <c r="A208" s="87">
        <v>197</v>
      </c>
      <c r="B208" s="5">
        <v>-0.1091893864213489</v>
      </c>
      <c r="C208" s="24">
        <f t="shared" si="9"/>
        <v>100117.89050109097</v>
      </c>
      <c r="D208" s="24">
        <f t="shared" si="11"/>
        <v>73829.347989329035</v>
      </c>
      <c r="E208" s="24">
        <f t="shared" si="10"/>
        <v>26170.652010670965</v>
      </c>
    </row>
    <row r="209" spans="1:5">
      <c r="A209" s="87">
        <v>198</v>
      </c>
      <c r="B209" s="5">
        <v>0.61365199144347571</v>
      </c>
      <c r="C209" s="24">
        <f t="shared" si="9"/>
        <v>177293.16855389767</v>
      </c>
      <c r="D209" s="24">
        <f t="shared" si="11"/>
        <v>130740.26002529333</v>
      </c>
      <c r="E209" s="24">
        <f t="shared" si="10"/>
        <v>0</v>
      </c>
    </row>
    <row r="210" spans="1:5">
      <c r="A210" s="87">
        <v>199</v>
      </c>
      <c r="B210" s="5">
        <v>1.1521115084178746</v>
      </c>
      <c r="C210" s="24">
        <f t="shared" si="9"/>
        <v>271373.01328794513</v>
      </c>
      <c r="D210" s="24">
        <f t="shared" si="11"/>
        <v>200117.00738670869</v>
      </c>
      <c r="E210" s="24">
        <f t="shared" si="10"/>
        <v>0</v>
      </c>
    </row>
    <row r="211" spans="1:5">
      <c r="A211" s="87">
        <v>200</v>
      </c>
      <c r="B211" s="5">
        <v>1.1674001143546775</v>
      </c>
      <c r="C211" s="24">
        <f t="shared" si="9"/>
        <v>274672.92097263172</v>
      </c>
      <c r="D211" s="24">
        <f t="shared" si="11"/>
        <v>202550.43892992256</v>
      </c>
      <c r="E211" s="24">
        <f t="shared" si="10"/>
        <v>0</v>
      </c>
    </row>
    <row r="212" spans="1:5">
      <c r="A212" s="87">
        <v>201</v>
      </c>
      <c r="B212" s="5">
        <v>-1.7303955246461555</v>
      </c>
      <c r="C212" s="24">
        <f t="shared" si="9"/>
        <v>27789.89341229049</v>
      </c>
      <c r="D212" s="24">
        <f t="shared" si="11"/>
        <v>20492.937886061431</v>
      </c>
      <c r="E212" s="24">
        <f t="shared" si="10"/>
        <v>79507.062113938562</v>
      </c>
    </row>
    <row r="213" spans="1:5">
      <c r="A213" s="87">
        <v>202</v>
      </c>
      <c r="B213" s="5">
        <v>-1.4720944818691351</v>
      </c>
      <c r="C213" s="24">
        <f t="shared" si="9"/>
        <v>34085.678562595916</v>
      </c>
      <c r="D213" s="24">
        <f t="shared" si="11"/>
        <v>25135.601753643467</v>
      </c>
      <c r="E213" s="24">
        <f t="shared" si="10"/>
        <v>74864.398246356533</v>
      </c>
    </row>
    <row r="214" spans="1:5">
      <c r="A214" s="87">
        <v>203</v>
      </c>
      <c r="B214" s="5">
        <v>0.90957200882257894</v>
      </c>
      <c r="C214" s="24">
        <f t="shared" si="9"/>
        <v>224023.28490954911</v>
      </c>
      <c r="D214" s="24">
        <f t="shared" si="11"/>
        <v>165200.17527855799</v>
      </c>
      <c r="E214" s="24">
        <f t="shared" si="10"/>
        <v>0</v>
      </c>
    </row>
    <row r="215" spans="1:5">
      <c r="A215" s="87">
        <v>204</v>
      </c>
      <c r="B215" s="5">
        <v>-0.24859446057234891</v>
      </c>
      <c r="C215" s="24">
        <f t="shared" si="9"/>
        <v>89670.246032108436</v>
      </c>
      <c r="D215" s="24">
        <f t="shared" si="11"/>
        <v>66125.00288868096</v>
      </c>
      <c r="E215" s="24">
        <f t="shared" si="10"/>
        <v>33874.99711131904</v>
      </c>
    </row>
    <row r="216" spans="1:5">
      <c r="A216" s="87">
        <v>205</v>
      </c>
      <c r="B216" s="5">
        <v>0.47140929382294416</v>
      </c>
      <c r="C216" s="24">
        <f t="shared" si="9"/>
        <v>158436.19477595747</v>
      </c>
      <c r="D216" s="24">
        <f t="shared" si="11"/>
        <v>116834.67260121522</v>
      </c>
      <c r="E216" s="24">
        <f t="shared" si="10"/>
        <v>0</v>
      </c>
    </row>
    <row r="217" spans="1:5">
      <c r="A217" s="87">
        <v>206</v>
      </c>
      <c r="B217" s="5">
        <v>0.58363639254821464</v>
      </c>
      <c r="C217" s="24">
        <f t="shared" si="9"/>
        <v>173135.62855666081</v>
      </c>
      <c r="D217" s="24">
        <f t="shared" si="11"/>
        <v>127674.3897228002</v>
      </c>
      <c r="E217" s="24">
        <f t="shared" si="10"/>
        <v>0</v>
      </c>
    </row>
    <row r="218" spans="1:5">
      <c r="A218" s="87">
        <v>207</v>
      </c>
      <c r="B218" s="5">
        <v>0.1824230366764823</v>
      </c>
      <c r="C218" s="24">
        <f t="shared" si="9"/>
        <v>126076.42357391842</v>
      </c>
      <c r="D218" s="24">
        <f t="shared" si="11"/>
        <v>92971.796576031935</v>
      </c>
      <c r="E218" s="24">
        <f t="shared" si="10"/>
        <v>7028.2034239680652</v>
      </c>
    </row>
    <row r="219" spans="1:5">
      <c r="A219" s="87">
        <v>208</v>
      </c>
      <c r="B219" s="5">
        <v>0.8635606718598865</v>
      </c>
      <c r="C219" s="24">
        <f t="shared" si="9"/>
        <v>216020.83064243378</v>
      </c>
      <c r="D219" s="24">
        <f t="shared" si="11"/>
        <v>159298.97242761389</v>
      </c>
      <c r="E219" s="24">
        <f t="shared" si="10"/>
        <v>0</v>
      </c>
    </row>
    <row r="220" spans="1:5">
      <c r="A220" s="87">
        <v>209</v>
      </c>
      <c r="B220" s="5">
        <v>-1.0612347978167236</v>
      </c>
      <c r="C220" s="24">
        <f t="shared" si="9"/>
        <v>47166.807423559541</v>
      </c>
      <c r="D220" s="24">
        <f t="shared" si="11"/>
        <v>34781.94178273961</v>
      </c>
      <c r="E220" s="24">
        <f t="shared" si="10"/>
        <v>65218.05821726039</v>
      </c>
    </row>
    <row r="221" spans="1:5">
      <c r="A221" s="87">
        <v>210</v>
      </c>
      <c r="B221" s="5">
        <v>-0.57504053074808326</v>
      </c>
      <c r="C221" s="24">
        <f t="shared" si="9"/>
        <v>69273.381700870799</v>
      </c>
      <c r="D221" s="24">
        <f t="shared" si="11"/>
        <v>51083.863017823744</v>
      </c>
      <c r="E221" s="24">
        <f t="shared" si="10"/>
        <v>48916.136982176256</v>
      </c>
    </row>
    <row r="222" spans="1:5">
      <c r="A222" s="87">
        <v>211</v>
      </c>
      <c r="B222" s="5">
        <v>-1.306234480580315</v>
      </c>
      <c r="C222" s="24">
        <f t="shared" si="9"/>
        <v>38861.387824912337</v>
      </c>
      <c r="D222" s="24">
        <f t="shared" si="11"/>
        <v>28657.324986711174</v>
      </c>
      <c r="E222" s="24">
        <f t="shared" si="10"/>
        <v>71342.675013288826</v>
      </c>
    </row>
    <row r="223" spans="1:5">
      <c r="A223" s="87">
        <v>212</v>
      </c>
      <c r="B223" s="5">
        <v>-0.22428594093071297</v>
      </c>
      <c r="C223" s="24">
        <f t="shared" si="9"/>
        <v>91410.155323876403</v>
      </c>
      <c r="D223" s="24">
        <f t="shared" si="11"/>
        <v>67408.053979039323</v>
      </c>
      <c r="E223" s="24">
        <f t="shared" si="10"/>
        <v>32591.946020960677</v>
      </c>
    </row>
    <row r="224" spans="1:5">
      <c r="A224" s="87">
        <v>213</v>
      </c>
      <c r="B224" s="5">
        <v>-0.29703187465202063</v>
      </c>
      <c r="C224" s="24">
        <f t="shared" si="9"/>
        <v>86301.404328711375</v>
      </c>
      <c r="D224" s="24">
        <f t="shared" si="11"/>
        <v>63640.737736906165</v>
      </c>
      <c r="E224" s="24">
        <f t="shared" si="10"/>
        <v>36359.262263093835</v>
      </c>
    </row>
    <row r="225" spans="1:5">
      <c r="A225" s="87">
        <v>214</v>
      </c>
      <c r="B225" s="5">
        <v>0.41903376768459566</v>
      </c>
      <c r="C225" s="24">
        <f t="shared" si="9"/>
        <v>152009.87207352396</v>
      </c>
      <c r="D225" s="24">
        <f t="shared" si="11"/>
        <v>112095.74719322813</v>
      </c>
      <c r="E225" s="24">
        <f t="shared" si="10"/>
        <v>0</v>
      </c>
    </row>
    <row r="226" spans="1:5">
      <c r="A226" s="87">
        <v>215</v>
      </c>
      <c r="B226" s="5">
        <v>1.2141845218138769</v>
      </c>
      <c r="C226" s="24">
        <f t="shared" si="9"/>
        <v>285022.27444205055</v>
      </c>
      <c r="D226" s="24">
        <f t="shared" si="11"/>
        <v>210182.30187603572</v>
      </c>
      <c r="E226" s="24">
        <f t="shared" si="10"/>
        <v>0</v>
      </c>
    </row>
    <row r="227" spans="1:5">
      <c r="A227" s="87">
        <v>216</v>
      </c>
      <c r="B227" s="5">
        <v>0.20128027244936675</v>
      </c>
      <c r="C227" s="24">
        <f t="shared" si="9"/>
        <v>127970.04501836897</v>
      </c>
      <c r="D227" s="24">
        <f t="shared" si="11"/>
        <v>94368.198716375395</v>
      </c>
      <c r="E227" s="24">
        <f t="shared" si="10"/>
        <v>5631.8012836246053</v>
      </c>
    </row>
    <row r="228" spans="1:5">
      <c r="A228" s="87">
        <v>217</v>
      </c>
      <c r="B228" s="5">
        <v>-0.7346739039348904</v>
      </c>
      <c r="C228" s="24">
        <f t="shared" si="9"/>
        <v>61060.151441252383</v>
      </c>
      <c r="D228" s="24">
        <f t="shared" si="11"/>
        <v>45027.228864637633</v>
      </c>
      <c r="E228" s="24">
        <f t="shared" si="10"/>
        <v>54972.771135362367</v>
      </c>
    </row>
    <row r="229" spans="1:5">
      <c r="A229" s="87">
        <v>218</v>
      </c>
      <c r="B229" s="5">
        <v>-1.2891882761323359</v>
      </c>
      <c r="C229" s="24">
        <f t="shared" si="9"/>
        <v>39388.636643687816</v>
      </c>
      <c r="D229" s="24">
        <f t="shared" si="11"/>
        <v>29046.130986553064</v>
      </c>
      <c r="E229" s="24">
        <f t="shared" si="10"/>
        <v>70953.869013446936</v>
      </c>
    </row>
    <row r="230" spans="1:5">
      <c r="A230" s="87">
        <v>219</v>
      </c>
      <c r="B230" s="5">
        <v>3.6000074032926932E-2</v>
      </c>
      <c r="C230" s="24">
        <f t="shared" si="9"/>
        <v>112295.15792080406</v>
      </c>
      <c r="D230" s="24">
        <f t="shared" si="11"/>
        <v>82809.158784277024</v>
      </c>
      <c r="E230" s="24">
        <f t="shared" si="10"/>
        <v>17190.841215722976</v>
      </c>
    </row>
    <row r="231" spans="1:5">
      <c r="A231" s="87">
        <v>220</v>
      </c>
      <c r="B231" s="5">
        <v>-0.63765583036001772</v>
      </c>
      <c r="C231" s="24">
        <f t="shared" si="9"/>
        <v>65927.719920064177</v>
      </c>
      <c r="D231" s="24">
        <f t="shared" si="11"/>
        <v>48616.691300226688</v>
      </c>
      <c r="E231" s="24">
        <f t="shared" si="10"/>
        <v>51383.308699773312</v>
      </c>
    </row>
    <row r="232" spans="1:5">
      <c r="A232" s="87">
        <v>221</v>
      </c>
      <c r="B232" s="5">
        <v>-0.27734131435863674</v>
      </c>
      <c r="C232" s="24">
        <f t="shared" si="9"/>
        <v>87655.348036861775</v>
      </c>
      <c r="D232" s="24">
        <f t="shared" si="11"/>
        <v>64639.168493753852</v>
      </c>
      <c r="E232" s="24">
        <f t="shared" si="10"/>
        <v>35360.831506246148</v>
      </c>
    </row>
    <row r="233" spans="1:5">
      <c r="A233" s="87">
        <v>222</v>
      </c>
      <c r="B233" s="5">
        <v>-0.45404021875583567</v>
      </c>
      <c r="C233" s="24">
        <f t="shared" si="9"/>
        <v>76227.315976795799</v>
      </c>
      <c r="D233" s="24">
        <f t="shared" si="11"/>
        <v>56211.861929732455</v>
      </c>
      <c r="E233" s="24">
        <f t="shared" si="10"/>
        <v>43788.138070267545</v>
      </c>
    </row>
    <row r="234" spans="1:5">
      <c r="A234" s="87">
        <v>223</v>
      </c>
      <c r="B234" s="5">
        <v>0.68952431320212781</v>
      </c>
      <c r="C234" s="24">
        <f t="shared" si="9"/>
        <v>188253.0406862965</v>
      </c>
      <c r="D234" s="24">
        <f t="shared" si="11"/>
        <v>138822.33416340759</v>
      </c>
      <c r="E234" s="24">
        <f t="shared" si="10"/>
        <v>0</v>
      </c>
    </row>
    <row r="235" spans="1:5">
      <c r="A235" s="87">
        <v>224</v>
      </c>
      <c r="B235" s="5">
        <v>0.47868752517388202</v>
      </c>
      <c r="C235" s="24">
        <f t="shared" si="9"/>
        <v>159350.45604273005</v>
      </c>
      <c r="D235" s="24">
        <f t="shared" si="11"/>
        <v>117508.87091761884</v>
      </c>
      <c r="E235" s="24">
        <f t="shared" si="10"/>
        <v>0</v>
      </c>
    </row>
    <row r="236" spans="1:5">
      <c r="A236" s="87">
        <v>225</v>
      </c>
      <c r="B236" s="5">
        <v>2.5025656213983893</v>
      </c>
      <c r="C236" s="24">
        <f t="shared" si="9"/>
        <v>789280.70081468706</v>
      </c>
      <c r="D236" s="24">
        <f t="shared" si="11"/>
        <v>582034.6316732876</v>
      </c>
      <c r="E236" s="24">
        <f t="shared" si="10"/>
        <v>0</v>
      </c>
    </row>
    <row r="237" spans="1:5">
      <c r="A237" s="87">
        <v>226</v>
      </c>
      <c r="B237" s="5">
        <v>-2.2692256607115269</v>
      </c>
      <c r="C237" s="24">
        <f t="shared" si="9"/>
        <v>18150.348884286785</v>
      </c>
      <c r="D237" s="24">
        <f t="shared" si="11"/>
        <v>13384.505178833517</v>
      </c>
      <c r="E237" s="24">
        <f t="shared" si="10"/>
        <v>86615.494821166489</v>
      </c>
    </row>
    <row r="238" spans="1:5">
      <c r="A238" s="87">
        <v>227</v>
      </c>
      <c r="B238" s="5">
        <v>1.2614145816769451</v>
      </c>
      <c r="C238" s="24">
        <f t="shared" si="9"/>
        <v>295865.80024005735</v>
      </c>
      <c r="D238" s="24">
        <f t="shared" si="11"/>
        <v>218178.57942009353</v>
      </c>
      <c r="E238" s="24">
        <f t="shared" si="10"/>
        <v>0</v>
      </c>
    </row>
    <row r="239" spans="1:5">
      <c r="A239" s="87">
        <v>228</v>
      </c>
      <c r="B239" s="5">
        <v>0.21511709746846464</v>
      </c>
      <c r="C239" s="24">
        <f t="shared" si="9"/>
        <v>129377.59009785703</v>
      </c>
      <c r="D239" s="24">
        <f t="shared" si="11"/>
        <v>95406.156417682127</v>
      </c>
      <c r="E239" s="24">
        <f t="shared" si="10"/>
        <v>4593.8435823178734</v>
      </c>
    </row>
    <row r="240" spans="1:5">
      <c r="A240" s="87">
        <v>229</v>
      </c>
      <c r="B240" s="5">
        <v>4.1435441744397394E-2</v>
      </c>
      <c r="C240" s="24">
        <f t="shared" si="9"/>
        <v>112778.73242205783</v>
      </c>
      <c r="D240" s="24">
        <f t="shared" si="11"/>
        <v>83165.758288652723</v>
      </c>
      <c r="E240" s="24">
        <f t="shared" si="10"/>
        <v>16834.241711347277</v>
      </c>
    </row>
    <row r="241" spans="1:5">
      <c r="A241" s="87">
        <v>230</v>
      </c>
      <c r="B241" s="5">
        <v>-1.0405074135633186</v>
      </c>
      <c r="C241" s="24">
        <f t="shared" si="9"/>
        <v>47946.070532453312</v>
      </c>
      <c r="D241" s="24">
        <f t="shared" si="11"/>
        <v>35356.589200437025</v>
      </c>
      <c r="E241" s="24">
        <f t="shared" si="10"/>
        <v>64643.410799562975</v>
      </c>
    </row>
    <row r="242" spans="1:5">
      <c r="A242" s="87">
        <v>231</v>
      </c>
      <c r="B242" s="5">
        <v>-0.79504388850182295</v>
      </c>
      <c r="C242" s="24">
        <f t="shared" si="9"/>
        <v>58214.403336183037</v>
      </c>
      <c r="D242" s="24">
        <f t="shared" si="11"/>
        <v>42928.705552893975</v>
      </c>
      <c r="E242" s="24">
        <f t="shared" si="10"/>
        <v>57071.294447106025</v>
      </c>
    </row>
    <row r="243" spans="1:5">
      <c r="A243" s="87">
        <v>232</v>
      </c>
      <c r="B243" s="5">
        <v>1.3396356735029258</v>
      </c>
      <c r="C243" s="24">
        <f t="shared" si="9"/>
        <v>314739.45725843828</v>
      </c>
      <c r="D243" s="24">
        <f t="shared" si="11"/>
        <v>232096.46946818742</v>
      </c>
      <c r="E243" s="24">
        <f t="shared" si="10"/>
        <v>0</v>
      </c>
    </row>
    <row r="244" spans="1:5">
      <c r="A244" s="87">
        <v>233</v>
      </c>
      <c r="B244" s="5">
        <v>-0.44591388359549455</v>
      </c>
      <c r="C244" s="24">
        <f t="shared" si="9"/>
        <v>76718.609639029251</v>
      </c>
      <c r="D244" s="24">
        <f t="shared" si="11"/>
        <v>56574.153729653968</v>
      </c>
      <c r="E244" s="24">
        <f t="shared" si="10"/>
        <v>43425.846270346032</v>
      </c>
    </row>
    <row r="245" spans="1:5">
      <c r="A245" s="87">
        <v>234</v>
      </c>
      <c r="B245" s="5">
        <v>6.3267862060456537E-2</v>
      </c>
      <c r="C245" s="24">
        <f t="shared" si="9"/>
        <v>114742.19425303061</v>
      </c>
      <c r="D245" s="24">
        <f t="shared" si="11"/>
        <v>84613.662415049344</v>
      </c>
      <c r="E245" s="24">
        <f t="shared" si="10"/>
        <v>15386.337584950656</v>
      </c>
    </row>
    <row r="246" spans="1:5">
      <c r="A246" s="87">
        <v>235</v>
      </c>
      <c r="B246" s="5">
        <v>-1.0097164704347961</v>
      </c>
      <c r="C246" s="24">
        <f t="shared" si="9"/>
        <v>49127.513122856079</v>
      </c>
      <c r="D246" s="24">
        <f t="shared" si="11"/>
        <v>36227.813471141271</v>
      </c>
      <c r="E246" s="24">
        <f t="shared" si="10"/>
        <v>63772.186528858729</v>
      </c>
    </row>
    <row r="247" spans="1:5">
      <c r="A247" s="87">
        <v>236</v>
      </c>
      <c r="B247" s="5">
        <v>-0.35740868042921647</v>
      </c>
      <c r="C247" s="24">
        <f t="shared" si="9"/>
        <v>82278.827500700398</v>
      </c>
      <c r="D247" s="24">
        <f t="shared" si="11"/>
        <v>60674.392531642399</v>
      </c>
      <c r="E247" s="24">
        <f t="shared" si="10"/>
        <v>39325.607468357601</v>
      </c>
    </row>
    <row r="248" spans="1:5">
      <c r="A248" s="87">
        <v>237</v>
      </c>
      <c r="B248" s="5">
        <v>0.39807787288737018</v>
      </c>
      <c r="C248" s="24">
        <f t="shared" si="9"/>
        <v>149512.25715037429</v>
      </c>
      <c r="D248" s="24">
        <f t="shared" si="11"/>
        <v>110253.94568920475</v>
      </c>
      <c r="E248" s="24">
        <f t="shared" si="10"/>
        <v>0</v>
      </c>
    </row>
    <row r="249" spans="1:5">
      <c r="A249" s="87">
        <v>238</v>
      </c>
      <c r="B249" s="5">
        <v>1.7066167856683023</v>
      </c>
      <c r="C249" s="24">
        <f t="shared" si="9"/>
        <v>420678.64132487751</v>
      </c>
      <c r="D249" s="24">
        <f t="shared" si="11"/>
        <v>310218.57978234248</v>
      </c>
      <c r="E249" s="24">
        <f t="shared" si="10"/>
        <v>0</v>
      </c>
    </row>
    <row r="250" spans="1:5">
      <c r="A250" s="87">
        <v>239</v>
      </c>
      <c r="B250" s="5">
        <v>-0.55940631682460662</v>
      </c>
      <c r="C250" s="24">
        <f t="shared" si="9"/>
        <v>70134.909186004763</v>
      </c>
      <c r="D250" s="24">
        <f t="shared" si="11"/>
        <v>51719.174171344639</v>
      </c>
      <c r="E250" s="24">
        <f t="shared" si="10"/>
        <v>48280.825828655361</v>
      </c>
    </row>
    <row r="251" spans="1:5">
      <c r="A251" s="87">
        <v>240</v>
      </c>
      <c r="B251" s="5">
        <v>0.57901615946320817</v>
      </c>
      <c r="C251" s="24">
        <f t="shared" si="9"/>
        <v>172504.38431630662</v>
      </c>
      <c r="D251" s="24">
        <f t="shared" si="11"/>
        <v>127208.89498999955</v>
      </c>
      <c r="E251" s="24">
        <f t="shared" si="10"/>
        <v>0</v>
      </c>
    </row>
    <row r="252" spans="1:5">
      <c r="A252" s="87">
        <v>241</v>
      </c>
      <c r="B252" s="5">
        <v>-0.69321572482294869</v>
      </c>
      <c r="C252" s="24">
        <f t="shared" si="9"/>
        <v>63094.590439819694</v>
      </c>
      <c r="D252" s="24">
        <f t="shared" si="11"/>
        <v>46527.473266877125</v>
      </c>
      <c r="E252" s="24">
        <f t="shared" si="10"/>
        <v>53472.526733122875</v>
      </c>
    </row>
    <row r="253" spans="1:5">
      <c r="A253" s="87">
        <v>242</v>
      </c>
      <c r="B253" s="5">
        <v>-0.19262188288848847</v>
      </c>
      <c r="C253" s="24">
        <f t="shared" si="9"/>
        <v>93727.273241839459</v>
      </c>
      <c r="D253" s="24">
        <f t="shared" si="11"/>
        <v>69116.75263660583</v>
      </c>
      <c r="E253" s="24">
        <f t="shared" si="10"/>
        <v>30883.24736339417</v>
      </c>
    </row>
    <row r="254" spans="1:5">
      <c r="A254" s="87">
        <v>243</v>
      </c>
      <c r="B254" s="5">
        <v>-1.9088020053459331E-2</v>
      </c>
      <c r="C254" s="24">
        <f t="shared" si="9"/>
        <v>107509.56078416391</v>
      </c>
      <c r="D254" s="24">
        <f t="shared" si="11"/>
        <v>79280.14399411928</v>
      </c>
      <c r="E254" s="24">
        <f t="shared" si="10"/>
        <v>20719.85600588072</v>
      </c>
    </row>
    <row r="255" spans="1:5">
      <c r="A255" s="87">
        <v>244</v>
      </c>
      <c r="B255" s="5">
        <v>-0.41127918848360423</v>
      </c>
      <c r="C255" s="24">
        <f t="shared" si="9"/>
        <v>78848.275184622355</v>
      </c>
      <c r="D255" s="24">
        <f t="shared" si="11"/>
        <v>58144.620485191175</v>
      </c>
      <c r="E255" s="24">
        <f t="shared" si="10"/>
        <v>41855.379514808825</v>
      </c>
    </row>
    <row r="256" spans="1:5">
      <c r="A256" s="87">
        <v>245</v>
      </c>
      <c r="B256" s="5">
        <v>9.7543306765146554E-3</v>
      </c>
      <c r="C256" s="24">
        <f t="shared" si="9"/>
        <v>109989.14306202288</v>
      </c>
      <c r="D256" s="24">
        <f t="shared" si="11"/>
        <v>81108.647790433577</v>
      </c>
      <c r="E256" s="24">
        <f t="shared" si="10"/>
        <v>18891.352209566423</v>
      </c>
    </row>
    <row r="257" spans="1:5">
      <c r="A257" s="87">
        <v>246</v>
      </c>
      <c r="B257" s="5">
        <v>0.76907781476620585</v>
      </c>
      <c r="C257" s="24">
        <f t="shared" si="9"/>
        <v>200473.00196315337</v>
      </c>
      <c r="D257" s="24">
        <f t="shared" si="11"/>
        <v>147833.62843868361</v>
      </c>
      <c r="E257" s="24">
        <f t="shared" si="10"/>
        <v>0</v>
      </c>
    </row>
    <row r="258" spans="1:5">
      <c r="A258" s="87">
        <v>247</v>
      </c>
      <c r="B258" s="5">
        <v>-1.9470007828203961E-2</v>
      </c>
      <c r="C258" s="24">
        <f t="shared" si="9"/>
        <v>107477.09910463581</v>
      </c>
      <c r="D258" s="24">
        <f t="shared" si="11"/>
        <v>79256.205968435737</v>
      </c>
      <c r="E258" s="24">
        <f t="shared" si="10"/>
        <v>20743.794031564263</v>
      </c>
    </row>
    <row r="259" spans="1:5">
      <c r="A259" s="87">
        <v>248</v>
      </c>
      <c r="B259" s="5">
        <v>0.61328250922088046</v>
      </c>
      <c r="C259" s="24">
        <f t="shared" si="9"/>
        <v>177241.38854385068</v>
      </c>
      <c r="D259" s="24">
        <f t="shared" si="11"/>
        <v>130702.07619659381</v>
      </c>
      <c r="E259" s="24">
        <f t="shared" si="10"/>
        <v>0</v>
      </c>
    </row>
    <row r="260" spans="1:5">
      <c r="A260" s="87">
        <v>249</v>
      </c>
      <c r="B260" s="5">
        <v>-0.24473024495819118</v>
      </c>
      <c r="C260" s="24">
        <f t="shared" si="9"/>
        <v>89944.601272336484</v>
      </c>
      <c r="D260" s="24">
        <f t="shared" si="11"/>
        <v>66327.319062165174</v>
      </c>
      <c r="E260" s="24">
        <f t="shared" si="10"/>
        <v>33672.680937834826</v>
      </c>
    </row>
    <row r="261" spans="1:5">
      <c r="A261" s="87">
        <v>250</v>
      </c>
      <c r="B261" s="5">
        <v>-0.97037855084636249</v>
      </c>
      <c r="C261" s="24">
        <f t="shared" si="9"/>
        <v>50679.352679803211</v>
      </c>
      <c r="D261" s="24">
        <f t="shared" si="11"/>
        <v>37372.177401504021</v>
      </c>
      <c r="E261" s="24">
        <f t="shared" si="10"/>
        <v>62627.822598495979</v>
      </c>
    </row>
    <row r="262" spans="1:5">
      <c r="A262" s="87">
        <v>251</v>
      </c>
      <c r="B262" s="5">
        <v>-0.83059603639412671</v>
      </c>
      <c r="C262" s="24">
        <f t="shared" si="9"/>
        <v>56600.983611868738</v>
      </c>
      <c r="D262" s="24">
        <f t="shared" si="11"/>
        <v>41738.930921376443</v>
      </c>
      <c r="E262" s="24">
        <f t="shared" si="10"/>
        <v>58261.069078623557</v>
      </c>
    </row>
    <row r="263" spans="1:5">
      <c r="A263" s="87">
        <v>252</v>
      </c>
      <c r="B263" s="5">
        <v>0.25957660909625702</v>
      </c>
      <c r="C263" s="24">
        <f t="shared" si="9"/>
        <v>134005.85781060185</v>
      </c>
      <c r="D263" s="24">
        <f t="shared" si="11"/>
        <v>98819.152694788965</v>
      </c>
      <c r="E263" s="24">
        <f t="shared" si="10"/>
        <v>1180.8473052110348</v>
      </c>
    </row>
    <row r="264" spans="1:5">
      <c r="A264" s="87">
        <v>253</v>
      </c>
      <c r="B264" s="5">
        <v>1.3695034795091487</v>
      </c>
      <c r="C264" s="24">
        <f t="shared" si="9"/>
        <v>322259.7027269947</v>
      </c>
      <c r="D264" s="24">
        <f t="shared" si="11"/>
        <v>237642.07991687319</v>
      </c>
      <c r="E264" s="24">
        <f t="shared" si="10"/>
        <v>0</v>
      </c>
    </row>
    <row r="265" spans="1:5">
      <c r="A265" s="87">
        <v>254</v>
      </c>
      <c r="B265" s="5">
        <v>0.91746642283396795</v>
      </c>
      <c r="C265" s="24">
        <f t="shared" si="9"/>
        <v>225425.80472872627</v>
      </c>
      <c r="D265" s="24">
        <f t="shared" si="11"/>
        <v>166234.42723166756</v>
      </c>
      <c r="E265" s="24">
        <f t="shared" si="10"/>
        <v>0</v>
      </c>
    </row>
    <row r="266" spans="1:5">
      <c r="A266" s="87">
        <v>255</v>
      </c>
      <c r="B266" s="5">
        <v>1.7219099390786141</v>
      </c>
      <c r="C266" s="24">
        <f t="shared" si="9"/>
        <v>425795.64273478743</v>
      </c>
      <c r="D266" s="24">
        <f t="shared" si="11"/>
        <v>313991.98007936537</v>
      </c>
      <c r="E266" s="24">
        <f t="shared" si="10"/>
        <v>0</v>
      </c>
    </row>
    <row r="267" spans="1:5">
      <c r="A267" s="87">
        <v>256</v>
      </c>
      <c r="B267" s="5">
        <v>-0.42513875087024644</v>
      </c>
      <c r="C267" s="24">
        <f t="shared" si="9"/>
        <v>77989.054693498867</v>
      </c>
      <c r="D267" s="24">
        <f t="shared" si="11"/>
        <v>57511.010564714205</v>
      </c>
      <c r="E267" s="24">
        <f t="shared" si="10"/>
        <v>42488.989435285795</v>
      </c>
    </row>
    <row r="268" spans="1:5">
      <c r="A268" s="87">
        <v>257</v>
      </c>
      <c r="B268" s="5">
        <v>-0.59327703638700768</v>
      </c>
      <c r="C268" s="24">
        <f t="shared" ref="C268:C331" si="12">B$6*EXP(B268*B$5*SQRT(10)+10*(B$4-(B$5^2)/2))</f>
        <v>68281.816848964721</v>
      </c>
      <c r="D268" s="24">
        <f t="shared" si="11"/>
        <v>50352.659172647211</v>
      </c>
      <c r="E268" s="24">
        <f t="shared" ref="E268:E331" si="13">MAX(B$6-D268,0)</f>
        <v>49647.340827352789</v>
      </c>
    </row>
    <row r="269" spans="1:5">
      <c r="A269" s="87">
        <v>258</v>
      </c>
      <c r="B269" s="5">
        <v>-0.23866505216574296</v>
      </c>
      <c r="C269" s="24">
        <f t="shared" si="12"/>
        <v>90376.917310372955</v>
      </c>
      <c r="D269" s="24">
        <f t="shared" ref="D269:D332" si="14">C269*(0.97^10)</f>
        <v>66646.119339056895</v>
      </c>
      <c r="E269" s="24">
        <f t="shared" si="13"/>
        <v>33353.880660943105</v>
      </c>
    </row>
    <row r="270" spans="1:5">
      <c r="A270" s="87">
        <v>259</v>
      </c>
      <c r="B270" s="5">
        <v>-1.1331553650961723</v>
      </c>
      <c r="C270" s="24">
        <f t="shared" si="12"/>
        <v>44559.804659778238</v>
      </c>
      <c r="D270" s="24">
        <f t="shared" si="14"/>
        <v>32859.475045845516</v>
      </c>
      <c r="E270" s="24">
        <f t="shared" si="13"/>
        <v>67140.524954154476</v>
      </c>
    </row>
    <row r="271" spans="1:5">
      <c r="A271" s="87">
        <v>260</v>
      </c>
      <c r="B271" s="5">
        <v>-0.76016249295207672</v>
      </c>
      <c r="C271" s="24">
        <f t="shared" si="12"/>
        <v>59842.072590211057</v>
      </c>
      <c r="D271" s="24">
        <f t="shared" si="14"/>
        <v>44128.988131419304</v>
      </c>
      <c r="E271" s="24">
        <f t="shared" si="13"/>
        <v>55871.011868580696</v>
      </c>
    </row>
    <row r="272" spans="1:5">
      <c r="A272" s="87">
        <v>261</v>
      </c>
      <c r="B272" s="5">
        <v>1.0891881174757145</v>
      </c>
      <c r="C272" s="24">
        <f t="shared" si="12"/>
        <v>258203.74921493031</v>
      </c>
      <c r="D272" s="24">
        <f t="shared" si="14"/>
        <v>190405.674325817</v>
      </c>
      <c r="E272" s="24">
        <f t="shared" si="13"/>
        <v>0</v>
      </c>
    </row>
    <row r="273" spans="1:5">
      <c r="A273" s="87">
        <v>262</v>
      </c>
      <c r="B273" s="5">
        <v>8.4824023360852152E-2</v>
      </c>
      <c r="C273" s="24">
        <f t="shared" si="12"/>
        <v>116714.34625555461</v>
      </c>
      <c r="D273" s="24">
        <f t="shared" si="14"/>
        <v>86067.97488361469</v>
      </c>
      <c r="E273" s="24">
        <f t="shared" si="13"/>
        <v>13932.02511638531</v>
      </c>
    </row>
    <row r="274" spans="1:5">
      <c r="A274" s="87">
        <v>263</v>
      </c>
      <c r="B274" s="5">
        <v>-0.89041805040324107</v>
      </c>
      <c r="C274" s="24">
        <f t="shared" si="12"/>
        <v>53986.440260127689</v>
      </c>
      <c r="D274" s="24">
        <f t="shared" si="14"/>
        <v>39810.903572989861</v>
      </c>
      <c r="E274" s="24">
        <f t="shared" si="13"/>
        <v>60189.096427010139</v>
      </c>
    </row>
    <row r="275" spans="1:5">
      <c r="A275" s="87">
        <v>264</v>
      </c>
      <c r="B275" s="5">
        <v>-0.16254489310085773</v>
      </c>
      <c r="C275" s="24">
        <f t="shared" si="12"/>
        <v>95982.623025383524</v>
      </c>
      <c r="D275" s="24">
        <f t="shared" si="14"/>
        <v>70779.90198157847</v>
      </c>
      <c r="E275" s="24">
        <f t="shared" si="13"/>
        <v>29220.09801842153</v>
      </c>
    </row>
    <row r="276" spans="1:5">
      <c r="A276" s="87">
        <v>265</v>
      </c>
      <c r="B276" s="5">
        <v>1.4750412447028793</v>
      </c>
      <c r="C276" s="24">
        <f t="shared" si="12"/>
        <v>350300.96324658522</v>
      </c>
      <c r="D276" s="24">
        <f t="shared" si="14"/>
        <v>258320.38197256543</v>
      </c>
      <c r="E276" s="24">
        <f t="shared" si="13"/>
        <v>0</v>
      </c>
    </row>
    <row r="277" spans="1:5">
      <c r="A277" s="87">
        <v>266</v>
      </c>
      <c r="B277" s="5">
        <v>0.3464219844317995</v>
      </c>
      <c r="C277" s="24">
        <f t="shared" si="12"/>
        <v>143529.53194868276</v>
      </c>
      <c r="D277" s="24">
        <f t="shared" si="14"/>
        <v>105842.13978089509</v>
      </c>
      <c r="E277" s="24">
        <f t="shared" si="13"/>
        <v>0</v>
      </c>
    </row>
    <row r="278" spans="1:5">
      <c r="A278" s="87">
        <v>267</v>
      </c>
      <c r="B278" s="5">
        <v>0.57395709518459626</v>
      </c>
      <c r="C278" s="24">
        <f t="shared" si="12"/>
        <v>171815.82375560928</v>
      </c>
      <c r="D278" s="24">
        <f t="shared" si="14"/>
        <v>126701.13381971304</v>
      </c>
      <c r="E278" s="24">
        <f t="shared" si="13"/>
        <v>0</v>
      </c>
    </row>
    <row r="279" spans="1:5">
      <c r="A279" s="87">
        <v>268</v>
      </c>
      <c r="B279" s="5">
        <v>-1.3905150808568578</v>
      </c>
      <c r="C279" s="24">
        <f t="shared" si="12"/>
        <v>36356.444987487717</v>
      </c>
      <c r="D279" s="24">
        <f t="shared" si="14"/>
        <v>26810.119701901618</v>
      </c>
      <c r="E279" s="24">
        <f t="shared" si="13"/>
        <v>73189.880298098375</v>
      </c>
    </row>
    <row r="280" spans="1:5">
      <c r="A280" s="87">
        <v>269</v>
      </c>
      <c r="B280" s="5">
        <v>-1.7118918549385853</v>
      </c>
      <c r="C280" s="24">
        <f t="shared" si="12"/>
        <v>28199.404018189016</v>
      </c>
      <c r="D280" s="24">
        <f t="shared" si="14"/>
        <v>20794.920887070366</v>
      </c>
      <c r="E280" s="24">
        <f t="shared" si="13"/>
        <v>79205.079112929641</v>
      </c>
    </row>
    <row r="281" spans="1:5">
      <c r="A281" s="87">
        <v>270</v>
      </c>
      <c r="B281" s="5">
        <v>0.9559016689308919</v>
      </c>
      <c r="C281" s="24">
        <f t="shared" si="12"/>
        <v>232380.66146546026</v>
      </c>
      <c r="D281" s="24">
        <f t="shared" si="14"/>
        <v>171363.10638843291</v>
      </c>
      <c r="E281" s="24">
        <f t="shared" si="13"/>
        <v>0</v>
      </c>
    </row>
    <row r="282" spans="1:5">
      <c r="A282" s="87">
        <v>271</v>
      </c>
      <c r="B282" s="5">
        <v>-0.1677415184531128</v>
      </c>
      <c r="C282" s="24">
        <f t="shared" si="12"/>
        <v>95589.107173559751</v>
      </c>
      <c r="D282" s="24">
        <f t="shared" si="14"/>
        <v>70489.713898128015</v>
      </c>
      <c r="E282" s="24">
        <f t="shared" si="13"/>
        <v>29510.286101871985</v>
      </c>
    </row>
    <row r="283" spans="1:5">
      <c r="A283" s="87">
        <v>272</v>
      </c>
      <c r="B283" s="5">
        <v>-0.51120082389388699</v>
      </c>
      <c r="C283" s="24">
        <f t="shared" si="12"/>
        <v>72859.319351824073</v>
      </c>
      <c r="D283" s="24">
        <f t="shared" si="14"/>
        <v>53728.219959177615</v>
      </c>
      <c r="E283" s="24">
        <f t="shared" si="13"/>
        <v>46271.780040822385</v>
      </c>
    </row>
    <row r="284" spans="1:5">
      <c r="A284" s="87">
        <v>273</v>
      </c>
      <c r="B284" s="5">
        <v>-0.16285639503621496</v>
      </c>
      <c r="C284" s="24">
        <f t="shared" si="12"/>
        <v>95958.988880272256</v>
      </c>
      <c r="D284" s="24">
        <f t="shared" si="14"/>
        <v>70762.47359275489</v>
      </c>
      <c r="E284" s="24">
        <f t="shared" si="13"/>
        <v>29237.52640724511</v>
      </c>
    </row>
    <row r="285" spans="1:5">
      <c r="A285" s="87">
        <v>274</v>
      </c>
      <c r="B285" s="5">
        <v>1.7095771909225732</v>
      </c>
      <c r="C285" s="24">
        <f t="shared" si="12"/>
        <v>421664.35311094916</v>
      </c>
      <c r="D285" s="24">
        <f t="shared" si="14"/>
        <v>310945.46743555641</v>
      </c>
      <c r="E285" s="24">
        <f t="shared" si="13"/>
        <v>0</v>
      </c>
    </row>
    <row r="286" spans="1:5">
      <c r="A286" s="87">
        <v>275</v>
      </c>
      <c r="B286" s="5">
        <v>0.57080342230619863</v>
      </c>
      <c r="C286" s="24">
        <f t="shared" si="12"/>
        <v>171387.98656671052</v>
      </c>
      <c r="D286" s="24">
        <f t="shared" si="14"/>
        <v>126385.63635423619</v>
      </c>
      <c r="E286" s="24">
        <f t="shared" si="13"/>
        <v>0</v>
      </c>
    </row>
    <row r="287" spans="1:5">
      <c r="A287" s="87">
        <v>276</v>
      </c>
      <c r="B287" s="5">
        <v>0.78282710092025809</v>
      </c>
      <c r="C287" s="24">
        <f t="shared" si="12"/>
        <v>202663.9825556897</v>
      </c>
      <c r="D287" s="24">
        <f t="shared" si="14"/>
        <v>149449.31038917843</v>
      </c>
      <c r="E287" s="24">
        <f t="shared" si="13"/>
        <v>0</v>
      </c>
    </row>
    <row r="288" spans="1:5">
      <c r="A288" s="87">
        <v>277</v>
      </c>
      <c r="B288" s="5">
        <v>-1.2731970855384134</v>
      </c>
      <c r="C288" s="24">
        <f t="shared" si="12"/>
        <v>39889.754474748945</v>
      </c>
      <c r="D288" s="24">
        <f t="shared" si="14"/>
        <v>29415.667365594796</v>
      </c>
      <c r="E288" s="24">
        <f t="shared" si="13"/>
        <v>70584.332634405204</v>
      </c>
    </row>
    <row r="289" spans="1:5">
      <c r="A289" s="87">
        <v>278</v>
      </c>
      <c r="B289" s="5">
        <v>-0.22208951122593135</v>
      </c>
      <c r="C289" s="24">
        <f t="shared" si="12"/>
        <v>91569.020562590202</v>
      </c>
      <c r="D289" s="24">
        <f t="shared" si="14"/>
        <v>67525.2050389918</v>
      </c>
      <c r="E289" s="24">
        <f t="shared" si="13"/>
        <v>32474.7949610082</v>
      </c>
    </row>
    <row r="290" spans="1:5">
      <c r="A290" s="87">
        <v>279</v>
      </c>
      <c r="B290" s="5">
        <v>0.54160409490577877</v>
      </c>
      <c r="C290" s="24">
        <f t="shared" si="12"/>
        <v>167476.96484293431</v>
      </c>
      <c r="D290" s="24">
        <f t="shared" si="14"/>
        <v>123501.55457431341</v>
      </c>
      <c r="E290" s="24">
        <f t="shared" si="13"/>
        <v>0</v>
      </c>
    </row>
    <row r="291" spans="1:5">
      <c r="A291" s="87">
        <v>280</v>
      </c>
      <c r="B291" s="5">
        <v>0.19823573893518187</v>
      </c>
      <c r="C291" s="24">
        <f t="shared" si="12"/>
        <v>127662.40237068917</v>
      </c>
      <c r="D291" s="24">
        <f t="shared" si="14"/>
        <v>94141.335605514483</v>
      </c>
      <c r="E291" s="24">
        <f t="shared" si="13"/>
        <v>5858.6643944855168</v>
      </c>
    </row>
    <row r="292" spans="1:5">
      <c r="A292" s="87">
        <v>281</v>
      </c>
      <c r="B292" s="5">
        <v>1.3116391528456006</v>
      </c>
      <c r="C292" s="24">
        <f t="shared" si="12"/>
        <v>307849.79449243919</v>
      </c>
      <c r="D292" s="24">
        <f t="shared" si="14"/>
        <v>227015.86591837005</v>
      </c>
      <c r="E292" s="24">
        <f t="shared" si="13"/>
        <v>0</v>
      </c>
    </row>
    <row r="293" spans="1:5">
      <c r="A293" s="87">
        <v>282</v>
      </c>
      <c r="B293" s="5">
        <v>1.9165145204169676</v>
      </c>
      <c r="C293" s="24">
        <f t="shared" si="12"/>
        <v>496611.45979288284</v>
      </c>
      <c r="D293" s="24">
        <f t="shared" si="14"/>
        <v>366213.27214378235</v>
      </c>
      <c r="E293" s="24">
        <f t="shared" si="13"/>
        <v>0</v>
      </c>
    </row>
    <row r="294" spans="1:5">
      <c r="A294" s="87">
        <v>283</v>
      </c>
      <c r="B294" s="5">
        <v>-2.8039721655659378E-2</v>
      </c>
      <c r="C294" s="24">
        <f t="shared" si="12"/>
        <v>106751.40777833418</v>
      </c>
      <c r="D294" s="24">
        <f t="shared" si="14"/>
        <v>78721.063675742524</v>
      </c>
      <c r="E294" s="24">
        <f t="shared" si="13"/>
        <v>21278.936324257476</v>
      </c>
    </row>
    <row r="295" spans="1:5">
      <c r="A295" s="87">
        <v>284</v>
      </c>
      <c r="B295" s="5">
        <v>0.54959400586085394</v>
      </c>
      <c r="C295" s="24">
        <f t="shared" si="12"/>
        <v>168538.19450266359</v>
      </c>
      <c r="D295" s="24">
        <f t="shared" si="14"/>
        <v>124284.13092957428</v>
      </c>
      <c r="E295" s="24">
        <f t="shared" si="13"/>
        <v>0</v>
      </c>
    </row>
    <row r="296" spans="1:5">
      <c r="A296" s="87">
        <v>285</v>
      </c>
      <c r="B296" s="5">
        <v>-7.2545844886917621E-2</v>
      </c>
      <c r="C296" s="24">
        <f t="shared" si="12"/>
        <v>103060.65102507107</v>
      </c>
      <c r="D296" s="24">
        <f t="shared" si="14"/>
        <v>75999.410599385927</v>
      </c>
      <c r="E296" s="24">
        <f t="shared" si="13"/>
        <v>24000.589400614073</v>
      </c>
    </row>
    <row r="297" spans="1:5">
      <c r="A297" s="87">
        <v>286</v>
      </c>
      <c r="B297" s="5">
        <v>-0.74604258770705201</v>
      </c>
      <c r="C297" s="24">
        <f t="shared" si="12"/>
        <v>60513.817889597391</v>
      </c>
      <c r="D297" s="24">
        <f t="shared" si="14"/>
        <v>44624.349322315044</v>
      </c>
      <c r="E297" s="24">
        <f t="shared" si="13"/>
        <v>55375.650677684956</v>
      </c>
    </row>
    <row r="298" spans="1:5">
      <c r="A298" s="87">
        <v>287</v>
      </c>
      <c r="B298" s="5">
        <v>-0.26424800125823822</v>
      </c>
      <c r="C298" s="24">
        <f t="shared" si="12"/>
        <v>88567.395937315116</v>
      </c>
      <c r="D298" s="24">
        <f t="shared" si="14"/>
        <v>65311.734620432013</v>
      </c>
      <c r="E298" s="24">
        <f t="shared" si="13"/>
        <v>34688.265379567987</v>
      </c>
    </row>
    <row r="299" spans="1:5">
      <c r="A299" s="87">
        <v>288</v>
      </c>
      <c r="B299" s="5">
        <v>-0.33782384889491368</v>
      </c>
      <c r="C299" s="24">
        <f t="shared" si="12"/>
        <v>83562.677864458674</v>
      </c>
      <c r="D299" s="24">
        <f t="shared" si="14"/>
        <v>61621.134765200579</v>
      </c>
      <c r="E299" s="24">
        <f t="shared" si="13"/>
        <v>38378.865234799421</v>
      </c>
    </row>
    <row r="300" spans="1:5">
      <c r="A300" s="87">
        <v>289</v>
      </c>
      <c r="B300" s="5">
        <v>-1.024989160214318</v>
      </c>
      <c r="C300" s="24">
        <f t="shared" si="12"/>
        <v>48537.908207682289</v>
      </c>
      <c r="D300" s="24">
        <f t="shared" si="14"/>
        <v>35793.02458135628</v>
      </c>
      <c r="E300" s="24">
        <f t="shared" si="13"/>
        <v>64206.97541864372</v>
      </c>
    </row>
    <row r="301" spans="1:5">
      <c r="A301" s="87">
        <v>290</v>
      </c>
      <c r="B301" s="5">
        <v>0.87876514953677543</v>
      </c>
      <c r="C301" s="24">
        <f t="shared" si="12"/>
        <v>218633.11176718524</v>
      </c>
      <c r="D301" s="24">
        <f t="shared" si="14"/>
        <v>161225.33155523782</v>
      </c>
      <c r="E301" s="24">
        <f t="shared" si="13"/>
        <v>0</v>
      </c>
    </row>
    <row r="302" spans="1:5">
      <c r="A302" s="87">
        <v>291</v>
      </c>
      <c r="B302" s="5">
        <v>1.7095771909225732</v>
      </c>
      <c r="C302" s="24">
        <f t="shared" si="12"/>
        <v>421664.35311094916</v>
      </c>
      <c r="D302" s="24">
        <f t="shared" si="14"/>
        <v>310945.46743555641</v>
      </c>
      <c r="E302" s="24">
        <f t="shared" si="13"/>
        <v>0</v>
      </c>
    </row>
    <row r="303" spans="1:5">
      <c r="A303" s="87">
        <v>292</v>
      </c>
      <c r="B303" s="5">
        <v>-0.86145291788852774</v>
      </c>
      <c r="C303" s="24">
        <f t="shared" si="12"/>
        <v>55236.935815330493</v>
      </c>
      <c r="D303" s="24">
        <f t="shared" si="14"/>
        <v>40733.049165971279</v>
      </c>
      <c r="E303" s="24">
        <f t="shared" si="13"/>
        <v>59266.950834028721</v>
      </c>
    </row>
    <row r="304" spans="1:5">
      <c r="A304" s="87">
        <v>293</v>
      </c>
      <c r="B304" s="5">
        <v>1.0469693734194152</v>
      </c>
      <c r="C304" s="24">
        <f t="shared" si="12"/>
        <v>249727.9564321262</v>
      </c>
      <c r="D304" s="24">
        <f t="shared" si="14"/>
        <v>184155.42023321532</v>
      </c>
      <c r="E304" s="24">
        <f t="shared" si="13"/>
        <v>0</v>
      </c>
    </row>
    <row r="305" spans="1:5">
      <c r="A305" s="87">
        <v>294</v>
      </c>
      <c r="B305" s="5">
        <v>-1.5927798813208938</v>
      </c>
      <c r="C305" s="24">
        <f t="shared" si="12"/>
        <v>30983.881787248047</v>
      </c>
      <c r="D305" s="24">
        <f t="shared" si="14"/>
        <v>22848.261974777059</v>
      </c>
      <c r="E305" s="24">
        <f t="shared" si="13"/>
        <v>77151.738025222934</v>
      </c>
    </row>
    <row r="306" spans="1:5">
      <c r="A306" s="87">
        <v>295</v>
      </c>
      <c r="B306" s="5">
        <v>7.9987785284174606E-2</v>
      </c>
      <c r="C306" s="24">
        <f t="shared" si="12"/>
        <v>116268.95472928256</v>
      </c>
      <c r="D306" s="24">
        <f t="shared" si="14"/>
        <v>85739.532426227117</v>
      </c>
      <c r="E306" s="24">
        <f t="shared" si="13"/>
        <v>14260.467573772883</v>
      </c>
    </row>
    <row r="307" spans="1:5">
      <c r="A307" s="87">
        <v>296</v>
      </c>
      <c r="B307" s="5">
        <v>-1.0977601050399244E-2</v>
      </c>
      <c r="C307" s="24">
        <f t="shared" si="12"/>
        <v>108201.11056343722</v>
      </c>
      <c r="D307" s="24">
        <f t="shared" si="14"/>
        <v>79790.109486304282</v>
      </c>
      <c r="E307" s="24">
        <f t="shared" si="13"/>
        <v>20209.890513695718</v>
      </c>
    </row>
    <row r="308" spans="1:5">
      <c r="A308" s="87">
        <v>297</v>
      </c>
      <c r="B308" s="5">
        <v>1.997432264033705</v>
      </c>
      <c r="C308" s="24">
        <f t="shared" si="12"/>
        <v>529418.39843000576</v>
      </c>
      <c r="D308" s="24">
        <f t="shared" si="14"/>
        <v>390405.90022435825</v>
      </c>
      <c r="E308" s="24">
        <f t="shared" si="13"/>
        <v>0</v>
      </c>
    </row>
    <row r="309" spans="1:5">
      <c r="A309" s="87">
        <v>298</v>
      </c>
      <c r="B309" s="5">
        <v>-0.63157358454191126</v>
      </c>
      <c r="C309" s="24">
        <f t="shared" si="12"/>
        <v>66245.492624868959</v>
      </c>
      <c r="D309" s="24">
        <f t="shared" si="14"/>
        <v>48851.024559618396</v>
      </c>
      <c r="E309" s="24">
        <f t="shared" si="13"/>
        <v>51148.975440381604</v>
      </c>
    </row>
    <row r="310" spans="1:5">
      <c r="A310" s="87">
        <v>299</v>
      </c>
      <c r="B310" s="5">
        <v>-0.98295004136161879</v>
      </c>
      <c r="C310" s="24">
        <f t="shared" si="12"/>
        <v>50178.163738396586</v>
      </c>
      <c r="D310" s="24">
        <f t="shared" si="14"/>
        <v>37002.588583977849</v>
      </c>
      <c r="E310" s="24">
        <f t="shared" si="13"/>
        <v>62997.411416022151</v>
      </c>
    </row>
    <row r="311" spans="1:5">
      <c r="A311" s="87">
        <v>300</v>
      </c>
      <c r="B311" s="5">
        <v>0.95493533081025817</v>
      </c>
      <c r="C311" s="24">
        <f t="shared" si="12"/>
        <v>232203.20034316662</v>
      </c>
      <c r="D311" s="24">
        <f t="shared" si="14"/>
        <v>171232.24227526775</v>
      </c>
      <c r="E311" s="24">
        <f t="shared" si="13"/>
        <v>0</v>
      </c>
    </row>
    <row r="312" spans="1:5">
      <c r="A312" s="87">
        <v>301</v>
      </c>
      <c r="B312" s="5">
        <v>-0.49929440137930214</v>
      </c>
      <c r="C312" s="24">
        <f t="shared" si="12"/>
        <v>73548.371334806623</v>
      </c>
      <c r="D312" s="24">
        <f t="shared" si="14"/>
        <v>54236.343516113739</v>
      </c>
      <c r="E312" s="24">
        <f t="shared" si="13"/>
        <v>45763.656483886261</v>
      </c>
    </row>
    <row r="313" spans="1:5">
      <c r="A313" s="87">
        <v>302</v>
      </c>
      <c r="B313" s="5">
        <v>-0.80685140346758999</v>
      </c>
      <c r="C313" s="24">
        <f t="shared" si="12"/>
        <v>57673.520070586674</v>
      </c>
      <c r="D313" s="24">
        <f t="shared" si="14"/>
        <v>42529.845183009493</v>
      </c>
      <c r="E313" s="24">
        <f t="shared" si="13"/>
        <v>57470.154816990507</v>
      </c>
    </row>
    <row r="314" spans="1:5">
      <c r="A314" s="87">
        <v>303</v>
      </c>
      <c r="B314" s="5">
        <v>0.41069597500609234</v>
      </c>
      <c r="C314" s="24">
        <f t="shared" si="12"/>
        <v>151011.17832371293</v>
      </c>
      <c r="D314" s="24">
        <f t="shared" si="14"/>
        <v>111359.28632673831</v>
      </c>
      <c r="E314" s="24">
        <f t="shared" si="13"/>
        <v>0</v>
      </c>
    </row>
    <row r="315" spans="1:5">
      <c r="A315" s="87">
        <v>304</v>
      </c>
      <c r="B315" s="5">
        <v>1.0889129953284282</v>
      </c>
      <c r="C315" s="24">
        <f t="shared" si="12"/>
        <v>258147.59519189154</v>
      </c>
      <c r="D315" s="24">
        <f t="shared" si="14"/>
        <v>190364.264994406</v>
      </c>
      <c r="E315" s="24">
        <f t="shared" si="13"/>
        <v>0</v>
      </c>
    </row>
    <row r="316" spans="1:5">
      <c r="A316" s="87">
        <v>305</v>
      </c>
      <c r="B316" s="5">
        <v>-1.4489796740235761</v>
      </c>
      <c r="C316" s="24">
        <f t="shared" si="12"/>
        <v>34714.281493103546</v>
      </c>
      <c r="D316" s="24">
        <f t="shared" si="14"/>
        <v>25599.148720836649</v>
      </c>
      <c r="E316" s="24">
        <f t="shared" si="13"/>
        <v>74400.851279163355</v>
      </c>
    </row>
    <row r="317" spans="1:5">
      <c r="A317" s="87">
        <v>306</v>
      </c>
      <c r="B317" s="5">
        <v>-1.5257228369591758</v>
      </c>
      <c r="C317" s="24">
        <f t="shared" si="12"/>
        <v>32670.756307621334</v>
      </c>
      <c r="D317" s="24">
        <f t="shared" si="14"/>
        <v>24092.203945144629</v>
      </c>
      <c r="E317" s="24">
        <f t="shared" si="13"/>
        <v>75907.796054855367</v>
      </c>
    </row>
    <row r="318" spans="1:5">
      <c r="A318" s="87">
        <v>307</v>
      </c>
      <c r="B318" s="5">
        <v>-8.0985955719370395E-2</v>
      </c>
      <c r="C318" s="24">
        <f t="shared" si="12"/>
        <v>102375.26865028555</v>
      </c>
      <c r="D318" s="24">
        <f t="shared" si="14"/>
        <v>75493.99310007054</v>
      </c>
      <c r="E318" s="24">
        <f t="shared" si="13"/>
        <v>24506.00689992946</v>
      </c>
    </row>
    <row r="319" spans="1:5">
      <c r="A319" s="87">
        <v>308</v>
      </c>
      <c r="B319" s="5">
        <v>1.2010195860057138</v>
      </c>
      <c r="C319" s="24">
        <f t="shared" si="12"/>
        <v>282071.20457276754</v>
      </c>
      <c r="D319" s="24">
        <f t="shared" si="14"/>
        <v>208006.11175427379</v>
      </c>
      <c r="E319" s="24">
        <f t="shared" si="13"/>
        <v>0</v>
      </c>
    </row>
    <row r="320" spans="1:5">
      <c r="A320" s="87">
        <v>309</v>
      </c>
      <c r="B320" s="5">
        <v>2.2855783754494041</v>
      </c>
      <c r="C320" s="24">
        <f t="shared" si="12"/>
        <v>664861.36504122394</v>
      </c>
      <c r="D320" s="24">
        <f t="shared" si="14"/>
        <v>490284.81162169471</v>
      </c>
      <c r="E320" s="24">
        <f t="shared" si="13"/>
        <v>0</v>
      </c>
    </row>
    <row r="321" spans="1:5">
      <c r="A321" s="87">
        <v>310</v>
      </c>
      <c r="B321" s="5">
        <v>-0.32311959330399986</v>
      </c>
      <c r="C321" s="24">
        <f t="shared" si="12"/>
        <v>84539.739869337776</v>
      </c>
      <c r="D321" s="24">
        <f t="shared" si="14"/>
        <v>62341.643861070763</v>
      </c>
      <c r="E321" s="24">
        <f t="shared" si="13"/>
        <v>37658.356138929237</v>
      </c>
    </row>
    <row r="322" spans="1:5">
      <c r="A322" s="87">
        <v>311</v>
      </c>
      <c r="B322" s="5">
        <v>-0.40305167203769088</v>
      </c>
      <c r="C322" s="24">
        <f t="shared" si="12"/>
        <v>79362.809268086596</v>
      </c>
      <c r="D322" s="24">
        <f t="shared" si="14"/>
        <v>58524.05033244747</v>
      </c>
      <c r="E322" s="24">
        <f t="shared" si="13"/>
        <v>41475.94966755253</v>
      </c>
    </row>
    <row r="323" spans="1:5">
      <c r="A323" s="87">
        <v>312</v>
      </c>
      <c r="B323" s="5">
        <v>1.4825718608335592</v>
      </c>
      <c r="C323" s="24">
        <f t="shared" si="12"/>
        <v>352392.6915475672</v>
      </c>
      <c r="D323" s="24">
        <f t="shared" si="14"/>
        <v>259862.8728886185</v>
      </c>
      <c r="E323" s="24">
        <f t="shared" si="13"/>
        <v>0</v>
      </c>
    </row>
    <row r="324" spans="1:5">
      <c r="A324" s="87">
        <v>313</v>
      </c>
      <c r="B324" s="5">
        <v>0.17395109352946747</v>
      </c>
      <c r="C324" s="24">
        <f t="shared" si="12"/>
        <v>125234.82816912451</v>
      </c>
      <c r="D324" s="24">
        <f t="shared" si="14"/>
        <v>92351.183819452999</v>
      </c>
      <c r="E324" s="24">
        <f t="shared" si="13"/>
        <v>7648.8161805470008</v>
      </c>
    </row>
    <row r="325" spans="1:5">
      <c r="A325" s="87">
        <v>314</v>
      </c>
      <c r="B325" s="5">
        <v>-0.60959337133681402</v>
      </c>
      <c r="C325" s="24">
        <f t="shared" si="12"/>
        <v>67406.692685757225</v>
      </c>
      <c r="D325" s="24">
        <f t="shared" si="14"/>
        <v>49707.321500669263</v>
      </c>
      <c r="E325" s="24">
        <f t="shared" si="13"/>
        <v>50292.678499330737</v>
      </c>
    </row>
    <row r="326" spans="1:5">
      <c r="A326" s="87">
        <v>315</v>
      </c>
      <c r="B326" s="5">
        <v>-0.35333414416527376</v>
      </c>
      <c r="C326" s="24">
        <f t="shared" si="12"/>
        <v>82544.291696042666</v>
      </c>
      <c r="D326" s="24">
        <f t="shared" si="14"/>
        <v>60870.152234114532</v>
      </c>
      <c r="E326" s="24">
        <f t="shared" si="13"/>
        <v>39129.847765885468</v>
      </c>
    </row>
    <row r="327" spans="1:5">
      <c r="A327" s="87">
        <v>316</v>
      </c>
      <c r="B327" s="5">
        <v>1.0776329872896895</v>
      </c>
      <c r="C327" s="24">
        <f t="shared" si="12"/>
        <v>255855.76465421097</v>
      </c>
      <c r="D327" s="24">
        <f t="shared" si="14"/>
        <v>188674.21386116577</v>
      </c>
      <c r="E327" s="24">
        <f t="shared" si="13"/>
        <v>0</v>
      </c>
    </row>
    <row r="328" spans="1:5">
      <c r="A328" s="87">
        <v>317</v>
      </c>
      <c r="B328" s="5">
        <v>-6.3804463934502564E-2</v>
      </c>
      <c r="C328" s="24">
        <f t="shared" si="12"/>
        <v>103775.3356420193</v>
      </c>
      <c r="D328" s="24">
        <f t="shared" si="14"/>
        <v>76526.43627904421</v>
      </c>
      <c r="E328" s="24">
        <f t="shared" si="13"/>
        <v>23473.56372095579</v>
      </c>
    </row>
    <row r="329" spans="1:5">
      <c r="A329" s="87">
        <v>318</v>
      </c>
      <c r="B329" s="5">
        <v>0.13547150956583209</v>
      </c>
      <c r="C329" s="24">
        <f t="shared" si="12"/>
        <v>121482.45123394165</v>
      </c>
      <c r="D329" s="24">
        <f t="shared" si="14"/>
        <v>89584.090534245115</v>
      </c>
      <c r="E329" s="24">
        <f t="shared" si="13"/>
        <v>10415.909465754885</v>
      </c>
    </row>
    <row r="330" spans="1:5">
      <c r="A330" s="87">
        <v>319</v>
      </c>
      <c r="B330" s="5">
        <v>-0.52853920351481065</v>
      </c>
      <c r="C330" s="24">
        <f t="shared" si="12"/>
        <v>71867.436123602078</v>
      </c>
      <c r="D330" s="24">
        <f t="shared" si="14"/>
        <v>52996.781335624284</v>
      </c>
      <c r="E330" s="24">
        <f t="shared" si="13"/>
        <v>47003.218664375716</v>
      </c>
    </row>
    <row r="331" spans="1:5">
      <c r="A331" s="87">
        <v>320</v>
      </c>
      <c r="B331" s="5">
        <v>-0.39940346141520422</v>
      </c>
      <c r="C331" s="24">
        <f t="shared" si="12"/>
        <v>79592.035008089399</v>
      </c>
      <c r="D331" s="24">
        <f t="shared" si="14"/>
        <v>58693.086923630886</v>
      </c>
      <c r="E331" s="24">
        <f t="shared" si="13"/>
        <v>41306.913076369114</v>
      </c>
    </row>
    <row r="332" spans="1:5">
      <c r="A332" s="87">
        <v>321</v>
      </c>
      <c r="B332" s="5">
        <v>-0.91072934083058499</v>
      </c>
      <c r="C332" s="24">
        <f t="shared" ref="C332:C395" si="15">B$6*EXP(B332*B$5*SQRT(10)+10*(B$4-(B$5^2)/2))</f>
        <v>53126.476709660586</v>
      </c>
      <c r="D332" s="24">
        <f t="shared" si="14"/>
        <v>39176.745702625194</v>
      </c>
      <c r="E332" s="24">
        <f t="shared" ref="E332:E395" si="16">MAX(B$6-D332,0)</f>
        <v>60823.254297374806</v>
      </c>
    </row>
    <row r="333" spans="1:5">
      <c r="A333" s="87">
        <v>322</v>
      </c>
      <c r="B333" s="5">
        <v>0.83709437603829429</v>
      </c>
      <c r="C333" s="24">
        <f t="shared" si="15"/>
        <v>211547.88874611238</v>
      </c>
      <c r="D333" s="24">
        <f t="shared" ref="D333:D396" si="17">C333*(0.97^10)</f>
        <v>156000.51715506733</v>
      </c>
      <c r="E333" s="24">
        <f t="shared" si="16"/>
        <v>0</v>
      </c>
    </row>
    <row r="334" spans="1:5">
      <c r="A334" s="87">
        <v>323</v>
      </c>
      <c r="B334" s="5">
        <v>1.3355156625038944</v>
      </c>
      <c r="C334" s="24">
        <f t="shared" si="15"/>
        <v>313715.96989371185</v>
      </c>
      <c r="D334" s="24">
        <f t="shared" si="17"/>
        <v>231341.72519186605</v>
      </c>
      <c r="E334" s="24">
        <f t="shared" si="16"/>
        <v>0</v>
      </c>
    </row>
    <row r="335" spans="1:5">
      <c r="A335" s="87">
        <v>324</v>
      </c>
      <c r="B335" s="5">
        <v>-0.99731096270261332</v>
      </c>
      <c r="C335" s="24">
        <f t="shared" si="15"/>
        <v>49611.697448894447</v>
      </c>
      <c r="D335" s="24">
        <f t="shared" si="17"/>
        <v>36584.862675026321</v>
      </c>
      <c r="E335" s="24">
        <f t="shared" si="16"/>
        <v>63415.137324973679</v>
      </c>
    </row>
    <row r="336" spans="1:5">
      <c r="A336" s="87">
        <v>325</v>
      </c>
      <c r="B336" s="5">
        <v>0.68671283770527225</v>
      </c>
      <c r="C336" s="24">
        <f t="shared" si="15"/>
        <v>187835.08161579538</v>
      </c>
      <c r="D336" s="24">
        <f t="shared" si="17"/>
        <v>138514.12106076549</v>
      </c>
      <c r="E336" s="24">
        <f t="shared" si="16"/>
        <v>0</v>
      </c>
    </row>
    <row r="337" spans="1:5">
      <c r="A337" s="87">
        <v>326</v>
      </c>
      <c r="B337" s="5">
        <v>-0.96646544989198446</v>
      </c>
      <c r="C337" s="24">
        <f t="shared" si="15"/>
        <v>50836.375963540755</v>
      </c>
      <c r="D337" s="24">
        <f t="shared" si="17"/>
        <v>37487.970159416356</v>
      </c>
      <c r="E337" s="24">
        <f t="shared" si="16"/>
        <v>62512.029840583644</v>
      </c>
    </row>
    <row r="338" spans="1:5">
      <c r="A338" s="87">
        <v>327</v>
      </c>
      <c r="B338" s="5">
        <v>-1.0717735676735174</v>
      </c>
      <c r="C338" s="24">
        <f t="shared" si="15"/>
        <v>46775.463606849378</v>
      </c>
      <c r="D338" s="24">
        <f t="shared" si="17"/>
        <v>34493.355410386393</v>
      </c>
      <c r="E338" s="24">
        <f t="shared" si="16"/>
        <v>65506.644589613607</v>
      </c>
    </row>
    <row r="339" spans="1:5">
      <c r="A339" s="87">
        <v>328</v>
      </c>
      <c r="B339" s="5">
        <v>0.41769794734136667</v>
      </c>
      <c r="C339" s="24">
        <f t="shared" si="15"/>
        <v>151849.42545995116</v>
      </c>
      <c r="D339" s="24">
        <f t="shared" si="17"/>
        <v>111977.42998930097</v>
      </c>
      <c r="E339" s="24">
        <f t="shared" si="16"/>
        <v>0</v>
      </c>
    </row>
    <row r="340" spans="1:5">
      <c r="A340" s="87">
        <v>329</v>
      </c>
      <c r="B340" s="5">
        <v>-2.590531948953867</v>
      </c>
      <c r="C340" s="24">
        <f t="shared" si="15"/>
        <v>14078.866714391346</v>
      </c>
      <c r="D340" s="24">
        <f t="shared" si="17"/>
        <v>10382.095994530106</v>
      </c>
      <c r="E340" s="24">
        <f t="shared" si="16"/>
        <v>89617.9040054699</v>
      </c>
    </row>
    <row r="341" spans="1:5">
      <c r="A341" s="87">
        <v>330</v>
      </c>
      <c r="B341" s="5">
        <v>-1.6068088370957412</v>
      </c>
      <c r="C341" s="24">
        <f t="shared" si="15"/>
        <v>30642.142383509614</v>
      </c>
      <c r="D341" s="24">
        <f t="shared" si="17"/>
        <v>22596.25509334965</v>
      </c>
      <c r="E341" s="24">
        <f t="shared" si="16"/>
        <v>77403.744906650347</v>
      </c>
    </row>
    <row r="342" spans="1:5">
      <c r="A342" s="87">
        <v>331</v>
      </c>
      <c r="B342" s="5">
        <v>0.88689830590737984</v>
      </c>
      <c r="C342" s="24">
        <f t="shared" si="15"/>
        <v>220043.41348144013</v>
      </c>
      <c r="D342" s="24">
        <f t="shared" si="17"/>
        <v>162265.32206553066</v>
      </c>
      <c r="E342" s="24">
        <f t="shared" si="16"/>
        <v>0</v>
      </c>
    </row>
    <row r="343" spans="1:5">
      <c r="A343" s="87">
        <v>332</v>
      </c>
      <c r="B343" s="5">
        <v>1.2731970855384134</v>
      </c>
      <c r="C343" s="24">
        <f t="shared" si="15"/>
        <v>298634.6324509072</v>
      </c>
      <c r="D343" s="24">
        <f t="shared" si="17"/>
        <v>220220.38309569802</v>
      </c>
      <c r="E343" s="24">
        <f t="shared" si="16"/>
        <v>0</v>
      </c>
    </row>
    <row r="344" spans="1:5">
      <c r="A344" s="87">
        <v>333</v>
      </c>
      <c r="B344" s="5">
        <v>0.90818502940237522</v>
      </c>
      <c r="C344" s="24">
        <f t="shared" si="15"/>
        <v>223777.77721619103</v>
      </c>
      <c r="D344" s="24">
        <f t="shared" si="17"/>
        <v>165019.13198213742</v>
      </c>
      <c r="E344" s="24">
        <f t="shared" si="16"/>
        <v>0</v>
      </c>
    </row>
    <row r="345" spans="1:5">
      <c r="A345" s="87">
        <v>334</v>
      </c>
      <c r="B345" s="5">
        <v>-0.69945485847711097</v>
      </c>
      <c r="C345" s="24">
        <f t="shared" si="15"/>
        <v>62784.144637588135</v>
      </c>
      <c r="D345" s="24">
        <f t="shared" si="17"/>
        <v>46298.54304221832</v>
      </c>
      <c r="E345" s="24">
        <f t="shared" si="16"/>
        <v>53701.45695778168</v>
      </c>
    </row>
    <row r="346" spans="1:5">
      <c r="A346" s="87">
        <v>335</v>
      </c>
      <c r="B346" s="5">
        <v>0.74766148827620782</v>
      </c>
      <c r="C346" s="24">
        <f t="shared" si="15"/>
        <v>197107.34748596456</v>
      </c>
      <c r="D346" s="24">
        <f t="shared" si="17"/>
        <v>145351.71362441263</v>
      </c>
      <c r="E346" s="24">
        <f t="shared" si="16"/>
        <v>0</v>
      </c>
    </row>
    <row r="347" spans="1:5">
      <c r="A347" s="87">
        <v>336</v>
      </c>
      <c r="B347" s="5">
        <v>-0.77247477747732773</v>
      </c>
      <c r="C347" s="24">
        <f t="shared" si="15"/>
        <v>59262.412575718168</v>
      </c>
      <c r="D347" s="24">
        <f t="shared" si="17"/>
        <v>43701.532851335985</v>
      </c>
      <c r="E347" s="24">
        <f t="shared" si="16"/>
        <v>56298.467148664015</v>
      </c>
    </row>
    <row r="348" spans="1:5">
      <c r="A348" s="87">
        <v>337</v>
      </c>
      <c r="B348" s="5">
        <v>1.4129909686744213</v>
      </c>
      <c r="C348" s="24">
        <f t="shared" si="15"/>
        <v>333531.60535724176</v>
      </c>
      <c r="D348" s="24">
        <f t="shared" si="17"/>
        <v>245954.25287242775</v>
      </c>
      <c r="E348" s="24">
        <f t="shared" si="16"/>
        <v>0</v>
      </c>
    </row>
    <row r="349" spans="1:5">
      <c r="A349" s="87">
        <v>338</v>
      </c>
      <c r="B349" s="5">
        <v>0.55190866987686604</v>
      </c>
      <c r="C349" s="24">
        <f t="shared" si="15"/>
        <v>168846.88533006512</v>
      </c>
      <c r="D349" s="24">
        <f t="shared" si="17"/>
        <v>124511.76699345134</v>
      </c>
      <c r="E349" s="24">
        <f t="shared" si="16"/>
        <v>0</v>
      </c>
    </row>
    <row r="350" spans="1:5">
      <c r="A350" s="87">
        <v>339</v>
      </c>
      <c r="B350" s="5">
        <v>-1.2508075997175183</v>
      </c>
      <c r="C350" s="24">
        <f t="shared" si="15"/>
        <v>40602.10666447939</v>
      </c>
      <c r="D350" s="24">
        <f t="shared" si="17"/>
        <v>29940.973057148458</v>
      </c>
      <c r="E350" s="24">
        <f t="shared" si="16"/>
        <v>70059.026942851546</v>
      </c>
    </row>
    <row r="351" spans="1:5">
      <c r="A351" s="87">
        <v>340</v>
      </c>
      <c r="B351" s="5">
        <v>0.92847585619892925</v>
      </c>
      <c r="C351" s="24">
        <f t="shared" si="15"/>
        <v>227396.41147156421</v>
      </c>
      <c r="D351" s="24">
        <f t="shared" si="17"/>
        <v>167687.60018845808</v>
      </c>
      <c r="E351" s="24">
        <f t="shared" si="16"/>
        <v>0</v>
      </c>
    </row>
    <row r="352" spans="1:5">
      <c r="A352" s="87">
        <v>341</v>
      </c>
      <c r="B352" s="5">
        <v>1.1997622095805127</v>
      </c>
      <c r="C352" s="24">
        <f t="shared" si="15"/>
        <v>281790.95288329775</v>
      </c>
      <c r="D352" s="24">
        <f t="shared" si="17"/>
        <v>207799.44739685568</v>
      </c>
      <c r="E352" s="24">
        <f t="shared" si="16"/>
        <v>0</v>
      </c>
    </row>
    <row r="353" spans="1:5">
      <c r="A353" s="87">
        <v>342</v>
      </c>
      <c r="B353" s="5">
        <v>0.69243696998455562</v>
      </c>
      <c r="C353" s="24">
        <f t="shared" si="15"/>
        <v>188687.02240145465</v>
      </c>
      <c r="D353" s="24">
        <f t="shared" si="17"/>
        <v>139142.36275079646</v>
      </c>
      <c r="E353" s="24">
        <f t="shared" si="16"/>
        <v>0</v>
      </c>
    </row>
    <row r="354" spans="1:5">
      <c r="A354" s="87">
        <v>343</v>
      </c>
      <c r="B354" s="5">
        <v>-0.3166780970786931</v>
      </c>
      <c r="C354" s="24">
        <f t="shared" si="15"/>
        <v>84971.352309032824</v>
      </c>
      <c r="D354" s="24">
        <f t="shared" si="17"/>
        <v>62659.925287569873</v>
      </c>
      <c r="E354" s="24">
        <f t="shared" si="16"/>
        <v>37340.074712430127</v>
      </c>
    </row>
    <row r="355" spans="1:5">
      <c r="A355" s="87">
        <v>344</v>
      </c>
      <c r="B355" s="5">
        <v>-1.1537485988810658</v>
      </c>
      <c r="C355" s="24">
        <f t="shared" si="15"/>
        <v>43840.22746115482</v>
      </c>
      <c r="D355" s="24">
        <f t="shared" si="17"/>
        <v>32328.841458417148</v>
      </c>
      <c r="E355" s="24">
        <f t="shared" si="16"/>
        <v>67671.158541582845</v>
      </c>
    </row>
    <row r="356" spans="1:5">
      <c r="A356" s="87">
        <v>345</v>
      </c>
      <c r="B356" s="5">
        <v>0.34122763281629886</v>
      </c>
      <c r="C356" s="24">
        <f t="shared" si="15"/>
        <v>142941.33710532726</v>
      </c>
      <c r="D356" s="24">
        <f t="shared" si="17"/>
        <v>105408.39071208956</v>
      </c>
      <c r="E356" s="24">
        <f t="shared" si="16"/>
        <v>0</v>
      </c>
    </row>
    <row r="357" spans="1:5">
      <c r="A357" s="87">
        <v>346</v>
      </c>
      <c r="B357" s="5">
        <v>0.24457222025375813</v>
      </c>
      <c r="C357" s="24">
        <f t="shared" si="15"/>
        <v>132425.66949734351</v>
      </c>
      <c r="D357" s="24">
        <f t="shared" si="17"/>
        <v>97653.883707554865</v>
      </c>
      <c r="E357" s="24">
        <f t="shared" si="16"/>
        <v>2346.1162924451346</v>
      </c>
    </row>
    <row r="358" spans="1:5">
      <c r="A358" s="87">
        <v>347</v>
      </c>
      <c r="B358" s="5">
        <v>-7.7302502177190036E-2</v>
      </c>
      <c r="C358" s="24">
        <f t="shared" si="15"/>
        <v>102673.82255223018</v>
      </c>
      <c r="D358" s="24">
        <f t="shared" si="17"/>
        <v>75714.153950543128</v>
      </c>
      <c r="E358" s="24">
        <f t="shared" si="16"/>
        <v>24285.846049456872</v>
      </c>
    </row>
    <row r="359" spans="1:5">
      <c r="A359" s="87">
        <v>348</v>
      </c>
      <c r="B359" s="5">
        <v>-0.34723370845313184</v>
      </c>
      <c r="C359" s="24">
        <f t="shared" si="15"/>
        <v>82943.349300539354</v>
      </c>
      <c r="D359" s="24">
        <f t="shared" si="17"/>
        <v>61164.426939691286</v>
      </c>
      <c r="E359" s="24">
        <f t="shared" si="16"/>
        <v>38835.573060308714</v>
      </c>
    </row>
    <row r="360" spans="1:5">
      <c r="A360" s="87">
        <v>349</v>
      </c>
      <c r="B360" s="5">
        <v>-0.68836015998385847</v>
      </c>
      <c r="C360" s="24">
        <f t="shared" si="15"/>
        <v>63337.254641725907</v>
      </c>
      <c r="D360" s="24">
        <f t="shared" si="17"/>
        <v>46706.419704096465</v>
      </c>
      <c r="E360" s="24">
        <f t="shared" si="16"/>
        <v>53293.580295903535</v>
      </c>
    </row>
    <row r="361" spans="1:5">
      <c r="A361" s="87">
        <v>350</v>
      </c>
      <c r="B361" s="5">
        <v>-1.3592170944320969</v>
      </c>
      <c r="C361" s="24">
        <f t="shared" si="15"/>
        <v>37267.242466262585</v>
      </c>
      <c r="D361" s="24">
        <f t="shared" si="17"/>
        <v>27481.763737465277</v>
      </c>
      <c r="E361" s="24">
        <f t="shared" si="16"/>
        <v>72518.236262534716</v>
      </c>
    </row>
    <row r="362" spans="1:5">
      <c r="A362" s="87">
        <v>351</v>
      </c>
      <c r="B362" s="5">
        <v>-1.6378953660023399</v>
      </c>
      <c r="C362" s="24">
        <f t="shared" si="15"/>
        <v>29898.257604075861</v>
      </c>
      <c r="D362" s="24">
        <f t="shared" si="17"/>
        <v>22047.696509365291</v>
      </c>
      <c r="E362" s="24">
        <f t="shared" si="16"/>
        <v>77952.303490634717</v>
      </c>
    </row>
    <row r="363" spans="1:5">
      <c r="A363" s="87">
        <v>352</v>
      </c>
      <c r="B363" s="5">
        <v>-0.35455514080240391</v>
      </c>
      <c r="C363" s="24">
        <f t="shared" si="15"/>
        <v>82464.651571568524</v>
      </c>
      <c r="D363" s="24">
        <f t="shared" si="17"/>
        <v>60811.42368485839</v>
      </c>
      <c r="E363" s="24">
        <f t="shared" si="16"/>
        <v>39188.57631514161</v>
      </c>
    </row>
    <row r="364" spans="1:5">
      <c r="A364" s="87">
        <v>353</v>
      </c>
      <c r="B364" s="5">
        <v>-0.44768853513232898</v>
      </c>
      <c r="C364" s="24">
        <f t="shared" si="15"/>
        <v>76611.050032952917</v>
      </c>
      <c r="D364" s="24">
        <f t="shared" si="17"/>
        <v>56494.836681053966</v>
      </c>
      <c r="E364" s="24">
        <f t="shared" si="16"/>
        <v>43505.163318946034</v>
      </c>
    </row>
    <row r="365" spans="1:5">
      <c r="A365" s="87">
        <v>354</v>
      </c>
      <c r="B365" s="5">
        <v>0.60049842431908473</v>
      </c>
      <c r="C365" s="24">
        <f t="shared" si="15"/>
        <v>175459.08363367838</v>
      </c>
      <c r="D365" s="24">
        <f t="shared" si="17"/>
        <v>129387.76155434946</v>
      </c>
      <c r="E365" s="24">
        <f t="shared" si="16"/>
        <v>0</v>
      </c>
    </row>
    <row r="366" spans="1:5">
      <c r="A366" s="87">
        <v>355</v>
      </c>
      <c r="B366" s="5">
        <v>-0.94305505626834929</v>
      </c>
      <c r="C366" s="24">
        <f t="shared" si="15"/>
        <v>51785.992715572385</v>
      </c>
      <c r="D366" s="24">
        <f t="shared" si="17"/>
        <v>38188.24046366808</v>
      </c>
      <c r="E366" s="24">
        <f t="shared" si="16"/>
        <v>61811.75953633192</v>
      </c>
    </row>
    <row r="367" spans="1:5">
      <c r="A367" s="87">
        <v>356</v>
      </c>
      <c r="B367" s="5">
        <v>0.88034312284435146</v>
      </c>
      <c r="C367" s="24">
        <f t="shared" si="15"/>
        <v>218906.02620789892</v>
      </c>
      <c r="D367" s="24">
        <f t="shared" si="17"/>
        <v>161426.58524839813</v>
      </c>
      <c r="E367" s="24">
        <f t="shared" si="16"/>
        <v>0</v>
      </c>
    </row>
    <row r="368" spans="1:5">
      <c r="A368" s="87">
        <v>357</v>
      </c>
      <c r="B368" s="5">
        <v>0.63821858020673972</v>
      </c>
      <c r="C368" s="24">
        <f t="shared" si="15"/>
        <v>180770.13930582048</v>
      </c>
      <c r="D368" s="24">
        <f t="shared" si="17"/>
        <v>133304.2621462692</v>
      </c>
      <c r="E368" s="24">
        <f t="shared" si="16"/>
        <v>0</v>
      </c>
    </row>
    <row r="369" spans="1:5">
      <c r="A369" s="87">
        <v>358</v>
      </c>
      <c r="B369" s="5">
        <v>0.25680833459773567</v>
      </c>
      <c r="C369" s="24">
        <f t="shared" si="15"/>
        <v>133712.90491103972</v>
      </c>
      <c r="D369" s="24">
        <f t="shared" si="17"/>
        <v>98603.122158608021</v>
      </c>
      <c r="E369" s="24">
        <f t="shared" si="16"/>
        <v>1396.877841391979</v>
      </c>
    </row>
    <row r="370" spans="1:5">
      <c r="A370" s="87">
        <v>359</v>
      </c>
      <c r="B370" s="5">
        <v>-1.508078639744781</v>
      </c>
      <c r="C370" s="24">
        <f t="shared" si="15"/>
        <v>33129.672730747145</v>
      </c>
      <c r="D370" s="24">
        <f t="shared" si="17"/>
        <v>24430.619987785925</v>
      </c>
      <c r="E370" s="24">
        <f t="shared" si="16"/>
        <v>75569.380012214067</v>
      </c>
    </row>
    <row r="371" spans="1:5">
      <c r="A371" s="87">
        <v>360</v>
      </c>
      <c r="B371" s="5">
        <v>-1.7860020307125524</v>
      </c>
      <c r="C371" s="24">
        <f t="shared" si="15"/>
        <v>26594.690891020713</v>
      </c>
      <c r="D371" s="24">
        <f t="shared" si="17"/>
        <v>19611.56671035145</v>
      </c>
      <c r="E371" s="24">
        <f t="shared" si="16"/>
        <v>80388.433289648558</v>
      </c>
    </row>
    <row r="372" spans="1:5">
      <c r="A372" s="87">
        <v>361</v>
      </c>
      <c r="B372" s="5">
        <v>1.6926696844166145</v>
      </c>
      <c r="C372" s="24">
        <f t="shared" si="15"/>
        <v>416065.65330632427</v>
      </c>
      <c r="D372" s="24">
        <f t="shared" si="17"/>
        <v>306816.85112038406</v>
      </c>
      <c r="E372" s="24">
        <f t="shared" si="16"/>
        <v>0</v>
      </c>
    </row>
    <row r="373" spans="1:5">
      <c r="A373" s="87">
        <v>362</v>
      </c>
      <c r="B373" s="5">
        <v>-0.17317461242782883</v>
      </c>
      <c r="C373" s="24">
        <f t="shared" si="15"/>
        <v>95179.409719067116</v>
      </c>
      <c r="D373" s="24">
        <f t="shared" si="17"/>
        <v>70187.593110457718</v>
      </c>
      <c r="E373" s="24">
        <f t="shared" si="16"/>
        <v>29812.406889542282</v>
      </c>
    </row>
    <row r="374" spans="1:5">
      <c r="A374" s="87">
        <v>363</v>
      </c>
      <c r="B374" s="5">
        <v>0.36018263926962391</v>
      </c>
      <c r="C374" s="24">
        <f t="shared" si="15"/>
        <v>145099.47829877102</v>
      </c>
      <c r="D374" s="24">
        <f t="shared" si="17"/>
        <v>106999.85609738081</v>
      </c>
      <c r="E374" s="24">
        <f t="shared" si="16"/>
        <v>0</v>
      </c>
    </row>
    <row r="375" spans="1:5">
      <c r="A375" s="87">
        <v>364</v>
      </c>
      <c r="B375" s="5">
        <v>0.28617705538636073</v>
      </c>
      <c r="C375" s="24">
        <f t="shared" si="15"/>
        <v>136853.77407077697</v>
      </c>
      <c r="D375" s="24">
        <f t="shared" si="17"/>
        <v>100919.27485641847</v>
      </c>
      <c r="E375" s="24">
        <f t="shared" si="16"/>
        <v>0</v>
      </c>
    </row>
    <row r="376" spans="1:5">
      <c r="A376" s="87">
        <v>365</v>
      </c>
      <c r="B376" s="5">
        <v>1.0157191354664974</v>
      </c>
      <c r="C376" s="24">
        <f t="shared" si="15"/>
        <v>243633.89513847933</v>
      </c>
      <c r="D376" s="24">
        <f t="shared" si="17"/>
        <v>179661.51240450362</v>
      </c>
      <c r="E376" s="24">
        <f t="shared" si="16"/>
        <v>0</v>
      </c>
    </row>
    <row r="377" spans="1:5">
      <c r="A377" s="87">
        <v>366</v>
      </c>
      <c r="B377" s="5">
        <v>-0.36892970456392504</v>
      </c>
      <c r="C377" s="24">
        <f t="shared" si="15"/>
        <v>81532.820545263181</v>
      </c>
      <c r="D377" s="24">
        <f t="shared" si="17"/>
        <v>60124.269003871566</v>
      </c>
      <c r="E377" s="24">
        <f t="shared" si="16"/>
        <v>39875.730996128434</v>
      </c>
    </row>
    <row r="378" spans="1:5">
      <c r="A378" s="87">
        <v>367</v>
      </c>
      <c r="B378" s="5">
        <v>0.63269453676184639</v>
      </c>
      <c r="C378" s="24">
        <f t="shared" si="15"/>
        <v>179982.41214599737</v>
      </c>
      <c r="D378" s="24">
        <f t="shared" si="17"/>
        <v>132723.37313320523</v>
      </c>
      <c r="E378" s="24">
        <f t="shared" si="16"/>
        <v>0</v>
      </c>
    </row>
    <row r="379" spans="1:5">
      <c r="A379" s="87">
        <v>368</v>
      </c>
      <c r="B379" s="5">
        <v>0.64122218645934481</v>
      </c>
      <c r="C379" s="24">
        <f t="shared" si="15"/>
        <v>181199.89875278692</v>
      </c>
      <c r="D379" s="24">
        <f t="shared" si="17"/>
        <v>133621.17713122329</v>
      </c>
      <c r="E379" s="24">
        <f t="shared" si="16"/>
        <v>0</v>
      </c>
    </row>
    <row r="380" spans="1:5">
      <c r="A380" s="87">
        <v>369</v>
      </c>
      <c r="B380" s="5">
        <v>-1.0538747119426262</v>
      </c>
      <c r="C380" s="24">
        <f t="shared" si="15"/>
        <v>47442.054991150369</v>
      </c>
      <c r="D380" s="24">
        <f t="shared" si="17"/>
        <v>34984.91597995023</v>
      </c>
      <c r="E380" s="24">
        <f t="shared" si="16"/>
        <v>65015.08402004977</v>
      </c>
    </row>
    <row r="381" spans="1:5">
      <c r="A381" s="87">
        <v>370</v>
      </c>
      <c r="B381" s="5">
        <v>0.35691982702701353</v>
      </c>
      <c r="C381" s="24">
        <f t="shared" si="15"/>
        <v>144725.67946994028</v>
      </c>
      <c r="D381" s="24">
        <f t="shared" si="17"/>
        <v>106724.20782239595</v>
      </c>
      <c r="E381" s="24">
        <f t="shared" si="16"/>
        <v>0</v>
      </c>
    </row>
    <row r="382" spans="1:5">
      <c r="A382" s="87">
        <v>371</v>
      </c>
      <c r="B382" s="5">
        <v>0.36688334148493595</v>
      </c>
      <c r="C382" s="24">
        <f t="shared" si="15"/>
        <v>145870.16345565431</v>
      </c>
      <c r="D382" s="24">
        <f t="shared" si="17"/>
        <v>107568.17792630635</v>
      </c>
      <c r="E382" s="24">
        <f t="shared" si="16"/>
        <v>0</v>
      </c>
    </row>
    <row r="383" spans="1:5">
      <c r="A383" s="87">
        <v>372</v>
      </c>
      <c r="B383" s="5">
        <v>0.86411546362796798</v>
      </c>
      <c r="C383" s="24">
        <f t="shared" si="15"/>
        <v>216115.59846308263</v>
      </c>
      <c r="D383" s="24">
        <f t="shared" si="17"/>
        <v>159368.85650501359</v>
      </c>
      <c r="E383" s="24">
        <f t="shared" si="16"/>
        <v>0</v>
      </c>
    </row>
    <row r="384" spans="1:5">
      <c r="A384" s="87">
        <v>373</v>
      </c>
      <c r="B384" s="5">
        <v>-0.21503865355043672</v>
      </c>
      <c r="C384" s="24">
        <f t="shared" si="15"/>
        <v>92080.869149584338</v>
      </c>
      <c r="D384" s="24">
        <f t="shared" si="17"/>
        <v>67902.654536358357</v>
      </c>
      <c r="E384" s="24">
        <f t="shared" si="16"/>
        <v>32097.345463641643</v>
      </c>
    </row>
    <row r="385" spans="1:5">
      <c r="A385" s="87">
        <v>374</v>
      </c>
      <c r="B385" s="5">
        <v>1.5016667020972818</v>
      </c>
      <c r="C385" s="24">
        <f t="shared" si="15"/>
        <v>357752.69523310248</v>
      </c>
      <c r="D385" s="24">
        <f t="shared" si="17"/>
        <v>263815.46892657795</v>
      </c>
      <c r="E385" s="24">
        <f t="shared" si="16"/>
        <v>0</v>
      </c>
    </row>
    <row r="386" spans="1:5">
      <c r="A386" s="87">
        <v>375</v>
      </c>
      <c r="B386" s="5">
        <v>1.4759461919311434</v>
      </c>
      <c r="C386" s="24">
        <f t="shared" si="15"/>
        <v>350551.66649192333</v>
      </c>
      <c r="D386" s="24">
        <f t="shared" si="17"/>
        <v>258505.25659436861</v>
      </c>
      <c r="E386" s="24">
        <f t="shared" si="16"/>
        <v>0</v>
      </c>
    </row>
    <row r="387" spans="1:5">
      <c r="A387" s="87">
        <v>376</v>
      </c>
      <c r="B387" s="5">
        <v>-1.9232811609981582</v>
      </c>
      <c r="C387" s="24">
        <f t="shared" si="15"/>
        <v>23859.511039799883</v>
      </c>
      <c r="D387" s="24">
        <f t="shared" si="17"/>
        <v>17594.579096664329</v>
      </c>
      <c r="E387" s="24">
        <f t="shared" si="16"/>
        <v>82405.420903335675</v>
      </c>
    </row>
    <row r="388" spans="1:5">
      <c r="A388" s="87">
        <v>377</v>
      </c>
      <c r="B388" s="5">
        <v>0.65376980273867957</v>
      </c>
      <c r="C388" s="24">
        <f t="shared" si="15"/>
        <v>183006.30330015902</v>
      </c>
      <c r="D388" s="24">
        <f t="shared" si="17"/>
        <v>134953.26342738818</v>
      </c>
      <c r="E388" s="24">
        <f t="shared" si="16"/>
        <v>0</v>
      </c>
    </row>
    <row r="389" spans="1:5">
      <c r="A389" s="87">
        <v>378</v>
      </c>
      <c r="B389" s="5">
        <v>-0.62942717704572715</v>
      </c>
      <c r="C389" s="24">
        <f t="shared" si="15"/>
        <v>66357.998977364929</v>
      </c>
      <c r="D389" s="24">
        <f t="shared" si="17"/>
        <v>48933.989458377873</v>
      </c>
      <c r="E389" s="24">
        <f t="shared" si="16"/>
        <v>51066.010541622127</v>
      </c>
    </row>
    <row r="390" spans="1:5">
      <c r="A390" s="87">
        <v>379</v>
      </c>
      <c r="B390" s="5">
        <v>-1.2076543498551473</v>
      </c>
      <c r="C390" s="24">
        <f t="shared" si="15"/>
        <v>42011.172425927136</v>
      </c>
      <c r="D390" s="24">
        <f t="shared" si="17"/>
        <v>30980.0521460216</v>
      </c>
      <c r="E390" s="24">
        <f t="shared" si="16"/>
        <v>69019.947853978403</v>
      </c>
    </row>
    <row r="391" spans="1:5">
      <c r="A391" s="87">
        <v>380</v>
      </c>
      <c r="B391" s="5">
        <v>0.16192529983527493</v>
      </c>
      <c r="C391" s="24">
        <f t="shared" si="15"/>
        <v>124049.83444565629</v>
      </c>
      <c r="D391" s="24">
        <f t="shared" si="17"/>
        <v>91477.340857548479</v>
      </c>
      <c r="E391" s="24">
        <f t="shared" si="16"/>
        <v>8522.6591424515209</v>
      </c>
    </row>
    <row r="392" spans="1:5">
      <c r="A392" s="87">
        <v>381</v>
      </c>
      <c r="B392" s="5">
        <v>-2.2887252271175385</v>
      </c>
      <c r="C392" s="24">
        <f t="shared" si="15"/>
        <v>17872.693083644604</v>
      </c>
      <c r="D392" s="24">
        <f t="shared" si="17"/>
        <v>13179.755092467645</v>
      </c>
      <c r="E392" s="24">
        <f t="shared" si="16"/>
        <v>86820.244907532353</v>
      </c>
    </row>
    <row r="393" spans="1:5">
      <c r="A393" s="87">
        <v>382</v>
      </c>
      <c r="B393" s="5">
        <v>-0.26147631615458522</v>
      </c>
      <c r="C393" s="24">
        <f t="shared" si="15"/>
        <v>88761.678433208377</v>
      </c>
      <c r="D393" s="24">
        <f t="shared" si="17"/>
        <v>65455.003220337065</v>
      </c>
      <c r="E393" s="24">
        <f t="shared" si="16"/>
        <v>34544.996779662935</v>
      </c>
    </row>
    <row r="394" spans="1:5">
      <c r="A394" s="87">
        <v>383</v>
      </c>
      <c r="B394" s="5">
        <v>-0.86478394223377109</v>
      </c>
      <c r="C394" s="24">
        <f t="shared" si="15"/>
        <v>55091.665900176864</v>
      </c>
      <c r="D394" s="24">
        <f t="shared" si="17"/>
        <v>40625.923625625015</v>
      </c>
      <c r="E394" s="24">
        <f t="shared" si="16"/>
        <v>59374.076374374985</v>
      </c>
    </row>
    <row r="395" spans="1:5">
      <c r="A395" s="87">
        <v>384</v>
      </c>
      <c r="B395" s="5">
        <v>-1.7062893675756641</v>
      </c>
      <c r="C395" s="24">
        <f t="shared" si="15"/>
        <v>28324.580562460251</v>
      </c>
      <c r="D395" s="24">
        <f t="shared" si="17"/>
        <v>20887.229090937304</v>
      </c>
      <c r="E395" s="24">
        <f t="shared" si="16"/>
        <v>79112.770909062703</v>
      </c>
    </row>
    <row r="396" spans="1:5">
      <c r="A396" s="87">
        <v>385</v>
      </c>
      <c r="B396" s="5">
        <v>1.7740694602252916</v>
      </c>
      <c r="C396" s="24">
        <f t="shared" ref="C396:C459" si="18">B$6*EXP(B396*B$5*SQRT(10)+10*(B$4-(B$5^2)/2))</f>
        <v>443720.6693663178</v>
      </c>
      <c r="D396" s="24">
        <f t="shared" si="17"/>
        <v>327210.32719268999</v>
      </c>
      <c r="E396" s="24">
        <f t="shared" ref="E396:E459" si="19">MAX(B$6-D396,0)</f>
        <v>0</v>
      </c>
    </row>
    <row r="397" spans="1:5">
      <c r="A397" s="87">
        <v>386</v>
      </c>
      <c r="B397" s="5">
        <v>0.60609636420849711</v>
      </c>
      <c r="C397" s="24">
        <f t="shared" si="18"/>
        <v>176237.30911868828</v>
      </c>
      <c r="D397" s="24">
        <f t="shared" ref="D397:D460" si="20">C397*(0.97^10)</f>
        <v>129961.64380316027</v>
      </c>
      <c r="E397" s="24">
        <f t="shared" si="19"/>
        <v>0</v>
      </c>
    </row>
    <row r="398" spans="1:5">
      <c r="A398" s="87">
        <v>387</v>
      </c>
      <c r="B398" s="5">
        <v>0.22609128791373223</v>
      </c>
      <c r="C398" s="24">
        <f t="shared" si="18"/>
        <v>130504.93514100702</v>
      </c>
      <c r="D398" s="24">
        <f t="shared" si="20"/>
        <v>96237.48785183634</v>
      </c>
      <c r="E398" s="24">
        <f t="shared" si="19"/>
        <v>3762.5121481636597</v>
      </c>
    </row>
    <row r="399" spans="1:5">
      <c r="A399" s="87">
        <v>388</v>
      </c>
      <c r="B399" s="5">
        <v>1.1376732800272293</v>
      </c>
      <c r="C399" s="24">
        <f t="shared" si="18"/>
        <v>268293.05864739569</v>
      </c>
      <c r="D399" s="24">
        <f t="shared" si="20"/>
        <v>197845.77452502554</v>
      </c>
      <c r="E399" s="24">
        <f t="shared" si="19"/>
        <v>0</v>
      </c>
    </row>
    <row r="400" spans="1:5">
      <c r="A400" s="87">
        <v>389</v>
      </c>
      <c r="B400" s="5">
        <v>1.1964698387600947</v>
      </c>
      <c r="C400" s="24">
        <f t="shared" si="18"/>
        <v>281058.44767043763</v>
      </c>
      <c r="D400" s="24">
        <f t="shared" si="20"/>
        <v>207259.28037981634</v>
      </c>
      <c r="E400" s="24">
        <f t="shared" si="19"/>
        <v>0</v>
      </c>
    </row>
    <row r="401" spans="1:5">
      <c r="A401" s="87">
        <v>390</v>
      </c>
      <c r="B401" s="5">
        <v>-0.32191110221901909</v>
      </c>
      <c r="C401" s="24">
        <f t="shared" si="18"/>
        <v>84620.547401723743</v>
      </c>
      <c r="D401" s="24">
        <f t="shared" si="20"/>
        <v>62401.233285087015</v>
      </c>
      <c r="E401" s="24">
        <f t="shared" si="19"/>
        <v>37598.766714912985</v>
      </c>
    </row>
    <row r="402" spans="1:5">
      <c r="A402" s="87">
        <v>391</v>
      </c>
      <c r="B402" s="5">
        <v>2.2071162675274536E-2</v>
      </c>
      <c r="C402" s="24">
        <f t="shared" si="18"/>
        <v>111065.37280629114</v>
      </c>
      <c r="D402" s="24">
        <f t="shared" si="20"/>
        <v>81902.285569938947</v>
      </c>
      <c r="E402" s="24">
        <f t="shared" si="19"/>
        <v>18097.714430061053</v>
      </c>
    </row>
    <row r="403" spans="1:5">
      <c r="A403" s="87">
        <v>392</v>
      </c>
      <c r="B403" s="5">
        <v>-0.65841732066473924</v>
      </c>
      <c r="C403" s="24">
        <f t="shared" si="18"/>
        <v>64854.453997389151</v>
      </c>
      <c r="D403" s="24">
        <f t="shared" si="20"/>
        <v>47825.239114271979</v>
      </c>
      <c r="E403" s="24">
        <f t="shared" si="19"/>
        <v>52174.760885728021</v>
      </c>
    </row>
    <row r="404" spans="1:5">
      <c r="A404" s="87">
        <v>393</v>
      </c>
      <c r="B404" s="5">
        <v>-0.93568132797372527</v>
      </c>
      <c r="C404" s="24">
        <f t="shared" si="18"/>
        <v>52088.757882347192</v>
      </c>
      <c r="D404" s="24">
        <f t="shared" si="20"/>
        <v>38411.506802431184</v>
      </c>
      <c r="E404" s="24">
        <f t="shared" si="19"/>
        <v>61588.493197568816</v>
      </c>
    </row>
    <row r="405" spans="1:5">
      <c r="A405" s="87">
        <v>394</v>
      </c>
      <c r="B405" s="5">
        <v>0.25775761969271116</v>
      </c>
      <c r="C405" s="24">
        <f t="shared" si="18"/>
        <v>133813.2908691772</v>
      </c>
      <c r="D405" s="24">
        <f t="shared" si="20"/>
        <v>98677.149186140072</v>
      </c>
      <c r="E405" s="24">
        <f t="shared" si="19"/>
        <v>1322.8508138599282</v>
      </c>
    </row>
    <row r="406" spans="1:5">
      <c r="A406" s="87">
        <v>395</v>
      </c>
      <c r="B406" s="5">
        <v>-0.58717660067486577</v>
      </c>
      <c r="C406" s="24">
        <f t="shared" si="18"/>
        <v>68611.922998070324</v>
      </c>
      <c r="D406" s="24">
        <f t="shared" si="20"/>
        <v>50596.087411434055</v>
      </c>
      <c r="E406" s="24">
        <f t="shared" si="19"/>
        <v>49403.912588565945</v>
      </c>
    </row>
    <row r="407" spans="1:5">
      <c r="A407" s="87">
        <v>396</v>
      </c>
      <c r="B407" s="5">
        <v>-0.44203034121892415</v>
      </c>
      <c r="C407" s="24">
        <f t="shared" si="18"/>
        <v>76954.513820459833</v>
      </c>
      <c r="D407" s="24">
        <f t="shared" si="20"/>
        <v>56748.115164676281</v>
      </c>
      <c r="E407" s="24">
        <f t="shared" si="19"/>
        <v>43251.884835323719</v>
      </c>
    </row>
    <row r="408" spans="1:5">
      <c r="A408" s="87">
        <v>397</v>
      </c>
      <c r="B408" s="5">
        <v>0.17565980670042336</v>
      </c>
      <c r="C408" s="24">
        <f t="shared" si="18"/>
        <v>125404.11675129441</v>
      </c>
      <c r="D408" s="24">
        <f t="shared" si="20"/>
        <v>92476.021304352922</v>
      </c>
      <c r="E408" s="24">
        <f t="shared" si="19"/>
        <v>7523.978695647078</v>
      </c>
    </row>
    <row r="409" spans="1:5">
      <c r="A409" s="87">
        <v>398</v>
      </c>
      <c r="B409" s="5">
        <v>-0.63728066379553638</v>
      </c>
      <c r="C409" s="24">
        <f t="shared" si="18"/>
        <v>65947.276666167905</v>
      </c>
      <c r="D409" s="24">
        <f t="shared" si="20"/>
        <v>48631.112916647136</v>
      </c>
      <c r="E409" s="24">
        <f t="shared" si="19"/>
        <v>51368.887083352864</v>
      </c>
    </row>
    <row r="410" spans="1:5">
      <c r="A410" s="87">
        <v>399</v>
      </c>
      <c r="B410" s="5">
        <v>0.44068087845516857</v>
      </c>
      <c r="C410" s="24">
        <f t="shared" si="18"/>
        <v>154633.68701094971</v>
      </c>
      <c r="D410" s="24">
        <f t="shared" si="20"/>
        <v>114030.61163259319</v>
      </c>
      <c r="E410" s="24">
        <f t="shared" si="19"/>
        <v>0</v>
      </c>
    </row>
    <row r="411" spans="1:5">
      <c r="A411" s="87">
        <v>400</v>
      </c>
      <c r="B411" s="5">
        <v>-0.49064738050219603</v>
      </c>
      <c r="C411" s="24">
        <f t="shared" si="18"/>
        <v>74052.875615693265</v>
      </c>
      <c r="D411" s="24">
        <f t="shared" si="20"/>
        <v>54608.377144961327</v>
      </c>
      <c r="E411" s="24">
        <f t="shared" si="19"/>
        <v>45391.622855038673</v>
      </c>
    </row>
    <row r="412" spans="1:5">
      <c r="A412" s="87">
        <v>401</v>
      </c>
      <c r="B412" s="5">
        <v>-0.46049535740166903</v>
      </c>
      <c r="C412" s="24">
        <f t="shared" si="18"/>
        <v>75839.300964000126</v>
      </c>
      <c r="D412" s="24">
        <f t="shared" si="20"/>
        <v>55925.730297699476</v>
      </c>
      <c r="E412" s="24">
        <f t="shared" si="19"/>
        <v>44074.269702300524</v>
      </c>
    </row>
    <row r="413" spans="1:5">
      <c r="A413" s="87">
        <v>402</v>
      </c>
      <c r="B413" s="5">
        <v>-0.30543787943315692</v>
      </c>
      <c r="C413" s="24">
        <f t="shared" si="18"/>
        <v>85729.787186020316</v>
      </c>
      <c r="D413" s="24">
        <f t="shared" si="20"/>
        <v>63219.213464539032</v>
      </c>
      <c r="E413" s="24">
        <f t="shared" si="19"/>
        <v>36780.786535460968</v>
      </c>
    </row>
    <row r="414" spans="1:5">
      <c r="A414" s="87">
        <v>403</v>
      </c>
      <c r="B414" s="5">
        <v>0.67706082518270705</v>
      </c>
      <c r="C414" s="24">
        <f t="shared" si="18"/>
        <v>186407.24443682688</v>
      </c>
      <c r="D414" s="24">
        <f t="shared" si="20"/>
        <v>137461.19947571651</v>
      </c>
      <c r="E414" s="24">
        <f t="shared" si="19"/>
        <v>0</v>
      </c>
    </row>
    <row r="415" spans="1:5">
      <c r="A415" s="87">
        <v>404</v>
      </c>
      <c r="B415" s="5">
        <v>-1.4531451597576961</v>
      </c>
      <c r="C415" s="24">
        <f t="shared" si="18"/>
        <v>34600.151721454422</v>
      </c>
      <c r="D415" s="24">
        <f t="shared" si="20"/>
        <v>25514.986673625575</v>
      </c>
      <c r="E415" s="24">
        <f t="shared" si="19"/>
        <v>74485.013326374421</v>
      </c>
    </row>
    <row r="416" spans="1:5">
      <c r="A416" s="87">
        <v>405</v>
      </c>
      <c r="B416" s="5">
        <v>-1.224966581503395</v>
      </c>
      <c r="C416" s="24">
        <f t="shared" si="18"/>
        <v>41440.102533113568</v>
      </c>
      <c r="D416" s="24">
        <f t="shared" si="20"/>
        <v>30558.931428917575</v>
      </c>
      <c r="E416" s="24">
        <f t="shared" si="19"/>
        <v>69441.068571082433</v>
      </c>
    </row>
    <row r="417" spans="1:5">
      <c r="A417" s="87">
        <v>406</v>
      </c>
      <c r="B417" s="5">
        <v>0.15619207260897383</v>
      </c>
      <c r="C417" s="24">
        <f t="shared" si="18"/>
        <v>123488.84911993814</v>
      </c>
      <c r="D417" s="24">
        <f t="shared" si="20"/>
        <v>91063.656743529908</v>
      </c>
      <c r="E417" s="24">
        <f t="shared" si="19"/>
        <v>8936.3432564700925</v>
      </c>
    </row>
    <row r="418" spans="1:5">
      <c r="A418" s="87">
        <v>407</v>
      </c>
      <c r="B418" s="5">
        <v>-0.55431428336305544</v>
      </c>
      <c r="C418" s="24">
        <f t="shared" si="18"/>
        <v>70417.813740349971</v>
      </c>
      <c r="D418" s="24">
        <f t="shared" si="20"/>
        <v>51927.794815327259</v>
      </c>
      <c r="E418" s="24">
        <f t="shared" si="19"/>
        <v>48072.205184672741</v>
      </c>
    </row>
    <row r="419" spans="1:5">
      <c r="A419" s="87">
        <v>408</v>
      </c>
      <c r="B419" s="5">
        <v>-1.7591355572221801</v>
      </c>
      <c r="C419" s="24">
        <f t="shared" si="18"/>
        <v>27165.598656145499</v>
      </c>
      <c r="D419" s="24">
        <f t="shared" si="20"/>
        <v>20032.567870586128</v>
      </c>
      <c r="E419" s="24">
        <f t="shared" si="19"/>
        <v>79967.432129413879</v>
      </c>
    </row>
    <row r="420" spans="1:5">
      <c r="A420" s="87">
        <v>409</v>
      </c>
      <c r="B420" s="5">
        <v>1.6408284864155576</v>
      </c>
      <c r="C420" s="24">
        <f t="shared" si="18"/>
        <v>399358.29750680376</v>
      </c>
      <c r="D420" s="24">
        <f t="shared" si="20"/>
        <v>294496.44385719975</v>
      </c>
      <c r="E420" s="24">
        <f t="shared" si="19"/>
        <v>0</v>
      </c>
    </row>
    <row r="421" spans="1:5">
      <c r="A421" s="87">
        <v>410</v>
      </c>
      <c r="B421" s="5">
        <v>-0.32690991247363854</v>
      </c>
      <c r="C421" s="24">
        <f t="shared" si="18"/>
        <v>84286.794824362834</v>
      </c>
      <c r="D421" s="24">
        <f t="shared" si="20"/>
        <v>62155.116082127715</v>
      </c>
      <c r="E421" s="24">
        <f t="shared" si="19"/>
        <v>37844.883917872285</v>
      </c>
    </row>
    <row r="422" spans="1:5">
      <c r="A422" s="87">
        <v>411</v>
      </c>
      <c r="B422" s="5">
        <v>-0.66079564930987544</v>
      </c>
      <c r="C422" s="24">
        <f t="shared" si="18"/>
        <v>64732.627022834509</v>
      </c>
      <c r="D422" s="24">
        <f t="shared" si="20"/>
        <v>47735.400963928776</v>
      </c>
      <c r="E422" s="24">
        <f t="shared" si="19"/>
        <v>52264.599036071224</v>
      </c>
    </row>
    <row r="423" spans="1:5">
      <c r="A423" s="87">
        <v>412</v>
      </c>
      <c r="B423" s="5">
        <v>0.9619589036446996</v>
      </c>
      <c r="C423" s="24">
        <f t="shared" si="18"/>
        <v>233496.12314483759</v>
      </c>
      <c r="D423" s="24">
        <f t="shared" si="20"/>
        <v>172185.67474343249</v>
      </c>
      <c r="E423" s="24">
        <f t="shared" si="19"/>
        <v>0</v>
      </c>
    </row>
    <row r="424" spans="1:5">
      <c r="A424" s="87">
        <v>413</v>
      </c>
      <c r="B424" s="5">
        <v>1.304083525610622</v>
      </c>
      <c r="C424" s="24">
        <f t="shared" si="18"/>
        <v>306016.41245751153</v>
      </c>
      <c r="D424" s="24">
        <f t="shared" si="20"/>
        <v>225663.88577199867</v>
      </c>
      <c r="E424" s="24">
        <f t="shared" si="19"/>
        <v>0</v>
      </c>
    </row>
    <row r="425" spans="1:5">
      <c r="A425" s="87">
        <v>414</v>
      </c>
      <c r="B425" s="5">
        <v>-0.42840611058636568</v>
      </c>
      <c r="C425" s="24">
        <f t="shared" si="18"/>
        <v>77787.863100920746</v>
      </c>
      <c r="D425" s="24">
        <f t="shared" si="20"/>
        <v>57362.647030218686</v>
      </c>
      <c r="E425" s="24">
        <f t="shared" si="19"/>
        <v>42637.352969781314</v>
      </c>
    </row>
    <row r="426" spans="1:5">
      <c r="A426" s="87">
        <v>415</v>
      </c>
      <c r="B426" s="5">
        <v>-0.19005142348760273</v>
      </c>
      <c r="C426" s="24">
        <f t="shared" si="18"/>
        <v>93917.932581874382</v>
      </c>
      <c r="D426" s="24">
        <f t="shared" si="20"/>
        <v>69257.349433965443</v>
      </c>
      <c r="E426" s="24">
        <f t="shared" si="19"/>
        <v>30742.650566034557</v>
      </c>
    </row>
    <row r="427" spans="1:5">
      <c r="A427" s="87">
        <v>416</v>
      </c>
      <c r="B427" s="5">
        <v>0.12521013559307903</v>
      </c>
      <c r="C427" s="24">
        <f t="shared" si="18"/>
        <v>120500.93227722686</v>
      </c>
      <c r="D427" s="24">
        <f t="shared" si="20"/>
        <v>88860.29477455889</v>
      </c>
      <c r="E427" s="24">
        <f t="shared" si="19"/>
        <v>11139.70522544111</v>
      </c>
    </row>
    <row r="428" spans="1:5">
      <c r="A428" s="87">
        <v>417</v>
      </c>
      <c r="B428" s="5">
        <v>1.0943267625407316</v>
      </c>
      <c r="C428" s="24">
        <f t="shared" si="18"/>
        <v>259254.82401467668</v>
      </c>
      <c r="D428" s="24">
        <f t="shared" si="20"/>
        <v>191180.76224232122</v>
      </c>
      <c r="E428" s="24">
        <f t="shared" si="19"/>
        <v>0</v>
      </c>
    </row>
    <row r="429" spans="1:5">
      <c r="A429" s="87">
        <v>418</v>
      </c>
      <c r="B429" s="5">
        <v>0.58744944908539765</v>
      </c>
      <c r="C429" s="24">
        <f t="shared" si="18"/>
        <v>173658.33090720337</v>
      </c>
      <c r="D429" s="24">
        <f t="shared" si="20"/>
        <v>128059.84304727498</v>
      </c>
      <c r="E429" s="24">
        <f t="shared" si="19"/>
        <v>0</v>
      </c>
    </row>
    <row r="430" spans="1:5">
      <c r="A430" s="87">
        <v>419</v>
      </c>
      <c r="B430" s="5">
        <v>0.40504346543457359</v>
      </c>
      <c r="C430" s="24">
        <f t="shared" si="18"/>
        <v>150337.86004169387</v>
      </c>
      <c r="D430" s="24">
        <f t="shared" si="20"/>
        <v>110862.76518049801</v>
      </c>
      <c r="E430" s="24">
        <f t="shared" si="19"/>
        <v>0</v>
      </c>
    </row>
    <row r="431" spans="1:5">
      <c r="A431" s="87">
        <v>420</v>
      </c>
      <c r="B431" s="5">
        <v>-1.2841110219596885</v>
      </c>
      <c r="C431" s="24">
        <f t="shared" si="18"/>
        <v>39547.057284735143</v>
      </c>
      <c r="D431" s="24">
        <f t="shared" si="20"/>
        <v>29162.954189459524</v>
      </c>
      <c r="E431" s="24">
        <f t="shared" si="19"/>
        <v>70837.045810540469</v>
      </c>
    </row>
    <row r="432" spans="1:5">
      <c r="A432" s="87">
        <v>421</v>
      </c>
      <c r="B432" s="5">
        <v>-0.9302448233938776</v>
      </c>
      <c r="C432" s="24">
        <f t="shared" si="18"/>
        <v>52313.113726628988</v>
      </c>
      <c r="D432" s="24">
        <f t="shared" si="20"/>
        <v>38576.952215014462</v>
      </c>
      <c r="E432" s="24">
        <f t="shared" si="19"/>
        <v>61423.047784985538</v>
      </c>
    </row>
    <row r="433" spans="1:5">
      <c r="A433" s="87">
        <v>422</v>
      </c>
      <c r="B433" s="5">
        <v>0.77350705396384001</v>
      </c>
      <c r="C433" s="24">
        <f t="shared" si="18"/>
        <v>201176.21291569914</v>
      </c>
      <c r="D433" s="24">
        <f t="shared" si="20"/>
        <v>148352.19316138761</v>
      </c>
      <c r="E433" s="24">
        <f t="shared" si="19"/>
        <v>0</v>
      </c>
    </row>
    <row r="434" spans="1:5">
      <c r="A434" s="87">
        <v>423</v>
      </c>
      <c r="B434" s="5">
        <v>0.96427129392395727</v>
      </c>
      <c r="C434" s="24">
        <f t="shared" si="18"/>
        <v>233923.36898829363</v>
      </c>
      <c r="D434" s="24">
        <f t="shared" si="20"/>
        <v>172500.73613651254</v>
      </c>
      <c r="E434" s="24">
        <f t="shared" si="19"/>
        <v>0</v>
      </c>
    </row>
    <row r="435" spans="1:5">
      <c r="A435" s="87">
        <v>424</v>
      </c>
      <c r="B435" s="5">
        <v>-4.6642298912047409E-2</v>
      </c>
      <c r="C435" s="24">
        <f t="shared" si="18"/>
        <v>105192.94244421273</v>
      </c>
      <c r="D435" s="24">
        <f t="shared" si="20"/>
        <v>77571.813737432007</v>
      </c>
      <c r="E435" s="24">
        <f t="shared" si="19"/>
        <v>22428.186262567993</v>
      </c>
    </row>
    <row r="436" spans="1:5">
      <c r="A436" s="87">
        <v>425</v>
      </c>
      <c r="B436" s="5">
        <v>-0.20448169379960746</v>
      </c>
      <c r="C436" s="24">
        <f t="shared" si="18"/>
        <v>92852.592885025442</v>
      </c>
      <c r="D436" s="24">
        <f t="shared" si="20"/>
        <v>68471.742238170104</v>
      </c>
      <c r="E436" s="24">
        <f t="shared" si="19"/>
        <v>31528.257761829896</v>
      </c>
    </row>
    <row r="437" spans="1:5">
      <c r="A437" s="87">
        <v>426</v>
      </c>
      <c r="B437" s="5">
        <v>0.13307840163179208</v>
      </c>
      <c r="C437" s="24">
        <f t="shared" si="18"/>
        <v>121252.83368238478</v>
      </c>
      <c r="D437" s="24">
        <f t="shared" si="20"/>
        <v>89414.765011768541</v>
      </c>
      <c r="E437" s="24">
        <f t="shared" si="19"/>
        <v>10585.234988231459</v>
      </c>
    </row>
    <row r="438" spans="1:5">
      <c r="A438" s="87">
        <v>427</v>
      </c>
      <c r="B438" s="5">
        <v>-2.2109452402219176</v>
      </c>
      <c r="C438" s="24">
        <f t="shared" si="18"/>
        <v>19006.185916586819</v>
      </c>
      <c r="D438" s="24">
        <f t="shared" si="20"/>
        <v>14015.620055141715</v>
      </c>
      <c r="E438" s="24">
        <f t="shared" si="19"/>
        <v>85984.379944858287</v>
      </c>
    </row>
    <row r="439" spans="1:5">
      <c r="A439" s="87">
        <v>428</v>
      </c>
      <c r="B439" s="5">
        <v>-0.1603757482371293</v>
      </c>
      <c r="C439" s="24">
        <f t="shared" si="18"/>
        <v>96147.360957413679</v>
      </c>
      <c r="D439" s="24">
        <f t="shared" si="20"/>
        <v>70901.383707272296</v>
      </c>
      <c r="E439" s="24">
        <f t="shared" si="19"/>
        <v>29098.616292727704</v>
      </c>
    </row>
    <row r="440" spans="1:5">
      <c r="A440" s="87">
        <v>429</v>
      </c>
      <c r="B440" s="5">
        <v>-1.4179886420606636</v>
      </c>
      <c r="C440" s="24">
        <f t="shared" si="18"/>
        <v>35575.305616245816</v>
      </c>
      <c r="D440" s="24">
        <f t="shared" si="20"/>
        <v>26234.088683080307</v>
      </c>
      <c r="E440" s="24">
        <f t="shared" si="19"/>
        <v>73765.911316919693</v>
      </c>
    </row>
    <row r="441" spans="1:5">
      <c r="A441" s="87">
        <v>430</v>
      </c>
      <c r="B441" s="5">
        <v>1.6575177141930908</v>
      </c>
      <c r="C441" s="24">
        <f t="shared" si="18"/>
        <v>404662.34192334831</v>
      </c>
      <c r="D441" s="24">
        <f t="shared" si="20"/>
        <v>298407.77418008202</v>
      </c>
      <c r="E441" s="24">
        <f t="shared" si="19"/>
        <v>0</v>
      </c>
    </row>
    <row r="442" spans="1:5">
      <c r="A442" s="87">
        <v>431</v>
      </c>
      <c r="B442" s="5">
        <v>1.0346093404223211</v>
      </c>
      <c r="C442" s="24">
        <f t="shared" si="18"/>
        <v>247299.63214535255</v>
      </c>
      <c r="D442" s="24">
        <f t="shared" si="20"/>
        <v>182364.71531622353</v>
      </c>
      <c r="E442" s="24">
        <f t="shared" si="19"/>
        <v>0</v>
      </c>
    </row>
    <row r="443" spans="1:5">
      <c r="A443" s="87">
        <v>432</v>
      </c>
      <c r="B443" s="5">
        <v>-0.35667426345753483</v>
      </c>
      <c r="C443" s="24">
        <f t="shared" si="18"/>
        <v>82326.613083906428</v>
      </c>
      <c r="D443" s="24">
        <f t="shared" si="20"/>
        <v>60709.630773616271</v>
      </c>
      <c r="E443" s="24">
        <f t="shared" si="19"/>
        <v>39290.369226383729</v>
      </c>
    </row>
    <row r="444" spans="1:5">
      <c r="A444" s="87">
        <v>433</v>
      </c>
      <c r="B444" s="5">
        <v>-0.17208776625921018</v>
      </c>
      <c r="C444" s="24">
        <f t="shared" si="18"/>
        <v>95261.22561427395</v>
      </c>
      <c r="D444" s="24">
        <f t="shared" si="20"/>
        <v>70247.926125546743</v>
      </c>
      <c r="E444" s="24">
        <f t="shared" si="19"/>
        <v>29752.073874453257</v>
      </c>
    </row>
    <row r="445" spans="1:5">
      <c r="A445" s="87">
        <v>434</v>
      </c>
      <c r="B445" s="5">
        <v>-0.70925807449384592</v>
      </c>
      <c r="C445" s="24">
        <f t="shared" si="18"/>
        <v>62299.440494199385</v>
      </c>
      <c r="D445" s="24">
        <f t="shared" si="20"/>
        <v>45941.110512477513</v>
      </c>
      <c r="E445" s="24">
        <f t="shared" si="19"/>
        <v>54058.889487522487</v>
      </c>
    </row>
    <row r="446" spans="1:5">
      <c r="A446" s="87">
        <v>435</v>
      </c>
      <c r="B446" s="5">
        <v>0.6900086191308219</v>
      </c>
      <c r="C446" s="24">
        <f t="shared" si="18"/>
        <v>188325.13233161537</v>
      </c>
      <c r="D446" s="24">
        <f t="shared" si="20"/>
        <v>138875.49628201328</v>
      </c>
      <c r="E446" s="24">
        <f t="shared" si="19"/>
        <v>0</v>
      </c>
    </row>
    <row r="447" spans="1:5">
      <c r="A447" s="87">
        <v>436</v>
      </c>
      <c r="B447" s="5">
        <v>1.2523150871857069</v>
      </c>
      <c r="C447" s="24">
        <f t="shared" si="18"/>
        <v>293745.04343783192</v>
      </c>
      <c r="D447" s="24">
        <f t="shared" si="20"/>
        <v>216614.68218685596</v>
      </c>
      <c r="E447" s="24">
        <f t="shared" si="19"/>
        <v>0</v>
      </c>
    </row>
    <row r="448" spans="1:5">
      <c r="A448" s="87">
        <v>437</v>
      </c>
      <c r="B448" s="5">
        <v>-0.23033067009237129</v>
      </c>
      <c r="C448" s="24">
        <f t="shared" si="18"/>
        <v>90974.368578257636</v>
      </c>
      <c r="D448" s="24">
        <f t="shared" si="20"/>
        <v>67086.694318639027</v>
      </c>
      <c r="E448" s="24">
        <f t="shared" si="19"/>
        <v>32913.305681360973</v>
      </c>
    </row>
    <row r="449" spans="1:5">
      <c r="A449" s="87">
        <v>438</v>
      </c>
      <c r="B449" s="5">
        <v>0.19784692995017394</v>
      </c>
      <c r="C449" s="24">
        <f t="shared" si="18"/>
        <v>127623.1674689895</v>
      </c>
      <c r="D449" s="24">
        <f t="shared" si="20"/>
        <v>94112.402842384792</v>
      </c>
      <c r="E449" s="24">
        <f t="shared" si="19"/>
        <v>5887.5971576152078</v>
      </c>
    </row>
    <row r="450" spans="1:5">
      <c r="A450" s="87">
        <v>439</v>
      </c>
      <c r="B450" s="5">
        <v>1.2508075997175183</v>
      </c>
      <c r="C450" s="24">
        <f t="shared" si="18"/>
        <v>293395.17440717318</v>
      </c>
      <c r="D450" s="24">
        <f t="shared" si="20"/>
        <v>216356.68032239488</v>
      </c>
      <c r="E450" s="24">
        <f t="shared" si="19"/>
        <v>0</v>
      </c>
    </row>
    <row r="451" spans="1:5">
      <c r="A451" s="87">
        <v>440</v>
      </c>
      <c r="B451" s="5">
        <v>-1.3323506209417246</v>
      </c>
      <c r="C451" s="24">
        <f t="shared" si="18"/>
        <v>38067.257709754704</v>
      </c>
      <c r="D451" s="24">
        <f t="shared" si="20"/>
        <v>28071.714279900087</v>
      </c>
      <c r="E451" s="24">
        <f t="shared" si="19"/>
        <v>71928.285720099913</v>
      </c>
    </row>
    <row r="452" spans="1:5">
      <c r="A452" s="87">
        <v>441</v>
      </c>
      <c r="B452" s="5">
        <v>0.55181885727506597</v>
      </c>
      <c r="C452" s="24">
        <f t="shared" si="18"/>
        <v>168834.89710405079</v>
      </c>
      <c r="D452" s="24">
        <f t="shared" si="20"/>
        <v>124502.9265863497</v>
      </c>
      <c r="E452" s="24">
        <f t="shared" si="19"/>
        <v>0</v>
      </c>
    </row>
    <row r="453" spans="1:5">
      <c r="A453" s="87">
        <v>442</v>
      </c>
      <c r="B453" s="5">
        <v>0.8299480214191135</v>
      </c>
      <c r="C453" s="24">
        <f t="shared" si="18"/>
        <v>210356.07873169146</v>
      </c>
      <c r="D453" s="24">
        <f t="shared" si="20"/>
        <v>155121.64769575835</v>
      </c>
      <c r="E453" s="24">
        <f t="shared" si="19"/>
        <v>0</v>
      </c>
    </row>
    <row r="454" spans="1:5">
      <c r="A454" s="87">
        <v>443</v>
      </c>
      <c r="B454" s="5">
        <v>1.755779521772638E-2</v>
      </c>
      <c r="C454" s="24">
        <f t="shared" si="18"/>
        <v>110669.78326475978</v>
      </c>
      <c r="D454" s="24">
        <f t="shared" si="20"/>
        <v>81610.568297666425</v>
      </c>
      <c r="E454" s="24">
        <f t="shared" si="19"/>
        <v>18389.431702333575</v>
      </c>
    </row>
    <row r="455" spans="1:5">
      <c r="A455" s="87">
        <v>444</v>
      </c>
      <c r="B455" s="5">
        <v>0.17814727470977232</v>
      </c>
      <c r="C455" s="24">
        <f t="shared" si="18"/>
        <v>125650.96860906779</v>
      </c>
      <c r="D455" s="24">
        <f t="shared" si="20"/>
        <v>92658.055820043839</v>
      </c>
      <c r="E455" s="24">
        <f t="shared" si="19"/>
        <v>7341.944179956161</v>
      </c>
    </row>
    <row r="456" spans="1:5">
      <c r="A456" s="87">
        <v>445</v>
      </c>
      <c r="B456" s="5">
        <v>1.7924503481481224</v>
      </c>
      <c r="C456" s="24">
        <f t="shared" si="18"/>
        <v>450215.61354120559</v>
      </c>
      <c r="D456" s="24">
        <f t="shared" si="20"/>
        <v>331999.85573008796</v>
      </c>
      <c r="E456" s="24">
        <f t="shared" si="19"/>
        <v>0</v>
      </c>
    </row>
    <row r="457" spans="1:5">
      <c r="A457" s="87">
        <v>446</v>
      </c>
      <c r="B457" s="5">
        <v>-1.8648916011443362</v>
      </c>
      <c r="C457" s="24">
        <f t="shared" si="18"/>
        <v>24986.706008015422</v>
      </c>
      <c r="D457" s="24">
        <f t="shared" si="20"/>
        <v>18425.799861941028</v>
      </c>
      <c r="E457" s="24">
        <f t="shared" si="19"/>
        <v>81574.200138058979</v>
      </c>
    </row>
    <row r="458" spans="1:5">
      <c r="A458" s="87">
        <v>447</v>
      </c>
      <c r="B458" s="5">
        <v>0.24725295588723384</v>
      </c>
      <c r="C458" s="24">
        <f t="shared" si="18"/>
        <v>132706.61782817222</v>
      </c>
      <c r="D458" s="24">
        <f t="shared" si="20"/>
        <v>97861.061785118814</v>
      </c>
      <c r="E458" s="24">
        <f t="shared" si="19"/>
        <v>2138.9382148811856</v>
      </c>
    </row>
    <row r="459" spans="1:5">
      <c r="A459" s="87">
        <v>448</v>
      </c>
      <c r="B459" s="5">
        <v>0.17061211110558361</v>
      </c>
      <c r="C459" s="24">
        <f t="shared" si="18"/>
        <v>124904.68205573104</v>
      </c>
      <c r="D459" s="24">
        <f t="shared" si="20"/>
        <v>92107.726110036063</v>
      </c>
      <c r="E459" s="24">
        <f t="shared" si="19"/>
        <v>7892.2738899639371</v>
      </c>
    </row>
    <row r="460" spans="1:5">
      <c r="A460" s="87">
        <v>449</v>
      </c>
      <c r="B460" s="5">
        <v>-0.79116716733551584</v>
      </c>
      <c r="C460" s="24">
        <f t="shared" ref="C460:C523" si="21">B$6*EXP(B460*B$5*SQRT(10)+10*(B$4-(B$5^2)/2))</f>
        <v>58393.093526438148</v>
      </c>
      <c r="D460" s="24">
        <f t="shared" si="20"/>
        <v>43060.476010427534</v>
      </c>
      <c r="E460" s="24">
        <f t="shared" ref="E460:E523" si="22">MAX(B$6-D460,0)</f>
        <v>56939.523989572466</v>
      </c>
    </row>
    <row r="461" spans="1:5">
      <c r="A461" s="87">
        <v>450</v>
      </c>
      <c r="B461" s="5">
        <v>-0.23858660824771505</v>
      </c>
      <c r="C461" s="24">
        <f t="shared" si="21"/>
        <v>90382.52224144568</v>
      </c>
      <c r="D461" s="24">
        <f t="shared" ref="D461:D524" si="23">C461*(0.97^10)</f>
        <v>66650.252550459511</v>
      </c>
      <c r="E461" s="24">
        <f t="shared" si="22"/>
        <v>33349.747449540489</v>
      </c>
    </row>
    <row r="462" spans="1:5">
      <c r="A462" s="87">
        <v>451</v>
      </c>
      <c r="B462" s="5">
        <v>7.7378672358463518E-2</v>
      </c>
      <c r="C462" s="24">
        <f t="shared" si="21"/>
        <v>116029.37568738975</v>
      </c>
      <c r="D462" s="24">
        <f t="shared" si="23"/>
        <v>85562.86106043699</v>
      </c>
      <c r="E462" s="24">
        <f t="shared" si="22"/>
        <v>14437.13893956301</v>
      </c>
    </row>
    <row r="463" spans="1:5">
      <c r="A463" s="87">
        <v>452</v>
      </c>
      <c r="B463" s="5">
        <v>-0.5868128027941566</v>
      </c>
      <c r="C463" s="24">
        <f t="shared" si="21"/>
        <v>68631.659138181771</v>
      </c>
      <c r="D463" s="24">
        <f t="shared" si="23"/>
        <v>50610.641317324014</v>
      </c>
      <c r="E463" s="24">
        <f t="shared" si="22"/>
        <v>49389.358682675986</v>
      </c>
    </row>
    <row r="464" spans="1:5">
      <c r="A464" s="87">
        <v>453</v>
      </c>
      <c r="B464" s="5">
        <v>1.2507825886132196E-2</v>
      </c>
      <c r="C464" s="24">
        <f t="shared" si="21"/>
        <v>110228.83141465663</v>
      </c>
      <c r="D464" s="24">
        <f t="shared" si="23"/>
        <v>81285.399764601403</v>
      </c>
      <c r="E464" s="24">
        <f t="shared" si="22"/>
        <v>18714.600235398597</v>
      </c>
    </row>
    <row r="465" spans="1:5">
      <c r="A465" s="87">
        <v>454</v>
      </c>
      <c r="B465" s="5">
        <v>-0.25720396479300689</v>
      </c>
      <c r="C465" s="24">
        <f t="shared" si="21"/>
        <v>89061.985891070988</v>
      </c>
      <c r="D465" s="24">
        <f t="shared" si="23"/>
        <v>65676.457185251435</v>
      </c>
      <c r="E465" s="24">
        <f t="shared" si="22"/>
        <v>34323.542814748565</v>
      </c>
    </row>
    <row r="466" spans="1:5">
      <c r="A466" s="87">
        <v>455</v>
      </c>
      <c r="B466" s="5">
        <v>0.13794192454952281</v>
      </c>
      <c r="C466" s="24">
        <f t="shared" si="21"/>
        <v>121719.94249464333</v>
      </c>
      <c r="D466" s="24">
        <f t="shared" si="23"/>
        <v>89759.222319813227</v>
      </c>
      <c r="E466" s="24">
        <f t="shared" si="22"/>
        <v>10240.777680186773</v>
      </c>
    </row>
    <row r="467" spans="1:5">
      <c r="A467" s="87">
        <v>456</v>
      </c>
      <c r="B467" s="5">
        <v>-0.22138465283205733</v>
      </c>
      <c r="C467" s="24">
        <f t="shared" si="21"/>
        <v>91620.060656194371</v>
      </c>
      <c r="D467" s="24">
        <f t="shared" si="23"/>
        <v>67562.843235454493</v>
      </c>
      <c r="E467" s="24">
        <f t="shared" si="22"/>
        <v>32437.156764545507</v>
      </c>
    </row>
    <row r="468" spans="1:5">
      <c r="A468" s="87">
        <v>457</v>
      </c>
      <c r="B468" s="5">
        <v>1.0273197403876111</v>
      </c>
      <c r="C468" s="24">
        <f t="shared" si="21"/>
        <v>245878.55918890465</v>
      </c>
      <c r="D468" s="24">
        <f t="shared" si="23"/>
        <v>181316.78183206092</v>
      </c>
      <c r="E468" s="24">
        <f t="shared" si="22"/>
        <v>0</v>
      </c>
    </row>
    <row r="469" spans="1:5">
      <c r="A469" s="87">
        <v>458</v>
      </c>
      <c r="B469" s="5">
        <v>-1.6093144949991256</v>
      </c>
      <c r="C469" s="24">
        <f t="shared" si="21"/>
        <v>30581.503550273483</v>
      </c>
      <c r="D469" s="24">
        <f t="shared" si="23"/>
        <v>22551.538554694569</v>
      </c>
      <c r="E469" s="24">
        <f t="shared" si="22"/>
        <v>77448.461445305438</v>
      </c>
    </row>
    <row r="470" spans="1:5">
      <c r="A470" s="87">
        <v>459</v>
      </c>
      <c r="B470" s="5">
        <v>0.80378413258586079</v>
      </c>
      <c r="C470" s="24">
        <f t="shared" si="21"/>
        <v>206049.68674691225</v>
      </c>
      <c r="D470" s="24">
        <f t="shared" si="23"/>
        <v>151946.01034631522</v>
      </c>
      <c r="E470" s="24">
        <f t="shared" si="22"/>
        <v>0</v>
      </c>
    </row>
    <row r="471" spans="1:5">
      <c r="A471" s="87">
        <v>460</v>
      </c>
      <c r="B471" s="5">
        <v>-0.37737777347501833</v>
      </c>
      <c r="C471" s="24">
        <f t="shared" si="21"/>
        <v>80990.094766548355</v>
      </c>
      <c r="D471" s="24">
        <f t="shared" si="23"/>
        <v>59724.049920359415</v>
      </c>
      <c r="E471" s="24">
        <f t="shared" si="22"/>
        <v>40275.950079640585</v>
      </c>
    </row>
    <row r="472" spans="1:5">
      <c r="A472" s="87">
        <v>461</v>
      </c>
      <c r="B472" s="5">
        <v>-0.35113657759211492</v>
      </c>
      <c r="C472" s="24">
        <f t="shared" si="21"/>
        <v>82687.822925584638</v>
      </c>
      <c r="D472" s="24">
        <f t="shared" si="23"/>
        <v>60975.995625741678</v>
      </c>
      <c r="E472" s="24">
        <f t="shared" si="22"/>
        <v>39024.004374258322</v>
      </c>
    </row>
    <row r="473" spans="1:5">
      <c r="A473" s="87">
        <v>462</v>
      </c>
      <c r="B473" s="5">
        <v>0.51486495067365468</v>
      </c>
      <c r="C473" s="24">
        <f t="shared" si="21"/>
        <v>163973.80162392548</v>
      </c>
      <c r="D473" s="24">
        <f t="shared" si="23"/>
        <v>120918.23749616541</v>
      </c>
      <c r="E473" s="24">
        <f t="shared" si="22"/>
        <v>0</v>
      </c>
    </row>
    <row r="474" spans="1:5">
      <c r="A474" s="87">
        <v>463</v>
      </c>
      <c r="B474" s="5">
        <v>0.5425772542366758</v>
      </c>
      <c r="C474" s="24">
        <f t="shared" si="21"/>
        <v>167605.8628238067</v>
      </c>
      <c r="D474" s="24">
        <f t="shared" si="23"/>
        <v>123596.60705531677</v>
      </c>
      <c r="E474" s="24">
        <f t="shared" si="22"/>
        <v>0</v>
      </c>
    </row>
    <row r="475" spans="1:5">
      <c r="A475" s="87">
        <v>464</v>
      </c>
      <c r="B475" s="5">
        <v>0.99492353911045939</v>
      </c>
      <c r="C475" s="24">
        <f t="shared" si="21"/>
        <v>239661.21125905353</v>
      </c>
      <c r="D475" s="24">
        <f t="shared" si="23"/>
        <v>176731.95946328848</v>
      </c>
      <c r="E475" s="24">
        <f t="shared" si="22"/>
        <v>0</v>
      </c>
    </row>
    <row r="476" spans="1:5">
      <c r="A476" s="87">
        <v>465</v>
      </c>
      <c r="B476" s="5">
        <v>1.0816074791364372</v>
      </c>
      <c r="C476" s="24">
        <f t="shared" si="21"/>
        <v>256660.95638311509</v>
      </c>
      <c r="D476" s="24">
        <f t="shared" si="23"/>
        <v>189267.98166883588</v>
      </c>
      <c r="E476" s="24">
        <f t="shared" si="22"/>
        <v>0</v>
      </c>
    </row>
    <row r="477" spans="1:5">
      <c r="A477" s="87">
        <v>466</v>
      </c>
      <c r="B477" s="5">
        <v>-0.5078038611827651</v>
      </c>
      <c r="C477" s="24">
        <f t="shared" si="21"/>
        <v>73055.248560758104</v>
      </c>
      <c r="D477" s="24">
        <f t="shared" si="23"/>
        <v>53872.702885009006</v>
      </c>
      <c r="E477" s="24">
        <f t="shared" si="22"/>
        <v>46127.297114990994</v>
      </c>
    </row>
    <row r="478" spans="1:5">
      <c r="A478" s="87">
        <v>467</v>
      </c>
      <c r="B478" s="5">
        <v>0.35349785321159288</v>
      </c>
      <c r="C478" s="24">
        <f t="shared" si="21"/>
        <v>144334.68107894814</v>
      </c>
      <c r="D478" s="24">
        <f t="shared" si="23"/>
        <v>106435.87617530125</v>
      </c>
      <c r="E478" s="24">
        <f t="shared" si="22"/>
        <v>0</v>
      </c>
    </row>
    <row r="479" spans="1:5">
      <c r="A479" s="87">
        <v>468</v>
      </c>
      <c r="B479" s="5">
        <v>0.18460127648722846</v>
      </c>
      <c r="C479" s="24">
        <f t="shared" si="21"/>
        <v>126293.72049487293</v>
      </c>
      <c r="D479" s="24">
        <f t="shared" si="23"/>
        <v>93132.03656824377</v>
      </c>
      <c r="E479" s="24">
        <f t="shared" si="22"/>
        <v>6867.9634317562304</v>
      </c>
    </row>
    <row r="480" spans="1:5">
      <c r="A480" s="87">
        <v>469</v>
      </c>
      <c r="B480" s="5">
        <v>0.39816086427890696</v>
      </c>
      <c r="C480" s="24">
        <f t="shared" si="21"/>
        <v>149522.06703953483</v>
      </c>
      <c r="D480" s="24">
        <f t="shared" si="23"/>
        <v>110261.17973815389</v>
      </c>
      <c r="E480" s="24">
        <f t="shared" si="22"/>
        <v>0</v>
      </c>
    </row>
    <row r="481" spans="1:5">
      <c r="A481" s="87">
        <v>470</v>
      </c>
      <c r="B481" s="5">
        <v>-0.83981376519659534</v>
      </c>
      <c r="C481" s="24">
        <f t="shared" si="21"/>
        <v>56190.017068738474</v>
      </c>
      <c r="D481" s="24">
        <f t="shared" si="23"/>
        <v>41435.874277125586</v>
      </c>
      <c r="E481" s="24">
        <f t="shared" si="22"/>
        <v>58564.125722874414</v>
      </c>
    </row>
    <row r="482" spans="1:5">
      <c r="A482" s="87">
        <v>471</v>
      </c>
      <c r="B482" s="5">
        <v>-0.41161229091812856</v>
      </c>
      <c r="C482" s="24">
        <f t="shared" si="21"/>
        <v>78827.513966533486</v>
      </c>
      <c r="D482" s="24">
        <f t="shared" si="23"/>
        <v>58129.310662068718</v>
      </c>
      <c r="E482" s="24">
        <f t="shared" si="22"/>
        <v>41870.689337931282</v>
      </c>
    </row>
    <row r="483" spans="1:5">
      <c r="A483" s="87">
        <v>472</v>
      </c>
      <c r="B483" s="5">
        <v>0.37384779716376215</v>
      </c>
      <c r="C483" s="24">
        <f t="shared" si="21"/>
        <v>146675.52296986731</v>
      </c>
      <c r="D483" s="24">
        <f t="shared" si="23"/>
        <v>108162.06946291139</v>
      </c>
      <c r="E483" s="24">
        <f t="shared" si="22"/>
        <v>0</v>
      </c>
    </row>
    <row r="484" spans="1:5">
      <c r="A484" s="87">
        <v>473</v>
      </c>
      <c r="B484" s="5">
        <v>1.2082909961463884</v>
      </c>
      <c r="C484" s="24">
        <f t="shared" si="21"/>
        <v>283697.37584312918</v>
      </c>
      <c r="D484" s="24">
        <f t="shared" si="23"/>
        <v>209205.28968350182</v>
      </c>
      <c r="E484" s="24">
        <f t="shared" si="22"/>
        <v>0</v>
      </c>
    </row>
    <row r="485" spans="1:5">
      <c r="A485" s="87">
        <v>474</v>
      </c>
      <c r="B485" s="5">
        <v>-0.84690782387042418</v>
      </c>
      <c r="C485" s="24">
        <f t="shared" si="21"/>
        <v>55875.766059466012</v>
      </c>
      <c r="D485" s="24">
        <f t="shared" si="23"/>
        <v>41204.13800098699</v>
      </c>
      <c r="E485" s="24">
        <f t="shared" si="22"/>
        <v>58795.86199901301</v>
      </c>
    </row>
    <row r="486" spans="1:5">
      <c r="A486" s="87">
        <v>475</v>
      </c>
      <c r="B486" s="5">
        <v>-1.0662188287824392</v>
      </c>
      <c r="C486" s="24">
        <f t="shared" si="21"/>
        <v>46981.325370531755</v>
      </c>
      <c r="D486" s="24">
        <f t="shared" si="23"/>
        <v>34645.162841730918</v>
      </c>
      <c r="E486" s="24">
        <f t="shared" si="22"/>
        <v>65354.837158269082</v>
      </c>
    </row>
    <row r="487" spans="1:5">
      <c r="A487" s="87">
        <v>476</v>
      </c>
      <c r="B487" s="5">
        <v>-0.78792936619720422</v>
      </c>
      <c r="C487" s="24">
        <f t="shared" si="21"/>
        <v>58542.754172477871</v>
      </c>
      <c r="D487" s="24">
        <f t="shared" si="23"/>
        <v>43170.839381663907</v>
      </c>
      <c r="E487" s="24">
        <f t="shared" si="22"/>
        <v>56829.160618336093</v>
      </c>
    </row>
    <row r="488" spans="1:5">
      <c r="A488" s="87">
        <v>477</v>
      </c>
      <c r="B488" s="5">
        <v>-1.1015936252078973</v>
      </c>
      <c r="C488" s="24">
        <f t="shared" si="21"/>
        <v>45685.636928391199</v>
      </c>
      <c r="D488" s="24">
        <f t="shared" si="23"/>
        <v>33689.690923557566</v>
      </c>
      <c r="E488" s="24">
        <f t="shared" si="22"/>
        <v>66310.309076442441</v>
      </c>
    </row>
    <row r="489" spans="1:5">
      <c r="A489" s="87">
        <v>478</v>
      </c>
      <c r="B489" s="5">
        <v>1.287085069634486</v>
      </c>
      <c r="C489" s="24">
        <f t="shared" si="21"/>
        <v>301931.53204805008</v>
      </c>
      <c r="D489" s="24">
        <f t="shared" si="23"/>
        <v>222651.59640258137</v>
      </c>
      <c r="E489" s="24">
        <f t="shared" si="22"/>
        <v>0</v>
      </c>
    </row>
    <row r="490" spans="1:5">
      <c r="A490" s="87">
        <v>479</v>
      </c>
      <c r="B490" s="5">
        <v>0.59063495427835733</v>
      </c>
      <c r="C490" s="24">
        <f t="shared" si="21"/>
        <v>174096.21676474743</v>
      </c>
      <c r="D490" s="24">
        <f t="shared" si="23"/>
        <v>128382.75064345403</v>
      </c>
      <c r="E490" s="24">
        <f t="shared" si="22"/>
        <v>0</v>
      </c>
    </row>
    <row r="491" spans="1:5">
      <c r="A491" s="87">
        <v>480</v>
      </c>
      <c r="B491" s="5">
        <v>-0.47440380512853153</v>
      </c>
      <c r="C491" s="24">
        <f t="shared" si="21"/>
        <v>75009.970693024094</v>
      </c>
      <c r="D491" s="24">
        <f t="shared" si="23"/>
        <v>55314.162146717448</v>
      </c>
      <c r="E491" s="24">
        <f t="shared" si="22"/>
        <v>44685.837853282552</v>
      </c>
    </row>
    <row r="492" spans="1:5">
      <c r="A492" s="87">
        <v>481</v>
      </c>
      <c r="B492" s="5">
        <v>0.26900352168013342</v>
      </c>
      <c r="C492" s="24">
        <f t="shared" si="21"/>
        <v>135008.28443854133</v>
      </c>
      <c r="D492" s="24">
        <f t="shared" si="23"/>
        <v>99558.36627567347</v>
      </c>
      <c r="E492" s="24">
        <f t="shared" si="22"/>
        <v>441.63372432652977</v>
      </c>
    </row>
    <row r="493" spans="1:5">
      <c r="A493" s="87">
        <v>482</v>
      </c>
      <c r="B493" s="5">
        <v>-0.64319692683056928</v>
      </c>
      <c r="C493" s="24">
        <f t="shared" si="21"/>
        <v>65639.547188280907</v>
      </c>
      <c r="D493" s="24">
        <f t="shared" si="23"/>
        <v>48404.185775096485</v>
      </c>
      <c r="E493" s="24">
        <f t="shared" si="22"/>
        <v>51595.814224903515</v>
      </c>
    </row>
    <row r="494" spans="1:5">
      <c r="A494" s="87">
        <v>483</v>
      </c>
      <c r="B494" s="5">
        <v>-2.0347943063825369</v>
      </c>
      <c r="C494" s="24">
        <f t="shared" si="21"/>
        <v>21846.135512008379</v>
      </c>
      <c r="D494" s="24">
        <f t="shared" si="23"/>
        <v>16109.867405971065</v>
      </c>
      <c r="E494" s="24">
        <f t="shared" si="22"/>
        <v>83890.132594028939</v>
      </c>
    </row>
    <row r="495" spans="1:5">
      <c r="A495" s="87">
        <v>484</v>
      </c>
      <c r="B495" s="5">
        <v>-0.74776153269340284</v>
      </c>
      <c r="C495" s="24">
        <f t="shared" si="21"/>
        <v>60431.63877034586</v>
      </c>
      <c r="D495" s="24">
        <f t="shared" si="23"/>
        <v>44563.748457051988</v>
      </c>
      <c r="E495" s="24">
        <f t="shared" si="22"/>
        <v>55436.251542948012</v>
      </c>
    </row>
    <row r="496" spans="1:5">
      <c r="A496" s="87">
        <v>485</v>
      </c>
      <c r="B496" s="5">
        <v>0.43394720705691725</v>
      </c>
      <c r="C496" s="24">
        <f t="shared" si="21"/>
        <v>153812.69187797638</v>
      </c>
      <c r="D496" s="24">
        <f t="shared" si="23"/>
        <v>113425.19001347535</v>
      </c>
      <c r="E496" s="24">
        <f t="shared" si="22"/>
        <v>0</v>
      </c>
    </row>
    <row r="497" spans="1:5">
      <c r="A497" s="87">
        <v>486</v>
      </c>
      <c r="B497" s="5">
        <v>-1.3605676940642297</v>
      </c>
      <c r="C497" s="24">
        <f t="shared" si="21"/>
        <v>37227.471874051327</v>
      </c>
      <c r="D497" s="24">
        <f t="shared" si="23"/>
        <v>27452.435943227796</v>
      </c>
      <c r="E497" s="24">
        <f t="shared" si="22"/>
        <v>72547.5640567722</v>
      </c>
    </row>
    <row r="498" spans="1:5">
      <c r="A498" s="87">
        <v>487</v>
      </c>
      <c r="B498" s="5">
        <v>-0.38593498175032437</v>
      </c>
      <c r="C498" s="24">
        <f t="shared" si="21"/>
        <v>80444.040467291939</v>
      </c>
      <c r="D498" s="24">
        <f t="shared" si="23"/>
        <v>59321.376305493031</v>
      </c>
      <c r="E498" s="24">
        <f t="shared" si="22"/>
        <v>40678.623694506969</v>
      </c>
    </row>
    <row r="499" spans="1:5">
      <c r="A499" s="87">
        <v>488</v>
      </c>
      <c r="B499" s="5">
        <v>-0.59510284700081684</v>
      </c>
      <c r="C499" s="24">
        <f t="shared" si="21"/>
        <v>68183.327922131881</v>
      </c>
      <c r="D499" s="24">
        <f t="shared" si="23"/>
        <v>50280.031061768685</v>
      </c>
      <c r="E499" s="24">
        <f t="shared" si="22"/>
        <v>49719.968938231315</v>
      </c>
    </row>
    <row r="500" spans="1:5">
      <c r="A500" s="87">
        <v>489</v>
      </c>
      <c r="B500" s="5">
        <v>-1.9107847037957981</v>
      </c>
      <c r="C500" s="24">
        <f t="shared" si="21"/>
        <v>24096.394908227849</v>
      </c>
      <c r="D500" s="24">
        <f t="shared" si="23"/>
        <v>17769.262976515314</v>
      </c>
      <c r="E500" s="24">
        <f t="shared" si="22"/>
        <v>82230.737023484689</v>
      </c>
    </row>
    <row r="501" spans="1:5">
      <c r="A501" s="87">
        <v>490</v>
      </c>
      <c r="B501" s="5">
        <v>0.39683641261945013</v>
      </c>
      <c r="C501" s="24">
        <f t="shared" si="21"/>
        <v>149365.58875944375</v>
      </c>
      <c r="D501" s="24">
        <f t="shared" si="23"/>
        <v>110145.78887907972</v>
      </c>
      <c r="E501" s="24">
        <f t="shared" si="22"/>
        <v>0</v>
      </c>
    </row>
    <row r="502" spans="1:5">
      <c r="A502" s="87">
        <v>491</v>
      </c>
      <c r="B502" s="5">
        <v>-0.82252313404751476</v>
      </c>
      <c r="C502" s="24">
        <f t="shared" si="21"/>
        <v>56963.377027351147</v>
      </c>
      <c r="D502" s="24">
        <f t="shared" si="23"/>
        <v>42006.168569381029</v>
      </c>
      <c r="E502" s="24">
        <f t="shared" si="22"/>
        <v>57993.831430618971</v>
      </c>
    </row>
    <row r="503" spans="1:5">
      <c r="A503" s="87">
        <v>492</v>
      </c>
      <c r="B503" s="5">
        <v>7.4463741839281283E-2</v>
      </c>
      <c r="C503" s="24">
        <f t="shared" si="21"/>
        <v>115762.29907345241</v>
      </c>
      <c r="D503" s="24">
        <f t="shared" si="23"/>
        <v>85365.912321590193</v>
      </c>
      <c r="E503" s="24">
        <f t="shared" si="22"/>
        <v>14634.087678409807</v>
      </c>
    </row>
    <row r="504" spans="1:5">
      <c r="A504" s="87">
        <v>493</v>
      </c>
      <c r="B504" s="5">
        <v>-0.46134573494782671</v>
      </c>
      <c r="C504" s="24">
        <f t="shared" si="21"/>
        <v>75788.332665191701</v>
      </c>
      <c r="D504" s="24">
        <f t="shared" si="23"/>
        <v>55888.145044451354</v>
      </c>
      <c r="E504" s="24">
        <f t="shared" si="22"/>
        <v>44111.854955548646</v>
      </c>
    </row>
    <row r="505" spans="1:5">
      <c r="A505" s="87">
        <v>494</v>
      </c>
      <c r="B505" s="5">
        <v>-1.62515789270401</v>
      </c>
      <c r="C505" s="24">
        <f t="shared" si="21"/>
        <v>30200.849749995341</v>
      </c>
      <c r="D505" s="24">
        <f t="shared" si="23"/>
        <v>22270.835258375224</v>
      </c>
      <c r="E505" s="24">
        <f t="shared" si="22"/>
        <v>77729.164741624772</v>
      </c>
    </row>
    <row r="506" spans="1:5">
      <c r="A506" s="87">
        <v>495</v>
      </c>
      <c r="B506" s="5">
        <v>0.94843926490284503</v>
      </c>
      <c r="C506" s="24">
        <f t="shared" si="21"/>
        <v>231013.75653432621</v>
      </c>
      <c r="D506" s="24">
        <f t="shared" si="23"/>
        <v>170355.11771304303</v>
      </c>
      <c r="E506" s="24">
        <f t="shared" si="22"/>
        <v>0</v>
      </c>
    </row>
    <row r="507" spans="1:5">
      <c r="A507" s="87">
        <v>496</v>
      </c>
      <c r="B507" s="5">
        <v>-0.72002194428932853</v>
      </c>
      <c r="C507" s="24">
        <f t="shared" si="21"/>
        <v>61771.547294008633</v>
      </c>
      <c r="D507" s="24">
        <f t="shared" si="23"/>
        <v>45551.829330233079</v>
      </c>
      <c r="E507" s="24">
        <f t="shared" si="22"/>
        <v>54448.170669766921</v>
      </c>
    </row>
    <row r="508" spans="1:5">
      <c r="A508" s="87">
        <v>497</v>
      </c>
      <c r="B508" s="5">
        <v>-0.24946302801254205</v>
      </c>
      <c r="C508" s="24">
        <f t="shared" si="21"/>
        <v>89608.693940314217</v>
      </c>
      <c r="D508" s="24">
        <f t="shared" si="23"/>
        <v>66079.612891131052</v>
      </c>
      <c r="E508" s="24">
        <f t="shared" si="22"/>
        <v>33920.387108868948</v>
      </c>
    </row>
    <row r="509" spans="1:5">
      <c r="A509" s="87">
        <v>498</v>
      </c>
      <c r="B509" s="5">
        <v>-0.12443933883332647</v>
      </c>
      <c r="C509" s="24">
        <f t="shared" si="21"/>
        <v>98918.101548069171</v>
      </c>
      <c r="D509" s="24">
        <f t="shared" si="23"/>
        <v>72944.594668188758</v>
      </c>
      <c r="E509" s="24">
        <f t="shared" si="22"/>
        <v>27055.405331811242</v>
      </c>
    </row>
    <row r="510" spans="1:5">
      <c r="A510" s="87">
        <v>499</v>
      </c>
      <c r="B510" s="5">
        <v>-1.7580578060005791</v>
      </c>
      <c r="C510" s="24">
        <f t="shared" si="21"/>
        <v>27188.754618948624</v>
      </c>
      <c r="D510" s="24">
        <f t="shared" si="23"/>
        <v>20049.643636238634</v>
      </c>
      <c r="E510" s="24">
        <f t="shared" si="22"/>
        <v>79950.35636376137</v>
      </c>
    </row>
    <row r="511" spans="1:5">
      <c r="A511" s="87">
        <v>500</v>
      </c>
      <c r="B511" s="5">
        <v>-0.14651959645561874</v>
      </c>
      <c r="C511" s="24">
        <f t="shared" si="21"/>
        <v>97206.37291886186</v>
      </c>
      <c r="D511" s="24">
        <f t="shared" si="23"/>
        <v>71682.3246783145</v>
      </c>
      <c r="E511" s="24">
        <f t="shared" si="22"/>
        <v>28317.6753216855</v>
      </c>
    </row>
    <row r="512" spans="1:5">
      <c r="A512" s="87">
        <v>501</v>
      </c>
      <c r="B512" s="5">
        <v>-1.2932378012919798</v>
      </c>
      <c r="C512" s="24">
        <f t="shared" si="21"/>
        <v>39262.738286626001</v>
      </c>
      <c r="D512" s="24">
        <f t="shared" si="23"/>
        <v>28953.290500519248</v>
      </c>
      <c r="E512" s="24">
        <f t="shared" si="22"/>
        <v>71046.709499480756</v>
      </c>
    </row>
    <row r="513" spans="1:5">
      <c r="A513" s="87">
        <v>502</v>
      </c>
      <c r="B513" s="5">
        <v>1.4579973139916547</v>
      </c>
      <c r="C513" s="24">
        <f t="shared" si="21"/>
        <v>345612.52225264825</v>
      </c>
      <c r="D513" s="24">
        <f t="shared" si="23"/>
        <v>254863.01246611308</v>
      </c>
      <c r="E513" s="24">
        <f t="shared" si="22"/>
        <v>0</v>
      </c>
    </row>
    <row r="514" spans="1:5">
      <c r="A514" s="87">
        <v>503</v>
      </c>
      <c r="B514" s="5">
        <v>-0.30704086384503171</v>
      </c>
      <c r="C514" s="24">
        <f t="shared" si="21"/>
        <v>85621.213170987045</v>
      </c>
      <c r="D514" s="24">
        <f t="shared" si="23"/>
        <v>63139.148366299647</v>
      </c>
      <c r="E514" s="24">
        <f t="shared" si="22"/>
        <v>36860.851633700353</v>
      </c>
    </row>
    <row r="515" spans="1:5">
      <c r="A515" s="87">
        <v>504</v>
      </c>
      <c r="B515" s="5">
        <v>0.51198526307416614</v>
      </c>
      <c r="C515" s="24">
        <f t="shared" si="21"/>
        <v>163600.9246302481</v>
      </c>
      <c r="D515" s="24">
        <f t="shared" si="23"/>
        <v>120643.26900466366</v>
      </c>
      <c r="E515" s="24">
        <f t="shared" si="22"/>
        <v>0</v>
      </c>
    </row>
    <row r="516" spans="1:5">
      <c r="A516" s="87">
        <v>505</v>
      </c>
      <c r="B516" s="5">
        <v>0.67619566834764555</v>
      </c>
      <c r="C516" s="24">
        <f t="shared" si="21"/>
        <v>186279.79171178857</v>
      </c>
      <c r="D516" s="24">
        <f t="shared" si="23"/>
        <v>137367.21276123475</v>
      </c>
      <c r="E516" s="24">
        <f t="shared" si="22"/>
        <v>0</v>
      </c>
    </row>
    <row r="517" spans="1:5">
      <c r="A517" s="87">
        <v>506</v>
      </c>
      <c r="B517" s="5">
        <v>-2.0974766812287271</v>
      </c>
      <c r="C517" s="24">
        <f t="shared" si="21"/>
        <v>20789.941188806039</v>
      </c>
      <c r="D517" s="24">
        <f t="shared" si="23"/>
        <v>15331.004229352198</v>
      </c>
      <c r="E517" s="24">
        <f t="shared" si="22"/>
        <v>84668.995770647802</v>
      </c>
    </row>
    <row r="518" spans="1:5">
      <c r="A518" s="87">
        <v>507</v>
      </c>
      <c r="B518" s="5">
        <v>-1.3351427696761675</v>
      </c>
      <c r="C518" s="24">
        <f t="shared" si="21"/>
        <v>37983.32119932917</v>
      </c>
      <c r="D518" s="24">
        <f t="shared" si="23"/>
        <v>28009.81747198493</v>
      </c>
      <c r="E518" s="24">
        <f t="shared" si="22"/>
        <v>71990.182528015066</v>
      </c>
    </row>
    <row r="519" spans="1:5">
      <c r="A519" s="87">
        <v>508</v>
      </c>
      <c r="B519" s="5">
        <v>-0.7320704753510654</v>
      </c>
      <c r="C519" s="24">
        <f t="shared" si="21"/>
        <v>61185.954314939896</v>
      </c>
      <c r="D519" s="24">
        <f t="shared" si="23"/>
        <v>45119.998938927514</v>
      </c>
      <c r="E519" s="24">
        <f t="shared" si="22"/>
        <v>54880.001061072486</v>
      </c>
    </row>
    <row r="520" spans="1:5">
      <c r="A520" s="87">
        <v>509</v>
      </c>
      <c r="B520" s="5">
        <v>-0.60904085330548696</v>
      </c>
      <c r="C520" s="24">
        <f t="shared" si="21"/>
        <v>67436.142620552579</v>
      </c>
      <c r="D520" s="24">
        <f t="shared" si="23"/>
        <v>49729.038593122837</v>
      </c>
      <c r="E520" s="24">
        <f t="shared" si="22"/>
        <v>50270.961406877163</v>
      </c>
    </row>
    <row r="521" spans="1:5">
      <c r="A521" s="87">
        <v>510</v>
      </c>
      <c r="B521" s="5">
        <v>0.3538229975674767</v>
      </c>
      <c r="C521" s="24">
        <f t="shared" si="21"/>
        <v>144371.78695964586</v>
      </c>
      <c r="D521" s="24">
        <f t="shared" si="23"/>
        <v>106463.23894697744</v>
      </c>
      <c r="E521" s="24">
        <f t="shared" si="22"/>
        <v>0</v>
      </c>
    </row>
    <row r="522" spans="1:5">
      <c r="A522" s="87">
        <v>511</v>
      </c>
      <c r="B522" s="5">
        <v>1.8222135622636415</v>
      </c>
      <c r="C522" s="24">
        <f t="shared" si="21"/>
        <v>460934.75144728122</v>
      </c>
      <c r="D522" s="24">
        <f t="shared" si="23"/>
        <v>339904.4066415421</v>
      </c>
      <c r="E522" s="24">
        <f t="shared" si="22"/>
        <v>0</v>
      </c>
    </row>
    <row r="523" spans="1:5">
      <c r="A523" s="87">
        <v>512</v>
      </c>
      <c r="B523" s="5">
        <v>0.12752366274071392</v>
      </c>
      <c r="C523" s="24">
        <f t="shared" si="21"/>
        <v>120721.53061682677</v>
      </c>
      <c r="D523" s="24">
        <f t="shared" si="23"/>
        <v>89022.969312532819</v>
      </c>
      <c r="E523" s="24">
        <f t="shared" si="22"/>
        <v>10977.030687467181</v>
      </c>
    </row>
    <row r="524" spans="1:5">
      <c r="A524" s="87">
        <v>513</v>
      </c>
      <c r="B524" s="5">
        <v>-1.8210084817837924</v>
      </c>
      <c r="C524" s="24">
        <f t="shared" ref="C524:C587" si="24">B$6*EXP(B524*B$5*SQRT(10)+10*(B$4-(B$5^2)/2))</f>
        <v>25868.77326229453</v>
      </c>
      <c r="D524" s="24">
        <f t="shared" si="23"/>
        <v>19076.257536790406</v>
      </c>
      <c r="E524" s="24">
        <f t="shared" ref="E524:E587" si="25">MAX(B$6-D524,0)</f>
        <v>80923.742463209594</v>
      </c>
    </row>
    <row r="525" spans="1:5">
      <c r="A525" s="87">
        <v>514</v>
      </c>
      <c r="B525" s="5">
        <v>0.1142689143307507</v>
      </c>
      <c r="C525" s="24">
        <f t="shared" si="24"/>
        <v>119463.11883595913</v>
      </c>
      <c r="D525" s="24">
        <f t="shared" ref="D525:D588" si="26">C525*(0.97^10)</f>
        <v>88094.986103752221</v>
      </c>
      <c r="E525" s="24">
        <f t="shared" si="25"/>
        <v>11905.013896247779</v>
      </c>
    </row>
    <row r="526" spans="1:5">
      <c r="A526" s="87">
        <v>515</v>
      </c>
      <c r="B526" s="5">
        <v>0.23953134586918168</v>
      </c>
      <c r="C526" s="24">
        <f t="shared" si="24"/>
        <v>131898.98203308138</v>
      </c>
      <c r="D526" s="24">
        <f t="shared" si="26"/>
        <v>97265.491664074856</v>
      </c>
      <c r="E526" s="24">
        <f t="shared" si="25"/>
        <v>2734.5083359251439</v>
      </c>
    </row>
    <row r="527" spans="1:5">
      <c r="A527" s="87">
        <v>516</v>
      </c>
      <c r="B527" s="5">
        <v>0.82155793279525824</v>
      </c>
      <c r="C527" s="24">
        <f t="shared" si="24"/>
        <v>208965.41511250538</v>
      </c>
      <c r="D527" s="24">
        <f t="shared" si="26"/>
        <v>154096.13879057553</v>
      </c>
      <c r="E527" s="24">
        <f t="shared" si="25"/>
        <v>0</v>
      </c>
    </row>
    <row r="528" spans="1:5">
      <c r="A528" s="87">
        <v>517</v>
      </c>
      <c r="B528" s="5">
        <v>-0.33693368095555343</v>
      </c>
      <c r="C528" s="24">
        <f t="shared" si="24"/>
        <v>83621.504922570006</v>
      </c>
      <c r="D528" s="24">
        <f t="shared" si="26"/>
        <v>61664.515257166124</v>
      </c>
      <c r="E528" s="24">
        <f t="shared" si="25"/>
        <v>38335.484742833876</v>
      </c>
    </row>
    <row r="529" spans="1:5">
      <c r="A529" s="87">
        <v>518</v>
      </c>
      <c r="B529" s="5">
        <v>2.1778123482363299</v>
      </c>
      <c r="C529" s="24">
        <f t="shared" si="24"/>
        <v>610563.32840661879</v>
      </c>
      <c r="D529" s="24">
        <f t="shared" si="26"/>
        <v>450244.12936431216</v>
      </c>
      <c r="E529" s="24">
        <f t="shared" si="25"/>
        <v>0</v>
      </c>
    </row>
    <row r="530" spans="1:5">
      <c r="A530" s="87">
        <v>519</v>
      </c>
      <c r="B530" s="5">
        <v>-1.6681860870448872</v>
      </c>
      <c r="C530" s="24">
        <f t="shared" si="24"/>
        <v>29190.791121183822</v>
      </c>
      <c r="D530" s="24">
        <f t="shared" si="26"/>
        <v>21525.993655911203</v>
      </c>
      <c r="E530" s="24">
        <f t="shared" si="25"/>
        <v>78474.00634408879</v>
      </c>
    </row>
    <row r="531" spans="1:5">
      <c r="A531" s="87">
        <v>520</v>
      </c>
      <c r="B531" s="5">
        <v>0.95795712695689872</v>
      </c>
      <c r="C531" s="24">
        <f t="shared" si="24"/>
        <v>232758.58289005651</v>
      </c>
      <c r="D531" s="24">
        <f t="shared" si="26"/>
        <v>171641.7947650007</v>
      </c>
      <c r="E531" s="24">
        <f t="shared" si="25"/>
        <v>0</v>
      </c>
    </row>
    <row r="532" spans="1:5">
      <c r="A532" s="87">
        <v>521</v>
      </c>
      <c r="B532" s="5">
        <v>1.4941497283871286</v>
      </c>
      <c r="C532" s="24">
        <f t="shared" si="24"/>
        <v>355632.98666749994</v>
      </c>
      <c r="D532" s="24">
        <f t="shared" si="26"/>
        <v>262252.34468831681</v>
      </c>
      <c r="E532" s="24">
        <f t="shared" si="25"/>
        <v>0</v>
      </c>
    </row>
    <row r="533" spans="1:5">
      <c r="A533" s="87">
        <v>522</v>
      </c>
      <c r="B533" s="5">
        <v>0.48358401727455202</v>
      </c>
      <c r="C533" s="24">
        <f t="shared" si="24"/>
        <v>159968.49980758032</v>
      </c>
      <c r="D533" s="24">
        <f t="shared" si="26"/>
        <v>117964.63130129641</v>
      </c>
      <c r="E533" s="24">
        <f t="shared" si="25"/>
        <v>0</v>
      </c>
    </row>
    <row r="534" spans="1:5">
      <c r="A534" s="87">
        <v>523</v>
      </c>
      <c r="B534" s="5">
        <v>4.5723709263256751E-2</v>
      </c>
      <c r="C534" s="24">
        <f t="shared" si="24"/>
        <v>113161.72068336469</v>
      </c>
      <c r="D534" s="24">
        <f t="shared" si="26"/>
        <v>83448.183072857952</v>
      </c>
      <c r="E534" s="24">
        <f t="shared" si="25"/>
        <v>16551.816927142048</v>
      </c>
    </row>
    <row r="535" spans="1:5">
      <c r="A535" s="87">
        <v>524</v>
      </c>
      <c r="B535" s="5">
        <v>-0.130301032186253</v>
      </c>
      <c r="C535" s="24">
        <f t="shared" si="24"/>
        <v>98460.768075983506</v>
      </c>
      <c r="D535" s="24">
        <f t="shared" si="26"/>
        <v>72607.345931836157</v>
      </c>
      <c r="E535" s="24">
        <f t="shared" si="25"/>
        <v>27392.654068163843</v>
      </c>
    </row>
    <row r="536" spans="1:5">
      <c r="A536" s="87">
        <v>525</v>
      </c>
      <c r="B536" s="5">
        <v>0.71162048698170111</v>
      </c>
      <c r="C536" s="24">
        <f t="shared" si="24"/>
        <v>191570.44081000739</v>
      </c>
      <c r="D536" s="24">
        <f t="shared" si="26"/>
        <v>141268.66505319622</v>
      </c>
      <c r="E536" s="24">
        <f t="shared" si="25"/>
        <v>0</v>
      </c>
    </row>
    <row r="537" spans="1:5">
      <c r="A537" s="87">
        <v>526</v>
      </c>
      <c r="B537" s="5">
        <v>1.0484245649422519</v>
      </c>
      <c r="C537" s="24">
        <f t="shared" si="24"/>
        <v>250015.41626230371</v>
      </c>
      <c r="D537" s="24">
        <f t="shared" si="26"/>
        <v>184367.40004750135</v>
      </c>
      <c r="E537" s="24">
        <f t="shared" si="25"/>
        <v>0</v>
      </c>
    </row>
    <row r="538" spans="1:5">
      <c r="A538" s="87">
        <v>527</v>
      </c>
      <c r="B538" s="5">
        <v>1.7594902601558715</v>
      </c>
      <c r="C538" s="24">
        <f t="shared" si="24"/>
        <v>438635.76303703338</v>
      </c>
      <c r="D538" s="24">
        <f t="shared" si="26"/>
        <v>323460.59458247497</v>
      </c>
      <c r="E538" s="24">
        <f t="shared" si="25"/>
        <v>0</v>
      </c>
    </row>
    <row r="539" spans="1:5">
      <c r="A539" s="87">
        <v>528</v>
      </c>
      <c r="B539" s="5">
        <v>0.16231297195190564</v>
      </c>
      <c r="C539" s="24">
        <f t="shared" si="24"/>
        <v>124087.85927875392</v>
      </c>
      <c r="D539" s="24">
        <f t="shared" si="26"/>
        <v>91505.381286895834</v>
      </c>
      <c r="E539" s="24">
        <f t="shared" si="25"/>
        <v>8494.6187131041661</v>
      </c>
    </row>
    <row r="540" spans="1:5">
      <c r="A540" s="87">
        <v>529</v>
      </c>
      <c r="B540" s="5">
        <v>-0.65908352553378791</v>
      </c>
      <c r="C540" s="24">
        <f t="shared" si="24"/>
        <v>64820.305369655493</v>
      </c>
      <c r="D540" s="24">
        <f t="shared" si="26"/>
        <v>47800.057092280826</v>
      </c>
      <c r="E540" s="24">
        <f t="shared" si="25"/>
        <v>52199.942907719174</v>
      </c>
    </row>
    <row r="541" spans="1:5">
      <c r="A541" s="87">
        <v>530</v>
      </c>
      <c r="B541" s="5">
        <v>-0.4544642706605373</v>
      </c>
      <c r="C541" s="24">
        <f t="shared" si="24"/>
        <v>76201.76562641286</v>
      </c>
      <c r="D541" s="24">
        <f t="shared" si="26"/>
        <v>56193.020484909452</v>
      </c>
      <c r="E541" s="24">
        <f t="shared" si="25"/>
        <v>43806.979515090548</v>
      </c>
    </row>
    <row r="542" spans="1:5">
      <c r="A542" s="87">
        <v>531</v>
      </c>
      <c r="B542" s="5">
        <v>-0.6625089099543402</v>
      </c>
      <c r="C542" s="24">
        <f t="shared" si="24"/>
        <v>64645.009171755431</v>
      </c>
      <c r="D542" s="24">
        <f t="shared" si="26"/>
        <v>47670.789446596376</v>
      </c>
      <c r="E542" s="24">
        <f t="shared" si="25"/>
        <v>52329.210553403624</v>
      </c>
    </row>
    <row r="543" spans="1:5">
      <c r="A543" s="87">
        <v>532</v>
      </c>
      <c r="B543" s="5">
        <v>1.1022962098650169</v>
      </c>
      <c r="C543" s="24">
        <f t="shared" si="24"/>
        <v>260893.38983824573</v>
      </c>
      <c r="D543" s="24">
        <f t="shared" si="26"/>
        <v>192389.0802141265</v>
      </c>
      <c r="E543" s="24">
        <f t="shared" si="25"/>
        <v>0</v>
      </c>
    </row>
    <row r="544" spans="1:5">
      <c r="A544" s="87">
        <v>533</v>
      </c>
      <c r="B544" s="5">
        <v>1.2543273442133795</v>
      </c>
      <c r="C544" s="24">
        <f t="shared" si="24"/>
        <v>294212.71342361753</v>
      </c>
      <c r="D544" s="24">
        <f t="shared" si="26"/>
        <v>216959.55331779888</v>
      </c>
      <c r="E544" s="24">
        <f t="shared" si="25"/>
        <v>0</v>
      </c>
    </row>
    <row r="545" spans="1:5">
      <c r="A545" s="87">
        <v>534</v>
      </c>
      <c r="B545" s="5">
        <v>0.1007265382213518</v>
      </c>
      <c r="C545" s="24">
        <f t="shared" si="24"/>
        <v>118190.94639423613</v>
      </c>
      <c r="D545" s="24">
        <f t="shared" si="26"/>
        <v>87156.855451654847</v>
      </c>
      <c r="E545" s="24">
        <f t="shared" si="25"/>
        <v>12843.144548345153</v>
      </c>
    </row>
    <row r="546" spans="1:5">
      <c r="A546" s="87">
        <v>535</v>
      </c>
      <c r="B546" s="5">
        <v>1.406583578500431</v>
      </c>
      <c r="C546" s="24">
        <f t="shared" si="24"/>
        <v>331846.377299293</v>
      </c>
      <c r="D546" s="24">
        <f t="shared" si="26"/>
        <v>244711.52504317605</v>
      </c>
      <c r="E546" s="24">
        <f t="shared" si="25"/>
        <v>0</v>
      </c>
    </row>
    <row r="547" spans="1:5">
      <c r="A547" s="87">
        <v>536</v>
      </c>
      <c r="B547" s="5">
        <v>0.7254857337102294</v>
      </c>
      <c r="C547" s="24">
        <f t="shared" si="24"/>
        <v>193681.8797662888</v>
      </c>
      <c r="D547" s="24">
        <f t="shared" si="26"/>
        <v>142825.69108202399</v>
      </c>
      <c r="E547" s="24">
        <f t="shared" si="25"/>
        <v>0</v>
      </c>
    </row>
    <row r="548" spans="1:5">
      <c r="A548" s="87">
        <v>537</v>
      </c>
      <c r="B548" s="5">
        <v>2.0053721527801827</v>
      </c>
      <c r="C548" s="24">
        <f t="shared" si="24"/>
        <v>532752.02699747123</v>
      </c>
      <c r="D548" s="24">
        <f t="shared" si="26"/>
        <v>392864.19836011343</v>
      </c>
      <c r="E548" s="24">
        <f t="shared" si="25"/>
        <v>0</v>
      </c>
    </row>
    <row r="549" spans="1:5">
      <c r="A549" s="87">
        <v>538</v>
      </c>
      <c r="B549" s="5">
        <v>-5.7673332776175812E-2</v>
      </c>
      <c r="C549" s="24">
        <f t="shared" si="24"/>
        <v>104279.56452412557</v>
      </c>
      <c r="D549" s="24">
        <f t="shared" si="26"/>
        <v>76898.266822186633</v>
      </c>
      <c r="E549" s="24">
        <f t="shared" si="25"/>
        <v>23101.733177813367</v>
      </c>
    </row>
    <row r="550" spans="1:5">
      <c r="A550" s="87">
        <v>539</v>
      </c>
      <c r="B550" s="5">
        <v>1.5097475625225343</v>
      </c>
      <c r="C550" s="24">
        <f t="shared" si="24"/>
        <v>360045.50756099803</v>
      </c>
      <c r="D550" s="24">
        <f t="shared" si="26"/>
        <v>265506.24405561027</v>
      </c>
      <c r="E550" s="24">
        <f t="shared" si="25"/>
        <v>0</v>
      </c>
    </row>
    <row r="551" spans="1:5">
      <c r="A551" s="87">
        <v>540</v>
      </c>
      <c r="B551" s="5">
        <v>-1.1848123904201202</v>
      </c>
      <c r="C551" s="24">
        <f t="shared" si="24"/>
        <v>42776.707944919588</v>
      </c>
      <c r="D551" s="24">
        <f t="shared" si="26"/>
        <v>31544.576507721664</v>
      </c>
      <c r="E551" s="24">
        <f t="shared" si="25"/>
        <v>68455.423492278336</v>
      </c>
    </row>
    <row r="552" spans="1:5">
      <c r="A552" s="87">
        <v>541</v>
      </c>
      <c r="B552" s="5">
        <v>-1.1295287549728528</v>
      </c>
      <c r="C552" s="24">
        <f t="shared" si="24"/>
        <v>44687.744818536361</v>
      </c>
      <c r="D552" s="24">
        <f t="shared" si="26"/>
        <v>32953.821205712527</v>
      </c>
      <c r="E552" s="24">
        <f t="shared" si="25"/>
        <v>67046.178794287465</v>
      </c>
    </row>
    <row r="553" spans="1:5">
      <c r="A553" s="87">
        <v>542</v>
      </c>
      <c r="B553" s="5">
        <v>-0.77588197200384457</v>
      </c>
      <c r="C553" s="24">
        <f t="shared" si="24"/>
        <v>59102.996731264342</v>
      </c>
      <c r="D553" s="24">
        <f t="shared" si="26"/>
        <v>43583.975761426402</v>
      </c>
      <c r="E553" s="24">
        <f t="shared" si="25"/>
        <v>56416.024238573598</v>
      </c>
    </row>
    <row r="554" spans="1:5">
      <c r="A554" s="87">
        <v>543</v>
      </c>
      <c r="B554" s="5">
        <v>0.38445136851805728</v>
      </c>
      <c r="C554" s="24">
        <f t="shared" si="24"/>
        <v>147910.25127360647</v>
      </c>
      <c r="D554" s="24">
        <f t="shared" si="26"/>
        <v>109072.58790424869</v>
      </c>
      <c r="E554" s="24">
        <f t="shared" si="25"/>
        <v>0</v>
      </c>
    </row>
    <row r="555" spans="1:5">
      <c r="A555" s="87">
        <v>544</v>
      </c>
      <c r="B555" s="5">
        <v>0.12459395293262787</v>
      </c>
      <c r="C555" s="24">
        <f t="shared" si="24"/>
        <v>120442.24633080194</v>
      </c>
      <c r="D555" s="24">
        <f t="shared" si="26"/>
        <v>88817.018341755494</v>
      </c>
      <c r="E555" s="24">
        <f t="shared" si="25"/>
        <v>11182.981658244506</v>
      </c>
    </row>
    <row r="556" spans="1:5">
      <c r="A556" s="87">
        <v>545</v>
      </c>
      <c r="B556" s="5">
        <v>1.2918280845042318</v>
      </c>
      <c r="C556" s="24">
        <f t="shared" si="24"/>
        <v>303065.80467939761</v>
      </c>
      <c r="D556" s="24">
        <f t="shared" si="26"/>
        <v>223488.03640741363</v>
      </c>
      <c r="E556" s="24">
        <f t="shared" si="25"/>
        <v>0</v>
      </c>
    </row>
    <row r="557" spans="1:5">
      <c r="A557" s="87">
        <v>546</v>
      </c>
      <c r="B557" s="5">
        <v>-0.51215920393588021</v>
      </c>
      <c r="C557" s="24">
        <f t="shared" si="24"/>
        <v>72804.137233915972</v>
      </c>
      <c r="D557" s="24">
        <f t="shared" si="26"/>
        <v>53687.527334059021</v>
      </c>
      <c r="E557" s="24">
        <f t="shared" si="25"/>
        <v>46312.472665940979</v>
      </c>
    </row>
    <row r="558" spans="1:5">
      <c r="A558" s="87">
        <v>547</v>
      </c>
      <c r="B558" s="5">
        <v>-0.31812646739126649</v>
      </c>
      <c r="C558" s="24">
        <f t="shared" si="24"/>
        <v>84874.112625845839</v>
      </c>
      <c r="D558" s="24">
        <f t="shared" si="26"/>
        <v>62588.218399096171</v>
      </c>
      <c r="E558" s="24">
        <f t="shared" si="25"/>
        <v>37411.781600903829</v>
      </c>
    </row>
    <row r="559" spans="1:5">
      <c r="A559" s="87">
        <v>548</v>
      </c>
      <c r="B559" s="5">
        <v>1.0798225957842078</v>
      </c>
      <c r="C559" s="24">
        <f t="shared" si="24"/>
        <v>256299.04413514183</v>
      </c>
      <c r="D559" s="24">
        <f t="shared" si="26"/>
        <v>189001.09884536162</v>
      </c>
      <c r="E559" s="24">
        <f t="shared" si="25"/>
        <v>0</v>
      </c>
    </row>
    <row r="560" spans="1:5">
      <c r="A560" s="87">
        <v>549</v>
      </c>
      <c r="B560" s="5">
        <v>-0.7880339580879081</v>
      </c>
      <c r="C560" s="24">
        <f t="shared" si="24"/>
        <v>58537.913639118575</v>
      </c>
      <c r="D560" s="24">
        <f t="shared" si="26"/>
        <v>43167.269855577724</v>
      </c>
      <c r="E560" s="24">
        <f t="shared" si="25"/>
        <v>56832.730144422276</v>
      </c>
    </row>
    <row r="561" spans="1:5">
      <c r="A561" s="87">
        <v>550</v>
      </c>
      <c r="B561" s="5">
        <v>3.7377958506112918E-2</v>
      </c>
      <c r="C561" s="24">
        <f t="shared" si="24"/>
        <v>112417.54918143192</v>
      </c>
      <c r="D561" s="24">
        <f t="shared" si="26"/>
        <v>82899.413052785094</v>
      </c>
      <c r="E561" s="24">
        <f t="shared" si="25"/>
        <v>17100.586947214906</v>
      </c>
    </row>
    <row r="562" spans="1:5">
      <c r="A562" s="87">
        <v>551</v>
      </c>
      <c r="B562" s="5">
        <v>0.34528511605458334</v>
      </c>
      <c r="C562" s="24">
        <f t="shared" si="24"/>
        <v>143400.58938160472</v>
      </c>
      <c r="D562" s="24">
        <f t="shared" si="26"/>
        <v>105747.05442094797</v>
      </c>
      <c r="E562" s="24">
        <f t="shared" si="25"/>
        <v>0</v>
      </c>
    </row>
    <row r="563" spans="1:5">
      <c r="A563" s="87">
        <v>552</v>
      </c>
      <c r="B563" s="5">
        <v>-0.33758055906218942</v>
      </c>
      <c r="C563" s="24">
        <f t="shared" si="24"/>
        <v>83578.751646820485</v>
      </c>
      <c r="D563" s="24">
        <f t="shared" si="26"/>
        <v>61632.987960124636</v>
      </c>
      <c r="E563" s="24">
        <f t="shared" si="25"/>
        <v>38367.012039875364</v>
      </c>
    </row>
    <row r="564" spans="1:5">
      <c r="A564" s="87">
        <v>553</v>
      </c>
      <c r="B564" s="5">
        <v>1.5560635802103207</v>
      </c>
      <c r="C564" s="24">
        <f t="shared" si="24"/>
        <v>373473.27919358545</v>
      </c>
      <c r="D564" s="24">
        <f t="shared" si="26"/>
        <v>275408.20682791551</v>
      </c>
      <c r="E564" s="24">
        <f t="shared" si="25"/>
        <v>0</v>
      </c>
    </row>
    <row r="565" spans="1:5">
      <c r="A565" s="87">
        <v>554</v>
      </c>
      <c r="B565" s="5">
        <v>-0.64169171309913509</v>
      </c>
      <c r="C565" s="24">
        <f t="shared" si="24"/>
        <v>65717.703162735037</v>
      </c>
      <c r="D565" s="24">
        <f t="shared" si="26"/>
        <v>48461.819876319947</v>
      </c>
      <c r="E565" s="24">
        <f t="shared" si="25"/>
        <v>51538.180123680053</v>
      </c>
    </row>
    <row r="566" spans="1:5">
      <c r="A566" s="87">
        <v>555</v>
      </c>
      <c r="B566" s="5">
        <v>0.35863195080310106</v>
      </c>
      <c r="C566" s="24">
        <f t="shared" si="24"/>
        <v>144921.70593915795</v>
      </c>
      <c r="D566" s="24">
        <f t="shared" si="26"/>
        <v>106868.76247030709</v>
      </c>
      <c r="E566" s="24">
        <f t="shared" si="25"/>
        <v>0</v>
      </c>
    </row>
    <row r="567" spans="1:5">
      <c r="A567" s="87">
        <v>556</v>
      </c>
      <c r="B567" s="5">
        <v>0.30896671887603588</v>
      </c>
      <c r="C567" s="24">
        <f t="shared" si="24"/>
        <v>139341.7883840026</v>
      </c>
      <c r="D567" s="24">
        <f t="shared" si="26"/>
        <v>102753.99663905097</v>
      </c>
      <c r="E567" s="24">
        <f t="shared" si="25"/>
        <v>0</v>
      </c>
    </row>
    <row r="568" spans="1:5">
      <c r="A568" s="87">
        <v>557</v>
      </c>
      <c r="B568" s="5">
        <v>-0.27408304958953522</v>
      </c>
      <c r="C568" s="24">
        <f t="shared" si="24"/>
        <v>87881.429141202563</v>
      </c>
      <c r="D568" s="24">
        <f t="shared" si="26"/>
        <v>64805.8861547298</v>
      </c>
      <c r="E568" s="24">
        <f t="shared" si="25"/>
        <v>35194.1138452702</v>
      </c>
    </row>
    <row r="569" spans="1:5">
      <c r="A569" s="87">
        <v>558</v>
      </c>
      <c r="B569" s="5">
        <v>-0.78865923569537699</v>
      </c>
      <c r="C569" s="24">
        <f t="shared" si="24"/>
        <v>58508.98401524395</v>
      </c>
      <c r="D569" s="24">
        <f t="shared" si="26"/>
        <v>43145.936452950584</v>
      </c>
      <c r="E569" s="24">
        <f t="shared" si="25"/>
        <v>56854.063547049416</v>
      </c>
    </row>
    <row r="570" spans="1:5">
      <c r="A570" s="87">
        <v>559</v>
      </c>
      <c r="B570" s="5">
        <v>-2.6930501917377114</v>
      </c>
      <c r="C570" s="24">
        <f t="shared" si="24"/>
        <v>12982.82163880933</v>
      </c>
      <c r="D570" s="24">
        <f t="shared" si="26"/>
        <v>9573.8459116315516</v>
      </c>
      <c r="E570" s="24">
        <f t="shared" si="25"/>
        <v>90426.15408836845</v>
      </c>
    </row>
    <row r="571" spans="1:5">
      <c r="A571" s="87">
        <v>560</v>
      </c>
      <c r="B571" s="5">
        <v>-0.32038087738328613</v>
      </c>
      <c r="C571" s="24">
        <f t="shared" si="24"/>
        <v>84722.978966114562</v>
      </c>
      <c r="D571" s="24">
        <f t="shared" si="26"/>
        <v>62476.768792024399</v>
      </c>
      <c r="E571" s="24">
        <f t="shared" si="25"/>
        <v>37523.231207975601</v>
      </c>
    </row>
    <row r="572" spans="1:5">
      <c r="A572" s="87">
        <v>561</v>
      </c>
      <c r="B572" s="5">
        <v>-1.9405797502258793</v>
      </c>
      <c r="C572" s="24">
        <f t="shared" si="24"/>
        <v>23535.435711168531</v>
      </c>
      <c r="D572" s="24">
        <f t="shared" si="26"/>
        <v>17355.598130400169</v>
      </c>
      <c r="E572" s="24">
        <f t="shared" si="25"/>
        <v>82644.401869599824</v>
      </c>
    </row>
    <row r="573" spans="1:5">
      <c r="A573" s="87">
        <v>562</v>
      </c>
      <c r="B573" s="5">
        <v>-0.35463699532556348</v>
      </c>
      <c r="C573" s="24">
        <f t="shared" si="24"/>
        <v>82459.315317879984</v>
      </c>
      <c r="D573" s="24">
        <f t="shared" si="26"/>
        <v>60807.488602641228</v>
      </c>
      <c r="E573" s="24">
        <f t="shared" si="25"/>
        <v>39192.511397358772</v>
      </c>
    </row>
    <row r="574" spans="1:5">
      <c r="A574" s="87">
        <v>563</v>
      </c>
      <c r="B574" s="5">
        <v>-0.72937268669193145</v>
      </c>
      <c r="C574" s="24">
        <f t="shared" si="24"/>
        <v>61316.590317634909</v>
      </c>
      <c r="D574" s="24">
        <f t="shared" si="26"/>
        <v>45216.333079155935</v>
      </c>
      <c r="E574" s="24">
        <f t="shared" si="25"/>
        <v>54783.666920844065</v>
      </c>
    </row>
    <row r="575" spans="1:5">
      <c r="A575" s="87">
        <v>564</v>
      </c>
      <c r="B575" s="5">
        <v>-0.71221279540623073</v>
      </c>
      <c r="C575" s="24">
        <f t="shared" si="24"/>
        <v>62154.084320303758</v>
      </c>
      <c r="D575" s="24">
        <f t="shared" si="26"/>
        <v>45833.921362853747</v>
      </c>
      <c r="E575" s="24">
        <f t="shared" si="25"/>
        <v>54166.078637146253</v>
      </c>
    </row>
    <row r="576" spans="1:5">
      <c r="A576" s="87">
        <v>565</v>
      </c>
      <c r="B576" s="5">
        <v>-1.2321265785431024</v>
      </c>
      <c r="C576" s="24">
        <f t="shared" si="24"/>
        <v>41206.194522084268</v>
      </c>
      <c r="D576" s="24">
        <f t="shared" si="26"/>
        <v>30386.442018110563</v>
      </c>
      <c r="E576" s="24">
        <f t="shared" si="25"/>
        <v>69613.557981889433</v>
      </c>
    </row>
    <row r="577" spans="1:5">
      <c r="A577" s="87">
        <v>566</v>
      </c>
      <c r="B577" s="5">
        <v>-1.2818463801522739</v>
      </c>
      <c r="C577" s="24">
        <f t="shared" si="24"/>
        <v>39617.924037184894</v>
      </c>
      <c r="D577" s="24">
        <f t="shared" si="26"/>
        <v>29215.213042510659</v>
      </c>
      <c r="E577" s="24">
        <f t="shared" si="25"/>
        <v>70784.786957489341</v>
      </c>
    </row>
    <row r="578" spans="1:5">
      <c r="A578" s="87">
        <v>567</v>
      </c>
      <c r="B578" s="5">
        <v>-1.9203707779524848</v>
      </c>
      <c r="C578" s="24">
        <f t="shared" si="24"/>
        <v>23914.471634188256</v>
      </c>
      <c r="D578" s="24">
        <f t="shared" si="26"/>
        <v>17635.108364994801</v>
      </c>
      <c r="E578" s="24">
        <f t="shared" si="25"/>
        <v>82364.891635005202</v>
      </c>
    </row>
    <row r="579" spans="1:5">
      <c r="A579" s="87">
        <v>568</v>
      </c>
      <c r="B579" s="5">
        <v>1.355183485429734</v>
      </c>
      <c r="C579" s="24">
        <f t="shared" si="24"/>
        <v>318631.99027670978</v>
      </c>
      <c r="D579" s="24">
        <f t="shared" si="26"/>
        <v>234966.91723059595</v>
      </c>
      <c r="E579" s="24">
        <f t="shared" si="25"/>
        <v>0</v>
      </c>
    </row>
    <row r="580" spans="1:5">
      <c r="A580" s="87">
        <v>569</v>
      </c>
      <c r="B580" s="5">
        <v>0.38478106034744997</v>
      </c>
      <c r="C580" s="24">
        <f t="shared" si="24"/>
        <v>147948.80825867769</v>
      </c>
      <c r="D580" s="24">
        <f t="shared" si="26"/>
        <v>109101.02075530053</v>
      </c>
      <c r="E580" s="24">
        <f t="shared" si="25"/>
        <v>0</v>
      </c>
    </row>
    <row r="581" spans="1:5">
      <c r="A581" s="87">
        <v>570</v>
      </c>
      <c r="B581" s="5">
        <v>0.19870412870659493</v>
      </c>
      <c r="C581" s="24">
        <f t="shared" si="24"/>
        <v>127709.68382592742</v>
      </c>
      <c r="D581" s="24">
        <f t="shared" si="26"/>
        <v>94176.202091361862</v>
      </c>
      <c r="E581" s="24">
        <f t="shared" si="25"/>
        <v>5823.7979086381383</v>
      </c>
    </row>
    <row r="582" spans="1:5">
      <c r="A582" s="87">
        <v>571</v>
      </c>
      <c r="B582" s="5">
        <v>1.3671615306520835</v>
      </c>
      <c r="C582" s="24">
        <f t="shared" si="24"/>
        <v>321663.59954873496</v>
      </c>
      <c r="D582" s="24">
        <f t="shared" si="26"/>
        <v>237202.4990511057</v>
      </c>
      <c r="E582" s="24">
        <f t="shared" si="25"/>
        <v>0</v>
      </c>
    </row>
    <row r="583" spans="1:5">
      <c r="A583" s="87">
        <v>572</v>
      </c>
      <c r="B583" s="5">
        <v>-0.24835799194988795</v>
      </c>
      <c r="C583" s="24">
        <f t="shared" si="24"/>
        <v>89687.010990759634</v>
      </c>
      <c r="D583" s="24">
        <f t="shared" si="26"/>
        <v>66137.365773676749</v>
      </c>
      <c r="E583" s="24">
        <f t="shared" si="25"/>
        <v>33862.634226323251</v>
      </c>
    </row>
    <row r="584" spans="1:5">
      <c r="A584" s="87">
        <v>573</v>
      </c>
      <c r="B584" s="5">
        <v>-0.32150865081348456</v>
      </c>
      <c r="C584" s="24">
        <f t="shared" si="24"/>
        <v>84647.475047036947</v>
      </c>
      <c r="D584" s="24">
        <f t="shared" si="26"/>
        <v>62421.090380421439</v>
      </c>
      <c r="E584" s="24">
        <f t="shared" si="25"/>
        <v>37578.909619578561</v>
      </c>
    </row>
    <row r="585" spans="1:5">
      <c r="A585" s="87">
        <v>574</v>
      </c>
      <c r="B585" s="5">
        <v>1.2815007721656002</v>
      </c>
      <c r="C585" s="24">
        <f t="shared" si="24"/>
        <v>300601.51036734268</v>
      </c>
      <c r="D585" s="24">
        <f t="shared" si="26"/>
        <v>221670.80632593439</v>
      </c>
      <c r="E585" s="24">
        <f t="shared" si="25"/>
        <v>0</v>
      </c>
    </row>
    <row r="586" spans="1:5">
      <c r="A586" s="87">
        <v>575</v>
      </c>
      <c r="B586" s="5">
        <v>-0.66489292294136249</v>
      </c>
      <c r="C586" s="24">
        <f t="shared" si="24"/>
        <v>64523.285672762664</v>
      </c>
      <c r="D586" s="24">
        <f t="shared" si="26"/>
        <v>47581.027601629037</v>
      </c>
      <c r="E586" s="24">
        <f t="shared" si="25"/>
        <v>52418.972398370963</v>
      </c>
    </row>
    <row r="587" spans="1:5">
      <c r="A587" s="87">
        <v>576</v>
      </c>
      <c r="B587" s="5">
        <v>-1.1367978913767729</v>
      </c>
      <c r="C587" s="24">
        <f t="shared" si="24"/>
        <v>44431.67171168518</v>
      </c>
      <c r="D587" s="24">
        <f t="shared" si="26"/>
        <v>32764.986718471522</v>
      </c>
      <c r="E587" s="24">
        <f t="shared" si="25"/>
        <v>67235.013281528474</v>
      </c>
    </row>
    <row r="588" spans="1:5">
      <c r="A588" s="87">
        <v>577</v>
      </c>
      <c r="B588" s="5">
        <v>-2.1129199012648314</v>
      </c>
      <c r="C588" s="24">
        <f t="shared" ref="C588:C651" si="27">B$6*EXP(B588*B$5*SQRT(10)+10*(B$4-(B$5^2)/2))</f>
        <v>20537.66126623737</v>
      </c>
      <c r="D588" s="24">
        <f t="shared" si="26"/>
        <v>15144.966927718879</v>
      </c>
      <c r="E588" s="24">
        <f t="shared" ref="E588:E651" si="28">MAX(B$6-D588,0)</f>
        <v>84855.03307228112</v>
      </c>
    </row>
    <row r="589" spans="1:5">
      <c r="A589" s="87">
        <v>578</v>
      </c>
      <c r="B589" s="5">
        <v>-0.35871380532626063</v>
      </c>
      <c r="C589" s="24">
        <f t="shared" si="27"/>
        <v>82193.976660727538</v>
      </c>
      <c r="D589" s="24">
        <f t="shared" ref="D589:D652" si="29">C589*(0.97^10)</f>
        <v>60611.821475059114</v>
      </c>
      <c r="E589" s="24">
        <f t="shared" si="28"/>
        <v>39388.178524940886</v>
      </c>
    </row>
    <row r="590" spans="1:5">
      <c r="A590" s="87">
        <v>579</v>
      </c>
      <c r="B590" s="5">
        <v>-1.0706867215048987</v>
      </c>
      <c r="C590" s="24">
        <f t="shared" si="27"/>
        <v>46815.671635455612</v>
      </c>
      <c r="D590" s="24">
        <f t="shared" si="29"/>
        <v>34523.005780775507</v>
      </c>
      <c r="E590" s="24">
        <f t="shared" si="28"/>
        <v>65476.994219224493</v>
      </c>
    </row>
    <row r="591" spans="1:5">
      <c r="A591" s="87">
        <v>580</v>
      </c>
      <c r="B591" s="5">
        <v>-0.42522287913016044</v>
      </c>
      <c r="C591" s="24">
        <f t="shared" si="27"/>
        <v>77983.867874070507</v>
      </c>
      <c r="D591" s="24">
        <f t="shared" si="29"/>
        <v>57507.185678925882</v>
      </c>
      <c r="E591" s="24">
        <f t="shared" si="28"/>
        <v>42492.814321074118</v>
      </c>
    </row>
    <row r="592" spans="1:5">
      <c r="A592" s="87">
        <v>581</v>
      </c>
      <c r="B592" s="5">
        <v>0.59921717365796212</v>
      </c>
      <c r="C592" s="24">
        <f t="shared" si="27"/>
        <v>175281.44802260248</v>
      </c>
      <c r="D592" s="24">
        <f t="shared" si="29"/>
        <v>129256.76876894636</v>
      </c>
      <c r="E592" s="24">
        <f t="shared" si="28"/>
        <v>0</v>
      </c>
    </row>
    <row r="593" spans="1:5">
      <c r="A593" s="87">
        <v>582</v>
      </c>
      <c r="B593" s="5">
        <v>-0.31025024327391293</v>
      </c>
      <c r="C593" s="24">
        <f t="shared" si="27"/>
        <v>85404.247205757158</v>
      </c>
      <c r="D593" s="24">
        <f t="shared" si="29"/>
        <v>62979.152428824083</v>
      </c>
      <c r="E593" s="24">
        <f t="shared" si="28"/>
        <v>37020.847571175917</v>
      </c>
    </row>
    <row r="594" spans="1:5">
      <c r="A594" s="87">
        <v>583</v>
      </c>
      <c r="B594" s="5">
        <v>-0.6594632395717781</v>
      </c>
      <c r="C594" s="24">
        <f t="shared" si="27"/>
        <v>64800.849862746421</v>
      </c>
      <c r="D594" s="24">
        <f t="shared" si="29"/>
        <v>47785.710132085107</v>
      </c>
      <c r="E594" s="24">
        <f t="shared" si="28"/>
        <v>52214.289867914893</v>
      </c>
    </row>
    <row r="595" spans="1:5">
      <c r="A595" s="87">
        <v>584</v>
      </c>
      <c r="B595" s="5">
        <v>0.54781480685051065</v>
      </c>
      <c r="C595" s="24">
        <f t="shared" si="27"/>
        <v>168301.29864055093</v>
      </c>
      <c r="D595" s="24">
        <f t="shared" si="29"/>
        <v>124109.43820529083</v>
      </c>
      <c r="E595" s="24">
        <f t="shared" si="28"/>
        <v>0</v>
      </c>
    </row>
    <row r="596" spans="1:5">
      <c r="A596" s="87">
        <v>585</v>
      </c>
      <c r="B596" s="5">
        <v>0.9805944500840269</v>
      </c>
      <c r="C596" s="24">
        <f t="shared" si="27"/>
        <v>236961.61518767255</v>
      </c>
      <c r="D596" s="24">
        <f t="shared" si="29"/>
        <v>174741.21218738137</v>
      </c>
      <c r="E596" s="24">
        <f t="shared" si="28"/>
        <v>0</v>
      </c>
    </row>
    <row r="597" spans="1:5">
      <c r="A597" s="87">
        <v>586</v>
      </c>
      <c r="B597" s="5">
        <v>-0.6045343070582021</v>
      </c>
      <c r="C597" s="24">
        <f t="shared" si="27"/>
        <v>67676.82839908055</v>
      </c>
      <c r="D597" s="24">
        <f t="shared" si="29"/>
        <v>49906.526093209854</v>
      </c>
      <c r="E597" s="24">
        <f t="shared" si="28"/>
        <v>50093.473906790146</v>
      </c>
    </row>
    <row r="598" spans="1:5">
      <c r="A598" s="87">
        <v>587</v>
      </c>
      <c r="B598" s="5">
        <v>-1.0828443919308484</v>
      </c>
      <c r="C598" s="24">
        <f t="shared" si="27"/>
        <v>46367.859149968885</v>
      </c>
      <c r="D598" s="24">
        <f t="shared" si="29"/>
        <v>34192.778049652814</v>
      </c>
      <c r="E598" s="24">
        <f t="shared" si="28"/>
        <v>65807.221950347186</v>
      </c>
    </row>
    <row r="599" spans="1:5">
      <c r="A599" s="87">
        <v>588</v>
      </c>
      <c r="B599" s="5">
        <v>0.23614802557858638</v>
      </c>
      <c r="C599" s="24">
        <f t="shared" si="27"/>
        <v>131546.65669223669</v>
      </c>
      <c r="D599" s="24">
        <f t="shared" si="29"/>
        <v>97005.678457219503</v>
      </c>
      <c r="E599" s="24">
        <f t="shared" si="28"/>
        <v>2994.3215427804971</v>
      </c>
    </row>
    <row r="600" spans="1:5">
      <c r="A600" s="87">
        <v>589</v>
      </c>
      <c r="B600" s="5">
        <v>0.95759560281294398</v>
      </c>
      <c r="C600" s="24">
        <f t="shared" si="27"/>
        <v>232692.06768134513</v>
      </c>
      <c r="D600" s="24">
        <f t="shared" si="29"/>
        <v>171592.74484529148</v>
      </c>
      <c r="E600" s="24">
        <f t="shared" si="28"/>
        <v>0</v>
      </c>
    </row>
    <row r="601" spans="1:5">
      <c r="A601" s="87">
        <v>590</v>
      </c>
      <c r="B601" s="5">
        <v>9.2811660579172894E-2</v>
      </c>
      <c r="C601" s="24">
        <f t="shared" si="27"/>
        <v>117453.70385546458</v>
      </c>
      <c r="D601" s="24">
        <f t="shared" si="29"/>
        <v>86613.195016191428</v>
      </c>
      <c r="E601" s="24">
        <f t="shared" si="28"/>
        <v>13386.804983808572</v>
      </c>
    </row>
    <row r="602" spans="1:5">
      <c r="A602" s="87">
        <v>591</v>
      </c>
      <c r="B602" s="5">
        <v>-2.2030872059985995</v>
      </c>
      <c r="C602" s="24">
        <f t="shared" si="27"/>
        <v>19124.625967282042</v>
      </c>
      <c r="D602" s="24">
        <f t="shared" si="29"/>
        <v>14102.960606115032</v>
      </c>
      <c r="E602" s="24">
        <f t="shared" si="28"/>
        <v>85897.039393884974</v>
      </c>
    </row>
    <row r="603" spans="1:5">
      <c r="A603" s="87">
        <v>592</v>
      </c>
      <c r="B603" s="5">
        <v>0.65803760662674904</v>
      </c>
      <c r="C603" s="24">
        <f t="shared" si="27"/>
        <v>183624.80852341588</v>
      </c>
      <c r="D603" s="24">
        <f t="shared" si="29"/>
        <v>135409.36410162834</v>
      </c>
      <c r="E603" s="24">
        <f t="shared" si="28"/>
        <v>0</v>
      </c>
    </row>
    <row r="604" spans="1:5">
      <c r="A604" s="87">
        <v>593</v>
      </c>
      <c r="B604" s="5">
        <v>0.6045343070582021</v>
      </c>
      <c r="C604" s="24">
        <f t="shared" si="27"/>
        <v>176019.80541814846</v>
      </c>
      <c r="D604" s="24">
        <f t="shared" si="29"/>
        <v>129801.25132669328</v>
      </c>
      <c r="E604" s="24">
        <f t="shared" si="28"/>
        <v>0</v>
      </c>
    </row>
    <row r="605" spans="1:5">
      <c r="A605" s="87">
        <v>594</v>
      </c>
      <c r="B605" s="5">
        <v>0.75445541369845159</v>
      </c>
      <c r="C605" s="24">
        <f t="shared" si="27"/>
        <v>198168.87298899185</v>
      </c>
      <c r="D605" s="24">
        <f t="shared" si="29"/>
        <v>146134.50814165923</v>
      </c>
      <c r="E605" s="24">
        <f t="shared" si="28"/>
        <v>0</v>
      </c>
    </row>
    <row r="606" spans="1:5">
      <c r="A606" s="87">
        <v>595</v>
      </c>
      <c r="B606" s="5">
        <v>0.21276946426951326</v>
      </c>
      <c r="C606" s="24">
        <f t="shared" si="27"/>
        <v>129137.6922495796</v>
      </c>
      <c r="D606" s="24">
        <f t="shared" si="29"/>
        <v>95229.249956372179</v>
      </c>
      <c r="E606" s="24">
        <f t="shared" si="28"/>
        <v>4770.7500436278206</v>
      </c>
    </row>
    <row r="607" spans="1:5">
      <c r="A607" s="87">
        <v>596</v>
      </c>
      <c r="B607" s="5">
        <v>2.2866333893034607</v>
      </c>
      <c r="C607" s="24">
        <f t="shared" si="27"/>
        <v>665416.13175461872</v>
      </c>
      <c r="D607" s="24">
        <f t="shared" si="29"/>
        <v>490693.90998095024</v>
      </c>
      <c r="E607" s="24">
        <f t="shared" si="28"/>
        <v>0</v>
      </c>
    </row>
    <row r="608" spans="1:5">
      <c r="A608" s="87">
        <v>597</v>
      </c>
      <c r="B608" s="5">
        <v>0.54888232625671662</v>
      </c>
      <c r="C608" s="24">
        <f t="shared" si="27"/>
        <v>168443.39617037846</v>
      </c>
      <c r="D608" s="24">
        <f t="shared" si="29"/>
        <v>124214.22435215783</v>
      </c>
      <c r="E608" s="24">
        <f t="shared" si="28"/>
        <v>0</v>
      </c>
    </row>
    <row r="609" spans="1:5">
      <c r="A609" s="87">
        <v>598</v>
      </c>
      <c r="B609" s="5">
        <v>1.6458443496958353</v>
      </c>
      <c r="C609" s="24">
        <f t="shared" si="27"/>
        <v>400945.0521168487</v>
      </c>
      <c r="D609" s="24">
        <f t="shared" si="29"/>
        <v>295666.55499010865</v>
      </c>
      <c r="E609" s="24">
        <f t="shared" si="28"/>
        <v>0</v>
      </c>
    </row>
    <row r="610" spans="1:5">
      <c r="A610" s="87">
        <v>599</v>
      </c>
      <c r="B610" s="5">
        <v>1.4186161934048869</v>
      </c>
      <c r="C610" s="24">
        <f t="shared" si="27"/>
        <v>335018.16699062241</v>
      </c>
      <c r="D610" s="24">
        <f t="shared" si="29"/>
        <v>247050.47928699898</v>
      </c>
      <c r="E610" s="24">
        <f t="shared" si="28"/>
        <v>0</v>
      </c>
    </row>
    <row r="611" spans="1:5">
      <c r="A611" s="87">
        <v>600</v>
      </c>
      <c r="B611" s="5">
        <v>0.58908653954858892</v>
      </c>
      <c r="C611" s="24">
        <f t="shared" si="27"/>
        <v>173883.23086779672</v>
      </c>
      <c r="D611" s="24">
        <f t="shared" si="29"/>
        <v>128225.68970435423</v>
      </c>
      <c r="E611" s="24">
        <f t="shared" si="28"/>
        <v>0</v>
      </c>
    </row>
    <row r="612" spans="1:5">
      <c r="A612" s="87">
        <v>601</v>
      </c>
      <c r="B612" s="5">
        <v>-0.65623453338048421</v>
      </c>
      <c r="C612" s="24">
        <f t="shared" si="27"/>
        <v>64966.466371991039</v>
      </c>
      <c r="D612" s="24">
        <f t="shared" si="29"/>
        <v>47907.839741814205</v>
      </c>
      <c r="E612" s="24">
        <f t="shared" si="28"/>
        <v>52092.160258185795</v>
      </c>
    </row>
    <row r="613" spans="1:5">
      <c r="A613" s="87">
        <v>602</v>
      </c>
      <c r="B613" s="5">
        <v>-1.2393502402119339</v>
      </c>
      <c r="C613" s="24">
        <f t="shared" si="27"/>
        <v>40971.544597815715</v>
      </c>
      <c r="D613" s="24">
        <f t="shared" si="29"/>
        <v>30213.405502580867</v>
      </c>
      <c r="E613" s="24">
        <f t="shared" si="28"/>
        <v>69786.594497419137</v>
      </c>
    </row>
    <row r="614" spans="1:5">
      <c r="A614" s="87">
        <v>603</v>
      </c>
      <c r="B614" s="5">
        <v>1.4533634384861216</v>
      </c>
      <c r="C614" s="24">
        <f t="shared" si="27"/>
        <v>344348.72157025902</v>
      </c>
      <c r="D614" s="24">
        <f t="shared" si="29"/>
        <v>253931.05535133299</v>
      </c>
      <c r="E614" s="24">
        <f t="shared" si="28"/>
        <v>0</v>
      </c>
    </row>
    <row r="615" spans="1:5">
      <c r="A615" s="87">
        <v>604</v>
      </c>
      <c r="B615" s="5">
        <v>0.36778374123969115</v>
      </c>
      <c r="C615" s="24">
        <f t="shared" si="27"/>
        <v>145974.03496134764</v>
      </c>
      <c r="D615" s="24">
        <f t="shared" si="29"/>
        <v>107644.77528070151</v>
      </c>
      <c r="E615" s="24">
        <f t="shared" si="28"/>
        <v>0</v>
      </c>
    </row>
    <row r="616" spans="1:5">
      <c r="A616" s="87">
        <v>605</v>
      </c>
      <c r="B616" s="5">
        <v>0.19028448150493205</v>
      </c>
      <c r="C616" s="24">
        <f t="shared" si="27"/>
        <v>126862.43078994061</v>
      </c>
      <c r="D616" s="24">
        <f t="shared" si="29"/>
        <v>93551.417261040217</v>
      </c>
      <c r="E616" s="24">
        <f t="shared" si="28"/>
        <v>6448.5827389597835</v>
      </c>
    </row>
    <row r="617" spans="1:5">
      <c r="A617" s="87">
        <v>606</v>
      </c>
      <c r="B617" s="5">
        <v>-0.77299091572058387</v>
      </c>
      <c r="C617" s="24">
        <f t="shared" si="27"/>
        <v>59238.235889541415</v>
      </c>
      <c r="D617" s="24">
        <f t="shared" si="29"/>
        <v>43683.704379640876</v>
      </c>
      <c r="E617" s="24">
        <f t="shared" si="28"/>
        <v>56316.295620359124</v>
      </c>
    </row>
    <row r="618" spans="1:5">
      <c r="A618" s="87">
        <v>607</v>
      </c>
      <c r="B618" s="5">
        <v>-0.22507038011099212</v>
      </c>
      <c r="C618" s="24">
        <f t="shared" si="27"/>
        <v>91353.484558898388</v>
      </c>
      <c r="D618" s="24">
        <f t="shared" si="29"/>
        <v>67366.263589654947</v>
      </c>
      <c r="E618" s="24">
        <f t="shared" si="28"/>
        <v>32633.736410345053</v>
      </c>
    </row>
    <row r="619" spans="1:5">
      <c r="A619" s="87">
        <v>608</v>
      </c>
      <c r="B619" s="5">
        <v>0.33312971936538815</v>
      </c>
      <c r="C619" s="24">
        <f t="shared" si="27"/>
        <v>142029.15499032565</v>
      </c>
      <c r="D619" s="24">
        <f t="shared" si="29"/>
        <v>104735.72561236534</v>
      </c>
      <c r="E619" s="24">
        <f t="shared" si="28"/>
        <v>0</v>
      </c>
    </row>
    <row r="620" spans="1:5">
      <c r="A620" s="87">
        <v>609</v>
      </c>
      <c r="B620" s="5">
        <v>0.24299652068293653</v>
      </c>
      <c r="C620" s="24">
        <f t="shared" si="27"/>
        <v>132260.80956000558</v>
      </c>
      <c r="D620" s="24">
        <f t="shared" si="29"/>
        <v>97532.312012203489</v>
      </c>
      <c r="E620" s="24">
        <f t="shared" si="28"/>
        <v>2467.6879877965112</v>
      </c>
    </row>
    <row r="621" spans="1:5">
      <c r="A621" s="87">
        <v>610</v>
      </c>
      <c r="B621" s="5">
        <v>-0.47568846639478579</v>
      </c>
      <c r="C621" s="24">
        <f t="shared" si="27"/>
        <v>74933.828195949696</v>
      </c>
      <c r="D621" s="24">
        <f t="shared" si="29"/>
        <v>55258.012832292756</v>
      </c>
      <c r="E621" s="24">
        <f t="shared" si="28"/>
        <v>44741.987167707244</v>
      </c>
    </row>
    <row r="622" spans="1:5">
      <c r="A622" s="87">
        <v>611</v>
      </c>
      <c r="B622" s="5">
        <v>-0.43613340494630393</v>
      </c>
      <c r="C622" s="24">
        <f t="shared" si="27"/>
        <v>77314.108503810436</v>
      </c>
      <c r="D622" s="24">
        <f t="shared" si="29"/>
        <v>57013.288960082151</v>
      </c>
      <c r="E622" s="24">
        <f t="shared" si="28"/>
        <v>42986.711039917849</v>
      </c>
    </row>
    <row r="623" spans="1:5">
      <c r="A623" s="87">
        <v>612</v>
      </c>
      <c r="B623" s="5">
        <v>-0.9809673429117538</v>
      </c>
      <c r="C623" s="24">
        <f t="shared" si="27"/>
        <v>50256.877715168426</v>
      </c>
      <c r="D623" s="24">
        <f t="shared" si="29"/>
        <v>37060.634169573248</v>
      </c>
      <c r="E623" s="24">
        <f t="shared" si="28"/>
        <v>62939.365830426752</v>
      </c>
    </row>
    <row r="624" spans="1:5">
      <c r="A624" s="87">
        <v>613</v>
      </c>
      <c r="B624" s="5">
        <v>-0.4659455044020433</v>
      </c>
      <c r="C624" s="24">
        <f t="shared" si="27"/>
        <v>75513.233657839213</v>
      </c>
      <c r="D624" s="24">
        <f t="shared" si="29"/>
        <v>55685.280399144787</v>
      </c>
      <c r="E624" s="24">
        <f t="shared" si="28"/>
        <v>44314.719600855213</v>
      </c>
    </row>
    <row r="625" spans="1:5">
      <c r="A625" s="87">
        <v>614</v>
      </c>
      <c r="B625" s="5">
        <v>0.14768033906875644</v>
      </c>
      <c r="C625" s="24">
        <f t="shared" si="27"/>
        <v>122660.66789300782</v>
      </c>
      <c r="D625" s="24">
        <f t="shared" si="29"/>
        <v>90452.935925350044</v>
      </c>
      <c r="E625" s="24">
        <f t="shared" si="28"/>
        <v>9547.0640746499557</v>
      </c>
    </row>
    <row r="626" spans="1:5">
      <c r="A626" s="87">
        <v>615</v>
      </c>
      <c r="B626" s="5">
        <v>-0.82048700278392062</v>
      </c>
      <c r="C626" s="24">
        <f t="shared" si="27"/>
        <v>57055.144991826164</v>
      </c>
      <c r="D626" s="24">
        <f t="shared" si="29"/>
        <v>42073.840480460945</v>
      </c>
      <c r="E626" s="24">
        <f t="shared" si="28"/>
        <v>57926.159519539055</v>
      </c>
    </row>
    <row r="627" spans="1:5">
      <c r="A627" s="87">
        <v>616</v>
      </c>
      <c r="B627" s="5">
        <v>-0.82574615589692257</v>
      </c>
      <c r="C627" s="24">
        <f t="shared" si="27"/>
        <v>56818.417819204435</v>
      </c>
      <c r="D627" s="24">
        <f t="shared" si="29"/>
        <v>41899.27215187806</v>
      </c>
      <c r="E627" s="24">
        <f t="shared" si="28"/>
        <v>58100.72784812194</v>
      </c>
    </row>
    <row r="628" spans="1:5">
      <c r="A628" s="87">
        <v>617</v>
      </c>
      <c r="B628" s="5">
        <v>0.8906454240786843</v>
      </c>
      <c r="C628" s="24">
        <f t="shared" si="27"/>
        <v>220696.22708832918</v>
      </c>
      <c r="D628" s="24">
        <f t="shared" si="29"/>
        <v>162746.72256961596</v>
      </c>
      <c r="E628" s="24">
        <f t="shared" si="28"/>
        <v>0</v>
      </c>
    </row>
    <row r="629" spans="1:5">
      <c r="A629" s="87">
        <v>618</v>
      </c>
      <c r="B629" s="5">
        <v>-0.26044745027320459</v>
      </c>
      <c r="C629" s="24">
        <f t="shared" si="27"/>
        <v>88833.905656240095</v>
      </c>
      <c r="D629" s="24">
        <f t="shared" si="29"/>
        <v>65508.265317219273</v>
      </c>
      <c r="E629" s="24">
        <f t="shared" si="28"/>
        <v>34491.734682780727</v>
      </c>
    </row>
    <row r="630" spans="1:5">
      <c r="A630" s="87">
        <v>619</v>
      </c>
      <c r="B630" s="5">
        <v>-0.7021935743978247</v>
      </c>
      <c r="C630" s="24">
        <f t="shared" si="27"/>
        <v>62648.354913292722</v>
      </c>
      <c r="D630" s="24">
        <f t="shared" si="29"/>
        <v>46198.408423338471</v>
      </c>
      <c r="E630" s="24">
        <f t="shared" si="28"/>
        <v>53801.591576661529</v>
      </c>
    </row>
    <row r="631" spans="1:5">
      <c r="A631" s="87">
        <v>620</v>
      </c>
      <c r="B631" s="5">
        <v>1.55222096509533</v>
      </c>
      <c r="C631" s="24">
        <f t="shared" si="27"/>
        <v>372340.44347054558</v>
      </c>
      <c r="D631" s="24">
        <f t="shared" si="29"/>
        <v>274572.82643393741</v>
      </c>
      <c r="E631" s="24">
        <f t="shared" si="28"/>
        <v>0</v>
      </c>
    </row>
    <row r="632" spans="1:5">
      <c r="A632" s="87">
        <v>621</v>
      </c>
      <c r="B632" s="5">
        <v>0.25815324988798238</v>
      </c>
      <c r="C632" s="24">
        <f t="shared" si="27"/>
        <v>133855.1506172331</v>
      </c>
      <c r="D632" s="24">
        <f t="shared" si="29"/>
        <v>98708.017574302226</v>
      </c>
      <c r="E632" s="24">
        <f t="shared" si="28"/>
        <v>1291.9824256977736</v>
      </c>
    </row>
    <row r="633" spans="1:5">
      <c r="A633" s="87">
        <v>622</v>
      </c>
      <c r="B633" s="5">
        <v>-7.2293460107175633E-3</v>
      </c>
      <c r="C633" s="24">
        <f t="shared" si="27"/>
        <v>108522.21365157691</v>
      </c>
      <c r="D633" s="24">
        <f t="shared" si="29"/>
        <v>80026.898650718955</v>
      </c>
      <c r="E633" s="24">
        <f t="shared" si="28"/>
        <v>19973.101349281045</v>
      </c>
    </row>
    <row r="634" spans="1:5">
      <c r="A634" s="87">
        <v>623</v>
      </c>
      <c r="B634" s="5">
        <v>-0.82520728028612211</v>
      </c>
      <c r="C634" s="24">
        <f t="shared" si="27"/>
        <v>56842.628677449211</v>
      </c>
      <c r="D634" s="24">
        <f t="shared" si="29"/>
        <v>41917.125822880589</v>
      </c>
      <c r="E634" s="24">
        <f t="shared" si="28"/>
        <v>58082.874177119411</v>
      </c>
    </row>
    <row r="635" spans="1:5">
      <c r="A635" s="87">
        <v>624</v>
      </c>
      <c r="B635" s="5">
        <v>-0.5645119927066844</v>
      </c>
      <c r="C635" s="24">
        <f t="shared" si="27"/>
        <v>69852.387823021418</v>
      </c>
      <c r="D635" s="24">
        <f t="shared" si="29"/>
        <v>51510.836101917484</v>
      </c>
      <c r="E635" s="24">
        <f t="shared" si="28"/>
        <v>48489.163898082516</v>
      </c>
    </row>
    <row r="636" spans="1:5">
      <c r="A636" s="87">
        <v>625</v>
      </c>
      <c r="B636" s="5">
        <v>0.75995785664417781</v>
      </c>
      <c r="C636" s="24">
        <f t="shared" si="27"/>
        <v>199032.79779249354</v>
      </c>
      <c r="D636" s="24">
        <f t="shared" si="29"/>
        <v>146771.58713558436</v>
      </c>
      <c r="E636" s="24">
        <f t="shared" si="28"/>
        <v>0</v>
      </c>
    </row>
    <row r="637" spans="1:5">
      <c r="A637" s="87">
        <v>626</v>
      </c>
      <c r="B637" s="5">
        <v>0.15069645087351091</v>
      </c>
      <c r="C637" s="24">
        <f t="shared" si="27"/>
        <v>122953.49457659607</v>
      </c>
      <c r="D637" s="24">
        <f t="shared" si="29"/>
        <v>90668.873386826643</v>
      </c>
      <c r="E637" s="24">
        <f t="shared" si="28"/>
        <v>9331.1266131733573</v>
      </c>
    </row>
    <row r="638" spans="1:5">
      <c r="A638" s="87">
        <v>627</v>
      </c>
      <c r="B638" s="5">
        <v>0.18094510778610129</v>
      </c>
      <c r="C638" s="24">
        <f t="shared" si="27"/>
        <v>125929.20122697212</v>
      </c>
      <c r="D638" s="24">
        <f t="shared" si="29"/>
        <v>92863.231265375638</v>
      </c>
      <c r="E638" s="24">
        <f t="shared" si="28"/>
        <v>7136.768734624362</v>
      </c>
    </row>
    <row r="639" spans="1:5">
      <c r="A639" s="87">
        <v>628</v>
      </c>
      <c r="B639" s="5">
        <v>0.18934997569886036</v>
      </c>
      <c r="C639" s="24">
        <f t="shared" si="27"/>
        <v>126768.74049102745</v>
      </c>
      <c r="D639" s="24">
        <f t="shared" si="29"/>
        <v>93482.327774165649</v>
      </c>
      <c r="E639" s="24">
        <f t="shared" si="28"/>
        <v>6517.6722258343507</v>
      </c>
    </row>
    <row r="640" spans="1:5">
      <c r="A640" s="87">
        <v>629</v>
      </c>
      <c r="B640" s="5">
        <v>0.17340767044515815</v>
      </c>
      <c r="C640" s="24">
        <f t="shared" si="27"/>
        <v>125181.03713050773</v>
      </c>
      <c r="D640" s="24">
        <f t="shared" si="29"/>
        <v>92311.517009766249</v>
      </c>
      <c r="E640" s="24">
        <f t="shared" si="28"/>
        <v>7688.4829902337515</v>
      </c>
    </row>
    <row r="641" spans="1:5">
      <c r="A641" s="87">
        <v>630</v>
      </c>
      <c r="B641" s="5">
        <v>0.56729618336248677</v>
      </c>
      <c r="C641" s="24">
        <f t="shared" si="27"/>
        <v>170913.43458447358</v>
      </c>
      <c r="D641" s="24">
        <f t="shared" si="29"/>
        <v>126035.69027306886</v>
      </c>
      <c r="E641" s="24">
        <f t="shared" si="28"/>
        <v>0</v>
      </c>
    </row>
    <row r="642" spans="1:5">
      <c r="A642" s="87">
        <v>631</v>
      </c>
      <c r="B642" s="5">
        <v>2.076549208140932</v>
      </c>
      <c r="C642" s="24">
        <f t="shared" si="27"/>
        <v>563589.6855096973</v>
      </c>
      <c r="D642" s="24">
        <f t="shared" si="29"/>
        <v>415604.63176397572</v>
      </c>
      <c r="E642" s="24">
        <f t="shared" si="28"/>
        <v>0</v>
      </c>
    </row>
    <row r="643" spans="1:5">
      <c r="A643" s="87">
        <v>632</v>
      </c>
      <c r="B643" s="5">
        <v>-0.48564857024757657</v>
      </c>
      <c r="C643" s="24">
        <f t="shared" si="27"/>
        <v>74346.104681399534</v>
      </c>
      <c r="D643" s="24">
        <f t="shared" si="29"/>
        <v>54824.611332719986</v>
      </c>
      <c r="E643" s="24">
        <f t="shared" si="28"/>
        <v>45175.388667280014</v>
      </c>
    </row>
    <row r="644" spans="1:5">
      <c r="A644" s="87">
        <v>633</v>
      </c>
      <c r="B644" s="5">
        <v>0.49721506911737379</v>
      </c>
      <c r="C644" s="24">
        <f t="shared" si="27"/>
        <v>161701.68908615498</v>
      </c>
      <c r="D644" s="24">
        <f t="shared" si="29"/>
        <v>119242.72689179298</v>
      </c>
      <c r="E644" s="24">
        <f t="shared" si="28"/>
        <v>0</v>
      </c>
    </row>
    <row r="645" spans="1:5">
      <c r="A645" s="87">
        <v>634</v>
      </c>
      <c r="B645" s="5">
        <v>0.33013975553330965</v>
      </c>
      <c r="C645" s="24">
        <f t="shared" si="27"/>
        <v>141693.82664885771</v>
      </c>
      <c r="D645" s="24">
        <f t="shared" si="29"/>
        <v>104488.44640293521</v>
      </c>
      <c r="E645" s="24">
        <f t="shared" si="28"/>
        <v>0</v>
      </c>
    </row>
    <row r="646" spans="1:5">
      <c r="A646" s="87">
        <v>635</v>
      </c>
      <c r="B646" s="5">
        <v>6.4341065808548592E-2</v>
      </c>
      <c r="C646" s="24">
        <f t="shared" si="27"/>
        <v>114839.58766710899</v>
      </c>
      <c r="D646" s="24">
        <f t="shared" si="29"/>
        <v>84685.482668391414</v>
      </c>
      <c r="E646" s="24">
        <f t="shared" si="28"/>
        <v>15314.517331608586</v>
      </c>
    </row>
    <row r="647" spans="1:5">
      <c r="A647" s="87">
        <v>636</v>
      </c>
      <c r="B647" s="5">
        <v>-0.16673311620252207</v>
      </c>
      <c r="C647" s="24">
        <f t="shared" si="27"/>
        <v>95665.342338460949</v>
      </c>
      <c r="D647" s="24">
        <f t="shared" si="29"/>
        <v>70545.931548043969</v>
      </c>
      <c r="E647" s="24">
        <f t="shared" si="28"/>
        <v>29454.068451956031</v>
      </c>
    </row>
    <row r="648" spans="1:5">
      <c r="A648" s="87">
        <v>637</v>
      </c>
      <c r="B648" s="5">
        <v>-0.80357267506769858</v>
      </c>
      <c r="C648" s="24">
        <f t="shared" si="27"/>
        <v>57823.207348616503</v>
      </c>
      <c r="D648" s="24">
        <f t="shared" si="29"/>
        <v>42640.228193317918</v>
      </c>
      <c r="E648" s="24">
        <f t="shared" si="28"/>
        <v>57359.771806682082</v>
      </c>
    </row>
    <row r="649" spans="1:5">
      <c r="A649" s="87">
        <v>638</v>
      </c>
      <c r="B649" s="5">
        <v>2.8618524083867669</v>
      </c>
      <c r="C649" s="24">
        <f t="shared" si="27"/>
        <v>1048549.6162791083</v>
      </c>
      <c r="D649" s="24">
        <f t="shared" si="29"/>
        <v>773225.78529063344</v>
      </c>
      <c r="E649" s="24">
        <f t="shared" si="28"/>
        <v>0</v>
      </c>
    </row>
    <row r="650" spans="1:5">
      <c r="A650" s="87">
        <v>639</v>
      </c>
      <c r="B650" s="5">
        <v>1.3698922884941567</v>
      </c>
      <c r="C650" s="24">
        <f t="shared" si="27"/>
        <v>322358.77429847355</v>
      </c>
      <c r="D650" s="24">
        <f t="shared" si="29"/>
        <v>237715.13768397109</v>
      </c>
      <c r="E650" s="24">
        <f t="shared" si="28"/>
        <v>0</v>
      </c>
    </row>
    <row r="651" spans="1:5">
      <c r="A651" s="87">
        <v>640</v>
      </c>
      <c r="B651" s="5">
        <v>1.5042724044178613</v>
      </c>
      <c r="C651" s="24">
        <f t="shared" si="27"/>
        <v>358490.42128509271</v>
      </c>
      <c r="D651" s="24">
        <f t="shared" si="29"/>
        <v>264359.48591635446</v>
      </c>
      <c r="E651" s="24">
        <f t="shared" si="28"/>
        <v>0</v>
      </c>
    </row>
    <row r="652" spans="1:5">
      <c r="A652" s="87">
        <v>641</v>
      </c>
      <c r="B652" s="5">
        <v>-0.64602090787957422</v>
      </c>
      <c r="C652" s="24">
        <f t="shared" ref="C652:C715" si="30">B$6*EXP(B652*B$5*SQRT(10)+10*(B$4-(B$5^2)/2))</f>
        <v>65493.166878970434</v>
      </c>
      <c r="D652" s="24">
        <f t="shared" si="29"/>
        <v>48296.241403308602</v>
      </c>
      <c r="E652" s="24">
        <f t="shared" ref="E652:E715" si="31">MAX(B$6-D652,0)</f>
        <v>51703.758596691398</v>
      </c>
    </row>
    <row r="653" spans="1:5">
      <c r="A653" s="87">
        <v>642</v>
      </c>
      <c r="B653" s="5">
        <v>0.15588284441037104</v>
      </c>
      <c r="C653" s="24">
        <f t="shared" si="30"/>
        <v>123458.66394075751</v>
      </c>
      <c r="D653" s="24">
        <f t="shared" ref="D653:D716" si="32">C653*(0.97^10)</f>
        <v>91041.397464127469</v>
      </c>
      <c r="E653" s="24">
        <f t="shared" si="31"/>
        <v>8958.602535872531</v>
      </c>
    </row>
    <row r="654" spans="1:5">
      <c r="A654" s="87">
        <v>643</v>
      </c>
      <c r="B654" s="5">
        <v>-1.8146238289773464</v>
      </c>
      <c r="C654" s="24">
        <f t="shared" si="30"/>
        <v>25999.676275249451</v>
      </c>
      <c r="D654" s="24">
        <f t="shared" si="32"/>
        <v>19172.788576826606</v>
      </c>
      <c r="E654" s="24">
        <f t="shared" si="31"/>
        <v>80827.211423173401</v>
      </c>
    </row>
    <row r="655" spans="1:5">
      <c r="A655" s="87">
        <v>644</v>
      </c>
      <c r="B655" s="5">
        <v>-0.47423213800357189</v>
      </c>
      <c r="C655" s="24">
        <f t="shared" si="30"/>
        <v>75020.151345403458</v>
      </c>
      <c r="D655" s="24">
        <f t="shared" si="32"/>
        <v>55321.669605409515</v>
      </c>
      <c r="E655" s="24">
        <f t="shared" si="31"/>
        <v>44678.330394590485</v>
      </c>
    </row>
    <row r="656" spans="1:5">
      <c r="A656" s="87">
        <v>645</v>
      </c>
      <c r="B656" s="5">
        <v>-0.44236685425858013</v>
      </c>
      <c r="C656" s="24">
        <f t="shared" si="30"/>
        <v>76934.043801871405</v>
      </c>
      <c r="D656" s="24">
        <f t="shared" si="32"/>
        <v>56733.020079091184</v>
      </c>
      <c r="E656" s="24">
        <f t="shared" si="31"/>
        <v>43266.979920908816</v>
      </c>
    </row>
    <row r="657" spans="1:5">
      <c r="A657" s="87">
        <v>646</v>
      </c>
      <c r="B657" s="5">
        <v>-0.46381501306314021</v>
      </c>
      <c r="C657" s="24">
        <f t="shared" si="30"/>
        <v>75640.527865624332</v>
      </c>
      <c r="D657" s="24">
        <f t="shared" si="32"/>
        <v>55779.150219179508</v>
      </c>
      <c r="E657" s="24">
        <f t="shared" si="31"/>
        <v>44220.849780820492</v>
      </c>
    </row>
    <row r="658" spans="1:5">
      <c r="A658" s="87">
        <v>647</v>
      </c>
      <c r="B658" s="5">
        <v>1.5881732906564139</v>
      </c>
      <c r="C658" s="24">
        <f t="shared" si="30"/>
        <v>383075.2386188599</v>
      </c>
      <c r="D658" s="24">
        <f t="shared" si="32"/>
        <v>282488.92337357905</v>
      </c>
      <c r="E658" s="24">
        <f t="shared" si="31"/>
        <v>0</v>
      </c>
    </row>
    <row r="659" spans="1:5">
      <c r="A659" s="87">
        <v>648</v>
      </c>
      <c r="B659" s="5">
        <v>0.64658706833142787</v>
      </c>
      <c r="C659" s="24">
        <f t="shared" si="30"/>
        <v>181970.05605541222</v>
      </c>
      <c r="D659" s="24">
        <f t="shared" si="32"/>
        <v>134189.1097076835</v>
      </c>
      <c r="E659" s="24">
        <f t="shared" si="31"/>
        <v>0</v>
      </c>
    </row>
    <row r="660" spans="1:5">
      <c r="A660" s="87">
        <v>649</v>
      </c>
      <c r="B660" s="5">
        <v>-7.8837274486431852E-2</v>
      </c>
      <c r="C660" s="24">
        <f t="shared" si="30"/>
        <v>102549.31942871673</v>
      </c>
      <c r="D660" s="24">
        <f t="shared" si="32"/>
        <v>75622.342343390526</v>
      </c>
      <c r="E660" s="24">
        <f t="shared" si="31"/>
        <v>24377.657656609474</v>
      </c>
    </row>
    <row r="661" spans="1:5">
      <c r="A661" s="87">
        <v>650</v>
      </c>
      <c r="B661" s="5">
        <v>-1.3381350072450005</v>
      </c>
      <c r="C661" s="24">
        <f t="shared" si="30"/>
        <v>37893.575129279336</v>
      </c>
      <c r="D661" s="24">
        <f t="shared" si="32"/>
        <v>27943.636554636181</v>
      </c>
      <c r="E661" s="24">
        <f t="shared" si="31"/>
        <v>72056.363445363822</v>
      </c>
    </row>
    <row r="662" spans="1:5">
      <c r="A662" s="87">
        <v>651</v>
      </c>
      <c r="B662" s="5">
        <v>0.94114739113138057</v>
      </c>
      <c r="C662" s="24">
        <f t="shared" si="30"/>
        <v>229685.85522657895</v>
      </c>
      <c r="D662" s="24">
        <f t="shared" si="32"/>
        <v>169375.89125057487</v>
      </c>
      <c r="E662" s="24">
        <f t="shared" si="31"/>
        <v>0</v>
      </c>
    </row>
    <row r="663" spans="1:5">
      <c r="A663" s="87">
        <v>652</v>
      </c>
      <c r="B663" s="5">
        <v>-0.62179879023460671</v>
      </c>
      <c r="C663" s="24">
        <f t="shared" si="30"/>
        <v>66759.397915958776</v>
      </c>
      <c r="D663" s="24">
        <f t="shared" si="32"/>
        <v>49229.990720206988</v>
      </c>
      <c r="E663" s="24">
        <f t="shared" si="31"/>
        <v>50770.009279793012</v>
      </c>
    </row>
    <row r="664" spans="1:5">
      <c r="A664" s="87">
        <v>653</v>
      </c>
      <c r="B664" s="5">
        <v>-1.103701379179256</v>
      </c>
      <c r="C664" s="24">
        <f t="shared" si="30"/>
        <v>45609.573162891378</v>
      </c>
      <c r="D664" s="24">
        <f t="shared" si="32"/>
        <v>33633.599667695526</v>
      </c>
      <c r="E664" s="24">
        <f t="shared" si="31"/>
        <v>66366.400332304474</v>
      </c>
    </row>
    <row r="665" spans="1:5">
      <c r="A665" s="87">
        <v>654</v>
      </c>
      <c r="B665" s="5">
        <v>-1.5906061889836565</v>
      </c>
      <c r="C665" s="24">
        <f t="shared" si="30"/>
        <v>31037.17195915382</v>
      </c>
      <c r="D665" s="24">
        <f t="shared" si="32"/>
        <v>22887.559433266753</v>
      </c>
      <c r="E665" s="24">
        <f t="shared" si="31"/>
        <v>77112.440566733247</v>
      </c>
    </row>
    <row r="666" spans="1:5">
      <c r="A666" s="87">
        <v>655</v>
      </c>
      <c r="B666" s="5">
        <v>1.60264789883513</v>
      </c>
      <c r="C666" s="24">
        <f t="shared" si="30"/>
        <v>387484.01560408575</v>
      </c>
      <c r="D666" s="24">
        <f t="shared" si="32"/>
        <v>285740.06189258368</v>
      </c>
      <c r="E666" s="24">
        <f t="shared" si="31"/>
        <v>0</v>
      </c>
    </row>
    <row r="667" spans="1:5">
      <c r="A667" s="87">
        <v>656</v>
      </c>
      <c r="B667" s="5">
        <v>-1.0774965630844235</v>
      </c>
      <c r="C667" s="24">
        <f t="shared" si="30"/>
        <v>46564.30955917971</v>
      </c>
      <c r="D667" s="24">
        <f t="shared" si="32"/>
        <v>34337.64532114326</v>
      </c>
      <c r="E667" s="24">
        <f t="shared" si="31"/>
        <v>65662.354678856733</v>
      </c>
    </row>
    <row r="668" spans="1:5">
      <c r="A668" s="87">
        <v>657</v>
      </c>
      <c r="B668" s="5">
        <v>2.8758950065821409</v>
      </c>
      <c r="C668" s="24">
        <f t="shared" si="30"/>
        <v>1060255.1005670333</v>
      </c>
      <c r="D668" s="24">
        <f t="shared" si="32"/>
        <v>781857.69182153884</v>
      </c>
      <c r="E668" s="24">
        <f t="shared" si="31"/>
        <v>0</v>
      </c>
    </row>
    <row r="669" spans="1:5">
      <c r="A669" s="87">
        <v>658</v>
      </c>
      <c r="B669" s="5">
        <v>-1.6027570381993428E-2</v>
      </c>
      <c r="C669" s="24">
        <f t="shared" si="30"/>
        <v>107769.99487423395</v>
      </c>
      <c r="D669" s="24">
        <f t="shared" si="32"/>
        <v>79472.194375602863</v>
      </c>
      <c r="E669" s="24">
        <f t="shared" si="31"/>
        <v>20527.805624397137</v>
      </c>
    </row>
    <row r="670" spans="1:5">
      <c r="A670" s="87">
        <v>659</v>
      </c>
      <c r="B670" s="5">
        <v>-1.1969405022682622</v>
      </c>
      <c r="C670" s="24">
        <f t="shared" si="30"/>
        <v>42368.519983754108</v>
      </c>
      <c r="D670" s="24">
        <f t="shared" si="32"/>
        <v>31243.56885685019</v>
      </c>
      <c r="E670" s="24">
        <f t="shared" si="31"/>
        <v>68756.431143149806</v>
      </c>
    </row>
    <row r="671" spans="1:5">
      <c r="A671" s="87">
        <v>660</v>
      </c>
      <c r="B671" s="5">
        <v>-3.4086724554072134E-2</v>
      </c>
      <c r="C671" s="24">
        <f t="shared" si="30"/>
        <v>106242.29251060939</v>
      </c>
      <c r="D671" s="24">
        <f t="shared" si="32"/>
        <v>78345.629793951695</v>
      </c>
      <c r="E671" s="24">
        <f t="shared" si="31"/>
        <v>21654.370206048305</v>
      </c>
    </row>
    <row r="672" spans="1:5">
      <c r="A672" s="87">
        <v>661</v>
      </c>
      <c r="B672" s="5">
        <v>-7.1165686676977202E-2</v>
      </c>
      <c r="C672" s="24">
        <f t="shared" si="30"/>
        <v>103173.16299189221</v>
      </c>
      <c r="D672" s="24">
        <f t="shared" si="32"/>
        <v>76082.379638284227</v>
      </c>
      <c r="E672" s="24">
        <f t="shared" si="31"/>
        <v>23917.620361715773</v>
      </c>
    </row>
    <row r="673" spans="1:5">
      <c r="A673" s="87">
        <v>662</v>
      </c>
      <c r="B673" s="5">
        <v>-0.52590166887966916</v>
      </c>
      <c r="C673" s="24">
        <f t="shared" si="30"/>
        <v>72017.447154574271</v>
      </c>
      <c r="D673" s="24">
        <f t="shared" si="32"/>
        <v>53107.403089163563</v>
      </c>
      <c r="E673" s="24">
        <f t="shared" si="31"/>
        <v>46892.596910836437</v>
      </c>
    </row>
    <row r="674" spans="1:5">
      <c r="A674" s="87">
        <v>663</v>
      </c>
      <c r="B674" s="5">
        <v>0.63774905356694944</v>
      </c>
      <c r="C674" s="24">
        <f t="shared" si="30"/>
        <v>180703.05107514307</v>
      </c>
      <c r="D674" s="24">
        <f t="shared" si="32"/>
        <v>133254.78966633699</v>
      </c>
      <c r="E674" s="24">
        <f t="shared" si="31"/>
        <v>0</v>
      </c>
    </row>
    <row r="675" spans="1:5">
      <c r="A675" s="87">
        <v>664</v>
      </c>
      <c r="B675" s="5">
        <v>-0.42195893001917284</v>
      </c>
      <c r="C675" s="24">
        <f t="shared" si="30"/>
        <v>78185.355603043179</v>
      </c>
      <c r="D675" s="24">
        <f t="shared" si="32"/>
        <v>57655.767591543598</v>
      </c>
      <c r="E675" s="24">
        <f t="shared" si="31"/>
        <v>42344.232408456402</v>
      </c>
    </row>
    <row r="676" spans="1:5">
      <c r="A676" s="87">
        <v>665</v>
      </c>
      <c r="B676" s="5">
        <v>-0.6598429536097683</v>
      </c>
      <c r="C676" s="24">
        <f t="shared" si="30"/>
        <v>64781.4001953154</v>
      </c>
      <c r="D676" s="24">
        <f t="shared" si="32"/>
        <v>47771.367478061387</v>
      </c>
      <c r="E676" s="24">
        <f t="shared" si="31"/>
        <v>52228.632521938613</v>
      </c>
    </row>
    <row r="677" spans="1:5">
      <c r="A677" s="87">
        <v>666</v>
      </c>
      <c r="B677" s="5">
        <v>-2.2989752324065194E-2</v>
      </c>
      <c r="C677" s="24">
        <f t="shared" si="30"/>
        <v>107178.44878164389</v>
      </c>
      <c r="D677" s="24">
        <f t="shared" si="32"/>
        <v>79035.974014756532</v>
      </c>
      <c r="E677" s="24">
        <f t="shared" si="31"/>
        <v>20964.025985243468</v>
      </c>
    </row>
    <row r="678" spans="1:5">
      <c r="A678" s="87">
        <v>667</v>
      </c>
      <c r="B678" s="5">
        <v>1.4020724847796373</v>
      </c>
      <c r="C678" s="24">
        <f t="shared" si="30"/>
        <v>330665.01053018111</v>
      </c>
      <c r="D678" s="24">
        <f t="shared" si="32"/>
        <v>243840.35668492105</v>
      </c>
      <c r="E678" s="24">
        <f t="shared" si="31"/>
        <v>0</v>
      </c>
    </row>
    <row r="679" spans="1:5">
      <c r="A679" s="87">
        <v>668</v>
      </c>
      <c r="B679" s="5">
        <v>-0.26591123969410546</v>
      </c>
      <c r="C679" s="24">
        <f t="shared" si="30"/>
        <v>88451.01471874486</v>
      </c>
      <c r="D679" s="24">
        <f t="shared" si="32"/>
        <v>65225.912301940873</v>
      </c>
      <c r="E679" s="24">
        <f t="shared" si="31"/>
        <v>34774.087698059127</v>
      </c>
    </row>
    <row r="680" spans="1:5">
      <c r="A680" s="87">
        <v>669</v>
      </c>
      <c r="B680" s="5">
        <v>0.42087208385055419</v>
      </c>
      <c r="C680" s="24">
        <f t="shared" si="30"/>
        <v>152230.95114426361</v>
      </c>
      <c r="D680" s="24">
        <f t="shared" si="32"/>
        <v>112258.77623394306</v>
      </c>
      <c r="E680" s="24">
        <f t="shared" si="31"/>
        <v>0</v>
      </c>
    </row>
    <row r="681" spans="1:5">
      <c r="A681" s="87">
        <v>670</v>
      </c>
      <c r="B681" s="5">
        <v>-0.42580836634442676</v>
      </c>
      <c r="C681" s="24">
        <f t="shared" si="30"/>
        <v>77947.779967547191</v>
      </c>
      <c r="D681" s="24">
        <f t="shared" si="32"/>
        <v>57480.573585966464</v>
      </c>
      <c r="E681" s="24">
        <f t="shared" si="31"/>
        <v>42519.426414033536</v>
      </c>
    </row>
    <row r="682" spans="1:5">
      <c r="A682" s="87">
        <v>671</v>
      </c>
      <c r="B682" s="5">
        <v>0.55788632380426861</v>
      </c>
      <c r="C682" s="24">
        <f t="shared" si="30"/>
        <v>169646.70193898067</v>
      </c>
      <c r="D682" s="24">
        <f t="shared" si="32"/>
        <v>125101.57105795694</v>
      </c>
      <c r="E682" s="24">
        <f t="shared" si="31"/>
        <v>0</v>
      </c>
    </row>
    <row r="683" spans="1:5">
      <c r="A683" s="87">
        <v>672</v>
      </c>
      <c r="B683" s="5">
        <v>-0.13809653864882421</v>
      </c>
      <c r="C683" s="24">
        <f t="shared" si="30"/>
        <v>97855.831286865898</v>
      </c>
      <c r="D683" s="24">
        <f t="shared" si="32"/>
        <v>72161.250948294488</v>
      </c>
      <c r="E683" s="24">
        <f t="shared" si="31"/>
        <v>27838.749051705512</v>
      </c>
    </row>
    <row r="684" spans="1:5">
      <c r="A684" s="87">
        <v>673</v>
      </c>
      <c r="B684" s="5">
        <v>-1.8202081264462322</v>
      </c>
      <c r="C684" s="24">
        <f t="shared" si="30"/>
        <v>25885.14655752539</v>
      </c>
      <c r="D684" s="24">
        <f t="shared" si="32"/>
        <v>19088.331599730416</v>
      </c>
      <c r="E684" s="24">
        <f t="shared" si="31"/>
        <v>80911.668400269584</v>
      </c>
    </row>
    <row r="685" spans="1:5">
      <c r="A685" s="87">
        <v>674</v>
      </c>
      <c r="B685" s="5">
        <v>-0.63859374677122105</v>
      </c>
      <c r="C685" s="24">
        <f t="shared" si="30"/>
        <v>65878.853424192712</v>
      </c>
      <c r="D685" s="24">
        <f t="shared" si="32"/>
        <v>48580.655967174258</v>
      </c>
      <c r="E685" s="24">
        <f t="shared" si="31"/>
        <v>51419.344032825742</v>
      </c>
    </row>
    <row r="686" spans="1:5">
      <c r="A686" s="87">
        <v>675</v>
      </c>
      <c r="B686" s="5">
        <v>-3.1816307455301285</v>
      </c>
      <c r="C686" s="24">
        <f t="shared" si="30"/>
        <v>8823.0730580460331</v>
      </c>
      <c r="D686" s="24">
        <f t="shared" si="32"/>
        <v>6506.3469463597603</v>
      </c>
      <c r="E686" s="24">
        <f t="shared" si="31"/>
        <v>93493.653053640242</v>
      </c>
    </row>
    <row r="687" spans="1:5">
      <c r="A687" s="87">
        <v>676</v>
      </c>
      <c r="B687" s="5">
        <v>0.85448846220970154</v>
      </c>
      <c r="C687" s="24">
        <f t="shared" si="30"/>
        <v>214477.02642479455</v>
      </c>
      <c r="D687" s="24">
        <f t="shared" si="32"/>
        <v>158160.53395032455</v>
      </c>
      <c r="E687" s="24">
        <f t="shared" si="31"/>
        <v>0</v>
      </c>
    </row>
    <row r="688" spans="1:5">
      <c r="A688" s="87">
        <v>677</v>
      </c>
      <c r="B688" s="5">
        <v>2.187753125326708</v>
      </c>
      <c r="C688" s="24">
        <f t="shared" si="30"/>
        <v>615380.57314171013</v>
      </c>
      <c r="D688" s="24">
        <f t="shared" si="32"/>
        <v>453796.48185712611</v>
      </c>
      <c r="E688" s="24">
        <f t="shared" si="31"/>
        <v>0</v>
      </c>
    </row>
    <row r="689" spans="1:5">
      <c r="A689" s="87">
        <v>678</v>
      </c>
      <c r="B689" s="5">
        <v>-0.79819528764346614</v>
      </c>
      <c r="C689" s="24">
        <f t="shared" si="30"/>
        <v>58069.548505326486</v>
      </c>
      <c r="D689" s="24">
        <f t="shared" si="32"/>
        <v>42821.886105723068</v>
      </c>
      <c r="E689" s="24">
        <f t="shared" si="31"/>
        <v>57178.113894276932</v>
      </c>
    </row>
    <row r="690" spans="1:5">
      <c r="A690" s="87">
        <v>679</v>
      </c>
      <c r="B690" s="5">
        <v>-1.404737304255832</v>
      </c>
      <c r="C690" s="24">
        <f t="shared" si="30"/>
        <v>35949.955167059525</v>
      </c>
      <c r="D690" s="24">
        <f t="shared" si="32"/>
        <v>26510.364300980684</v>
      </c>
      <c r="E690" s="24">
        <f t="shared" si="31"/>
        <v>73489.635699019316</v>
      </c>
    </row>
    <row r="691" spans="1:5">
      <c r="A691" s="87">
        <v>680</v>
      </c>
      <c r="B691" s="5">
        <v>0.62216940932557918</v>
      </c>
      <c r="C691" s="24">
        <f t="shared" si="30"/>
        <v>178491.02002583689</v>
      </c>
      <c r="D691" s="24">
        <f t="shared" si="32"/>
        <v>131623.5846011379</v>
      </c>
      <c r="E691" s="24">
        <f t="shared" si="31"/>
        <v>0</v>
      </c>
    </row>
    <row r="692" spans="1:5">
      <c r="A692" s="87">
        <v>681</v>
      </c>
      <c r="B692" s="5">
        <v>0.86389491116278805</v>
      </c>
      <c r="C692" s="24">
        <f t="shared" si="30"/>
        <v>216077.91939288386</v>
      </c>
      <c r="D692" s="24">
        <f t="shared" si="32"/>
        <v>159341.07104957005</v>
      </c>
      <c r="E692" s="24">
        <f t="shared" si="31"/>
        <v>0</v>
      </c>
    </row>
    <row r="693" spans="1:5">
      <c r="A693" s="87">
        <v>682</v>
      </c>
      <c r="B693" s="5">
        <v>0.2269541710120393</v>
      </c>
      <c r="C693" s="24">
        <f t="shared" si="30"/>
        <v>130593.99193275359</v>
      </c>
      <c r="D693" s="24">
        <f t="shared" si="32"/>
        <v>96303.16047873412</v>
      </c>
      <c r="E693" s="24">
        <f t="shared" si="31"/>
        <v>3696.8395212658797</v>
      </c>
    </row>
    <row r="694" spans="1:5">
      <c r="A694" s="87">
        <v>683</v>
      </c>
      <c r="B694" s="5">
        <v>-0.16882722775335424</v>
      </c>
      <c r="C694" s="24">
        <f t="shared" si="30"/>
        <v>95507.095513746448</v>
      </c>
      <c r="D694" s="24">
        <f t="shared" si="32"/>
        <v>70429.236521494982</v>
      </c>
      <c r="E694" s="24">
        <f t="shared" si="31"/>
        <v>29570.763478505018</v>
      </c>
    </row>
    <row r="695" spans="1:5">
      <c r="A695" s="87">
        <v>684</v>
      </c>
      <c r="B695" s="5">
        <v>-0.79493929661111906</v>
      </c>
      <c r="C695" s="24">
        <f t="shared" si="30"/>
        <v>58219.217118291468</v>
      </c>
      <c r="D695" s="24">
        <f t="shared" si="32"/>
        <v>42932.255351962347</v>
      </c>
      <c r="E695" s="24">
        <f t="shared" si="31"/>
        <v>57067.744648037653</v>
      </c>
    </row>
    <row r="696" spans="1:5">
      <c r="A696" s="87">
        <v>685</v>
      </c>
      <c r="B696" s="5">
        <v>0.72628154157428071</v>
      </c>
      <c r="C696" s="24">
        <f t="shared" si="30"/>
        <v>193803.77138657062</v>
      </c>
      <c r="D696" s="24">
        <f t="shared" si="32"/>
        <v>142915.5769036861</v>
      </c>
      <c r="E696" s="24">
        <f t="shared" si="31"/>
        <v>0</v>
      </c>
    </row>
    <row r="697" spans="1:5">
      <c r="A697" s="87">
        <v>686</v>
      </c>
      <c r="B697" s="5">
        <v>-0.11396082300052512</v>
      </c>
      <c r="C697" s="24">
        <f t="shared" si="30"/>
        <v>99740.942018115791</v>
      </c>
      <c r="D697" s="24">
        <f t="shared" si="32"/>
        <v>73551.377083386702</v>
      </c>
      <c r="E697" s="24">
        <f t="shared" si="31"/>
        <v>26448.622916613298</v>
      </c>
    </row>
    <row r="698" spans="1:5">
      <c r="A698" s="87">
        <v>687</v>
      </c>
      <c r="B698" s="5">
        <v>0.71250838118430693</v>
      </c>
      <c r="C698" s="24">
        <f t="shared" si="30"/>
        <v>191704.95935502686</v>
      </c>
      <c r="D698" s="24">
        <f t="shared" si="32"/>
        <v>141367.86227380839</v>
      </c>
      <c r="E698" s="24">
        <f t="shared" si="31"/>
        <v>0</v>
      </c>
    </row>
    <row r="699" spans="1:5">
      <c r="A699" s="87">
        <v>688</v>
      </c>
      <c r="B699" s="5">
        <v>2.0772131392732263</v>
      </c>
      <c r="C699" s="24">
        <f t="shared" si="30"/>
        <v>563885.58216804022</v>
      </c>
      <c r="D699" s="24">
        <f t="shared" si="32"/>
        <v>415822.83309890534</v>
      </c>
      <c r="E699" s="24">
        <f t="shared" si="31"/>
        <v>0</v>
      </c>
    </row>
    <row r="700" spans="1:5">
      <c r="A700" s="87">
        <v>689</v>
      </c>
      <c r="B700" s="5">
        <v>0.31282070267479867</v>
      </c>
      <c r="C700" s="24">
        <f t="shared" si="30"/>
        <v>139766.988187137</v>
      </c>
      <c r="D700" s="24">
        <f t="shared" si="32"/>
        <v>103067.54923263325</v>
      </c>
      <c r="E700" s="24">
        <f t="shared" si="31"/>
        <v>0</v>
      </c>
    </row>
    <row r="701" spans="1:5">
      <c r="A701" s="87">
        <v>690</v>
      </c>
      <c r="B701" s="5">
        <v>-1.1090628504462074</v>
      </c>
      <c r="C701" s="24">
        <f t="shared" si="30"/>
        <v>45416.660861993347</v>
      </c>
      <c r="D701" s="24">
        <f t="shared" si="32"/>
        <v>33491.341482638498</v>
      </c>
      <c r="E701" s="24">
        <f t="shared" si="31"/>
        <v>66508.658517361502</v>
      </c>
    </row>
    <row r="702" spans="1:5">
      <c r="A702" s="87">
        <v>691</v>
      </c>
      <c r="B702" s="5">
        <v>0.81460939327371307</v>
      </c>
      <c r="C702" s="24">
        <f t="shared" si="30"/>
        <v>207820.65195143758</v>
      </c>
      <c r="D702" s="24">
        <f t="shared" si="32"/>
        <v>153251.96281602362</v>
      </c>
      <c r="E702" s="24">
        <f t="shared" si="31"/>
        <v>0</v>
      </c>
    </row>
    <row r="703" spans="1:5">
      <c r="A703" s="87">
        <v>692</v>
      </c>
      <c r="B703" s="5">
        <v>-0.69516318035311997</v>
      </c>
      <c r="C703" s="24">
        <f t="shared" si="30"/>
        <v>62997.524825621585</v>
      </c>
      <c r="D703" s="24">
        <f t="shared" si="32"/>
        <v>46455.894741075565</v>
      </c>
      <c r="E703" s="24">
        <f t="shared" si="31"/>
        <v>53544.105258924435</v>
      </c>
    </row>
    <row r="704" spans="1:5">
      <c r="A704" s="87">
        <v>693</v>
      </c>
      <c r="B704" s="5">
        <v>-1.256007635674905</v>
      </c>
      <c r="C704" s="24">
        <f t="shared" si="30"/>
        <v>40435.53445785091</v>
      </c>
      <c r="D704" s="24">
        <f t="shared" si="32"/>
        <v>29818.13869311049</v>
      </c>
      <c r="E704" s="24">
        <f t="shared" si="31"/>
        <v>70181.861306889507</v>
      </c>
    </row>
    <row r="705" spans="1:5">
      <c r="A705" s="87">
        <v>694</v>
      </c>
      <c r="B705" s="5">
        <v>1.2322880138526671</v>
      </c>
      <c r="C705" s="24">
        <f t="shared" si="30"/>
        <v>289130.86343100574</v>
      </c>
      <c r="D705" s="24">
        <f t="shared" si="32"/>
        <v>213212.07452398614</v>
      </c>
      <c r="E705" s="24">
        <f t="shared" si="31"/>
        <v>0</v>
      </c>
    </row>
    <row r="706" spans="1:5">
      <c r="A706" s="87">
        <v>695</v>
      </c>
      <c r="B706" s="5">
        <v>1.1899237506440841</v>
      </c>
      <c r="C706" s="24">
        <f t="shared" si="30"/>
        <v>279607.68885962112</v>
      </c>
      <c r="D706" s="24">
        <f t="shared" si="32"/>
        <v>206189.45583041484</v>
      </c>
      <c r="E706" s="24">
        <f t="shared" si="31"/>
        <v>0</v>
      </c>
    </row>
    <row r="707" spans="1:5">
      <c r="A707" s="87">
        <v>696</v>
      </c>
      <c r="B707" s="5">
        <v>1.9084200175711885</v>
      </c>
      <c r="C707" s="24">
        <f t="shared" si="30"/>
        <v>493443.65739037056</v>
      </c>
      <c r="D707" s="24">
        <f t="shared" si="32"/>
        <v>363877.25822293409</v>
      </c>
      <c r="E707" s="24">
        <f t="shared" si="31"/>
        <v>0</v>
      </c>
    </row>
    <row r="708" spans="1:5">
      <c r="A708" s="87">
        <v>697</v>
      </c>
      <c r="B708" s="5">
        <v>0.40089503272611182</v>
      </c>
      <c r="C708" s="24">
        <f t="shared" si="30"/>
        <v>149845.61601371612</v>
      </c>
      <c r="D708" s="24">
        <f t="shared" si="32"/>
        <v>110499.77255794728</v>
      </c>
      <c r="E708" s="24">
        <f t="shared" si="31"/>
        <v>0</v>
      </c>
    </row>
    <row r="709" spans="1:5">
      <c r="A709" s="87">
        <v>698</v>
      </c>
      <c r="B709" s="5">
        <v>0.91641823019017465</v>
      </c>
      <c r="C709" s="24">
        <f t="shared" si="30"/>
        <v>225239.07872006274</v>
      </c>
      <c r="D709" s="24">
        <f t="shared" si="32"/>
        <v>166096.73096776026</v>
      </c>
      <c r="E709" s="24">
        <f t="shared" si="31"/>
        <v>0</v>
      </c>
    </row>
    <row r="710" spans="1:5">
      <c r="A710" s="87">
        <v>699</v>
      </c>
      <c r="B710" s="5">
        <v>1.9451272237347439</v>
      </c>
      <c r="C710" s="24">
        <f t="shared" si="30"/>
        <v>507972.99028696178</v>
      </c>
      <c r="D710" s="24">
        <f t="shared" si="32"/>
        <v>374591.53884856863</v>
      </c>
      <c r="E710" s="24">
        <f t="shared" si="31"/>
        <v>0</v>
      </c>
    </row>
    <row r="711" spans="1:5">
      <c r="A711" s="87">
        <v>700</v>
      </c>
      <c r="B711" s="5">
        <v>-0.91096126197953708</v>
      </c>
      <c r="C711" s="24">
        <f t="shared" si="30"/>
        <v>53116.736875456438</v>
      </c>
      <c r="D711" s="24">
        <f t="shared" si="32"/>
        <v>39169.5633138911</v>
      </c>
      <c r="E711" s="24">
        <f t="shared" si="31"/>
        <v>60830.4366861089</v>
      </c>
    </row>
    <row r="712" spans="1:5">
      <c r="A712" s="87">
        <v>701</v>
      </c>
      <c r="B712" s="5">
        <v>-0.76712467489414848</v>
      </c>
      <c r="C712" s="24">
        <f t="shared" si="30"/>
        <v>59513.601346851152</v>
      </c>
      <c r="D712" s="24">
        <f t="shared" si="32"/>
        <v>43886.765511574537</v>
      </c>
      <c r="E712" s="24">
        <f t="shared" si="31"/>
        <v>56113.234488425463</v>
      </c>
    </row>
    <row r="713" spans="1:5">
      <c r="A713" s="87">
        <v>702</v>
      </c>
      <c r="B713" s="5">
        <v>0.2887281880248338</v>
      </c>
      <c r="C713" s="24">
        <f t="shared" si="30"/>
        <v>137130.06577980751</v>
      </c>
      <c r="D713" s="24">
        <f t="shared" si="32"/>
        <v>101123.01902871863</v>
      </c>
      <c r="E713" s="24">
        <f t="shared" si="31"/>
        <v>0</v>
      </c>
    </row>
    <row r="714" spans="1:5">
      <c r="A714" s="87">
        <v>703</v>
      </c>
      <c r="B714" s="5">
        <v>1.3136309462424833</v>
      </c>
      <c r="C714" s="24">
        <f t="shared" si="30"/>
        <v>308334.93232204538</v>
      </c>
      <c r="D714" s="24">
        <f t="shared" si="32"/>
        <v>227373.6182587911</v>
      </c>
      <c r="E714" s="24">
        <f t="shared" si="31"/>
        <v>0</v>
      </c>
    </row>
    <row r="715" spans="1:5">
      <c r="A715" s="87">
        <v>704</v>
      </c>
      <c r="B715" s="5">
        <v>-1.263281319552334</v>
      </c>
      <c r="C715" s="24">
        <f t="shared" si="30"/>
        <v>40203.683153263351</v>
      </c>
      <c r="D715" s="24">
        <f t="shared" si="32"/>
        <v>29647.165947255562</v>
      </c>
      <c r="E715" s="24">
        <f t="shared" si="31"/>
        <v>70352.834052744438</v>
      </c>
    </row>
    <row r="716" spans="1:5">
      <c r="A716" s="87">
        <v>705</v>
      </c>
      <c r="B716" s="5">
        <v>-0.37048607737233397</v>
      </c>
      <c r="C716" s="24">
        <f t="shared" ref="C716:C779" si="33">B$6*EXP(B716*B$5*SQRT(10)+10*(B$4-(B$5^2)/2))</f>
        <v>81432.56256421229</v>
      </c>
      <c r="D716" s="24">
        <f t="shared" si="32"/>
        <v>60050.336349730867</v>
      </c>
      <c r="E716" s="24">
        <f t="shared" ref="E716:E779" si="34">MAX(B$6-D716,0)</f>
        <v>39949.663650269133</v>
      </c>
    </row>
    <row r="717" spans="1:5">
      <c r="A717" s="87">
        <v>706</v>
      </c>
      <c r="B717" s="5">
        <v>-0.3465834197413642</v>
      </c>
      <c r="C717" s="24">
        <f t="shared" si="33"/>
        <v>82986.001303647528</v>
      </c>
      <c r="D717" s="24">
        <f t="shared" ref="D717:D780" si="35">C717*(0.97^10)</f>
        <v>61195.879555843654</v>
      </c>
      <c r="E717" s="24">
        <f t="shared" si="34"/>
        <v>38804.120444156346</v>
      </c>
    </row>
    <row r="718" spans="1:5">
      <c r="A718" s="87">
        <v>707</v>
      </c>
      <c r="B718" s="5">
        <v>0.34195750231447164</v>
      </c>
      <c r="C718" s="24">
        <f t="shared" si="33"/>
        <v>143023.83984418897</v>
      </c>
      <c r="D718" s="24">
        <f t="shared" si="35"/>
        <v>105469.2302222611</v>
      </c>
      <c r="E718" s="24">
        <f t="shared" si="34"/>
        <v>0</v>
      </c>
    </row>
    <row r="719" spans="1:5">
      <c r="A719" s="87">
        <v>708</v>
      </c>
      <c r="B719" s="5">
        <v>0.40537543100072071</v>
      </c>
      <c r="C719" s="24">
        <f t="shared" si="33"/>
        <v>150377.32016158217</v>
      </c>
      <c r="D719" s="24">
        <f t="shared" si="35"/>
        <v>110891.86402495381</v>
      </c>
      <c r="E719" s="24">
        <f t="shared" si="34"/>
        <v>0</v>
      </c>
    </row>
    <row r="720" spans="1:5">
      <c r="A720" s="87">
        <v>709</v>
      </c>
      <c r="B720" s="5">
        <v>-0.17387378647981677</v>
      </c>
      <c r="C720" s="24">
        <f t="shared" si="33"/>
        <v>95126.814254403187</v>
      </c>
      <c r="D720" s="24">
        <f t="shared" si="35"/>
        <v>70148.807945849287</v>
      </c>
      <c r="E720" s="24">
        <f t="shared" si="34"/>
        <v>29851.192054150713</v>
      </c>
    </row>
    <row r="721" spans="1:5">
      <c r="A721" s="87">
        <v>710</v>
      </c>
      <c r="B721" s="5">
        <v>-1.562771103635896</v>
      </c>
      <c r="C721" s="24">
        <f t="shared" si="33"/>
        <v>31727.732755056175</v>
      </c>
      <c r="D721" s="24">
        <f t="shared" si="35"/>
        <v>23396.795625252915</v>
      </c>
      <c r="E721" s="24">
        <f t="shared" si="34"/>
        <v>76603.204374747089</v>
      </c>
    </row>
    <row r="722" spans="1:5">
      <c r="A722" s="87">
        <v>711</v>
      </c>
      <c r="B722" s="5">
        <v>-0.29919192456873134</v>
      </c>
      <c r="C722" s="24">
        <f t="shared" si="33"/>
        <v>86154.155823105102</v>
      </c>
      <c r="D722" s="24">
        <f t="shared" si="35"/>
        <v>63532.153136222871</v>
      </c>
      <c r="E722" s="24">
        <f t="shared" si="34"/>
        <v>36467.846863777129</v>
      </c>
    </row>
    <row r="723" spans="1:5">
      <c r="A723" s="87">
        <v>712</v>
      </c>
      <c r="B723" s="5">
        <v>-1.1403085409256164</v>
      </c>
      <c r="C723" s="24">
        <f t="shared" si="33"/>
        <v>44308.526478153843</v>
      </c>
      <c r="D723" s="24">
        <f t="shared" si="35"/>
        <v>32674.176452153406</v>
      </c>
      <c r="E723" s="24">
        <f t="shared" si="34"/>
        <v>67325.823547846594</v>
      </c>
    </row>
    <row r="724" spans="1:5">
      <c r="A724" s="87">
        <v>713</v>
      </c>
      <c r="B724" s="5">
        <v>-0.71734802986611612</v>
      </c>
      <c r="C724" s="24">
        <f t="shared" si="33"/>
        <v>61902.265206622251</v>
      </c>
      <c r="D724" s="24">
        <f t="shared" si="35"/>
        <v>45648.223872811708</v>
      </c>
      <c r="E724" s="24">
        <f t="shared" si="34"/>
        <v>54351.776127188292</v>
      </c>
    </row>
    <row r="725" spans="1:5">
      <c r="A725" s="87">
        <v>714</v>
      </c>
      <c r="B725" s="5">
        <v>1.3665749065694399</v>
      </c>
      <c r="C725" s="24">
        <f t="shared" si="33"/>
        <v>321514.4571538879</v>
      </c>
      <c r="D725" s="24">
        <f t="shared" si="35"/>
        <v>237092.51785080257</v>
      </c>
      <c r="E725" s="24">
        <f t="shared" si="34"/>
        <v>0</v>
      </c>
    </row>
    <row r="726" spans="1:5">
      <c r="A726" s="87">
        <v>715</v>
      </c>
      <c r="B726" s="5">
        <v>-0.66279426391702145</v>
      </c>
      <c r="C726" s="24">
        <f t="shared" si="33"/>
        <v>64630.42741221594</v>
      </c>
      <c r="D726" s="24">
        <f t="shared" si="35"/>
        <v>47660.036505299373</v>
      </c>
      <c r="E726" s="24">
        <f t="shared" si="34"/>
        <v>52339.963494700627</v>
      </c>
    </row>
    <row r="727" spans="1:5">
      <c r="A727" s="87">
        <v>716</v>
      </c>
      <c r="B727" s="5">
        <v>-0.13130375009495765</v>
      </c>
      <c r="C727" s="24">
        <f t="shared" si="33"/>
        <v>98382.747370251207</v>
      </c>
      <c r="D727" s="24">
        <f t="shared" si="35"/>
        <v>72549.811581031783</v>
      </c>
      <c r="E727" s="24">
        <f t="shared" si="34"/>
        <v>27450.188418968217</v>
      </c>
    </row>
    <row r="728" spans="1:5">
      <c r="A728" s="87">
        <v>717</v>
      </c>
      <c r="B728" s="5">
        <v>0.63756260715308599</v>
      </c>
      <c r="C728" s="24">
        <f t="shared" si="33"/>
        <v>180676.41761933183</v>
      </c>
      <c r="D728" s="24">
        <f t="shared" si="35"/>
        <v>133235.14951343919</v>
      </c>
      <c r="E728" s="24">
        <f t="shared" si="34"/>
        <v>0</v>
      </c>
    </row>
    <row r="729" spans="1:5">
      <c r="A729" s="87">
        <v>718</v>
      </c>
      <c r="B729" s="5">
        <v>-0.78521907198592089</v>
      </c>
      <c r="C729" s="24">
        <f t="shared" si="33"/>
        <v>58668.326792451939</v>
      </c>
      <c r="D729" s="24">
        <f t="shared" si="35"/>
        <v>43263.439661310193</v>
      </c>
      <c r="E729" s="24">
        <f t="shared" si="34"/>
        <v>56736.560338689807</v>
      </c>
    </row>
    <row r="730" spans="1:5">
      <c r="A730" s="87">
        <v>719</v>
      </c>
      <c r="B730" s="5">
        <v>-0.42371539166197181</v>
      </c>
      <c r="C730" s="24">
        <f t="shared" si="33"/>
        <v>78076.862383319851</v>
      </c>
      <c r="D730" s="24">
        <f t="shared" si="35"/>
        <v>57575.762073715101</v>
      </c>
      <c r="E730" s="24">
        <f t="shared" si="34"/>
        <v>42424.237926284899</v>
      </c>
    </row>
    <row r="731" spans="1:5">
      <c r="A731" s="87">
        <v>720</v>
      </c>
      <c r="B731" s="5">
        <v>-2.2592939785681665</v>
      </c>
      <c r="C731" s="24">
        <f t="shared" si="33"/>
        <v>18293.420632873709</v>
      </c>
      <c r="D731" s="24">
        <f t="shared" si="35"/>
        <v>13490.009738118561</v>
      </c>
      <c r="E731" s="24">
        <f t="shared" si="34"/>
        <v>86509.990261881438</v>
      </c>
    </row>
    <row r="732" spans="1:5">
      <c r="A732" s="87">
        <v>721</v>
      </c>
      <c r="B732" s="5">
        <v>-0.55994405556702986</v>
      </c>
      <c r="C732" s="24">
        <f t="shared" si="33"/>
        <v>70105.099783957674</v>
      </c>
      <c r="D732" s="24">
        <f t="shared" si="35"/>
        <v>51697.19199906681</v>
      </c>
      <c r="E732" s="24">
        <f t="shared" si="34"/>
        <v>48302.80800093319</v>
      </c>
    </row>
    <row r="733" spans="1:5">
      <c r="A733" s="87">
        <v>722</v>
      </c>
      <c r="B733" s="5">
        <v>0.91293259174562991</v>
      </c>
      <c r="C733" s="24">
        <f t="shared" si="33"/>
        <v>224619.25549429224</v>
      </c>
      <c r="D733" s="24">
        <f t="shared" si="35"/>
        <v>165639.65836666725</v>
      </c>
      <c r="E733" s="24">
        <f t="shared" si="34"/>
        <v>0</v>
      </c>
    </row>
    <row r="734" spans="1:5">
      <c r="A734" s="87">
        <v>723</v>
      </c>
      <c r="B734" s="5">
        <v>0.97197244031121954</v>
      </c>
      <c r="C734" s="24">
        <f t="shared" si="33"/>
        <v>235351.90674630649</v>
      </c>
      <c r="D734" s="24">
        <f t="shared" si="35"/>
        <v>173554.17434545161</v>
      </c>
      <c r="E734" s="24">
        <f t="shared" si="34"/>
        <v>0</v>
      </c>
    </row>
    <row r="735" spans="1:5">
      <c r="A735" s="87">
        <v>724</v>
      </c>
      <c r="B735" s="5">
        <v>-0.25744157028384507</v>
      </c>
      <c r="C735" s="24">
        <f t="shared" si="33"/>
        <v>89045.257735186606</v>
      </c>
      <c r="D735" s="24">
        <f t="shared" si="35"/>
        <v>65664.121439503841</v>
      </c>
      <c r="E735" s="24">
        <f t="shared" si="34"/>
        <v>34335.878560496159</v>
      </c>
    </row>
    <row r="736" spans="1:5">
      <c r="A736" s="87">
        <v>725</v>
      </c>
      <c r="B736" s="5">
        <v>-1.5413434084621258</v>
      </c>
      <c r="C736" s="24">
        <f t="shared" si="33"/>
        <v>32269.781310737228</v>
      </c>
      <c r="D736" s="24">
        <f t="shared" si="35"/>
        <v>23796.515308160673</v>
      </c>
      <c r="E736" s="24">
        <f t="shared" si="34"/>
        <v>76203.48469183933</v>
      </c>
    </row>
    <row r="737" spans="1:5">
      <c r="A737" s="87">
        <v>726</v>
      </c>
      <c r="B737" s="5">
        <v>1.7225829651579261</v>
      </c>
      <c r="C737" s="24">
        <f t="shared" si="33"/>
        <v>426022.25773745577</v>
      </c>
      <c r="D737" s="24">
        <f t="shared" si="35"/>
        <v>314159.09144984937</v>
      </c>
      <c r="E737" s="24">
        <f t="shared" si="34"/>
        <v>0</v>
      </c>
    </row>
    <row r="738" spans="1:5">
      <c r="A738" s="87">
        <v>727</v>
      </c>
      <c r="B738" s="5">
        <v>-0.63915649661794305</v>
      </c>
      <c r="C738" s="24">
        <f t="shared" si="33"/>
        <v>65849.550914224426</v>
      </c>
      <c r="D738" s="24">
        <f t="shared" si="35"/>
        <v>48559.047589345071</v>
      </c>
      <c r="E738" s="24">
        <f t="shared" si="34"/>
        <v>51440.952410654929</v>
      </c>
    </row>
    <row r="739" spans="1:5">
      <c r="A739" s="87">
        <v>728</v>
      </c>
      <c r="B739" s="5">
        <v>1.4874103726469912</v>
      </c>
      <c r="C739" s="24">
        <f t="shared" si="33"/>
        <v>353743.23822595843</v>
      </c>
      <c r="D739" s="24">
        <f t="shared" si="35"/>
        <v>260858.79859376198</v>
      </c>
      <c r="E739" s="24">
        <f t="shared" si="34"/>
        <v>0</v>
      </c>
    </row>
    <row r="740" spans="1:5">
      <c r="A740" s="87">
        <v>729</v>
      </c>
      <c r="B740" s="5">
        <v>-2.4485416361130774</v>
      </c>
      <c r="C740" s="24">
        <f t="shared" si="33"/>
        <v>15751.381205595317</v>
      </c>
      <c r="D740" s="24">
        <f t="shared" si="35"/>
        <v>11615.448532925308</v>
      </c>
      <c r="E740" s="24">
        <f t="shared" si="34"/>
        <v>88384.551467074692</v>
      </c>
    </row>
    <row r="741" spans="1:5">
      <c r="A741" s="87">
        <v>730</v>
      </c>
      <c r="B741" s="5">
        <v>6.7791461333399639E-2</v>
      </c>
      <c r="C741" s="24">
        <f t="shared" si="33"/>
        <v>115153.27210888526</v>
      </c>
      <c r="D741" s="24">
        <f t="shared" si="35"/>
        <v>84916.801143988792</v>
      </c>
      <c r="E741" s="24">
        <f t="shared" si="34"/>
        <v>15083.198856011208</v>
      </c>
    </row>
    <row r="742" spans="1:5">
      <c r="A742" s="87">
        <v>731</v>
      </c>
      <c r="B742" s="5">
        <v>-0.80272684499504976</v>
      </c>
      <c r="C742" s="24">
        <f t="shared" si="33"/>
        <v>57861.885928472635</v>
      </c>
      <c r="D742" s="24">
        <f t="shared" si="35"/>
        <v>42668.750711297864</v>
      </c>
      <c r="E742" s="24">
        <f t="shared" si="34"/>
        <v>57331.249288702136</v>
      </c>
    </row>
    <row r="743" spans="1:5">
      <c r="A743" s="87">
        <v>732</v>
      </c>
      <c r="B743" s="5">
        <v>-5.8593059293343686E-2</v>
      </c>
      <c r="C743" s="24">
        <f t="shared" si="33"/>
        <v>104203.76961340298</v>
      </c>
      <c r="D743" s="24">
        <f t="shared" si="35"/>
        <v>76842.37382632395</v>
      </c>
      <c r="E743" s="24">
        <f t="shared" si="34"/>
        <v>23157.62617367605</v>
      </c>
    </row>
    <row r="744" spans="1:5">
      <c r="A744" s="87">
        <v>733</v>
      </c>
      <c r="B744" s="5">
        <v>-1.3941462384536862</v>
      </c>
      <c r="C744" s="24">
        <f t="shared" si="33"/>
        <v>36252.226850430627</v>
      </c>
      <c r="D744" s="24">
        <f t="shared" si="35"/>
        <v>26733.266733175678</v>
      </c>
      <c r="E744" s="24">
        <f t="shared" si="34"/>
        <v>73266.733266824318</v>
      </c>
    </row>
    <row r="745" spans="1:5">
      <c r="A745" s="87">
        <v>734</v>
      </c>
      <c r="B745" s="5">
        <v>-8.453753252979368E-3</v>
      </c>
      <c r="C745" s="24">
        <f t="shared" si="33"/>
        <v>108417.21726204878</v>
      </c>
      <c r="D745" s="24">
        <f t="shared" si="35"/>
        <v>79949.471779844069</v>
      </c>
      <c r="E745" s="24">
        <f t="shared" si="34"/>
        <v>20050.528220155931</v>
      </c>
    </row>
    <row r="746" spans="1:5">
      <c r="A746" s="87">
        <v>735</v>
      </c>
      <c r="B746" s="5">
        <v>0.69506540967267938</v>
      </c>
      <c r="C746" s="24">
        <f t="shared" si="33"/>
        <v>189079.51489772683</v>
      </c>
      <c r="D746" s="24">
        <f t="shared" si="35"/>
        <v>139431.79618717276</v>
      </c>
      <c r="E746" s="24">
        <f t="shared" si="34"/>
        <v>0</v>
      </c>
    </row>
    <row r="747" spans="1:5">
      <c r="A747" s="87">
        <v>736</v>
      </c>
      <c r="B747" s="5">
        <v>-0.31025024327391293</v>
      </c>
      <c r="C747" s="24">
        <f t="shared" si="33"/>
        <v>85404.247205757158</v>
      </c>
      <c r="D747" s="24">
        <f t="shared" si="35"/>
        <v>62979.152428824083</v>
      </c>
      <c r="E747" s="24">
        <f t="shared" si="34"/>
        <v>37020.847571175917</v>
      </c>
    </row>
    <row r="748" spans="1:5">
      <c r="A748" s="87">
        <v>737</v>
      </c>
      <c r="B748" s="5">
        <v>-1.5331124814110808</v>
      </c>
      <c r="C748" s="24">
        <f t="shared" si="33"/>
        <v>32480.449301277113</v>
      </c>
      <c r="D748" s="24">
        <f t="shared" si="35"/>
        <v>23951.866967149257</v>
      </c>
      <c r="E748" s="24">
        <f t="shared" si="34"/>
        <v>76048.133032850747</v>
      </c>
    </row>
    <row r="749" spans="1:5">
      <c r="A749" s="87">
        <v>738</v>
      </c>
      <c r="B749" s="5">
        <v>0.25427880245842971</v>
      </c>
      <c r="C749" s="24">
        <f t="shared" si="33"/>
        <v>133445.77694211411</v>
      </c>
      <c r="D749" s="24">
        <f t="shared" si="35"/>
        <v>98406.135549353843</v>
      </c>
      <c r="E749" s="24">
        <f t="shared" si="34"/>
        <v>1593.8644506461569</v>
      </c>
    </row>
    <row r="750" spans="1:5">
      <c r="A750" s="87">
        <v>739</v>
      </c>
      <c r="B750" s="5">
        <v>2.5569534045644104</v>
      </c>
      <c r="C750" s="24">
        <f t="shared" si="33"/>
        <v>823957.82333340787</v>
      </c>
      <c r="D750" s="24">
        <f t="shared" si="35"/>
        <v>607606.37846988381</v>
      </c>
      <c r="E750" s="24">
        <f t="shared" si="34"/>
        <v>0</v>
      </c>
    </row>
    <row r="751" spans="1:5">
      <c r="A751" s="87">
        <v>740</v>
      </c>
      <c r="B751" s="5">
        <v>1.6140802472364157</v>
      </c>
      <c r="C751" s="24">
        <f t="shared" si="33"/>
        <v>391001.99523563538</v>
      </c>
      <c r="D751" s="24">
        <f t="shared" si="35"/>
        <v>288334.3049508133</v>
      </c>
      <c r="E751" s="24">
        <f t="shared" si="34"/>
        <v>0</v>
      </c>
    </row>
    <row r="752" spans="1:5">
      <c r="A752" s="87">
        <v>741</v>
      </c>
      <c r="B752" s="5">
        <v>0.56021235650405288</v>
      </c>
      <c r="C752" s="24">
        <f t="shared" si="33"/>
        <v>169958.95062299201</v>
      </c>
      <c r="D752" s="24">
        <f t="shared" si="35"/>
        <v>125331.83077113809</v>
      </c>
      <c r="E752" s="24">
        <f t="shared" si="34"/>
        <v>0</v>
      </c>
    </row>
    <row r="753" spans="1:5">
      <c r="A753" s="87">
        <v>742</v>
      </c>
      <c r="B753" s="5">
        <v>1.8821447156369686</v>
      </c>
      <c r="C753" s="24">
        <f t="shared" si="33"/>
        <v>483299.34947996261</v>
      </c>
      <c r="D753" s="24">
        <f t="shared" si="35"/>
        <v>356396.60081914818</v>
      </c>
      <c r="E753" s="24">
        <f t="shared" si="34"/>
        <v>0</v>
      </c>
    </row>
    <row r="754" spans="1:5">
      <c r="A754" s="87">
        <v>743</v>
      </c>
      <c r="B754" s="5">
        <v>0.75526941145653836</v>
      </c>
      <c r="C754" s="24">
        <f t="shared" si="33"/>
        <v>198296.44000693024</v>
      </c>
      <c r="D754" s="24">
        <f t="shared" si="35"/>
        <v>146228.57913848304</v>
      </c>
      <c r="E754" s="24">
        <f t="shared" si="34"/>
        <v>0</v>
      </c>
    </row>
    <row r="755" spans="1:5">
      <c r="A755" s="87">
        <v>744</v>
      </c>
      <c r="B755" s="5">
        <v>-0.25104100132011808</v>
      </c>
      <c r="C755" s="24">
        <f t="shared" si="33"/>
        <v>89496.977022267471</v>
      </c>
      <c r="D755" s="24">
        <f t="shared" si="35"/>
        <v>65997.230140381042</v>
      </c>
      <c r="E755" s="24">
        <f t="shared" si="34"/>
        <v>34002.769859618958</v>
      </c>
    </row>
    <row r="756" spans="1:5">
      <c r="A756" s="87">
        <v>745</v>
      </c>
      <c r="B756" s="5">
        <v>0.1929333848238457</v>
      </c>
      <c r="C756" s="24">
        <f t="shared" si="33"/>
        <v>127128.37709526504</v>
      </c>
      <c r="D756" s="24">
        <f t="shared" si="35"/>
        <v>93747.532483045012</v>
      </c>
      <c r="E756" s="24">
        <f t="shared" si="34"/>
        <v>6252.4675169549882</v>
      </c>
    </row>
    <row r="757" spans="1:5">
      <c r="A757" s="87">
        <v>746</v>
      </c>
      <c r="B757" s="5">
        <v>1.0961366569972597</v>
      </c>
      <c r="C757" s="24">
        <f t="shared" si="33"/>
        <v>259626.04357006459</v>
      </c>
      <c r="D757" s="24">
        <f t="shared" si="35"/>
        <v>191454.50849883948</v>
      </c>
      <c r="E757" s="24">
        <f t="shared" si="34"/>
        <v>0</v>
      </c>
    </row>
    <row r="758" spans="1:5">
      <c r="A758" s="87">
        <v>747</v>
      </c>
      <c r="B758" s="5">
        <v>-1.0853204912564252</v>
      </c>
      <c r="C758" s="24">
        <f t="shared" si="33"/>
        <v>46277.181530012276</v>
      </c>
      <c r="D758" s="24">
        <f t="shared" si="35"/>
        <v>34125.910184927401</v>
      </c>
      <c r="E758" s="24">
        <f t="shared" si="34"/>
        <v>65874.089815072599</v>
      </c>
    </row>
    <row r="759" spans="1:5">
      <c r="A759" s="87">
        <v>748</v>
      </c>
      <c r="B759" s="5">
        <v>0.44203034121892415</v>
      </c>
      <c r="C759" s="24">
        <f t="shared" si="33"/>
        <v>154798.74506018159</v>
      </c>
      <c r="D759" s="24">
        <f t="shared" si="35"/>
        <v>114152.32942043499</v>
      </c>
      <c r="E759" s="24">
        <f t="shared" si="34"/>
        <v>0</v>
      </c>
    </row>
    <row r="760" spans="1:5">
      <c r="A760" s="87">
        <v>749</v>
      </c>
      <c r="B760" s="5">
        <v>-0.84362909547053277</v>
      </c>
      <c r="C760" s="24">
        <f t="shared" si="33"/>
        <v>56020.787402346359</v>
      </c>
      <c r="D760" s="24">
        <f t="shared" si="35"/>
        <v>41311.080238141658</v>
      </c>
      <c r="E760" s="24">
        <f t="shared" si="34"/>
        <v>58688.919761858342</v>
      </c>
    </row>
    <row r="761" spans="1:5">
      <c r="A761" s="87">
        <v>750</v>
      </c>
      <c r="B761" s="5">
        <v>-1.0609664968797006</v>
      </c>
      <c r="C761" s="24">
        <f t="shared" si="33"/>
        <v>47176.813060478285</v>
      </c>
      <c r="D761" s="24">
        <f t="shared" si="35"/>
        <v>34789.320180808449</v>
      </c>
      <c r="E761" s="24">
        <f t="shared" si="34"/>
        <v>65210.679819191551</v>
      </c>
    </row>
    <row r="762" spans="1:5">
      <c r="A762" s="87">
        <v>751</v>
      </c>
      <c r="B762" s="5">
        <v>1.3731096260016784E-2</v>
      </c>
      <c r="C762" s="24">
        <f t="shared" si="33"/>
        <v>110335.48309085234</v>
      </c>
      <c r="D762" s="24">
        <f t="shared" si="35"/>
        <v>81364.047283801905</v>
      </c>
      <c r="E762" s="24">
        <f t="shared" si="34"/>
        <v>18635.952716198095</v>
      </c>
    </row>
    <row r="763" spans="1:5">
      <c r="A763" s="87">
        <v>752</v>
      </c>
      <c r="B763" s="5">
        <v>1.8631544662639499</v>
      </c>
      <c r="C763" s="24">
        <f t="shared" si="33"/>
        <v>476097.71773203003</v>
      </c>
      <c r="D763" s="24">
        <f t="shared" si="35"/>
        <v>351085.94381521019</v>
      </c>
      <c r="E763" s="24">
        <f t="shared" si="34"/>
        <v>0</v>
      </c>
    </row>
    <row r="764" spans="1:5">
      <c r="A764" s="87">
        <v>753</v>
      </c>
      <c r="B764" s="5">
        <v>-1.7978118194150738</v>
      </c>
      <c r="C764" s="24">
        <f t="shared" si="33"/>
        <v>26347.546206478506</v>
      </c>
      <c r="D764" s="24">
        <f t="shared" si="35"/>
        <v>19429.31625713619</v>
      </c>
      <c r="E764" s="24">
        <f t="shared" si="34"/>
        <v>80570.68374286381</v>
      </c>
    </row>
    <row r="765" spans="1:5">
      <c r="A765" s="87">
        <v>754</v>
      </c>
      <c r="B765" s="5">
        <v>0.44219859773875214</v>
      </c>
      <c r="C765" s="24">
        <f t="shared" si="33"/>
        <v>154819.3375201789</v>
      </c>
      <c r="D765" s="24">
        <f t="shared" si="35"/>
        <v>114167.51479726912</v>
      </c>
      <c r="E765" s="24">
        <f t="shared" si="34"/>
        <v>0</v>
      </c>
    </row>
    <row r="766" spans="1:5">
      <c r="A766" s="87">
        <v>755</v>
      </c>
      <c r="B766" s="5">
        <v>-1.1220322448934894</v>
      </c>
      <c r="C766" s="24">
        <f t="shared" si="33"/>
        <v>44953.373604613014</v>
      </c>
      <c r="D766" s="24">
        <f t="shared" si="35"/>
        <v>33149.702281363265</v>
      </c>
      <c r="E766" s="24">
        <f t="shared" si="34"/>
        <v>66850.297718636735</v>
      </c>
    </row>
    <row r="767" spans="1:5">
      <c r="A767" s="87">
        <v>756</v>
      </c>
      <c r="B767" s="5">
        <v>8.6358795670093969E-2</v>
      </c>
      <c r="C767" s="24">
        <f t="shared" si="33"/>
        <v>116856.04686116171</v>
      </c>
      <c r="D767" s="24">
        <f t="shared" si="35"/>
        <v>86172.468328984993</v>
      </c>
      <c r="E767" s="24">
        <f t="shared" si="34"/>
        <v>13827.531671015007</v>
      </c>
    </row>
    <row r="768" spans="1:5">
      <c r="A768" s="87">
        <v>757</v>
      </c>
      <c r="B768" s="5">
        <v>1.0072994882648345</v>
      </c>
      <c r="C768" s="24">
        <f t="shared" si="33"/>
        <v>242017.57638220771</v>
      </c>
      <c r="D768" s="24">
        <f t="shared" si="35"/>
        <v>178469.59995687613</v>
      </c>
      <c r="E768" s="24">
        <f t="shared" si="34"/>
        <v>0</v>
      </c>
    </row>
    <row r="769" spans="1:5">
      <c r="A769" s="87">
        <v>758</v>
      </c>
      <c r="B769" s="5">
        <v>-0.68062490754527971</v>
      </c>
      <c r="C769" s="24">
        <f t="shared" si="33"/>
        <v>63725.764749499627</v>
      </c>
      <c r="D769" s="24">
        <f t="shared" si="35"/>
        <v>46992.916431111356</v>
      </c>
      <c r="E769" s="24">
        <f t="shared" si="34"/>
        <v>53007.083568888644</v>
      </c>
    </row>
    <row r="770" spans="1:5">
      <c r="A770" s="87">
        <v>759</v>
      </c>
      <c r="B770" s="5">
        <v>1.1534507393662352</v>
      </c>
      <c r="C770" s="24">
        <f t="shared" si="33"/>
        <v>271660.48298321746</v>
      </c>
      <c r="D770" s="24">
        <f t="shared" si="35"/>
        <v>200328.99447575363</v>
      </c>
      <c r="E770" s="24">
        <f t="shared" si="34"/>
        <v>0</v>
      </c>
    </row>
    <row r="771" spans="1:5">
      <c r="A771" s="87">
        <v>760</v>
      </c>
      <c r="B771" s="5">
        <v>-0.10249550541630015</v>
      </c>
      <c r="C771" s="24">
        <f t="shared" si="33"/>
        <v>100649.11651235739</v>
      </c>
      <c r="D771" s="24">
        <f t="shared" si="35"/>
        <v>74221.086866871046</v>
      </c>
      <c r="E771" s="24">
        <f t="shared" si="34"/>
        <v>25778.913133128954</v>
      </c>
    </row>
    <row r="772" spans="1:5">
      <c r="A772" s="87">
        <v>761</v>
      </c>
      <c r="B772" s="5">
        <v>0.94951928986120038</v>
      </c>
      <c r="C772" s="24">
        <f t="shared" si="33"/>
        <v>231211.0883281084</v>
      </c>
      <c r="D772" s="24">
        <f t="shared" si="35"/>
        <v>170500.63493878147</v>
      </c>
      <c r="E772" s="24">
        <f t="shared" si="34"/>
        <v>0</v>
      </c>
    </row>
    <row r="773" spans="1:5">
      <c r="A773" s="87">
        <v>762</v>
      </c>
      <c r="B773" s="5">
        <v>-0.51923734645242803</v>
      </c>
      <c r="C773" s="24">
        <f t="shared" si="33"/>
        <v>72397.880256302276</v>
      </c>
      <c r="D773" s="24">
        <f t="shared" si="35"/>
        <v>53387.943637047269</v>
      </c>
      <c r="E773" s="24">
        <f t="shared" si="34"/>
        <v>46612.056362952731</v>
      </c>
    </row>
    <row r="774" spans="1:5">
      <c r="A774" s="87">
        <v>763</v>
      </c>
      <c r="B774" s="5">
        <v>0.87214402810786851</v>
      </c>
      <c r="C774" s="24">
        <f t="shared" si="33"/>
        <v>217491.67634576347</v>
      </c>
      <c r="D774" s="24">
        <f t="shared" si="35"/>
        <v>160383.60953618895</v>
      </c>
      <c r="E774" s="24">
        <f t="shared" si="34"/>
        <v>0</v>
      </c>
    </row>
    <row r="775" spans="1:5">
      <c r="A775" s="87">
        <v>764</v>
      </c>
      <c r="B775" s="5">
        <v>2.8227805159986019</v>
      </c>
      <c r="C775" s="24">
        <f t="shared" si="33"/>
        <v>1016656.0388751972</v>
      </c>
      <c r="D775" s="24">
        <f t="shared" si="35"/>
        <v>749706.69181999844</v>
      </c>
      <c r="E775" s="24">
        <f t="shared" si="34"/>
        <v>0</v>
      </c>
    </row>
    <row r="776" spans="1:5">
      <c r="A776" s="87">
        <v>765</v>
      </c>
      <c r="B776" s="5">
        <v>-0.39791302697267383</v>
      </c>
      <c r="C776" s="24">
        <f t="shared" si="33"/>
        <v>79685.872930455502</v>
      </c>
      <c r="D776" s="24">
        <f t="shared" si="35"/>
        <v>58762.285271601344</v>
      </c>
      <c r="E776" s="24">
        <f t="shared" si="34"/>
        <v>41237.714728398656</v>
      </c>
    </row>
    <row r="777" spans="1:5">
      <c r="A777" s="87">
        <v>766</v>
      </c>
      <c r="B777" s="5">
        <v>1.4669149095425382</v>
      </c>
      <c r="C777" s="24">
        <f t="shared" si="33"/>
        <v>348057.69210380677</v>
      </c>
      <c r="D777" s="24">
        <f t="shared" si="35"/>
        <v>256666.13970871345</v>
      </c>
      <c r="E777" s="24">
        <f t="shared" si="34"/>
        <v>0</v>
      </c>
    </row>
    <row r="778" spans="1:5">
      <c r="A778" s="87">
        <v>767</v>
      </c>
      <c r="B778" s="5">
        <v>0.4698711109085707</v>
      </c>
      <c r="C778" s="24">
        <f t="shared" si="33"/>
        <v>158243.64706416335</v>
      </c>
      <c r="D778" s="24">
        <f t="shared" si="35"/>
        <v>116692.68327295982</v>
      </c>
      <c r="E778" s="24">
        <f t="shared" si="34"/>
        <v>0</v>
      </c>
    </row>
    <row r="779" spans="1:5">
      <c r="A779" s="87">
        <v>768</v>
      </c>
      <c r="B779" s="5">
        <v>-0.609409198659705</v>
      </c>
      <c r="C779" s="24">
        <f t="shared" si="33"/>
        <v>67416.507901407575</v>
      </c>
      <c r="D779" s="24">
        <f t="shared" si="35"/>
        <v>49714.559477500508</v>
      </c>
      <c r="E779" s="24">
        <f t="shared" si="34"/>
        <v>50285.440522499492</v>
      </c>
    </row>
    <row r="780" spans="1:5">
      <c r="A780" s="87">
        <v>769</v>
      </c>
      <c r="B780" s="5">
        <v>-0.24796349862299394</v>
      </c>
      <c r="C780" s="24">
        <f t="shared" ref="C780:C843" si="36">B$6*EXP(B780*B$5*SQRT(10)+10*(B$4-(B$5^2)/2))</f>
        <v>89714.986431978992</v>
      </c>
      <c r="D780" s="24">
        <f t="shared" si="35"/>
        <v>66157.995538992443</v>
      </c>
      <c r="E780" s="24">
        <f t="shared" ref="E780:E843" si="37">MAX(B$6-D780,0)</f>
        <v>33842.004461007557</v>
      </c>
    </row>
    <row r="781" spans="1:5">
      <c r="A781" s="87">
        <v>770</v>
      </c>
      <c r="B781" s="5">
        <v>-4.9399204726796597E-2</v>
      </c>
      <c r="C781" s="24">
        <f t="shared" si="36"/>
        <v>104963.92142166613</v>
      </c>
      <c r="D781" s="24">
        <f t="shared" ref="D781:D844" si="38">C781*(0.97^10)</f>
        <v>77402.928109839995</v>
      </c>
      <c r="E781" s="24">
        <f t="shared" si="37"/>
        <v>22597.071890160005</v>
      </c>
    </row>
    <row r="782" spans="1:5">
      <c r="A782" s="87">
        <v>771</v>
      </c>
      <c r="B782" s="5">
        <v>0.84362909547053277</v>
      </c>
      <c r="C782" s="24">
        <f t="shared" si="36"/>
        <v>212643.6046063973</v>
      </c>
      <c r="D782" s="24">
        <f t="shared" si="38"/>
        <v>156808.52446666287</v>
      </c>
      <c r="E782" s="24">
        <f t="shared" si="37"/>
        <v>0</v>
      </c>
    </row>
    <row r="783" spans="1:5">
      <c r="A783" s="87">
        <v>772</v>
      </c>
      <c r="B783" s="5">
        <v>0.74049694376299158</v>
      </c>
      <c r="C783" s="24">
        <f t="shared" si="36"/>
        <v>195994.07352563489</v>
      </c>
      <c r="D783" s="24">
        <f t="shared" si="38"/>
        <v>144530.75854622168</v>
      </c>
      <c r="E783" s="24">
        <f t="shared" si="37"/>
        <v>0</v>
      </c>
    </row>
    <row r="784" spans="1:5">
      <c r="A784" s="87">
        <v>773</v>
      </c>
      <c r="B784" s="5">
        <v>0.78241100709419698</v>
      </c>
      <c r="C784" s="24">
        <f t="shared" si="36"/>
        <v>202597.32698909979</v>
      </c>
      <c r="D784" s="24">
        <f t="shared" si="38"/>
        <v>149400.15696618319</v>
      </c>
      <c r="E784" s="24">
        <f t="shared" si="37"/>
        <v>0</v>
      </c>
    </row>
    <row r="785" spans="1:5">
      <c r="A785" s="87">
        <v>774</v>
      </c>
      <c r="B785" s="5">
        <v>-0.42530587052169722</v>
      </c>
      <c r="C785" s="24">
        <f t="shared" si="36"/>
        <v>77978.751484795663</v>
      </c>
      <c r="D785" s="24">
        <f t="shared" si="38"/>
        <v>57503.412730032025</v>
      </c>
      <c r="E785" s="24">
        <f t="shared" si="37"/>
        <v>42496.587269967975</v>
      </c>
    </row>
    <row r="786" spans="1:5">
      <c r="A786" s="87">
        <v>775</v>
      </c>
      <c r="B786" s="5">
        <v>-0.41786506699281745</v>
      </c>
      <c r="C786" s="24">
        <f t="shared" si="36"/>
        <v>78438.811100276507</v>
      </c>
      <c r="D786" s="24">
        <f t="shared" si="38"/>
        <v>57842.671790297609</v>
      </c>
      <c r="E786" s="24">
        <f t="shared" si="37"/>
        <v>42157.328209702391</v>
      </c>
    </row>
    <row r="787" spans="1:5">
      <c r="A787" s="87">
        <v>776</v>
      </c>
      <c r="B787" s="5">
        <v>0.15991076907084789</v>
      </c>
      <c r="C787" s="24">
        <f t="shared" si="36"/>
        <v>123852.42664357372</v>
      </c>
      <c r="D787" s="24">
        <f t="shared" si="38"/>
        <v>91331.767581455497</v>
      </c>
      <c r="E787" s="24">
        <f t="shared" si="37"/>
        <v>8668.2324185445032</v>
      </c>
    </row>
    <row r="788" spans="1:5">
      <c r="A788" s="87">
        <v>777</v>
      </c>
      <c r="B788" s="5">
        <v>-1.6566082194913179</v>
      </c>
      <c r="C788" s="24">
        <f t="shared" si="36"/>
        <v>29459.204116928882</v>
      </c>
      <c r="D788" s="24">
        <f t="shared" si="38"/>
        <v>21723.927874945755</v>
      </c>
      <c r="E788" s="24">
        <f t="shared" si="37"/>
        <v>78276.072125054241</v>
      </c>
    </row>
    <row r="789" spans="1:5">
      <c r="A789" s="87">
        <v>778</v>
      </c>
      <c r="B789" s="5">
        <v>-2.0712923287646845</v>
      </c>
      <c r="C789" s="24">
        <f t="shared" si="36"/>
        <v>21224.789641298587</v>
      </c>
      <c r="D789" s="24">
        <f t="shared" si="38"/>
        <v>15651.671969763127</v>
      </c>
      <c r="E789" s="24">
        <f t="shared" si="37"/>
        <v>84348.32803023688</v>
      </c>
    </row>
    <row r="790" spans="1:5">
      <c r="A790" s="87">
        <v>779</v>
      </c>
      <c r="B790" s="5">
        <v>0.23913798941066489</v>
      </c>
      <c r="C790" s="24">
        <f t="shared" si="36"/>
        <v>131857.97104697971</v>
      </c>
      <c r="D790" s="24">
        <f t="shared" si="38"/>
        <v>97235.249173455741</v>
      </c>
      <c r="E790" s="24">
        <f t="shared" si="37"/>
        <v>2764.7508265442593</v>
      </c>
    </row>
    <row r="791" spans="1:5">
      <c r="A791" s="87">
        <v>780</v>
      </c>
      <c r="B791" s="5">
        <v>0.28984459277126007</v>
      </c>
      <c r="C791" s="24">
        <f t="shared" si="36"/>
        <v>137251.14957770144</v>
      </c>
      <c r="D791" s="24">
        <f t="shared" si="38"/>
        <v>101212.30914266167</v>
      </c>
      <c r="E791" s="24">
        <f t="shared" si="37"/>
        <v>0</v>
      </c>
    </row>
    <row r="792" spans="1:5">
      <c r="A792" s="87">
        <v>781</v>
      </c>
      <c r="B792" s="5">
        <v>-0.82381120591890067</v>
      </c>
      <c r="C792" s="24">
        <f t="shared" si="36"/>
        <v>56905.400162250022</v>
      </c>
      <c r="D792" s="24">
        <f t="shared" si="38"/>
        <v>41963.415030253731</v>
      </c>
      <c r="E792" s="24">
        <f t="shared" si="37"/>
        <v>58036.584969746269</v>
      </c>
    </row>
    <row r="793" spans="1:5">
      <c r="A793" s="87">
        <v>782</v>
      </c>
      <c r="B793" s="5">
        <v>-0.45531237446994055</v>
      </c>
      <c r="C793" s="24">
        <f t="shared" si="36"/>
        <v>76150.690615156971</v>
      </c>
      <c r="D793" s="24">
        <f t="shared" si="38"/>
        <v>56155.356539327935</v>
      </c>
      <c r="E793" s="24">
        <f t="shared" si="37"/>
        <v>43844.643460672065</v>
      </c>
    </row>
    <row r="794" spans="1:5">
      <c r="A794" s="87">
        <v>783</v>
      </c>
      <c r="B794" s="5">
        <v>-0.62775029618933331</v>
      </c>
      <c r="C794" s="24">
        <f t="shared" si="36"/>
        <v>66446.027497060204</v>
      </c>
      <c r="D794" s="24">
        <f t="shared" si="38"/>
        <v>48998.903812656012</v>
      </c>
      <c r="E794" s="24">
        <f t="shared" si="37"/>
        <v>51001.096187343988</v>
      </c>
    </row>
    <row r="795" spans="1:5">
      <c r="A795" s="87">
        <v>784</v>
      </c>
      <c r="B795" s="5">
        <v>-1.1829638424387667</v>
      </c>
      <c r="C795" s="24">
        <f t="shared" si="36"/>
        <v>42839.267762520263</v>
      </c>
      <c r="D795" s="24">
        <f t="shared" si="38"/>
        <v>31590.709626594551</v>
      </c>
      <c r="E795" s="24">
        <f t="shared" si="37"/>
        <v>68409.290373405442</v>
      </c>
    </row>
    <row r="796" spans="1:5">
      <c r="A796" s="87">
        <v>785</v>
      </c>
      <c r="B796" s="5">
        <v>-0.47517460188828409</v>
      </c>
      <c r="C796" s="24">
        <f t="shared" si="36"/>
        <v>74964.275915328355</v>
      </c>
      <c r="D796" s="24">
        <f t="shared" si="38"/>
        <v>55280.465715171507</v>
      </c>
      <c r="E796" s="24">
        <f t="shared" si="37"/>
        <v>44719.534284828493</v>
      </c>
    </row>
    <row r="797" spans="1:5">
      <c r="A797" s="87">
        <v>786</v>
      </c>
      <c r="B797" s="5">
        <v>0.2269541710120393</v>
      </c>
      <c r="C797" s="24">
        <f t="shared" si="36"/>
        <v>130593.99193275359</v>
      </c>
      <c r="D797" s="24">
        <f t="shared" si="38"/>
        <v>96303.16047873412</v>
      </c>
      <c r="E797" s="24">
        <f t="shared" si="37"/>
        <v>3696.8395212658797</v>
      </c>
    </row>
    <row r="798" spans="1:5">
      <c r="A798" s="87">
        <v>787</v>
      </c>
      <c r="B798" s="5">
        <v>-0.7489757081202697</v>
      </c>
      <c r="C798" s="24">
        <f t="shared" si="36"/>
        <v>60373.658878816204</v>
      </c>
      <c r="D798" s="24">
        <f t="shared" si="38"/>
        <v>44520.99268616327</v>
      </c>
      <c r="E798" s="24">
        <f t="shared" si="37"/>
        <v>55479.00731383673</v>
      </c>
    </row>
    <row r="799" spans="1:5">
      <c r="A799" s="87">
        <v>788</v>
      </c>
      <c r="B799" s="5">
        <v>-0.62514345700037666</v>
      </c>
      <c r="C799" s="24">
        <f t="shared" si="36"/>
        <v>66583.106477087917</v>
      </c>
      <c r="D799" s="24">
        <f t="shared" si="38"/>
        <v>49099.989159818593</v>
      </c>
      <c r="E799" s="24">
        <f t="shared" si="37"/>
        <v>50900.010840181407</v>
      </c>
    </row>
    <row r="800" spans="1:5">
      <c r="A800" s="87">
        <v>789</v>
      </c>
      <c r="B800" s="5">
        <v>1.0598932931316085</v>
      </c>
      <c r="C800" s="24">
        <f t="shared" si="36"/>
        <v>252292.57015172273</v>
      </c>
      <c r="D800" s="24">
        <f t="shared" si="38"/>
        <v>186046.62826621157</v>
      </c>
      <c r="E800" s="24">
        <f t="shared" si="37"/>
        <v>0</v>
      </c>
    </row>
    <row r="801" spans="1:5">
      <c r="A801" s="87">
        <v>790</v>
      </c>
      <c r="B801" s="5">
        <v>0.81781081462395377</v>
      </c>
      <c r="C801" s="24">
        <f t="shared" si="36"/>
        <v>208347.30093740413</v>
      </c>
      <c r="D801" s="24">
        <f t="shared" si="38"/>
        <v>153640.32648468009</v>
      </c>
      <c r="E801" s="24">
        <f t="shared" si="37"/>
        <v>0</v>
      </c>
    </row>
    <row r="802" spans="1:5">
      <c r="A802" s="87">
        <v>791</v>
      </c>
      <c r="B802" s="5">
        <v>1.1959991752519272</v>
      </c>
      <c r="C802" s="24">
        <f t="shared" si="36"/>
        <v>280953.88747575058</v>
      </c>
      <c r="D802" s="24">
        <f t="shared" si="38"/>
        <v>207182.17516954127</v>
      </c>
      <c r="E802" s="24">
        <f t="shared" si="37"/>
        <v>0</v>
      </c>
    </row>
    <row r="803" spans="1:5">
      <c r="A803" s="87">
        <v>792</v>
      </c>
      <c r="B803" s="5">
        <v>-0.44177795643918216</v>
      </c>
      <c r="C803" s="24">
        <f t="shared" si="36"/>
        <v>76969.869908590874</v>
      </c>
      <c r="D803" s="24">
        <f t="shared" si="38"/>
        <v>56759.439114558831</v>
      </c>
      <c r="E803" s="24">
        <f t="shared" si="37"/>
        <v>43240.560885441169</v>
      </c>
    </row>
    <row r="804" spans="1:5">
      <c r="A804" s="87">
        <v>793</v>
      </c>
      <c r="B804" s="5">
        <v>-1.6787362255854532</v>
      </c>
      <c r="C804" s="24">
        <f t="shared" si="36"/>
        <v>28948.334441451207</v>
      </c>
      <c r="D804" s="24">
        <f t="shared" si="38"/>
        <v>21347.200250549537</v>
      </c>
      <c r="E804" s="24">
        <f t="shared" si="37"/>
        <v>78652.799749450467</v>
      </c>
    </row>
    <row r="805" spans="1:5">
      <c r="A805" s="87">
        <v>794</v>
      </c>
      <c r="B805" s="5">
        <v>0.29639295462402515</v>
      </c>
      <c r="C805" s="24">
        <f t="shared" si="36"/>
        <v>137963.53219083417</v>
      </c>
      <c r="D805" s="24">
        <f t="shared" si="38"/>
        <v>101737.63726916621</v>
      </c>
      <c r="E805" s="24">
        <f t="shared" si="37"/>
        <v>0</v>
      </c>
    </row>
    <row r="806" spans="1:5">
      <c r="A806" s="87">
        <v>795</v>
      </c>
      <c r="B806" s="5">
        <v>0.25435838324483484</v>
      </c>
      <c r="C806" s="24">
        <f t="shared" si="36"/>
        <v>133454.17283194812</v>
      </c>
      <c r="D806" s="24">
        <f t="shared" si="38"/>
        <v>98412.326881084184</v>
      </c>
      <c r="E806" s="24">
        <f t="shared" si="37"/>
        <v>1587.6731189158163</v>
      </c>
    </row>
    <row r="807" spans="1:5">
      <c r="A807" s="87">
        <v>796</v>
      </c>
      <c r="B807" s="5">
        <v>-2.1535697669605725E-2</v>
      </c>
      <c r="C807" s="24">
        <f t="shared" si="36"/>
        <v>107301.7245869131</v>
      </c>
      <c r="D807" s="24">
        <f t="shared" si="38"/>
        <v>79126.880567824439</v>
      </c>
      <c r="E807" s="24">
        <f t="shared" si="37"/>
        <v>20873.119432175561</v>
      </c>
    </row>
    <row r="808" spans="1:5">
      <c r="A808" s="87">
        <v>797</v>
      </c>
      <c r="B808" s="5">
        <v>-2.0402876543812454</v>
      </c>
      <c r="C808" s="24">
        <f t="shared" si="36"/>
        <v>21751.466238922272</v>
      </c>
      <c r="D808" s="24">
        <f t="shared" si="38"/>
        <v>16040.055999921764</v>
      </c>
      <c r="E808" s="24">
        <f t="shared" si="37"/>
        <v>83959.944000078234</v>
      </c>
    </row>
    <row r="809" spans="1:5">
      <c r="A809" s="87">
        <v>798</v>
      </c>
      <c r="B809" s="5">
        <v>-1.098931079468457</v>
      </c>
      <c r="C809" s="24">
        <f t="shared" si="36"/>
        <v>45781.903150631078</v>
      </c>
      <c r="D809" s="24">
        <f t="shared" si="38"/>
        <v>33760.679958442284</v>
      </c>
      <c r="E809" s="24">
        <f t="shared" si="37"/>
        <v>66239.320041557716</v>
      </c>
    </row>
    <row r="810" spans="1:5">
      <c r="A810" s="87">
        <v>799</v>
      </c>
      <c r="B810" s="5">
        <v>-0.67177893470216077</v>
      </c>
      <c r="C810" s="24">
        <f t="shared" si="36"/>
        <v>64172.983639431026</v>
      </c>
      <c r="D810" s="24">
        <f t="shared" si="38"/>
        <v>47322.706430549937</v>
      </c>
      <c r="E810" s="24">
        <f t="shared" si="37"/>
        <v>52677.293569450063</v>
      </c>
    </row>
    <row r="811" spans="1:5">
      <c r="A811" s="87">
        <v>800</v>
      </c>
      <c r="B811" s="5">
        <v>-0.48306787903129589</v>
      </c>
      <c r="C811" s="24">
        <f t="shared" si="36"/>
        <v>74497.941597249868</v>
      </c>
      <c r="D811" s="24">
        <f t="shared" si="38"/>
        <v>54936.579537821337</v>
      </c>
      <c r="E811" s="24">
        <f t="shared" si="37"/>
        <v>45063.420462178663</v>
      </c>
    </row>
    <row r="812" spans="1:5">
      <c r="A812" s="87">
        <v>801</v>
      </c>
      <c r="B812" s="5">
        <v>-1.9355775293661281</v>
      </c>
      <c r="C812" s="24">
        <f t="shared" si="36"/>
        <v>23628.693288380295</v>
      </c>
      <c r="D812" s="24">
        <f t="shared" si="38"/>
        <v>17424.36851785189</v>
      </c>
      <c r="E812" s="24">
        <f t="shared" si="37"/>
        <v>82575.631482148106</v>
      </c>
    </row>
    <row r="813" spans="1:5">
      <c r="A813" s="87">
        <v>802</v>
      </c>
      <c r="B813" s="5">
        <v>-0.53453049986273982</v>
      </c>
      <c r="C813" s="24">
        <f t="shared" si="36"/>
        <v>71527.838343786178</v>
      </c>
      <c r="D813" s="24">
        <f t="shared" si="38"/>
        <v>52746.353739348087</v>
      </c>
      <c r="E813" s="24">
        <f t="shared" si="37"/>
        <v>47253.646260651913</v>
      </c>
    </row>
    <row r="814" spans="1:5">
      <c r="A814" s="87">
        <v>803</v>
      </c>
      <c r="B814" s="5">
        <v>-0.19020717445528135</v>
      </c>
      <c r="C814" s="24">
        <f t="shared" si="36"/>
        <v>93906.368995501281</v>
      </c>
      <c r="D814" s="24">
        <f t="shared" si="38"/>
        <v>69248.822166380487</v>
      </c>
      <c r="E814" s="24">
        <f t="shared" si="37"/>
        <v>30751.177833619513</v>
      </c>
    </row>
    <row r="815" spans="1:5">
      <c r="A815" s="87">
        <v>804</v>
      </c>
      <c r="B815" s="5">
        <v>-0.64715322878328152</v>
      </c>
      <c r="C815" s="24">
        <f t="shared" si="36"/>
        <v>65434.565052307611</v>
      </c>
      <c r="D815" s="24">
        <f t="shared" si="38"/>
        <v>48253.027002447321</v>
      </c>
      <c r="E815" s="24">
        <f t="shared" si="37"/>
        <v>51746.972997552679</v>
      </c>
    </row>
    <row r="816" spans="1:5">
      <c r="A816" s="87">
        <v>805</v>
      </c>
      <c r="B816" s="5">
        <v>6.6938810050487518E-3</v>
      </c>
      <c r="C816" s="24">
        <f t="shared" si="36"/>
        <v>109723.3462377364</v>
      </c>
      <c r="D816" s="24">
        <f t="shared" si="38"/>
        <v>80912.642799352674</v>
      </c>
      <c r="E816" s="24">
        <f t="shared" si="37"/>
        <v>19087.357200647326</v>
      </c>
    </row>
    <row r="817" spans="1:5">
      <c r="A817" s="87">
        <v>806</v>
      </c>
      <c r="B817" s="5">
        <v>0.9381733434565831</v>
      </c>
      <c r="C817" s="24">
        <f t="shared" si="36"/>
        <v>229146.45424684061</v>
      </c>
      <c r="D817" s="24">
        <f t="shared" si="38"/>
        <v>168978.12395404506</v>
      </c>
      <c r="E817" s="24">
        <f t="shared" si="37"/>
        <v>0</v>
      </c>
    </row>
    <row r="818" spans="1:5">
      <c r="A818" s="87">
        <v>807</v>
      </c>
      <c r="B818" s="5">
        <v>-0.50102698878617957</v>
      </c>
      <c r="C818" s="24">
        <f t="shared" si="36"/>
        <v>73447.698841907899</v>
      </c>
      <c r="D818" s="24">
        <f t="shared" si="38"/>
        <v>54162.105190935559</v>
      </c>
      <c r="E818" s="24">
        <f t="shared" si="37"/>
        <v>45837.894809064441</v>
      </c>
    </row>
    <row r="819" spans="1:5">
      <c r="A819" s="87">
        <v>808</v>
      </c>
      <c r="B819" s="5">
        <v>-1.0143116924155038</v>
      </c>
      <c r="C819" s="24">
        <f t="shared" si="36"/>
        <v>48949.364421089085</v>
      </c>
      <c r="D819" s="24">
        <f t="shared" si="38"/>
        <v>36096.442320283284</v>
      </c>
      <c r="E819" s="24">
        <f t="shared" si="37"/>
        <v>63903.557679716716</v>
      </c>
    </row>
    <row r="820" spans="1:5">
      <c r="A820" s="87">
        <v>809</v>
      </c>
      <c r="B820" s="5">
        <v>-0.57485976867610589</v>
      </c>
      <c r="C820" s="24">
        <f t="shared" si="36"/>
        <v>69283.281918471446</v>
      </c>
      <c r="D820" s="24">
        <f t="shared" si="38"/>
        <v>51091.163677143973</v>
      </c>
      <c r="E820" s="24">
        <f t="shared" si="37"/>
        <v>48908.836322856027</v>
      </c>
    </row>
    <row r="821" spans="1:5">
      <c r="A821" s="87">
        <v>810</v>
      </c>
      <c r="B821" s="5">
        <v>0.65490667111589573</v>
      </c>
      <c r="C821" s="24">
        <f t="shared" si="36"/>
        <v>183170.85842953995</v>
      </c>
      <c r="D821" s="24">
        <f t="shared" si="38"/>
        <v>135074.61034999799</v>
      </c>
      <c r="E821" s="24">
        <f t="shared" si="37"/>
        <v>0</v>
      </c>
    </row>
    <row r="822" spans="1:5">
      <c r="A822" s="87">
        <v>811</v>
      </c>
      <c r="B822" s="5">
        <v>0.78209950515883975</v>
      </c>
      <c r="C822" s="24">
        <f t="shared" si="36"/>
        <v>202547.44072349995</v>
      </c>
      <c r="D822" s="24">
        <f t="shared" si="38"/>
        <v>149363.36963032917</v>
      </c>
      <c r="E822" s="24">
        <f t="shared" si="37"/>
        <v>0</v>
      </c>
    </row>
    <row r="823" spans="1:5">
      <c r="A823" s="87">
        <v>812</v>
      </c>
      <c r="B823" s="5">
        <v>-1.7449337974539958</v>
      </c>
      <c r="C823" s="24">
        <f t="shared" si="36"/>
        <v>27472.318410363121</v>
      </c>
      <c r="D823" s="24">
        <f t="shared" si="38"/>
        <v>20258.750417541487</v>
      </c>
      <c r="E823" s="24">
        <f t="shared" si="37"/>
        <v>79741.24958245852</v>
      </c>
    </row>
    <row r="824" spans="1:5">
      <c r="A824" s="87">
        <v>813</v>
      </c>
      <c r="B824" s="5">
        <v>0.57134457165375352</v>
      </c>
      <c r="C824" s="24">
        <f t="shared" si="36"/>
        <v>171461.32479719759</v>
      </c>
      <c r="D824" s="24">
        <f t="shared" si="38"/>
        <v>126439.71773482114</v>
      </c>
      <c r="E824" s="24">
        <f t="shared" si="37"/>
        <v>0</v>
      </c>
    </row>
    <row r="825" spans="1:5">
      <c r="A825" s="87">
        <v>814</v>
      </c>
      <c r="B825" s="5">
        <v>-1.1607698979787529</v>
      </c>
      <c r="C825" s="24">
        <f t="shared" si="36"/>
        <v>43597.55220729977</v>
      </c>
      <c r="D825" s="24">
        <f t="shared" si="38"/>
        <v>32149.886871224084</v>
      </c>
      <c r="E825" s="24">
        <f t="shared" si="37"/>
        <v>67850.11312877592</v>
      </c>
    </row>
    <row r="826" spans="1:5">
      <c r="A826" s="87">
        <v>815</v>
      </c>
      <c r="B826" s="5">
        <v>0.72359625846729614</v>
      </c>
      <c r="C826" s="24">
        <f t="shared" si="36"/>
        <v>193392.78123836929</v>
      </c>
      <c r="D826" s="24">
        <f t="shared" si="38"/>
        <v>142612.50285248633</v>
      </c>
      <c r="E826" s="24">
        <f t="shared" si="37"/>
        <v>0</v>
      </c>
    </row>
    <row r="827" spans="1:5">
      <c r="A827" s="87">
        <v>816</v>
      </c>
      <c r="B827" s="5">
        <v>-0.64649270825611893</v>
      </c>
      <c r="C827" s="24">
        <f t="shared" si="36"/>
        <v>65468.743075800165</v>
      </c>
      <c r="D827" s="24">
        <f t="shared" si="38"/>
        <v>48278.230701580309</v>
      </c>
      <c r="E827" s="24">
        <f t="shared" si="37"/>
        <v>51721.769298419691</v>
      </c>
    </row>
    <row r="828" spans="1:5">
      <c r="A828" s="87">
        <v>817</v>
      </c>
      <c r="B828" s="5">
        <v>2.2298445401247591</v>
      </c>
      <c r="C828" s="24">
        <f t="shared" si="36"/>
        <v>636202.60867619386</v>
      </c>
      <c r="D828" s="24">
        <f t="shared" si="38"/>
        <v>469151.15323131793</v>
      </c>
      <c r="E828" s="24">
        <f t="shared" si="37"/>
        <v>0</v>
      </c>
    </row>
    <row r="829" spans="1:5">
      <c r="A829" s="87">
        <v>818</v>
      </c>
      <c r="B829" s="5">
        <v>-0.64630512497387826</v>
      </c>
      <c r="C829" s="24">
        <f t="shared" si="36"/>
        <v>65478.452653583096</v>
      </c>
      <c r="D829" s="24">
        <f t="shared" si="38"/>
        <v>48285.390778499408</v>
      </c>
      <c r="E829" s="24">
        <f t="shared" si="37"/>
        <v>51714.609221500592</v>
      </c>
    </row>
    <row r="830" spans="1:5">
      <c r="A830" s="87">
        <v>819</v>
      </c>
      <c r="B830" s="5">
        <v>-0.45692559069721028</v>
      </c>
      <c r="C830" s="24">
        <f t="shared" si="36"/>
        <v>76053.633020183435</v>
      </c>
      <c r="D830" s="24">
        <f t="shared" si="38"/>
        <v>56083.783927096054</v>
      </c>
      <c r="E830" s="24">
        <f t="shared" si="37"/>
        <v>43916.216072903946</v>
      </c>
    </row>
    <row r="831" spans="1:5">
      <c r="A831" s="87">
        <v>820</v>
      </c>
      <c r="B831" s="5">
        <v>-0.71004478741087951</v>
      </c>
      <c r="C831" s="24">
        <f t="shared" si="36"/>
        <v>62260.705331193341</v>
      </c>
      <c r="D831" s="24">
        <f t="shared" si="38"/>
        <v>45912.546268717648</v>
      </c>
      <c r="E831" s="24">
        <f t="shared" si="37"/>
        <v>54087.453731282352</v>
      </c>
    </row>
    <row r="832" spans="1:5">
      <c r="A832" s="87">
        <v>821</v>
      </c>
      <c r="B832" s="5">
        <v>-0.22405060917662922</v>
      </c>
      <c r="C832" s="24">
        <f t="shared" si="36"/>
        <v>91427.163407696382</v>
      </c>
      <c r="D832" s="24">
        <f t="shared" si="38"/>
        <v>67420.596150400437</v>
      </c>
      <c r="E832" s="24">
        <f t="shared" si="37"/>
        <v>32579.403849599563</v>
      </c>
    </row>
    <row r="833" spans="1:5">
      <c r="A833" s="87">
        <v>822</v>
      </c>
      <c r="B833" s="5">
        <v>1.3098315321258269</v>
      </c>
      <c r="C833" s="24">
        <f t="shared" si="36"/>
        <v>307410.17604292458</v>
      </c>
      <c r="D833" s="24">
        <f t="shared" si="38"/>
        <v>226691.68066706983</v>
      </c>
      <c r="E833" s="24">
        <f t="shared" si="37"/>
        <v>0</v>
      </c>
    </row>
    <row r="834" spans="1:5">
      <c r="A834" s="87">
        <v>823</v>
      </c>
      <c r="B834" s="5">
        <v>0.25767803890630603</v>
      </c>
      <c r="C834" s="24">
        <f t="shared" si="36"/>
        <v>133804.87238645295</v>
      </c>
      <c r="D834" s="24">
        <f t="shared" si="38"/>
        <v>98670.941193867358</v>
      </c>
      <c r="E834" s="24">
        <f t="shared" si="37"/>
        <v>1329.0588061326416</v>
      </c>
    </row>
    <row r="835" spans="1:5">
      <c r="A835" s="87">
        <v>824</v>
      </c>
      <c r="B835" s="5">
        <v>1.0278404261043761</v>
      </c>
      <c r="C835" s="24">
        <f t="shared" si="36"/>
        <v>245979.79303147731</v>
      </c>
      <c r="D835" s="24">
        <f t="shared" si="38"/>
        <v>181391.43411003231</v>
      </c>
      <c r="E835" s="24">
        <f t="shared" si="37"/>
        <v>0</v>
      </c>
    </row>
    <row r="836" spans="1:5">
      <c r="A836" s="87">
        <v>825</v>
      </c>
      <c r="B836" s="5">
        <v>2.4531618691980839</v>
      </c>
      <c r="C836" s="24">
        <f t="shared" si="36"/>
        <v>759047.93428229331</v>
      </c>
      <c r="D836" s="24">
        <f t="shared" si="38"/>
        <v>559740.26020951895</v>
      </c>
      <c r="E836" s="24">
        <f t="shared" si="37"/>
        <v>0</v>
      </c>
    </row>
    <row r="837" spans="1:5">
      <c r="A837" s="87">
        <v>826</v>
      </c>
      <c r="B837" s="5">
        <v>0.59601688917609863</v>
      </c>
      <c r="C837" s="24">
        <f t="shared" si="36"/>
        <v>174838.53824302633</v>
      </c>
      <c r="D837" s="24">
        <f t="shared" si="38"/>
        <v>128930.15641144921</v>
      </c>
      <c r="E837" s="24">
        <f t="shared" si="37"/>
        <v>0</v>
      </c>
    </row>
    <row r="838" spans="1:5">
      <c r="A838" s="87">
        <v>827</v>
      </c>
      <c r="B838" s="5">
        <v>-1.4228135114535689</v>
      </c>
      <c r="C838" s="24">
        <f t="shared" si="36"/>
        <v>35439.865852318428</v>
      </c>
      <c r="D838" s="24">
        <f t="shared" si="38"/>
        <v>26134.212133419296</v>
      </c>
      <c r="E838" s="24">
        <f t="shared" si="37"/>
        <v>73865.787866580707</v>
      </c>
    </row>
    <row r="839" spans="1:5">
      <c r="A839" s="87">
        <v>828</v>
      </c>
      <c r="B839" s="5">
        <v>0.63288212004408706</v>
      </c>
      <c r="C839" s="24">
        <f t="shared" si="36"/>
        <v>180009.10508598963</v>
      </c>
      <c r="D839" s="24">
        <f t="shared" si="38"/>
        <v>132743.0571511733</v>
      </c>
      <c r="E839" s="24">
        <f t="shared" si="37"/>
        <v>0</v>
      </c>
    </row>
    <row r="840" spans="1:5">
      <c r="A840" s="87">
        <v>829</v>
      </c>
      <c r="B840" s="5">
        <v>-2.0163497538305819</v>
      </c>
      <c r="C840" s="24">
        <f t="shared" si="36"/>
        <v>22167.02314473984</v>
      </c>
      <c r="D840" s="24">
        <f t="shared" si="38"/>
        <v>16346.497688369442</v>
      </c>
      <c r="E840" s="24">
        <f t="shared" si="37"/>
        <v>83653.502311630553</v>
      </c>
    </row>
    <row r="841" spans="1:5">
      <c r="A841" s="87">
        <v>830</v>
      </c>
      <c r="B841" s="5">
        <v>0.31893137020233553</v>
      </c>
      <c r="C841" s="24">
        <f t="shared" si="36"/>
        <v>140443.82303490085</v>
      </c>
      <c r="D841" s="24">
        <f t="shared" si="38"/>
        <v>103566.66357929757</v>
      </c>
      <c r="E841" s="24">
        <f t="shared" si="37"/>
        <v>0</v>
      </c>
    </row>
    <row r="842" spans="1:5">
      <c r="A842" s="87">
        <v>831</v>
      </c>
      <c r="B842" s="5">
        <v>-0.857799022924155</v>
      </c>
      <c r="C842" s="24">
        <f t="shared" si="36"/>
        <v>55396.727090056462</v>
      </c>
      <c r="D842" s="24">
        <f t="shared" si="38"/>
        <v>40850.883107221503</v>
      </c>
      <c r="E842" s="24">
        <f t="shared" si="37"/>
        <v>59149.116892778497</v>
      </c>
    </row>
    <row r="843" spans="1:5">
      <c r="A843" s="87">
        <v>832</v>
      </c>
      <c r="B843" s="5">
        <v>0.18180116967414506</v>
      </c>
      <c r="C843" s="24">
        <f t="shared" si="36"/>
        <v>126014.45597758732</v>
      </c>
      <c r="D843" s="24">
        <f t="shared" si="38"/>
        <v>92926.100175411702</v>
      </c>
      <c r="E843" s="24">
        <f t="shared" si="37"/>
        <v>7073.8998245882976</v>
      </c>
    </row>
    <row r="844" spans="1:5">
      <c r="A844" s="87">
        <v>833</v>
      </c>
      <c r="B844" s="5">
        <v>2.5529516278766096</v>
      </c>
      <c r="C844" s="24">
        <f t="shared" ref="C844:C907" si="39">B$6*EXP(B844*B$5*SQRT(10)+10*(B$4-(B$5^2)/2))</f>
        <v>821355.20169341925</v>
      </c>
      <c r="D844" s="24">
        <f t="shared" si="38"/>
        <v>605687.14247937733</v>
      </c>
      <c r="E844" s="24">
        <f t="shared" ref="E844:E907" si="40">MAX(B$6-D844,0)</f>
        <v>0</v>
      </c>
    </row>
    <row r="845" spans="1:5">
      <c r="A845" s="87">
        <v>834</v>
      </c>
      <c r="B845" s="5">
        <v>-1.1630254448391497</v>
      </c>
      <c r="C845" s="24">
        <f t="shared" si="39"/>
        <v>43519.879790738494</v>
      </c>
      <c r="D845" s="24">
        <f t="shared" ref="D845:D908" si="41">C845*(0.97^10)</f>
        <v>32092.609357257566</v>
      </c>
      <c r="E845" s="24">
        <f t="shared" si="40"/>
        <v>67907.390642742437</v>
      </c>
    </row>
    <row r="846" spans="1:5">
      <c r="A846" s="87">
        <v>835</v>
      </c>
      <c r="B846" s="5">
        <v>1.2610757949005347</v>
      </c>
      <c r="C846" s="24">
        <f t="shared" si="39"/>
        <v>295786.56779320107</v>
      </c>
      <c r="D846" s="24">
        <f t="shared" si="41"/>
        <v>218120.1515021488</v>
      </c>
      <c r="E846" s="24">
        <f t="shared" si="40"/>
        <v>0</v>
      </c>
    </row>
    <row r="847" spans="1:5">
      <c r="A847" s="87">
        <v>836</v>
      </c>
      <c r="B847" s="5">
        <v>0.18397940948489122</v>
      </c>
      <c r="C847" s="24">
        <f t="shared" si="39"/>
        <v>126231.64609532281</v>
      </c>
      <c r="D847" s="24">
        <f t="shared" si="41"/>
        <v>93086.261408352992</v>
      </c>
      <c r="E847" s="24">
        <f t="shared" si="40"/>
        <v>6913.7385916470084</v>
      </c>
    </row>
    <row r="848" spans="1:5">
      <c r="A848" s="87">
        <v>837</v>
      </c>
      <c r="B848" s="5">
        <v>0.35089215089101344</v>
      </c>
      <c r="C848" s="24">
        <f t="shared" si="39"/>
        <v>144037.65932295271</v>
      </c>
      <c r="D848" s="24">
        <f t="shared" si="41"/>
        <v>106216.84516621752</v>
      </c>
      <c r="E848" s="24">
        <f t="shared" si="40"/>
        <v>0</v>
      </c>
    </row>
    <row r="849" spans="1:5">
      <c r="A849" s="87">
        <v>838</v>
      </c>
      <c r="B849" s="5">
        <v>-0.26820998755283654</v>
      </c>
      <c r="C849" s="24">
        <f t="shared" si="39"/>
        <v>88290.416915767841</v>
      </c>
      <c r="D849" s="24">
        <f t="shared" si="41"/>
        <v>65107.483607299298</v>
      </c>
      <c r="E849" s="24">
        <f t="shared" si="40"/>
        <v>34892.516392700702</v>
      </c>
    </row>
    <row r="850" spans="1:5">
      <c r="A850" s="87">
        <v>839</v>
      </c>
      <c r="B850" s="5">
        <v>-1.4167380868457258</v>
      </c>
      <c r="C850" s="24">
        <f t="shared" si="39"/>
        <v>35610.494559135419</v>
      </c>
      <c r="D850" s="24">
        <f t="shared" si="41"/>
        <v>26260.037858567026</v>
      </c>
      <c r="E850" s="24">
        <f t="shared" si="40"/>
        <v>73739.962141432974</v>
      </c>
    </row>
    <row r="851" spans="1:5">
      <c r="A851" s="87">
        <v>840</v>
      </c>
      <c r="B851" s="5">
        <v>-0.68216877480153926</v>
      </c>
      <c r="C851" s="24">
        <f t="shared" si="39"/>
        <v>63648.032719007133</v>
      </c>
      <c r="D851" s="24">
        <f t="shared" si="41"/>
        <v>46935.594956393659</v>
      </c>
      <c r="E851" s="24">
        <f t="shared" si="40"/>
        <v>53064.405043606341</v>
      </c>
    </row>
    <row r="852" spans="1:5">
      <c r="A852" s="87">
        <v>841</v>
      </c>
      <c r="B852" s="5">
        <v>-0.48599304136587307</v>
      </c>
      <c r="C852" s="24">
        <f t="shared" si="39"/>
        <v>74325.860887437593</v>
      </c>
      <c r="D852" s="24">
        <f t="shared" si="41"/>
        <v>54809.683070632564</v>
      </c>
      <c r="E852" s="24">
        <f t="shared" si="40"/>
        <v>45190.316929367436</v>
      </c>
    </row>
    <row r="853" spans="1:5">
      <c r="A853" s="87">
        <v>842</v>
      </c>
      <c r="B853" s="5">
        <v>-0.91165702542639337</v>
      </c>
      <c r="C853" s="24">
        <f t="shared" si="39"/>
        <v>53087.528085330407</v>
      </c>
      <c r="D853" s="24">
        <f t="shared" si="41"/>
        <v>39148.024047334751</v>
      </c>
      <c r="E853" s="24">
        <f t="shared" si="40"/>
        <v>60851.975952665249</v>
      </c>
    </row>
    <row r="854" spans="1:5">
      <c r="A854" s="87">
        <v>843</v>
      </c>
      <c r="B854" s="5">
        <v>5.7060560720856301E-2</v>
      </c>
      <c r="C854" s="24">
        <f t="shared" si="39"/>
        <v>114180.49891779789</v>
      </c>
      <c r="D854" s="24">
        <f t="shared" si="41"/>
        <v>84199.454722884402</v>
      </c>
      <c r="E854" s="24">
        <f t="shared" si="40"/>
        <v>15800.545277115598</v>
      </c>
    </row>
    <row r="855" spans="1:5">
      <c r="A855" s="87">
        <v>844</v>
      </c>
      <c r="B855" s="5">
        <v>0.65689846451277845</v>
      </c>
      <c r="C855" s="24">
        <f t="shared" si="39"/>
        <v>183459.51580172408</v>
      </c>
      <c r="D855" s="24">
        <f t="shared" si="41"/>
        <v>135287.47326065265</v>
      </c>
      <c r="E855" s="24">
        <f t="shared" si="40"/>
        <v>0</v>
      </c>
    </row>
    <row r="856" spans="1:5">
      <c r="A856" s="87">
        <v>845</v>
      </c>
      <c r="B856" s="5">
        <v>0.25364670364069752</v>
      </c>
      <c r="C856" s="24">
        <f t="shared" si="39"/>
        <v>133379.10834547787</v>
      </c>
      <c r="D856" s="24">
        <f t="shared" si="41"/>
        <v>98356.972517688046</v>
      </c>
      <c r="E856" s="24">
        <f t="shared" si="40"/>
        <v>1643.0274823119544</v>
      </c>
    </row>
    <row r="857" spans="1:5">
      <c r="A857" s="87">
        <v>846</v>
      </c>
      <c r="B857" s="5">
        <v>-0.88769184003467672</v>
      </c>
      <c r="C857" s="24">
        <f t="shared" si="39"/>
        <v>54102.920473744351</v>
      </c>
      <c r="D857" s="24">
        <f t="shared" si="41"/>
        <v>39896.79889281666</v>
      </c>
      <c r="E857" s="24">
        <f t="shared" si="40"/>
        <v>60103.20110718334</v>
      </c>
    </row>
    <row r="858" spans="1:5">
      <c r="A858" s="87">
        <v>847</v>
      </c>
      <c r="B858" s="5">
        <v>-0.48694005272409413</v>
      </c>
      <c r="C858" s="24">
        <f t="shared" si="39"/>
        <v>74270.235559876091</v>
      </c>
      <c r="D858" s="24">
        <f t="shared" si="41"/>
        <v>54768.663612022276</v>
      </c>
      <c r="E858" s="24">
        <f t="shared" si="40"/>
        <v>45231.336387977724</v>
      </c>
    </row>
    <row r="859" spans="1:5">
      <c r="A859" s="87">
        <v>848</v>
      </c>
      <c r="B859" s="5">
        <v>0.58236651057086419</v>
      </c>
      <c r="C859" s="24">
        <f t="shared" si="39"/>
        <v>172961.8997510653</v>
      </c>
      <c r="D859" s="24">
        <f t="shared" si="41"/>
        <v>127546.27791001742</v>
      </c>
      <c r="E859" s="24">
        <f t="shared" si="40"/>
        <v>0</v>
      </c>
    </row>
    <row r="860" spans="1:5">
      <c r="A860" s="87">
        <v>849</v>
      </c>
      <c r="B860" s="5">
        <v>-0.50328367251495365</v>
      </c>
      <c r="C860" s="24">
        <f t="shared" si="39"/>
        <v>73316.780181562994</v>
      </c>
      <c r="D860" s="24">
        <f t="shared" si="41"/>
        <v>54065.562612136469</v>
      </c>
      <c r="E860" s="24">
        <f t="shared" si="40"/>
        <v>45934.437387863531</v>
      </c>
    </row>
    <row r="861" spans="1:5">
      <c r="A861" s="87">
        <v>850</v>
      </c>
      <c r="B861" s="5">
        <v>-1.0678422768251039</v>
      </c>
      <c r="C861" s="24">
        <f t="shared" si="39"/>
        <v>46921.065943294401</v>
      </c>
      <c r="D861" s="24">
        <f t="shared" si="41"/>
        <v>34600.726086213224</v>
      </c>
      <c r="E861" s="24">
        <f t="shared" si="40"/>
        <v>65399.273913786776</v>
      </c>
    </row>
    <row r="862" spans="1:5">
      <c r="A862" s="87">
        <v>851</v>
      </c>
      <c r="B862" s="5">
        <v>-0.58454361351323314</v>
      </c>
      <c r="C862" s="24">
        <f t="shared" si="39"/>
        <v>68754.89151923274</v>
      </c>
      <c r="D862" s="24">
        <f t="shared" si="41"/>
        <v>50701.515848325704</v>
      </c>
      <c r="E862" s="24">
        <f t="shared" si="40"/>
        <v>49298.484151674296</v>
      </c>
    </row>
    <row r="863" spans="1:5">
      <c r="A863" s="87">
        <v>852</v>
      </c>
      <c r="B863" s="5">
        <v>-1.1263500709901564</v>
      </c>
      <c r="C863" s="24">
        <f t="shared" si="39"/>
        <v>44800.185015952557</v>
      </c>
      <c r="D863" s="24">
        <f t="shared" si="41"/>
        <v>33036.737320120061</v>
      </c>
      <c r="E863" s="24">
        <f t="shared" si="40"/>
        <v>66963.262679879932</v>
      </c>
    </row>
    <row r="864" spans="1:5">
      <c r="A864" s="87">
        <v>853</v>
      </c>
      <c r="B864" s="5">
        <v>0.61254468164406717</v>
      </c>
      <c r="C864" s="24">
        <f t="shared" si="39"/>
        <v>177138.03309462027</v>
      </c>
      <c r="D864" s="24">
        <f t="shared" si="41"/>
        <v>130625.85939468525</v>
      </c>
      <c r="E864" s="24">
        <f t="shared" si="40"/>
        <v>0</v>
      </c>
    </row>
    <row r="865" spans="1:5">
      <c r="A865" s="87">
        <v>854</v>
      </c>
      <c r="B865" s="5">
        <v>-0.93118842414696701</v>
      </c>
      <c r="C865" s="24">
        <f t="shared" si="39"/>
        <v>52274.103643113835</v>
      </c>
      <c r="D865" s="24">
        <f t="shared" si="41"/>
        <v>38548.185238238206</v>
      </c>
      <c r="E865" s="24">
        <f t="shared" si="40"/>
        <v>61451.814761761794</v>
      </c>
    </row>
    <row r="866" spans="1:5">
      <c r="A866" s="87">
        <v>855</v>
      </c>
      <c r="B866" s="5">
        <v>-2.2566837287740782E-3</v>
      </c>
      <c r="C866" s="24">
        <f t="shared" si="39"/>
        <v>108949.67962886361</v>
      </c>
      <c r="D866" s="24">
        <f t="shared" si="41"/>
        <v>80342.122375796898</v>
      </c>
      <c r="E866" s="24">
        <f t="shared" si="40"/>
        <v>19657.877624203102</v>
      </c>
    </row>
    <row r="867" spans="1:5">
      <c r="A867" s="87">
        <v>856</v>
      </c>
      <c r="B867" s="5">
        <v>1.0460416888236068</v>
      </c>
      <c r="C867" s="24">
        <f t="shared" si="39"/>
        <v>249544.87332625841</v>
      </c>
      <c r="D867" s="24">
        <f t="shared" si="41"/>
        <v>184020.41033372158</v>
      </c>
      <c r="E867" s="24">
        <f t="shared" si="40"/>
        <v>0</v>
      </c>
    </row>
    <row r="868" spans="1:5">
      <c r="A868" s="87">
        <v>857</v>
      </c>
      <c r="B868" s="5">
        <v>-0.23748498279019259</v>
      </c>
      <c r="C868" s="24">
        <f t="shared" si="39"/>
        <v>90461.271696764845</v>
      </c>
      <c r="D868" s="24">
        <f t="shared" si="41"/>
        <v>66708.324298791689</v>
      </c>
      <c r="E868" s="24">
        <f t="shared" si="40"/>
        <v>33291.675701208311</v>
      </c>
    </row>
    <row r="869" spans="1:5">
      <c r="A869" s="87">
        <v>858</v>
      </c>
      <c r="B869" s="5">
        <v>0.4119453933526529</v>
      </c>
      <c r="C869" s="24">
        <f t="shared" si="39"/>
        <v>151160.41359834452</v>
      </c>
      <c r="D869" s="24">
        <f t="shared" si="41"/>
        <v>111469.33601883544</v>
      </c>
      <c r="E869" s="24">
        <f t="shared" si="40"/>
        <v>0</v>
      </c>
    </row>
    <row r="870" spans="1:5">
      <c r="A870" s="87">
        <v>859</v>
      </c>
      <c r="B870" s="5">
        <v>-0.28912609195685945</v>
      </c>
      <c r="C870" s="24">
        <f t="shared" si="39"/>
        <v>86842.483276215935</v>
      </c>
      <c r="D870" s="24">
        <f t="shared" si="41"/>
        <v>64039.742407350939</v>
      </c>
      <c r="E870" s="24">
        <f t="shared" si="40"/>
        <v>35960.257592649061</v>
      </c>
    </row>
    <row r="871" spans="1:5">
      <c r="A871" s="87">
        <v>860</v>
      </c>
      <c r="B871" s="5">
        <v>0.10795702110044658</v>
      </c>
      <c r="C871" s="24">
        <f t="shared" si="39"/>
        <v>118868.48394366418</v>
      </c>
      <c r="D871" s="24">
        <f t="shared" si="41"/>
        <v>87656.487987480345</v>
      </c>
      <c r="E871" s="24">
        <f t="shared" si="40"/>
        <v>12343.512012519655</v>
      </c>
    </row>
    <row r="872" spans="1:5">
      <c r="A872" s="87">
        <v>861</v>
      </c>
      <c r="B872" s="5">
        <v>-0.9559016689308919</v>
      </c>
      <c r="C872" s="24">
        <f t="shared" si="39"/>
        <v>51262.708742629962</v>
      </c>
      <c r="D872" s="24">
        <f t="shared" si="41"/>
        <v>37802.358236802902</v>
      </c>
      <c r="E872" s="24">
        <f t="shared" si="40"/>
        <v>62197.641763197098</v>
      </c>
    </row>
    <row r="873" spans="1:5">
      <c r="A873" s="87">
        <v>862</v>
      </c>
      <c r="B873" s="5">
        <v>-0.8978349796961993</v>
      </c>
      <c r="C873" s="24">
        <f t="shared" si="39"/>
        <v>53670.81177007348</v>
      </c>
      <c r="D873" s="24">
        <f t="shared" si="41"/>
        <v>39578.151509288473</v>
      </c>
      <c r="E873" s="24">
        <f t="shared" si="40"/>
        <v>60421.848490711527</v>
      </c>
    </row>
    <row r="874" spans="1:5">
      <c r="A874" s="87">
        <v>863</v>
      </c>
      <c r="B874" s="5">
        <v>-0.25396275304956362</v>
      </c>
      <c r="C874" s="24">
        <f t="shared" si="39"/>
        <v>89290.491215829476</v>
      </c>
      <c r="D874" s="24">
        <f t="shared" si="41"/>
        <v>65844.962524852308</v>
      </c>
      <c r="E874" s="24">
        <f t="shared" si="40"/>
        <v>34155.037475147692</v>
      </c>
    </row>
    <row r="875" spans="1:5">
      <c r="A875" s="87">
        <v>864</v>
      </c>
      <c r="B875" s="5">
        <v>0.35545212995202746</v>
      </c>
      <c r="C875" s="24">
        <f t="shared" si="39"/>
        <v>144557.84927483569</v>
      </c>
      <c r="D875" s="24">
        <f t="shared" si="41"/>
        <v>106600.44578730434</v>
      </c>
      <c r="E875" s="24">
        <f t="shared" si="40"/>
        <v>0</v>
      </c>
    </row>
    <row r="876" spans="1:5">
      <c r="A876" s="87">
        <v>865</v>
      </c>
      <c r="B876" s="5">
        <v>0.74422587204026058</v>
      </c>
      <c r="C876" s="24">
        <f t="shared" si="39"/>
        <v>196572.71196456271</v>
      </c>
      <c r="D876" s="24">
        <f t="shared" si="41"/>
        <v>144957.46049183587</v>
      </c>
      <c r="E876" s="24">
        <f t="shared" si="40"/>
        <v>0</v>
      </c>
    </row>
    <row r="877" spans="1:5">
      <c r="A877" s="87">
        <v>866</v>
      </c>
      <c r="B877" s="5">
        <v>0.88837396106100641</v>
      </c>
      <c r="C877" s="24">
        <f t="shared" si="39"/>
        <v>220300.26764580986</v>
      </c>
      <c r="D877" s="24">
        <f t="shared" si="41"/>
        <v>162454.73252343034</v>
      </c>
      <c r="E877" s="24">
        <f t="shared" si="40"/>
        <v>0</v>
      </c>
    </row>
    <row r="878" spans="1:5">
      <c r="A878" s="87">
        <v>867</v>
      </c>
      <c r="B878" s="5">
        <v>1.2909458746435121</v>
      </c>
      <c r="C878" s="24">
        <f t="shared" si="39"/>
        <v>302854.50569319312</v>
      </c>
      <c r="D878" s="24">
        <f t="shared" si="41"/>
        <v>223332.21943699798</v>
      </c>
      <c r="E878" s="24">
        <f t="shared" si="40"/>
        <v>0</v>
      </c>
    </row>
    <row r="879" spans="1:5">
      <c r="A879" s="87">
        <v>868</v>
      </c>
      <c r="B879" s="5">
        <v>1.314901965088211</v>
      </c>
      <c r="C879" s="24">
        <f t="shared" si="39"/>
        <v>308644.91180029023</v>
      </c>
      <c r="D879" s="24">
        <f t="shared" si="41"/>
        <v>227602.20460489113</v>
      </c>
      <c r="E879" s="24">
        <f t="shared" si="40"/>
        <v>0</v>
      </c>
    </row>
    <row r="880" spans="1:5">
      <c r="A880" s="87">
        <v>869</v>
      </c>
      <c r="B880" s="5">
        <v>1.0740859579527751</v>
      </c>
      <c r="C880" s="24">
        <f t="shared" si="39"/>
        <v>255139.30585726313</v>
      </c>
      <c r="D880" s="24">
        <f t="shared" si="41"/>
        <v>188145.87985837029</v>
      </c>
      <c r="E880" s="24">
        <f t="shared" si="40"/>
        <v>0</v>
      </c>
    </row>
    <row r="881" spans="1:5">
      <c r="A881" s="87">
        <v>870</v>
      </c>
      <c r="B881" s="5">
        <v>-0.60068259699619375</v>
      </c>
      <c r="C881" s="24">
        <f t="shared" si="39"/>
        <v>67883.221409322461</v>
      </c>
      <c r="D881" s="24">
        <f t="shared" si="41"/>
        <v>50058.725278584716</v>
      </c>
      <c r="E881" s="24">
        <f t="shared" si="40"/>
        <v>49941.274721415284</v>
      </c>
    </row>
    <row r="882" spans="1:5">
      <c r="A882" s="87">
        <v>871</v>
      </c>
      <c r="B882" s="5">
        <v>-0.85107785707805306</v>
      </c>
      <c r="C882" s="24">
        <f t="shared" si="39"/>
        <v>55691.863683725904</v>
      </c>
      <c r="D882" s="24">
        <f t="shared" si="41"/>
        <v>41068.523952122938</v>
      </c>
      <c r="E882" s="24">
        <f t="shared" si="40"/>
        <v>58931.476047877062</v>
      </c>
    </row>
    <row r="883" spans="1:5">
      <c r="A883" s="87">
        <v>872</v>
      </c>
      <c r="B883" s="5">
        <v>-0.1425769369234331</v>
      </c>
      <c r="C883" s="24">
        <f t="shared" si="39"/>
        <v>97509.832626082469</v>
      </c>
      <c r="D883" s="24">
        <f t="shared" si="41"/>
        <v>71906.103187959452</v>
      </c>
      <c r="E883" s="24">
        <f t="shared" si="40"/>
        <v>28093.896812040548</v>
      </c>
    </row>
    <row r="884" spans="1:5">
      <c r="A884" s="87">
        <v>873</v>
      </c>
      <c r="B884" s="5">
        <v>0.20932702682330273</v>
      </c>
      <c r="C884" s="24">
        <f t="shared" si="39"/>
        <v>128786.72365391708</v>
      </c>
      <c r="D884" s="24">
        <f t="shared" si="41"/>
        <v>94970.437246148198</v>
      </c>
      <c r="E884" s="24">
        <f t="shared" si="40"/>
        <v>5029.562753851802</v>
      </c>
    </row>
    <row r="885" spans="1:5">
      <c r="A885" s="87">
        <v>874</v>
      </c>
      <c r="B885" s="5">
        <v>-0.65585481934249401</v>
      </c>
      <c r="C885" s="24">
        <f t="shared" si="39"/>
        <v>64985.971602833459</v>
      </c>
      <c r="D885" s="24">
        <f t="shared" si="41"/>
        <v>47922.223369638064</v>
      </c>
      <c r="E885" s="24">
        <f t="shared" si="40"/>
        <v>52077.776630361936</v>
      </c>
    </row>
    <row r="886" spans="1:5">
      <c r="A886" s="87">
        <v>875</v>
      </c>
      <c r="B886" s="5">
        <v>-0.55681425692455377</v>
      </c>
      <c r="C886" s="24">
        <f t="shared" si="39"/>
        <v>70278.777228964842</v>
      </c>
      <c r="D886" s="24">
        <f t="shared" si="41"/>
        <v>51825.265937312557</v>
      </c>
      <c r="E886" s="24">
        <f t="shared" si="40"/>
        <v>48174.734062687443</v>
      </c>
    </row>
    <row r="887" spans="1:5">
      <c r="A887" s="87">
        <v>876</v>
      </c>
      <c r="B887" s="5">
        <v>0.12829445950046647</v>
      </c>
      <c r="C887" s="24">
        <f t="shared" si="39"/>
        <v>120795.11691426342</v>
      </c>
      <c r="D887" s="24">
        <f t="shared" si="41"/>
        <v>89077.233623671476</v>
      </c>
      <c r="E887" s="24">
        <f t="shared" si="40"/>
        <v>10922.766376328524</v>
      </c>
    </row>
    <row r="888" spans="1:5">
      <c r="A888" s="87">
        <v>877</v>
      </c>
      <c r="B888" s="5">
        <v>0.33361516216245946</v>
      </c>
      <c r="C888" s="24">
        <f t="shared" si="39"/>
        <v>142083.67286437337</v>
      </c>
      <c r="D888" s="24">
        <f t="shared" si="41"/>
        <v>104775.92840803514</v>
      </c>
      <c r="E888" s="24">
        <f t="shared" si="40"/>
        <v>0</v>
      </c>
    </row>
    <row r="889" spans="1:5">
      <c r="A889" s="87">
        <v>878</v>
      </c>
      <c r="B889" s="5">
        <v>-0.13354110706131905</v>
      </c>
      <c r="C889" s="24">
        <f t="shared" si="39"/>
        <v>98208.88315485169</v>
      </c>
      <c r="D889" s="24">
        <f t="shared" si="41"/>
        <v>72421.599913792525</v>
      </c>
      <c r="E889" s="24">
        <f t="shared" si="40"/>
        <v>27578.400086207475</v>
      </c>
    </row>
    <row r="890" spans="1:5">
      <c r="A890" s="87">
        <v>879</v>
      </c>
      <c r="B890" s="5">
        <v>-0.32755565371189732</v>
      </c>
      <c r="C890" s="24">
        <f t="shared" si="39"/>
        <v>84243.77712100785</v>
      </c>
      <c r="D890" s="24">
        <f t="shared" si="41"/>
        <v>62123.393789790141</v>
      </c>
      <c r="E890" s="24">
        <f t="shared" si="40"/>
        <v>37876.606210209859</v>
      </c>
    </row>
    <row r="891" spans="1:5">
      <c r="A891" s="87">
        <v>880</v>
      </c>
      <c r="B891" s="5">
        <v>-0.35431185096967965</v>
      </c>
      <c r="C891" s="24">
        <f t="shared" si="39"/>
        <v>82480.514141986088</v>
      </c>
      <c r="D891" s="24">
        <f t="shared" si="41"/>
        <v>60823.121126998871</v>
      </c>
      <c r="E891" s="24">
        <f t="shared" si="40"/>
        <v>39176.878873001129</v>
      </c>
    </row>
    <row r="892" spans="1:5">
      <c r="A892" s="87">
        <v>881</v>
      </c>
      <c r="B892" s="5">
        <v>1.6112744560814463</v>
      </c>
      <c r="C892" s="24">
        <f t="shared" si="39"/>
        <v>390135.64650582388</v>
      </c>
      <c r="D892" s="24">
        <f t="shared" si="41"/>
        <v>287695.43849514553</v>
      </c>
      <c r="E892" s="24">
        <f t="shared" si="40"/>
        <v>0</v>
      </c>
    </row>
    <row r="893" spans="1:5">
      <c r="A893" s="87">
        <v>882</v>
      </c>
      <c r="B893" s="5">
        <v>-3.4240201784996316E-2</v>
      </c>
      <c r="C893" s="24">
        <f t="shared" si="39"/>
        <v>106229.40244731632</v>
      </c>
      <c r="D893" s="24">
        <f t="shared" si="41"/>
        <v>78336.124350282189</v>
      </c>
      <c r="E893" s="24">
        <f t="shared" si="40"/>
        <v>21663.875649717811</v>
      </c>
    </row>
    <row r="894" spans="1:5">
      <c r="A894" s="87">
        <v>883</v>
      </c>
      <c r="B894" s="5">
        <v>0.27281316761218477</v>
      </c>
      <c r="C894" s="24">
        <f t="shared" si="39"/>
        <v>135415.51391650646</v>
      </c>
      <c r="D894" s="24">
        <f t="shared" si="41"/>
        <v>99858.667117907782</v>
      </c>
      <c r="E894" s="24">
        <f t="shared" si="40"/>
        <v>141.33288209221791</v>
      </c>
    </row>
    <row r="895" spans="1:5">
      <c r="A895" s="87">
        <v>884</v>
      </c>
      <c r="B895" s="5">
        <v>0.37943209463264793</v>
      </c>
      <c r="C895" s="24">
        <f t="shared" si="39"/>
        <v>147324.49384609686</v>
      </c>
      <c r="D895" s="24">
        <f t="shared" si="41"/>
        <v>108640.6362446952</v>
      </c>
      <c r="E895" s="24">
        <f t="shared" si="40"/>
        <v>0</v>
      </c>
    </row>
    <row r="896" spans="1:5">
      <c r="A896" s="87">
        <v>885</v>
      </c>
      <c r="B896" s="5">
        <v>1.5247451301547699</v>
      </c>
      <c r="C896" s="24">
        <f t="shared" si="39"/>
        <v>364339.83751173684</v>
      </c>
      <c r="D896" s="24">
        <f t="shared" si="41"/>
        <v>268672.98657013255</v>
      </c>
      <c r="E896" s="24">
        <f t="shared" si="40"/>
        <v>0</v>
      </c>
    </row>
    <row r="897" spans="1:5">
      <c r="A897" s="87">
        <v>886</v>
      </c>
      <c r="B897" s="5">
        <v>-4.8634092308930121E-2</v>
      </c>
      <c r="C897" s="24">
        <f t="shared" si="39"/>
        <v>105027.43062431301</v>
      </c>
      <c r="D897" s="24">
        <f t="shared" si="41"/>
        <v>77449.761328151668</v>
      </c>
      <c r="E897" s="24">
        <f t="shared" si="40"/>
        <v>22550.238671848332</v>
      </c>
    </row>
    <row r="898" spans="1:5">
      <c r="A898" s="87">
        <v>887</v>
      </c>
      <c r="B898" s="5">
        <v>-0.82865426520584151</v>
      </c>
      <c r="C898" s="24">
        <f t="shared" si="39"/>
        <v>56687.938785442748</v>
      </c>
      <c r="D898" s="24">
        <f t="shared" si="41"/>
        <v>41803.053764328251</v>
      </c>
      <c r="E898" s="24">
        <f t="shared" si="40"/>
        <v>58196.946235671749</v>
      </c>
    </row>
    <row r="899" spans="1:5">
      <c r="A899" s="87">
        <v>888</v>
      </c>
      <c r="B899" s="5">
        <v>0.55476107263530139</v>
      </c>
      <c r="C899" s="24">
        <f t="shared" si="39"/>
        <v>169228.06846202802</v>
      </c>
      <c r="D899" s="24">
        <f t="shared" si="41"/>
        <v>124792.86063172614</v>
      </c>
      <c r="E899" s="24">
        <f t="shared" si="40"/>
        <v>0</v>
      </c>
    </row>
    <row r="900" spans="1:5">
      <c r="A900" s="87">
        <v>889</v>
      </c>
      <c r="B900" s="5">
        <v>-0.17340767044515815</v>
      </c>
      <c r="C900" s="24">
        <f t="shared" si="39"/>
        <v>95161.874667200769</v>
      </c>
      <c r="D900" s="24">
        <f t="shared" si="41"/>
        <v>70174.662340145107</v>
      </c>
      <c r="E900" s="24">
        <f t="shared" si="40"/>
        <v>29825.337659854893</v>
      </c>
    </row>
    <row r="901" spans="1:5">
      <c r="A901" s="87">
        <v>890</v>
      </c>
      <c r="B901" s="5">
        <v>-0.7113249012036249</v>
      </c>
      <c r="C901" s="24">
        <f t="shared" si="39"/>
        <v>62197.728198526493</v>
      </c>
      <c r="D901" s="24">
        <f t="shared" si="41"/>
        <v>45866.105411646451</v>
      </c>
      <c r="E901" s="24">
        <f t="shared" si="40"/>
        <v>54133.894588353549</v>
      </c>
    </row>
    <row r="902" spans="1:5">
      <c r="A902" s="87">
        <v>891</v>
      </c>
      <c r="B902" s="5">
        <v>-0.44025910028722137</v>
      </c>
      <c r="C902" s="24">
        <f t="shared" si="39"/>
        <v>77062.347854307896</v>
      </c>
      <c r="D902" s="24">
        <f t="shared" si="41"/>
        <v>56827.634582936247</v>
      </c>
      <c r="E902" s="24">
        <f t="shared" si="40"/>
        <v>43172.365417063753</v>
      </c>
    </row>
    <row r="903" spans="1:5">
      <c r="A903" s="87">
        <v>892</v>
      </c>
      <c r="B903" s="5">
        <v>0.67966084316140041</v>
      </c>
      <c r="C903" s="24">
        <f t="shared" si="39"/>
        <v>186790.79759911323</v>
      </c>
      <c r="D903" s="24">
        <f t="shared" si="41"/>
        <v>137744.04083153332</v>
      </c>
      <c r="E903" s="24">
        <f t="shared" si="40"/>
        <v>0</v>
      </c>
    </row>
    <row r="904" spans="1:5">
      <c r="A904" s="87">
        <v>893</v>
      </c>
      <c r="B904" s="5">
        <v>-0.87606849774601869</v>
      </c>
      <c r="C904" s="24">
        <f t="shared" si="39"/>
        <v>54602.366602967581</v>
      </c>
      <c r="D904" s="24">
        <f t="shared" si="41"/>
        <v>40265.102518590153</v>
      </c>
      <c r="E904" s="24">
        <f t="shared" si="40"/>
        <v>59734.897481409847</v>
      </c>
    </row>
    <row r="905" spans="1:5">
      <c r="A905" s="87">
        <v>894</v>
      </c>
      <c r="B905" s="5">
        <v>1.1959991752519272</v>
      </c>
      <c r="C905" s="24">
        <f t="shared" si="39"/>
        <v>280953.88747575058</v>
      </c>
      <c r="D905" s="24">
        <f t="shared" si="41"/>
        <v>207182.17516954127</v>
      </c>
      <c r="E905" s="24">
        <f t="shared" si="40"/>
        <v>0</v>
      </c>
    </row>
    <row r="906" spans="1:5">
      <c r="A906" s="87">
        <v>895</v>
      </c>
      <c r="B906" s="5">
        <v>1.3096541806589812</v>
      </c>
      <c r="C906" s="24">
        <f t="shared" si="39"/>
        <v>307367.07750002382</v>
      </c>
      <c r="D906" s="24">
        <f t="shared" si="41"/>
        <v>226659.89876170081</v>
      </c>
      <c r="E906" s="24">
        <f t="shared" si="40"/>
        <v>0</v>
      </c>
    </row>
    <row r="907" spans="1:5">
      <c r="A907" s="87">
        <v>896</v>
      </c>
      <c r="B907" s="5">
        <v>0.36116261981078424</v>
      </c>
      <c r="C907" s="24">
        <f t="shared" si="39"/>
        <v>145211.93660961138</v>
      </c>
      <c r="D907" s="24">
        <f t="shared" si="41"/>
        <v>107082.78556906433</v>
      </c>
      <c r="E907" s="24">
        <f t="shared" si="40"/>
        <v>0</v>
      </c>
    </row>
    <row r="908" spans="1:5">
      <c r="A908" s="87">
        <v>897</v>
      </c>
      <c r="B908" s="5">
        <v>-0.74281388151575811</v>
      </c>
      <c r="C908" s="24">
        <f t="shared" ref="C908:C971" si="42">B$6*EXP(B908*B$5*SQRT(10)+10*(B$4-(B$5^2)/2))</f>
        <v>60668.477701948097</v>
      </c>
      <c r="D908" s="24">
        <f t="shared" si="41"/>
        <v>44738.399199403495</v>
      </c>
      <c r="E908" s="24">
        <f t="shared" ref="E908:E971" si="43">MAX(B$6-D908,0)</f>
        <v>55261.600800596505</v>
      </c>
    </row>
    <row r="909" spans="1:5">
      <c r="A909" s="87">
        <v>898</v>
      </c>
      <c r="B909" s="5">
        <v>-2.6816996978595853</v>
      </c>
      <c r="C909" s="24">
        <f t="shared" si="42"/>
        <v>13099.845346577871</v>
      </c>
      <c r="D909" s="24">
        <f t="shared" ref="D909:D972" si="44">C909*(0.97^10)</f>
        <v>9660.1420171587743</v>
      </c>
      <c r="E909" s="24">
        <f t="shared" si="43"/>
        <v>90339.857982841233</v>
      </c>
    </row>
    <row r="910" spans="1:5">
      <c r="A910" s="87">
        <v>899</v>
      </c>
      <c r="B910" s="5">
        <v>0.78074890552670695</v>
      </c>
      <c r="C910" s="24">
        <f t="shared" si="42"/>
        <v>202331.28757839566</v>
      </c>
      <c r="D910" s="24">
        <f t="shared" si="44"/>
        <v>149203.97308602504</v>
      </c>
      <c r="E910" s="24">
        <f t="shared" si="43"/>
        <v>0</v>
      </c>
    </row>
    <row r="911" spans="1:5">
      <c r="A911" s="87">
        <v>900</v>
      </c>
      <c r="B911" s="5">
        <v>-4.7944013203959912E-2</v>
      </c>
      <c r="C911" s="24">
        <f t="shared" si="42"/>
        <v>105084.74454238404</v>
      </c>
      <c r="D911" s="24">
        <f t="shared" si="44"/>
        <v>77492.025994144118</v>
      </c>
      <c r="E911" s="24">
        <f t="shared" si="43"/>
        <v>22507.974005855882</v>
      </c>
    </row>
    <row r="912" spans="1:5">
      <c r="A912" s="87">
        <v>901</v>
      </c>
      <c r="B912" s="5">
        <v>0.65993845055345446</v>
      </c>
      <c r="C912" s="24">
        <f t="shared" si="42"/>
        <v>183900.95797357461</v>
      </c>
      <c r="D912" s="24">
        <f t="shared" si="44"/>
        <v>135613.00336880414</v>
      </c>
      <c r="E912" s="24">
        <f t="shared" si="43"/>
        <v>0</v>
      </c>
    </row>
    <row r="913" spans="1:5">
      <c r="A913" s="87">
        <v>902</v>
      </c>
      <c r="B913" s="5">
        <v>2.0558582036755979</v>
      </c>
      <c r="C913" s="24">
        <f t="shared" si="42"/>
        <v>554445.65982573188</v>
      </c>
      <c r="D913" s="24">
        <f t="shared" si="44"/>
        <v>408861.6066076727</v>
      </c>
      <c r="E913" s="24">
        <f t="shared" si="43"/>
        <v>0</v>
      </c>
    </row>
    <row r="914" spans="1:5">
      <c r="A914" s="87">
        <v>903</v>
      </c>
      <c r="B914" s="5">
        <v>-0.32981688491418026</v>
      </c>
      <c r="C914" s="24">
        <f t="shared" si="42"/>
        <v>84093.312401087562</v>
      </c>
      <c r="D914" s="24">
        <f t="shared" si="44"/>
        <v>62012.437475074432</v>
      </c>
      <c r="E914" s="24">
        <f t="shared" si="43"/>
        <v>37987.562524925568</v>
      </c>
    </row>
    <row r="915" spans="1:5">
      <c r="A915" s="87">
        <v>904</v>
      </c>
      <c r="B915" s="5">
        <v>1.1577753866731655</v>
      </c>
      <c r="C915" s="24">
        <f t="shared" si="42"/>
        <v>272590.86176101828</v>
      </c>
      <c r="D915" s="24">
        <f t="shared" si="44"/>
        <v>201015.07823365499</v>
      </c>
      <c r="E915" s="24">
        <f t="shared" si="43"/>
        <v>0</v>
      </c>
    </row>
    <row r="916" spans="1:5">
      <c r="A916" s="87">
        <v>905</v>
      </c>
      <c r="B916" s="5">
        <v>1.544863152957987</v>
      </c>
      <c r="C916" s="24">
        <f t="shared" si="42"/>
        <v>370180.87781391031</v>
      </c>
      <c r="D916" s="24">
        <f t="shared" si="44"/>
        <v>272980.31061512092</v>
      </c>
      <c r="E916" s="24">
        <f t="shared" si="43"/>
        <v>0</v>
      </c>
    </row>
    <row r="917" spans="1:5">
      <c r="A917" s="87">
        <v>906</v>
      </c>
      <c r="B917" s="5">
        <v>0.45370143197942525</v>
      </c>
      <c r="C917" s="24">
        <f t="shared" si="42"/>
        <v>156233.65289508179</v>
      </c>
      <c r="D917" s="24">
        <f t="shared" si="44"/>
        <v>115210.46507776096</v>
      </c>
      <c r="E917" s="24">
        <f t="shared" si="43"/>
        <v>0</v>
      </c>
    </row>
    <row r="918" spans="1:5">
      <c r="A918" s="87">
        <v>907</v>
      </c>
      <c r="B918" s="5">
        <v>-0.79840674516162835</v>
      </c>
      <c r="C918" s="24">
        <f t="shared" si="42"/>
        <v>58059.841723053883</v>
      </c>
      <c r="D918" s="24">
        <f t="shared" si="44"/>
        <v>42814.728090280732</v>
      </c>
      <c r="E918" s="24">
        <f t="shared" si="43"/>
        <v>57185.271909719268</v>
      </c>
    </row>
    <row r="919" spans="1:5">
      <c r="A919" s="87">
        <v>908</v>
      </c>
      <c r="B919" s="5">
        <v>-0.47534513214486651</v>
      </c>
      <c r="C919" s="24">
        <f t="shared" si="42"/>
        <v>74954.170212337791</v>
      </c>
      <c r="D919" s="24">
        <f t="shared" si="44"/>
        <v>55273.013525967028</v>
      </c>
      <c r="E919" s="24">
        <f t="shared" si="43"/>
        <v>44726.986474032972</v>
      </c>
    </row>
    <row r="920" spans="1:5">
      <c r="A920" s="87">
        <v>909</v>
      </c>
      <c r="B920" s="5">
        <v>-3.0718183552380651E-2</v>
      </c>
      <c r="C920" s="24">
        <f t="shared" si="42"/>
        <v>106525.59975873852</v>
      </c>
      <c r="D920" s="24">
        <f t="shared" si="44"/>
        <v>78554.547394046327</v>
      </c>
      <c r="E920" s="24">
        <f t="shared" si="43"/>
        <v>21445.452605953673</v>
      </c>
    </row>
    <row r="921" spans="1:5">
      <c r="A921" s="87">
        <v>910</v>
      </c>
      <c r="B921" s="5">
        <v>-1.2181908459751867</v>
      </c>
      <c r="C921" s="24">
        <f t="shared" si="42"/>
        <v>41662.679892480504</v>
      </c>
      <c r="D921" s="24">
        <f t="shared" si="44"/>
        <v>30723.065343815317</v>
      </c>
      <c r="E921" s="24">
        <f t="shared" si="43"/>
        <v>69276.934656184691</v>
      </c>
    </row>
    <row r="922" spans="1:5">
      <c r="A922" s="87">
        <v>911</v>
      </c>
      <c r="B922" s="5">
        <v>0.15139335118874442</v>
      </c>
      <c r="C922" s="24">
        <f t="shared" si="42"/>
        <v>123021.25423200491</v>
      </c>
      <c r="D922" s="24">
        <f t="shared" si="44"/>
        <v>90718.840991555218</v>
      </c>
      <c r="E922" s="24">
        <f t="shared" si="43"/>
        <v>9281.1590084447816</v>
      </c>
    </row>
    <row r="923" spans="1:5">
      <c r="A923" s="87">
        <v>912</v>
      </c>
      <c r="B923" s="5">
        <v>0.19160893316438887</v>
      </c>
      <c r="C923" s="24">
        <f t="shared" si="42"/>
        <v>126995.33432644498</v>
      </c>
      <c r="D923" s="24">
        <f t="shared" si="44"/>
        <v>93649.42353540819</v>
      </c>
      <c r="E923" s="24">
        <f t="shared" si="43"/>
        <v>6350.5764645918098</v>
      </c>
    </row>
    <row r="924" spans="1:5">
      <c r="A924" s="87">
        <v>913</v>
      </c>
      <c r="B924" s="5">
        <v>2.0269726519472897</v>
      </c>
      <c r="C924" s="24">
        <f t="shared" si="42"/>
        <v>541927.79323138972</v>
      </c>
      <c r="D924" s="24">
        <f t="shared" si="44"/>
        <v>399630.62976375275</v>
      </c>
      <c r="E924" s="24">
        <f t="shared" si="43"/>
        <v>0</v>
      </c>
    </row>
    <row r="925" spans="1:5">
      <c r="A925" s="87">
        <v>914</v>
      </c>
      <c r="B925" s="5">
        <v>-0.47800199354242068</v>
      </c>
      <c r="C925" s="24">
        <f t="shared" si="42"/>
        <v>74796.899199146646</v>
      </c>
      <c r="D925" s="24">
        <f t="shared" si="44"/>
        <v>55157.03808637867</v>
      </c>
      <c r="E925" s="24">
        <f t="shared" si="43"/>
        <v>44842.96191362133</v>
      </c>
    </row>
    <row r="926" spans="1:5">
      <c r="A926" s="87">
        <v>915</v>
      </c>
      <c r="B926" s="5">
        <v>-5.4532165449927561E-2</v>
      </c>
      <c r="C926" s="24">
        <f t="shared" si="42"/>
        <v>104538.84489819454</v>
      </c>
      <c r="D926" s="24">
        <f t="shared" si="44"/>
        <v>77089.466425655424</v>
      </c>
      <c r="E926" s="24">
        <f t="shared" si="43"/>
        <v>22910.533574344576</v>
      </c>
    </row>
    <row r="927" spans="1:5">
      <c r="A927" s="87">
        <v>916</v>
      </c>
      <c r="B927" s="5">
        <v>7.937387636047788E-2</v>
      </c>
      <c r="C927" s="24">
        <f t="shared" si="42"/>
        <v>116212.53872317841</v>
      </c>
      <c r="D927" s="24">
        <f t="shared" si="44"/>
        <v>85697.929902182877</v>
      </c>
      <c r="E927" s="24">
        <f t="shared" si="43"/>
        <v>14302.070097817123</v>
      </c>
    </row>
    <row r="928" spans="1:5">
      <c r="A928" s="87">
        <v>917</v>
      </c>
      <c r="B928" s="5">
        <v>-1.5375871953438036</v>
      </c>
      <c r="C928" s="24">
        <f t="shared" si="42"/>
        <v>32365.750371527756</v>
      </c>
      <c r="D928" s="24">
        <f t="shared" si="44"/>
        <v>23867.285209023055</v>
      </c>
      <c r="E928" s="24">
        <f t="shared" si="43"/>
        <v>76132.714790976941</v>
      </c>
    </row>
    <row r="929" spans="1:5">
      <c r="A929" s="87">
        <v>918</v>
      </c>
      <c r="B929" s="5">
        <v>1.9522758520906791</v>
      </c>
      <c r="C929" s="24">
        <f t="shared" si="42"/>
        <v>510851.92046183289</v>
      </c>
      <c r="D929" s="24">
        <f t="shared" si="44"/>
        <v>376714.53141916444</v>
      </c>
      <c r="E929" s="24">
        <f t="shared" si="43"/>
        <v>0</v>
      </c>
    </row>
    <row r="930" spans="1:5">
      <c r="A930" s="87">
        <v>919</v>
      </c>
      <c r="B930" s="5">
        <v>-3.0217961466405541E-3</v>
      </c>
      <c r="C930" s="24">
        <f t="shared" si="42"/>
        <v>108883.798675281</v>
      </c>
      <c r="D930" s="24">
        <f t="shared" si="44"/>
        <v>80293.540171122222</v>
      </c>
      <c r="E930" s="24">
        <f t="shared" si="43"/>
        <v>19706.459828877778</v>
      </c>
    </row>
    <row r="931" spans="1:5">
      <c r="A931" s="87">
        <v>920</v>
      </c>
      <c r="B931" s="5">
        <v>-0.46100467443466187</v>
      </c>
      <c r="C931" s="24">
        <f t="shared" si="42"/>
        <v>75808.770380899456</v>
      </c>
      <c r="D931" s="24">
        <f t="shared" si="44"/>
        <v>55903.216309112875</v>
      </c>
      <c r="E931" s="24">
        <f t="shared" si="43"/>
        <v>44096.783690887125</v>
      </c>
    </row>
    <row r="932" spans="1:5">
      <c r="A932" s="87">
        <v>921</v>
      </c>
      <c r="B932" s="5">
        <v>0.30287310437415726</v>
      </c>
      <c r="C932" s="24">
        <f t="shared" si="42"/>
        <v>138672.13403392502</v>
      </c>
      <c r="D932" s="24">
        <f t="shared" si="44"/>
        <v>102260.17736462361</v>
      </c>
      <c r="E932" s="24">
        <f t="shared" si="43"/>
        <v>0</v>
      </c>
    </row>
    <row r="933" spans="1:5">
      <c r="A933" s="87">
        <v>922</v>
      </c>
      <c r="B933" s="5">
        <v>-1.5787918528076261</v>
      </c>
      <c r="C933" s="24">
        <f t="shared" si="42"/>
        <v>31328.418798405528</v>
      </c>
      <c r="D933" s="24">
        <f t="shared" si="44"/>
        <v>23102.331879412854</v>
      </c>
      <c r="E933" s="24">
        <f t="shared" si="43"/>
        <v>76897.668120587143</v>
      </c>
    </row>
    <row r="934" spans="1:5">
      <c r="A934" s="87">
        <v>923</v>
      </c>
      <c r="B934" s="5">
        <v>-0.33839114621514454</v>
      </c>
      <c r="C934" s="24">
        <f t="shared" si="42"/>
        <v>83525.209416359314</v>
      </c>
      <c r="D934" s="24">
        <f t="shared" si="44"/>
        <v>61593.504627574803</v>
      </c>
      <c r="E934" s="24">
        <f t="shared" si="43"/>
        <v>38406.495372425197</v>
      </c>
    </row>
    <row r="935" spans="1:5">
      <c r="A935" s="87">
        <v>924</v>
      </c>
      <c r="B935" s="5">
        <v>-0.72290049502043985</v>
      </c>
      <c r="C935" s="24">
        <f t="shared" si="42"/>
        <v>61631.133973588781</v>
      </c>
      <c r="D935" s="24">
        <f t="shared" si="44"/>
        <v>45448.285160018051</v>
      </c>
      <c r="E935" s="24">
        <f t="shared" si="43"/>
        <v>54551.714839981949</v>
      </c>
    </row>
    <row r="936" spans="1:5">
      <c r="A936" s="87">
        <v>925</v>
      </c>
      <c r="B936" s="5">
        <v>0.57630359151517041</v>
      </c>
      <c r="C936" s="24">
        <f t="shared" si="42"/>
        <v>172134.84964783129</v>
      </c>
      <c r="D936" s="24">
        <f t="shared" si="44"/>
        <v>126936.39120974172</v>
      </c>
      <c r="E936" s="24">
        <f t="shared" si="43"/>
        <v>0</v>
      </c>
    </row>
    <row r="937" spans="1:5">
      <c r="A937" s="87">
        <v>926</v>
      </c>
      <c r="B937" s="5">
        <v>-1.4435363482334651</v>
      </c>
      <c r="C937" s="24">
        <f t="shared" si="42"/>
        <v>34863.990285876236</v>
      </c>
      <c r="D937" s="24">
        <f t="shared" si="44"/>
        <v>25709.547596635541</v>
      </c>
      <c r="E937" s="24">
        <f t="shared" si="43"/>
        <v>74290.452403364456</v>
      </c>
    </row>
    <row r="938" spans="1:5">
      <c r="A938" s="87">
        <v>927</v>
      </c>
      <c r="B938" s="5">
        <v>1.3301246326591354</v>
      </c>
      <c r="C938" s="24">
        <f t="shared" si="42"/>
        <v>312381.76286931452</v>
      </c>
      <c r="D938" s="24">
        <f t="shared" si="44"/>
        <v>230357.84874180277</v>
      </c>
      <c r="E938" s="24">
        <f t="shared" si="43"/>
        <v>0</v>
      </c>
    </row>
    <row r="939" spans="1:5">
      <c r="A939" s="87">
        <v>928</v>
      </c>
      <c r="B939" s="5">
        <v>-0.71932845457922667</v>
      </c>
      <c r="C939" s="24">
        <f t="shared" si="42"/>
        <v>61805.422938530086</v>
      </c>
      <c r="D939" s="24">
        <f t="shared" si="44"/>
        <v>45576.810047817315</v>
      </c>
      <c r="E939" s="24">
        <f t="shared" si="43"/>
        <v>54423.189952182685</v>
      </c>
    </row>
    <row r="940" spans="1:5">
      <c r="A940" s="87">
        <v>929</v>
      </c>
      <c r="B940" s="5">
        <v>0.36852043194812723</v>
      </c>
      <c r="C940" s="24">
        <f t="shared" si="42"/>
        <v>146059.07575166415</v>
      </c>
      <c r="D940" s="24">
        <f t="shared" si="44"/>
        <v>107707.48641125111</v>
      </c>
      <c r="E940" s="24">
        <f t="shared" si="43"/>
        <v>0</v>
      </c>
    </row>
    <row r="941" spans="1:5">
      <c r="A941" s="87">
        <v>930</v>
      </c>
      <c r="B941" s="5">
        <v>-1.2148257155786268</v>
      </c>
      <c r="C941" s="24">
        <f t="shared" si="42"/>
        <v>41773.665567545635</v>
      </c>
      <c r="D941" s="24">
        <f t="shared" si="44"/>
        <v>30804.908858348066</v>
      </c>
      <c r="E941" s="24">
        <f t="shared" si="43"/>
        <v>69195.091141651938</v>
      </c>
    </row>
    <row r="942" spans="1:5">
      <c r="A942" s="87">
        <v>931</v>
      </c>
      <c r="B942" s="5">
        <v>9.350287655252032E-2</v>
      </c>
      <c r="C942" s="24">
        <f t="shared" si="42"/>
        <v>117517.90446589761</v>
      </c>
      <c r="D942" s="24">
        <f t="shared" si="44"/>
        <v>86660.538095286131</v>
      </c>
      <c r="E942" s="24">
        <f t="shared" si="43"/>
        <v>13339.461904713869</v>
      </c>
    </row>
    <row r="943" spans="1:5">
      <c r="A943" s="87">
        <v>932</v>
      </c>
      <c r="B943" s="5">
        <v>0.13477688298735302</v>
      </c>
      <c r="C943" s="24">
        <f t="shared" si="42"/>
        <v>121415.7573958798</v>
      </c>
      <c r="D943" s="24">
        <f t="shared" si="44"/>
        <v>89534.908888943086</v>
      </c>
      <c r="E943" s="24">
        <f t="shared" si="43"/>
        <v>10465.091111056914</v>
      </c>
    </row>
    <row r="944" spans="1:5">
      <c r="A944" s="87">
        <v>933</v>
      </c>
      <c r="B944" s="5">
        <v>0.77919366958667524</v>
      </c>
      <c r="C944" s="24">
        <f t="shared" si="42"/>
        <v>202082.66968753235</v>
      </c>
      <c r="D944" s="24">
        <f t="shared" si="44"/>
        <v>149020.63625492473</v>
      </c>
      <c r="E944" s="24">
        <f t="shared" si="43"/>
        <v>0</v>
      </c>
    </row>
    <row r="945" spans="1:5">
      <c r="A945" s="87">
        <v>934</v>
      </c>
      <c r="B945" s="5">
        <v>-0.49990035222435836</v>
      </c>
      <c r="C945" s="24">
        <f t="shared" si="42"/>
        <v>73513.146704412298</v>
      </c>
      <c r="D945" s="24">
        <f t="shared" si="44"/>
        <v>54210.368023800009</v>
      </c>
      <c r="E945" s="24">
        <f t="shared" si="43"/>
        <v>45789.631976199991</v>
      </c>
    </row>
    <row r="946" spans="1:5">
      <c r="A946" s="87">
        <v>935</v>
      </c>
      <c r="B946" s="5">
        <v>-0.10034227670985274</v>
      </c>
      <c r="C946" s="24">
        <f t="shared" si="42"/>
        <v>100820.59507477829</v>
      </c>
      <c r="D946" s="24">
        <f t="shared" si="44"/>
        <v>74347.539296045477</v>
      </c>
      <c r="E946" s="24">
        <f t="shared" si="43"/>
        <v>25652.460703954523</v>
      </c>
    </row>
    <row r="947" spans="1:5">
      <c r="A947" s="87">
        <v>936</v>
      </c>
      <c r="B947" s="5">
        <v>-0.79809069575276226</v>
      </c>
      <c r="C947" s="24">
        <f t="shared" si="42"/>
        <v>58074.350309306574</v>
      </c>
      <c r="D947" s="24">
        <f t="shared" si="44"/>
        <v>42825.427071830607</v>
      </c>
      <c r="E947" s="24">
        <f t="shared" si="43"/>
        <v>57174.572928169393</v>
      </c>
    </row>
    <row r="948" spans="1:5">
      <c r="A948" s="87">
        <v>937</v>
      </c>
      <c r="B948" s="5">
        <v>0.34609684007591568</v>
      </c>
      <c r="C948" s="24">
        <f t="shared" si="42"/>
        <v>143492.64254112437</v>
      </c>
      <c r="D948" s="24">
        <f t="shared" si="44"/>
        <v>105814.93664173468</v>
      </c>
      <c r="E948" s="24">
        <f t="shared" si="43"/>
        <v>0</v>
      </c>
    </row>
    <row r="949" spans="1:5">
      <c r="A949" s="87">
        <v>938</v>
      </c>
      <c r="B949" s="5">
        <v>1.4435363482334651</v>
      </c>
      <c r="C949" s="24">
        <f t="shared" si="42"/>
        <v>341683.84251040372</v>
      </c>
      <c r="D949" s="24">
        <f t="shared" si="44"/>
        <v>251965.90923733861</v>
      </c>
      <c r="E949" s="24">
        <f t="shared" si="43"/>
        <v>0</v>
      </c>
    </row>
    <row r="950" spans="1:5">
      <c r="A950" s="87">
        <v>939</v>
      </c>
      <c r="B950" s="5">
        <v>-1.4016632121638395</v>
      </c>
      <c r="C950" s="24">
        <f t="shared" si="42"/>
        <v>36037.429989915145</v>
      </c>
      <c r="D950" s="24">
        <f t="shared" si="44"/>
        <v>26574.870345850275</v>
      </c>
      <c r="E950" s="24">
        <f t="shared" si="43"/>
        <v>73425.129654149729</v>
      </c>
    </row>
    <row r="951" spans="1:5">
      <c r="A951" s="87">
        <v>940</v>
      </c>
      <c r="B951" s="5">
        <v>1.4828037819825113</v>
      </c>
      <c r="C951" s="24">
        <f t="shared" si="42"/>
        <v>352457.30858905584</v>
      </c>
      <c r="D951" s="24">
        <f t="shared" si="44"/>
        <v>259910.52305402077</v>
      </c>
      <c r="E951" s="24">
        <f t="shared" si="43"/>
        <v>0</v>
      </c>
    </row>
    <row r="952" spans="1:5">
      <c r="A952" s="87">
        <v>941</v>
      </c>
      <c r="B952" s="5">
        <v>0.69847828854108229</v>
      </c>
      <c r="C952" s="24">
        <f t="shared" si="42"/>
        <v>189590.36252783626</v>
      </c>
      <c r="D952" s="24">
        <f t="shared" si="44"/>
        <v>139808.50755478255</v>
      </c>
      <c r="E952" s="24">
        <f t="shared" si="43"/>
        <v>0</v>
      </c>
    </row>
    <row r="953" spans="1:5">
      <c r="A953" s="87">
        <v>942</v>
      </c>
      <c r="B953" s="5">
        <v>0.4481967152969446</v>
      </c>
      <c r="C953" s="24">
        <f t="shared" si="42"/>
        <v>155555.22309589712</v>
      </c>
      <c r="D953" s="24">
        <f t="shared" si="44"/>
        <v>114710.1745754377</v>
      </c>
      <c r="E953" s="24">
        <f t="shared" si="43"/>
        <v>0</v>
      </c>
    </row>
    <row r="954" spans="1:5">
      <c r="A954" s="87">
        <v>943</v>
      </c>
      <c r="B954" s="5">
        <v>0.39725023270875681</v>
      </c>
      <c r="C954" s="24">
        <f t="shared" si="42"/>
        <v>149414.46222960023</v>
      </c>
      <c r="D954" s="24">
        <f t="shared" si="44"/>
        <v>110181.82935513818</v>
      </c>
      <c r="E954" s="24">
        <f t="shared" si="43"/>
        <v>0</v>
      </c>
    </row>
    <row r="955" spans="1:5">
      <c r="A955" s="87">
        <v>944</v>
      </c>
      <c r="B955" s="5">
        <v>-0.5645119927066844</v>
      </c>
      <c r="C955" s="24">
        <f t="shared" si="42"/>
        <v>69852.387823021418</v>
      </c>
      <c r="D955" s="24">
        <f t="shared" si="44"/>
        <v>51510.836101917484</v>
      </c>
      <c r="E955" s="24">
        <f t="shared" si="43"/>
        <v>48489.163898082516</v>
      </c>
    </row>
    <row r="956" spans="1:5">
      <c r="A956" s="87">
        <v>945</v>
      </c>
      <c r="B956" s="5">
        <v>1.1992915460723452</v>
      </c>
      <c r="C956" s="24">
        <f t="shared" si="42"/>
        <v>281686.12017985573</v>
      </c>
      <c r="D956" s="24">
        <f t="shared" si="44"/>
        <v>207722.14123204994</v>
      </c>
      <c r="E956" s="24">
        <f t="shared" si="43"/>
        <v>0</v>
      </c>
    </row>
    <row r="957" spans="1:5">
      <c r="A957" s="87">
        <v>946</v>
      </c>
      <c r="B957" s="5">
        <v>-0.14953684512875043</v>
      </c>
      <c r="C957" s="24">
        <f t="shared" si="42"/>
        <v>96974.778556035046</v>
      </c>
      <c r="D957" s="24">
        <f t="shared" si="44"/>
        <v>71511.541407513156</v>
      </c>
      <c r="E957" s="24">
        <f t="shared" si="43"/>
        <v>28488.458592486844</v>
      </c>
    </row>
    <row r="958" spans="1:5">
      <c r="A958" s="87">
        <v>947</v>
      </c>
      <c r="B958" s="5">
        <v>0.57720853874343447</v>
      </c>
      <c r="C958" s="24">
        <f t="shared" si="42"/>
        <v>172258.04304428259</v>
      </c>
      <c r="D958" s="24">
        <f t="shared" si="44"/>
        <v>127027.23699255905</v>
      </c>
      <c r="E958" s="24">
        <f t="shared" si="43"/>
        <v>0</v>
      </c>
    </row>
    <row r="959" spans="1:5">
      <c r="A959" s="87">
        <v>948</v>
      </c>
      <c r="B959" s="5">
        <v>0.13153567124390975</v>
      </c>
      <c r="C959" s="24">
        <f t="shared" si="42"/>
        <v>121105.03957255099</v>
      </c>
      <c r="D959" s="24">
        <f t="shared" si="44"/>
        <v>89305.77806936414</v>
      </c>
      <c r="E959" s="24">
        <f t="shared" si="43"/>
        <v>10694.22193063586</v>
      </c>
    </row>
    <row r="960" spans="1:5">
      <c r="A960" s="87">
        <v>949</v>
      </c>
      <c r="B960" s="5">
        <v>-1.6962076188065112</v>
      </c>
      <c r="C960" s="24">
        <f t="shared" si="42"/>
        <v>28551.238665657835</v>
      </c>
      <c r="D960" s="24">
        <f t="shared" si="44"/>
        <v>21054.372244791444</v>
      </c>
      <c r="E960" s="24">
        <f t="shared" si="43"/>
        <v>78945.627755208552</v>
      </c>
    </row>
    <row r="961" spans="1:5">
      <c r="A961" s="87">
        <v>950</v>
      </c>
      <c r="B961" s="5">
        <v>-1.3139924703864381</v>
      </c>
      <c r="C961" s="24">
        <f t="shared" si="42"/>
        <v>38623.771438901713</v>
      </c>
      <c r="D961" s="24">
        <f t="shared" si="44"/>
        <v>28482.100930721361</v>
      </c>
      <c r="E961" s="24">
        <f t="shared" si="43"/>
        <v>71517.899069278646</v>
      </c>
    </row>
    <row r="962" spans="1:5">
      <c r="A962" s="87">
        <v>951</v>
      </c>
      <c r="B962" s="5">
        <v>-0.45607635001942981</v>
      </c>
      <c r="C962" s="24">
        <f t="shared" si="42"/>
        <v>76104.711334820269</v>
      </c>
      <c r="D962" s="24">
        <f t="shared" si="44"/>
        <v>56121.450308670384</v>
      </c>
      <c r="E962" s="24">
        <f t="shared" si="43"/>
        <v>43878.549691329616</v>
      </c>
    </row>
    <row r="963" spans="1:5">
      <c r="A963" s="87">
        <v>952</v>
      </c>
      <c r="B963" s="5">
        <v>-1.1803490451711696</v>
      </c>
      <c r="C963" s="24">
        <f t="shared" si="42"/>
        <v>42927.915780427415</v>
      </c>
      <c r="D963" s="24">
        <f t="shared" si="44"/>
        <v>31656.080813800698</v>
      </c>
      <c r="E963" s="24">
        <f t="shared" si="43"/>
        <v>68343.919186199302</v>
      </c>
    </row>
    <row r="964" spans="1:5">
      <c r="A964" s="87">
        <v>953</v>
      </c>
      <c r="B964" s="5">
        <v>1.4529268810292706</v>
      </c>
      <c r="C964" s="24">
        <f t="shared" si="42"/>
        <v>344229.89735554712</v>
      </c>
      <c r="D964" s="24">
        <f t="shared" si="44"/>
        <v>253843.43150854509</v>
      </c>
      <c r="E964" s="24">
        <f t="shared" si="43"/>
        <v>0</v>
      </c>
    </row>
    <row r="965" spans="1:5">
      <c r="A965" s="87">
        <v>954</v>
      </c>
      <c r="B965" s="5">
        <v>-1.4267698134062812E-2</v>
      </c>
      <c r="C965" s="24">
        <f t="shared" si="42"/>
        <v>107920.03974918241</v>
      </c>
      <c r="D965" s="24">
        <f t="shared" si="44"/>
        <v>79582.841086506785</v>
      </c>
      <c r="E965" s="24">
        <f t="shared" si="43"/>
        <v>20417.158913493215</v>
      </c>
    </row>
    <row r="966" spans="1:5">
      <c r="A966" s="87">
        <v>955</v>
      </c>
      <c r="B966" s="5">
        <v>0.29159991754568182</v>
      </c>
      <c r="C966" s="24">
        <f t="shared" si="42"/>
        <v>137441.74604782817</v>
      </c>
      <c r="D966" s="24">
        <f t="shared" si="44"/>
        <v>101352.85957823414</v>
      </c>
      <c r="E966" s="24">
        <f t="shared" si="43"/>
        <v>0</v>
      </c>
    </row>
    <row r="967" spans="1:5">
      <c r="A967" s="87">
        <v>956</v>
      </c>
      <c r="B967" s="5">
        <v>1.2607370081241243</v>
      </c>
      <c r="C967" s="24">
        <f t="shared" si="42"/>
        <v>295707.35656468308</v>
      </c>
      <c r="D967" s="24">
        <f t="shared" si="44"/>
        <v>218061.73923111864</v>
      </c>
      <c r="E967" s="24">
        <f t="shared" si="43"/>
        <v>0</v>
      </c>
    </row>
    <row r="968" spans="1:5">
      <c r="A968" s="87">
        <v>957</v>
      </c>
      <c r="B968" s="5">
        <v>-0.55137434173957445</v>
      </c>
      <c r="C968" s="24">
        <f t="shared" si="42"/>
        <v>70581.671136987206</v>
      </c>
      <c r="D968" s="24">
        <f t="shared" si="44"/>
        <v>52048.627212977743</v>
      </c>
      <c r="E968" s="24">
        <f t="shared" si="43"/>
        <v>47951.372787022257</v>
      </c>
    </row>
    <row r="969" spans="1:5">
      <c r="A969" s="87">
        <v>958</v>
      </c>
      <c r="B969" s="5">
        <v>-0.2856188530131476</v>
      </c>
      <c r="C969" s="24">
        <f t="shared" si="42"/>
        <v>87083.60693440758</v>
      </c>
      <c r="D969" s="24">
        <f t="shared" si="44"/>
        <v>64217.552810466623</v>
      </c>
      <c r="E969" s="24">
        <f t="shared" si="43"/>
        <v>35782.447189533377</v>
      </c>
    </row>
    <row r="970" spans="1:5">
      <c r="A970" s="87">
        <v>959</v>
      </c>
      <c r="B970" s="5">
        <v>0.71853719418868423</v>
      </c>
      <c r="C970" s="24">
        <f t="shared" si="42"/>
        <v>192620.84351393362</v>
      </c>
      <c r="D970" s="24">
        <f t="shared" si="44"/>
        <v>142043.2573500271</v>
      </c>
      <c r="E970" s="24">
        <f t="shared" si="43"/>
        <v>0</v>
      </c>
    </row>
    <row r="971" spans="1:5">
      <c r="A971" s="87">
        <v>960</v>
      </c>
      <c r="B971" s="5">
        <v>0.28593831302714534</v>
      </c>
      <c r="C971" s="24">
        <f t="shared" si="42"/>
        <v>136827.94639748006</v>
      </c>
      <c r="D971" s="24">
        <f t="shared" si="44"/>
        <v>100900.22890698777</v>
      </c>
      <c r="E971" s="24">
        <f t="shared" si="43"/>
        <v>0</v>
      </c>
    </row>
    <row r="972" spans="1:5">
      <c r="A972" s="87">
        <v>961</v>
      </c>
      <c r="B972" s="5">
        <v>0.52537416195264086</v>
      </c>
      <c r="C972" s="24">
        <f t="shared" ref="C972:C1011" si="45">B$6*EXP(B972*B$5*SQRT(10)+10*(B$4-(B$5^2)/2))</f>
        <v>165341.81379912217</v>
      </c>
      <c r="D972" s="24">
        <f t="shared" si="44"/>
        <v>121927.04268004146</v>
      </c>
      <c r="E972" s="24">
        <f t="shared" ref="E972:E1011" si="46">MAX(B$6-D972,0)</f>
        <v>0</v>
      </c>
    </row>
    <row r="973" spans="1:5">
      <c r="A973" s="87">
        <v>962</v>
      </c>
      <c r="B973" s="5">
        <v>-0.42078909245901741</v>
      </c>
      <c r="C973" s="24">
        <f t="shared" si="45"/>
        <v>78257.697822222282</v>
      </c>
      <c r="D973" s="24">
        <f t="shared" ref="D973:D1011" si="47">C973*(0.97^10)</f>
        <v>57709.114489359388</v>
      </c>
      <c r="E973" s="24">
        <f t="shared" si="46"/>
        <v>42290.885510640612</v>
      </c>
    </row>
    <row r="974" spans="1:5">
      <c r="A974" s="87">
        <v>963</v>
      </c>
      <c r="B974" s="5">
        <v>0.91688434622483328</v>
      </c>
      <c r="C974" s="24">
        <f t="shared" si="45"/>
        <v>225322.09395756407</v>
      </c>
      <c r="D974" s="24">
        <f t="shared" si="47"/>
        <v>166157.94840679367</v>
      </c>
      <c r="E974" s="24">
        <f t="shared" si="46"/>
        <v>0</v>
      </c>
    </row>
    <row r="975" spans="1:5">
      <c r="A975" s="87">
        <v>964</v>
      </c>
      <c r="B975" s="5">
        <v>-0.2269541710120393</v>
      </c>
      <c r="C975" s="24">
        <f t="shared" si="45"/>
        <v>91217.536042987602</v>
      </c>
      <c r="D975" s="24">
        <f t="shared" si="47"/>
        <v>67266.01187400677</v>
      </c>
      <c r="E975" s="24">
        <f t="shared" si="46"/>
        <v>32733.98812599323</v>
      </c>
    </row>
    <row r="976" spans="1:5">
      <c r="A976" s="87">
        <v>965</v>
      </c>
      <c r="B976" s="5">
        <v>-0.35961079447588418</v>
      </c>
      <c r="C976" s="24">
        <f t="shared" si="45"/>
        <v>82135.710927768829</v>
      </c>
      <c r="D976" s="24">
        <f t="shared" si="47"/>
        <v>60568.854917804143</v>
      </c>
      <c r="E976" s="24">
        <f t="shared" si="46"/>
        <v>39431.145082195857</v>
      </c>
    </row>
    <row r="977" spans="1:5">
      <c r="A977" s="87">
        <v>966</v>
      </c>
      <c r="B977" s="5">
        <v>-0.42087208385055419</v>
      </c>
      <c r="C977" s="24">
        <f t="shared" si="45"/>
        <v>78252.563467429063</v>
      </c>
      <c r="D977" s="24">
        <f t="shared" si="47"/>
        <v>57705.328292258833</v>
      </c>
      <c r="E977" s="24">
        <f t="shared" si="46"/>
        <v>42294.671707741167</v>
      </c>
    </row>
    <row r="978" spans="1:5">
      <c r="A978" s="87">
        <v>967</v>
      </c>
      <c r="B978" s="5">
        <v>-4.2507508624112234E-2</v>
      </c>
      <c r="C978" s="24">
        <f t="shared" si="45"/>
        <v>105537.36383187058</v>
      </c>
      <c r="D978" s="24">
        <f t="shared" si="47"/>
        <v>77825.798378509542</v>
      </c>
      <c r="E978" s="24">
        <f t="shared" si="46"/>
        <v>22174.201621490458</v>
      </c>
    </row>
    <row r="979" spans="1:5">
      <c r="A979" s="87">
        <v>968</v>
      </c>
      <c r="B979" s="5">
        <v>0.37885683923377655</v>
      </c>
      <c r="C979" s="24">
        <f t="shared" si="45"/>
        <v>147257.50894517804</v>
      </c>
      <c r="D979" s="24">
        <f t="shared" si="47"/>
        <v>108591.23996261999</v>
      </c>
      <c r="E979" s="24">
        <f t="shared" si="46"/>
        <v>0</v>
      </c>
    </row>
    <row r="980" spans="1:5">
      <c r="A980" s="87">
        <v>969</v>
      </c>
      <c r="B980" s="5">
        <v>-0.43184627429582179</v>
      </c>
      <c r="C980" s="24">
        <f t="shared" si="45"/>
        <v>77576.591792921361</v>
      </c>
      <c r="D980" s="24">
        <f t="shared" si="47"/>
        <v>57206.850470379286</v>
      </c>
      <c r="E980" s="24">
        <f t="shared" si="46"/>
        <v>42793.149529620714</v>
      </c>
    </row>
    <row r="981" spans="1:5">
      <c r="A981" s="87">
        <v>970</v>
      </c>
      <c r="B981" s="5">
        <v>-0.59327703638700768</v>
      </c>
      <c r="C981" s="24">
        <f t="shared" si="45"/>
        <v>68281.816848964721</v>
      </c>
      <c r="D981" s="24">
        <f t="shared" si="47"/>
        <v>50352.659172647211</v>
      </c>
      <c r="E981" s="24">
        <f t="shared" si="46"/>
        <v>49647.340827352789</v>
      </c>
    </row>
    <row r="982" spans="1:5">
      <c r="A982" s="87">
        <v>971</v>
      </c>
      <c r="B982" s="5">
        <v>-0.42053784454765264</v>
      </c>
      <c r="C982" s="24">
        <f t="shared" si="45"/>
        <v>78273.243607647877</v>
      </c>
      <c r="D982" s="24">
        <f t="shared" si="47"/>
        <v>57720.578326603754</v>
      </c>
      <c r="E982" s="24">
        <f t="shared" si="46"/>
        <v>42279.421673396246</v>
      </c>
    </row>
    <row r="983" spans="1:5">
      <c r="A983" s="87">
        <v>972</v>
      </c>
      <c r="B983" s="5">
        <v>-0.49228674470214173</v>
      </c>
      <c r="C983" s="24">
        <f t="shared" si="45"/>
        <v>73956.962945029984</v>
      </c>
      <c r="D983" s="24">
        <f t="shared" si="47"/>
        <v>54537.648827539291</v>
      </c>
      <c r="E983" s="24">
        <f t="shared" si="46"/>
        <v>45462.351172460709</v>
      </c>
    </row>
    <row r="984" spans="1:5">
      <c r="A984" s="87">
        <v>973</v>
      </c>
      <c r="B984" s="5">
        <v>1.4943861970095895</v>
      </c>
      <c r="C984" s="24">
        <f t="shared" si="45"/>
        <v>355699.47664137982</v>
      </c>
      <c r="D984" s="24">
        <f t="shared" si="47"/>
        <v>262301.37599925243</v>
      </c>
      <c r="E984" s="24">
        <f t="shared" si="46"/>
        <v>0</v>
      </c>
    </row>
    <row r="985" spans="1:5">
      <c r="A985" s="87">
        <v>974</v>
      </c>
      <c r="B985" s="5">
        <v>1.3031876733293757</v>
      </c>
      <c r="C985" s="24">
        <f t="shared" si="45"/>
        <v>305799.75813896215</v>
      </c>
      <c r="D985" s="24">
        <f t="shared" si="47"/>
        <v>225504.11965030438</v>
      </c>
      <c r="E985" s="24">
        <f t="shared" si="46"/>
        <v>0</v>
      </c>
    </row>
    <row r="986" spans="1:5">
      <c r="A986" s="87">
        <v>975</v>
      </c>
      <c r="B986" s="5">
        <v>0.2178580871259328</v>
      </c>
      <c r="C986" s="24">
        <f t="shared" si="45"/>
        <v>129658.24788288138</v>
      </c>
      <c r="D986" s="24">
        <f t="shared" si="47"/>
        <v>95613.12023975997</v>
      </c>
      <c r="E986" s="24">
        <f t="shared" si="46"/>
        <v>4386.87976024003</v>
      </c>
    </row>
    <row r="987" spans="1:5">
      <c r="A987" s="87">
        <v>976</v>
      </c>
      <c r="B987" s="5">
        <v>1.6126750779221766</v>
      </c>
      <c r="C987" s="24">
        <f t="shared" si="45"/>
        <v>390567.87859222334</v>
      </c>
      <c r="D987" s="24">
        <f t="shared" si="47"/>
        <v>288014.1768640746</v>
      </c>
      <c r="E987" s="24">
        <f t="shared" si="46"/>
        <v>0</v>
      </c>
    </row>
    <row r="988" spans="1:5">
      <c r="A988" s="87">
        <v>977</v>
      </c>
      <c r="B988" s="5">
        <v>0.1302237251366023</v>
      </c>
      <c r="C988" s="24">
        <f t="shared" si="45"/>
        <v>120979.49642363326</v>
      </c>
      <c r="D988" s="24">
        <f t="shared" si="47"/>
        <v>89213.199522385839</v>
      </c>
      <c r="E988" s="24">
        <f t="shared" si="46"/>
        <v>10786.800477614161</v>
      </c>
    </row>
    <row r="989" spans="1:5">
      <c r="A989" s="87">
        <v>978</v>
      </c>
      <c r="B989" s="5">
        <v>-0.1301464180869516</v>
      </c>
      <c r="C989" s="24">
        <f t="shared" si="45"/>
        <v>98472.803984156548</v>
      </c>
      <c r="D989" s="24">
        <f t="shared" si="47"/>
        <v>72616.221500912055</v>
      </c>
      <c r="E989" s="24">
        <f t="shared" si="46"/>
        <v>27383.778499087945</v>
      </c>
    </row>
    <row r="990" spans="1:5">
      <c r="A990" s="87">
        <v>979</v>
      </c>
      <c r="B990" s="5">
        <v>0.87696662376401946</v>
      </c>
      <c r="C990" s="24">
        <f t="shared" si="45"/>
        <v>218322.4671060394</v>
      </c>
      <c r="D990" s="24">
        <f t="shared" si="47"/>
        <v>160996.25468721779</v>
      </c>
      <c r="E990" s="24">
        <f t="shared" si="46"/>
        <v>0</v>
      </c>
    </row>
    <row r="991" spans="1:5">
      <c r="A991" s="87">
        <v>980</v>
      </c>
      <c r="B991" s="5">
        <v>2.9647253541043028E-2</v>
      </c>
      <c r="C991" s="24">
        <f t="shared" si="45"/>
        <v>111732.58672674689</v>
      </c>
      <c r="D991" s="24">
        <f t="shared" si="47"/>
        <v>82394.305212683161</v>
      </c>
      <c r="E991" s="24">
        <f t="shared" si="46"/>
        <v>17605.694787316839</v>
      </c>
    </row>
    <row r="992" spans="1:5">
      <c r="A992" s="87">
        <v>981</v>
      </c>
      <c r="B992" s="5">
        <v>0.60950242186663672</v>
      </c>
      <c r="C992" s="24">
        <f t="shared" si="45"/>
        <v>176712.50723050797</v>
      </c>
      <c r="D992" s="24">
        <f t="shared" si="47"/>
        <v>130312.06635587102</v>
      </c>
      <c r="E992" s="24">
        <f t="shared" si="46"/>
        <v>0</v>
      </c>
    </row>
    <row r="993" spans="1:5">
      <c r="A993" s="87">
        <v>982</v>
      </c>
      <c r="B993" s="5">
        <v>0.14682882465422153</v>
      </c>
      <c r="C993" s="24">
        <f t="shared" si="45"/>
        <v>122578.12281796678</v>
      </c>
      <c r="D993" s="24">
        <f t="shared" si="47"/>
        <v>90392.065195458432</v>
      </c>
      <c r="E993" s="24">
        <f t="shared" si="46"/>
        <v>9607.9348045415682</v>
      </c>
    </row>
    <row r="994" spans="1:5">
      <c r="A994" s="87">
        <v>983</v>
      </c>
      <c r="B994" s="5">
        <v>0.75812181421497371</v>
      </c>
      <c r="C994" s="24">
        <f t="shared" si="45"/>
        <v>198744.10747743864</v>
      </c>
      <c r="D994" s="24">
        <f t="shared" si="47"/>
        <v>146558.69993206195</v>
      </c>
      <c r="E994" s="24">
        <f t="shared" si="46"/>
        <v>0</v>
      </c>
    </row>
    <row r="995" spans="1:5">
      <c r="A995" s="87">
        <v>984</v>
      </c>
      <c r="B995" s="5">
        <v>-1.5365912986453623</v>
      </c>
      <c r="C995" s="24">
        <f t="shared" si="45"/>
        <v>32391.242785258029</v>
      </c>
      <c r="D995" s="24">
        <f t="shared" si="47"/>
        <v>23886.083929960543</v>
      </c>
      <c r="E995" s="24">
        <f t="shared" si="46"/>
        <v>76113.916070039457</v>
      </c>
    </row>
    <row r="996" spans="1:5">
      <c r="A996" s="87">
        <v>985</v>
      </c>
      <c r="B996" s="5">
        <v>0.57793158703134395</v>
      </c>
      <c r="C996" s="24">
        <f t="shared" si="45"/>
        <v>172356.53731103704</v>
      </c>
      <c r="D996" s="24">
        <f t="shared" si="47"/>
        <v>127099.86904122461</v>
      </c>
      <c r="E996" s="24">
        <f t="shared" si="46"/>
        <v>0</v>
      </c>
    </row>
    <row r="997" spans="1:5">
      <c r="A997" s="87">
        <v>986</v>
      </c>
      <c r="B997" s="5">
        <v>0.55084001360228285</v>
      </c>
      <c r="C997" s="24">
        <f t="shared" si="45"/>
        <v>168704.29579294621</v>
      </c>
      <c r="D997" s="24">
        <f t="shared" si="47"/>
        <v>124406.61802853706</v>
      </c>
      <c r="E997" s="24">
        <f t="shared" si="46"/>
        <v>0</v>
      </c>
    </row>
    <row r="998" spans="1:5">
      <c r="A998" s="87">
        <v>987</v>
      </c>
      <c r="B998" s="5">
        <v>1.0071721590065863</v>
      </c>
      <c r="C998" s="24">
        <f t="shared" si="45"/>
        <v>241993.21548569435</v>
      </c>
      <c r="D998" s="24">
        <f t="shared" si="47"/>
        <v>178451.63564403437</v>
      </c>
      <c r="E998" s="24">
        <f t="shared" si="46"/>
        <v>0</v>
      </c>
    </row>
    <row r="999" spans="1:5">
      <c r="A999" s="87">
        <v>988</v>
      </c>
      <c r="B999" s="5">
        <v>0.44169269131089095</v>
      </c>
      <c r="C999" s="24">
        <f t="shared" si="45"/>
        <v>154757.42926488951</v>
      </c>
      <c r="D999" s="24">
        <f t="shared" si="47"/>
        <v>114121.86215616476</v>
      </c>
      <c r="E999" s="24">
        <f t="shared" si="46"/>
        <v>0</v>
      </c>
    </row>
    <row r="1000" spans="1:5">
      <c r="A1000" s="87">
        <v>989</v>
      </c>
      <c r="B1000" s="5">
        <v>-0.37245399653329514</v>
      </c>
      <c r="C1000" s="24">
        <f t="shared" si="45"/>
        <v>81305.970181033379</v>
      </c>
      <c r="D1000" s="24">
        <f t="shared" si="47"/>
        <v>59956.984072093604</v>
      </c>
      <c r="E1000" s="24">
        <f t="shared" si="46"/>
        <v>40043.015927906396</v>
      </c>
    </row>
    <row r="1001" spans="1:5">
      <c r="A1001" s="87">
        <v>990</v>
      </c>
      <c r="B1001" s="5">
        <v>0.63400420913239941</v>
      </c>
      <c r="C1001" s="24">
        <f t="shared" si="45"/>
        <v>180168.86008756622</v>
      </c>
      <c r="D1001" s="24">
        <f t="shared" si="47"/>
        <v>132860.864343728</v>
      </c>
      <c r="E1001" s="24">
        <f t="shared" si="46"/>
        <v>0</v>
      </c>
    </row>
    <row r="1002" spans="1:5">
      <c r="A1002" s="87">
        <v>991</v>
      </c>
      <c r="B1002" s="5">
        <v>2.0838706404902041</v>
      </c>
      <c r="C1002" s="24">
        <f t="shared" si="45"/>
        <v>566861.25820640277</v>
      </c>
      <c r="D1002" s="24">
        <f t="shared" si="47"/>
        <v>418017.16840341699</v>
      </c>
      <c r="E1002" s="24">
        <f t="shared" si="46"/>
        <v>0</v>
      </c>
    </row>
    <row r="1003" spans="1:5">
      <c r="A1003" s="87">
        <v>992</v>
      </c>
      <c r="B1003" s="5">
        <v>-2.3449047148460522E-2</v>
      </c>
      <c r="C1003" s="24">
        <f t="shared" si="45"/>
        <v>107139.5388755562</v>
      </c>
      <c r="D1003" s="24">
        <f t="shared" si="47"/>
        <v>79007.280911232243</v>
      </c>
      <c r="E1003" s="24">
        <f t="shared" si="46"/>
        <v>20992.719088767757</v>
      </c>
    </row>
    <row r="1004" spans="1:5">
      <c r="A1004" s="87">
        <v>993</v>
      </c>
      <c r="B1004" s="5">
        <v>-2.8652493710978888E-2</v>
      </c>
      <c r="C1004" s="24">
        <f t="shared" si="45"/>
        <v>106699.70577385368</v>
      </c>
      <c r="D1004" s="24">
        <f t="shared" si="47"/>
        <v>78682.937370229774</v>
      </c>
      <c r="E1004" s="24">
        <f t="shared" si="46"/>
        <v>21317.062629770226</v>
      </c>
    </row>
    <row r="1005" spans="1:5">
      <c r="A1005" s="87">
        <v>994</v>
      </c>
      <c r="B1005" s="5">
        <v>0.40595750760985538</v>
      </c>
      <c r="C1005" s="24">
        <f t="shared" si="45"/>
        <v>150446.53551266174</v>
      </c>
      <c r="D1005" s="24">
        <f t="shared" si="47"/>
        <v>110942.90509479139</v>
      </c>
      <c r="E1005" s="24">
        <f t="shared" si="46"/>
        <v>0</v>
      </c>
    </row>
    <row r="1006" spans="1:5">
      <c r="A1006" s="87">
        <v>995</v>
      </c>
      <c r="B1006" s="5">
        <v>1.5782643458805978</v>
      </c>
      <c r="C1006" s="24">
        <f t="shared" si="45"/>
        <v>380086.06225366768</v>
      </c>
      <c r="D1006" s="24">
        <f t="shared" si="47"/>
        <v>280284.63260234223</v>
      </c>
      <c r="E1006" s="24">
        <f t="shared" si="46"/>
        <v>0</v>
      </c>
    </row>
    <row r="1007" spans="1:5">
      <c r="A1007" s="87">
        <v>996</v>
      </c>
      <c r="B1007" s="5">
        <v>-0.33604237614781596</v>
      </c>
      <c r="C1007" s="24">
        <f t="shared" si="45"/>
        <v>83680.448603903875</v>
      </c>
      <c r="D1007" s="24">
        <f t="shared" si="47"/>
        <v>61707.981749909726</v>
      </c>
      <c r="E1007" s="24">
        <f t="shared" si="46"/>
        <v>38292.018250090274</v>
      </c>
    </row>
    <row r="1008" spans="1:5">
      <c r="A1008" s="87">
        <v>997</v>
      </c>
      <c r="B1008" s="5">
        <v>0.75547404776443727</v>
      </c>
      <c r="C1008" s="24">
        <f t="shared" si="45"/>
        <v>198328.52284269105</v>
      </c>
      <c r="D1008" s="24">
        <f t="shared" si="47"/>
        <v>146252.23779563227</v>
      </c>
      <c r="E1008" s="24">
        <f t="shared" si="46"/>
        <v>0</v>
      </c>
    </row>
    <row r="1009" spans="1:5">
      <c r="A1009" s="87">
        <v>998</v>
      </c>
      <c r="B1009" s="5">
        <v>-0.19238768800278194</v>
      </c>
      <c r="C1009" s="24">
        <f t="shared" si="45"/>
        <v>93744.628201272368</v>
      </c>
      <c r="D1009" s="24">
        <f t="shared" si="47"/>
        <v>69129.550602412943</v>
      </c>
      <c r="E1009" s="24">
        <f t="shared" si="46"/>
        <v>30870.449397587057</v>
      </c>
    </row>
    <row r="1010" spans="1:5">
      <c r="A1010" s="87">
        <v>999</v>
      </c>
      <c r="B1010" s="5">
        <v>0.28928639039804693</v>
      </c>
      <c r="C1010" s="24">
        <f t="shared" si="45"/>
        <v>137190.59432025359</v>
      </c>
      <c r="D1010" s="24">
        <f t="shared" si="47"/>
        <v>101167.65423480929</v>
      </c>
      <c r="E1010" s="24">
        <f t="shared" si="46"/>
        <v>0</v>
      </c>
    </row>
    <row r="1011" spans="1:5">
      <c r="A1011" s="87">
        <v>1000</v>
      </c>
      <c r="B1011" s="5">
        <v>1.3396356735029258</v>
      </c>
      <c r="C1011" s="24">
        <f t="shared" si="45"/>
        <v>314739.45725843828</v>
      </c>
      <c r="D1011" s="24">
        <f t="shared" si="47"/>
        <v>232096.46946818742</v>
      </c>
      <c r="E1011" s="24">
        <f t="shared" si="46"/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zoomScale="125" zoomScaleNormal="125" zoomScalePageLayoutView="125" workbookViewId="0"/>
  </sheetViews>
  <sheetFormatPr baseColWidth="10" defaultRowHeight="12" x14ac:dyDescent="0"/>
  <cols>
    <col min="1" max="1" width="12.5" customWidth="1"/>
  </cols>
  <sheetData>
    <row r="1" spans="1:6" ht="15">
      <c r="A1" s="70" t="s">
        <v>716</v>
      </c>
    </row>
    <row r="3" spans="1:6">
      <c r="A3" s="52" t="s">
        <v>512</v>
      </c>
      <c r="B3" s="51">
        <v>0.05</v>
      </c>
    </row>
    <row r="4" spans="1:6">
      <c r="A4" s="110" t="s">
        <v>517</v>
      </c>
      <c r="B4" s="51">
        <v>0.18</v>
      </c>
    </row>
    <row r="5" spans="1:6">
      <c r="A5" s="63" t="s">
        <v>648</v>
      </c>
      <c r="B5" s="61">
        <v>0.03</v>
      </c>
    </row>
    <row r="6" spans="1:6">
      <c r="A6" s="63" t="s">
        <v>635</v>
      </c>
      <c r="B6" s="61">
        <v>0.01</v>
      </c>
    </row>
    <row r="7" spans="1:6">
      <c r="A7" s="339" t="s">
        <v>638</v>
      </c>
      <c r="B7" s="61">
        <v>0.1</v>
      </c>
    </row>
    <row r="8" spans="1:6">
      <c r="A8" s="95" t="s">
        <v>639</v>
      </c>
      <c r="B8" s="20">
        <f>(1+B7)/((1-B5)*(1-B6)^5)</f>
        <v>1.1924631794790572</v>
      </c>
      <c r="C8" t="s">
        <v>640</v>
      </c>
    </row>
    <row r="10" spans="1:6">
      <c r="A10" s="1" t="s">
        <v>1</v>
      </c>
    </row>
    <row r="11" spans="1:6">
      <c r="A11" s="1" t="s">
        <v>636</v>
      </c>
      <c r="E11" s="1" t="s">
        <v>637</v>
      </c>
    </row>
    <row r="12" spans="1:6">
      <c r="A12" s="108" t="s">
        <v>630</v>
      </c>
      <c r="B12" s="20">
        <f>(1-B5)*(1-B6)^10</f>
        <v>0.8772506127585401</v>
      </c>
      <c r="E12" s="108" t="s">
        <v>630</v>
      </c>
      <c r="F12" s="20">
        <f>(1-B5)*(1-B6)^15</f>
        <v>0.83425660400204971</v>
      </c>
    </row>
    <row r="13" spans="1:6">
      <c r="A13" s="95" t="s">
        <v>641</v>
      </c>
      <c r="B13" s="20">
        <f>1/B12</f>
        <v>1.1399251085792586</v>
      </c>
      <c r="E13" s="95" t="s">
        <v>641</v>
      </c>
      <c r="F13" s="20">
        <f>1.1/F12</f>
        <v>1.318539157764099</v>
      </c>
    </row>
    <row r="14" spans="1:6">
      <c r="A14" s="9" t="s">
        <v>650</v>
      </c>
      <c r="B14" s="20">
        <f>(LN($B8/B13)+($B3+0.5*$B4^2)*5)/($B4*SQRT(5))</f>
        <v>0.93432485635218387</v>
      </c>
      <c r="E14" s="9" t="s">
        <v>652</v>
      </c>
      <c r="F14" s="20">
        <f>(LN($B8/F13)+($B3+0.5*$B4^2)*10)/($B4*SQRT(10))</f>
        <v>0.98644904753572116</v>
      </c>
    </row>
    <row r="15" spans="1:6">
      <c r="A15" s="9" t="s">
        <v>651</v>
      </c>
      <c r="B15" s="20">
        <f>B14-$B4*SQRT(5)</f>
        <v>0.53183262040222168</v>
      </c>
      <c r="E15" s="9" t="s">
        <v>653</v>
      </c>
      <c r="F15" s="20">
        <f>F14-$B4*SQRT(10)</f>
        <v>0.41723906870541283</v>
      </c>
    </row>
    <row r="16" spans="1:6">
      <c r="A16" s="9" t="s">
        <v>642</v>
      </c>
      <c r="B16" s="20">
        <f>EXP(-B$3*5)*NORMDIST(-B15,0,1,TRUE)-B12*B8*NORMDIST(-B14,0,1,TRUE)</f>
        <v>4.8494779747661726E-2</v>
      </c>
      <c r="E16" s="9" t="s">
        <v>643</v>
      </c>
      <c r="F16" s="20">
        <f>1.1*EXP(-B3*10)*NORMDIST(-F15,0,1,TRUE)-F12*B8*NORMDIST(-F14,0,1,TRUE)</f>
        <v>6.455856493204154E-2</v>
      </c>
    </row>
    <row r="17" spans="1:9">
      <c r="A17" s="58" t="s">
        <v>644</v>
      </c>
      <c r="B17" s="60"/>
      <c r="C17" s="57">
        <f>100*B16</f>
        <v>4.8494779747661729</v>
      </c>
      <c r="E17" s="58" t="s">
        <v>644</v>
      </c>
      <c r="F17" s="60"/>
      <c r="G17" s="57">
        <f>100*F16</f>
        <v>6.4558564932041538</v>
      </c>
    </row>
    <row r="19" spans="1:9">
      <c r="A19" s="11" t="s">
        <v>2</v>
      </c>
    </row>
    <row r="20" spans="1:9">
      <c r="A20" s="1" t="s">
        <v>636</v>
      </c>
      <c r="E20" s="1" t="s">
        <v>637</v>
      </c>
    </row>
    <row r="21" spans="1:9">
      <c r="A21" s="95" t="s">
        <v>645</v>
      </c>
      <c r="B21" s="341">
        <v>3.4328659999999997E-2</v>
      </c>
      <c r="C21" s="306" t="s">
        <v>649</v>
      </c>
      <c r="D21" s="306"/>
      <c r="E21" s="306"/>
      <c r="F21" s="306"/>
      <c r="G21" s="306"/>
      <c r="H21" s="306"/>
    </row>
    <row r="22" spans="1:9">
      <c r="A22" s="95" t="s">
        <v>639</v>
      </c>
      <c r="B22" s="20">
        <f>(1+B21)/((1-B5)*(1-B6)^5)</f>
        <v>1.1212716750271932</v>
      </c>
      <c r="C22" t="s">
        <v>640</v>
      </c>
      <c r="E22" s="306" t="s">
        <v>646</v>
      </c>
      <c r="F22" s="306"/>
      <c r="G22" s="306"/>
      <c r="H22" s="306"/>
      <c r="I22" s="306"/>
    </row>
    <row r="24" spans="1:9">
      <c r="A24" s="108" t="s">
        <v>630</v>
      </c>
      <c r="B24" s="20">
        <f>(1-B5)*(1-B6)^10</f>
        <v>0.8772506127585401</v>
      </c>
      <c r="E24" s="108" t="s">
        <v>630</v>
      </c>
      <c r="F24" s="20">
        <f>F12</f>
        <v>0.83425660400204971</v>
      </c>
    </row>
    <row r="25" spans="1:9">
      <c r="A25" s="95" t="s">
        <v>641</v>
      </c>
      <c r="B25" s="20">
        <f>1/B24</f>
        <v>1.1399251085792586</v>
      </c>
      <c r="E25" s="95" t="s">
        <v>641</v>
      </c>
      <c r="F25" s="20">
        <f>(1+B21)/F24</f>
        <v>1.2398207638251535</v>
      </c>
    </row>
    <row r="26" spans="1:9">
      <c r="A26" s="9" t="s">
        <v>650</v>
      </c>
      <c r="B26" s="20">
        <f>(LN(B22/B25)+(B3+0.5*B4^2)*5)/(B4*SQRT(5))</f>
        <v>0.78138376649663399</v>
      </c>
      <c r="E26" s="9" t="s">
        <v>652</v>
      </c>
      <c r="F26" s="20">
        <f>(LN(B22/F25)+(B3+0.5*B4^2)*10)/(B4*SQRT(10))</f>
        <v>0.98644904753572116</v>
      </c>
    </row>
    <row r="27" spans="1:9">
      <c r="A27" s="9" t="s">
        <v>651</v>
      </c>
      <c r="B27" s="20">
        <f>B26-B4*SQRT(5)</f>
        <v>0.37889153054667185</v>
      </c>
      <c r="E27" s="9" t="s">
        <v>653</v>
      </c>
      <c r="F27" s="20">
        <f>F26-B4*SQRT(10)</f>
        <v>0.41723906870541283</v>
      </c>
    </row>
    <row r="28" spans="1:9">
      <c r="A28" s="9" t="s">
        <v>642</v>
      </c>
      <c r="B28" s="340">
        <f>100*(EXP(-B3*5)*NORMDIST(-B27,0,1,TRUE)-B24*B22*NORMDIST(-B26,0,1,TRUE))</f>
        <v>6.0704338437520962</v>
      </c>
      <c r="E28" s="9" t="s">
        <v>643</v>
      </c>
      <c r="F28" s="340">
        <f>100*((1+B21)*EXP(-B3*10)*NORMDIST(-F27,0,1,TRUE)-F24*B22*NORMDIST(-F26,0,1,TRUE))</f>
        <v>6.0704339961528655</v>
      </c>
    </row>
    <row r="30" spans="1:9">
      <c r="A30" s="58" t="s">
        <v>647</v>
      </c>
      <c r="B30" s="60"/>
      <c r="C30" s="60"/>
      <c r="D30" s="60"/>
      <c r="E30" s="68">
        <f>F28-B28</f>
        <v>1.5240076933764612E-7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"/>
  <sheetViews>
    <sheetView zoomScale="125" zoomScaleNormal="125" zoomScalePageLayoutView="125" workbookViewId="0"/>
  </sheetViews>
  <sheetFormatPr baseColWidth="10" defaultRowHeight="12" x14ac:dyDescent="0"/>
  <cols>
    <col min="3" max="3" width="10.83203125" style="8"/>
  </cols>
  <sheetData>
    <row r="1" spans="1:26" ht="15">
      <c r="A1" s="70" t="s">
        <v>715</v>
      </c>
      <c r="M1" s="87"/>
      <c r="T1" s="82"/>
      <c r="U1" s="12"/>
      <c r="V1" s="12"/>
      <c r="Y1" s="5"/>
      <c r="Z1" s="12"/>
    </row>
    <row r="2" spans="1:26">
      <c r="M2" s="87"/>
      <c r="T2" s="82"/>
      <c r="U2" s="12"/>
      <c r="V2" s="12"/>
      <c r="Y2" s="5"/>
      <c r="Z2" s="12"/>
    </row>
    <row r="3" spans="1:26">
      <c r="A3" s="52" t="s">
        <v>9</v>
      </c>
      <c r="B3" s="51">
        <f>0.00022</f>
        <v>2.2000000000000001E-4</v>
      </c>
      <c r="F3" s="8"/>
      <c r="M3" s="87"/>
      <c r="T3" s="82"/>
      <c r="U3" s="12"/>
      <c r="V3" s="12"/>
      <c r="Y3" s="5"/>
      <c r="Z3" s="12"/>
    </row>
    <row r="4" spans="1:26">
      <c r="A4" s="52" t="s">
        <v>10</v>
      </c>
      <c r="B4" s="51">
        <f>2.7/10^6</f>
        <v>2.7E-6</v>
      </c>
      <c r="M4" s="87"/>
      <c r="T4" s="82"/>
      <c r="U4" s="12"/>
      <c r="V4" s="12"/>
      <c r="Y4" s="5"/>
      <c r="Z4" s="12"/>
    </row>
    <row r="5" spans="1:26">
      <c r="A5" s="52" t="s">
        <v>24</v>
      </c>
      <c r="B5" s="51">
        <v>1.1240000000000001</v>
      </c>
      <c r="M5" s="87"/>
      <c r="T5" s="82"/>
      <c r="U5" s="12"/>
      <c r="V5" s="12"/>
      <c r="Y5" s="5"/>
      <c r="Z5" s="12"/>
    </row>
    <row r="6" spans="1:26">
      <c r="A6" s="52" t="s">
        <v>82</v>
      </c>
      <c r="B6" s="51">
        <v>60</v>
      </c>
      <c r="M6" s="87"/>
      <c r="T6" s="82"/>
      <c r="U6" s="12"/>
      <c r="V6" s="12"/>
      <c r="Y6" s="5"/>
      <c r="Z6" s="12"/>
    </row>
    <row r="7" spans="1:26">
      <c r="A7" s="52" t="s">
        <v>328</v>
      </c>
      <c r="B7" s="346">
        <v>2.5000000000000001E-3</v>
      </c>
      <c r="M7" s="87"/>
      <c r="T7" s="82"/>
      <c r="U7" s="12"/>
      <c r="V7" s="12"/>
      <c r="Y7" s="5"/>
      <c r="Z7" s="12"/>
    </row>
    <row r="8" spans="1:26">
      <c r="A8" s="52" t="s">
        <v>418</v>
      </c>
      <c r="B8" s="51">
        <v>100000</v>
      </c>
      <c r="M8" s="87"/>
      <c r="T8" s="82"/>
      <c r="U8" s="12"/>
      <c r="V8" s="12"/>
      <c r="Y8" s="5"/>
      <c r="Z8" s="12"/>
    </row>
    <row r="9" spans="1:26">
      <c r="A9" s="110" t="s">
        <v>655</v>
      </c>
      <c r="B9" s="61">
        <v>0.2</v>
      </c>
      <c r="M9" s="87"/>
      <c r="T9" s="82"/>
      <c r="U9" s="12"/>
      <c r="V9" s="12"/>
      <c r="Y9" s="5"/>
      <c r="Z9" s="12"/>
    </row>
    <row r="10" spans="1:26">
      <c r="A10" s="52" t="s">
        <v>512</v>
      </c>
      <c r="B10" s="61">
        <v>0.05</v>
      </c>
      <c r="M10" s="87"/>
      <c r="T10" s="82"/>
      <c r="U10" s="12"/>
      <c r="V10" s="12"/>
      <c r="Y10" s="5"/>
      <c r="Z10" s="12"/>
    </row>
    <row r="11" spans="1:26">
      <c r="A11" s="53" t="s">
        <v>27</v>
      </c>
      <c r="B11" s="18">
        <f>EXP(-B3)</f>
        <v>0.99978002419822543</v>
      </c>
    </row>
    <row r="12" spans="1:26">
      <c r="A12" s="9" t="s">
        <v>25</v>
      </c>
      <c r="B12" s="18">
        <f>EXP(-B4/LN(B5))</f>
        <v>0.99997690236831238</v>
      </c>
    </row>
    <row r="13" spans="1:26">
      <c r="M13" s="87"/>
      <c r="T13" s="82"/>
      <c r="U13" s="12"/>
      <c r="V13" s="12"/>
      <c r="Y13" s="5"/>
      <c r="Z13" s="12"/>
    </row>
    <row r="14" spans="1:26">
      <c r="A14" s="11" t="s">
        <v>1</v>
      </c>
      <c r="M14" s="87"/>
      <c r="T14" s="82"/>
      <c r="U14" s="12"/>
      <c r="V14" s="12"/>
      <c r="Y14" s="5"/>
      <c r="Z14" s="12"/>
    </row>
    <row r="15" spans="1:26">
      <c r="A15" s="9" t="s">
        <v>511</v>
      </c>
      <c r="B15" s="20">
        <f>(1-B7)^-60</f>
        <v>1.1620524708965303</v>
      </c>
      <c r="M15" s="87"/>
      <c r="T15" s="82"/>
      <c r="U15" s="12"/>
      <c r="V15" s="12"/>
      <c r="Y15" s="5"/>
      <c r="Z15" s="12"/>
    </row>
    <row r="16" spans="1:26">
      <c r="A16" s="9" t="s">
        <v>656</v>
      </c>
      <c r="B16" s="20">
        <f>(LN(1/B15)+(B10+0.5*B9^2)*5)/(B9*SQRT(5))</f>
        <v>0.44679363267011835</v>
      </c>
      <c r="M16" s="87"/>
      <c r="T16" s="82"/>
      <c r="U16" s="12"/>
      <c r="V16" s="12"/>
      <c r="Y16" s="5"/>
      <c r="Z16" s="12"/>
    </row>
    <row r="17" spans="1:28">
      <c r="A17" s="9" t="s">
        <v>657</v>
      </c>
      <c r="B17" s="20">
        <f>B16-B9*SQRT(5)</f>
        <v>-4.199628298396374E-4</v>
      </c>
      <c r="M17" s="87"/>
      <c r="T17" s="82"/>
      <c r="U17" s="12"/>
      <c r="V17" s="12"/>
      <c r="Y17" s="5"/>
      <c r="Z17" s="12"/>
    </row>
    <row r="18" spans="1:28">
      <c r="A18" s="83" t="s">
        <v>658</v>
      </c>
      <c r="B18" s="20">
        <f>(B11^5)*B12^((B5^B6)*((B5^5)-1))</f>
        <v>0.978740412730154</v>
      </c>
      <c r="J18" s="345" t="s">
        <v>659</v>
      </c>
      <c r="K18" s="345"/>
      <c r="L18" s="345"/>
      <c r="M18" s="87"/>
      <c r="T18" s="82"/>
      <c r="U18" s="12"/>
      <c r="V18" s="12"/>
      <c r="Y18" s="5"/>
      <c r="Z18" s="12"/>
    </row>
    <row r="19" spans="1:28">
      <c r="A19" s="6" t="s">
        <v>660</v>
      </c>
      <c r="C19" s="12">
        <f>(10^5)*(EXP(-5*B10)*NORMDIST(-B17,0,1,TRUE)-(1/B15)*NORMDIST(-B16,0,1,TRUE))*B18</f>
        <v>10540.211135057303</v>
      </c>
      <c r="J19" s="345" t="s">
        <v>661</v>
      </c>
      <c r="K19" s="345"/>
      <c r="L19" s="345"/>
      <c r="M19" s="87"/>
      <c r="T19" s="82"/>
      <c r="U19" s="12"/>
      <c r="V19" s="12"/>
      <c r="Y19" s="5"/>
      <c r="Z19" s="12"/>
    </row>
    <row r="20" spans="1:28">
      <c r="A20" s="6" t="s">
        <v>662</v>
      </c>
      <c r="C20" s="12">
        <f>C19/D86</f>
        <v>190.71970702644464</v>
      </c>
      <c r="M20" s="87"/>
      <c r="T20" s="82"/>
      <c r="U20" s="12"/>
      <c r="V20" s="12"/>
      <c r="Y20" s="5"/>
      <c r="Z20" s="12"/>
    </row>
    <row r="21" spans="1:28">
      <c r="A21" t="s">
        <v>688</v>
      </c>
      <c r="C21" s="302">
        <f>C20/B8</f>
        <v>1.9071970702644464E-3</v>
      </c>
      <c r="F21" s="1" t="s">
        <v>203</v>
      </c>
      <c r="M21" s="87"/>
      <c r="R21" s="1" t="s">
        <v>207</v>
      </c>
      <c r="T21" s="82"/>
      <c r="U21" s="12"/>
      <c r="V21" s="12"/>
      <c r="Y21" s="5"/>
      <c r="Z21" s="12"/>
      <c r="AB21" s="1" t="s">
        <v>663</v>
      </c>
    </row>
    <row r="22" spans="1:28">
      <c r="J22" s="87" t="s">
        <v>664</v>
      </c>
      <c r="K22" s="87" t="s">
        <v>514</v>
      </c>
      <c r="L22" s="87" t="s">
        <v>665</v>
      </c>
      <c r="M22" s="87" t="s">
        <v>666</v>
      </c>
      <c r="N22" s="87" t="s">
        <v>667</v>
      </c>
      <c r="S22" s="87" t="s">
        <v>668</v>
      </c>
      <c r="T22" s="12" t="s">
        <v>669</v>
      </c>
      <c r="U22" s="12"/>
      <c r="V22" s="12" t="s">
        <v>666</v>
      </c>
      <c r="Y22" s="5"/>
      <c r="Z22" s="12"/>
      <c r="AB22" t="s">
        <v>670</v>
      </c>
    </row>
    <row r="23" spans="1:28" ht="14" customHeight="1">
      <c r="A23" s="87" t="s">
        <v>0</v>
      </c>
      <c r="B23" s="7" t="s">
        <v>84</v>
      </c>
      <c r="C23" s="10" t="s">
        <v>671</v>
      </c>
      <c r="D23" s="87" t="s">
        <v>23</v>
      </c>
      <c r="F23" s="87" t="s">
        <v>0</v>
      </c>
      <c r="G23" s="87" t="s">
        <v>672</v>
      </c>
      <c r="H23" s="87" t="s">
        <v>673</v>
      </c>
      <c r="I23" s="87" t="s">
        <v>674</v>
      </c>
      <c r="J23" s="87" t="s">
        <v>675</v>
      </c>
      <c r="K23" s="87" t="s">
        <v>676</v>
      </c>
      <c r="L23" s="87" t="s">
        <v>676</v>
      </c>
      <c r="M23" s="87" t="s">
        <v>677</v>
      </c>
      <c r="N23" s="87" t="s">
        <v>678</v>
      </c>
      <c r="O23" s="87" t="s">
        <v>206</v>
      </c>
      <c r="P23" s="87" t="s">
        <v>23</v>
      </c>
      <c r="R23" s="87" t="s">
        <v>0</v>
      </c>
      <c r="S23" s="87" t="s">
        <v>679</v>
      </c>
      <c r="T23" s="12" t="s">
        <v>680</v>
      </c>
      <c r="U23" s="12" t="s">
        <v>89</v>
      </c>
      <c r="V23" s="12" t="s">
        <v>678</v>
      </c>
      <c r="W23" s="87" t="s">
        <v>592</v>
      </c>
      <c r="X23" s="342" t="s">
        <v>489</v>
      </c>
      <c r="Y23" s="5" t="s">
        <v>681</v>
      </c>
      <c r="Z23" s="12" t="s">
        <v>391</v>
      </c>
      <c r="AB23" s="343">
        <f>(1000+C19)/(D86*B8)</f>
        <v>2.0881419342549793E-3</v>
      </c>
    </row>
    <row r="24" spans="1:28">
      <c r="A24" s="87">
        <v>0</v>
      </c>
      <c r="B24" s="10">
        <f t="shared" ref="B24:B55" si="0">(B$11^A24)*B$12^((B$5^B$6)*((B$5^A24)-1))</f>
        <v>1</v>
      </c>
      <c r="C24" s="10">
        <f>(1-B$7)^(12*A24)</f>
        <v>1</v>
      </c>
      <c r="D24" s="87">
        <f>B24*C24</f>
        <v>1</v>
      </c>
      <c r="F24" s="87">
        <v>0</v>
      </c>
      <c r="G24" s="132">
        <v>1</v>
      </c>
      <c r="H24" s="10">
        <f t="shared" ref="H24:H55" si="1">(LN(G24/B$15)+(B$10+(B$9^2)/2)*(5-F24))/(B$9*SQRT(5-F24))</f>
        <v>0.44679363267011835</v>
      </c>
      <c r="I24" s="10">
        <f t="shared" ref="I24:I83" si="2">H24-B$9*SQRT(5-F24)</f>
        <v>-4.199628298396374E-4</v>
      </c>
      <c r="J24" s="19">
        <f>(K24+L24)</f>
        <v>10.540211135057305</v>
      </c>
      <c r="K24" s="19">
        <f>(-(G24/B$15)*NORMSDIST(-H24))*(B$18/B24)*100</f>
        <v>-27.584749560897798</v>
      </c>
      <c r="L24" s="19">
        <f t="shared" ref="L24:L55" si="3">EXP(-B$10*(5-F24))*NORMSDIST(-I24)*(B$18/B24)*100</f>
        <v>38.124960695955103</v>
      </c>
      <c r="M24" s="87">
        <v>0</v>
      </c>
      <c r="N24" s="87">
        <v>0</v>
      </c>
      <c r="O24" s="10">
        <f>1.05^-F24</f>
        <v>1</v>
      </c>
      <c r="P24" s="19">
        <f>N24*O24</f>
        <v>0</v>
      </c>
      <c r="R24" s="87">
        <v>0</v>
      </c>
      <c r="S24" s="12">
        <f>B$8</f>
        <v>100000</v>
      </c>
      <c r="T24" s="12">
        <f>0.0025*S24</f>
        <v>250</v>
      </c>
      <c r="U24" s="12">
        <f>0.01*B8</f>
        <v>1000</v>
      </c>
      <c r="V24" s="12">
        <f>C19</f>
        <v>10540.211135057303</v>
      </c>
      <c r="W24" s="12">
        <f>T24-U24-V24</f>
        <v>-11290.211135057303</v>
      </c>
      <c r="X24" s="12">
        <f t="shared" ref="X24:X83" si="4">W24*B24</f>
        <v>-11290.211135057303</v>
      </c>
      <c r="Y24" s="5">
        <f>(1.1)^-R24</f>
        <v>1</v>
      </c>
      <c r="Z24" s="12">
        <f>X24*Y24</f>
        <v>-11290.211135057303</v>
      </c>
      <c r="AB24" t="s">
        <v>682</v>
      </c>
    </row>
    <row r="25" spans="1:28">
      <c r="A25" s="19">
        <f>A24+1/12</f>
        <v>8.3333333333333329E-2</v>
      </c>
      <c r="B25" s="10">
        <f t="shared" si="0"/>
        <v>0.9997303534430424</v>
      </c>
      <c r="C25" s="10">
        <f t="shared" ref="C25:C83" si="5">(1-B$7)^(12*A25)</f>
        <v>0.99750000000000005</v>
      </c>
      <c r="D25" s="10">
        <f>B25*C25</f>
        <v>0.99723102755943482</v>
      </c>
      <c r="F25" s="19">
        <f>F24+1/12</f>
        <v>8.3333333333333329E-2</v>
      </c>
      <c r="G25" s="132">
        <v>0.95448999999999995</v>
      </c>
      <c r="H25" s="10">
        <f t="shared" si="1"/>
        <v>0.33237954453476076</v>
      </c>
      <c r="I25" s="10">
        <f t="shared" si="2"/>
        <v>-0.11109161198690831</v>
      </c>
      <c r="J25" s="19">
        <f t="shared" ref="J25:J83" si="6">(K25+L25)</f>
        <v>11.930786561472409</v>
      </c>
      <c r="K25" s="19">
        <f t="shared" ref="K25:K83" si="7">(-(G25/B$15)*NORMSDIST(-H25))*(B$18/B25)*100</f>
        <v>-29.737110661310822</v>
      </c>
      <c r="L25" s="19">
        <f t="shared" si="3"/>
        <v>41.667897222783232</v>
      </c>
      <c r="M25" s="19">
        <f>L24*EXP(B$10/12)+K24*G25/G24</f>
        <v>11.954778496439147</v>
      </c>
      <c r="N25" s="19">
        <f>J25-M25</f>
        <v>-2.399193496673746E-2</v>
      </c>
      <c r="O25" s="10">
        <f t="shared" ref="O25:O83" si="8">1.05^-F25</f>
        <v>0.99594240735106698</v>
      </c>
      <c r="P25" s="19">
        <f t="shared" ref="P25:P83" si="9">N25*O25</f>
        <v>-2.3894585467782746E-2</v>
      </c>
      <c r="R25" s="19">
        <f>R24+1/12</f>
        <v>8.3333333333333329E-2</v>
      </c>
      <c r="S25" s="12">
        <f t="shared" ref="S25:S83" si="10">S24*(G25/G24)*0.9975</f>
        <v>95210.377500000002</v>
      </c>
      <c r="T25" s="12">
        <f t="shared" ref="T25:T83" si="11">0.0025*S25</f>
        <v>238.02594375000001</v>
      </c>
      <c r="U25" s="12">
        <f>0.00065*S25</f>
        <v>61.886745374999997</v>
      </c>
      <c r="V25" s="12">
        <f>1000*N25</f>
        <v>-23.99193496673746</v>
      </c>
      <c r="W25" s="12">
        <f>T25-U25-V25</f>
        <v>200.13113334173747</v>
      </c>
      <c r="X25" s="12">
        <f t="shared" si="4"/>
        <v>200.07716867069183</v>
      </c>
      <c r="Y25" s="5">
        <f t="shared" ref="Y25:Y84" si="12">(1.1)^-R25</f>
        <v>0.99208894344699095</v>
      </c>
      <c r="Z25" s="12">
        <f t="shared" ref="Z25:Z84" si="13">X25*Y25</f>
        <v>198.49434687437207</v>
      </c>
      <c r="AB25" s="343">
        <f>AB23+0.00065</f>
        <v>2.7381419342549793E-3</v>
      </c>
    </row>
    <row r="26" spans="1:28">
      <c r="A26" s="19">
        <f t="shared" ref="A26:A83" si="14">A25+1/12</f>
        <v>0.16666666666666666</v>
      </c>
      <c r="B26" s="10">
        <f t="shared" si="0"/>
        <v>0.99945832052799255</v>
      </c>
      <c r="C26" s="10">
        <f t="shared" si="5"/>
        <v>0.99500625000000009</v>
      </c>
      <c r="D26" s="10">
        <f t="shared" ref="D26:D83" si="15">B26*C26</f>
        <v>0.99446727553985603</v>
      </c>
      <c r="F26" s="19">
        <f t="shared" ref="F26:F84" si="16">F25+1/12</f>
        <v>0.16666666666666666</v>
      </c>
      <c r="G26" s="132">
        <v>0.96745000000000003</v>
      </c>
      <c r="H26" s="10">
        <f t="shared" si="1"/>
        <v>0.35263836859237135</v>
      </c>
      <c r="I26" s="10">
        <f t="shared" si="2"/>
        <v>-8.7058496683392605E-2</v>
      </c>
      <c r="J26" s="19">
        <f t="shared" si="6"/>
        <v>11.591836226297637</v>
      </c>
      <c r="K26" s="19">
        <f>(-(G26/B$15)*NORMSDIST(-H26))*(B$18/B26)*100</f>
        <v>-29.527714268941807</v>
      </c>
      <c r="L26" s="19">
        <f t="shared" si="3"/>
        <v>41.119550495239444</v>
      </c>
      <c r="M26" s="19">
        <f t="shared" ref="M26:M84" si="17">L25*EXP(B$10/12)+K25*G26/G25</f>
        <v>11.70099654665102</v>
      </c>
      <c r="N26" s="19">
        <f t="shared" ref="N26:N82" si="18">J26-M26</f>
        <v>-0.10916032035338219</v>
      </c>
      <c r="O26" s="10">
        <f t="shared" si="8"/>
        <v>0.99190127876023881</v>
      </c>
      <c r="P26" s="19">
        <f t="shared" si="9"/>
        <v>-0.10827626134839712</v>
      </c>
      <c r="R26" s="19">
        <f t="shared" ref="R26:R84" si="19">R25+1/12</f>
        <v>0.16666666666666666</v>
      </c>
      <c r="S26" s="12">
        <f t="shared" si="10"/>
        <v>96261.879656250021</v>
      </c>
      <c r="T26" s="12">
        <f t="shared" si="11"/>
        <v>240.65469914062507</v>
      </c>
      <c r="U26" s="12">
        <f t="shared" ref="U26:U83" si="20">0.00065*S26</f>
        <v>62.570221776562512</v>
      </c>
      <c r="V26" s="12">
        <f t="shared" ref="V26:V83" si="21">1000*N26</f>
        <v>-109.16032035338219</v>
      </c>
      <c r="W26" s="12">
        <f t="shared" ref="W26:W83" si="22">T26-U26-V26</f>
        <v>287.24479771744473</v>
      </c>
      <c r="X26" s="12">
        <f t="shared" si="4"/>
        <v>287.08920310708027</v>
      </c>
      <c r="Y26" s="5">
        <f t="shared" si="12"/>
        <v>0.98424047170976681</v>
      </c>
      <c r="Z26" s="12">
        <f t="shared" si="13"/>
        <v>282.56481268889371</v>
      </c>
    </row>
    <row r="27" spans="1:28">
      <c r="A27" s="19">
        <f t="shared" si="14"/>
        <v>0.25</v>
      </c>
      <c r="B27" s="10">
        <f t="shared" si="0"/>
        <v>0.99918387917808238</v>
      </c>
      <c r="C27" s="10">
        <f t="shared" si="5"/>
        <v>0.99251873437500016</v>
      </c>
      <c r="D27" s="10">
        <f t="shared" si="15"/>
        <v>0.99170871916973335</v>
      </c>
      <c r="F27" s="19">
        <f t="shared" si="16"/>
        <v>0.25</v>
      </c>
      <c r="G27" s="132">
        <v>0.97370999999999996</v>
      </c>
      <c r="H27" s="10">
        <f t="shared" si="1"/>
        <v>0.35713245015037332</v>
      </c>
      <c r="I27" s="10">
        <f t="shared" si="2"/>
        <v>-7.8757444203694127E-2</v>
      </c>
      <c r="J27" s="19">
        <f t="shared" si="6"/>
        <v>11.458882469038127</v>
      </c>
      <c r="K27" s="19">
        <f t="shared" si="7"/>
        <v>-29.588764920150528</v>
      </c>
      <c r="L27" s="19">
        <f t="shared" si="3"/>
        <v>41.047647389188654</v>
      </c>
      <c r="M27" s="19">
        <f t="shared" si="17"/>
        <v>11.572462545259086</v>
      </c>
      <c r="N27" s="19">
        <f t="shared" si="18"/>
        <v>-0.11358007622095911</v>
      </c>
      <c r="O27" s="10">
        <f t="shared" si="8"/>
        <v>0.98787654742307407</v>
      </c>
      <c r="P27" s="19">
        <f t="shared" si="9"/>
        <v>-0.11220309355321069</v>
      </c>
      <c r="R27" s="19">
        <f t="shared" si="19"/>
        <v>0.25</v>
      </c>
      <c r="S27" s="12">
        <f t="shared" si="10"/>
        <v>96642.541684828131</v>
      </c>
      <c r="T27" s="12">
        <f t="shared" si="11"/>
        <v>241.60635421207033</v>
      </c>
      <c r="U27" s="12">
        <f t="shared" si="20"/>
        <v>62.817652095138286</v>
      </c>
      <c r="V27" s="12">
        <f t="shared" si="21"/>
        <v>-113.58007622095911</v>
      </c>
      <c r="W27" s="12">
        <f t="shared" si="22"/>
        <v>292.36877833789117</v>
      </c>
      <c r="X27" s="12">
        <f t="shared" si="4"/>
        <v>292.13017009021098</v>
      </c>
      <c r="Y27" s="5">
        <f t="shared" si="12"/>
        <v>0.97645408967631053</v>
      </c>
      <c r="Z27" s="12">
        <f t="shared" si="13"/>
        <v>285.25169930242271</v>
      </c>
      <c r="AB27" t="s">
        <v>683</v>
      </c>
    </row>
    <row r="28" spans="1:28">
      <c r="A28" s="19">
        <f t="shared" si="14"/>
        <v>0.33333333333333331</v>
      </c>
      <c r="B28" s="10">
        <f t="shared" si="0"/>
        <v>0.99890700712477087</v>
      </c>
      <c r="C28" s="10">
        <f t="shared" si="5"/>
        <v>0.9900374375390627</v>
      </c>
      <c r="D28" s="10">
        <f t="shared" si="15"/>
        <v>0.98895533367362243</v>
      </c>
      <c r="F28" s="19">
        <f t="shared" si="16"/>
        <v>0.33333333333333331</v>
      </c>
      <c r="G28" s="132">
        <v>1.0115799999999999</v>
      </c>
      <c r="H28" s="10">
        <f t="shared" si="1"/>
        <v>0.43511766776203492</v>
      </c>
      <c r="I28" s="10">
        <f t="shared" si="2"/>
        <v>3.0682878681775327E-3</v>
      </c>
      <c r="J28" s="19">
        <f t="shared" si="6"/>
        <v>10.404937996948906</v>
      </c>
      <c r="K28" s="19">
        <f t="shared" si="7"/>
        <v>-28.295205126678436</v>
      </c>
      <c r="L28" s="19">
        <f t="shared" si="3"/>
        <v>38.700143123627342</v>
      </c>
      <c r="M28" s="19">
        <f t="shared" si="17"/>
        <v>10.479490596806517</v>
      </c>
      <c r="N28" s="19">
        <f t="shared" si="18"/>
        <v>-7.4552599857611312E-2</v>
      </c>
      <c r="O28" s="10">
        <f t="shared" si="8"/>
        <v>0.98386814680619694</v>
      </c>
      <c r="P28" s="19">
        <f t="shared" si="9"/>
        <v>-7.334992826149199E-2</v>
      </c>
      <c r="R28" s="19">
        <f t="shared" si="19"/>
        <v>0.33333333333333331</v>
      </c>
      <c r="S28" s="12">
        <f t="shared" si="10"/>
        <v>100150.20710657649</v>
      </c>
      <c r="T28" s="12">
        <f t="shared" si="11"/>
        <v>250.37551776644122</v>
      </c>
      <c r="U28" s="12">
        <f t="shared" si="20"/>
        <v>65.097634619274714</v>
      </c>
      <c r="V28" s="12">
        <f t="shared" si="21"/>
        <v>-74.552599857611312</v>
      </c>
      <c r="W28" s="12">
        <f t="shared" si="22"/>
        <v>259.83048300477782</v>
      </c>
      <c r="X28" s="12">
        <f t="shared" si="4"/>
        <v>259.54649013808626</v>
      </c>
      <c r="Y28" s="5">
        <f t="shared" si="12"/>
        <v>0.96872930615146424</v>
      </c>
      <c r="Z28" s="12">
        <f t="shared" si="13"/>
        <v>251.43029130551616</v>
      </c>
      <c r="AB28" s="344">
        <v>2.5000000000000001E-3</v>
      </c>
    </row>
    <row r="29" spans="1:28">
      <c r="A29" s="19">
        <f t="shared" si="14"/>
        <v>0.41666666666666663</v>
      </c>
      <c r="B29" s="10">
        <f t="shared" si="0"/>
        <v>0.99862768190632623</v>
      </c>
      <c r="C29" s="10">
        <f t="shared" si="5"/>
        <v>0.98756234394521514</v>
      </c>
      <c r="D29" s="10">
        <f t="shared" si="15"/>
        <v>0.98620709427198827</v>
      </c>
      <c r="F29" s="19">
        <f t="shared" si="16"/>
        <v>0.41666666666666663</v>
      </c>
      <c r="G29" s="132">
        <v>1.0118100000000001</v>
      </c>
      <c r="H29" s="10">
        <f t="shared" si="1"/>
        <v>0.42596268771070644</v>
      </c>
      <c r="I29" s="10">
        <f t="shared" si="2"/>
        <v>-2.2117315781312041E-3</v>
      </c>
      <c r="J29" s="19">
        <f t="shared" si="6"/>
        <v>10.44312396293908</v>
      </c>
      <c r="K29" s="19">
        <f t="shared" si="7"/>
        <v>-28.593642114238026</v>
      </c>
      <c r="L29" s="19">
        <f t="shared" si="3"/>
        <v>39.036766077177106</v>
      </c>
      <c r="M29" s="19">
        <f t="shared" si="17"/>
        <v>10.560091600682384</v>
      </c>
      <c r="N29" s="19">
        <f t="shared" si="18"/>
        <v>-0.11696763774330421</v>
      </c>
      <c r="O29" s="10">
        <f t="shared" si="8"/>
        <v>0.97987601064619689</v>
      </c>
      <c r="P29" s="19">
        <f t="shared" si="9"/>
        <v>-0.11461378224661846</v>
      </c>
      <c r="R29" s="19">
        <f t="shared" si="19"/>
        <v>0.41666666666666663</v>
      </c>
      <c r="S29" s="12">
        <f t="shared" si="10"/>
        <v>99922.5455227208</v>
      </c>
      <c r="T29" s="12">
        <f t="shared" si="11"/>
        <v>249.80636380680201</v>
      </c>
      <c r="U29" s="12">
        <f t="shared" si="20"/>
        <v>64.949654589768514</v>
      </c>
      <c r="V29" s="12">
        <f t="shared" si="21"/>
        <v>-116.96763774330421</v>
      </c>
      <c r="W29" s="12">
        <f t="shared" si="22"/>
        <v>301.82434696033772</v>
      </c>
      <c r="X29" s="12">
        <f t="shared" si="4"/>
        <v>301.41014794789277</v>
      </c>
      <c r="Y29" s="5">
        <f t="shared" si="12"/>
        <v>0.9610656338259429</v>
      </c>
      <c r="Z29" s="12">
        <f t="shared" si="13"/>
        <v>289.67493487911281</v>
      </c>
    </row>
    <row r="30" spans="1:28">
      <c r="A30" s="19">
        <f t="shared" si="14"/>
        <v>0.49999999999999994</v>
      </c>
      <c r="B30" s="10">
        <f t="shared" si="0"/>
        <v>0.99834588086640175</v>
      </c>
      <c r="C30" s="10">
        <f t="shared" si="5"/>
        <v>0.9850934380853521</v>
      </c>
      <c r="D30" s="10">
        <f t="shared" si="15"/>
        <v>0.98346397618103298</v>
      </c>
      <c r="F30" s="19">
        <f t="shared" si="16"/>
        <v>0.49999999999999994</v>
      </c>
      <c r="G30" s="132">
        <v>0.93137000000000003</v>
      </c>
      <c r="H30" s="10">
        <f t="shared" si="1"/>
        <v>0.2208849046958562</v>
      </c>
      <c r="I30" s="10">
        <f t="shared" si="2"/>
        <v>-0.20337916401607231</v>
      </c>
      <c r="J30" s="19">
        <f t="shared" si="6"/>
        <v>13.030649807851866</v>
      </c>
      <c r="K30" s="19">
        <f t="shared" si="7"/>
        <v>-32.419235885171034</v>
      </c>
      <c r="L30" s="19">
        <f t="shared" si="3"/>
        <v>45.4498856930229</v>
      </c>
      <c r="M30" s="19">
        <f t="shared" si="17"/>
        <v>12.879342262138085</v>
      </c>
      <c r="N30" s="19">
        <f t="shared" si="18"/>
        <v>0.15130754571378091</v>
      </c>
      <c r="O30" s="10">
        <f t="shared" si="8"/>
        <v>0.97590007294853309</v>
      </c>
      <c r="P30" s="19">
        <f t="shared" si="9"/>
        <v>0.1476610448997423</v>
      </c>
      <c r="R30" s="19">
        <f t="shared" si="19"/>
        <v>0.49999999999999994</v>
      </c>
      <c r="S30" s="12">
        <f t="shared" si="10"/>
        <v>91748.647542955427</v>
      </c>
      <c r="T30" s="12">
        <f t="shared" si="11"/>
        <v>229.37161885738857</v>
      </c>
      <c r="U30" s="12">
        <f t="shared" si="20"/>
        <v>59.636620902921024</v>
      </c>
      <c r="V30" s="12">
        <f t="shared" si="21"/>
        <v>151.30754571378091</v>
      </c>
      <c r="W30" s="12">
        <f t="shared" si="22"/>
        <v>18.42745224068662</v>
      </c>
      <c r="X30" s="12">
        <f t="shared" si="4"/>
        <v>18.396971039351833</v>
      </c>
      <c r="Y30" s="5">
        <f t="shared" si="12"/>
        <v>0.95346258924559224</v>
      </c>
      <c r="Z30" s="12">
        <f t="shared" si="13"/>
        <v>17.540823641456573</v>
      </c>
      <c r="AB30" t="s">
        <v>684</v>
      </c>
    </row>
    <row r="31" spans="1:28">
      <c r="A31" s="19">
        <f t="shared" si="14"/>
        <v>0.58333333333333326</v>
      </c>
      <c r="B31" s="10">
        <f t="shared" si="0"/>
        <v>0.99806158115260957</v>
      </c>
      <c r="C31" s="10">
        <f t="shared" si="5"/>
        <v>0.98263070449013878</v>
      </c>
      <c r="D31" s="10">
        <f t="shared" si="15"/>
        <v>0.98072595461253054</v>
      </c>
      <c r="F31" s="19">
        <f t="shared" si="16"/>
        <v>0.58333333333333326</v>
      </c>
      <c r="G31" s="132">
        <v>0.98733000000000004</v>
      </c>
      <c r="H31" s="10">
        <f t="shared" si="1"/>
        <v>0.34789881498658515</v>
      </c>
      <c r="I31" s="10">
        <f t="shared" si="2"/>
        <v>-7.2418525444031268E-2</v>
      </c>
      <c r="J31" s="19">
        <f t="shared" si="6"/>
        <v>11.261342349190056</v>
      </c>
      <c r="K31" s="19">
        <f t="shared" si="7"/>
        <v>-30.324814416224054</v>
      </c>
      <c r="L31" s="19">
        <f t="shared" si="3"/>
        <v>41.58615676541411</v>
      </c>
      <c r="M31" s="19">
        <f t="shared" si="17"/>
        <v>11.27255718575141</v>
      </c>
      <c r="N31" s="19">
        <f t="shared" si="18"/>
        <v>-1.1214836561354247E-2</v>
      </c>
      <c r="O31" s="10">
        <f t="shared" si="8"/>
        <v>0.97194026798644406</v>
      </c>
      <c r="P31" s="19">
        <f t="shared" si="9"/>
        <v>-1.0900151252866818E-2</v>
      </c>
      <c r="R31" s="19">
        <f t="shared" si="19"/>
        <v>0.58333333333333326</v>
      </c>
      <c r="S31" s="12">
        <f t="shared" si="10"/>
        <v>97018.077346424849</v>
      </c>
      <c r="T31" s="12">
        <f t="shared" si="11"/>
        <v>242.54519336606214</v>
      </c>
      <c r="U31" s="12">
        <f t="shared" si="20"/>
        <v>63.061750275176152</v>
      </c>
      <c r="V31" s="12">
        <f t="shared" si="21"/>
        <v>-11.214836561354247</v>
      </c>
      <c r="W31" s="12">
        <f t="shared" si="22"/>
        <v>190.69827965224025</v>
      </c>
      <c r="X31" s="12">
        <f t="shared" si="4"/>
        <v>190.3286265127974</v>
      </c>
      <c r="Y31" s="5">
        <f t="shared" si="12"/>
        <v>0.94591969278089205</v>
      </c>
      <c r="Z31" s="12">
        <f t="shared" si="13"/>
        <v>180.03559591839445</v>
      </c>
    </row>
    <row r="32" spans="1:28">
      <c r="A32" s="19">
        <f t="shared" si="14"/>
        <v>0.66666666666666663</v>
      </c>
      <c r="B32" s="10">
        <f t="shared" si="0"/>
        <v>0.99777475971508511</v>
      </c>
      <c r="C32" s="10">
        <f t="shared" si="5"/>
        <v>0.98017412772891344</v>
      </c>
      <c r="D32" s="10">
        <f t="shared" si="15"/>
        <v>0.9779930047736598</v>
      </c>
      <c r="F32" s="19">
        <f t="shared" si="16"/>
        <v>0.66666666666666663</v>
      </c>
      <c r="G32" s="132">
        <v>0.89061999999999997</v>
      </c>
      <c r="H32" s="10">
        <f t="shared" si="1"/>
        <v>8.9611135215313692E-2</v>
      </c>
      <c r="I32" s="10">
        <f t="shared" si="2"/>
        <v>-0.32672206467791287</v>
      </c>
      <c r="J32" s="19">
        <f t="shared" si="6"/>
        <v>14.700738849344482</v>
      </c>
      <c r="K32" s="19">
        <f t="shared" si="7"/>
        <v>-34.905883545007285</v>
      </c>
      <c r="L32" s="19">
        <f t="shared" si="3"/>
        <v>49.606622394351767</v>
      </c>
      <c r="M32" s="19">
        <f t="shared" si="17"/>
        <v>14.405326595171825</v>
      </c>
      <c r="N32" s="19">
        <f t="shared" si="18"/>
        <v>0.29541225417265693</v>
      </c>
      <c r="O32" s="10">
        <f t="shared" si="8"/>
        <v>0.96799653029986032</v>
      </c>
      <c r="P32" s="19">
        <f t="shared" si="9"/>
        <v>0.28595803704719236</v>
      </c>
      <c r="R32" s="19">
        <f t="shared" si="19"/>
        <v>0.66666666666666663</v>
      </c>
      <c r="S32" s="12">
        <f t="shared" si="10"/>
        <v>87296.268163792469</v>
      </c>
      <c r="T32" s="12">
        <f t="shared" si="11"/>
        <v>218.24067040948117</v>
      </c>
      <c r="U32" s="12">
        <f t="shared" si="20"/>
        <v>56.742574306465102</v>
      </c>
      <c r="V32" s="12">
        <f t="shared" si="21"/>
        <v>295.41225417265696</v>
      </c>
      <c r="W32" s="12">
        <f t="shared" si="22"/>
        <v>-133.91415806964091</v>
      </c>
      <c r="X32" s="12">
        <f t="shared" si="4"/>
        <v>-133.61616689038388</v>
      </c>
      <c r="Y32" s="5">
        <f t="shared" si="12"/>
        <v>0.93843646859669738</v>
      </c>
      <c r="Z32" s="12">
        <f t="shared" si="13"/>
        <v>-125.3902838040388</v>
      </c>
    </row>
    <row r="33" spans="1:26">
      <c r="A33" s="19">
        <f t="shared" si="14"/>
        <v>0.75</v>
      </c>
      <c r="B33" s="10">
        <f t="shared" si="0"/>
        <v>0.99748539330505059</v>
      </c>
      <c r="C33" s="10">
        <f t="shared" si="5"/>
        <v>0.97772369240959123</v>
      </c>
      <c r="D33" s="10">
        <f t="shared" si="15"/>
        <v>0.97526510186684745</v>
      </c>
      <c r="F33" s="19">
        <f t="shared" si="16"/>
        <v>0.75</v>
      </c>
      <c r="G33" s="132">
        <v>0.91293000000000002</v>
      </c>
      <c r="H33" s="10">
        <f t="shared" si="1"/>
        <v>0.13634410653825496</v>
      </c>
      <c r="I33" s="10">
        <f t="shared" si="2"/>
        <v>-0.27596645602351111</v>
      </c>
      <c r="J33" s="19">
        <f t="shared" si="6"/>
        <v>13.930443909095757</v>
      </c>
      <c r="K33" s="19">
        <f t="shared" si="7"/>
        <v>-34.362761939461727</v>
      </c>
      <c r="L33" s="19">
        <f t="shared" si="3"/>
        <v>48.293205848557484</v>
      </c>
      <c r="M33" s="19">
        <f t="shared" si="17"/>
        <v>14.033473153233828</v>
      </c>
      <c r="N33" s="19">
        <f t="shared" si="18"/>
        <v>-0.10302924413807091</v>
      </c>
      <c r="O33" s="10">
        <f t="shared" si="8"/>
        <v>0.96406879469432316</v>
      </c>
      <c r="P33" s="19">
        <f t="shared" si="9"/>
        <v>-9.9327279214457179E-2</v>
      </c>
      <c r="R33" s="19">
        <f t="shared" si="19"/>
        <v>0.75</v>
      </c>
      <c r="S33" s="12">
        <f t="shared" si="10"/>
        <v>89259.329051148801</v>
      </c>
      <c r="T33" s="12">
        <f t="shared" si="11"/>
        <v>223.14832262787201</v>
      </c>
      <c r="U33" s="12">
        <f t="shared" si="20"/>
        <v>58.018563883246721</v>
      </c>
      <c r="V33" s="12">
        <f t="shared" si="21"/>
        <v>-103.02924413807091</v>
      </c>
      <c r="W33" s="12">
        <f t="shared" si="22"/>
        <v>268.1590028826962</v>
      </c>
      <c r="X33" s="12">
        <f t="shared" si="4"/>
        <v>267.4846884587364</v>
      </c>
      <c r="Y33" s="5">
        <f t="shared" si="12"/>
        <v>0.93101244462222288</v>
      </c>
      <c r="Z33" s="12">
        <f t="shared" si="13"/>
        <v>249.03157370098185</v>
      </c>
    </row>
    <row r="34" spans="1:26">
      <c r="A34" s="19">
        <f t="shared" si="14"/>
        <v>0.83333333333333337</v>
      </c>
      <c r="B34" s="10">
        <f t="shared" si="0"/>
        <v>0.99719345847337093</v>
      </c>
      <c r="C34" s="10">
        <f t="shared" si="5"/>
        <v>0.97527938317856722</v>
      </c>
      <c r="D34" s="10">
        <f t="shared" si="15"/>
        <v>0.97254222108961141</v>
      </c>
      <c r="F34" s="19">
        <f t="shared" si="16"/>
        <v>0.83333333333333337</v>
      </c>
      <c r="G34" s="132">
        <v>0.90373999999999999</v>
      </c>
      <c r="H34" s="10">
        <f t="shared" si="1"/>
        <v>9.8629397704302624E-2</v>
      </c>
      <c r="I34" s="10">
        <f t="shared" si="2"/>
        <v>-0.30961889275956045</v>
      </c>
      <c r="J34" s="19">
        <f t="shared" si="6"/>
        <v>14.366662840053003</v>
      </c>
      <c r="K34" s="19">
        <f t="shared" si="7"/>
        <v>-35.16733108107185</v>
      </c>
      <c r="L34" s="19">
        <f t="shared" si="3"/>
        <v>49.533993921124853</v>
      </c>
      <c r="M34" s="19">
        <f t="shared" si="17"/>
        <v>14.477997767330393</v>
      </c>
      <c r="N34" s="19">
        <f t="shared" si="18"/>
        <v>-0.11133492727739025</v>
      </c>
      <c r="O34" s="10">
        <f t="shared" si="8"/>
        <v>0.96015699623990569</v>
      </c>
      <c r="P34" s="19">
        <f t="shared" si="9"/>
        <v>-0.10689900935124737</v>
      </c>
      <c r="R34" s="19">
        <f t="shared" si="19"/>
        <v>0.83333333333333337</v>
      </c>
      <c r="S34" s="12">
        <f t="shared" si="10"/>
        <v>88139.898975379838</v>
      </c>
      <c r="T34" s="12">
        <f t="shared" si="11"/>
        <v>220.34974743844961</v>
      </c>
      <c r="U34" s="12">
        <f t="shared" si="20"/>
        <v>57.290934333996894</v>
      </c>
      <c r="V34" s="12">
        <f t="shared" si="21"/>
        <v>-111.33492727739025</v>
      </c>
      <c r="W34" s="12">
        <f t="shared" si="22"/>
        <v>274.39374038184297</v>
      </c>
      <c r="X34" s="12">
        <f t="shared" si="4"/>
        <v>273.62364295481427</v>
      </c>
      <c r="Y34" s="5">
        <f t="shared" si="12"/>
        <v>0.92364715252126117</v>
      </c>
      <c r="Z34" s="12">
        <f t="shared" si="13"/>
        <v>252.73169867770844</v>
      </c>
    </row>
    <row r="35" spans="1:26">
      <c r="A35" s="19">
        <f t="shared" si="14"/>
        <v>0.91666666666666674</v>
      </c>
      <c r="B35" s="10">
        <f t="shared" si="0"/>
        <v>0.99689893156910558</v>
      </c>
      <c r="C35" s="10">
        <f t="shared" si="5"/>
        <v>0.97284118472062087</v>
      </c>
      <c r="D35" s="10">
        <f t="shared" si="15"/>
        <v>0.96982433763440978</v>
      </c>
      <c r="F35" s="19">
        <f t="shared" si="16"/>
        <v>0.91666666666666674</v>
      </c>
      <c r="G35" s="132">
        <v>0.88248000000000004</v>
      </c>
      <c r="H35" s="10">
        <f t="shared" si="1"/>
        <v>2.6293439163342095E-2</v>
      </c>
      <c r="I35" s="10">
        <f t="shared" si="2"/>
        <v>-0.37785174926939596</v>
      </c>
      <c r="J35" s="19">
        <f t="shared" si="6"/>
        <v>15.312017270155891</v>
      </c>
      <c r="K35" s="19">
        <f t="shared" si="7"/>
        <v>-36.497116200957066</v>
      </c>
      <c r="L35" s="19">
        <f t="shared" si="3"/>
        <v>51.809133471112958</v>
      </c>
      <c r="M35" s="19">
        <f t="shared" si="17"/>
        <v>15.400777710992884</v>
      </c>
      <c r="N35" s="19">
        <f t="shared" si="18"/>
        <v>-8.8760440836992416E-2</v>
      </c>
      <c r="O35" s="10">
        <f t="shared" si="8"/>
        <v>0.95626107027014118</v>
      </c>
      <c r="P35" s="19">
        <f t="shared" si="9"/>
        <v>-8.4878154152431912E-2</v>
      </c>
      <c r="R35" s="19">
        <f t="shared" si="19"/>
        <v>0.91666666666666674</v>
      </c>
      <c r="S35" s="12">
        <f t="shared" si="10"/>
        <v>85851.288869225362</v>
      </c>
      <c r="T35" s="12">
        <f t="shared" si="11"/>
        <v>214.62822217306342</v>
      </c>
      <c r="U35" s="12">
        <f t="shared" si="20"/>
        <v>55.803337764996485</v>
      </c>
      <c r="V35" s="12">
        <f t="shared" si="21"/>
        <v>-88.760440836992416</v>
      </c>
      <c r="W35" s="12">
        <f t="shared" si="22"/>
        <v>247.58532524505935</v>
      </c>
      <c r="X35" s="12">
        <f t="shared" si="4"/>
        <v>246.81754620898917</v>
      </c>
      <c r="Y35" s="5">
        <f t="shared" si="12"/>
        <v>0.91634012766263961</v>
      </c>
      <c r="Z35" s="12">
        <f t="shared" si="13"/>
        <v>226.16882180252458</v>
      </c>
    </row>
    <row r="36" spans="1:26">
      <c r="A36" s="19">
        <f t="shared" si="14"/>
        <v>1</v>
      </c>
      <c r="B36" s="10">
        <f t="shared" si="0"/>
        <v>0.99660178873805627</v>
      </c>
      <c r="C36" s="10">
        <f t="shared" si="5"/>
        <v>0.97040908175881946</v>
      </c>
      <c r="D36" s="10">
        <f t="shared" si="15"/>
        <v>0.96711142668849415</v>
      </c>
      <c r="F36" s="19">
        <f t="shared" si="16"/>
        <v>1</v>
      </c>
      <c r="G36" s="132">
        <v>0.92712000000000006</v>
      </c>
      <c r="H36" s="10">
        <f t="shared" si="1"/>
        <v>0.13534978739222395</v>
      </c>
      <c r="I36" s="10">
        <f t="shared" si="2"/>
        <v>-0.2646502126077761</v>
      </c>
      <c r="J36" s="19">
        <f t="shared" si="6"/>
        <v>13.635435447193352</v>
      </c>
      <c r="K36" s="19">
        <f t="shared" si="7"/>
        <v>-34.95861022278617</v>
      </c>
      <c r="L36" s="19">
        <f t="shared" si="3"/>
        <v>48.594045669979522</v>
      </c>
      <c r="M36" s="19">
        <f t="shared" si="17"/>
        <v>13.682142766380565</v>
      </c>
      <c r="N36" s="19">
        <f t="shared" si="18"/>
        <v>-4.6707319187213159E-2</v>
      </c>
      <c r="O36" s="10">
        <f t="shared" si="8"/>
        <v>0.95238095238095233</v>
      </c>
      <c r="P36" s="19">
        <f t="shared" si="9"/>
        <v>-4.4483161130679197E-2</v>
      </c>
      <c r="R36" s="19">
        <f t="shared" si="19"/>
        <v>1</v>
      </c>
      <c r="S36" s="12">
        <f t="shared" si="10"/>
        <v>89968.566788023672</v>
      </c>
      <c r="T36" s="12">
        <f t="shared" si="11"/>
        <v>224.9214169700592</v>
      </c>
      <c r="U36" s="12">
        <f t="shared" si="20"/>
        <v>58.479568412215386</v>
      </c>
      <c r="V36" s="12">
        <f t="shared" si="21"/>
        <v>-46.707319187213159</v>
      </c>
      <c r="W36" s="12">
        <f t="shared" si="22"/>
        <v>213.14916774505696</v>
      </c>
      <c r="X36" s="12">
        <f t="shared" si="4"/>
        <v>212.42484184275176</v>
      </c>
      <c r="Y36" s="5">
        <f t="shared" si="12"/>
        <v>0.90909090909090906</v>
      </c>
      <c r="Z36" s="12">
        <f t="shared" si="13"/>
        <v>193.11349258431977</v>
      </c>
    </row>
    <row r="37" spans="1:26">
      <c r="A37" s="19">
        <f t="shared" si="14"/>
        <v>1.0833333333333333</v>
      </c>
      <c r="B37" s="10">
        <f t="shared" si="0"/>
        <v>0.99630200592131046</v>
      </c>
      <c r="C37" s="10">
        <f t="shared" si="5"/>
        <v>0.96798305905442239</v>
      </c>
      <c r="D37" s="10">
        <f t="shared" si="15"/>
        <v>0.96440346343376737</v>
      </c>
      <c r="F37" s="19">
        <f t="shared" si="16"/>
        <v>1.0833333333333333</v>
      </c>
      <c r="G37" s="132">
        <v>0.92420000000000002</v>
      </c>
      <c r="H37" s="10">
        <f t="shared" si="1"/>
        <v>0.11407471513611249</v>
      </c>
      <c r="I37" s="10">
        <f t="shared" si="2"/>
        <v>-0.28173668776515143</v>
      </c>
      <c r="J37" s="19">
        <f t="shared" si="6"/>
        <v>13.825022890645258</v>
      </c>
      <c r="K37" s="19">
        <f t="shared" si="7"/>
        <v>-35.516972154513354</v>
      </c>
      <c r="L37" s="19">
        <f t="shared" si="3"/>
        <v>49.341995045158612</v>
      </c>
      <c r="M37" s="19">
        <f t="shared" si="17"/>
        <v>13.948436531020484</v>
      </c>
      <c r="N37" s="19">
        <f t="shared" si="18"/>
        <v>-0.12341364037522595</v>
      </c>
      <c r="O37" s="10">
        <f t="shared" si="8"/>
        <v>0.94851657842958759</v>
      </c>
      <c r="P37" s="19">
        <f t="shared" si="9"/>
        <v>-0.11705988390024892</v>
      </c>
      <c r="R37" s="19">
        <f t="shared" si="19"/>
        <v>1.0833333333333333</v>
      </c>
      <c r="S37" s="12">
        <f t="shared" si="10"/>
        <v>89460.994317809731</v>
      </c>
      <c r="T37" s="12">
        <f t="shared" si="11"/>
        <v>223.65248579452432</v>
      </c>
      <c r="U37" s="12">
        <f t="shared" si="20"/>
        <v>58.149646306576322</v>
      </c>
      <c r="V37" s="12">
        <f t="shared" si="21"/>
        <v>-123.41364037522595</v>
      </c>
      <c r="W37" s="12">
        <f t="shared" si="22"/>
        <v>288.91647986317395</v>
      </c>
      <c r="X37" s="12">
        <f t="shared" si="4"/>
        <v>287.8480684314041</v>
      </c>
      <c r="Y37" s="5">
        <f t="shared" si="12"/>
        <v>0.90189903949726447</v>
      </c>
      <c r="Z37" s="12">
        <f t="shared" si="13"/>
        <v>259.60989643942622</v>
      </c>
    </row>
    <row r="38" spans="1:26">
      <c r="A38" s="19">
        <f t="shared" si="14"/>
        <v>1.1666666666666665</v>
      </c>
      <c r="B38" s="10">
        <f t="shared" si="0"/>
        <v>0.99599955885377889</v>
      </c>
      <c r="C38" s="10">
        <f t="shared" si="5"/>
        <v>0.96556310140678647</v>
      </c>
      <c r="D38" s="10">
        <f t="shared" si="15"/>
        <v>0.96170042304664594</v>
      </c>
      <c r="F38" s="19">
        <f t="shared" si="16"/>
        <v>1.1666666666666665</v>
      </c>
      <c r="G38" s="132">
        <v>0.95545000000000002</v>
      </c>
      <c r="H38" s="10">
        <f t="shared" si="1"/>
        <v>0.18533389052120619</v>
      </c>
      <c r="I38" s="10">
        <f t="shared" si="2"/>
        <v>-0.20624411362781819</v>
      </c>
      <c r="J38" s="19">
        <f t="shared" si="6"/>
        <v>12.73368637959824</v>
      </c>
      <c r="K38" s="19">
        <f t="shared" si="7"/>
        <v>-34.458226001082039</v>
      </c>
      <c r="L38" s="19">
        <f t="shared" si="3"/>
        <v>47.191912380680279</v>
      </c>
      <c r="M38" s="19">
        <f t="shared" si="17"/>
        <v>12.83010709251775</v>
      </c>
      <c r="N38" s="19">
        <f t="shared" si="18"/>
        <v>-9.6420712919510265E-2</v>
      </c>
      <c r="O38" s="10">
        <f t="shared" si="8"/>
        <v>0.94466788453356076</v>
      </c>
      <c r="P38" s="19">
        <f t="shared" si="9"/>
        <v>-9.1085550898891532E-2</v>
      </c>
      <c r="R38" s="19">
        <f t="shared" si="19"/>
        <v>1.1666666666666665</v>
      </c>
      <c r="S38" s="12">
        <f t="shared" si="10"/>
        <v>92254.72652391142</v>
      </c>
      <c r="T38" s="12">
        <f t="shared" si="11"/>
        <v>230.63681630977857</v>
      </c>
      <c r="U38" s="12">
        <f t="shared" si="20"/>
        <v>59.965572240542421</v>
      </c>
      <c r="V38" s="12">
        <f t="shared" si="21"/>
        <v>-96.420712919510265</v>
      </c>
      <c r="W38" s="12">
        <f t="shared" si="22"/>
        <v>267.0919569887464</v>
      </c>
      <c r="X38" s="12">
        <f t="shared" si="4"/>
        <v>266.02347133418391</v>
      </c>
      <c r="Y38" s="5">
        <f t="shared" si="12"/>
        <v>0.89476406519069707</v>
      </c>
      <c r="Z38" s="12">
        <f t="shared" si="13"/>
        <v>238.02824264711526</v>
      </c>
    </row>
    <row r="39" spans="1:26">
      <c r="A39" s="19">
        <f t="shared" si="14"/>
        <v>1.2499999999999998</v>
      </c>
      <c r="B39" s="10">
        <f t="shared" si="0"/>
        <v>0.99569442306273037</v>
      </c>
      <c r="C39" s="10">
        <f t="shared" si="5"/>
        <v>0.96314919365326956</v>
      </c>
      <c r="D39" s="10">
        <f t="shared" si="15"/>
        <v>0.95900228069792626</v>
      </c>
      <c r="F39" s="19">
        <f t="shared" si="16"/>
        <v>1.2499999999999998</v>
      </c>
      <c r="G39" s="132">
        <v>1.02563</v>
      </c>
      <c r="H39" s="10">
        <f t="shared" si="1"/>
        <v>0.35533136225375644</v>
      </c>
      <c r="I39" s="10">
        <f t="shared" si="2"/>
        <v>-3.1966972366985258E-2</v>
      </c>
      <c r="J39" s="19">
        <f t="shared" si="6"/>
        <v>10.450506535802145</v>
      </c>
      <c r="K39" s="19">
        <f t="shared" si="7"/>
        <v>-31.334221707013693</v>
      </c>
      <c r="L39" s="19">
        <f t="shared" si="3"/>
        <v>41.784728242815838</v>
      </c>
      <c r="M39" s="19">
        <f t="shared" si="17"/>
        <v>10.399693616985552</v>
      </c>
      <c r="N39" s="19">
        <f t="shared" si="18"/>
        <v>5.0812918816593111E-2</v>
      </c>
      <c r="O39" s="10">
        <f t="shared" si="8"/>
        <v>0.94083480706959433</v>
      </c>
      <c r="P39" s="19">
        <f t="shared" si="9"/>
        <v>4.7806562671452342E-2</v>
      </c>
      <c r="R39" s="19">
        <f t="shared" si="19"/>
        <v>1.2499999999999998</v>
      </c>
      <c r="S39" s="12">
        <f t="shared" si="10"/>
        <v>98783.470748660286</v>
      </c>
      <c r="T39" s="12">
        <f t="shared" si="11"/>
        <v>246.95867687165071</v>
      </c>
      <c r="U39" s="12">
        <f t="shared" si="20"/>
        <v>64.209255986629188</v>
      </c>
      <c r="V39" s="12">
        <f t="shared" si="21"/>
        <v>50.812918816593111</v>
      </c>
      <c r="W39" s="12">
        <f t="shared" si="22"/>
        <v>131.93650206842841</v>
      </c>
      <c r="X39" s="12">
        <f t="shared" si="4"/>
        <v>131.36843930793856</v>
      </c>
      <c r="Y39" s="5">
        <f t="shared" si="12"/>
        <v>0.88768553606937306</v>
      </c>
      <c r="Z39" s="12">
        <f t="shared" si="13"/>
        <v>116.61386346966434</v>
      </c>
    </row>
    <row r="40" spans="1:26">
      <c r="A40" s="19">
        <f t="shared" si="14"/>
        <v>1.333333333333333</v>
      </c>
      <c r="B40" s="10">
        <f t="shared" si="0"/>
        <v>0.99538657386632234</v>
      </c>
      <c r="C40" s="10">
        <f t="shared" si="5"/>
        <v>0.96074132066913642</v>
      </c>
      <c r="D40" s="10">
        <f t="shared" si="15"/>
        <v>0.95630901155265746</v>
      </c>
      <c r="F40" s="19">
        <f t="shared" si="16"/>
        <v>1.333333333333333</v>
      </c>
      <c r="G40" s="132">
        <v>1.13167</v>
      </c>
      <c r="H40" s="10">
        <f t="shared" si="1"/>
        <v>0.60102035330204973</v>
      </c>
      <c r="I40" s="10">
        <f t="shared" si="2"/>
        <v>0.21804951019951446</v>
      </c>
      <c r="J40" s="19">
        <f t="shared" si="6"/>
        <v>7.634732125975308</v>
      </c>
      <c r="K40" s="19">
        <f t="shared" si="7"/>
        <v>-26.229063982388201</v>
      </c>
      <c r="L40" s="19">
        <f t="shared" si="3"/>
        <v>33.863796108363509</v>
      </c>
      <c r="M40" s="19">
        <f t="shared" si="17"/>
        <v>7.3853241148079576</v>
      </c>
      <c r="N40" s="19">
        <f t="shared" si="18"/>
        <v>0.24940801116735045</v>
      </c>
      <c r="O40" s="10">
        <f t="shared" si="8"/>
        <v>0.93701728267256856</v>
      </c>
      <c r="P40" s="19">
        <f t="shared" si="9"/>
        <v>0.23369961690080035</v>
      </c>
      <c r="R40" s="19">
        <f t="shared" si="19"/>
        <v>1.333333333333333</v>
      </c>
      <c r="S40" s="12">
        <f t="shared" si="10"/>
        <v>108724.21303616415</v>
      </c>
      <c r="T40" s="12">
        <f t="shared" si="11"/>
        <v>271.81053259041039</v>
      </c>
      <c r="U40" s="12">
        <f t="shared" si="20"/>
        <v>70.670738473506688</v>
      </c>
      <c r="V40" s="12">
        <f t="shared" si="21"/>
        <v>249.40801116735045</v>
      </c>
      <c r="W40" s="12">
        <f t="shared" si="22"/>
        <v>-48.268217050446736</v>
      </c>
      <c r="X40" s="12">
        <f t="shared" si="4"/>
        <v>-48.045535196480181</v>
      </c>
      <c r="Y40" s="5">
        <f t="shared" si="12"/>
        <v>0.8806630055922402</v>
      </c>
      <c r="Z40" s="12">
        <f t="shared" si="13"/>
        <v>-42.311925431420001</v>
      </c>
    </row>
    <row r="41" spans="1:26">
      <c r="A41" s="19">
        <f t="shared" si="14"/>
        <v>1.4166666666666663</v>
      </c>
      <c r="B41" s="10">
        <f t="shared" si="0"/>
        <v>0.99507598637212702</v>
      </c>
      <c r="C41" s="10">
        <f t="shared" si="5"/>
        <v>0.95833946736746367</v>
      </c>
      <c r="D41" s="10">
        <f t="shared" si="15"/>
        <v>0.95362059077001771</v>
      </c>
      <c r="F41" s="19">
        <f t="shared" si="16"/>
        <v>1.4166666666666663</v>
      </c>
      <c r="G41" s="132">
        <v>1.25234</v>
      </c>
      <c r="H41" s="10">
        <f t="shared" si="1"/>
        <v>0.86018113444181388</v>
      </c>
      <c r="I41" s="10">
        <f t="shared" si="2"/>
        <v>0.48158724472179559</v>
      </c>
      <c r="J41" s="19">
        <f t="shared" si="6"/>
        <v>5.2511129044616567</v>
      </c>
      <c r="K41" s="19">
        <f t="shared" si="7"/>
        <v>-20.653619209851264</v>
      </c>
      <c r="L41" s="19">
        <f t="shared" si="3"/>
        <v>25.904732114312921</v>
      </c>
      <c r="M41" s="19">
        <f t="shared" si="17"/>
        <v>4.9793199025999613</v>
      </c>
      <c r="N41" s="19">
        <f t="shared" si="18"/>
        <v>0.27179300186169542</v>
      </c>
      <c r="O41" s="10">
        <f t="shared" si="8"/>
        <v>0.93321524823447322</v>
      </c>
      <c r="P41" s="19">
        <f t="shared" si="9"/>
        <v>0.25364137370075474</v>
      </c>
      <c r="R41" s="19">
        <f t="shared" si="19"/>
        <v>1.4166666666666663</v>
      </c>
      <c r="S41" s="12">
        <f t="shared" si="10"/>
        <v>120016.68485629694</v>
      </c>
      <c r="T41" s="12">
        <f t="shared" si="11"/>
        <v>300.04171214074233</v>
      </c>
      <c r="U41" s="12">
        <f t="shared" si="20"/>
        <v>78.010845156593007</v>
      </c>
      <c r="V41" s="12">
        <f t="shared" si="21"/>
        <v>271.79300186169542</v>
      </c>
      <c r="W41" s="12">
        <f t="shared" si="22"/>
        <v>-49.762134877546089</v>
      </c>
      <c r="X41" s="12">
        <f t="shared" si="4"/>
        <v>-49.517105447256995</v>
      </c>
      <c r="Y41" s="5">
        <f t="shared" si="12"/>
        <v>0.873696030750857</v>
      </c>
      <c r="Z41" s="12">
        <f t="shared" si="13"/>
        <v>-43.262898483540077</v>
      </c>
    </row>
    <row r="42" spans="1:26">
      <c r="A42" s="19">
        <f t="shared" si="14"/>
        <v>1.4999999999999996</v>
      </c>
      <c r="B42" s="10">
        <f t="shared" si="0"/>
        <v>0.99476263547565336</v>
      </c>
      <c r="C42" s="10">
        <f t="shared" si="5"/>
        <v>0.95594361869904509</v>
      </c>
      <c r="D42" s="10">
        <f t="shared" si="15"/>
        <v>0.95093699350319516</v>
      </c>
      <c r="F42" s="19">
        <f t="shared" si="16"/>
        <v>1.4999999999999996</v>
      </c>
      <c r="G42" s="132">
        <v>1.10877</v>
      </c>
      <c r="H42" s="10">
        <f t="shared" si="1"/>
        <v>0.52934691568347825</v>
      </c>
      <c r="I42" s="10">
        <f t="shared" si="2"/>
        <v>0.15518117700608403</v>
      </c>
      <c r="J42" s="19">
        <f t="shared" si="6"/>
        <v>8.2018736137855122</v>
      </c>
      <c r="K42" s="19">
        <f t="shared" si="7"/>
        <v>-28.00215305835864</v>
      </c>
      <c r="L42" s="19">
        <f t="shared" si="3"/>
        <v>36.204026672144153</v>
      </c>
      <c r="M42" s="19">
        <f t="shared" si="17"/>
        <v>7.7270341102960955</v>
      </c>
      <c r="N42" s="19">
        <f t="shared" si="18"/>
        <v>0.47483950348941661</v>
      </c>
      <c r="O42" s="10">
        <f t="shared" si="8"/>
        <v>0.92942864090336497</v>
      </c>
      <c r="P42" s="19">
        <f t="shared" si="9"/>
        <v>0.44132943437539712</v>
      </c>
      <c r="R42" s="19">
        <f t="shared" si="19"/>
        <v>1.4999999999999996</v>
      </c>
      <c r="S42" s="12">
        <f t="shared" si="10"/>
        <v>105992.160610494</v>
      </c>
      <c r="T42" s="12">
        <f t="shared" si="11"/>
        <v>264.98040152623503</v>
      </c>
      <c r="U42" s="12">
        <f t="shared" si="20"/>
        <v>68.89490439682109</v>
      </c>
      <c r="V42" s="12">
        <f t="shared" si="21"/>
        <v>474.83950348941664</v>
      </c>
      <c r="W42" s="12">
        <f t="shared" si="22"/>
        <v>-278.75400636000268</v>
      </c>
      <c r="X42" s="12">
        <f t="shared" si="4"/>
        <v>-277.29407001607331</v>
      </c>
      <c r="Y42" s="5">
        <f t="shared" si="12"/>
        <v>0.86678417204144753</v>
      </c>
      <c r="Z42" s="12">
        <f t="shared" si="13"/>
        <v>-240.35411089088529</v>
      </c>
    </row>
    <row r="43" spans="1:26">
      <c r="A43" s="19">
        <f t="shared" si="14"/>
        <v>1.5833333333333328</v>
      </c>
      <c r="B43" s="10">
        <f t="shared" si="0"/>
        <v>0.99444649585886635</v>
      </c>
      <c r="C43" s="10">
        <f t="shared" si="5"/>
        <v>0.95355375965229749</v>
      </c>
      <c r="D43" s="10">
        <f t="shared" si="15"/>
        <v>0.94825819489927488</v>
      </c>
      <c r="F43" s="19">
        <f t="shared" si="16"/>
        <v>1.5833333333333328</v>
      </c>
      <c r="G43" s="132">
        <v>1.1003799999999999</v>
      </c>
      <c r="H43" s="10">
        <f t="shared" si="1"/>
        <v>0.49943777246560783</v>
      </c>
      <c r="I43" s="10">
        <f t="shared" si="2"/>
        <v>0.12975322225196056</v>
      </c>
      <c r="J43" s="19">
        <f t="shared" si="6"/>
        <v>8.4265512038739594</v>
      </c>
      <c r="K43" s="19">
        <f t="shared" si="7"/>
        <v>-28.773297035173645</v>
      </c>
      <c r="L43" s="19">
        <f t="shared" si="3"/>
        <v>37.199848239047604</v>
      </c>
      <c r="M43" s="19">
        <f t="shared" si="17"/>
        <v>8.564929144399688</v>
      </c>
      <c r="N43" s="19">
        <f t="shared" si="18"/>
        <v>-0.1383779405257286</v>
      </c>
      <c r="O43" s="10">
        <f t="shared" si="8"/>
        <v>0.92565739808232761</v>
      </c>
      <c r="P43" s="19">
        <f t="shared" si="9"/>
        <v>-0.12809056437903701</v>
      </c>
      <c r="R43" s="19">
        <f t="shared" si="19"/>
        <v>1.5833333333333328</v>
      </c>
      <c r="S43" s="12">
        <f t="shared" si="10"/>
        <v>104927.14860461949</v>
      </c>
      <c r="T43" s="12">
        <f t="shared" si="11"/>
        <v>262.31787151154873</v>
      </c>
      <c r="U43" s="12">
        <f t="shared" si="20"/>
        <v>68.202646593002669</v>
      </c>
      <c r="V43" s="12">
        <f t="shared" si="21"/>
        <v>-138.3779405257286</v>
      </c>
      <c r="W43" s="12">
        <f t="shared" si="22"/>
        <v>332.49316544427467</v>
      </c>
      <c r="X43" s="12">
        <f t="shared" si="4"/>
        <v>330.64666327308123</v>
      </c>
      <c r="Y43" s="5">
        <f t="shared" si="12"/>
        <v>0.85992699343717449</v>
      </c>
      <c r="Z43" s="12">
        <f t="shared" si="13"/>
        <v>284.33199103845459</v>
      </c>
    </row>
    <row r="44" spans="1:26">
      <c r="A44" s="19">
        <f t="shared" si="14"/>
        <v>1.6666666666666661</v>
      </c>
      <c r="B44" s="10">
        <f t="shared" si="0"/>
        <v>0.9941275419887029</v>
      </c>
      <c r="C44" s="10">
        <f t="shared" si="5"/>
        <v>0.95116987525316676</v>
      </c>
      <c r="D44" s="10">
        <f t="shared" si="15"/>
        <v>0.94558417009913187</v>
      </c>
      <c r="F44" s="19">
        <f t="shared" si="16"/>
        <v>1.6666666666666661</v>
      </c>
      <c r="G44" s="132">
        <v>0.99480999999999997</v>
      </c>
      <c r="H44" s="10">
        <f t="shared" si="1"/>
        <v>0.21345297271390404</v>
      </c>
      <c r="I44" s="10">
        <f t="shared" si="2"/>
        <v>-0.15169539895620673</v>
      </c>
      <c r="J44" s="19">
        <f t="shared" si="6"/>
        <v>11.674677495180717</v>
      </c>
      <c r="K44" s="19">
        <f t="shared" si="7"/>
        <v>-35.018463293529209</v>
      </c>
      <c r="L44" s="19">
        <f t="shared" si="3"/>
        <v>46.693140788709925</v>
      </c>
      <c r="M44" s="19">
        <f t="shared" si="17"/>
        <v>11.342372098303013</v>
      </c>
      <c r="N44" s="19">
        <f t="shared" si="18"/>
        <v>0.33230539687770388</v>
      </c>
      <c r="O44" s="10">
        <f t="shared" si="8"/>
        <v>0.92190145742843832</v>
      </c>
      <c r="P44" s="19">
        <f t="shared" si="9"/>
        <v>0.30635282969289085</v>
      </c>
      <c r="R44" s="19">
        <f t="shared" si="19"/>
        <v>1.6666666666666661</v>
      </c>
      <c r="S44" s="12">
        <f t="shared" si="10"/>
        <v>94623.330360060281</v>
      </c>
      <c r="T44" s="12">
        <f t="shared" si="11"/>
        <v>236.55832590015072</v>
      </c>
      <c r="U44" s="12">
        <f t="shared" si="20"/>
        <v>61.505164734039177</v>
      </c>
      <c r="V44" s="12">
        <f t="shared" si="21"/>
        <v>332.30539687770386</v>
      </c>
      <c r="W44" s="12">
        <f t="shared" si="22"/>
        <v>-157.25223571159231</v>
      </c>
      <c r="X44" s="12">
        <f t="shared" si="4"/>
        <v>-156.3287785601934</v>
      </c>
      <c r="Y44" s="5">
        <f t="shared" si="12"/>
        <v>0.85312406236063398</v>
      </c>
      <c r="Z44" s="12">
        <f t="shared" si="13"/>
        <v>-133.36784262914819</v>
      </c>
    </row>
    <row r="45" spans="1:26">
      <c r="A45" s="19">
        <f t="shared" si="14"/>
        <v>1.7499999999999993</v>
      </c>
      <c r="B45" s="10">
        <f t="shared" si="0"/>
        <v>0.99380574811558287</v>
      </c>
      <c r="C45" s="10">
        <f t="shared" si="5"/>
        <v>0.94879195056503396</v>
      </c>
      <c r="D45" s="10">
        <f t="shared" si="15"/>
        <v>0.94291489423732666</v>
      </c>
      <c r="F45" s="19">
        <f t="shared" si="16"/>
        <v>1.7499999999999993</v>
      </c>
      <c r="G45" s="132">
        <v>1.04213</v>
      </c>
      <c r="H45" s="10">
        <f t="shared" si="1"/>
        <v>0.32887864706262154</v>
      </c>
      <c r="I45" s="10">
        <f t="shared" si="2"/>
        <v>-3.1676480483777414E-2</v>
      </c>
      <c r="J45" s="19">
        <f t="shared" si="6"/>
        <v>10.136356043577322</v>
      </c>
      <c r="K45" s="19">
        <f t="shared" si="7"/>
        <v>-32.777880996275819</v>
      </c>
      <c r="L45" s="19">
        <f t="shared" si="3"/>
        <v>42.914237039853141</v>
      </c>
      <c r="M45" s="19">
        <f t="shared" si="17"/>
        <v>10.203919370972351</v>
      </c>
      <c r="N45" s="19">
        <f t="shared" si="18"/>
        <v>-6.7563327395028239E-2</v>
      </c>
      <c r="O45" s="10">
        <f t="shared" si="8"/>
        <v>0.91816075685173626</v>
      </c>
      <c r="P45" s="19">
        <f t="shared" si="9"/>
        <v>-6.2033995816440771E-2</v>
      </c>
      <c r="R45" s="19">
        <f t="shared" si="19"/>
        <v>1.7499999999999993</v>
      </c>
      <c r="S45" s="12">
        <f t="shared" si="10"/>
        <v>98876.45554423389</v>
      </c>
      <c r="T45" s="12">
        <f t="shared" si="11"/>
        <v>247.19113886058474</v>
      </c>
      <c r="U45" s="12">
        <f t="shared" si="20"/>
        <v>64.269696103752025</v>
      </c>
      <c r="V45" s="12">
        <f t="shared" si="21"/>
        <v>-67.563327395028239</v>
      </c>
      <c r="W45" s="12">
        <f t="shared" si="22"/>
        <v>250.48477015186097</v>
      </c>
      <c r="X45" s="12">
        <f t="shared" si="4"/>
        <v>248.93320439233003</v>
      </c>
      <c r="Y45" s="5">
        <f t="shared" si="12"/>
        <v>0.84637494965656623</v>
      </c>
      <c r="Z45" s="12">
        <f t="shared" si="13"/>
        <v>210.69082833540602</v>
      </c>
    </row>
    <row r="46" spans="1:26">
      <c r="A46" s="19">
        <f t="shared" si="14"/>
        <v>1.8333333333333326</v>
      </c>
      <c r="B46" s="10">
        <f t="shared" si="0"/>
        <v>0.99348108827191861</v>
      </c>
      <c r="C46" s="10">
        <f t="shared" si="5"/>
        <v>0.94641997068862138</v>
      </c>
      <c r="D46" s="10">
        <f t="shared" si="15"/>
        <v>0.94025034244200889</v>
      </c>
      <c r="F46" s="19">
        <f t="shared" si="16"/>
        <v>1.8333333333333326</v>
      </c>
      <c r="G46" s="132">
        <v>1.0798000000000001</v>
      </c>
      <c r="H46" s="10">
        <f t="shared" si="1"/>
        <v>0.41655972415506637</v>
      </c>
      <c r="I46" s="10">
        <f t="shared" si="2"/>
        <v>6.0657115754022606E-2</v>
      </c>
      <c r="J46" s="19">
        <f t="shared" si="6"/>
        <v>9.0240515065367539</v>
      </c>
      <c r="K46" s="19">
        <f t="shared" si="7"/>
        <v>-30.987352913062249</v>
      </c>
      <c r="L46" s="19">
        <f t="shared" si="3"/>
        <v>40.011404419599003</v>
      </c>
      <c r="M46" s="19">
        <f t="shared" si="17"/>
        <v>9.1307123465078561</v>
      </c>
      <c r="N46" s="19">
        <f t="shared" si="18"/>
        <v>-0.10666083997110221</v>
      </c>
      <c r="O46" s="10">
        <f t="shared" si="8"/>
        <v>0.91443523451419584</v>
      </c>
      <c r="P46" s="19">
        <f t="shared" si="9"/>
        <v>-9.7534430212455961E-2</v>
      </c>
      <c r="R46" s="19">
        <f t="shared" si="19"/>
        <v>1.8333333333333326</v>
      </c>
      <c r="S46" s="12">
        <f t="shared" si="10"/>
        <v>102194.42843495736</v>
      </c>
      <c r="T46" s="12">
        <f t="shared" si="11"/>
        <v>255.48607108739341</v>
      </c>
      <c r="U46" s="12">
        <f t="shared" si="20"/>
        <v>66.426378482722285</v>
      </c>
      <c r="V46" s="12">
        <f t="shared" si="21"/>
        <v>-106.66083997110221</v>
      </c>
      <c r="W46" s="12">
        <f t="shared" si="22"/>
        <v>295.72053257577329</v>
      </c>
      <c r="X46" s="12">
        <f t="shared" si="4"/>
        <v>293.7927565277306</v>
      </c>
      <c r="Y46" s="5">
        <f t="shared" si="12"/>
        <v>0.83967922956478291</v>
      </c>
      <c r="Z46" s="12">
        <f t="shared" si="13"/>
        <v>246.69167545291867</v>
      </c>
    </row>
    <row r="47" spans="1:26">
      <c r="A47" s="19">
        <f t="shared" si="14"/>
        <v>1.9166666666666659</v>
      </c>
      <c r="B47" s="10">
        <f t="shared" si="0"/>
        <v>0.99315353627062131</v>
      </c>
      <c r="C47" s="10">
        <f t="shared" si="5"/>
        <v>0.94405392076189987</v>
      </c>
      <c r="D47" s="10">
        <f t="shared" si="15"/>
        <v>0.93759048983482574</v>
      </c>
      <c r="F47" s="19">
        <f t="shared" si="16"/>
        <v>1.9166666666666659</v>
      </c>
      <c r="G47" s="132">
        <v>1.14174</v>
      </c>
      <c r="H47" s="10">
        <f t="shared" si="1"/>
        <v>0.56436631116239422</v>
      </c>
      <c r="I47" s="10">
        <f t="shared" si="2"/>
        <v>0.21317785273396955</v>
      </c>
      <c r="J47" s="19">
        <f t="shared" si="6"/>
        <v>7.3881061575777025</v>
      </c>
      <c r="K47" s="19">
        <f t="shared" si="7"/>
        <v>-27.716717073385595</v>
      </c>
      <c r="L47" s="19">
        <f t="shared" si="3"/>
        <v>35.104823230963298</v>
      </c>
      <c r="M47" s="19">
        <f t="shared" si="17"/>
        <v>7.4136022534312573</v>
      </c>
      <c r="N47" s="19">
        <f t="shared" si="18"/>
        <v>-2.5496095853554834E-2</v>
      </c>
      <c r="O47" s="10">
        <f t="shared" si="8"/>
        <v>0.91072482882870598</v>
      </c>
      <c r="P47" s="19">
        <f t="shared" si="9"/>
        <v>-2.3219927532029006E-2</v>
      </c>
      <c r="R47" s="19">
        <f t="shared" si="19"/>
        <v>1.9166666666666659</v>
      </c>
      <c r="S47" s="12">
        <f t="shared" si="10"/>
        <v>107786.41234906917</v>
      </c>
      <c r="T47" s="12">
        <f t="shared" si="11"/>
        <v>269.46603087267295</v>
      </c>
      <c r="U47" s="12">
        <f t="shared" si="20"/>
        <v>70.061168026894961</v>
      </c>
      <c r="V47" s="12">
        <f t="shared" si="21"/>
        <v>-25.496095853554834</v>
      </c>
      <c r="W47" s="12">
        <f t="shared" si="22"/>
        <v>224.90095869933282</v>
      </c>
      <c r="X47" s="12">
        <f t="shared" si="4"/>
        <v>223.36118244289534</v>
      </c>
      <c r="Y47" s="5">
        <f t="shared" si="12"/>
        <v>0.83303647969330885</v>
      </c>
      <c r="Z47" s="12">
        <f t="shared" si="13"/>
        <v>186.06801312236445</v>
      </c>
    </row>
    <row r="48" spans="1:26">
      <c r="A48" s="19">
        <f t="shared" si="14"/>
        <v>1.9999999999999991</v>
      </c>
      <c r="B48" s="10">
        <f t="shared" si="0"/>
        <v>0.99282306570360324</v>
      </c>
      <c r="C48" s="10">
        <f t="shared" si="5"/>
        <v>0.9416937859599952</v>
      </c>
      <c r="D48" s="10">
        <f t="shared" si="15"/>
        <v>0.9349353115308352</v>
      </c>
      <c r="F48" s="19">
        <f t="shared" si="16"/>
        <v>1.9999999999999991</v>
      </c>
      <c r="G48" s="132">
        <v>1.12324</v>
      </c>
      <c r="H48" s="10">
        <f t="shared" si="1"/>
        <v>0.50815354934904777</v>
      </c>
      <c r="I48" s="10">
        <f t="shared" si="2"/>
        <v>0.1617433878352722</v>
      </c>
      <c r="J48" s="19">
        <f t="shared" si="6"/>
        <v>7.846454438510154</v>
      </c>
      <c r="K48" s="19">
        <f t="shared" si="7"/>
        <v>-29.127239402984369</v>
      </c>
      <c r="L48" s="19">
        <f t="shared" si="3"/>
        <v>36.973693841494523</v>
      </c>
      <c r="M48" s="19">
        <f t="shared" si="17"/>
        <v>7.9837847635742492</v>
      </c>
      <c r="N48" s="19">
        <f t="shared" si="18"/>
        <v>-0.13733032506409515</v>
      </c>
      <c r="O48" s="10">
        <f t="shared" si="8"/>
        <v>0.90702947845804982</v>
      </c>
      <c r="P48" s="19">
        <f t="shared" si="9"/>
        <v>-0.12456265311936067</v>
      </c>
      <c r="R48" s="19">
        <f t="shared" si="19"/>
        <v>1.9999999999999991</v>
      </c>
      <c r="S48" s="12">
        <f t="shared" si="10"/>
        <v>105774.81281417051</v>
      </c>
      <c r="T48" s="12">
        <f t="shared" si="11"/>
        <v>264.43703203542628</v>
      </c>
      <c r="U48" s="12">
        <f t="shared" si="20"/>
        <v>68.753628329210827</v>
      </c>
      <c r="V48" s="12">
        <f t="shared" si="21"/>
        <v>-137.33032506409515</v>
      </c>
      <c r="W48" s="12">
        <f t="shared" si="22"/>
        <v>333.01372877031065</v>
      </c>
      <c r="X48" s="12">
        <f t="shared" si="4"/>
        <v>330.62371111912802</v>
      </c>
      <c r="Y48" s="5">
        <f t="shared" si="12"/>
        <v>0.82644628099173545</v>
      </c>
      <c r="Z48" s="12">
        <f t="shared" si="13"/>
        <v>273.24273646208923</v>
      </c>
    </row>
    <row r="49" spans="1:26">
      <c r="A49" s="19">
        <f t="shared" si="14"/>
        <v>2.0833333333333326</v>
      </c>
      <c r="B49" s="10">
        <f t="shared" si="0"/>
        <v>0.99248964994027866</v>
      </c>
      <c r="C49" s="10">
        <f t="shared" si="5"/>
        <v>0.93933955149509529</v>
      </c>
      <c r="D49" s="10">
        <f t="shared" si="15"/>
        <v>0.93228478263842551</v>
      </c>
      <c r="F49" s="19">
        <f t="shared" si="16"/>
        <v>2.0833333333333326</v>
      </c>
      <c r="G49" s="132">
        <v>1.0929199999999999</v>
      </c>
      <c r="H49" s="10">
        <f t="shared" si="1"/>
        <v>0.41816888841618571</v>
      </c>
      <c r="I49" s="10">
        <f t="shared" si="2"/>
        <v>7.660386288419907E-2</v>
      </c>
      <c r="J49" s="19">
        <f t="shared" si="6"/>
        <v>8.6735841572115291</v>
      </c>
      <c r="K49" s="19">
        <f t="shared" si="7"/>
        <v>-31.340617818938604</v>
      </c>
      <c r="L49" s="19">
        <f t="shared" si="3"/>
        <v>40.014201976150133</v>
      </c>
      <c r="M49" s="19">
        <f t="shared" si="17"/>
        <v>8.7870743912694032</v>
      </c>
      <c r="N49" s="19">
        <f t="shared" si="18"/>
        <v>-0.11349023405787406</v>
      </c>
      <c r="O49" s="10">
        <f t="shared" si="8"/>
        <v>0.90334912231389286</v>
      </c>
      <c r="P49" s="19">
        <f t="shared" si="9"/>
        <v>-0.1025213033273788</v>
      </c>
      <c r="R49" s="19">
        <f t="shared" si="19"/>
        <v>2.0833333333333326</v>
      </c>
      <c r="S49" s="12">
        <f t="shared" si="10"/>
        <v>102662.29826200195</v>
      </c>
      <c r="T49" s="12">
        <f t="shared" si="11"/>
        <v>256.65574565500486</v>
      </c>
      <c r="U49" s="12">
        <f t="shared" si="20"/>
        <v>66.73049387030126</v>
      </c>
      <c r="V49" s="12">
        <f t="shared" si="21"/>
        <v>-113.49023405787406</v>
      </c>
      <c r="W49" s="12">
        <f t="shared" si="22"/>
        <v>303.41548584257771</v>
      </c>
      <c r="X49" s="12">
        <f t="shared" si="4"/>
        <v>301.13672933035951</v>
      </c>
      <c r="Y49" s="5">
        <f t="shared" si="12"/>
        <v>0.81990821772478584</v>
      </c>
      <c r="Z49" s="12">
        <f t="shared" si="13"/>
        <v>246.90447903672631</v>
      </c>
    </row>
    <row r="50" spans="1:26">
      <c r="A50" s="19">
        <f t="shared" si="14"/>
        <v>2.1666666666666661</v>
      </c>
      <c r="B50" s="10">
        <f t="shared" si="0"/>
        <v>0.99215326212606247</v>
      </c>
      <c r="C50" s="10">
        <f t="shared" si="5"/>
        <v>0.9369912026163576</v>
      </c>
      <c r="D50" s="10">
        <f t="shared" si="15"/>
        <v>0.92963887825924152</v>
      </c>
      <c r="F50" s="19">
        <f t="shared" si="16"/>
        <v>2.1666666666666661</v>
      </c>
      <c r="G50" s="132">
        <v>1.17395</v>
      </c>
      <c r="H50" s="10">
        <f t="shared" si="1"/>
        <v>0.61939566121298795</v>
      </c>
      <c r="I50" s="10">
        <f t="shared" si="2"/>
        <v>0.28274549660091863</v>
      </c>
      <c r="J50" s="19">
        <f t="shared" si="6"/>
        <v>6.5871924762513281</v>
      </c>
      <c r="K50" s="19">
        <f t="shared" si="7"/>
        <v>-26.691217508586977</v>
      </c>
      <c r="L50" s="19">
        <f t="shared" si="3"/>
        <v>33.278409984838305</v>
      </c>
      <c r="M50" s="19">
        <f t="shared" si="17"/>
        <v>6.5170382925054327</v>
      </c>
      <c r="N50" s="19">
        <f t="shared" si="18"/>
        <v>7.0154183745895438E-2</v>
      </c>
      <c r="O50" s="10">
        <f t="shared" si="8"/>
        <v>0.89968369955577199</v>
      </c>
      <c r="P50" s="19">
        <f t="shared" si="9"/>
        <v>6.3116575571822611E-2</v>
      </c>
      <c r="R50" s="19">
        <f t="shared" si="19"/>
        <v>2.1666666666666661</v>
      </c>
      <c r="S50" s="12">
        <f t="shared" si="10"/>
        <v>109998.08223114732</v>
      </c>
      <c r="T50" s="12">
        <f t="shared" si="11"/>
        <v>274.99520557786832</v>
      </c>
      <c r="U50" s="12">
        <f t="shared" si="20"/>
        <v>71.498753450245758</v>
      </c>
      <c r="V50" s="12">
        <f t="shared" si="21"/>
        <v>70.154183745895438</v>
      </c>
      <c r="W50" s="12">
        <f t="shared" si="22"/>
        <v>133.34226838172711</v>
      </c>
      <c r="X50" s="12">
        <f t="shared" si="4"/>
        <v>132.29596655421946</v>
      </c>
      <c r="Y50" s="5">
        <f t="shared" si="12"/>
        <v>0.81342187744608818</v>
      </c>
      <c r="Z50" s="12">
        <f t="shared" si="13"/>
        <v>107.61243349307809</v>
      </c>
    </row>
    <row r="51" spans="1:26">
      <c r="A51" s="19">
        <f t="shared" si="14"/>
        <v>2.2499999999999996</v>
      </c>
      <c r="B51" s="10">
        <f t="shared" si="0"/>
        <v>0.9918138751808655</v>
      </c>
      <c r="C51" s="10">
        <f t="shared" si="5"/>
        <v>0.93464872460981674</v>
      </c>
      <c r="D51" s="10">
        <f t="shared" si="15"/>
        <v>0.92699757348811596</v>
      </c>
      <c r="F51" s="19">
        <f t="shared" si="16"/>
        <v>2.2499999999999996</v>
      </c>
      <c r="G51" s="132">
        <v>1.27355</v>
      </c>
      <c r="H51" s="10">
        <f t="shared" si="1"/>
        <v>0.85665542958753149</v>
      </c>
      <c r="I51" s="10">
        <f t="shared" si="2"/>
        <v>0.52499295055199147</v>
      </c>
      <c r="J51" s="19">
        <f t="shared" si="6"/>
        <v>4.6059432976835275</v>
      </c>
      <c r="K51" s="19">
        <f t="shared" si="7"/>
        <v>-21.177733764399814</v>
      </c>
      <c r="L51" s="19">
        <f t="shared" si="3"/>
        <v>25.783677062083342</v>
      </c>
      <c r="M51" s="19">
        <f t="shared" si="17"/>
        <v>4.4616115642797958</v>
      </c>
      <c r="N51" s="19">
        <f t="shared" si="18"/>
        <v>0.14433173340373173</v>
      </c>
      <c r="O51" s="10">
        <f t="shared" si="8"/>
        <v>0.89603314959008984</v>
      </c>
      <c r="P51" s="19">
        <f t="shared" si="9"/>
        <v>0.12932601766754293</v>
      </c>
      <c r="R51" s="19">
        <f t="shared" si="19"/>
        <v>2.2499999999999996</v>
      </c>
      <c r="S51" s="12">
        <f t="shared" si="10"/>
        <v>119032.18832268323</v>
      </c>
      <c r="T51" s="12">
        <f t="shared" si="11"/>
        <v>297.58047080670809</v>
      </c>
      <c r="U51" s="12">
        <f t="shared" si="20"/>
        <v>77.370922409744097</v>
      </c>
      <c r="V51" s="12">
        <f t="shared" si="21"/>
        <v>144.33173340373173</v>
      </c>
      <c r="W51" s="12">
        <f t="shared" si="22"/>
        <v>75.877814993232278</v>
      </c>
      <c r="X51" s="12">
        <f t="shared" si="4"/>
        <v>75.25666972869449</v>
      </c>
      <c r="Y51" s="5">
        <f t="shared" si="12"/>
        <v>0.80698685097215739</v>
      </c>
      <c r="Z51" s="12">
        <f t="shared" si="13"/>
        <v>60.73114291901085</v>
      </c>
    </row>
    <row r="52" spans="1:26">
      <c r="A52" s="19">
        <f t="shared" si="14"/>
        <v>2.333333333333333</v>
      </c>
      <c r="B52" s="10">
        <f t="shared" si="0"/>
        <v>0.99147146179758849</v>
      </c>
      <c r="C52" s="10">
        <f t="shared" si="5"/>
        <v>0.93231210279829224</v>
      </c>
      <c r="D52" s="10">
        <f t="shared" si="15"/>
        <v>0.92436084341300639</v>
      </c>
      <c r="F52" s="19">
        <f t="shared" si="16"/>
        <v>2.333333333333333</v>
      </c>
      <c r="G52" s="132">
        <v>1.3248599999999999</v>
      </c>
      <c r="H52" s="10">
        <f t="shared" si="1"/>
        <v>0.97301585359015497</v>
      </c>
      <c r="I52" s="10">
        <f t="shared" si="2"/>
        <v>0.64641722121906453</v>
      </c>
      <c r="J52" s="19">
        <f t="shared" si="6"/>
        <v>3.7754828094913577</v>
      </c>
      <c r="K52" s="19">
        <f t="shared" si="7"/>
        <v>-18.600846316981613</v>
      </c>
      <c r="L52" s="19">
        <f t="shared" si="3"/>
        <v>22.376329126472971</v>
      </c>
      <c r="M52" s="19">
        <f t="shared" si="17"/>
        <v>3.8603706280168666</v>
      </c>
      <c r="N52" s="19">
        <f t="shared" si="18"/>
        <v>-8.4887818525508862E-2</v>
      </c>
      <c r="O52" s="10">
        <f t="shared" si="8"/>
        <v>0.89239741206911283</v>
      </c>
      <c r="P52" s="19">
        <f t="shared" si="9"/>
        <v>-7.5753669568356607E-2</v>
      </c>
      <c r="R52" s="19">
        <f t="shared" si="19"/>
        <v>2.333333333333333</v>
      </c>
      <c r="S52" s="12">
        <f t="shared" si="10"/>
        <v>123518.30125133457</v>
      </c>
      <c r="T52" s="12">
        <f t="shared" si="11"/>
        <v>308.79575312833646</v>
      </c>
      <c r="U52" s="12">
        <f t="shared" si="20"/>
        <v>80.286895813367465</v>
      </c>
      <c r="V52" s="12">
        <f t="shared" si="21"/>
        <v>-84.887818525508862</v>
      </c>
      <c r="W52" s="12">
        <f t="shared" si="22"/>
        <v>313.39667584047788</v>
      </c>
      <c r="X52" s="12">
        <f t="shared" si="4"/>
        <v>310.7238603180636</v>
      </c>
      <c r="Y52" s="5">
        <f t="shared" si="12"/>
        <v>0.80060273235658186</v>
      </c>
      <c r="Z52" s="12">
        <f t="shared" si="13"/>
        <v>248.76637157902661</v>
      </c>
    </row>
    <row r="53" spans="1:26">
      <c r="A53" s="19">
        <f t="shared" si="14"/>
        <v>2.4166666666666665</v>
      </c>
      <c r="B53" s="10">
        <f t="shared" si="0"/>
        <v>0.99112599444061456</v>
      </c>
      <c r="C53" s="10">
        <f t="shared" si="5"/>
        <v>0.92998132254129628</v>
      </c>
      <c r="D53" s="10">
        <f t="shared" si="15"/>
        <v>0.92172866311494017</v>
      </c>
      <c r="F53" s="19">
        <f t="shared" si="16"/>
        <v>2.4166666666666665</v>
      </c>
      <c r="G53" s="132">
        <v>1.31999</v>
      </c>
      <c r="H53" s="10">
        <f t="shared" si="1"/>
        <v>0.95898230462202372</v>
      </c>
      <c r="I53" s="10">
        <f t="shared" si="2"/>
        <v>0.63752727925559183</v>
      </c>
      <c r="J53" s="19">
        <f t="shared" si="6"/>
        <v>3.7952814179460219</v>
      </c>
      <c r="K53" s="19">
        <f t="shared" si="7"/>
        <v>-18.932780249585051</v>
      </c>
      <c r="L53" s="19">
        <f t="shared" si="3"/>
        <v>22.728061667531072</v>
      </c>
      <c r="M53" s="19">
        <f t="shared" si="17"/>
        <v>3.937286131843841</v>
      </c>
      <c r="N53" s="19">
        <f t="shared" si="18"/>
        <v>-0.1420047138978191</v>
      </c>
      <c r="O53" s="10">
        <f t="shared" si="8"/>
        <v>0.88877642688997438</v>
      </c>
      <c r="P53" s="19">
        <f t="shared" si="9"/>
        <v>-0.12621044221963676</v>
      </c>
      <c r="R53" s="19">
        <f t="shared" si="19"/>
        <v>2.4166666666666665</v>
      </c>
      <c r="S53" s="12">
        <f t="shared" si="10"/>
        <v>122756.60459412863</v>
      </c>
      <c r="T53" s="12">
        <f t="shared" si="11"/>
        <v>306.89151148532159</v>
      </c>
      <c r="U53" s="12">
        <f t="shared" si="20"/>
        <v>79.791792986183609</v>
      </c>
      <c r="V53" s="12">
        <f t="shared" si="21"/>
        <v>-142.0047138978191</v>
      </c>
      <c r="W53" s="12">
        <f t="shared" si="22"/>
        <v>369.10443239695707</v>
      </c>
      <c r="X53" s="12">
        <f t="shared" si="4"/>
        <v>365.82899761187264</v>
      </c>
      <c r="Y53" s="5">
        <f t="shared" si="12"/>
        <v>0.79426911886441542</v>
      </c>
      <c r="Z53" s="12">
        <f t="shared" si="13"/>
        <v>290.56667558823443</v>
      </c>
    </row>
    <row r="54" spans="1:26">
      <c r="A54" s="19">
        <f t="shared" si="14"/>
        <v>2.5</v>
      </c>
      <c r="B54" s="10">
        <f t="shared" si="0"/>
        <v>0.99077744534429923</v>
      </c>
      <c r="C54" s="10">
        <f t="shared" si="5"/>
        <v>0.9276563692349431</v>
      </c>
      <c r="D54" s="10">
        <f t="shared" si="15"/>
        <v>0.91910100766796488</v>
      </c>
      <c r="F54" s="19">
        <f t="shared" si="16"/>
        <v>2.5</v>
      </c>
      <c r="G54" s="132">
        <v>1.2456499999999999</v>
      </c>
      <c r="H54" s="10">
        <f t="shared" si="1"/>
        <v>0.77308097268489662</v>
      </c>
      <c r="I54" s="10">
        <f t="shared" si="2"/>
        <v>0.45685320666805862</v>
      </c>
      <c r="J54" s="19">
        <f t="shared" si="6"/>
        <v>4.9674455204074768</v>
      </c>
      <c r="K54" s="19">
        <f t="shared" si="7"/>
        <v>-23.268337253565985</v>
      </c>
      <c r="L54" s="19">
        <f t="shared" si="3"/>
        <v>28.235782773973462</v>
      </c>
      <c r="M54" s="19">
        <f t="shared" si="17"/>
        <v>4.9564470796051303</v>
      </c>
      <c r="N54" s="19">
        <f t="shared" si="18"/>
        <v>1.0998440802346465E-2</v>
      </c>
      <c r="O54" s="10">
        <f t="shared" si="8"/>
        <v>0.88517013419368074</v>
      </c>
      <c r="P54" s="19">
        <f t="shared" si="9"/>
        <v>9.7354913209342746E-3</v>
      </c>
      <c r="R54" s="19">
        <f t="shared" si="19"/>
        <v>2.5</v>
      </c>
      <c r="S54" s="12">
        <f t="shared" si="10"/>
        <v>115553.51563375074</v>
      </c>
      <c r="T54" s="12">
        <f t="shared" si="11"/>
        <v>288.88378908437687</v>
      </c>
      <c r="U54" s="12">
        <f t="shared" si="20"/>
        <v>75.109785161937978</v>
      </c>
      <c r="V54" s="12">
        <f t="shared" si="21"/>
        <v>10.998440802346465</v>
      </c>
      <c r="W54" s="12">
        <f t="shared" si="22"/>
        <v>202.77556312009244</v>
      </c>
      <c r="X54" s="12">
        <f t="shared" si="4"/>
        <v>200.90545440637689</v>
      </c>
      <c r="Y54" s="5">
        <f t="shared" si="12"/>
        <v>0.78798561094677033</v>
      </c>
      <c r="Z54" s="12">
        <f t="shared" si="13"/>
        <v>158.3106072329474</v>
      </c>
    </row>
    <row r="55" spans="1:26">
      <c r="A55" s="19">
        <f t="shared" si="14"/>
        <v>2.5833333333333335</v>
      </c>
      <c r="B55" s="10">
        <f t="shared" si="0"/>
        <v>0.99042578651145985</v>
      </c>
      <c r="C55" s="10">
        <f t="shared" si="5"/>
        <v>0.92533722831185583</v>
      </c>
      <c r="D55" s="10">
        <f t="shared" si="15"/>
        <v>0.91647785213910415</v>
      </c>
      <c r="F55" s="19">
        <f t="shared" si="16"/>
        <v>2.5833333333333335</v>
      </c>
      <c r="G55" s="132">
        <v>1.2048099999999999</v>
      </c>
      <c r="H55" s="10">
        <f t="shared" si="1"/>
        <v>0.66031646373399833</v>
      </c>
      <c r="I55" s="10">
        <f t="shared" si="2"/>
        <v>0.3494038286310378</v>
      </c>
      <c r="J55" s="19">
        <f t="shared" si="6"/>
        <v>5.7455698963865807</v>
      </c>
      <c r="K55" s="19">
        <f t="shared" si="7"/>
        <v>-26.077713369322453</v>
      </c>
      <c r="L55" s="19">
        <f t="shared" si="3"/>
        <v>31.823283265709033</v>
      </c>
      <c r="M55" s="19">
        <f t="shared" si="17"/>
        <v>5.8482179882995027</v>
      </c>
      <c r="N55" s="19">
        <f t="shared" si="18"/>
        <v>-0.10264809191292201</v>
      </c>
      <c r="O55" s="10">
        <f t="shared" si="8"/>
        <v>0.8815784743641214</v>
      </c>
      <c r="P55" s="19">
        <f t="shared" si="9"/>
        <v>-9.0492348264981898E-2</v>
      </c>
      <c r="R55" s="19">
        <f t="shared" si="19"/>
        <v>2.5833333333333335</v>
      </c>
      <c r="S55" s="12">
        <f t="shared" si="10"/>
        <v>111485.55460424075</v>
      </c>
      <c r="T55" s="12">
        <f t="shared" si="11"/>
        <v>278.71388651060187</v>
      </c>
      <c r="U55" s="12">
        <f t="shared" si="20"/>
        <v>72.465610492756483</v>
      </c>
      <c r="V55" s="12">
        <f t="shared" si="21"/>
        <v>-102.64809191292201</v>
      </c>
      <c r="W55" s="12">
        <f t="shared" si="22"/>
        <v>308.89636793076738</v>
      </c>
      <c r="X55" s="12">
        <f t="shared" si="4"/>
        <v>305.93892815836358</v>
      </c>
      <c r="Y55" s="5">
        <f t="shared" si="12"/>
        <v>0.78175181221561307</v>
      </c>
      <c r="Z55" s="12">
        <f t="shared" si="13"/>
        <v>239.16831151510297</v>
      </c>
    </row>
    <row r="56" spans="1:26">
      <c r="A56" s="19">
        <f t="shared" si="14"/>
        <v>2.666666666666667</v>
      </c>
      <c r="B56" s="10">
        <f t="shared" ref="B56:B84" si="23">(B$11^A56)*B$12^((B$5^B$6)*((B$5^A56)-1))</f>
        <v>0.99007098971186325</v>
      </c>
      <c r="C56" s="10">
        <f t="shared" si="5"/>
        <v>0.92302388524107626</v>
      </c>
      <c r="D56" s="10">
        <f t="shared" si="15"/>
        <v>0.91385917158832164</v>
      </c>
      <c r="F56" s="19">
        <f t="shared" si="16"/>
        <v>2.666666666666667</v>
      </c>
      <c r="G56" s="132">
        <v>1.18405</v>
      </c>
      <c r="H56" s="10">
        <f t="shared" ref="H56:H83" si="24">(LN(G56/B$15)+(B$10+(B$9^2)/2)*(5-F56))/(B$9*SQRT(5-F56))</f>
        <v>0.59601727609173571</v>
      </c>
      <c r="I56" s="10">
        <f t="shared" si="2"/>
        <v>0.29051222976134639</v>
      </c>
      <c r="J56" s="19">
        <f t="shared" si="6"/>
        <v>6.1725103684081652</v>
      </c>
      <c r="K56" s="19">
        <f t="shared" si="7"/>
        <v>-27.758506067724976</v>
      </c>
      <c r="L56" s="19">
        <f t="shared" ref="L56:L83" si="25">EXP(-B$10*(5-F56))*NORMSDIST(-I56)*(B$18/B56)*100</f>
        <v>33.931016436133142</v>
      </c>
      <c r="M56" s="19">
        <f t="shared" si="17"/>
        <v>6.3277868613116617</v>
      </c>
      <c r="N56" s="19">
        <f t="shared" si="18"/>
        <v>-0.15527649290349643</v>
      </c>
      <c r="O56" s="10">
        <f t="shared" si="8"/>
        <v>0.87800138802708416</v>
      </c>
      <c r="P56" s="19">
        <f t="shared" si="9"/>
        <v>-0.13633297629724755</v>
      </c>
      <c r="R56" s="19">
        <f t="shared" si="19"/>
        <v>2.666666666666667</v>
      </c>
      <c r="S56" s="12">
        <f t="shared" si="10"/>
        <v>109290.64313196969</v>
      </c>
      <c r="T56" s="12">
        <f t="shared" si="11"/>
        <v>273.22660782992421</v>
      </c>
      <c r="U56" s="12">
        <f t="shared" si="20"/>
        <v>71.038918035780299</v>
      </c>
      <c r="V56" s="12">
        <f t="shared" si="21"/>
        <v>-155.27649290349643</v>
      </c>
      <c r="W56" s="12">
        <f t="shared" si="22"/>
        <v>357.46418269764035</v>
      </c>
      <c r="X56" s="12">
        <f t="shared" si="4"/>
        <v>353.91491714999506</v>
      </c>
      <c r="Y56" s="5">
        <f t="shared" si="12"/>
        <v>0.77556732941875806</v>
      </c>
      <c r="Z56" s="12">
        <f t="shared" si="13"/>
        <v>274.48484713548271</v>
      </c>
    </row>
    <row r="57" spans="1:26">
      <c r="A57" s="19">
        <f t="shared" si="14"/>
        <v>2.7500000000000004</v>
      </c>
      <c r="B57" s="10">
        <f t="shared" si="23"/>
        <v>0.9897130264807128</v>
      </c>
      <c r="C57" s="10">
        <f t="shared" si="5"/>
        <v>0.92071632552797378</v>
      </c>
      <c r="D57" s="10">
        <f t="shared" si="15"/>
        <v>0.91124494106849208</v>
      </c>
      <c r="F57" s="19">
        <f t="shared" si="16"/>
        <v>2.7500000000000004</v>
      </c>
      <c r="G57" s="132">
        <v>1.2387600000000001</v>
      </c>
      <c r="H57" s="10">
        <f t="shared" si="24"/>
        <v>0.73807688732084364</v>
      </c>
      <c r="I57" s="10">
        <f t="shared" si="2"/>
        <v>0.43807688732084366</v>
      </c>
      <c r="J57" s="19">
        <f t="shared" si="6"/>
        <v>4.9495035629248818</v>
      </c>
      <c r="K57" s="19">
        <f t="shared" si="7"/>
        <v>-24.271067138648654</v>
      </c>
      <c r="L57" s="19">
        <f t="shared" si="25"/>
        <v>29.220570701573536</v>
      </c>
      <c r="M57" s="19">
        <f t="shared" si="17"/>
        <v>5.0315800457602222</v>
      </c>
      <c r="N57" s="19">
        <f t="shared" si="18"/>
        <v>-8.2076482835340414E-2</v>
      </c>
      <c r="O57" s="10">
        <f t="shared" si="8"/>
        <v>0.87443881604927254</v>
      </c>
      <c r="P57" s="19">
        <f t="shared" si="9"/>
        <v>-7.1770862476023517E-2</v>
      </c>
      <c r="R57" s="19">
        <f t="shared" si="19"/>
        <v>2.7500000000000004</v>
      </c>
      <c r="S57" s="12">
        <f t="shared" si="10"/>
        <v>114054.65554110332</v>
      </c>
      <c r="T57" s="12">
        <f t="shared" si="11"/>
        <v>285.13663885275832</v>
      </c>
      <c r="U57" s="12">
        <f t="shared" si="20"/>
        <v>74.135526101717147</v>
      </c>
      <c r="V57" s="12">
        <f t="shared" si="21"/>
        <v>-82.076482835340414</v>
      </c>
      <c r="W57" s="12">
        <f t="shared" si="22"/>
        <v>293.07759558638156</v>
      </c>
      <c r="X57" s="12">
        <f t="shared" si="4"/>
        <v>290.06271412148811</v>
      </c>
      <c r="Y57" s="5">
        <f t="shared" si="12"/>
        <v>0.76943177241506</v>
      </c>
      <c r="Z57" s="12">
        <f t="shared" si="13"/>
        <v>223.18346823801946</v>
      </c>
    </row>
    <row r="58" spans="1:26">
      <c r="A58" s="19">
        <f t="shared" si="14"/>
        <v>2.8333333333333339</v>
      </c>
      <c r="B58" s="10">
        <f t="shared" si="23"/>
        <v>0.98935186811713505</v>
      </c>
      <c r="C58" s="10">
        <f t="shared" si="5"/>
        <v>0.91841453471415391</v>
      </c>
      <c r="D58" s="10">
        <f t="shared" si="15"/>
        <v>0.90863513562537757</v>
      </c>
      <c r="F58" s="19">
        <f t="shared" si="16"/>
        <v>2.8333333333333339</v>
      </c>
      <c r="G58" s="132">
        <v>1.1514</v>
      </c>
      <c r="H58" s="10">
        <f t="shared" si="24"/>
        <v>0.48390388619646413</v>
      </c>
      <c r="I58" s="10">
        <f t="shared" si="2"/>
        <v>0.18951185731886927</v>
      </c>
      <c r="J58" s="19">
        <f t="shared" si="6"/>
        <v>6.9130200448789516</v>
      </c>
      <c r="K58" s="19">
        <f t="shared" si="7"/>
        <v>-30.800714090305885</v>
      </c>
      <c r="L58" s="19">
        <f t="shared" si="25"/>
        <v>37.713734135184836</v>
      </c>
      <c r="M58" s="19">
        <f t="shared" si="17"/>
        <v>6.7831574185700383</v>
      </c>
      <c r="N58" s="19">
        <f t="shared" si="18"/>
        <v>0.12986262630891332</v>
      </c>
      <c r="O58" s="10">
        <f t="shared" si="8"/>
        <v>0.87089069953732934</v>
      </c>
      <c r="P58" s="19">
        <f t="shared" si="9"/>
        <v>0.11309615346992431</v>
      </c>
      <c r="R58" s="19">
        <f t="shared" si="19"/>
        <v>2.8333333333333339</v>
      </c>
      <c r="S58" s="12">
        <f t="shared" si="10"/>
        <v>105746.24952698771</v>
      </c>
      <c r="T58" s="12">
        <f t="shared" si="11"/>
        <v>264.36562381746927</v>
      </c>
      <c r="U58" s="12">
        <f t="shared" si="20"/>
        <v>68.735062192542003</v>
      </c>
      <c r="V58" s="12">
        <f t="shared" si="21"/>
        <v>129.86262630891332</v>
      </c>
      <c r="W58" s="12">
        <f t="shared" si="22"/>
        <v>65.767935316013961</v>
      </c>
      <c r="X58" s="12">
        <f t="shared" si="4"/>
        <v>65.067629667105308</v>
      </c>
      <c r="Y58" s="5">
        <f t="shared" si="12"/>
        <v>0.76334475414980241</v>
      </c>
      <c r="Z58" s="12">
        <f t="shared" si="13"/>
        <v>49.669033771346889</v>
      </c>
    </row>
    <row r="59" spans="1:26">
      <c r="A59" s="19">
        <f t="shared" si="14"/>
        <v>2.9166666666666674</v>
      </c>
      <c r="B59" s="10">
        <f t="shared" si="23"/>
        <v>0.98898748568266526</v>
      </c>
      <c r="C59" s="10">
        <f t="shared" si="5"/>
        <v>0.91611849837736858</v>
      </c>
      <c r="D59" s="10">
        <f t="shared" si="15"/>
        <v>0.90602973029761258</v>
      </c>
      <c r="F59" s="19">
        <f t="shared" si="16"/>
        <v>2.9166666666666674</v>
      </c>
      <c r="G59" s="132">
        <v>1.0947800000000001</v>
      </c>
      <c r="H59" s="10">
        <f t="shared" si="24"/>
        <v>0.29860192221924459</v>
      </c>
      <c r="I59" s="10">
        <f t="shared" si="2"/>
        <v>9.9267876244317765E-3</v>
      </c>
      <c r="J59" s="19">
        <f t="shared" si="6"/>
        <v>8.5601437795465003</v>
      </c>
      <c r="K59" s="19">
        <f t="shared" si="7"/>
        <v>-35.67365963267553</v>
      </c>
      <c r="L59" s="19">
        <f t="shared" si="25"/>
        <v>44.233803412222031</v>
      </c>
      <c r="M59" s="19">
        <f t="shared" si="17"/>
        <v>8.5851110091808103</v>
      </c>
      <c r="N59" s="19">
        <f t="shared" si="18"/>
        <v>-2.4967229634309973E-2</v>
      </c>
      <c r="O59" s="10">
        <f t="shared" si="8"/>
        <v>0.86735697983686277</v>
      </c>
      <c r="P59" s="19">
        <f t="shared" si="9"/>
        <v>-2.1655500890508519E-2</v>
      </c>
      <c r="R59" s="19">
        <f t="shared" si="19"/>
        <v>2.9166666666666674</v>
      </c>
      <c r="S59" s="12">
        <f t="shared" si="10"/>
        <v>100294.82096535759</v>
      </c>
      <c r="T59" s="12">
        <f t="shared" si="11"/>
        <v>250.73705241339397</v>
      </c>
      <c r="U59" s="12">
        <f t="shared" si="20"/>
        <v>65.191633627482432</v>
      </c>
      <c r="V59" s="12">
        <f t="shared" si="21"/>
        <v>-24.967229634309973</v>
      </c>
      <c r="W59" s="12">
        <f t="shared" si="22"/>
        <v>210.5126484202215</v>
      </c>
      <c r="X59" s="12">
        <f t="shared" si="4"/>
        <v>208.19437486551374</v>
      </c>
      <c r="Y59" s="5">
        <f t="shared" si="12"/>
        <v>0.75730589063028064</v>
      </c>
      <c r="Z59" s="12">
        <f t="shared" si="13"/>
        <v>157.66682648174239</v>
      </c>
    </row>
    <row r="60" spans="1:26">
      <c r="A60" s="19">
        <f t="shared" si="14"/>
        <v>3.0000000000000009</v>
      </c>
      <c r="B60" s="10">
        <f t="shared" si="23"/>
        <v>0.98861984999973329</v>
      </c>
      <c r="C60" s="10">
        <f t="shared" si="5"/>
        <v>0.91382820213142524</v>
      </c>
      <c r="D60" s="10">
        <f t="shared" si="15"/>
        <v>0.90342870011669563</v>
      </c>
      <c r="F60" s="19">
        <f t="shared" si="16"/>
        <v>3.0000000000000009</v>
      </c>
      <c r="G60" s="132">
        <v>1.0356399999999999</v>
      </c>
      <c r="H60" s="10">
        <f t="shared" si="24"/>
        <v>8.7793600183916104E-2</v>
      </c>
      <c r="I60" s="10">
        <f t="shared" si="2"/>
        <v>-0.19504911229070285</v>
      </c>
      <c r="J60" s="19">
        <f t="shared" si="6"/>
        <v>10.68707841939235</v>
      </c>
      <c r="K60" s="19">
        <f t="shared" si="7"/>
        <v>-41.02921827012014</v>
      </c>
      <c r="L60" s="19">
        <f t="shared" si="25"/>
        <v>51.71629668951249</v>
      </c>
      <c r="M60" s="19">
        <f t="shared" si="17"/>
        <v>10.671926386632755</v>
      </c>
      <c r="N60" s="19">
        <f t="shared" si="18"/>
        <v>1.5152032759594647E-2</v>
      </c>
      <c r="O60" s="10">
        <f t="shared" si="8"/>
        <v>0.86383759853147601</v>
      </c>
      <c r="P60" s="19">
        <f t="shared" si="9"/>
        <v>1.3088895591918493E-2</v>
      </c>
      <c r="R60" s="19">
        <f t="shared" si="19"/>
        <v>3.0000000000000009</v>
      </c>
      <c r="S60" s="12">
        <f t="shared" si="10"/>
        <v>94639.703925538939</v>
      </c>
      <c r="T60" s="12">
        <f t="shared" si="11"/>
        <v>236.59925981384734</v>
      </c>
      <c r="U60" s="12">
        <f t="shared" si="20"/>
        <v>61.515807551600311</v>
      </c>
      <c r="V60" s="12">
        <f t="shared" si="21"/>
        <v>15.152032759594647</v>
      </c>
      <c r="W60" s="12">
        <f t="shared" si="22"/>
        <v>159.93141950265237</v>
      </c>
      <c r="X60" s="12">
        <f t="shared" si="4"/>
        <v>158.11137595895661</v>
      </c>
      <c r="Y60" s="5">
        <f t="shared" si="12"/>
        <v>0.75131480090157754</v>
      </c>
      <c r="Z60" s="12">
        <f t="shared" si="13"/>
        <v>118.79141694887797</v>
      </c>
    </row>
    <row r="61" spans="1:26">
      <c r="A61" s="19">
        <f t="shared" si="14"/>
        <v>3.0833333333333344</v>
      </c>
      <c r="B61" s="10">
        <f t="shared" si="23"/>
        <v>0.98824893165014915</v>
      </c>
      <c r="C61" s="10">
        <f t="shared" si="5"/>
        <v>0.91154363162609664</v>
      </c>
      <c r="D61" s="10">
        <f t="shared" si="15"/>
        <v>0.90083202010698715</v>
      </c>
      <c r="F61" s="19">
        <f t="shared" si="16"/>
        <v>3.0833333333333344</v>
      </c>
      <c r="G61" s="132">
        <v>1.0920300000000001</v>
      </c>
      <c r="H61" s="10">
        <f t="shared" si="24"/>
        <v>0.26009557278935702</v>
      </c>
      <c r="I61" s="10">
        <f t="shared" si="2"/>
        <v>-1.6791889307912089E-2</v>
      </c>
      <c r="J61" s="19">
        <f t="shared" si="6"/>
        <v>8.6108728939103898</v>
      </c>
      <c r="K61" s="19">
        <f t="shared" si="7"/>
        <v>-36.985579330344244</v>
      </c>
      <c r="L61" s="19">
        <f t="shared" si="25"/>
        <v>45.596452224254634</v>
      </c>
      <c r="M61" s="19">
        <f t="shared" si="17"/>
        <v>8.6689952955900722</v>
      </c>
      <c r="N61" s="19">
        <f t="shared" si="18"/>
        <v>-5.8122401679682412E-2</v>
      </c>
      <c r="O61" s="10">
        <f t="shared" si="8"/>
        <v>0.86033249744180262</v>
      </c>
      <c r="P61" s="19">
        <f t="shared" si="9"/>
        <v>-5.0004590994396796E-2</v>
      </c>
      <c r="R61" s="19">
        <f t="shared" si="19"/>
        <v>3.0833333333333344</v>
      </c>
      <c r="S61" s="12">
        <f t="shared" si="10"/>
        <v>99543.299204464682</v>
      </c>
      <c r="T61" s="12">
        <f t="shared" si="11"/>
        <v>248.85824801116172</v>
      </c>
      <c r="U61" s="12">
        <f t="shared" si="20"/>
        <v>64.703144482902033</v>
      </c>
      <c r="V61" s="12">
        <f t="shared" si="21"/>
        <v>-58.122401679682412</v>
      </c>
      <c r="W61" s="12">
        <f t="shared" si="22"/>
        <v>242.27750520794211</v>
      </c>
      <c r="X61" s="12">
        <f t="shared" si="4"/>
        <v>239.43048568461225</v>
      </c>
      <c r="Y61" s="5">
        <f t="shared" si="12"/>
        <v>0.7453711070225324</v>
      </c>
      <c r="Z61" s="12">
        <f t="shared" si="13"/>
        <v>178.46456616968203</v>
      </c>
    </row>
    <row r="62" spans="1:26">
      <c r="A62" s="19">
        <f t="shared" si="14"/>
        <v>3.1666666666666679</v>
      </c>
      <c r="B62" s="10">
        <f t="shared" si="23"/>
        <v>0.98787470097358898</v>
      </c>
      <c r="C62" s="10">
        <f t="shared" si="5"/>
        <v>0.90926477254703142</v>
      </c>
      <c r="D62" s="10">
        <f t="shared" si="15"/>
        <v>0.89823966528571708</v>
      </c>
      <c r="F62" s="19">
        <f t="shared" si="16"/>
        <v>3.1666666666666679</v>
      </c>
      <c r="G62" s="132">
        <v>1.10988</v>
      </c>
      <c r="H62" s="10">
        <f t="shared" si="24"/>
        <v>0.30427264439531593</v>
      </c>
      <c r="I62" s="10">
        <f t="shared" si="2"/>
        <v>3.3471364240784007E-2</v>
      </c>
      <c r="J62" s="19">
        <f t="shared" si="6"/>
        <v>7.989904758880833</v>
      </c>
      <c r="K62" s="19">
        <f t="shared" si="7"/>
        <v>-36.001869493911144</v>
      </c>
      <c r="L62" s="19">
        <f t="shared" si="25"/>
        <v>43.991774252791977</v>
      </c>
      <c r="M62" s="19">
        <f t="shared" si="17"/>
        <v>8.1966991031878038</v>
      </c>
      <c r="N62" s="19">
        <f t="shared" si="18"/>
        <v>-0.20679434430697086</v>
      </c>
      <c r="O62" s="10">
        <f t="shared" si="8"/>
        <v>0.85684161862454467</v>
      </c>
      <c r="P62" s="19">
        <f t="shared" si="9"/>
        <v>-0.17719000069838631</v>
      </c>
      <c r="R62" s="19">
        <f t="shared" si="19"/>
        <v>3.1666666666666679</v>
      </c>
      <c r="S62" s="12">
        <f t="shared" si="10"/>
        <v>100917.47857544998</v>
      </c>
      <c r="T62" s="12">
        <f t="shared" si="11"/>
        <v>252.29369643862495</v>
      </c>
      <c r="U62" s="12">
        <f t="shared" si="20"/>
        <v>65.596361074042477</v>
      </c>
      <c r="V62" s="12">
        <f t="shared" si="21"/>
        <v>-206.79434430697086</v>
      </c>
      <c r="W62" s="12">
        <f t="shared" si="22"/>
        <v>393.49167967155336</v>
      </c>
      <c r="X62" s="12">
        <f t="shared" si="4"/>
        <v>388.72047539113106</v>
      </c>
      <c r="Y62" s="5">
        <f t="shared" si="12"/>
        <v>0.73947443404189817</v>
      </c>
      <c r="Z62" s="12">
        <f t="shared" si="13"/>
        <v>287.44885354035426</v>
      </c>
    </row>
    <row r="63" spans="1:26">
      <c r="A63" s="19">
        <f t="shared" si="14"/>
        <v>3.2500000000000013</v>
      </c>
      <c r="B63" s="10">
        <f t="shared" si="23"/>
        <v>0.98749712806608203</v>
      </c>
      <c r="C63" s="10">
        <f t="shared" si="5"/>
        <v>0.90699161061566391</v>
      </c>
      <c r="D63" s="10">
        <f t="shared" si="15"/>
        <v>0.89565161066299825</v>
      </c>
      <c r="F63" s="19">
        <f t="shared" si="16"/>
        <v>3.2500000000000013</v>
      </c>
      <c r="G63" s="132">
        <v>1.05115</v>
      </c>
      <c r="H63" s="10">
        <f t="shared" si="24"/>
        <v>8.3896735679806558E-2</v>
      </c>
      <c r="I63" s="10">
        <f t="shared" si="2"/>
        <v>-0.18067839542665243</v>
      </c>
      <c r="J63" s="19">
        <f t="shared" si="6"/>
        <v>10.084943737847063</v>
      </c>
      <c r="K63" s="19">
        <f t="shared" si="7"/>
        <v>-41.829894059630369</v>
      </c>
      <c r="L63" s="19">
        <f t="shared" si="25"/>
        <v>51.914837797477432</v>
      </c>
      <c r="M63" s="19">
        <f t="shared" si="17"/>
        <v>10.078647846359196</v>
      </c>
      <c r="N63" s="19">
        <f t="shared" si="18"/>
        <v>6.2958914878663563E-3</v>
      </c>
      <c r="O63" s="10">
        <f t="shared" si="8"/>
        <v>0.85336490437151402</v>
      </c>
      <c r="P63" s="19">
        <f t="shared" si="9"/>
        <v>5.3726928374765023E-3</v>
      </c>
      <c r="R63" s="19">
        <f t="shared" si="19"/>
        <v>3.2500000000000013</v>
      </c>
      <c r="S63" s="12">
        <f t="shared" si="10"/>
        <v>95338.423149865557</v>
      </c>
      <c r="T63" s="12">
        <f t="shared" si="11"/>
        <v>238.3460578746639</v>
      </c>
      <c r="U63" s="12">
        <f t="shared" si="20"/>
        <v>61.969975047412611</v>
      </c>
      <c r="V63" s="12">
        <f t="shared" si="21"/>
        <v>6.2958914878663563</v>
      </c>
      <c r="W63" s="12">
        <f t="shared" si="22"/>
        <v>170.08019133938492</v>
      </c>
      <c r="X63" s="12">
        <f t="shared" si="4"/>
        <v>167.95370048857234</v>
      </c>
      <c r="Y63" s="5">
        <f t="shared" si="12"/>
        <v>0.73362440997468836</v>
      </c>
      <c r="Z63" s="12">
        <f t="shared" si="13"/>
        <v>123.21493442399441</v>
      </c>
    </row>
    <row r="64" spans="1:26">
      <c r="A64" s="19">
        <f t="shared" si="14"/>
        <v>3.3333333333333348</v>
      </c>
      <c r="B64" s="10">
        <f t="shared" si="23"/>
        <v>0.98711618277849811</v>
      </c>
      <c r="C64" s="10">
        <f t="shared" si="5"/>
        <v>0.90472413158912479</v>
      </c>
      <c r="D64" s="10">
        <f t="shared" si="15"/>
        <v>0.89306783124184852</v>
      </c>
      <c r="F64" s="19">
        <f t="shared" si="16"/>
        <v>3.3333333333333348</v>
      </c>
      <c r="G64" s="132">
        <v>1.0565899999999999</v>
      </c>
      <c r="H64" s="10">
        <f t="shared" si="24"/>
        <v>8.3368270810197487E-2</v>
      </c>
      <c r="I64" s="10">
        <f t="shared" si="2"/>
        <v>-0.17483061893696356</v>
      </c>
      <c r="J64" s="19">
        <f t="shared" si="6"/>
        <v>9.8606947795819337</v>
      </c>
      <c r="K64" s="19">
        <f t="shared" si="7"/>
        <v>-42.081542399739547</v>
      </c>
      <c r="L64" s="19">
        <f t="shared" si="25"/>
        <v>51.942237179321481</v>
      </c>
      <c r="M64" s="19">
        <f t="shared" si="17"/>
        <v>10.085225247853103</v>
      </c>
      <c r="N64" s="19">
        <f t="shared" si="18"/>
        <v>-0.22453046827116907</v>
      </c>
      <c r="O64" s="10">
        <f t="shared" si="8"/>
        <v>0.84990229720867871</v>
      </c>
      <c r="P64" s="19">
        <f t="shared" si="9"/>
        <v>-0.19082896077700695</v>
      </c>
      <c r="R64" s="19">
        <f t="shared" si="19"/>
        <v>3.3333333333333348</v>
      </c>
      <c r="S64" s="12">
        <f t="shared" si="10"/>
        <v>95592.24701957537</v>
      </c>
      <c r="T64" s="12">
        <f t="shared" si="11"/>
        <v>238.98061754893843</v>
      </c>
      <c r="U64" s="12">
        <f t="shared" si="20"/>
        <v>62.13496056272399</v>
      </c>
      <c r="V64" s="12">
        <f t="shared" si="21"/>
        <v>-224.53046827116907</v>
      </c>
      <c r="W64" s="12">
        <f t="shared" si="22"/>
        <v>401.37612525738348</v>
      </c>
      <c r="X64" s="12">
        <f t="shared" si="4"/>
        <v>396.20486862249271</v>
      </c>
      <c r="Y64" s="5">
        <f t="shared" si="12"/>
        <v>0.72782066577871063</v>
      </c>
      <c r="Z64" s="12">
        <f t="shared" si="13"/>
        <v>288.3660912655892</v>
      </c>
    </row>
    <row r="65" spans="1:26">
      <c r="A65" s="19">
        <f t="shared" si="14"/>
        <v>3.4166666666666683</v>
      </c>
      <c r="B65" s="10">
        <f t="shared" si="23"/>
        <v>0.98673183471503623</v>
      </c>
      <c r="C65" s="10">
        <f t="shared" si="5"/>
        <v>0.90246232126015202</v>
      </c>
      <c r="D65" s="10">
        <f t="shared" si="15"/>
        <v>0.89048830201822027</v>
      </c>
      <c r="F65" s="19">
        <f t="shared" si="16"/>
        <v>3.4166666666666683</v>
      </c>
      <c r="G65" s="132">
        <v>1.18018</v>
      </c>
      <c r="H65" s="10">
        <f t="shared" si="24"/>
        <v>0.50191493818663324</v>
      </c>
      <c r="I65" s="10">
        <f t="shared" si="2"/>
        <v>0.25025379034427503</v>
      </c>
      <c r="J65" s="19">
        <f t="shared" si="6"/>
        <v>5.7523021248849311</v>
      </c>
      <c r="K65" s="19">
        <f t="shared" si="7"/>
        <v>-31.013397618659372</v>
      </c>
      <c r="L65" s="19">
        <f t="shared" si="25"/>
        <v>36.765699743544303</v>
      </c>
      <c r="M65" s="19">
        <f t="shared" si="17"/>
        <v>5.1552676747417721</v>
      </c>
      <c r="N65" s="19">
        <f t="shared" si="18"/>
        <v>0.59703445014315903</v>
      </c>
      <c r="O65" s="10">
        <f t="shared" si="8"/>
        <v>0.84645373989521355</v>
      </c>
      <c r="P65" s="19">
        <f t="shared" si="9"/>
        <v>0.50536204316995936</v>
      </c>
      <c r="R65" s="19">
        <f t="shared" si="19"/>
        <v>3.4166666666666683</v>
      </c>
      <c r="S65" s="12">
        <f t="shared" si="10"/>
        <v>106506.79823048066</v>
      </c>
      <c r="T65" s="12">
        <f t="shared" si="11"/>
        <v>266.26699557620168</v>
      </c>
      <c r="U65" s="12">
        <f t="shared" si="20"/>
        <v>69.229418849812433</v>
      </c>
      <c r="V65" s="12">
        <f t="shared" si="21"/>
        <v>597.03445014315901</v>
      </c>
      <c r="W65" s="12">
        <f t="shared" si="22"/>
        <v>-399.99687341676974</v>
      </c>
      <c r="X65" s="12">
        <f t="shared" si="4"/>
        <v>-394.68964878680731</v>
      </c>
      <c r="Y65" s="5">
        <f t="shared" si="12"/>
        <v>0.72206283533128657</v>
      </c>
      <c r="Z65" s="12">
        <f t="shared" si="13"/>
        <v>-284.9907268789118</v>
      </c>
    </row>
    <row r="66" spans="1:26">
      <c r="A66" s="19">
        <f t="shared" si="14"/>
        <v>3.5000000000000018</v>
      </c>
      <c r="B66" s="10">
        <f t="shared" si="23"/>
        <v>0.98634405323171437</v>
      </c>
      <c r="C66" s="10">
        <f t="shared" si="5"/>
        <v>0.90020616545700172</v>
      </c>
      <c r="D66" s="10">
        <f t="shared" si="15"/>
        <v>0.8879129979810384</v>
      </c>
      <c r="F66" s="19">
        <f t="shared" si="16"/>
        <v>3.5000000000000018</v>
      </c>
      <c r="G66" s="132">
        <v>1.2018500000000001</v>
      </c>
      <c r="H66" s="10">
        <f t="shared" si="24"/>
        <v>0.56613514563183709</v>
      </c>
      <c r="I66" s="10">
        <f t="shared" si="2"/>
        <v>0.32118617135351946</v>
      </c>
      <c r="J66" s="19">
        <f t="shared" si="6"/>
        <v>5.1176811390355823</v>
      </c>
      <c r="K66" s="19">
        <f t="shared" si="7"/>
        <v>-29.315634780922124</v>
      </c>
      <c r="L66" s="19">
        <f t="shared" si="25"/>
        <v>34.433315919957707</v>
      </c>
      <c r="M66" s="19">
        <f t="shared" si="17"/>
        <v>5.3363563475516216</v>
      </c>
      <c r="N66" s="19">
        <f t="shared" si="18"/>
        <v>-0.21867520851603928</v>
      </c>
      <c r="O66" s="10">
        <f t="shared" si="8"/>
        <v>0.843019175422553</v>
      </c>
      <c r="P66" s="19">
        <f t="shared" si="9"/>
        <v>-0.18434739396854627</v>
      </c>
      <c r="R66" s="19">
        <f t="shared" si="19"/>
        <v>3.5000000000000018</v>
      </c>
      <c r="S66" s="12">
        <f t="shared" si="10"/>
        <v>108191.2779954498</v>
      </c>
      <c r="T66" s="12">
        <f t="shared" si="11"/>
        <v>270.47819498862452</v>
      </c>
      <c r="U66" s="12">
        <f t="shared" si="20"/>
        <v>70.32433069704237</v>
      </c>
      <c r="V66" s="12">
        <f t="shared" si="21"/>
        <v>-218.67520851603928</v>
      </c>
      <c r="W66" s="12">
        <f t="shared" si="22"/>
        <v>418.8290728076214</v>
      </c>
      <c r="X66" s="12">
        <f t="shared" si="4"/>
        <v>413.10956528435008</v>
      </c>
      <c r="Y66" s="5">
        <f t="shared" si="12"/>
        <v>0.71635055540615467</v>
      </c>
      <c r="Z66" s="12">
        <f t="shared" si="13"/>
        <v>295.9312665350393</v>
      </c>
    </row>
    <row r="67" spans="1:26">
      <c r="A67" s="19">
        <f t="shared" si="14"/>
        <v>3.5833333333333353</v>
      </c>
      <c r="B67" s="10">
        <f t="shared" si="23"/>
        <v>0.98595280743486202</v>
      </c>
      <c r="C67" s="10">
        <f t="shared" si="5"/>
        <v>0.89795565004335931</v>
      </c>
      <c r="D67" s="10">
        <f t="shared" si="15"/>
        <v>0.88534189411224662</v>
      </c>
      <c r="F67" s="19">
        <f t="shared" si="16"/>
        <v>3.5833333333333353</v>
      </c>
      <c r="G67" s="132">
        <v>1.3426400000000001</v>
      </c>
      <c r="H67" s="10">
        <f t="shared" si="24"/>
        <v>1.0233947495307432</v>
      </c>
      <c r="I67" s="10">
        <f t="shared" si="2"/>
        <v>0.78534713524598165</v>
      </c>
      <c r="J67" s="19">
        <f t="shared" si="6"/>
        <v>2.4319730448746348</v>
      </c>
      <c r="K67" s="19">
        <f t="shared" si="7"/>
        <v>-17.555318192848759</v>
      </c>
      <c r="L67" s="19">
        <f t="shared" si="25"/>
        <v>19.987291237723394</v>
      </c>
      <c r="M67" s="19">
        <f t="shared" si="17"/>
        <v>1.827290087794367</v>
      </c>
      <c r="N67" s="19">
        <f t="shared" si="18"/>
        <v>0.60468295708026787</v>
      </c>
      <c r="O67" s="10">
        <f t="shared" si="8"/>
        <v>0.83959854701344894</v>
      </c>
      <c r="P67" s="19">
        <f t="shared" si="9"/>
        <v>0.50769093216838856</v>
      </c>
      <c r="R67" s="19">
        <f t="shared" si="19"/>
        <v>3.5833333333333353</v>
      </c>
      <c r="S67" s="12">
        <f t="shared" si="10"/>
        <v>120563.11739742164</v>
      </c>
      <c r="T67" s="12">
        <f t="shared" si="11"/>
        <v>301.4077934935541</v>
      </c>
      <c r="U67" s="12">
        <f t="shared" si="20"/>
        <v>78.366026308324066</v>
      </c>
      <c r="V67" s="12">
        <f t="shared" si="21"/>
        <v>604.6829570802679</v>
      </c>
      <c r="W67" s="12">
        <f t="shared" si="22"/>
        <v>-381.64118989503788</v>
      </c>
      <c r="X67" s="12">
        <f t="shared" si="4"/>
        <v>-376.28020260979389</v>
      </c>
      <c r="Y67" s="5">
        <f t="shared" si="12"/>
        <v>0.71068346565055718</v>
      </c>
      <c r="Z67" s="12">
        <f t="shared" si="13"/>
        <v>-267.41611844642216</v>
      </c>
    </row>
    <row r="68" spans="1:26">
      <c r="A68" s="19">
        <f t="shared" si="14"/>
        <v>3.6666666666666687</v>
      </c>
      <c r="B68" s="10">
        <f t="shared" si="23"/>
        <v>0.98555806617961372</v>
      </c>
      <c r="C68" s="10">
        <f t="shared" si="5"/>
        <v>0.89571076091825086</v>
      </c>
      <c r="D68" s="10">
        <f t="shared" si="15"/>
        <v>0.88277496538686162</v>
      </c>
      <c r="F68" s="19">
        <f t="shared" si="16"/>
        <v>3.6666666666666687</v>
      </c>
      <c r="G68" s="132">
        <v>1.3730899999999999</v>
      </c>
      <c r="H68" s="10">
        <f t="shared" si="24"/>
        <v>1.126738864865086</v>
      </c>
      <c r="I68" s="10">
        <f t="shared" si="2"/>
        <v>0.89579875718923585</v>
      </c>
      <c r="J68" s="19">
        <f t="shared" si="6"/>
        <v>1.9578840704453171</v>
      </c>
      <c r="K68" s="19">
        <f t="shared" si="7"/>
        <v>-15.246008269501022</v>
      </c>
      <c r="L68" s="19">
        <f t="shared" si="25"/>
        <v>17.203892339946339</v>
      </c>
      <c r="M68" s="19">
        <f t="shared" si="17"/>
        <v>2.1172866089149451</v>
      </c>
      <c r="N68" s="19">
        <f t="shared" si="18"/>
        <v>-0.15940253846962804</v>
      </c>
      <c r="O68" s="10">
        <f t="shared" si="8"/>
        <v>0.83619179812103239</v>
      </c>
      <c r="P68" s="19">
        <f t="shared" si="9"/>
        <v>-0.13329109526797531</v>
      </c>
      <c r="R68" s="19">
        <f t="shared" si="19"/>
        <v>3.6666666666666687</v>
      </c>
      <c r="S68" s="12">
        <f t="shared" si="10"/>
        <v>122989.14887092414</v>
      </c>
      <c r="T68" s="12">
        <f t="shared" si="11"/>
        <v>307.47287217731036</v>
      </c>
      <c r="U68" s="12">
        <f t="shared" si="20"/>
        <v>79.94294676610069</v>
      </c>
      <c r="V68" s="12">
        <f t="shared" si="21"/>
        <v>-159.40253846962804</v>
      </c>
      <c r="W68" s="12">
        <f t="shared" si="22"/>
        <v>386.9324638808377</v>
      </c>
      <c r="X68" s="12">
        <f t="shared" si="4"/>
        <v>381.34441084451163</v>
      </c>
      <c r="Y68" s="5">
        <f t="shared" si="12"/>
        <v>0.70506120856250709</v>
      </c>
      <c r="Z68" s="12">
        <f t="shared" si="13"/>
        <v>268.87115118858861</v>
      </c>
    </row>
    <row r="69" spans="1:26">
      <c r="A69" s="19">
        <f t="shared" si="14"/>
        <v>3.7500000000000022</v>
      </c>
      <c r="B69" s="10">
        <f t="shared" si="23"/>
        <v>0.98515979806840526</v>
      </c>
      <c r="C69" s="10">
        <f t="shared" si="5"/>
        <v>0.89347148401595533</v>
      </c>
      <c r="D69" s="10">
        <f t="shared" si="15"/>
        <v>0.88021218677303692</v>
      </c>
      <c r="F69" s="19">
        <f t="shared" si="16"/>
        <v>3.7500000000000022</v>
      </c>
      <c r="G69" s="132">
        <v>1.39327</v>
      </c>
      <c r="H69" s="10">
        <f t="shared" si="24"/>
        <v>1.2028511293455435</v>
      </c>
      <c r="I69" s="10">
        <f t="shared" si="2"/>
        <v>0.97924433159556479</v>
      </c>
      <c r="J69" s="19">
        <f t="shared" si="6"/>
        <v>1.6399399059218975</v>
      </c>
      <c r="K69" s="19">
        <f t="shared" si="7"/>
        <v>-13.64081208697063</v>
      </c>
      <c r="L69" s="19">
        <f t="shared" si="25"/>
        <v>15.280751992892528</v>
      </c>
      <c r="M69" s="19">
        <f t="shared" si="17"/>
        <v>1.8056492910781525</v>
      </c>
      <c r="N69" s="19">
        <f t="shared" si="18"/>
        <v>-0.165709385156255</v>
      </c>
      <c r="O69" s="10">
        <f t="shared" si="8"/>
        <v>0.83279887242787853</v>
      </c>
      <c r="P69" s="19">
        <f t="shared" si="9"/>
        <v>-0.13800258910884619</v>
      </c>
      <c r="R69" s="19">
        <f t="shared" si="19"/>
        <v>3.7500000000000022</v>
      </c>
      <c r="S69" s="12">
        <f t="shared" si="10"/>
        <v>124484.70145349103</v>
      </c>
      <c r="T69" s="12">
        <f t="shared" si="11"/>
        <v>311.2117536337276</v>
      </c>
      <c r="U69" s="12">
        <f t="shared" si="20"/>
        <v>80.915055944769165</v>
      </c>
      <c r="V69" s="12">
        <f t="shared" si="21"/>
        <v>-165.709385156255</v>
      </c>
      <c r="W69" s="12">
        <f t="shared" si="22"/>
        <v>396.00608284521343</v>
      </c>
      <c r="X69" s="12">
        <f t="shared" si="4"/>
        <v>390.12927260965063</v>
      </c>
      <c r="Y69" s="5">
        <f t="shared" si="12"/>
        <v>0.69948342946823627</v>
      </c>
      <c r="Z69" s="12">
        <f t="shared" si="13"/>
        <v>272.88896154094687</v>
      </c>
    </row>
    <row r="70" spans="1:26">
      <c r="A70" s="19">
        <f t="shared" si="14"/>
        <v>3.8333333333333357</v>
      </c>
      <c r="B70" s="10">
        <f t="shared" si="23"/>
        <v>0.98475797144947308</v>
      </c>
      <c r="C70" s="10">
        <f t="shared" si="5"/>
        <v>0.89123780530591545</v>
      </c>
      <c r="D70" s="10">
        <f t="shared" si="15"/>
        <v>0.87765353323213369</v>
      </c>
      <c r="F70" s="19">
        <f t="shared" si="16"/>
        <v>3.8333333333333357</v>
      </c>
      <c r="G70" s="132">
        <v>1.4063300000000001</v>
      </c>
      <c r="H70" s="10">
        <f t="shared" si="24"/>
        <v>1.2612554976371686</v>
      </c>
      <c r="I70" s="10">
        <f t="shared" si="2"/>
        <v>1.0452308076902401</v>
      </c>
      <c r="J70" s="19">
        <f t="shared" si="6"/>
        <v>1.4099336845284007</v>
      </c>
      <c r="K70" s="19">
        <f t="shared" si="7"/>
        <v>-12.462193929103659</v>
      </c>
      <c r="L70" s="19">
        <f t="shared" si="25"/>
        <v>13.87212761363206</v>
      </c>
      <c r="M70" s="19">
        <f t="shared" si="17"/>
        <v>1.5758785855589164</v>
      </c>
      <c r="N70" s="19">
        <f t="shared" si="18"/>
        <v>-0.16594490103051562</v>
      </c>
      <c r="O70" s="10">
        <f t="shared" si="8"/>
        <v>0.82941971384507551</v>
      </c>
      <c r="P70" s="19">
        <f t="shared" si="9"/>
        <v>-0.13763797232677966</v>
      </c>
      <c r="R70" s="19">
        <f t="shared" si="19"/>
        <v>3.8333333333333357</v>
      </c>
      <c r="S70" s="12">
        <f t="shared" si="10"/>
        <v>125337.44627358681</v>
      </c>
      <c r="T70" s="12">
        <f t="shared" si="11"/>
        <v>313.34361568396702</v>
      </c>
      <c r="U70" s="12">
        <f t="shared" si="20"/>
        <v>81.469340077831433</v>
      </c>
      <c r="V70" s="12">
        <f t="shared" si="21"/>
        <v>-165.94490103051561</v>
      </c>
      <c r="W70" s="12">
        <f t="shared" si="22"/>
        <v>397.81917663665121</v>
      </c>
      <c r="X70" s="12">
        <f t="shared" si="4"/>
        <v>391.75560538840824</v>
      </c>
      <c r="Y70" s="5">
        <f t="shared" si="12"/>
        <v>0.69394977649982026</v>
      </c>
      <c r="Z70" s="12">
        <f t="shared" si="13"/>
        <v>271.85871480183766</v>
      </c>
    </row>
    <row r="71" spans="1:26">
      <c r="A71" s="19">
        <f t="shared" si="14"/>
        <v>3.9166666666666692</v>
      </c>
      <c r="B71" s="10">
        <f t="shared" si="23"/>
        <v>0.98435255441535596</v>
      </c>
      <c r="C71" s="10">
        <f t="shared" si="5"/>
        <v>0.88900971079265079</v>
      </c>
      <c r="D71" s="10">
        <f t="shared" si="15"/>
        <v>0.87509897971880268</v>
      </c>
      <c r="F71" s="19">
        <f t="shared" si="16"/>
        <v>3.9166666666666692</v>
      </c>
      <c r="G71" s="132">
        <v>1.41652</v>
      </c>
      <c r="H71" s="10">
        <f t="shared" si="24"/>
        <v>1.3155265052768681</v>
      </c>
      <c r="I71" s="10">
        <f t="shared" si="2"/>
        <v>1.107359905330255</v>
      </c>
      <c r="J71" s="19">
        <f t="shared" si="6"/>
        <v>1.2143449817475709</v>
      </c>
      <c r="K71" s="19">
        <f t="shared" si="7"/>
        <v>-11.413275088484946</v>
      </c>
      <c r="L71" s="19">
        <f t="shared" si="25"/>
        <v>12.627620070232517</v>
      </c>
      <c r="M71" s="19">
        <f t="shared" si="17"/>
        <v>1.3775561118529644</v>
      </c>
      <c r="N71" s="19">
        <f t="shared" si="18"/>
        <v>-0.16321113010539356</v>
      </c>
      <c r="O71" s="10">
        <f t="shared" si="8"/>
        <v>0.82605426651129765</v>
      </c>
      <c r="P71" s="19">
        <f t="shared" si="9"/>
        <v>-0.13482125036569084</v>
      </c>
      <c r="R71" s="19">
        <f t="shared" si="19"/>
        <v>3.9166666666666692</v>
      </c>
      <c r="S71" s="12">
        <f t="shared" si="10"/>
        <v>125930.00355320056</v>
      </c>
      <c r="T71" s="12">
        <f t="shared" si="11"/>
        <v>314.82500888300137</v>
      </c>
      <c r="U71" s="12">
        <f t="shared" si="20"/>
        <v>81.854502309580354</v>
      </c>
      <c r="V71" s="12">
        <f t="shared" si="21"/>
        <v>-163.21113010539358</v>
      </c>
      <c r="W71" s="12">
        <f t="shared" si="22"/>
        <v>396.18163667881458</v>
      </c>
      <c r="X71" s="12">
        <f t="shared" si="4"/>
        <v>389.98240607724762</v>
      </c>
      <c r="Y71" s="5">
        <f t="shared" si="12"/>
        <v>0.68845990057298223</v>
      </c>
      <c r="Z71" s="12">
        <f t="shared" si="13"/>
        <v>268.48724851315427</v>
      </c>
    </row>
    <row r="72" spans="1:26">
      <c r="A72" s="19">
        <f t="shared" si="14"/>
        <v>4.0000000000000027</v>
      </c>
      <c r="B72" s="10">
        <f t="shared" si="23"/>
        <v>0.98394351480140108</v>
      </c>
      <c r="C72" s="10">
        <f t="shared" si="5"/>
        <v>0.88678718651566912</v>
      </c>
      <c r="D72" s="10">
        <f t="shared" si="15"/>
        <v>0.87254850118107308</v>
      </c>
      <c r="F72" s="19">
        <f t="shared" si="16"/>
        <v>4.0000000000000027</v>
      </c>
      <c r="G72" s="132">
        <v>1.43076</v>
      </c>
      <c r="H72" s="10">
        <f t="shared" si="24"/>
        <v>1.3900897926839755</v>
      </c>
      <c r="I72" s="10">
        <f t="shared" si="2"/>
        <v>1.1900897926839757</v>
      </c>
      <c r="J72" s="19">
        <f t="shared" si="6"/>
        <v>0.9975994732592568</v>
      </c>
      <c r="K72" s="19">
        <f t="shared" si="7"/>
        <v>-10.073457732516237</v>
      </c>
      <c r="L72" s="19">
        <f t="shared" si="25"/>
        <v>11.071057205775494</v>
      </c>
      <c r="M72" s="19">
        <f t="shared" si="17"/>
        <v>1.1523343983275574</v>
      </c>
      <c r="N72" s="19">
        <f t="shared" si="18"/>
        <v>-0.15473492506830056</v>
      </c>
      <c r="O72" s="10">
        <f t="shared" si="8"/>
        <v>0.82270247479188163</v>
      </c>
      <c r="P72" s="19">
        <f t="shared" si="9"/>
        <v>-0.12730080579042724</v>
      </c>
      <c r="R72" s="19">
        <f t="shared" si="19"/>
        <v>4.0000000000000027</v>
      </c>
      <c r="S72" s="12">
        <f t="shared" si="10"/>
        <v>126877.96349791587</v>
      </c>
      <c r="T72" s="12">
        <f t="shared" si="11"/>
        <v>317.1949087447897</v>
      </c>
      <c r="U72" s="12">
        <f t="shared" si="20"/>
        <v>82.47067627364531</v>
      </c>
      <c r="V72" s="12">
        <f t="shared" si="21"/>
        <v>-154.73492506830056</v>
      </c>
      <c r="W72" s="12">
        <f t="shared" si="22"/>
        <v>389.45915753944496</v>
      </c>
      <c r="X72" s="12">
        <f t="shared" si="4"/>
        <v>383.20581234095408</v>
      </c>
      <c r="Y72" s="5">
        <f t="shared" si="12"/>
        <v>0.6830134553650703</v>
      </c>
      <c r="Z72" s="12">
        <f t="shared" si="13"/>
        <v>261.73472600297373</v>
      </c>
    </row>
    <row r="73" spans="1:26">
      <c r="A73" s="19">
        <f t="shared" si="14"/>
        <v>4.0833333333333357</v>
      </c>
      <c r="B73" s="10">
        <f t="shared" si="23"/>
        <v>0.98353082018427151</v>
      </c>
      <c r="C73" s="10">
        <f t="shared" si="5"/>
        <v>0.88457021854938001</v>
      </c>
      <c r="D73" s="10">
        <f t="shared" si="15"/>
        <v>0.87000207256045203</v>
      </c>
      <c r="F73" s="19">
        <f t="shared" si="16"/>
        <v>4.0833333333333357</v>
      </c>
      <c r="G73" s="132">
        <v>1.34578</v>
      </c>
      <c r="H73" s="10">
        <f t="shared" si="24"/>
        <v>1.1016641501115123</v>
      </c>
      <c r="I73" s="10">
        <f t="shared" si="2"/>
        <v>0.91017872856024495</v>
      </c>
      <c r="J73" s="19">
        <f t="shared" si="6"/>
        <v>1.6462438471063923</v>
      </c>
      <c r="K73" s="19">
        <f t="shared" si="7"/>
        <v>-15.593300415801354</v>
      </c>
      <c r="L73" s="19">
        <f t="shared" si="25"/>
        <v>17.239544262907746</v>
      </c>
      <c r="M73" s="19">
        <f t="shared" si="17"/>
        <v>1.6421382058469121</v>
      </c>
      <c r="N73" s="19">
        <f t="shared" si="18"/>
        <v>4.1056412594802083E-3</v>
      </c>
      <c r="O73" s="10">
        <f t="shared" si="8"/>
        <v>0.81936428327790733</v>
      </c>
      <c r="P73" s="19">
        <f t="shared" si="9"/>
        <v>3.3640158079702056E-3</v>
      </c>
      <c r="R73" s="19">
        <f t="shared" si="19"/>
        <v>4.0833333333333357</v>
      </c>
      <c r="S73" s="12">
        <f t="shared" si="10"/>
        <v>119043.69087193845</v>
      </c>
      <c r="T73" s="12">
        <f t="shared" si="11"/>
        <v>297.60922717984613</v>
      </c>
      <c r="U73" s="12">
        <f t="shared" si="20"/>
        <v>77.378399066759997</v>
      </c>
      <c r="V73" s="12">
        <f t="shared" si="21"/>
        <v>4.1056412594802083</v>
      </c>
      <c r="W73" s="12">
        <f t="shared" si="22"/>
        <v>216.12518685360595</v>
      </c>
      <c r="X73" s="12">
        <f t="shared" si="4"/>
        <v>212.56578228860599</v>
      </c>
      <c r="Y73" s="5">
        <f t="shared" si="12"/>
        <v>0.67761009729321109</v>
      </c>
      <c r="Z73" s="12">
        <f t="shared" si="13"/>
        <v>144.03672041778984</v>
      </c>
    </row>
    <row r="74" spans="1:26">
      <c r="A74" s="19">
        <f t="shared" si="14"/>
        <v>4.1666666666666687</v>
      </c>
      <c r="B74" s="10">
        <f t="shared" si="23"/>
        <v>0.98311443788046171</v>
      </c>
      <c r="C74" s="10">
        <f t="shared" si="5"/>
        <v>0.88235879300300668</v>
      </c>
      <c r="D74" s="10">
        <f t="shared" si="15"/>
        <v>0.86745966879203362</v>
      </c>
      <c r="F74" s="19">
        <f t="shared" si="16"/>
        <v>4.1666666666666687</v>
      </c>
      <c r="G74" s="132">
        <v>1.4236800000000001</v>
      </c>
      <c r="H74" s="10">
        <f t="shared" si="24"/>
        <v>1.4316952185010148</v>
      </c>
      <c r="I74" s="10">
        <f t="shared" si="2"/>
        <v>1.2491210326659596</v>
      </c>
      <c r="J74" s="19">
        <f t="shared" si="6"/>
        <v>0.8203181505111381</v>
      </c>
      <c r="K74" s="19">
        <f t="shared" si="7"/>
        <v>-9.2837488608470888</v>
      </c>
      <c r="L74" s="19">
        <f t="shared" si="25"/>
        <v>10.104067011358227</v>
      </c>
      <c r="M74" s="19">
        <f t="shared" si="17"/>
        <v>0.81561245106245295</v>
      </c>
      <c r="N74" s="19">
        <f t="shared" si="18"/>
        <v>4.7056994486851522E-3</v>
      </c>
      <c r="O74" s="10">
        <f t="shared" si="8"/>
        <v>0.81603963678528069</v>
      </c>
      <c r="P74" s="19">
        <f t="shared" si="9"/>
        <v>3.8400372689257273E-3</v>
      </c>
      <c r="R74" s="19">
        <f t="shared" si="19"/>
        <v>4.1666666666666687</v>
      </c>
      <c r="S74" s="12">
        <f t="shared" si="10"/>
        <v>125619.65664225203</v>
      </c>
      <c r="T74" s="12">
        <f t="shared" si="11"/>
        <v>314.0491416056301</v>
      </c>
      <c r="U74" s="12">
        <f t="shared" si="20"/>
        <v>81.652776817463817</v>
      </c>
      <c r="V74" s="12">
        <f t="shared" si="21"/>
        <v>4.7056994486851522</v>
      </c>
      <c r="W74" s="12">
        <f t="shared" si="22"/>
        <v>227.69066533948114</v>
      </c>
      <c r="X74" s="12">
        <f t="shared" si="4"/>
        <v>223.84598046585234</v>
      </c>
      <c r="Y74" s="5">
        <f t="shared" si="12"/>
        <v>0.67224948549263464</v>
      </c>
      <c r="Z74" s="12">
        <f t="shared" si="13"/>
        <v>150.48034519776357</v>
      </c>
    </row>
    <row r="75" spans="1:26">
      <c r="A75" s="19">
        <f t="shared" si="14"/>
        <v>4.2500000000000018</v>
      </c>
      <c r="B75" s="10">
        <f t="shared" si="23"/>
        <v>0.98269433494481284</v>
      </c>
      <c r="C75" s="10">
        <f t="shared" si="5"/>
        <v>0.88015289602049918</v>
      </c>
      <c r="D75" s="10">
        <f t="shared" si="15"/>
        <v>0.8649212648046154</v>
      </c>
      <c r="F75" s="19">
        <f t="shared" si="16"/>
        <v>4.2500000000000018</v>
      </c>
      <c r="G75" s="132">
        <v>1.50309</v>
      </c>
      <c r="H75" s="10">
        <f t="shared" si="24"/>
        <v>1.788834223433591</v>
      </c>
      <c r="I75" s="10">
        <f t="shared" si="2"/>
        <v>1.6156291426767035</v>
      </c>
      <c r="J75" s="19">
        <f t="shared" si="6"/>
        <v>0.3492380137647153</v>
      </c>
      <c r="K75" s="19">
        <f t="shared" si="7"/>
        <v>-4.743523421032422</v>
      </c>
      <c r="L75" s="19">
        <f t="shared" si="25"/>
        <v>5.0927614347971373</v>
      </c>
      <c r="M75" s="19">
        <f t="shared" si="17"/>
        <v>0.34467746686750012</v>
      </c>
      <c r="N75" s="19">
        <f t="shared" si="18"/>
        <v>4.5605468972151897E-3</v>
      </c>
      <c r="O75" s="10">
        <f t="shared" si="8"/>
        <v>0.81272848035382284</v>
      </c>
      <c r="P75" s="19">
        <f t="shared" si="9"/>
        <v>3.7064863493560429E-3</v>
      </c>
      <c r="R75" s="19">
        <f t="shared" si="19"/>
        <v>4.2500000000000018</v>
      </c>
      <c r="S75" s="12">
        <f t="shared" si="10"/>
        <v>132294.90164794517</v>
      </c>
      <c r="T75" s="12">
        <f t="shared" si="11"/>
        <v>330.73725411986294</v>
      </c>
      <c r="U75" s="12">
        <f t="shared" si="20"/>
        <v>85.991686071164352</v>
      </c>
      <c r="V75" s="12">
        <f t="shared" si="21"/>
        <v>4.5605468972151897</v>
      </c>
      <c r="W75" s="12">
        <f t="shared" si="22"/>
        <v>240.1850211514834</v>
      </c>
      <c r="X75" s="12">
        <f t="shared" si="4"/>
        <v>236.02845962416279</v>
      </c>
      <c r="Y75" s="5">
        <f t="shared" si="12"/>
        <v>0.66693128179517114</v>
      </c>
      <c r="Z75" s="12">
        <f t="shared" si="13"/>
        <v>157.41476311728269</v>
      </c>
    </row>
    <row r="76" spans="1:26">
      <c r="A76" s="19">
        <f t="shared" si="14"/>
        <v>4.3333333333333348</v>
      </c>
      <c r="B76" s="10">
        <f t="shared" si="23"/>
        <v>0.98227047816903679</v>
      </c>
      <c r="C76" s="10">
        <f t="shared" si="5"/>
        <v>0.87795251378044803</v>
      </c>
      <c r="D76" s="10">
        <f t="shared" si="15"/>
        <v>0.86238683552082851</v>
      </c>
      <c r="F76" s="19">
        <f t="shared" si="16"/>
        <v>4.3333333333333348</v>
      </c>
      <c r="G76" s="132">
        <v>1.6341000000000001</v>
      </c>
      <c r="H76" s="10">
        <f t="shared" si="24"/>
        <v>2.3733782645776094</v>
      </c>
      <c r="I76" s="10">
        <f t="shared" si="2"/>
        <v>2.2100789483920642</v>
      </c>
      <c r="J76" s="19">
        <f t="shared" si="6"/>
        <v>7.0991637504550509E-2</v>
      </c>
      <c r="K76" s="19">
        <f t="shared" si="7"/>
        <v>-1.2348610022139681</v>
      </c>
      <c r="L76" s="19">
        <f t="shared" si="25"/>
        <v>1.3058526397185186</v>
      </c>
      <c r="M76" s="19">
        <f t="shared" si="17"/>
        <v>-4.2945510929082609E-2</v>
      </c>
      <c r="N76" s="19">
        <f t="shared" si="18"/>
        <v>0.11393714843363312</v>
      </c>
      <c r="O76" s="10">
        <f t="shared" si="8"/>
        <v>0.80943075924636065</v>
      </c>
      <c r="P76" s="19">
        <f t="shared" si="9"/>
        <v>9.2224232563000941E-2</v>
      </c>
      <c r="R76" s="19">
        <f t="shared" si="19"/>
        <v>4.3333333333333348</v>
      </c>
      <c r="S76" s="12">
        <f t="shared" si="10"/>
        <v>143466.22027686294</v>
      </c>
      <c r="T76" s="12">
        <f t="shared" si="11"/>
        <v>358.66555069215735</v>
      </c>
      <c r="U76" s="12">
        <f t="shared" si="20"/>
        <v>93.253043179960898</v>
      </c>
      <c r="V76" s="12">
        <f t="shared" si="21"/>
        <v>113.93714843363311</v>
      </c>
      <c r="W76" s="12">
        <f t="shared" si="22"/>
        <v>151.47535907856332</v>
      </c>
      <c r="X76" s="12">
        <f t="shared" si="4"/>
        <v>148.78977339292695</v>
      </c>
      <c r="Y76" s="5">
        <f t="shared" si="12"/>
        <v>0.6616551507079188</v>
      </c>
      <c r="Z76" s="12">
        <f t="shared" si="13"/>
        <v>98.44751993809416</v>
      </c>
    </row>
    <row r="77" spans="1:26">
      <c r="A77" s="19">
        <f t="shared" si="14"/>
        <v>4.4166666666666679</v>
      </c>
      <c r="B77" s="10">
        <f t="shared" si="23"/>
        <v>0.98184283408024342</v>
      </c>
      <c r="C77" s="10">
        <f t="shared" si="5"/>
        <v>0.87575763249599692</v>
      </c>
      <c r="D77" s="10">
        <f t="shared" si="15"/>
        <v>0.85985635585727394</v>
      </c>
      <c r="F77" s="19">
        <f t="shared" si="16"/>
        <v>4.4166666666666679</v>
      </c>
      <c r="G77" s="132">
        <v>1.4513400000000001</v>
      </c>
      <c r="H77" s="10">
        <f t="shared" si="24"/>
        <v>1.722608454543282</v>
      </c>
      <c r="I77" s="10">
        <f t="shared" si="2"/>
        <v>1.5698559313780875</v>
      </c>
      <c r="J77" s="19">
        <f t="shared" si="6"/>
        <v>0.34847925047167561</v>
      </c>
      <c r="K77" s="19">
        <f t="shared" si="7"/>
        <v>-5.2887152394000232</v>
      </c>
      <c r="L77" s="19">
        <f t="shared" si="25"/>
        <v>5.6371944898716988</v>
      </c>
      <c r="M77" s="19">
        <f t="shared" si="17"/>
        <v>0.21455260076427707</v>
      </c>
      <c r="N77" s="19">
        <f t="shared" si="18"/>
        <v>0.13392664970739854</v>
      </c>
      <c r="O77" s="10">
        <f t="shared" si="8"/>
        <v>0.80614641894782246</v>
      </c>
      <c r="P77" s="19">
        <f t="shared" si="9"/>
        <v>0.10796448906329877</v>
      </c>
      <c r="R77" s="19">
        <f t="shared" si="19"/>
        <v>4.4166666666666679</v>
      </c>
      <c r="S77" s="12">
        <f t="shared" si="10"/>
        <v>127102.20823467396</v>
      </c>
      <c r="T77" s="12">
        <f t="shared" si="11"/>
        <v>317.7555205866849</v>
      </c>
      <c r="U77" s="12">
        <f t="shared" si="20"/>
        <v>82.616435352538076</v>
      </c>
      <c r="V77" s="12">
        <f t="shared" si="21"/>
        <v>133.92664970739852</v>
      </c>
      <c r="W77" s="12">
        <f t="shared" si="22"/>
        <v>101.21243552674829</v>
      </c>
      <c r="X77" s="12">
        <f t="shared" si="4"/>
        <v>99.374704541746453</v>
      </c>
      <c r="Y77" s="5">
        <f t="shared" si="12"/>
        <v>0.65642075939207867</v>
      </c>
      <c r="Z77" s="12">
        <f t="shared" si="13"/>
        <v>65.231619019656662</v>
      </c>
    </row>
    <row r="78" spans="1:26">
      <c r="A78" s="19">
        <f t="shared" si="14"/>
        <v>4.5000000000000009</v>
      </c>
      <c r="B78" s="10">
        <f t="shared" si="23"/>
        <v>0.98141136893947289</v>
      </c>
      <c r="C78" s="10">
        <f t="shared" si="5"/>
        <v>0.87356823841475695</v>
      </c>
      <c r="D78" s="10">
        <f t="shared" si="15"/>
        <v>0.85732980072467047</v>
      </c>
      <c r="F78" s="19">
        <f t="shared" si="16"/>
        <v>4.5000000000000009</v>
      </c>
      <c r="G78" s="132">
        <v>1.4639899999999999</v>
      </c>
      <c r="H78" s="10">
        <f t="shared" si="24"/>
        <v>1.8807468610417677</v>
      </c>
      <c r="I78" s="10">
        <f t="shared" si="2"/>
        <v>1.7393255048044582</v>
      </c>
      <c r="J78" s="19">
        <f t="shared" si="6"/>
        <v>0.21718741810945597</v>
      </c>
      <c r="K78" s="19">
        <f t="shared" si="7"/>
        <v>-3.7696072897433508</v>
      </c>
      <c r="L78" s="19">
        <f t="shared" si="25"/>
        <v>3.9867947078528068</v>
      </c>
      <c r="M78" s="19">
        <f t="shared" si="17"/>
        <v>0.32591968151087158</v>
      </c>
      <c r="N78" s="19">
        <f t="shared" si="18"/>
        <v>-0.10873226340141562</v>
      </c>
      <c r="O78" s="10">
        <f t="shared" si="8"/>
        <v>0.80287540516433609</v>
      </c>
      <c r="P78" s="19">
        <f t="shared" si="9"/>
        <v>-8.7298460032846872E-2</v>
      </c>
      <c r="R78" s="19">
        <f t="shared" si="19"/>
        <v>4.5000000000000009</v>
      </c>
      <c r="S78" s="12">
        <f t="shared" si="10"/>
        <v>127889.51653568192</v>
      </c>
      <c r="T78" s="12">
        <f t="shared" si="11"/>
        <v>319.72379133920481</v>
      </c>
      <c r="U78" s="12">
        <f t="shared" si="20"/>
        <v>83.128185748193246</v>
      </c>
      <c r="V78" s="12">
        <f t="shared" si="21"/>
        <v>-108.73226340141562</v>
      </c>
      <c r="W78" s="12">
        <f t="shared" si="22"/>
        <v>345.32786899242717</v>
      </c>
      <c r="X78" s="12">
        <f t="shared" si="4"/>
        <v>338.9086966408089</v>
      </c>
      <c r="Y78" s="5">
        <f t="shared" si="12"/>
        <v>0.65122777764195883</v>
      </c>
      <c r="Z78" s="12">
        <f t="shared" si="13"/>
        <v>220.70675733692678</v>
      </c>
    </row>
    <row r="79" spans="1:26">
      <c r="A79" s="19">
        <f t="shared" si="14"/>
        <v>4.5833333333333339</v>
      </c>
      <c r="B79" s="10">
        <f t="shared" si="23"/>
        <v>0.98097604874023581</v>
      </c>
      <c r="C79" s="10">
        <f t="shared" si="5"/>
        <v>0.87138431781872017</v>
      </c>
      <c r="D79" s="10">
        <f t="shared" si="15"/>
        <v>0.85480714502801391</v>
      </c>
      <c r="F79" s="19">
        <f t="shared" si="16"/>
        <v>4.5833333333333339</v>
      </c>
      <c r="G79" s="132">
        <v>1.40476</v>
      </c>
      <c r="H79" s="10">
        <f t="shared" si="24"/>
        <v>1.6951685848307756</v>
      </c>
      <c r="I79" s="10">
        <f t="shared" si="2"/>
        <v>1.5660691399571951</v>
      </c>
      <c r="J79" s="19">
        <f t="shared" si="6"/>
        <v>0.30247297698063225</v>
      </c>
      <c r="K79" s="19">
        <f t="shared" si="7"/>
        <v>-5.4300973504028249</v>
      </c>
      <c r="L79" s="19">
        <f t="shared" si="25"/>
        <v>5.7325703273834572</v>
      </c>
      <c r="M79" s="19">
        <f t="shared" si="17"/>
        <v>0.3863442135688584</v>
      </c>
      <c r="N79" s="19">
        <f t="shared" si="18"/>
        <v>-8.387123658822615E-2</v>
      </c>
      <c r="O79" s="10">
        <f t="shared" si="8"/>
        <v>0.79961766382233246</v>
      </c>
      <c r="P79" s="19">
        <f t="shared" si="9"/>
        <v>-6.7064922262567522E-2</v>
      </c>
      <c r="R79" s="19">
        <f t="shared" si="19"/>
        <v>4.5833333333333339</v>
      </c>
      <c r="S79" s="12">
        <f t="shared" si="10"/>
        <v>122408.58342990246</v>
      </c>
      <c r="T79" s="12">
        <f t="shared" si="11"/>
        <v>306.02145857475614</v>
      </c>
      <c r="U79" s="12">
        <f t="shared" si="20"/>
        <v>79.565579229436594</v>
      </c>
      <c r="V79" s="12">
        <f t="shared" si="21"/>
        <v>-83.871236588226154</v>
      </c>
      <c r="W79" s="12">
        <f t="shared" si="22"/>
        <v>310.32711593354571</v>
      </c>
      <c r="X79" s="12">
        <f t="shared" si="4"/>
        <v>304.42346800544277</v>
      </c>
      <c r="Y79" s="5">
        <f t="shared" si="12"/>
        <v>0.64607587786414289</v>
      </c>
      <c r="Z79" s="12">
        <f t="shared" si="13"/>
        <v>196.68065933406325</v>
      </c>
    </row>
    <row r="80" spans="1:26">
      <c r="A80" s="19">
        <f t="shared" si="14"/>
        <v>4.666666666666667</v>
      </c>
      <c r="B80" s="10">
        <f t="shared" si="23"/>
        <v>0.98053683920705847</v>
      </c>
      <c r="C80" s="10">
        <f t="shared" si="5"/>
        <v>0.86920585702417308</v>
      </c>
      <c r="D80" s="10">
        <f t="shared" si="15"/>
        <v>0.8522883636667451</v>
      </c>
      <c r="F80" s="19">
        <f t="shared" si="16"/>
        <v>4.666666666666667</v>
      </c>
      <c r="G80" s="132">
        <v>1.44512</v>
      </c>
      <c r="H80" s="10">
        <f t="shared" si="24"/>
        <v>2.0900473787257372</v>
      </c>
      <c r="I80" s="10">
        <f t="shared" si="2"/>
        <v>1.974577324887812</v>
      </c>
      <c r="J80" s="19">
        <f t="shared" si="6"/>
        <v>9.9078250396489764E-2</v>
      </c>
      <c r="K80" s="19">
        <f t="shared" si="7"/>
        <v>-2.2724458888495338</v>
      </c>
      <c r="L80" s="19">
        <f t="shared" si="25"/>
        <v>2.3715241392460236</v>
      </c>
      <c r="M80" s="19">
        <f t="shared" si="17"/>
        <v>0.17039700756354392</v>
      </c>
      <c r="N80" s="19">
        <f t="shared" si="18"/>
        <v>-7.1318757167054159E-2</v>
      </c>
      <c r="O80" s="10">
        <f t="shared" si="8"/>
        <v>0.79637314106764989</v>
      </c>
      <c r="P80" s="19">
        <f t="shared" si="9"/>
        <v>-5.679634266216789E-2</v>
      </c>
      <c r="R80" s="19">
        <f t="shared" si="19"/>
        <v>4.666666666666667</v>
      </c>
      <c r="S80" s="12">
        <f t="shared" si="10"/>
        <v>125610.67681027728</v>
      </c>
      <c r="T80" s="12">
        <f t="shared" si="11"/>
        <v>314.02669202569319</v>
      </c>
      <c r="U80" s="12">
        <f t="shared" si="20"/>
        <v>81.646939926680233</v>
      </c>
      <c r="V80" s="12">
        <f t="shared" si="21"/>
        <v>-71.318757167054159</v>
      </c>
      <c r="W80" s="12">
        <f t="shared" si="22"/>
        <v>303.69850926606711</v>
      </c>
      <c r="X80" s="12">
        <f t="shared" si="4"/>
        <v>297.78757634764497</v>
      </c>
      <c r="Y80" s="5">
        <f t="shared" si="12"/>
        <v>0.64096473505682472</v>
      </c>
      <c r="Z80" s="12">
        <f t="shared" si="13"/>
        <v>190.87133497688222</v>
      </c>
    </row>
    <row r="81" spans="1:26">
      <c r="A81" s="19">
        <f t="shared" si="14"/>
        <v>4.75</v>
      </c>
      <c r="B81" s="10">
        <f t="shared" si="23"/>
        <v>0.98009370579403499</v>
      </c>
      <c r="C81" s="10">
        <f t="shared" si="5"/>
        <v>0.86703284238161271</v>
      </c>
      <c r="D81" s="10">
        <f t="shared" si="15"/>
        <v>0.84977343153493023</v>
      </c>
      <c r="F81" s="19">
        <f t="shared" si="16"/>
        <v>4.75</v>
      </c>
      <c r="G81" s="132">
        <v>1.39672</v>
      </c>
      <c r="H81" s="10">
        <f t="shared" si="24"/>
        <v>2.0143881760727287</v>
      </c>
      <c r="I81" s="10">
        <f t="shared" si="2"/>
        <v>1.9143881760727286</v>
      </c>
      <c r="J81" s="19">
        <f t="shared" si="6"/>
        <v>0.10147533461045066</v>
      </c>
      <c r="K81" s="19">
        <f t="shared" si="7"/>
        <v>-2.6387491112103185</v>
      </c>
      <c r="L81" s="19">
        <f t="shared" si="25"/>
        <v>2.7402244458207692</v>
      </c>
      <c r="M81" s="19">
        <f t="shared" si="17"/>
        <v>0.18508903786420028</v>
      </c>
      <c r="N81" s="19">
        <f t="shared" si="18"/>
        <v>-8.3613703253749616E-2</v>
      </c>
      <c r="O81" s="10">
        <f t="shared" si="8"/>
        <v>0.79314178326464624</v>
      </c>
      <c r="P81" s="19">
        <f t="shared" si="9"/>
        <v>-6.6317521704039928E-2</v>
      </c>
      <c r="R81" s="19">
        <f t="shared" si="19"/>
        <v>4.75</v>
      </c>
      <c r="S81" s="12">
        <f t="shared" si="10"/>
        <v>121100.21116112459</v>
      </c>
      <c r="T81" s="12">
        <f t="shared" si="11"/>
        <v>302.75052790281148</v>
      </c>
      <c r="U81" s="12">
        <f t="shared" si="20"/>
        <v>78.715137254730976</v>
      </c>
      <c r="V81" s="12">
        <f t="shared" si="21"/>
        <v>-83.61370325374962</v>
      </c>
      <c r="W81" s="12">
        <f t="shared" si="22"/>
        <v>307.64909390183016</v>
      </c>
      <c r="X81" s="12">
        <f t="shared" si="4"/>
        <v>301.52494052642174</v>
      </c>
      <c r="Y81" s="5">
        <f t="shared" si="12"/>
        <v>0.63589402678930573</v>
      </c>
      <c r="Z81" s="12">
        <f t="shared" si="13"/>
        <v>191.73790860875224</v>
      </c>
    </row>
    <row r="82" spans="1:26">
      <c r="A82" s="19">
        <f t="shared" si="14"/>
        <v>4.833333333333333</v>
      </c>
      <c r="B82" s="10">
        <f t="shared" si="23"/>
        <v>0.9796466136833869</v>
      </c>
      <c r="C82" s="10">
        <f t="shared" si="5"/>
        <v>0.86486526027565858</v>
      </c>
      <c r="D82" s="10">
        <f t="shared" si="15"/>
        <v>0.84726232352144992</v>
      </c>
      <c r="F82" s="19">
        <f t="shared" si="16"/>
        <v>4.833333333333333</v>
      </c>
      <c r="G82" s="132">
        <v>1.3012999999999999</v>
      </c>
      <c r="H82" s="10">
        <f t="shared" si="24"/>
        <v>1.5290035659216406</v>
      </c>
      <c r="I82" s="10">
        <f t="shared" si="2"/>
        <v>1.4473539078288677</v>
      </c>
      <c r="J82" s="19">
        <f t="shared" si="6"/>
        <v>0.2586458830316003</v>
      </c>
      <c r="K82" s="19">
        <f t="shared" si="7"/>
        <v>-7.063139840750984</v>
      </c>
      <c r="L82" s="19">
        <f t="shared" si="25"/>
        <v>7.3217857237825843</v>
      </c>
      <c r="M82" s="19">
        <f t="shared" si="17"/>
        <v>0.29318870777636308</v>
      </c>
      <c r="N82" s="19">
        <f t="shared" si="18"/>
        <v>-3.4542824744762779E-2</v>
      </c>
      <c r="O82" s="10">
        <f t="shared" si="8"/>
        <v>0.78992353699531004</v>
      </c>
      <c r="P82" s="19">
        <f t="shared" si="9"/>
        <v>-2.7286190300192133E-2</v>
      </c>
      <c r="R82" s="19">
        <f t="shared" si="19"/>
        <v>4.833333333333333</v>
      </c>
      <c r="S82" s="12">
        <f t="shared" si="10"/>
        <v>112544.91631967145</v>
      </c>
      <c r="T82" s="12">
        <f t="shared" si="11"/>
        <v>281.36229079917865</v>
      </c>
      <c r="U82" s="12">
        <f t="shared" si="20"/>
        <v>73.154195607786434</v>
      </c>
      <c r="V82" s="12">
        <f t="shared" si="21"/>
        <v>-34.542824744762783</v>
      </c>
      <c r="W82" s="12">
        <f t="shared" si="22"/>
        <v>242.75091993615499</v>
      </c>
      <c r="X82" s="12">
        <f t="shared" si="4"/>
        <v>237.81011668398122</v>
      </c>
      <c r="Y82" s="5">
        <f t="shared" si="12"/>
        <v>0.63086343318165494</v>
      </c>
      <c r="Z82" s="12">
        <f t="shared" si="13"/>
        <v>150.02570665658635</v>
      </c>
    </row>
    <row r="83" spans="1:26">
      <c r="A83" s="19">
        <f t="shared" si="14"/>
        <v>4.9166666666666661</v>
      </c>
      <c r="B83" s="10">
        <f t="shared" si="23"/>
        <v>0.97919552778403096</v>
      </c>
      <c r="C83" s="10">
        <f t="shared" si="5"/>
        <v>0.86270309712496995</v>
      </c>
      <c r="D83" s="10">
        <f t="shared" si="15"/>
        <v>0.84475501451020307</v>
      </c>
      <c r="F83" s="19">
        <f t="shared" si="16"/>
        <v>4.9166666666666661</v>
      </c>
      <c r="G83" s="132">
        <v>1.25762</v>
      </c>
      <c r="H83" s="10">
        <f t="shared" si="24"/>
        <v>1.4699320438454193</v>
      </c>
      <c r="I83" s="10">
        <f t="shared" si="2"/>
        <v>1.4121970169264566</v>
      </c>
      <c r="J83" s="19">
        <f t="shared" si="6"/>
        <v>0.20049133303390132</v>
      </c>
      <c r="K83" s="19">
        <f t="shared" si="7"/>
        <v>-7.6576268432443806</v>
      </c>
      <c r="L83" s="19">
        <f t="shared" si="25"/>
        <v>7.8581181762782819</v>
      </c>
      <c r="M83" s="19">
        <f t="shared" si="17"/>
        <v>0.52630138331597198</v>
      </c>
      <c r="N83" s="19">
        <f>J83-M83</f>
        <v>-0.32581005028207066</v>
      </c>
      <c r="O83" s="10">
        <f t="shared" si="8"/>
        <v>0.78671834905837879</v>
      </c>
      <c r="P83" s="19">
        <f t="shared" si="9"/>
        <v>-0.25632074486453799</v>
      </c>
      <c r="R83" s="19">
        <f t="shared" si="19"/>
        <v>4.9166666666666661</v>
      </c>
      <c r="S83" s="12">
        <f t="shared" si="10"/>
        <v>108495.26690063042</v>
      </c>
      <c r="T83" s="12">
        <f t="shared" si="11"/>
        <v>271.23816725157604</v>
      </c>
      <c r="U83" s="12">
        <f t="shared" si="20"/>
        <v>70.521923485409772</v>
      </c>
      <c r="V83" s="12">
        <f t="shared" si="21"/>
        <v>-325.81005028207068</v>
      </c>
      <c r="W83" s="12">
        <f t="shared" si="22"/>
        <v>526.52629404823688</v>
      </c>
      <c r="X83" s="12">
        <f t="shared" si="4"/>
        <v>515.5721923927332</v>
      </c>
      <c r="Y83" s="5">
        <f t="shared" si="12"/>
        <v>0.62587263688452943</v>
      </c>
      <c r="Z83" s="12">
        <f t="shared" si="13"/>
        <v>322.68252755717788</v>
      </c>
    </row>
    <row r="84" spans="1:26">
      <c r="A84" s="19">
        <f>A83+1/12</f>
        <v>4.9999999999999991</v>
      </c>
      <c r="B84" s="10">
        <f t="shared" si="23"/>
        <v>0.97874041273015389</v>
      </c>
      <c r="C84" s="10"/>
      <c r="D84" s="10"/>
      <c r="F84" s="19">
        <f t="shared" si="16"/>
        <v>4.9999999999999991</v>
      </c>
      <c r="G84" s="59">
        <v>1.1942699999999999</v>
      </c>
      <c r="M84" s="19">
        <f t="shared" si="17"/>
        <v>0.61903887497710652</v>
      </c>
      <c r="N84" s="19">
        <f>-M84</f>
        <v>-0.61903887497710652</v>
      </c>
      <c r="O84" s="10">
        <f>1.05^-F84</f>
        <v>0.78352616646845896</v>
      </c>
      <c r="P84" s="19">
        <f>N84*O84</f>
        <v>-0.48503315660575991</v>
      </c>
      <c r="R84" s="19">
        <f t="shared" si="19"/>
        <v>4.9999999999999991</v>
      </c>
      <c r="S84" s="12"/>
      <c r="T84" s="82"/>
      <c r="U84" s="12"/>
      <c r="V84" s="12">
        <f>1000*N84</f>
        <v>-619.0388749771065</v>
      </c>
      <c r="W84" s="12">
        <f>-V84</f>
        <v>619.0388749771065</v>
      </c>
      <c r="X84" s="12">
        <f>W84*B84</f>
        <v>605.87836399110336</v>
      </c>
      <c r="Y84" s="5">
        <f t="shared" si="12"/>
        <v>0.62092132305915504</v>
      </c>
      <c r="Z84" s="12">
        <f t="shared" si="13"/>
        <v>376.2027953822722</v>
      </c>
    </row>
    <row r="85" spans="1:26">
      <c r="B85" s="10"/>
      <c r="C85" s="10"/>
      <c r="D85" s="10"/>
      <c r="M85" s="58" t="s">
        <v>685</v>
      </c>
      <c r="N85" s="60"/>
      <c r="O85" s="60"/>
      <c r="P85" s="57">
        <f>SUM(P24:P84)*1000</f>
        <v>-1092.3545504731999</v>
      </c>
      <c r="T85" s="82"/>
      <c r="U85" s="12"/>
      <c r="V85" s="12"/>
      <c r="Y85" s="5"/>
      <c r="Z85" s="12">
        <f>SUM(Z24:Z84)</f>
        <v>-1228.348917813526</v>
      </c>
    </row>
    <row r="86" spans="1:26">
      <c r="B86" t="s">
        <v>180</v>
      </c>
      <c r="D86" s="87">
        <f>SUM(D24:D83)</f>
        <v>55.265453682748308</v>
      </c>
      <c r="T86" s="82"/>
      <c r="U86" s="12"/>
      <c r="V86" s="12"/>
      <c r="X86" s="60"/>
      <c r="Y86" s="347" t="s">
        <v>686</v>
      </c>
      <c r="Z86" s="348">
        <f>Z85/B8</f>
        <v>-1.228348917813526E-2</v>
      </c>
    </row>
    <row r="87" spans="1:26">
      <c r="B87" t="s">
        <v>687</v>
      </c>
      <c r="D87" s="87">
        <f>D86/12</f>
        <v>4.605454473562359</v>
      </c>
      <c r="T87" s="82"/>
      <c r="U87" s="12"/>
      <c r="V87" s="12"/>
      <c r="Y87" s="5"/>
      <c r="Z87" s="12"/>
    </row>
    <row r="88" spans="1:26">
      <c r="M88" s="87"/>
      <c r="T88" s="82"/>
      <c r="U88" s="12"/>
      <c r="V88" s="12"/>
      <c r="Y88" s="5"/>
      <c r="Z88" s="12"/>
    </row>
    <row r="89" spans="1:26">
      <c r="M89" s="87"/>
      <c r="T89" s="82"/>
      <c r="U89" s="12"/>
      <c r="V89" s="12"/>
      <c r="Y89" s="5"/>
      <c r="Z89" s="12"/>
    </row>
    <row r="90" spans="1:26">
      <c r="M90" s="87"/>
      <c r="T90" s="82"/>
      <c r="U90" s="12"/>
      <c r="V90" s="12"/>
      <c r="Y90" s="5"/>
      <c r="Z90" s="12"/>
    </row>
    <row r="91" spans="1:26">
      <c r="M91" s="87"/>
      <c r="T91" s="82"/>
      <c r="U91" s="12"/>
      <c r="V91" s="12"/>
      <c r="Y91" s="5"/>
      <c r="Z91" s="12"/>
    </row>
    <row r="92" spans="1:26">
      <c r="M92" s="87"/>
      <c r="T92" s="82"/>
      <c r="U92" s="12"/>
      <c r="V92" s="12"/>
      <c r="Y92" s="5"/>
      <c r="Z92" s="12"/>
    </row>
    <row r="93" spans="1:26">
      <c r="M93" s="87"/>
      <c r="T93" s="82"/>
      <c r="U93" s="12"/>
      <c r="V93" s="12"/>
      <c r="Y93" s="5"/>
      <c r="Z93" s="12"/>
    </row>
    <row r="94" spans="1:26">
      <c r="M94" s="87"/>
      <c r="T94" s="82"/>
      <c r="U94" s="12"/>
      <c r="V94" s="12"/>
      <c r="Y94" s="5"/>
      <c r="Z94" s="12"/>
    </row>
    <row r="95" spans="1:26">
      <c r="M95" s="87"/>
      <c r="T95" s="82"/>
      <c r="U95" s="12"/>
      <c r="V95" s="12"/>
      <c r="Y95" s="5"/>
      <c r="Z95" s="12"/>
    </row>
    <row r="96" spans="1:26">
      <c r="M96" s="87"/>
      <c r="T96" s="82"/>
      <c r="U96" s="12"/>
      <c r="V96" s="12"/>
      <c r="Y96" s="5"/>
      <c r="Z96" s="12"/>
    </row>
    <row r="97" spans="13:26">
      <c r="M97" s="87"/>
      <c r="T97" s="82"/>
      <c r="U97" s="12"/>
      <c r="V97" s="12"/>
      <c r="Y97" s="5"/>
      <c r="Z97" s="12"/>
    </row>
    <row r="98" spans="13:26">
      <c r="M98" s="87"/>
      <c r="T98" s="82"/>
      <c r="U98" s="12"/>
      <c r="V98" s="12"/>
      <c r="Y98" s="5"/>
      <c r="Z98" s="12"/>
    </row>
    <row r="99" spans="13:26">
      <c r="M99" s="87"/>
      <c r="T99" s="82"/>
      <c r="U99" s="12"/>
      <c r="V99" s="12"/>
      <c r="Y99" s="5"/>
      <c r="Z99" s="12"/>
    </row>
    <row r="100" spans="13:26">
      <c r="M100" s="87"/>
      <c r="T100" s="82"/>
      <c r="U100" s="12"/>
      <c r="V100" s="12"/>
      <c r="Y100" s="5"/>
      <c r="Z100" s="12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zoomScale="125" zoomScaleNormal="125" zoomScalePageLayoutView="125" workbookViewId="0"/>
  </sheetViews>
  <sheetFormatPr baseColWidth="10" defaultRowHeight="12" x14ac:dyDescent="0"/>
  <sheetData>
    <row r="1" spans="1:15" ht="15">
      <c r="A1" s="70" t="s">
        <v>45</v>
      </c>
      <c r="O1" s="3"/>
    </row>
    <row r="2" spans="1:15" ht="15">
      <c r="A2" s="2"/>
      <c r="O2" s="3"/>
    </row>
    <row r="3" spans="1:15">
      <c r="A3" s="63" t="s">
        <v>74</v>
      </c>
      <c r="B3" s="61">
        <v>0.06</v>
      </c>
      <c r="O3" s="3"/>
    </row>
    <row r="4" spans="1:15">
      <c r="O4" s="3"/>
    </row>
    <row r="5" spans="1:15">
      <c r="A5" s="1" t="s">
        <v>1</v>
      </c>
      <c r="G5" s="1" t="s">
        <v>2</v>
      </c>
      <c r="N5" s="1" t="s">
        <v>3</v>
      </c>
      <c r="O5" s="3"/>
    </row>
    <row r="6" spans="1:15">
      <c r="A6" s="3" t="s">
        <v>0</v>
      </c>
      <c r="B6" s="3" t="s">
        <v>85</v>
      </c>
      <c r="C6" s="3" t="s">
        <v>36</v>
      </c>
      <c r="D6" s="3" t="s">
        <v>37</v>
      </c>
      <c r="E6" s="3" t="s">
        <v>23</v>
      </c>
      <c r="G6" s="3" t="s">
        <v>0</v>
      </c>
      <c r="H6" s="3" t="s">
        <v>85</v>
      </c>
      <c r="I6" s="3" t="s">
        <v>38</v>
      </c>
      <c r="J6" s="3" t="s">
        <v>39</v>
      </c>
      <c r="K6" s="3" t="s">
        <v>40</v>
      </c>
      <c r="L6" s="3" t="s">
        <v>41</v>
      </c>
    </row>
    <row r="7" spans="1:15">
      <c r="A7" s="3">
        <v>0</v>
      </c>
      <c r="B7" s="3"/>
      <c r="C7" s="59">
        <v>99899</v>
      </c>
      <c r="D7" s="3">
        <f>C7-C8</f>
        <v>175</v>
      </c>
      <c r="E7" s="10">
        <f>D7*B8/C$7</f>
        <v>1.6526125348866503E-3</v>
      </c>
      <c r="G7" s="3">
        <v>0</v>
      </c>
      <c r="H7" s="3"/>
      <c r="I7" s="59">
        <v>100000</v>
      </c>
      <c r="J7" s="3">
        <f>I7-I8</f>
        <v>101</v>
      </c>
      <c r="K7" s="3"/>
      <c r="N7" s="9" t="s">
        <v>42</v>
      </c>
      <c r="O7" s="12">
        <f>LN(0.85)/LN(1/1.06)</f>
        <v>2.7891191843168133</v>
      </c>
    </row>
    <row r="8" spans="1:15">
      <c r="A8" s="3">
        <v>1</v>
      </c>
      <c r="B8" s="10">
        <f>(1+$B$3)^-A8</f>
        <v>0.94339622641509424</v>
      </c>
      <c r="C8" s="59">
        <v>99724</v>
      </c>
      <c r="D8" s="3">
        <f>C8-C9</f>
        <v>204</v>
      </c>
      <c r="E8" s="10">
        <f>D8*B9/C$7</f>
        <v>1.8174283402527045E-3</v>
      </c>
      <c r="G8" s="3">
        <v>1</v>
      </c>
      <c r="H8" s="3"/>
      <c r="I8" s="59">
        <v>99899</v>
      </c>
      <c r="J8" s="3">
        <f>I8-I9</f>
        <v>175</v>
      </c>
      <c r="K8" s="3"/>
      <c r="N8" s="60" t="s">
        <v>43</v>
      </c>
      <c r="O8" s="55">
        <f>1-J8/I7</f>
        <v>0.99824999999999997</v>
      </c>
    </row>
    <row r="9" spans="1:15">
      <c r="A9" s="3">
        <v>2</v>
      </c>
      <c r="B9" s="10">
        <f t="shared" ref="B9:B11" si="0">(1+$B$3)^-A9</f>
        <v>0.88999644001423983</v>
      </c>
      <c r="C9" s="59">
        <v>99520</v>
      </c>
      <c r="D9" s="3">
        <f>C9-C10</f>
        <v>232</v>
      </c>
      <c r="E9" s="10">
        <f>D9*B10/C$7</f>
        <v>1.9498861216177739E-3</v>
      </c>
      <c r="G9" s="3">
        <v>2</v>
      </c>
      <c r="H9" s="10">
        <f>(1+$B$3)^-G9</f>
        <v>0.88999644001423983</v>
      </c>
      <c r="I9" s="59">
        <v>99724</v>
      </c>
      <c r="J9" s="3">
        <f>I9-I10</f>
        <v>204</v>
      </c>
      <c r="K9" s="10">
        <f>(J8/I$7)*H9</f>
        <v>1.5574937700249198E-3</v>
      </c>
      <c r="L9" s="10">
        <f>K9*H9</f>
        <v>1.3861639106665358E-3</v>
      </c>
    </row>
    <row r="10" spans="1:15">
      <c r="A10" s="3">
        <v>3</v>
      </c>
      <c r="B10" s="10">
        <f t="shared" si="0"/>
        <v>0.8396192830323016</v>
      </c>
      <c r="C10" s="59">
        <v>99288</v>
      </c>
      <c r="D10" s="3">
        <f>C10-C11</f>
        <v>255</v>
      </c>
      <c r="E10" s="10">
        <f>D10*B11/C$7</f>
        <v>2.0218809410073699E-3</v>
      </c>
      <c r="G10" s="3">
        <v>3</v>
      </c>
      <c r="H10" s="10">
        <f t="shared" ref="H10:H12" si="1">(1+$B$3)^-G10</f>
        <v>0.8396192830323016</v>
      </c>
      <c r="I10" s="59">
        <v>99520</v>
      </c>
      <c r="J10" s="3">
        <f>I10-I11</f>
        <v>232</v>
      </c>
      <c r="K10" s="10">
        <f>(J9/I$7)*H10</f>
        <v>1.7128233373858953E-3</v>
      </c>
      <c r="L10" s="10">
        <f>K10*H10</f>
        <v>1.4381195024969395E-3</v>
      </c>
    </row>
    <row r="11" spans="1:15">
      <c r="A11" s="3">
        <v>4</v>
      </c>
      <c r="B11" s="10">
        <f t="shared" si="0"/>
        <v>0.79209366323802044</v>
      </c>
      <c r="C11" s="59">
        <v>99033</v>
      </c>
      <c r="D11" s="3"/>
      <c r="E11" s="10">
        <f>B11*C11/C$7</f>
        <v>0.78522719698346211</v>
      </c>
      <c r="F11" s="16"/>
      <c r="G11" s="3">
        <v>4</v>
      </c>
      <c r="H11" s="10">
        <f t="shared" si="1"/>
        <v>0.79209366323802044</v>
      </c>
      <c r="I11" s="59">
        <v>99288</v>
      </c>
      <c r="J11" s="3">
        <f>I11-I12</f>
        <v>255</v>
      </c>
      <c r="K11" s="10">
        <f>(J10/I$7)*H11</f>
        <v>1.8376572987122074E-3</v>
      </c>
      <c r="L11" s="10">
        <f>K11*H11</f>
        <v>1.4555967015130375E-3</v>
      </c>
    </row>
    <row r="12" spans="1:15">
      <c r="A12" s="3"/>
      <c r="B12" s="3"/>
      <c r="C12" s="3"/>
      <c r="D12" s="3"/>
      <c r="E12" s="55">
        <f>SUM(E7:E11)</f>
        <v>0.79266900492122661</v>
      </c>
      <c r="G12" s="3">
        <v>5</v>
      </c>
      <c r="H12" s="10">
        <f t="shared" si="1"/>
        <v>0.74725817286605689</v>
      </c>
      <c r="I12" s="59">
        <v>99033</v>
      </c>
      <c r="J12" s="3"/>
      <c r="K12" s="10">
        <f>(J11/I$7)*H12</f>
        <v>1.9055083408084453E-3</v>
      </c>
      <c r="L12" s="10">
        <f>K12*H12</f>
        <v>1.4239066811335503E-3</v>
      </c>
    </row>
    <row r="13" spans="1:15">
      <c r="J13" s="3"/>
      <c r="K13" s="10">
        <f>SUM(K9:K12)</f>
        <v>7.0134827469314678E-3</v>
      </c>
      <c r="L13" s="10">
        <f>SUM(L9:L12)</f>
        <v>5.7037867958100634E-3</v>
      </c>
      <c r="O13" s="3"/>
    </row>
    <row r="14" spans="1:15">
      <c r="K14" s="3"/>
      <c r="O14" s="3"/>
    </row>
    <row r="15" spans="1:15">
      <c r="J15" s="60" t="s">
        <v>44</v>
      </c>
      <c r="K15" s="60"/>
      <c r="L15" s="57">
        <f>100000*SQRT(L13-K13^2)</f>
        <v>7519.7060152432532</v>
      </c>
      <c r="O15" s="3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3"/>
  <sheetViews>
    <sheetView zoomScale="125" zoomScaleNormal="125" zoomScalePageLayoutView="125" workbookViewId="0"/>
  </sheetViews>
  <sheetFormatPr baseColWidth="10" defaultRowHeight="12" x14ac:dyDescent="0"/>
  <sheetData>
    <row r="1" spans="1:14" ht="15">
      <c r="A1" s="70" t="s">
        <v>755</v>
      </c>
    </row>
    <row r="3" spans="1:14">
      <c r="A3" s="52" t="s">
        <v>9</v>
      </c>
      <c r="B3" s="51">
        <v>1E-4</v>
      </c>
    </row>
    <row r="4" spans="1:14">
      <c r="A4" s="52" t="s">
        <v>10</v>
      </c>
      <c r="B4" s="51">
        <v>3.5E-4</v>
      </c>
    </row>
    <row r="5" spans="1:14">
      <c r="A5" s="52" t="s">
        <v>24</v>
      </c>
      <c r="B5" s="51">
        <v>1.075</v>
      </c>
    </row>
    <row r="6" spans="1:14">
      <c r="A6" s="52" t="s">
        <v>74</v>
      </c>
      <c r="B6" s="61">
        <v>0.06</v>
      </c>
    </row>
    <row r="7" spans="1:14">
      <c r="A7" s="9" t="s">
        <v>25</v>
      </c>
      <c r="B7" s="18">
        <f>EXP(-B4/LN(B5))</f>
        <v>0.99517213429186457</v>
      </c>
    </row>
    <row r="8" spans="1:14">
      <c r="A8" s="9" t="s">
        <v>27</v>
      </c>
      <c r="B8" s="18">
        <f>EXP(-B3)</f>
        <v>0.99990000499983334</v>
      </c>
    </row>
    <row r="9" spans="1:14">
      <c r="A9" s="9" t="s">
        <v>150</v>
      </c>
      <c r="B9" s="64">
        <f>4*((1+B6)^0.25 - 1)</f>
        <v>5.8695384674637197E-2</v>
      </c>
    </row>
    <row r="10" spans="1:14">
      <c r="B10" s="14"/>
    </row>
    <row r="11" spans="1:14">
      <c r="A11" s="1" t="s">
        <v>46</v>
      </c>
      <c r="E11" s="1" t="s">
        <v>47</v>
      </c>
      <c r="I11" s="1" t="s">
        <v>2</v>
      </c>
    </row>
    <row r="12" spans="1:14">
      <c r="A12" s="3" t="s">
        <v>0</v>
      </c>
      <c r="B12" s="3" t="s">
        <v>48</v>
      </c>
      <c r="C12" s="3" t="s">
        <v>49</v>
      </c>
      <c r="E12" s="3" t="s">
        <v>0</v>
      </c>
      <c r="F12" s="7" t="s">
        <v>50</v>
      </c>
      <c r="G12" s="3" t="s">
        <v>51</v>
      </c>
      <c r="J12" s="9" t="s">
        <v>52</v>
      </c>
      <c r="K12" s="10">
        <f>B6/B9</f>
        <v>1.0222268809139696</v>
      </c>
    </row>
    <row r="13" spans="1:14">
      <c r="A13" s="3">
        <v>0</v>
      </c>
      <c r="B13" s="10">
        <f t="shared" ref="B13:B44" si="0">(B$8)*(B$7^((B$5^(50+A13))*(B$5-1)))</f>
        <v>0.98649340028817778</v>
      </c>
      <c r="C13" s="55">
        <f>(1-B13+B13*C14)/(1+$B$6)</f>
        <v>0.33586805143420023</v>
      </c>
      <c r="E13" s="3">
        <v>0</v>
      </c>
      <c r="F13" s="10">
        <f t="shared" ref="F13:F76" si="1">(B$8^0.25)*(B$7^((B$5^(50+E13))*((B$5^0.25)-1)))</f>
        <v>0.99669676947947627</v>
      </c>
      <c r="G13" s="55">
        <f>(1-F13+F13*G14)/((1+$B$6)^0.25)</f>
        <v>0.34330156840248471</v>
      </c>
      <c r="I13" t="s">
        <v>53</v>
      </c>
    </row>
    <row r="14" spans="1:14">
      <c r="A14" s="3">
        <v>1</v>
      </c>
      <c r="B14" s="10">
        <f t="shared" si="0"/>
        <v>0.98549518146141646</v>
      </c>
      <c r="C14" s="65">
        <f>(1-B14+B14*C15)/(1+$B$6)</f>
        <v>0.34720306766205822</v>
      </c>
      <c r="E14" s="3">
        <v>0.25</v>
      </c>
      <c r="F14" s="10">
        <f t="shared" si="1"/>
        <v>0.99663705939952074</v>
      </c>
      <c r="G14" s="65">
        <f t="shared" ref="G14:G77" si="2">(1-F14+F14*G15)/((1+$B$6)^0.25)</f>
        <v>0.3461794026545838</v>
      </c>
      <c r="J14" s="56" t="s">
        <v>147</v>
      </c>
      <c r="K14" s="55">
        <f>K12*C13</f>
        <v>0.34333335061623521</v>
      </c>
      <c r="M14" s="56" t="s">
        <v>148</v>
      </c>
      <c r="N14" s="55">
        <f>K12*C63</f>
        <v>0.89452813984661839</v>
      </c>
    </row>
    <row r="15" spans="1:14">
      <c r="A15" s="3">
        <v>2</v>
      </c>
      <c r="B15" s="10">
        <f t="shared" si="0"/>
        <v>0.98442322275303151</v>
      </c>
      <c r="C15" s="65">
        <f t="shared" ref="C15:C78" si="3">(1-B15+B15*C16)/(1+$B$6)</f>
        <v>0.35873380188316978</v>
      </c>
      <c r="E15" s="3">
        <v>0.5</v>
      </c>
      <c r="F15" s="10">
        <f t="shared" si="1"/>
        <v>0.99657626360857299</v>
      </c>
      <c r="G15" s="65">
        <f t="shared" si="2"/>
        <v>0.34907014752694993</v>
      </c>
    </row>
    <row r="16" spans="1:14">
      <c r="A16" s="3">
        <v>3</v>
      </c>
      <c r="B16" s="10">
        <f t="shared" si="0"/>
        <v>0.9832721675696765</v>
      </c>
      <c r="C16" s="65">
        <f t="shared" si="3"/>
        <v>0.37045149313861864</v>
      </c>
      <c r="E16" s="3">
        <v>0.75</v>
      </c>
      <c r="F16" s="10">
        <f t="shared" si="1"/>
        <v>0.99651436243337954</v>
      </c>
      <c r="G16" s="65">
        <f t="shared" si="2"/>
        <v>0.35197367787215988</v>
      </c>
    </row>
    <row r="17" spans="1:7">
      <c r="A17" s="3">
        <v>4</v>
      </c>
      <c r="B17" s="10">
        <f t="shared" si="0"/>
        <v>0.9820362842946373</v>
      </c>
      <c r="C17" s="65">
        <f t="shared" si="3"/>
        <v>0.38234657981404901</v>
      </c>
      <c r="E17" s="3">
        <v>1</v>
      </c>
      <c r="F17" s="10">
        <f t="shared" si="1"/>
        <v>0.99645133584671863</v>
      </c>
      <c r="G17" s="65">
        <f t="shared" si="2"/>
        <v>0.3548898653567531</v>
      </c>
    </row>
    <row r="18" spans="1:7">
      <c r="A18" s="3">
        <v>5</v>
      </c>
      <c r="B18" s="10">
        <f t="shared" si="0"/>
        <v>0.9807094422374264</v>
      </c>
      <c r="C18" s="65">
        <f t="shared" si="3"/>
        <v>0.39440870474122092</v>
      </c>
      <c r="E18" s="3">
        <v>1.25</v>
      </c>
      <c r="F18" s="10">
        <f t="shared" si="1"/>
        <v>0.99638716346112377</v>
      </c>
      <c r="G18" s="65">
        <f t="shared" si="2"/>
        <v>0.35781857845728238</v>
      </c>
    </row>
    <row r="19" spans="1:7">
      <c r="A19" s="3">
        <v>6</v>
      </c>
      <c r="B19" s="10">
        <f t="shared" si="0"/>
        <v>0.9792850863943019</v>
      </c>
      <c r="C19" s="65">
        <f t="shared" si="3"/>
        <v>0.4066267256011355</v>
      </c>
      <c r="E19" s="3">
        <v>1.5</v>
      </c>
      <c r="F19" s="10">
        <f t="shared" si="1"/>
        <v>0.99632182452250007</v>
      </c>
      <c r="G19" s="65">
        <f t="shared" si="2"/>
        <v>0.3607596824575125</v>
      </c>
    </row>
    <row r="20" spans="1:7">
      <c r="A20" s="3">
        <v>7</v>
      </c>
      <c r="B20" s="10">
        <f t="shared" si="0"/>
        <v>0.97775621102149746</v>
      </c>
      <c r="C20" s="65">
        <f t="shared" si="3"/>
        <v>0.41898873089373029</v>
      </c>
      <c r="E20" s="3">
        <v>1.75</v>
      </c>
      <c r="F20" s="10">
        <f t="shared" si="1"/>
        <v>0.99625529790363077</v>
      </c>
      <c r="G20" s="65">
        <f t="shared" si="2"/>
        <v>0.36371303944678862</v>
      </c>
    </row>
    <row r="21" spans="1:7">
      <c r="A21" s="3">
        <v>8</v>
      </c>
      <c r="B21" s="10">
        <f t="shared" si="0"/>
        <v>0.97611533203613154</v>
      </c>
      <c r="C21" s="65">
        <f t="shared" si="3"/>
        <v>0.4314820616972545</v>
      </c>
      <c r="E21" s="3">
        <v>2</v>
      </c>
      <c r="F21" s="10">
        <f t="shared" si="1"/>
        <v>0.99618756209757242</v>
      </c>
      <c r="G21" s="65">
        <f t="shared" si="2"/>
        <v>0.36667850831959503</v>
      </c>
    </row>
    <row r="22" spans="1:7">
      <c r="A22" s="3">
        <v>9</v>
      </c>
      <c r="B22" s="10">
        <f t="shared" si="0"/>
        <v>0.974354458275699</v>
      </c>
      <c r="C22" s="65">
        <f t="shared" si="3"/>
        <v>0.44409333939155415</v>
      </c>
      <c r="E22" s="3">
        <v>2.25</v>
      </c>
      <c r="F22" s="10">
        <f t="shared" si="1"/>
        <v>0.99611859521093749</v>
      </c>
      <c r="G22" s="65">
        <f t="shared" si="2"/>
        <v>0.36965594477632557</v>
      </c>
    </row>
    <row r="23" spans="1:7">
      <c r="A23" s="3">
        <v>10</v>
      </c>
      <c r="B23" s="10">
        <f t="shared" si="0"/>
        <v>0.97246506166615931</v>
      </c>
      <c r="C23" s="65">
        <f t="shared" si="3"/>
        <v>0.45680849946375962</v>
      </c>
      <c r="E23" s="3">
        <v>2.5</v>
      </c>
      <c r="F23" s="10">
        <f t="shared" si="1"/>
        <v>0.99604837495706078</v>
      </c>
      <c r="G23" s="65">
        <f t="shared" si="2"/>
        <v>0.37264520132528639</v>
      </c>
    </row>
    <row r="24" spans="1:7">
      <c r="A24" s="3">
        <v>11</v>
      </c>
      <c r="B24" s="10">
        <f t="shared" si="0"/>
        <v>0.9704380463714033</v>
      </c>
      <c r="C24" s="65">
        <f t="shared" si="3"/>
        <v>0.46961283145257143</v>
      </c>
      <c r="E24" s="3">
        <v>2.75</v>
      </c>
      <c r="F24" s="10">
        <f t="shared" si="1"/>
        <v>0.99597687864905082</v>
      </c>
      <c r="G24" s="65">
        <f t="shared" si="2"/>
        <v>0.37564612728594976</v>
      </c>
    </row>
    <row r="25" spans="1:7">
      <c r="A25" s="3">
        <v>12</v>
      </c>
      <c r="B25" s="10">
        <f t="shared" si="0"/>
        <v>0.96826371702381908</v>
      </c>
      <c r="C25" s="65">
        <f t="shared" si="3"/>
        <v>0.48249102501895341</v>
      </c>
      <c r="E25" s="3">
        <v>3</v>
      </c>
      <c r="F25" s="10">
        <f t="shared" si="1"/>
        <v>0.99590408319272206</v>
      </c>
      <c r="G25" s="65">
        <f t="shared" si="2"/>
        <v>0.37865856879348014</v>
      </c>
    </row>
    <row r="26" spans="1:7">
      <c r="A26" s="3">
        <v>13</v>
      </c>
      <c r="B26" s="10">
        <f t="shared" si="0"/>
        <v>0.96593174616738742</v>
      </c>
      <c r="C26" s="65">
        <f t="shared" si="3"/>
        <v>0.49542722205722095</v>
      </c>
      <c r="E26" s="3">
        <v>3.25</v>
      </c>
      <c r="F26" s="10">
        <f t="shared" si="1"/>
        <v>0.99582996507940547</v>
      </c>
      <c r="G26" s="65">
        <f t="shared" si="2"/>
        <v>0.38168236880455064</v>
      </c>
    </row>
    <row r="27" spans="1:7">
      <c r="A27" s="3">
        <v>14</v>
      </c>
      <c r="B27" s="10">
        <f t="shared" si="0"/>
        <v>0.96343114108185202</v>
      </c>
      <c r="C27" s="65">
        <f t="shared" si="3"/>
        <v>0.50840507468209983</v>
      </c>
      <c r="E27" s="3">
        <v>3.5</v>
      </c>
      <c r="F27" s="10">
        <f t="shared" si="1"/>
        <v>0.99575450037863911</v>
      </c>
      <c r="G27" s="65">
        <f t="shared" si="2"/>
        <v>0.38471736710446841</v>
      </c>
    </row>
    <row r="28" spans="1:7">
      <c r="A28" s="3">
        <v>15</v>
      </c>
      <c r="B28" s="10">
        <f t="shared" si="0"/>
        <v>0.96075021019974816</v>
      </c>
      <c r="C28" s="65">
        <f t="shared" si="3"/>
        <v>0.52140780884536464</v>
      </c>
      <c r="E28" s="3">
        <v>3.75</v>
      </c>
      <c r="F28" s="10">
        <f t="shared" si="1"/>
        <v>0.99567766473073294</v>
      </c>
      <c r="G28" s="65">
        <f t="shared" si="2"/>
        <v>0.38776340031562773</v>
      </c>
    </row>
    <row r="29" spans="1:7">
      <c r="A29" s="3">
        <v>16</v>
      </c>
      <c r="B29" s="10">
        <f t="shared" si="0"/>
        <v>0.95787652937821077</v>
      </c>
      <c r="C29" s="65">
        <f t="shared" si="3"/>
        <v>0.53441829325135992</v>
      </c>
      <c r="E29" s="3">
        <v>4</v>
      </c>
      <c r="F29" s="10">
        <f t="shared" si="1"/>
        <v>0.99559943333920764</v>
      </c>
      <c r="G29" s="65">
        <f t="shared" si="2"/>
        <v>0.39082030190730799</v>
      </c>
    </row>
    <row r="30" spans="1:7">
      <c r="A30" s="3">
        <v>17</v>
      </c>
      <c r="B30" s="10">
        <f t="shared" si="0"/>
        <v>0.95479690834534192</v>
      </c>
      <c r="C30" s="65">
        <f t="shared" si="3"/>
        <v>0.54741911315546232</v>
      </c>
      <c r="E30" s="3">
        <v>4.25</v>
      </c>
      <c r="F30" s="10">
        <f t="shared" si="1"/>
        <v>0.99551978096310589</v>
      </c>
      <c r="G30" s="65">
        <f t="shared" si="2"/>
        <v>0.39388790220683328</v>
      </c>
    </row>
    <row r="31" spans="1:7">
      <c r="A31" s="3">
        <v>18</v>
      </c>
      <c r="B31" s="10">
        <f t="shared" si="0"/>
        <v>0.95149735770741228</v>
      </c>
      <c r="C31" s="65">
        <f t="shared" si="3"/>
        <v>0.56039264854490389</v>
      </c>
      <c r="E31" s="3">
        <v>4.5</v>
      </c>
      <c r="F31" s="10">
        <f t="shared" si="1"/>
        <v>0.99543868190917362</v>
      </c>
      <c r="G31" s="65">
        <f t="shared" si="2"/>
        <v>0.39696602841211037</v>
      </c>
    </row>
    <row r="32" spans="1:7">
      <c r="A32" s="3">
        <v>19</v>
      </c>
      <c r="B32" s="10">
        <f t="shared" si="0"/>
        <v>0.94796305697922867</v>
      </c>
      <c r="C32" s="65">
        <f t="shared" si="3"/>
        <v>0.57332115611902434</v>
      </c>
      <c r="E32" s="3">
        <v>4.75</v>
      </c>
      <c r="F32" s="10">
        <f t="shared" si="1"/>
        <v>0.99535611002390867</v>
      </c>
      <c r="G32" s="65">
        <f t="shared" si="2"/>
        <v>0.40005450460556091</v>
      </c>
    </row>
    <row r="33" spans="1:7">
      <c r="A33" s="3">
        <v>20</v>
      </c>
      <c r="B33" s="10">
        <f t="shared" si="0"/>
        <v>0.94417832418660996</v>
      </c>
      <c r="C33" s="65">
        <f t="shared" si="3"/>
        <v>0.58618685440773499</v>
      </c>
      <c r="E33" s="3">
        <v>5</v>
      </c>
      <c r="F33" s="10">
        <f t="shared" si="1"/>
        <v>0.99527203868547565</v>
      </c>
      <c r="G33" s="65">
        <f t="shared" si="2"/>
        <v>0.40315315176946265</v>
      </c>
    </row>
    <row r="34" spans="1:7">
      <c r="A34" s="3">
        <v>21</v>
      </c>
      <c r="B34" s="10">
        <f t="shared" si="0"/>
        <v>0.94012658768808466</v>
      </c>
      <c r="C34" s="65">
        <f t="shared" si="3"/>
        <v>0.59897201129458988</v>
      </c>
      <c r="E34" s="3">
        <v>5.25</v>
      </c>
      <c r="F34" s="10">
        <f t="shared" si="1"/>
        <v>0.99518644079548468</v>
      </c>
      <c r="G34" s="65">
        <f t="shared" si="2"/>
        <v>0.40626178780271427</v>
      </c>
    </row>
    <row r="35" spans="1:7">
      <c r="A35" s="3">
        <v>22</v>
      </c>
      <c r="B35" s="10">
        <f t="shared" si="0"/>
        <v>0.93579036097364399</v>
      </c>
      <c r="C35" s="65">
        <f t="shared" si="3"/>
        <v>0.61165903314622116</v>
      </c>
      <c r="E35" s="3">
        <v>5.5</v>
      </c>
      <c r="F35" s="10">
        <f t="shared" si="1"/>
        <v>0.99509928877063192</v>
      </c>
      <c r="G35" s="65">
        <f t="shared" si="2"/>
        <v>0.40938022753903763</v>
      </c>
    </row>
    <row r="36" spans="1:7">
      <c r="A36" s="3">
        <v>23</v>
      </c>
      <c r="B36" s="10">
        <f t="shared" si="0"/>
        <v>0.9311512213226274</v>
      </c>
      <c r="C36" s="65">
        <f t="shared" si="3"/>
        <v>0.62423055469481448</v>
      </c>
      <c r="E36" s="3">
        <v>5.75</v>
      </c>
      <c r="F36" s="10">
        <f t="shared" si="1"/>
        <v>0.99501055453420062</v>
      </c>
      <c r="G36" s="65">
        <f t="shared" si="2"/>
        <v>0.41250828276662993</v>
      </c>
    </row>
    <row r="37" spans="1:7">
      <c r="A37" s="3">
        <v>24</v>
      </c>
      <c r="B37" s="10">
        <f t="shared" si="0"/>
        <v>0.92618979334144558</v>
      </c>
      <c r="C37" s="65">
        <f t="shared" si="3"/>
        <v>0.63666952877649052</v>
      </c>
      <c r="E37" s="3">
        <v>6</v>
      </c>
      <c r="F37" s="10">
        <f t="shared" si="1"/>
        <v>0.99492020950741777</v>
      </c>
      <c r="G37" s="65">
        <f t="shared" si="2"/>
        <v>0.41564576224927929</v>
      </c>
    </row>
    <row r="38" spans="1:7">
      <c r="A38" s="3">
        <v>25</v>
      </c>
      <c r="B38" s="10">
        <f t="shared" si="0"/>
        <v>0.92088573855561084</v>
      </c>
      <c r="C38" s="65">
        <f t="shared" si="3"/>
        <v>0.64895931499748383</v>
      </c>
      <c r="E38" s="3">
        <v>6.25</v>
      </c>
      <c r="F38" s="10">
        <f t="shared" si="1"/>
        <v>0.99482822460066866</v>
      </c>
      <c r="G38" s="65">
        <f t="shared" si="2"/>
        <v>0.41879247174895345</v>
      </c>
    </row>
    <row r="39" spans="1:7">
      <c r="A39" s="3">
        <v>26</v>
      </c>
      <c r="B39" s="10">
        <f t="shared" si="0"/>
        <v>0.91521775239994119</v>
      </c>
      <c r="C39" s="65">
        <f t="shared" si="3"/>
        <v>0.66108376638322797</v>
      </c>
      <c r="E39" s="3">
        <v>6.5</v>
      </c>
      <c r="F39" s="10">
        <f t="shared" si="1"/>
        <v>0.99473457020456291</v>
      </c>
      <c r="G39" s="65">
        <f t="shared" si="2"/>
        <v>0.42194821404987382</v>
      </c>
    </row>
    <row r="40" spans="1:7">
      <c r="A40" s="3">
        <v>27</v>
      </c>
      <c r="B40" s="10">
        <f t="shared" si="0"/>
        <v>0.90916357013604776</v>
      </c>
      <c r="C40" s="65">
        <f t="shared" si="3"/>
        <v>0.67302731306395325</v>
      </c>
      <c r="E40" s="3">
        <v>6.75</v>
      </c>
      <c r="F40" s="10">
        <f t="shared" si="1"/>
        <v>0.99463921618085216</v>
      </c>
      <c r="G40" s="65">
        <f t="shared" si="2"/>
        <v>0.42511278898408328</v>
      </c>
    </row>
    <row r="41" spans="1:7">
      <c r="A41" s="3">
        <v>28</v>
      </c>
      <c r="B41" s="10">
        <f t="shared" si="0"/>
        <v>0.90269998342706037</v>
      </c>
      <c r="C41" s="65">
        <f t="shared" si="3"/>
        <v>0.68477504206495665</v>
      </c>
      <c r="E41" s="3">
        <v>7</v>
      </c>
      <c r="F41" s="10">
        <f t="shared" si="1"/>
        <v>0.99454213185319795</v>
      </c>
      <c r="G41" s="65">
        <f t="shared" si="2"/>
        <v>0.4282859934585177</v>
      </c>
    </row>
    <row r="42" spans="1:7">
      <c r="A42" s="3">
        <v>29</v>
      </c>
      <c r="B42" s="10">
        <f t="shared" si="0"/>
        <v>0.89580286951519117</v>
      </c>
      <c r="C42" s="65">
        <f t="shared" si="3"/>
        <v>0.69631277230072453</v>
      </c>
      <c r="E42" s="3">
        <v>7.25</v>
      </c>
      <c r="F42" s="10">
        <f t="shared" si="1"/>
        <v>0.99444328599778364</v>
      </c>
      <c r="G42" s="65">
        <f t="shared" si="2"/>
        <v>0.43146762148358908</v>
      </c>
    </row>
    <row r="43" spans="1:7">
      <c r="A43" s="3">
        <v>30</v>
      </c>
      <c r="B43" s="10">
        <f t="shared" si="0"/>
        <v>0.88844723517659152</v>
      </c>
      <c r="C43" s="65">
        <f t="shared" si="3"/>
        <v>0.70762712391959981</v>
      </c>
      <c r="E43" s="3">
        <v>7.5</v>
      </c>
      <c r="F43" s="10">
        <f t="shared" si="1"/>
        <v>0.99434264683377371</v>
      </c>
      <c r="G43" s="65">
        <f t="shared" si="2"/>
        <v>0.43465746420328644</v>
      </c>
    </row>
    <row r="44" spans="1:7">
      <c r="A44" s="3">
        <v>31</v>
      </c>
      <c r="B44" s="10">
        <f t="shared" si="0"/>
        <v>0.88060727786749249</v>
      </c>
      <c r="C44" s="65">
        <f t="shared" si="3"/>
        <v>0.71870558120927697</v>
      </c>
      <c r="E44" s="3">
        <v>7.75</v>
      </c>
      <c r="F44" s="10">
        <f t="shared" si="1"/>
        <v>0.99424018201361319</v>
      </c>
      <c r="G44" s="65">
        <f t="shared" si="2"/>
        <v>0.43785530992680211</v>
      </c>
    </row>
    <row r="45" spans="1:7">
      <c r="A45" s="3">
        <v>32</v>
      </c>
      <c r="B45" s="10">
        <f t="shared" ref="B45:B76" si="4">(B$8)*(B$7^((B$5^(50+A45))*(B$5-1)))</f>
        <v>0.87225646672206403</v>
      </c>
      <c r="C45" s="65">
        <f t="shared" si="3"/>
        <v>0.72953654835225556</v>
      </c>
      <c r="E45" s="3">
        <v>8</v>
      </c>
      <c r="F45" s="10">
        <f t="shared" si="1"/>
        <v>0.99413585861316778</v>
      </c>
      <c r="G45" s="65">
        <f t="shared" si="2"/>
        <v>0.44106094416168706</v>
      </c>
    </row>
    <row r="46" spans="1:7">
      <c r="A46" s="3">
        <v>33</v>
      </c>
      <c r="B46" s="10">
        <f t="shared" si="4"/>
        <v>0.86336764631048291</v>
      </c>
      <c r="C46" s="65">
        <f t="shared" si="3"/>
        <v>0.74010939741322423</v>
      </c>
      <c r="E46" s="3">
        <v>8.25</v>
      </c>
      <c r="F46" s="10">
        <f t="shared" si="1"/>
        <v>0.9940296431217015</v>
      </c>
      <c r="G46" s="65">
        <f t="shared" si="2"/>
        <v>0.44427414964854073</v>
      </c>
    </row>
    <row r="47" spans="1:7">
      <c r="A47" s="3">
        <v>34</v>
      </c>
      <c r="B47" s="10">
        <f t="shared" si="4"/>
        <v>0.85391316630823433</v>
      </c>
      <c r="C47" s="65">
        <f t="shared" si="3"/>
        <v>0.75041450804552123</v>
      </c>
      <c r="E47" s="3">
        <v>8.5</v>
      </c>
      <c r="F47" s="10">
        <f t="shared" si="1"/>
        <v>0.99392150143168978</v>
      </c>
      <c r="G47" s="65">
        <f t="shared" si="2"/>
        <v>0.44749470639723776</v>
      </c>
    </row>
    <row r="48" spans="1:7">
      <c r="A48" s="3">
        <v>35</v>
      </c>
      <c r="B48" s="10">
        <f t="shared" si="4"/>
        <v>0.84386504045528876</v>
      </c>
      <c r="C48" s="65">
        <f t="shared" si="3"/>
        <v>0.76044329851929249</v>
      </c>
      <c r="E48" s="3">
        <v>8.75</v>
      </c>
      <c r="F48" s="10">
        <f t="shared" si="1"/>
        <v>0.99381139882846525</v>
      </c>
      <c r="G48" s="65">
        <f t="shared" si="2"/>
        <v>0.45072239172469392</v>
      </c>
    </row>
    <row r="49" spans="1:7">
      <c r="A49" s="3">
        <v>36</v>
      </c>
      <c r="B49" s="10">
        <f t="shared" si="4"/>
        <v>0.83319513838444959</v>
      </c>
      <c r="C49" s="65">
        <f t="shared" si="3"/>
        <v>0.77018824779739758</v>
      </c>
      <c r="E49" s="3">
        <v>9</v>
      </c>
      <c r="F49" s="10">
        <f t="shared" si="1"/>
        <v>0.99369929997969408</v>
      </c>
      <c r="G49" s="65">
        <f t="shared" si="2"/>
        <v>0.45395698029417242</v>
      </c>
    </row>
    <row r="50" spans="1:7">
      <c r="A50" s="3">
        <v>37</v>
      </c>
      <c r="B50" s="10">
        <f t="shared" si="4"/>
        <v>0.8218754140566864</v>
      </c>
      <c r="C50" s="65">
        <f t="shared" si="3"/>
        <v>0.77964290851389695</v>
      </c>
      <c r="E50" s="3">
        <v>9.25</v>
      </c>
      <c r="F50" s="10">
        <f t="shared" si="1"/>
        <v>0.99358516892467996</v>
      </c>
      <c r="G50" s="65">
        <f t="shared" si="2"/>
        <v>0.45719824415613064</v>
      </c>
    </row>
    <row r="51" spans="1:7">
      <c r="A51" s="3">
        <v>38</v>
      </c>
      <c r="B51" s="10">
        <f t="shared" si="4"/>
        <v>0.80987817463889478</v>
      </c>
      <c r="C51" s="65">
        <f t="shared" si="3"/>
        <v>0.78880191084132234</v>
      </c>
      <c r="E51" s="3">
        <v>9.5</v>
      </c>
      <c r="F51" s="10">
        <f t="shared" si="1"/>
        <v>0.99346896906349569</v>
      </c>
      <c r="G51" s="65">
        <f t="shared" si="2"/>
        <v>0.46044595279060535</v>
      </c>
    </row>
    <row r="52" spans="1:7">
      <c r="A52" s="3">
        <v>39</v>
      </c>
      <c r="B52" s="10">
        <f t="shared" si="4"/>
        <v>0.79717639367343174</v>
      </c>
      <c r="C52" s="65">
        <f t="shared" si="3"/>
        <v>0.7976609573640332</v>
      </c>
      <c r="E52" s="3">
        <v>9.75</v>
      </c>
      <c r="F52" s="10">
        <f t="shared" si="1"/>
        <v>0.99335066314593568</v>
      </c>
      <c r="G52" s="65">
        <f t="shared" si="2"/>
        <v>0.46369987315113537</v>
      </c>
    </row>
    <row r="53" spans="1:7">
      <c r="A53" s="3">
        <v>40</v>
      </c>
      <c r="B53" s="10">
        <f t="shared" si="4"/>
        <v>0.78374407229165022</v>
      </c>
      <c r="C53" s="65">
        <f t="shared" si="3"/>
        <v>0.80621680920294758</v>
      </c>
      <c r="E53" s="3">
        <v>10</v>
      </c>
      <c r="F53" s="10">
        <f t="shared" si="1"/>
        <v>0.99323021326029071</v>
      </c>
      <c r="G53" s="65">
        <f t="shared" si="2"/>
        <v>0.46695976971021719</v>
      </c>
    </row>
    <row r="54" spans="1:7">
      <c r="A54" s="3">
        <v>41</v>
      </c>
      <c r="B54" s="10">
        <f t="shared" si="4"/>
        <v>0.76955665198334644</v>
      </c>
      <c r="C54" s="65">
        <f t="shared" si="3"/>
        <v>0.81446726375907452</v>
      </c>
      <c r="E54" s="3">
        <v>10.25</v>
      </c>
      <c r="F54" s="10">
        <f t="shared" si="1"/>
        <v>0.99310758082194162</v>
      </c>
      <c r="G54" s="65">
        <f t="shared" si="2"/>
        <v>0.4702254045062893</v>
      </c>
    </row>
    <row r="55" spans="1:7">
      <c r="A55" s="3">
        <v>42</v>
      </c>
      <c r="B55" s="10">
        <f t="shared" si="4"/>
        <v>0.7545914820133347</v>
      </c>
      <c r="C55" s="65">
        <f t="shared" si="3"/>
        <v>0.82241112455702825</v>
      </c>
      <c r="E55" s="3">
        <v>10.5</v>
      </c>
      <c r="F55" s="10">
        <f t="shared" si="1"/>
        <v>0.99298272656176734</v>
      </c>
      <c r="G55" s="65">
        <f t="shared" si="2"/>
        <v>0.47349653719223983</v>
      </c>
    </row>
    <row r="56" spans="1:7">
      <c r="A56" s="3">
        <v>43</v>
      </c>
      <c r="B56" s="10">
        <f t="shared" si="4"/>
        <v>0.73882834393309382</v>
      </c>
      <c r="C56" s="65">
        <f t="shared" si="3"/>
        <v>0.83004816377282697</v>
      </c>
      <c r="E56" s="3">
        <v>10.75</v>
      </c>
      <c r="F56" s="10">
        <f t="shared" si="1"/>
        <v>0.99285561051436799</v>
      </c>
      <c r="G56" s="65">
        <f t="shared" si="2"/>
        <v>0.47677292508542946</v>
      </c>
    </row>
    <row r="57" spans="1:7">
      <c r="A57" s="3">
        <v>44</v>
      </c>
      <c r="B57" s="10">
        <f t="shared" si="4"/>
        <v>0.72225003472274052</v>
      </c>
      <c r="C57" s="65">
        <f t="shared" si="3"/>
        <v>0.83737907812090695</v>
      </c>
      <c r="E57" s="3">
        <v>11</v>
      </c>
      <c r="F57" s="10">
        <f t="shared" si="1"/>
        <v>0.99272619200609802</v>
      </c>
      <c r="G57" s="65">
        <f t="shared" si="2"/>
        <v>0.48005432321922237</v>
      </c>
    </row>
    <row r="58" spans="1:7">
      <c r="A58" s="3">
        <v>45</v>
      </c>
      <c r="B58" s="10">
        <f t="shared" si="4"/>
        <v>0.70484300886590201</v>
      </c>
      <c r="C58" s="65">
        <f t="shared" si="3"/>
        <v>0.84440543885196395</v>
      </c>
      <c r="E58" s="3">
        <v>11.25</v>
      </c>
      <c r="F58" s="10">
        <f t="shared" si="1"/>
        <v>0.99259442964290834</v>
      </c>
      <c r="G58" s="65">
        <f t="shared" si="2"/>
        <v>0.48334048439601529</v>
      </c>
    </row>
    <row r="59" spans="1:7">
      <c r="A59" s="3">
        <v>46</v>
      </c>
      <c r="B59" s="10">
        <f t="shared" si="4"/>
        <v>0.68659807805447415</v>
      </c>
      <c r="C59" s="65">
        <f t="shared" si="3"/>
        <v>0.85112963667504937</v>
      </c>
      <c r="E59" s="3">
        <v>11.5</v>
      </c>
      <c r="F59" s="10">
        <f t="shared" si="1"/>
        <v>0.99246028129799413</v>
      </c>
      <c r="G59" s="65">
        <f t="shared" si="2"/>
        <v>0.48663115924175393</v>
      </c>
    </row>
    <row r="60" spans="1:7">
      <c r="A60" s="3">
        <v>47</v>
      </c>
      <c r="B60" s="10">
        <f t="shared" si="4"/>
        <v>0.66751116518892617</v>
      </c>
      <c r="C60" s="65">
        <f t="shared" si="3"/>
        <v>0.85755482246385195</v>
      </c>
      <c r="E60" s="3">
        <v>11.75</v>
      </c>
      <c r="F60" s="10">
        <f t="shared" si="1"/>
        <v>0.99232370409924564</v>
      </c>
      <c r="G60" s="65">
        <f t="shared" si="2"/>
        <v>0.48992609626192463</v>
      </c>
    </row>
    <row r="61" spans="1:7">
      <c r="A61" s="3">
        <v>48</v>
      </c>
      <c r="B61" s="10">
        <f t="shared" si="4"/>
        <v>0.64758410683329903</v>
      </c>
      <c r="C61" s="65">
        <f t="shared" si="3"/>
        <v>0.86368484463842132</v>
      </c>
      <c r="E61" s="3">
        <v>12</v>
      </c>
      <c r="F61" s="10">
        <f t="shared" si="1"/>
        <v>0.99218465441650161</v>
      </c>
      <c r="G61" s="65">
        <f t="shared" si="2"/>
        <v>0.49322504189900823</v>
      </c>
    </row>
    <row r="62" spans="1:7">
      <c r="A62" s="3">
        <v>49</v>
      </c>
      <c r="B62" s="10">
        <f t="shared" si="4"/>
        <v>0.62682549526088882</v>
      </c>
      <c r="C62" s="65">
        <f t="shared" si="3"/>
        <v>0.8695241841303808</v>
      </c>
      <c r="E62" s="3">
        <v>12.25</v>
      </c>
      <c r="F62" s="10">
        <f t="shared" si="1"/>
        <v>0.99204308784859785</v>
      </c>
      <c r="G62" s="65">
        <f t="shared" si="2"/>
        <v>0.49652774059138177</v>
      </c>
    </row>
    <row r="63" spans="1:7">
      <c r="A63" s="3">
        <v>50</v>
      </c>
      <c r="B63" s="10">
        <f t="shared" si="4"/>
        <v>0.60525154765952016</v>
      </c>
      <c r="C63" s="55">
        <f t="shared" si="3"/>
        <v>0.87507788784308216</v>
      </c>
      <c r="E63" s="3">
        <v>12.5</v>
      </c>
      <c r="F63" s="10">
        <f t="shared" si="1"/>
        <v>0.99189895921021554</v>
      </c>
      <c r="G63" s="65">
        <f t="shared" si="2"/>
        <v>0.49983393483365052</v>
      </c>
    </row>
    <row r="64" spans="1:7">
      <c r="A64" s="3">
        <v>51</v>
      </c>
      <c r="B64" s="10">
        <f t="shared" si="4"/>
        <v>0.58288698594886224</v>
      </c>
      <c r="C64" s="65">
        <f t="shared" si="3"/>
        <v>0.88035150150979746</v>
      </c>
      <c r="E64" s="3">
        <v>12.75</v>
      </c>
      <c r="F64" s="10">
        <f t="shared" si="1"/>
        <v>0.9917522225185188</v>
      </c>
      <c r="G64" s="65">
        <f t="shared" si="2"/>
        <v>0.50314336523839642</v>
      </c>
    </row>
    <row r="65" spans="1:7">
      <c r="A65" s="3">
        <v>52</v>
      </c>
      <c r="B65" s="10">
        <f t="shared" si="4"/>
        <v>0.55976590602243381</v>
      </c>
      <c r="C65" s="65">
        <f t="shared" si="3"/>
        <v>0.88535100283491741</v>
      </c>
      <c r="E65" s="3">
        <v>13</v>
      </c>
      <c r="F65" s="10">
        <f t="shared" si="1"/>
        <v>0.99160283097958557</v>
      </c>
      <c r="G65" s="65">
        <f t="shared" si="2"/>
        <v>0.50645577059932023</v>
      </c>
    </row>
    <row r="66" spans="1:7">
      <c r="A66" s="3">
        <v>53</v>
      </c>
      <c r="B66" s="10">
        <f t="shared" si="4"/>
        <v>0.53593261013251281</v>
      </c>
      <c r="C66" s="65">
        <f t="shared" si="3"/>
        <v>0.89008273577754915</v>
      </c>
      <c r="E66" s="3">
        <v>13.25</v>
      </c>
      <c r="F66" s="10">
        <f t="shared" si="1"/>
        <v>0.99145073697462571</v>
      </c>
      <c r="G66" s="65">
        <f t="shared" si="2"/>
        <v>0.50977088795576131</v>
      </c>
    </row>
    <row r="67" spans="1:7">
      <c r="A67" s="3">
        <v>54</v>
      </c>
      <c r="B67" s="10">
        <f t="shared" si="4"/>
        <v>0.5114423707113217</v>
      </c>
      <c r="C67" s="65">
        <f t="shared" si="3"/>
        <v>0.89455334680637399</v>
      </c>
      <c r="E67" s="3">
        <v>13.5</v>
      </c>
      <c r="F67" s="10">
        <f t="shared" si="1"/>
        <v>0.99129589204598401</v>
      </c>
      <c r="G67" s="65">
        <f t="shared" si="2"/>
        <v>0.51308845265857117</v>
      </c>
    </row>
    <row r="68" spans="1:7">
      <c r="A68" s="3">
        <v>55</v>
      </c>
      <c r="B68" s="10">
        <f t="shared" si="4"/>
        <v>0.48636208836006728</v>
      </c>
      <c r="C68" s="65">
        <f t="shared" si="3"/>
        <v>0.89876972392170729</v>
      </c>
      <c r="E68" s="3">
        <v>13.75</v>
      </c>
      <c r="F68" s="10">
        <f t="shared" si="1"/>
        <v>0.99113824688292629</v>
      </c>
      <c r="G68" s="65">
        <f t="shared" si="2"/>
        <v>0.51640819843731978</v>
      </c>
    </row>
    <row r="69" spans="1:7">
      <c r="A69" s="3">
        <v>56</v>
      </c>
      <c r="B69" s="10">
        <f t="shared" si="4"/>
        <v>0.46077080131515935</v>
      </c>
      <c r="C69" s="65">
        <f t="shared" si="3"/>
        <v>0.90273893920784021</v>
      </c>
      <c r="E69" s="3">
        <v>14</v>
      </c>
      <c r="F69" s="10">
        <f t="shared" si="1"/>
        <v>0.99097775130720622</v>
      </c>
      <c r="G69" s="65">
        <f t="shared" si="2"/>
        <v>0.51972985746881029</v>
      </c>
    </row>
    <row r="70" spans="1:7">
      <c r="A70" s="3">
        <v>57</v>
      </c>
      <c r="B70" s="10">
        <f t="shared" si="4"/>
        <v>0.43475999878999322</v>
      </c>
      <c r="C70" s="65">
        <f t="shared" si="3"/>
        <v>0.90646819564807468</v>
      </c>
      <c r="E70" s="3">
        <v>14.25</v>
      </c>
      <c r="F70" s="10">
        <f t="shared" si="1"/>
        <v>0.99081435425840958</v>
      </c>
      <c r="G70" s="65">
        <f t="shared" si="2"/>
        <v>0.52305316044687655</v>
      </c>
    </row>
    <row r="71" spans="1:7">
      <c r="A71" s="3">
        <v>58</v>
      </c>
      <c r="B71" s="10">
        <f t="shared" si="4"/>
        <v>0.40843368666681895</v>
      </c>
      <c r="C71" s="65">
        <f t="shared" si="3"/>
        <v>0.90996477890794003</v>
      </c>
      <c r="E71" s="3">
        <v>14.5</v>
      </c>
      <c r="F71" s="10">
        <f t="shared" si="1"/>
        <v>0.99064800377907325</v>
      </c>
      <c r="G71" s="65">
        <f t="shared" si="2"/>
        <v>0.52637783665343796</v>
      </c>
    </row>
    <row r="72" spans="1:7">
      <c r="A72" s="3">
        <v>59</v>
      </c>
      <c r="B72" s="10">
        <f t="shared" si="4"/>
        <v>0.3819081516584939</v>
      </c>
      <c r="C72" s="65">
        <f t="shared" si="3"/>
        <v>0.91323601476953675</v>
      </c>
      <c r="E72" s="3">
        <v>14.75</v>
      </c>
      <c r="F72" s="10">
        <f t="shared" si="1"/>
        <v>0.99047864699957699</v>
      </c>
      <c r="G72" s="65">
        <f t="shared" si="2"/>
        <v>0.52970361403078259</v>
      </c>
    </row>
    <row r="73" spans="1:7">
      <c r="A73" s="3">
        <v>60</v>
      </c>
      <c r="B73" s="10">
        <f t="shared" si="4"/>
        <v>0.35531136995485629</v>
      </c>
      <c r="C73" s="65">
        <f t="shared" si="3"/>
        <v>0.9162892328811072</v>
      </c>
      <c r="E73" s="3">
        <v>15</v>
      </c>
      <c r="F73" s="10">
        <f t="shared" si="1"/>
        <v>0.99030623012280516</v>
      </c>
      <c r="G73" s="65">
        <f t="shared" si="2"/>
        <v>0.53303021925505034</v>
      </c>
    </row>
    <row r="74" spans="1:7">
      <c r="A74" s="3">
        <v>61</v>
      </c>
      <c r="B74" s="10">
        <f t="shared" si="4"/>
        <v>0.32878200927021861</v>
      </c>
      <c r="C74" s="65">
        <f t="shared" si="3"/>
        <v>0.91913173746824639</v>
      </c>
      <c r="E74" s="3">
        <v>15.25</v>
      </c>
      <c r="F74" s="10">
        <f t="shared" si="1"/>
        <v>0.99013069840857593</v>
      </c>
      <c r="G74" s="65">
        <f t="shared" si="2"/>
        <v>0.53635737781088522</v>
      </c>
    </row>
    <row r="75" spans="1:7">
      <c r="A75" s="3">
        <v>62</v>
      </c>
      <c r="B75" s="10">
        <f t="shared" si="4"/>
        <v>0.30246797991012131</v>
      </c>
      <c r="C75" s="65">
        <f t="shared" si="3"/>
        <v>0.92177078563164372</v>
      </c>
      <c r="E75" s="3">
        <v>15.5</v>
      </c>
      <c r="F75" s="10">
        <f t="shared" si="1"/>
        <v>0.98995199615783491</v>
      </c>
      <c r="G75" s="65">
        <f t="shared" si="2"/>
        <v>0.53968481406722468</v>
      </c>
    </row>
    <row r="76" spans="1:7">
      <c r="A76" s="3">
        <v>63</v>
      </c>
      <c r="B76" s="10">
        <f t="shared" si="4"/>
        <v>0.27652450174230636</v>
      </c>
      <c r="C76" s="65">
        <f t="shared" si="3"/>
        <v>0.92421357382269265</v>
      </c>
      <c r="E76" s="3">
        <v>15.75</v>
      </c>
      <c r="F76" s="10">
        <f t="shared" si="1"/>
        <v>0.98977006669661183</v>
      </c>
      <c r="G76" s="65">
        <f t="shared" si="2"/>
        <v>0.54301225135419318</v>
      </c>
    </row>
    <row r="77" spans="1:7">
      <c r="A77" s="3">
        <v>64</v>
      </c>
      <c r="B77" s="10">
        <f t="shared" ref="B77:B102" si="5">(B$8)*(B$7^((B$5^(50+A77))*(B$5-1)))</f>
        <v>0.25111167043632432</v>
      </c>
      <c r="C77" s="65">
        <f t="shared" si="3"/>
        <v>0.92646723303060252</v>
      </c>
      <c r="E77" s="3">
        <v>16</v>
      </c>
      <c r="F77" s="10">
        <f t="shared" ref="F77:F140" si="6">(B$8^0.25)*(B$7^((B$5^(50+E77))*((B$5^0.25)-1)))</f>
        <v>0.98958485235973592</v>
      </c>
      <c r="G77" s="65">
        <f t="shared" si="2"/>
        <v>0.54633941204106617</v>
      </c>
    </row>
    <row r="78" spans="1:7">
      <c r="A78" s="3">
        <v>65</v>
      </c>
      <c r="B78" s="10">
        <f t="shared" si="5"/>
        <v>0.22639152844050534</v>
      </c>
      <c r="C78" s="65">
        <f t="shared" si="3"/>
        <v>0.92853883311603558</v>
      </c>
      <c r="E78" s="3">
        <v>16.25</v>
      </c>
      <c r="F78" s="10">
        <f t="shared" si="6"/>
        <v>0.98939629447430977</v>
      </c>
      <c r="G78" s="65">
        <f t="shared" ref="G78:G141" si="7">(1-F78+F78*G79)/((1+$B$6)^0.25)</f>
        <v>0.54966601761526745</v>
      </c>
    </row>
    <row r="79" spans="1:7">
      <c r="A79" s="3">
        <v>66</v>
      </c>
      <c r="B79" s="10">
        <f t="shared" si="5"/>
        <v>0.20252467392908091</v>
      </c>
      <c r="C79" s="65">
        <f t="shared" ref="C79:C103" si="8">(1-B79+B79*C80)/(1+$B$6)</f>
        <v>0.93043539656502228</v>
      </c>
      <c r="E79" s="3">
        <v>16.5</v>
      </c>
      <c r="F79" s="10">
        <f t="shared" si="6"/>
        <v>0.98920433334293689</v>
      </c>
      <c r="G79" s="65">
        <f t="shared" si="7"/>
        <v>0.55299178876236399</v>
      </c>
    </row>
    <row r="80" spans="1:7">
      <c r="A80" s="3">
        <v>67</v>
      </c>
      <c r="B80" s="10">
        <f t="shared" si="5"/>
        <v>0.17966647387532117</v>
      </c>
      <c r="C80" s="65">
        <f t="shared" si="8"/>
        <v>0.93216392168646467</v>
      </c>
      <c r="E80" s="3">
        <v>16.75</v>
      </c>
      <c r="F80" s="10">
        <f t="shared" si="6"/>
        <v>0.9890089082267024</v>
      </c>
      <c r="G80" s="65">
        <f t="shared" si="7"/>
        <v>0.55631644544701986</v>
      </c>
    </row>
    <row r="81" spans="1:7">
      <c r="A81" s="3">
        <v>68</v>
      </c>
      <c r="B81" s="10">
        <f t="shared" si="5"/>
        <v>0.15796298429338287</v>
      </c>
      <c r="C81" s="65">
        <f t="shared" si="8"/>
        <v>0.93373141490710343</v>
      </c>
      <c r="E81" s="3">
        <v>17</v>
      </c>
      <c r="F81" s="10">
        <f t="shared" si="6"/>
        <v>0.98880995732790322</v>
      </c>
      <c r="G81" s="65">
        <f t="shared" si="7"/>
        <v>0.55963970699486909</v>
      </c>
    </row>
    <row r="82" spans="1:7">
      <c r="A82" s="3">
        <v>69</v>
      </c>
      <c r="B82" s="10">
        <f t="shared" si="5"/>
        <v>0.13754671951744962</v>
      </c>
      <c r="C82" s="65">
        <f t="shared" si="8"/>
        <v>0.93514493129958232</v>
      </c>
      <c r="E82" s="3">
        <v>17.25</v>
      </c>
      <c r="F82" s="10">
        <f t="shared" si="6"/>
        <v>0.98860741777252625</v>
      </c>
      <c r="G82" s="65">
        <f t="shared" si="7"/>
        <v>0.56296129217526858</v>
      </c>
    </row>
    <row r="83" spans="1:7">
      <c r="A83" s="3">
        <v>70</v>
      </c>
      <c r="B83" s="10">
        <f t="shared" si="5"/>
        <v>0.11853245022017408</v>
      </c>
      <c r="C83" s="65">
        <f t="shared" si="8"/>
        <v>0.93641162178838311</v>
      </c>
      <c r="E83" s="3">
        <v>17.5</v>
      </c>
      <c r="F83" s="10">
        <f t="shared" si="6"/>
        <v>0.98840122559247079</v>
      </c>
      <c r="G83" s="65">
        <f t="shared" si="7"/>
        <v>0.56628091928488689</v>
      </c>
    </row>
    <row r="84" spans="1:7">
      <c r="A84" s="3">
        <v>71</v>
      </c>
      <c r="B84" s="10">
        <f t="shared" si="5"/>
        <v>0.10101324289615916</v>
      </c>
      <c r="C84" s="65">
        <f t="shared" si="8"/>
        <v>0.9375387846065657</v>
      </c>
      <c r="E84" s="3">
        <v>17.75</v>
      </c>
      <c r="F84" s="10">
        <f t="shared" si="6"/>
        <v>0.98819131570751462</v>
      </c>
      <c r="G84" s="65">
        <f t="shared" si="7"/>
        <v>0.56959830623208785</v>
      </c>
    </row>
    <row r="85" spans="1:7">
      <c r="A85" s="3">
        <v>72</v>
      </c>
      <c r="B85" s="10">
        <f t="shared" si="5"/>
        <v>8.5056977211243959E-2</v>
      </c>
      <c r="C85" s="65">
        <f t="shared" si="8"/>
        <v>0.93853391754363313</v>
      </c>
      <c r="E85" s="3">
        <v>18</v>
      </c>
      <c r="F85" s="10">
        <f t="shared" si="6"/>
        <v>0.98797762190702065</v>
      </c>
      <c r="G85" s="65">
        <f t="shared" si="7"/>
        <v>0.57291317062206371</v>
      </c>
    </row>
    <row r="86" spans="1:7">
      <c r="A86" s="3">
        <v>73</v>
      </c>
      <c r="B86" s="10">
        <f t="shared" si="5"/>
        <v>7.0703587029800119E-2</v>
      </c>
      <c r="C86" s="65">
        <f t="shared" si="8"/>
        <v>0.93940476639619475</v>
      </c>
      <c r="E86" s="3">
        <v>18.25</v>
      </c>
      <c r="F86" s="10">
        <f t="shared" si="6"/>
        <v>0.98776007683138056</v>
      </c>
      <c r="G86" s="65">
        <f t="shared" si="7"/>
        <v>0.57622522984267399</v>
      </c>
    </row>
    <row r="87" spans="1:7">
      <c r="A87" s="3">
        <v>74</v>
      </c>
      <c r="B87" s="10">
        <f t="shared" si="5"/>
        <v>5.7963261340311559E-2</v>
      </c>
      <c r="C87" s="65">
        <f t="shared" si="8"/>
        <v>0.9401593639336806</v>
      </c>
      <c r="E87" s="3">
        <v>18.5</v>
      </c>
      <c r="F87" s="10">
        <f t="shared" si="6"/>
        <v>0.98753861195319648</v>
      </c>
      <c r="G87" s="65">
        <f t="shared" si="7"/>
        <v>0.57953420115094101</v>
      </c>
    </row>
    <row r="88" spans="1:7">
      <c r="A88" s="3">
        <v>75</v>
      </c>
      <c r="B88" s="10">
        <f t="shared" si="5"/>
        <v>4.6815808886738162E-2</v>
      </c>
      <c r="C88" s="65">
        <f t="shared" si="8"/>
        <v>0.94080605281759255</v>
      </c>
      <c r="E88" s="3">
        <v>18.75</v>
      </c>
      <c r="F88" s="10">
        <f t="shared" si="6"/>
        <v>0.98731315755819482</v>
      </c>
      <c r="G88" s="65">
        <f t="shared" si="7"/>
        <v>0.58283980176015859</v>
      </c>
    </row>
    <row r="89" spans="1:7">
      <c r="A89" s="3">
        <v>76</v>
      </c>
      <c r="B89" s="10">
        <f t="shared" si="5"/>
        <v>3.7211333072937454E-2</v>
      </c>
      <c r="C89" s="65">
        <f t="shared" si="8"/>
        <v>0.94135348552891096</v>
      </c>
      <c r="E89" s="3">
        <v>19</v>
      </c>
      <c r="F89" s="10">
        <f t="shared" si="6"/>
        <v>0.9870836427258729</v>
      </c>
      <c r="G89" s="65">
        <f t="shared" si="7"/>
        <v>0.58614174892756199</v>
      </c>
    </row>
    <row r="90" spans="1:7">
      <c r="A90" s="3">
        <v>77</v>
      </c>
      <c r="B90" s="10">
        <f t="shared" si="5"/>
        <v>2.9072282358993957E-2</v>
      </c>
      <c r="C90" s="65">
        <f t="shared" si="8"/>
        <v>0.94181059476933682</v>
      </c>
      <c r="E90" s="3">
        <v>19.25</v>
      </c>
      <c r="F90" s="10">
        <f t="shared" si="6"/>
        <v>0.98684999530987538</v>
      </c>
      <c r="G90" s="65">
        <f t="shared" si="7"/>
        <v>0.58943976004251164</v>
      </c>
    </row>
    <row r="91" spans="1:7">
      <c r="A91" s="3">
        <v>78</v>
      </c>
      <c r="B91" s="10">
        <f t="shared" si="5"/>
        <v>2.2296840122587949E-2</v>
      </c>
      <c r="C91" s="65">
        <f t="shared" si="8"/>
        <v>0.94218652929452829</v>
      </c>
      <c r="E91" s="3">
        <v>19.5</v>
      </c>
      <c r="F91" s="10">
        <f t="shared" si="6"/>
        <v>0.98661214191809721</v>
      </c>
      <c r="G91" s="65">
        <f t="shared" si="7"/>
        <v>0.59273355271514061</v>
      </c>
    </row>
    <row r="92" spans="1:7">
      <c r="A92" s="3">
        <v>79</v>
      </c>
      <c r="B92" s="10">
        <f t="shared" si="5"/>
        <v>1.6763504910102162E-2</v>
      </c>
      <c r="C92" s="65">
        <f t="shared" si="8"/>
        <v>0.94249055288776384</v>
      </c>
      <c r="E92" s="3">
        <v>19.75</v>
      </c>
      <c r="F92" s="10">
        <f t="shared" si="6"/>
        <v>0.98637000789251428</v>
      </c>
      <c r="G92" s="65">
        <f t="shared" si="7"/>
        <v>0.59602284486541279</v>
      </c>
    </row>
    <row r="93" spans="1:7">
      <c r="A93" s="3">
        <v>80</v>
      </c>
      <c r="B93" s="10">
        <f t="shared" si="5"/>
        <v>1.2336598911466103E-2</v>
      </c>
      <c r="C93" s="65">
        <f t="shared" si="8"/>
        <v>0.94273190814698071</v>
      </c>
      <c r="E93" s="3">
        <v>20</v>
      </c>
      <c r="F93" s="10">
        <f t="shared" si="6"/>
        <v>0.98612351728873682</v>
      </c>
      <c r="G93" s="65">
        <f t="shared" si="7"/>
        <v>0.59930735481254194</v>
      </c>
    </row>
    <row r="94" spans="1:7">
      <c r="A94" s="3">
        <v>81</v>
      </c>
      <c r="B94" s="10">
        <f t="shared" si="5"/>
        <v>8.8723437698459921E-3</v>
      </c>
      <c r="C94" s="65">
        <f t="shared" si="8"/>
        <v>0.94291965157869928</v>
      </c>
      <c r="E94" s="3">
        <v>20.25</v>
      </c>
      <c r="F94" s="10">
        <f t="shared" si="6"/>
        <v>0.98587259285528572</v>
      </c>
      <c r="G94" s="65">
        <f t="shared" si="7"/>
        <v>0.60258680136471698</v>
      </c>
    </row>
    <row r="95" spans="1:7">
      <c r="A95" s="3">
        <v>82</v>
      </c>
      <c r="B95" s="10">
        <f t="shared" si="5"/>
        <v>6.2250736641492081E-3</v>
      </c>
      <c r="C95" s="65">
        <f t="shared" si="8"/>
        <v>0.94306247146378774</v>
      </c>
      <c r="E95" s="3">
        <v>20.5</v>
      </c>
      <c r="F95" s="10">
        <f t="shared" si="6"/>
        <v>0.98561715601258837</v>
      </c>
      <c r="G95" s="65">
        <f t="shared" si="7"/>
        <v>0.60586090390908121</v>
      </c>
    </row>
    <row r="96" spans="1:7">
      <c r="A96" s="3">
        <v>83</v>
      </c>
      <c r="B96" s="10">
        <f t="shared" si="5"/>
        <v>4.2531293330374427E-3</v>
      </c>
      <c r="C96" s="65">
        <f t="shared" si="8"/>
        <v>0.94316850410584696</v>
      </c>
      <c r="E96" s="3">
        <v>20.75</v>
      </c>
      <c r="F96" s="10">
        <f t="shared" si="6"/>
        <v>0.98535712683169552</v>
      </c>
      <c r="G96" s="65">
        <f t="shared" si="7"/>
        <v>0.60912938250190962</v>
      </c>
    </row>
    <row r="97" spans="1:7">
      <c r="A97" s="3">
        <v>84</v>
      </c>
      <c r="B97" s="10">
        <f t="shared" si="5"/>
        <v>2.8240019401313192E-3</v>
      </c>
      <c r="C97" s="65">
        <f t="shared" si="8"/>
        <v>0.94324516634678712</v>
      </c>
      <c r="E97" s="3">
        <v>21</v>
      </c>
      <c r="F97" s="10">
        <f t="shared" si="6"/>
        <v>0.98509242401271302</v>
      </c>
      <c r="G97" s="65">
        <f t="shared" si="7"/>
        <v>0.61239195795893087</v>
      </c>
    </row>
    <row r="98" spans="1:7">
      <c r="A98" s="3">
        <v>85</v>
      </c>
      <c r="B98" s="10">
        <f t="shared" si="5"/>
        <v>1.8183736200528421E-3</v>
      </c>
      <c r="C98" s="65">
        <f t="shared" si="8"/>
        <v>0.94329902181367109</v>
      </c>
      <c r="E98" s="3">
        <v>21.25</v>
      </c>
      <c r="F98" s="10">
        <f t="shared" si="6"/>
        <v>0.98482296486295184</v>
      </c>
      <c r="G98" s="65">
        <f t="shared" si="7"/>
        <v>0.61564835194573631</v>
      </c>
    </row>
    <row r="99" spans="1:7">
      <c r="A99" s="3">
        <v>86</v>
      </c>
      <c r="B99" s="10">
        <f t="shared" si="5"/>
        <v>1.1328244492670276E-3</v>
      </c>
      <c r="C99" s="65">
        <f t="shared" si="8"/>
        <v>0.94333569494613845</v>
      </c>
      <c r="E99" s="3">
        <v>21.5</v>
      </c>
      <c r="F99" s="10">
        <f t="shared" si="6"/>
        <v>0.98454866527479168</v>
      </c>
      <c r="G99" s="65">
        <f t="shared" si="7"/>
        <v>0.61889828706822181</v>
      </c>
    </row>
    <row r="100" spans="1:7">
      <c r="A100" s="3">
        <v>87</v>
      </c>
      <c r="B100" s="10">
        <f t="shared" si="5"/>
        <v>6.8112695410023143E-4</v>
      </c>
      <c r="C100" s="65">
        <f t="shared" si="8"/>
        <v>0.94335984085194802</v>
      </c>
      <c r="E100" s="3">
        <v>21.75</v>
      </c>
      <c r="F100" s="10">
        <f t="shared" si="6"/>
        <v>0.9842694397032582</v>
      </c>
      <c r="G100" s="65">
        <f t="shared" si="7"/>
        <v>0.62214148696300353</v>
      </c>
    </row>
    <row r="101" spans="1:7">
      <c r="A101" s="3">
        <v>88</v>
      </c>
      <c r="B101" s="10">
        <f t="shared" si="5"/>
        <v>3.9420618057261385E-4</v>
      </c>
      <c r="C101" s="65">
        <f t="shared" si="8"/>
        <v>0.94337517154051798</v>
      </c>
      <c r="E101" s="3">
        <v>22</v>
      </c>
      <c r="F101" s="10">
        <f t="shared" si="6"/>
        <v>0.98398520114331323</v>
      </c>
      <c r="G101" s="65">
        <f t="shared" si="7"/>
        <v>0.62537767638775166</v>
      </c>
    </row>
    <row r="102" spans="1:7">
      <c r="A102" s="3">
        <v>89</v>
      </c>
      <c r="B102" s="10">
        <f t="shared" si="5"/>
        <v>2.1898075232450745E-4</v>
      </c>
      <c r="C102" s="65">
        <f t="shared" si="8"/>
        <v>0.94338453288969426</v>
      </c>
      <c r="E102" s="3">
        <v>22.25</v>
      </c>
      <c r="F102" s="10">
        <f t="shared" si="6"/>
        <v>0.98369586110685625</v>
      </c>
      <c r="G102" s="65">
        <f t="shared" si="7"/>
        <v>0.62860658131138358</v>
      </c>
    </row>
    <row r="103" spans="1:7">
      <c r="A103" s="3">
        <v>90</v>
      </c>
      <c r="C103" s="65">
        <f t="shared" si="8"/>
        <v>0.94339622641509424</v>
      </c>
      <c r="E103" s="3">
        <v>22.5</v>
      </c>
      <c r="F103" s="10">
        <f t="shared" si="6"/>
        <v>0.98340132959943638</v>
      </c>
      <c r="G103" s="65">
        <f t="shared" si="7"/>
        <v>0.63182792900405949</v>
      </c>
    </row>
    <row r="104" spans="1:7">
      <c r="E104" s="3">
        <v>22.75</v>
      </c>
      <c r="F104" s="10">
        <f t="shared" si="6"/>
        <v>0.98310151509667509</v>
      </c>
      <c r="G104" s="65">
        <f t="shared" si="7"/>
        <v>0.63504144812691932</v>
      </c>
    </row>
    <row r="105" spans="1:7">
      <c r="E105" s="3">
        <v>23</v>
      </c>
      <c r="F105" s="10">
        <f t="shared" si="6"/>
        <v>0.98279632452039722</v>
      </c>
      <c r="G105" s="65">
        <f t="shared" si="7"/>
        <v>0.63824686882150605</v>
      </c>
    </row>
    <row r="106" spans="1:7">
      <c r="E106" s="3">
        <v>23.25</v>
      </c>
      <c r="F106" s="10">
        <f t="shared" si="6"/>
        <v>0.98248566321447228</v>
      </c>
      <c r="G106" s="65">
        <f t="shared" si="7"/>
        <v>0.64144392279881268</v>
      </c>
    </row>
    <row r="107" spans="1:7">
      <c r="E107" s="3">
        <v>23.5</v>
      </c>
      <c r="F107" s="10">
        <f t="shared" si="6"/>
        <v>0.98216943492036457</v>
      </c>
      <c r="G107" s="65">
        <f t="shared" si="7"/>
        <v>0.64463234342789622</v>
      </c>
    </row>
    <row r="108" spans="1:7">
      <c r="E108" s="3">
        <v>23.75</v>
      </c>
      <c r="F108" s="10">
        <f t="shared" si="6"/>
        <v>0.98184754175239097</v>
      </c>
      <c r="G108" s="65">
        <f t="shared" si="7"/>
        <v>0.64781186582399897</v>
      </c>
    </row>
    <row r="109" spans="1:7">
      <c r="E109" s="3">
        <v>24</v>
      </c>
      <c r="F109" s="10">
        <f t="shared" si="6"/>
        <v>0.98151988417268887</v>
      </c>
      <c r="G109" s="65">
        <f t="shared" si="7"/>
        <v>0.65098222693611685</v>
      </c>
    </row>
    <row r="110" spans="1:7">
      <c r="E110" s="3">
        <v>24.25</v>
      </c>
      <c r="F110" s="10">
        <f t="shared" si="6"/>
        <v>0.98118636096589351</v>
      </c>
      <c r="G110" s="65">
        <f t="shared" si="7"/>
        <v>0.65414316563395702</v>
      </c>
    </row>
    <row r="111" spans="1:7">
      <c r="E111" s="3">
        <v>24.5</v>
      </c>
      <c r="F111" s="10">
        <f t="shared" si="6"/>
        <v>0.98084686921352371</v>
      </c>
      <c r="G111" s="65">
        <f t="shared" si="7"/>
        <v>0.65729442279422501</v>
      </c>
    </row>
    <row r="112" spans="1:7">
      <c r="E112" s="3">
        <v>24.75</v>
      </c>
      <c r="F112" s="10">
        <f t="shared" si="6"/>
        <v>0.98050130426807947</v>
      </c>
      <c r="G112" s="65">
        <f t="shared" si="7"/>
        <v>0.66043574138618177</v>
      </c>
    </row>
    <row r="113" spans="5:7">
      <c r="E113" s="3">
        <v>25</v>
      </c>
      <c r="F113" s="10">
        <f t="shared" si="6"/>
        <v>0.98014955972685125</v>
      </c>
      <c r="G113" s="65">
        <f t="shared" si="7"/>
        <v>0.66356686655641395</v>
      </c>
    </row>
    <row r="114" spans="5:7">
      <c r="E114" s="3">
        <v>25.25</v>
      </c>
      <c r="F114" s="10">
        <f t="shared" si="6"/>
        <v>0.97979152740543951</v>
      </c>
      <c r="G114" s="65">
        <f t="shared" si="7"/>
        <v>0.66668754571275646</v>
      </c>
    </row>
    <row r="115" spans="5:7">
      <c r="E115" s="3">
        <v>25.5</v>
      </c>
      <c r="F115" s="10">
        <f t="shared" si="6"/>
        <v>0.97942709731099198</v>
      </c>
      <c r="G115" s="65">
        <f t="shared" si="7"/>
        <v>0.66979752860731123</v>
      </c>
    </row>
    <row r="116" spans="5:7">
      <c r="E116" s="3">
        <v>25.75</v>
      </c>
      <c r="F116" s="10">
        <f t="shared" si="6"/>
        <v>0.97905615761515286</v>
      </c>
      <c r="G116" s="65">
        <f t="shared" si="7"/>
        <v>0.67289656741850346</v>
      </c>
    </row>
    <row r="117" spans="5:7">
      <c r="E117" s="3">
        <v>26</v>
      </c>
      <c r="F117" s="10">
        <f t="shared" si="6"/>
        <v>0.97867859462673257</v>
      </c>
      <c r="G117" s="65">
        <f t="shared" si="7"/>
        <v>0.67598441683211907</v>
      </c>
    </row>
    <row r="118" spans="5:7">
      <c r="E118" s="3">
        <v>26.25</v>
      </c>
      <c r="F118" s="10">
        <f t="shared" si="6"/>
        <v>0.9782942927640953</v>
      </c>
      <c r="G118" s="65">
        <f t="shared" si="7"/>
        <v>0.67906083412126561</v>
      </c>
    </row>
    <row r="119" spans="5:7">
      <c r="E119" s="3">
        <v>26.5</v>
      </c>
      <c r="F119" s="10">
        <f t="shared" si="6"/>
        <v>0.97790313452727007</v>
      </c>
      <c r="G119" s="65">
        <f t="shared" si="7"/>
        <v>0.68212557922520201</v>
      </c>
    </row>
    <row r="120" spans="5:7">
      <c r="E120" s="3">
        <v>26.75</v>
      </c>
      <c r="F120" s="10">
        <f t="shared" si="6"/>
        <v>0.97750500046978572</v>
      </c>
      <c r="G120" s="65">
        <f t="shared" si="7"/>
        <v>0.6851784148269805</v>
      </c>
    </row>
    <row r="121" spans="5:7">
      <c r="E121" s="3">
        <v>27</v>
      </c>
      <c r="F121" s="10">
        <f t="shared" si="6"/>
        <v>0.97709976917023544</v>
      </c>
      <c r="G121" s="65">
        <f t="shared" si="7"/>
        <v>0.68821910642984707</v>
      </c>
    </row>
    <row r="122" spans="5:7">
      <c r="E122" s="3">
        <v>27.25</v>
      </c>
      <c r="F122" s="10">
        <f t="shared" si="6"/>
        <v>0.9766873172035716</v>
      </c>
      <c r="G122" s="65">
        <f t="shared" si="7"/>
        <v>0.69124742243234671</v>
      </c>
    </row>
    <row r="123" spans="5:7">
      <c r="E123" s="3">
        <v>27.5</v>
      </c>
      <c r="F123" s="10">
        <f t="shared" si="6"/>
        <v>0.97626751911213638</v>
      </c>
      <c r="G123" s="65">
        <f t="shared" si="7"/>
        <v>0.69426313420208008</v>
      </c>
    </row>
    <row r="124" spans="5:7">
      <c r="E124" s="3">
        <v>27.75</v>
      </c>
      <c r="F124" s="10">
        <f t="shared" si="6"/>
        <v>0.97584024737643182</v>
      </c>
      <c r="G124" s="65">
        <f t="shared" si="7"/>
        <v>0.69726601614805972</v>
      </c>
    </row>
    <row r="125" spans="5:7">
      <c r="E125" s="3">
        <v>28</v>
      </c>
      <c r="F125" s="10">
        <f t="shared" si="6"/>
        <v>0.97540537238563418</v>
      </c>
      <c r="G125" s="65">
        <f t="shared" si="7"/>
        <v>0.70025584579161504</v>
      </c>
    </row>
    <row r="126" spans="5:7">
      <c r="E126" s="3">
        <v>28.25</v>
      </c>
      <c r="F126" s="10">
        <f t="shared" si="6"/>
        <v>0.97496276240785584</v>
      </c>
      <c r="G126" s="65">
        <f t="shared" si="7"/>
        <v>0.70323240383579655</v>
      </c>
    </row>
    <row r="127" spans="5:7">
      <c r="E127" s="3">
        <v>28.5</v>
      </c>
      <c r="F127" s="10">
        <f t="shared" si="6"/>
        <v>0.97451228356016328</v>
      </c>
      <c r="G127" s="65">
        <f t="shared" si="7"/>
        <v>0.70619547423322959</v>
      </c>
    </row>
    <row r="128" spans="5:7">
      <c r="E128" s="3">
        <v>28.75</v>
      </c>
      <c r="F128" s="10">
        <f t="shared" si="6"/>
        <v>0.97405379977835305</v>
      </c>
      <c r="G128" s="65">
        <f t="shared" si="7"/>
        <v>0.70914484425237134</v>
      </c>
    </row>
    <row r="129" spans="5:7">
      <c r="E129" s="3">
        <v>29</v>
      </c>
      <c r="F129" s="10">
        <f t="shared" si="6"/>
        <v>0.9735871727864942</v>
      </c>
      <c r="G129" s="65">
        <f t="shared" si="7"/>
        <v>0.71208030454212279</v>
      </c>
    </row>
    <row r="130" spans="5:7">
      <c r="E130" s="3">
        <v>29.25</v>
      </c>
      <c r="F130" s="10">
        <f t="shared" si="6"/>
        <v>0.97311226206624468</v>
      </c>
      <c r="G130" s="65">
        <f t="shared" si="7"/>
        <v>0.71500164919475284</v>
      </c>
    </row>
    <row r="131" spans="5:7">
      <c r="E131" s="3">
        <v>29.5</v>
      </c>
      <c r="F131" s="10">
        <f t="shared" si="6"/>
        <v>0.97262892482594443</v>
      </c>
      <c r="G131" s="65">
        <f t="shared" si="7"/>
        <v>0.71790867580708939</v>
      </c>
    </row>
    <row r="132" spans="5:7">
      <c r="E132" s="3">
        <v>29.75</v>
      </c>
      <c r="F132" s="10">
        <f t="shared" si="6"/>
        <v>0.97213701596949842</v>
      </c>
      <c r="G132" s="65">
        <f t="shared" si="7"/>
        <v>0.72080118553993489</v>
      </c>
    </row>
    <row r="133" spans="5:7">
      <c r="E133" s="3">
        <v>30</v>
      </c>
      <c r="F133" s="10">
        <f t="shared" si="6"/>
        <v>0.97163638806505437</v>
      </c>
      <c r="G133" s="65">
        <f t="shared" si="7"/>
        <v>0.72367898317566681</v>
      </c>
    </row>
    <row r="134" spans="5:7">
      <c r="E134" s="3">
        <v>30.25</v>
      </c>
      <c r="F134" s="10">
        <f t="shared" si="6"/>
        <v>0.97112689131348295</v>
      </c>
      <c r="G134" s="65">
        <f t="shared" si="7"/>
        <v>0.72654187717398255</v>
      </c>
    </row>
    <row r="135" spans="5:7">
      <c r="E135" s="3">
        <v>30.5</v>
      </c>
      <c r="F135" s="10">
        <f t="shared" si="6"/>
        <v>0.97060837351667295</v>
      </c>
      <c r="G135" s="65">
        <f t="shared" si="7"/>
        <v>0.72938967972575097</v>
      </c>
    </row>
    <row r="136" spans="5:7">
      <c r="E136" s="3">
        <v>30.75</v>
      </c>
      <c r="F136" s="10">
        <f t="shared" si="6"/>
        <v>0.97008068004564874</v>
      </c>
      <c r="G136" s="65">
        <f t="shared" si="7"/>
        <v>0.73222220680493533</v>
      </c>
    </row>
    <row r="137" spans="5:7">
      <c r="E137" s="3">
        <v>31</v>
      </c>
      <c r="F137" s="10">
        <f t="shared" si="6"/>
        <v>0.96954365380852026</v>
      </c>
      <c r="G137" s="65">
        <f t="shared" si="7"/>
        <v>0.73503927821855219</v>
      </c>
    </row>
    <row r="138" spans="5:7">
      <c r="E138" s="3">
        <v>31.25</v>
      </c>
      <c r="F138" s="10">
        <f t="shared" si="6"/>
        <v>0.96899713521827835</v>
      </c>
      <c r="G138" s="65">
        <f t="shared" si="7"/>
        <v>0.73784071765463322</v>
      </c>
    </row>
    <row r="139" spans="5:7">
      <c r="E139" s="3">
        <v>31.5</v>
      </c>
      <c r="F139" s="10">
        <f t="shared" si="6"/>
        <v>0.96844096216044606</v>
      </c>
      <c r="G139" s="65">
        <f t="shared" si="7"/>
        <v>0.74062635272815958</v>
      </c>
    </row>
    <row r="140" spans="5:7">
      <c r="E140" s="3">
        <v>31.75</v>
      </c>
      <c r="F140" s="10">
        <f t="shared" si="6"/>
        <v>0.96787496996059674</v>
      </c>
      <c r="G140" s="65">
        <f t="shared" si="7"/>
        <v>0.74339601502493957</v>
      </c>
    </row>
    <row r="141" spans="5:7">
      <c r="E141" s="3">
        <v>32</v>
      </c>
      <c r="F141" s="10">
        <f t="shared" ref="F141:F204" si="9">(B$8^0.25)*(B$7^((B$5^(50+E141))*((B$5^0.25)-1)))</f>
        <v>0.96729899135175568</v>
      </c>
      <c r="G141" s="65">
        <f t="shared" si="7"/>
        <v>0.74614954014340029</v>
      </c>
    </row>
    <row r="142" spans="5:7">
      <c r="E142" s="3">
        <v>32.25</v>
      </c>
      <c r="F142" s="10">
        <f t="shared" si="9"/>
        <v>0.96671285644169513</v>
      </c>
      <c r="G142" s="65">
        <f t="shared" ref="G142:G205" si="10">(1-F142+F142*G143)/((1+$B$6)^0.25)</f>
        <v>0.74888676773427021</v>
      </c>
    </row>
    <row r="143" spans="5:7">
      <c r="E143" s="3">
        <v>32.5</v>
      </c>
      <c r="F143" s="10">
        <f t="shared" si="9"/>
        <v>0.96611639268013982</v>
      </c>
      <c r="G143" s="65">
        <f t="shared" si="10"/>
        <v>0.7516075415381267</v>
      </c>
    </row>
    <row r="144" spans="5:7">
      <c r="E144" s="3">
        <v>32.75</v>
      </c>
      <c r="F144" s="10">
        <f t="shared" si="9"/>
        <v>0.96550942482589641</v>
      </c>
      <c r="G144" s="65">
        <f t="shared" si="10"/>
        <v>0.75431170942078762</v>
      </c>
    </row>
    <row r="145" spans="5:7">
      <c r="E145" s="3">
        <v>33</v>
      </c>
      <c r="F145" s="10">
        <f t="shared" si="9"/>
        <v>0.96489177491392519</v>
      </c>
      <c r="G145" s="65">
        <f t="shared" si="10"/>
        <v>0.75699912340652642</v>
      </c>
    </row>
    <row r="146" spans="5:7">
      <c r="E146" s="3">
        <v>33.25</v>
      </c>
      <c r="F146" s="10">
        <f t="shared" si="9"/>
        <v>0.9642632622223698</v>
      </c>
      <c r="G146" s="65">
        <f t="shared" si="10"/>
        <v>0.75966963970909318</v>
      </c>
    </row>
    <row r="147" spans="5:7">
      <c r="E147" s="3">
        <v>33.5</v>
      </c>
      <c r="F147" s="10">
        <f t="shared" si="9"/>
        <v>0.96362370323956081</v>
      </c>
      <c r="G147" s="65">
        <f t="shared" si="10"/>
        <v>0.76232311876052516</v>
      </c>
    </row>
    <row r="148" spans="5:7">
      <c r="E148" s="3">
        <v>33.75</v>
      </c>
      <c r="F148" s="10">
        <f t="shared" si="9"/>
        <v>0.96297291163101628</v>
      </c>
      <c r="G148" s="65">
        <f t="shared" si="10"/>
        <v>0.7649594252377333</v>
      </c>
    </row>
    <row r="149" spans="5:7">
      <c r="E149" s="3">
        <v>34</v>
      </c>
      <c r="F149" s="10">
        <f t="shared" si="9"/>
        <v>0.9623106982064551</v>
      </c>
      <c r="G149" s="65">
        <f t="shared" si="10"/>
        <v>0.76757842808685162</v>
      </c>
    </row>
    <row r="150" spans="5:7">
      <c r="E150" s="3">
        <v>34.25</v>
      </c>
      <c r="F150" s="10">
        <f t="shared" si="9"/>
        <v>0.9616368708868458</v>
      </c>
      <c r="G150" s="65">
        <f t="shared" si="10"/>
        <v>0.77018000054534042</v>
      </c>
    </row>
    <row r="151" spans="5:7">
      <c r="E151" s="3">
        <v>34.5</v>
      </c>
      <c r="F151" s="10">
        <f t="shared" si="9"/>
        <v>0.96095123467151145</v>
      </c>
      <c r="G151" s="65">
        <f t="shared" si="10"/>
        <v>0.7727640201618351</v>
      </c>
    </row>
    <row r="152" spans="5:7">
      <c r="E152" s="3">
        <v>34.75</v>
      </c>
      <c r="F152" s="10">
        <f t="shared" si="9"/>
        <v>0.96025359160531443</v>
      </c>
      <c r="G152" s="65">
        <f t="shared" si="10"/>
        <v>0.77533036881373396</v>
      </c>
    </row>
    <row r="153" spans="5:7">
      <c r="E153" s="3">
        <v>35</v>
      </c>
      <c r="F153" s="10">
        <f t="shared" si="9"/>
        <v>0.95954374074594329</v>
      </c>
      <c r="G153" s="65">
        <f t="shared" si="10"/>
        <v>0.77787893272252251</v>
      </c>
    </row>
    <row r="154" spans="5:7">
      <c r="E154" s="3">
        <v>35.25</v>
      </c>
      <c r="F154" s="10">
        <f t="shared" si="9"/>
        <v>0.95882147813132812</v>
      </c>
      <c r="G154" s="65">
        <f t="shared" si="10"/>
        <v>0.78040960246683033</v>
      </c>
    </row>
    <row r="155" spans="5:7">
      <c r="E155" s="3">
        <v>35.5</v>
      </c>
      <c r="F155" s="10">
        <f t="shared" si="9"/>
        <v>0.95808659674720964</v>
      </c>
      <c r="G155" s="65">
        <f t="shared" si="10"/>
        <v>0.78292227299322303</v>
      </c>
    </row>
    <row r="156" spans="5:7">
      <c r="E156" s="3">
        <v>35.75</v>
      </c>
      <c r="F156" s="10">
        <f t="shared" si="9"/>
        <v>0.95733888649488907</v>
      </c>
      <c r="G156" s="65">
        <f t="shared" si="10"/>
        <v>0.7854168436247293</v>
      </c>
    </row>
    <row r="157" spans="5:7">
      <c r="E157" s="3">
        <v>36</v>
      </c>
      <c r="F157" s="10">
        <f t="shared" si="9"/>
        <v>0.95657813415918791</v>
      </c>
      <c r="G157" s="65">
        <f t="shared" si="10"/>
        <v>0.78789321806710966</v>
      </c>
    </row>
    <row r="158" spans="5:7">
      <c r="E158" s="3">
        <v>36.25</v>
      </c>
      <c r="F158" s="10">
        <f t="shared" si="9"/>
        <v>0.95580412337664655</v>
      </c>
      <c r="G158" s="65">
        <f t="shared" si="10"/>
        <v>0.79035130441287083</v>
      </c>
    </row>
    <row r="159" spans="5:7">
      <c r="E159" s="3">
        <v>36.5</v>
      </c>
      <c r="F159" s="10">
        <f t="shared" si="9"/>
        <v>0.95501663460399333</v>
      </c>
      <c r="G159" s="65">
        <f t="shared" si="10"/>
        <v>0.79279101514303585</v>
      </c>
    </row>
    <row r="160" spans="5:7">
      <c r="E160" s="3">
        <v>36.75</v>
      </c>
      <c r="F160" s="10">
        <f t="shared" si="9"/>
        <v>0.95421544508691591</v>
      </c>
      <c r="G160" s="65">
        <f t="shared" si="10"/>
        <v>0.79521226712667958</v>
      </c>
    </row>
    <row r="161" spans="5:7">
      <c r="E161" s="3">
        <v>37</v>
      </c>
      <c r="F161" s="10">
        <f t="shared" si="9"/>
        <v>0.95340032882916936</v>
      </c>
      <c r="G161" s="65">
        <f t="shared" si="10"/>
        <v>0.79761498161824218</v>
      </c>
    </row>
    <row r="162" spans="5:7">
      <c r="E162" s="3">
        <v>37.25</v>
      </c>
      <c r="F162" s="10">
        <f t="shared" si="9"/>
        <v>0.95257105656205576</v>
      </c>
      <c r="G162" s="65">
        <f t="shared" si="10"/>
        <v>0.799999084252634</v>
      </c>
    </row>
    <row r="163" spans="5:7">
      <c r="E163" s="3">
        <v>37.5</v>
      </c>
      <c r="F163" s="10">
        <f t="shared" si="9"/>
        <v>0.95172739571431098</v>
      </c>
      <c r="G163" s="65">
        <f t="shared" si="10"/>
        <v>0.80236450503814982</v>
      </c>
    </row>
    <row r="164" spans="5:7">
      <c r="E164" s="3">
        <v>37.75</v>
      </c>
      <c r="F164" s="10">
        <f t="shared" si="9"/>
        <v>0.9508691103824396</v>
      </c>
      <c r="G164" s="65">
        <f t="shared" si="10"/>
        <v>0.8047111783472084</v>
      </c>
    </row>
    <row r="165" spans="5:7">
      <c r="E165" s="3">
        <v>38</v>
      </c>
      <c r="F165" s="10">
        <f t="shared" si="9"/>
        <v>0.94999596130153463</v>
      </c>
      <c r="G165" s="65">
        <f t="shared" si="10"/>
        <v>0.80703904290493966</v>
      </c>
    </row>
    <row r="166" spans="5:7">
      <c r="E166" s="3">
        <v>38.25</v>
      </c>
      <c r="F166" s="10">
        <f t="shared" si="9"/>
        <v>0.94910770581662585</v>
      </c>
      <c r="G166" s="65">
        <f t="shared" si="10"/>
        <v>0.80934804177563968</v>
      </c>
    </row>
    <row r="167" spans="5:7">
      <c r="E167" s="3">
        <v>38.5</v>
      </c>
      <c r="F167" s="10">
        <f t="shared" si="9"/>
        <v>0.94820409785459736</v>
      </c>
      <c r="G167" s="65">
        <f t="shared" si="10"/>
        <v>0.81163812234711785</v>
      </c>
    </row>
    <row r="168" spans="5:7">
      <c r="E168" s="3">
        <v>38.75</v>
      </c>
      <c r="F168" s="10">
        <f t="shared" si="9"/>
        <v>0.94728488789672294</v>
      </c>
      <c r="G168" s="65">
        <f t="shared" si="10"/>
        <v>0.81390923631296197</v>
      </c>
    </row>
    <row r="169" spans="5:7">
      <c r="E169" s="3">
        <v>39</v>
      </c>
      <c r="F169" s="10">
        <f t="shared" si="9"/>
        <v>0.94634982295186143</v>
      </c>
      <c r="G169" s="65">
        <f t="shared" si="10"/>
        <v>0.81616133965274773</v>
      </c>
    </row>
    <row r="170" spans="5:7">
      <c r="E170" s="3">
        <v>39.25</v>
      </c>
      <c r="F170" s="10">
        <f t="shared" si="9"/>
        <v>0.94539864653036387</v>
      </c>
      <c r="G170" s="65">
        <f t="shared" si="10"/>
        <v>0.81839439261022273</v>
      </c>
    </row>
    <row r="171" spans="5:7">
      <c r="E171" s="3">
        <v>39.5</v>
      </c>
      <c r="F171" s="10">
        <f t="shared" si="9"/>
        <v>0.94443109861874097</v>
      </c>
      <c r="G171" s="65">
        <f t="shared" si="10"/>
        <v>0.82060835966949475</v>
      </c>
    </row>
    <row r="172" spans="5:7">
      <c r="E172" s="3">
        <v>39.75</v>
      </c>
      <c r="F172" s="10">
        <f t="shared" si="9"/>
        <v>0.94344691565514394</v>
      </c>
      <c r="G172" s="65">
        <f t="shared" si="10"/>
        <v>0.82280320952925634</v>
      </c>
    </row>
    <row r="173" spans="5:7">
      <c r="E173" s="3">
        <v>40</v>
      </c>
      <c r="F173" s="10">
        <f t="shared" si="9"/>
        <v>0.94244583050571251</v>
      </c>
      <c r="G173" s="65">
        <f t="shared" si="10"/>
        <v>0.82497891507508059</v>
      </c>
    </row>
    <row r="174" spans="5:7">
      <c r="E174" s="3">
        <v>40.25</v>
      </c>
      <c r="F174" s="10">
        <f t="shared" si="9"/>
        <v>0.94142757244184705</v>
      </c>
      <c r="G174" s="65">
        <f t="shared" si="10"/>
        <v>0.8271354533498223</v>
      </c>
    </row>
    <row r="175" spans="5:7">
      <c r="E175" s="3">
        <v>40.5</v>
      </c>
      <c r="F175" s="10">
        <f t="shared" si="9"/>
        <v>0.94039186711846157</v>
      </c>
      <c r="G175" s="65">
        <f t="shared" si="10"/>
        <v>0.82927280552216198</v>
      </c>
    </row>
    <row r="176" spans="5:7">
      <c r="E176" s="3">
        <v>40.75</v>
      </c>
      <c r="F176" s="10">
        <f t="shared" si="9"/>
        <v>0.93933843655327987</v>
      </c>
      <c r="G176" s="65">
        <f t="shared" si="10"/>
        <v>0.83139095685333098</v>
      </c>
    </row>
    <row r="177" spans="5:7">
      <c r="E177" s="3">
        <v>41</v>
      </c>
      <c r="F177" s="10">
        <f t="shared" si="9"/>
        <v>0.93826699910723799</v>
      </c>
      <c r="G177" s="65">
        <f t="shared" si="10"/>
        <v>0.83348989666205664</v>
      </c>
    </row>
    <row r="178" spans="5:7">
      <c r="E178" s="3">
        <v>41.25</v>
      </c>
      <c r="F178" s="10">
        <f t="shared" si="9"/>
        <v>0.9371772694660554</v>
      </c>
      <c r="G178" s="65">
        <f t="shared" si="10"/>
        <v>0.83556961828776899</v>
      </c>
    </row>
    <row r="179" spans="5:7">
      <c r="E179" s="3">
        <v>41.5</v>
      </c>
      <c r="F179" s="10">
        <f t="shared" si="9"/>
        <v>0.93606895862304407</v>
      </c>
      <c r="G179" s="65">
        <f t="shared" si="10"/>
        <v>0.83763011905211116</v>
      </c>
    </row>
    <row r="180" spans="5:7">
      <c r="E180" s="3">
        <v>41.75</v>
      </c>
      <c r="F180" s="10">
        <f t="shared" si="9"/>
        <v>0.93494177386322552</v>
      </c>
      <c r="G180" s="65">
        <f t="shared" si="10"/>
        <v>0.83967140021879605</v>
      </c>
    </row>
    <row r="181" spans="5:7">
      <c r="E181" s="3">
        <v>42</v>
      </c>
      <c r="F181" s="10">
        <f t="shared" si="9"/>
        <v>0.93379541874882788</v>
      </c>
      <c r="G181" s="65">
        <f t="shared" si="10"/>
        <v>0.84169346695185432</v>
      </c>
    </row>
    <row r="182" spans="5:7">
      <c r="E182" s="3">
        <v>42.25</v>
      </c>
      <c r="F182" s="10">
        <f t="shared" si="9"/>
        <v>0.93262959310623628</v>
      </c>
      <c r="G182" s="65">
        <f t="shared" si="10"/>
        <v>0.84369632827231955</v>
      </c>
    </row>
    <row r="183" spans="5:7">
      <c r="E183" s="3">
        <v>42.5</v>
      </c>
      <c r="F183" s="10">
        <f t="shared" si="9"/>
        <v>0.93144399301447489</v>
      </c>
      <c r="G183" s="65">
        <f t="shared" si="10"/>
        <v>0.84567999701339591</v>
      </c>
    </row>
    <row r="184" spans="5:7">
      <c r="E184" s="3">
        <v>42.75</v>
      </c>
      <c r="F184" s="10">
        <f t="shared" si="9"/>
        <v>0.93023831079530117</v>
      </c>
      <c r="G184" s="65">
        <f t="shared" si="10"/>
        <v>0.84764448977415663</v>
      </c>
    </row>
    <row r="185" spans="5:7">
      <c r="E185" s="3">
        <v>43</v>
      </c>
      <c r="F185" s="10">
        <f t="shared" si="9"/>
        <v>0.92901223500499441</v>
      </c>
      <c r="G185" s="65">
        <f t="shared" si="10"/>
        <v>0.84958982687182139</v>
      </c>
    </row>
    <row r="186" spans="5:7">
      <c r="E186" s="3">
        <v>43.25</v>
      </c>
      <c r="F186" s="10">
        <f t="shared" si="9"/>
        <v>0.92776545042792291</v>
      </c>
      <c r="G186" s="65">
        <f t="shared" si="10"/>
        <v>0.85151603229266193</v>
      </c>
    </row>
    <row r="187" spans="5:7">
      <c r="E187" s="3">
        <v>43.5</v>
      </c>
      <c r="F187" s="10">
        <f t="shared" si="9"/>
        <v>0.92649763807197905</v>
      </c>
      <c r="G187" s="65">
        <f t="shared" si="10"/>
        <v>0.85342313364158495</v>
      </c>
    </row>
    <row r="188" spans="5:7">
      <c r="E188" s="3">
        <v>43.75</v>
      </c>
      <c r="F188" s="10">
        <f t="shared" si="9"/>
        <v>0.92520847516597404</v>
      </c>
      <c r="G188" s="65">
        <f t="shared" si="10"/>
        <v>0.85531116209044378</v>
      </c>
    </row>
    <row r="189" spans="5:7">
      <c r="E189" s="3">
        <v>44</v>
      </c>
      <c r="F189" s="10">
        <f t="shared" si="9"/>
        <v>0.92389763515908452</v>
      </c>
      <c r="G189" s="65">
        <f t="shared" si="10"/>
        <v>0.85718015232512934</v>
      </c>
    </row>
    <row r="190" spans="5:7">
      <c r="E190" s="3">
        <v>44.25</v>
      </c>
      <c r="F190" s="10">
        <f t="shared" si="9"/>
        <v>0.92256478772244932</v>
      </c>
      <c r="G190" s="65">
        <f t="shared" si="10"/>
        <v>0.8590301424914919</v>
      </c>
    </row>
    <row r="191" spans="5:7">
      <c r="E191" s="3">
        <v>44.5</v>
      </c>
      <c r="F191" s="10">
        <f t="shared" si="9"/>
        <v>0.92120959875301556</v>
      </c>
      <c r="G191" s="65">
        <f t="shared" si="10"/>
        <v>0.86086117414014662</v>
      </c>
    </row>
    <row r="192" spans="5:7">
      <c r="E192" s="3">
        <v>44.75</v>
      </c>
      <c r="F192" s="10">
        <f t="shared" si="9"/>
        <v>0.91983173037973887</v>
      </c>
      <c r="G192" s="65">
        <f t="shared" si="10"/>
        <v>0.86267329217021438</v>
      </c>
    </row>
    <row r="193" spans="5:7">
      <c r="E193" s="3">
        <v>45</v>
      </c>
      <c r="F193" s="10">
        <f t="shared" si="9"/>
        <v>0.91843084097224181</v>
      </c>
      <c r="G193" s="65">
        <f t="shared" si="10"/>
        <v>0.86446654477205109</v>
      </c>
    </row>
    <row r="194" spans="5:7">
      <c r="E194" s="3">
        <v>45.25</v>
      </c>
      <c r="F194" s="10">
        <f t="shared" si="9"/>
        <v>0.91700658515204192</v>
      </c>
      <c r="G194" s="65">
        <f t="shared" si="10"/>
        <v>0.86624098336901956</v>
      </c>
    </row>
    <row r="195" spans="5:7">
      <c r="E195" s="3">
        <v>45.5</v>
      </c>
      <c r="F195" s="10">
        <f t="shared" si="9"/>
        <v>0.91555861380646097</v>
      </c>
      <c r="G195" s="65">
        <f t="shared" si="10"/>
        <v>0.86799666255835528</v>
      </c>
    </row>
    <row r="196" spans="5:7">
      <c r="E196" s="3">
        <v>45.75</v>
      </c>
      <c r="F196" s="10">
        <f t="shared" si="9"/>
        <v>0.91408657410533289</v>
      </c>
      <c r="G196" s="65">
        <f t="shared" si="10"/>
        <v>0.86973364005118148</v>
      </c>
    </row>
    <row r="197" spans="5:7">
      <c r="E197" s="3">
        <v>46</v>
      </c>
      <c r="F197" s="10">
        <f t="shared" si="9"/>
        <v>0.91259010952062924</v>
      </c>
      <c r="G197" s="65">
        <f t="shared" si="10"/>
        <v>0.87145197661172624</v>
      </c>
    </row>
    <row r="198" spans="5:7">
      <c r="E198" s="3">
        <v>46.25</v>
      </c>
      <c r="F198" s="10">
        <f t="shared" si="9"/>
        <v>0.91106885984912533</v>
      </c>
      <c r="G198" s="65">
        <f t="shared" si="10"/>
        <v>0.87315173599579488</v>
      </c>
    </row>
    <row r="199" spans="5:7">
      <c r="E199" s="3">
        <v>46.5</v>
      </c>
      <c r="F199" s="10">
        <f t="shared" si="9"/>
        <v>0.90952246123823199</v>
      </c>
      <c r="G199" s="65">
        <f t="shared" si="10"/>
        <v>0.87483298488855221</v>
      </c>
    </row>
    <row r="200" spans="5:7">
      <c r="E200" s="3">
        <v>46.75</v>
      </c>
      <c r="F200" s="10">
        <f t="shared" si="9"/>
        <v>0.90795054621512805</v>
      </c>
      <c r="G200" s="65">
        <f t="shared" si="10"/>
        <v>0.87649579284166634</v>
      </c>
    </row>
    <row r="201" spans="5:7">
      <c r="E201" s="3">
        <v>47</v>
      </c>
      <c r="F201" s="10">
        <f t="shared" si="9"/>
        <v>0.90635274371932006</v>
      </c>
      <c r="G201" s="65">
        <f t="shared" si="10"/>
        <v>0.87814023220986914</v>
      </c>
    </row>
    <row r="202" spans="5:7">
      <c r="E202" s="3">
        <v>47.25</v>
      </c>
      <c r="F202" s="10">
        <f t="shared" si="9"/>
        <v>0.90472867913877375</v>
      </c>
      <c r="G202" s="65">
        <f t="shared" si="10"/>
        <v>0.87976637808698499</v>
      </c>
    </row>
    <row r="203" spans="5:7">
      <c r="E203" s="3">
        <v>47.5</v>
      </c>
      <c r="F203" s="10">
        <f t="shared" si="9"/>
        <v>0.90307797434975123</v>
      </c>
      <c r="G203" s="65">
        <f t="shared" si="10"/>
        <v>0.88137430824148122</v>
      </c>
    </row>
    <row r="204" spans="5:7">
      <c r="E204" s="3">
        <v>47.75</v>
      </c>
      <c r="F204" s="10">
        <f t="shared" si="9"/>
        <v>0.90140024776050554</v>
      </c>
      <c r="G204" s="65">
        <f t="shared" si="10"/>
        <v>0.88296410305159179</v>
      </c>
    </row>
    <row r="205" spans="5:7">
      <c r="E205" s="3">
        <v>48</v>
      </c>
      <c r="F205" s="10">
        <f t="shared" ref="F205:F268" si="11">(B$8^0.25)*(B$7^((B$5^(50+E205))*((B$5^0.25)-1)))</f>
        <v>0.89969511435897453</v>
      </c>
      <c r="G205" s="65">
        <f t="shared" si="10"/>
        <v>0.88453584544006703</v>
      </c>
    </row>
    <row r="206" spans="5:7">
      <c r="E206" s="3">
        <v>48.25</v>
      </c>
      <c r="F206" s="10">
        <f t="shared" si="11"/>
        <v>0.89796218576463238</v>
      </c>
      <c r="G206" s="65">
        <f t="shared" ref="G206:G269" si="12">(1-F206+F206*G207)/((1+$B$6)^0.25)</f>
        <v>0.88608962080860032</v>
      </c>
    </row>
    <row r="207" spans="5:7">
      <c r="E207" s="3">
        <v>48.5</v>
      </c>
      <c r="F207" s="10">
        <f t="shared" si="11"/>
        <v>0.89620107028464779</v>
      </c>
      <c r="G207" s="65">
        <f t="shared" si="12"/>
        <v>0.88762551697198322</v>
      </c>
    </row>
    <row r="208" spans="5:7">
      <c r="E208" s="3">
        <v>48.75</v>
      </c>
      <c r="F208" s="10">
        <f t="shared" si="11"/>
        <v>0.89441137297451623</v>
      </c>
      <c r="G208" s="65">
        <f t="shared" si="12"/>
        <v>0.88914362409203751</v>
      </c>
    </row>
    <row r="209" spans="5:7">
      <c r="E209" s="3">
        <v>49</v>
      </c>
      <c r="F209" s="10">
        <f t="shared" si="11"/>
        <v>0.89259269570332211</v>
      </c>
      <c r="G209" s="65">
        <f t="shared" si="12"/>
        <v>0.89064403461137731</v>
      </c>
    </row>
    <row r="210" spans="5:7">
      <c r="E210" s="3">
        <v>49.25</v>
      </c>
      <c r="F210" s="10">
        <f t="shared" si="11"/>
        <v>0.89074463722380703</v>
      </c>
      <c r="G210" s="65">
        <f t="shared" si="12"/>
        <v>0.8921268431870466</v>
      </c>
    </row>
    <row r="211" spans="5:7">
      <c r="E211" s="3">
        <v>49.5</v>
      </c>
      <c r="F211" s="10">
        <f t="shared" si="11"/>
        <v>0.88886679324740359</v>
      </c>
      <c r="G211" s="65">
        <f t="shared" si="12"/>
        <v>0.89359214662408326</v>
      </c>
    </row>
    <row r="212" spans="5:7">
      <c r="E212" s="3">
        <v>49.75</v>
      </c>
      <c r="F212" s="10">
        <f t="shared" si="11"/>
        <v>0.88695875652442335</v>
      </c>
      <c r="G212" s="65">
        <f t="shared" si="12"/>
        <v>0.89504004380905533</v>
      </c>
    </row>
    <row r="213" spans="5:7">
      <c r="E213" s="3">
        <v>50</v>
      </c>
      <c r="F213" s="10">
        <f t="shared" si="11"/>
        <v>0.88502011692956595</v>
      </c>
      <c r="G213" s="55">
        <f t="shared" si="12"/>
        <v>0.89647063564361795</v>
      </c>
    </row>
    <row r="214" spans="5:7">
      <c r="E214" s="3">
        <v>50.25</v>
      </c>
      <c r="F214" s="10">
        <f t="shared" si="11"/>
        <v>0.88305046155294054</v>
      </c>
      <c r="G214" s="65">
        <f t="shared" si="12"/>
        <v>0.89788402497813535</v>
      </c>
    </row>
    <row r="215" spans="5:7">
      <c r="E215" s="3">
        <v>50.5</v>
      </c>
      <c r="F215" s="10">
        <f t="shared" si="11"/>
        <v>0.88104937479677825</v>
      </c>
      <c r="G215" s="65">
        <f t="shared" si="12"/>
        <v>0.89928031654541329</v>
      </c>
    </row>
    <row r="216" spans="5:7">
      <c r="E216" s="3">
        <v>50.75</v>
      </c>
      <c r="F216" s="10">
        <f t="shared" si="11"/>
        <v>0.87901643847803401</v>
      </c>
      <c r="G216" s="65">
        <f t="shared" si="12"/>
        <v>0.90065961689458762</v>
      </c>
    </row>
    <row r="217" spans="5:7">
      <c r="E217" s="3">
        <v>51</v>
      </c>
      <c r="F217" s="10">
        <f t="shared" si="11"/>
        <v>0.87695123193706437</v>
      </c>
      <c r="G217" s="65">
        <f t="shared" si="12"/>
        <v>0.90202203432520922</v>
      </c>
    </row>
    <row r="218" spans="5:7">
      <c r="E218" s="3">
        <v>51.25</v>
      </c>
      <c r="F218" s="10">
        <f t="shared" si="11"/>
        <v>0.87485333215258299</v>
      </c>
      <c r="G218" s="65">
        <f t="shared" si="12"/>
        <v>0.90336767882157087</v>
      </c>
    </row>
    <row r="219" spans="5:7">
      <c r="E219" s="3">
        <v>51.5</v>
      </c>
      <c r="F219" s="10">
        <f t="shared" si="11"/>
        <v>0.87272231386309129</v>
      </c>
      <c r="G219" s="65">
        <f t="shared" si="12"/>
        <v>0.90469666198731369</v>
      </c>
    </row>
    <row r="220" spans="5:7">
      <c r="E220" s="3">
        <v>51.75</v>
      </c>
      <c r="F220" s="10">
        <f t="shared" si="11"/>
        <v>0.87055774969499311</v>
      </c>
      <c r="G220" s="65">
        <f t="shared" si="12"/>
        <v>0.90600909698035625</v>
      </c>
    </row>
    <row r="221" spans="5:7">
      <c r="E221" s="3">
        <v>52</v>
      </c>
      <c r="F221" s="10">
        <f t="shared" si="11"/>
        <v>0.86835921029759588</v>
      </c>
      <c r="G221" s="65">
        <f t="shared" si="12"/>
        <v>0.90730509844818374</v>
      </c>
    </row>
    <row r="222" spans="5:7">
      <c r="E222" s="3">
        <v>52.25</v>
      </c>
      <c r="F222" s="10">
        <f t="shared" si="11"/>
        <v>0.86612626448521457</v>
      </c>
      <c r="G222" s="65">
        <f t="shared" si="12"/>
        <v>0.90858478246353547</v>
      </c>
    </row>
    <row r="223" spans="5:7">
      <c r="E223" s="3">
        <v>52.5</v>
      </c>
      <c r="F223" s="10">
        <f t="shared" si="11"/>
        <v>0.86385847938658611</v>
      </c>
      <c r="G223" s="65">
        <f t="shared" si="12"/>
        <v>0.9098482664605273</v>
      </c>
    </row>
    <row r="224" spans="5:7">
      <c r="E224" s="3">
        <v>52.75</v>
      </c>
      <c r="F224" s="10">
        <f t="shared" si="11"/>
        <v>0.86155542060182011</v>
      </c>
      <c r="G224" s="65">
        <f t="shared" si="12"/>
        <v>0.91109566917124585</v>
      </c>
    </row>
    <row r="225" spans="5:7">
      <c r="E225" s="3">
        <v>53</v>
      </c>
      <c r="F225" s="10">
        <f t="shared" si="11"/>
        <v>0.85921665236709621</v>
      </c>
      <c r="G225" s="65">
        <f t="shared" si="12"/>
        <v>0.91232711056284654</v>
      </c>
    </row>
    <row r="226" spans="5:7">
      <c r="E226" s="3">
        <v>53.25</v>
      </c>
      <c r="F226" s="10">
        <f t="shared" si="11"/>
        <v>0.85684173772733974</v>
      </c>
      <c r="G226" s="65">
        <f t="shared" si="12"/>
        <v>0.91354271177519186</v>
      </c>
    </row>
    <row r="227" spans="5:7">
      <c r="E227" s="3">
        <v>53.5</v>
      </c>
      <c r="F227" s="10">
        <f t="shared" si="11"/>
        <v>0.85443023871709312</v>
      </c>
      <c r="G227" s="65">
        <f t="shared" si="12"/>
        <v>0.9147425950590593</v>
      </c>
    </row>
    <row r="228" spans="5:7">
      <c r="E228" s="3">
        <v>53.75</v>
      </c>
      <c r="F228" s="10">
        <f t="shared" si="11"/>
        <v>0.85198171654981836</v>
      </c>
      <c r="G228" s="65">
        <f t="shared" si="12"/>
        <v>0.91592688371495157</v>
      </c>
    </row>
    <row r="229" spans="5:7">
      <c r="E229" s="3">
        <v>54</v>
      </c>
      <c r="F229" s="10">
        <f t="shared" si="11"/>
        <v>0.84949573181585336</v>
      </c>
      <c r="G229" s="65">
        <f t="shared" si="12"/>
        <v>0.91709570203253821</v>
      </c>
    </row>
    <row r="230" spans="5:7">
      <c r="E230" s="3">
        <v>54.25</v>
      </c>
      <c r="F230" s="10">
        <f t="shared" si="11"/>
        <v>0.8469718446892599</v>
      </c>
      <c r="G230" s="65">
        <f t="shared" si="12"/>
        <v>0.91824917523075689</v>
      </c>
    </row>
    <row r="231" spans="5:7">
      <c r="E231" s="3">
        <v>54.5</v>
      </c>
      <c r="F231" s="10">
        <f t="shared" si="11"/>
        <v>0.84440961514378954</v>
      </c>
      <c r="G231" s="65">
        <f t="shared" si="12"/>
        <v>0.91938742939860274</v>
      </c>
    </row>
    <row r="232" spans="5:7">
      <c r="E232" s="3">
        <v>54.75</v>
      </c>
      <c r="F232" s="10">
        <f t="shared" si="11"/>
        <v>0.84180860317821127</v>
      </c>
      <c r="G232" s="65">
        <f t="shared" si="12"/>
        <v>0.92051059143662961</v>
      </c>
    </row>
    <row r="233" spans="5:7">
      <c r="E233" s="3">
        <v>55</v>
      </c>
      <c r="F233" s="10">
        <f t="shared" si="11"/>
        <v>0.83916836905122827</v>
      </c>
      <c r="G233" s="65">
        <f t="shared" si="12"/>
        <v>0.92161878899919092</v>
      </c>
    </row>
    <row r="234" spans="5:7">
      <c r="E234" s="3">
        <v>55.25</v>
      </c>
      <c r="F234" s="10">
        <f t="shared" si="11"/>
        <v>0.83648847352622602</v>
      </c>
      <c r="G234" s="65">
        <f t="shared" si="12"/>
        <v>0.92271215043744148</v>
      </c>
    </row>
    <row r="235" spans="5:7">
      <c r="E235" s="3">
        <v>55.5</v>
      </c>
      <c r="F235" s="10">
        <f t="shared" si="11"/>
        <v>0.83376847812608368</v>
      </c>
      <c r="G235" s="65">
        <f t="shared" si="12"/>
        <v>0.92379080474312347</v>
      </c>
    </row>
    <row r="236" spans="5:7">
      <c r="E236" s="3">
        <v>55.75</v>
      </c>
      <c r="F236" s="10">
        <f t="shared" si="11"/>
        <v>0.83100794539829159</v>
      </c>
      <c r="G236" s="65">
        <f t="shared" si="12"/>
        <v>0.92485488149315798</v>
      </c>
    </row>
    <row r="237" spans="5:7">
      <c r="E237" s="3">
        <v>56</v>
      </c>
      <c r="F237" s="10">
        <f t="shared" si="11"/>
        <v>0.82820643919060766</v>
      </c>
      <c r="G237" s="65">
        <f t="shared" si="12"/>
        <v>0.92590451079506086</v>
      </c>
    </row>
    <row r="238" spans="5:7">
      <c r="E238" s="3">
        <v>56.25</v>
      </c>
      <c r="F238" s="10">
        <f t="shared" si="11"/>
        <v>0.82536352493748866</v>
      </c>
      <c r="G238" s="65">
        <f t="shared" si="12"/>
        <v>0.92693982323320367</v>
      </c>
    </row>
    <row r="239" spans="5:7">
      <c r="E239" s="3">
        <v>56.5</v>
      </c>
      <c r="F239" s="10">
        <f t="shared" si="11"/>
        <v>0.82247876995753122</v>
      </c>
      <c r="G239" s="65">
        <f t="shared" si="12"/>
        <v>0.92796094981593558</v>
      </c>
    </row>
    <row r="240" spans="5:7">
      <c r="E240" s="3">
        <v>56.75</v>
      </c>
      <c r="F240" s="10">
        <f t="shared" si="11"/>
        <v>0.81955174376215834</v>
      </c>
      <c r="G240" s="65">
        <f t="shared" si="12"/>
        <v>0.92896802192358219</v>
      </c>
    </row>
    <row r="241" spans="5:7">
      <c r="E241" s="3">
        <v>57</v>
      </c>
      <c r="F241" s="10">
        <f t="shared" si="11"/>
        <v>0.81658201837577715</v>
      </c>
      <c r="G241" s="65">
        <f t="shared" si="12"/>
        <v>0.92996117125733846</v>
      </c>
    </row>
    <row r="242" spans="5:7">
      <c r="E242" s="3">
        <v>57.25</v>
      </c>
      <c r="F242" s="10">
        <f t="shared" si="11"/>
        <v>0.81356916866764128</v>
      </c>
      <c r="G242" s="65">
        <f t="shared" si="12"/>
        <v>0.93094052978906749</v>
      </c>
    </row>
    <row r="243" spans="5:7">
      <c r="E243" s="3">
        <v>57.5</v>
      </c>
      <c r="F243" s="10">
        <f t="shared" si="11"/>
        <v>0.81051277269563338</v>
      </c>
      <c r="G243" s="65">
        <f t="shared" si="12"/>
        <v>0.93190622971201964</v>
      </c>
    </row>
    <row r="244" spans="5:7">
      <c r="E244" s="3">
        <v>57.75</v>
      </c>
      <c r="F244" s="10">
        <f t="shared" si="11"/>
        <v>0.80741241206220205</v>
      </c>
      <c r="G244" s="65">
        <f t="shared" si="12"/>
        <v>0.93285840339248238</v>
      </c>
    </row>
    <row r="245" spans="5:7">
      <c r="E245" s="3">
        <v>58</v>
      </c>
      <c r="F245" s="10">
        <f t="shared" si="11"/>
        <v>0.80426767228265583</v>
      </c>
      <c r="G245" s="65">
        <f t="shared" si="12"/>
        <v>0.93379718332237216</v>
      </c>
    </row>
    <row r="246" spans="5:7">
      <c r="E246" s="3">
        <v>58.25</v>
      </c>
      <c r="F246" s="10">
        <f t="shared" si="11"/>
        <v>0.8010781431660321</v>
      </c>
      <c r="G246" s="65">
        <f t="shared" si="12"/>
        <v>0.9347227020727783</v>
      </c>
    </row>
    <row r="247" spans="5:7">
      <c r="E247" s="3">
        <v>58.5</v>
      </c>
      <c r="F247" s="10">
        <f t="shared" si="11"/>
        <v>0.7978434192087408</v>
      </c>
      <c r="G247" s="65">
        <f t="shared" si="12"/>
        <v>0.93563509224846553</v>
      </c>
    </row>
    <row r="248" spans="5:7">
      <c r="E248" s="3">
        <v>58.75</v>
      </c>
      <c r="F248" s="10">
        <f t="shared" si="11"/>
        <v>0.79456310000118724</v>
      </c>
      <c r="G248" s="65">
        <f t="shared" si="12"/>
        <v>0.93653448644334392</v>
      </c>
    </row>
    <row r="249" spans="5:7">
      <c r="E249" s="3">
        <v>59</v>
      </c>
      <c r="F249" s="10">
        <f t="shared" si="11"/>
        <v>0.79123679064755559</v>
      </c>
      <c r="G249" s="65">
        <f t="shared" si="12"/>
        <v>0.93742101719691262</v>
      </c>
    </row>
    <row r="250" spans="5:7">
      <c r="E250" s="3">
        <v>59.25</v>
      </c>
      <c r="F250" s="10">
        <f t="shared" si="11"/>
        <v>0.7878641021989421</v>
      </c>
      <c r="G250" s="65">
        <f t="shared" si="12"/>
        <v>0.93829481695168104</v>
      </c>
    </row>
    <row r="251" spans="5:7">
      <c r="E251" s="3">
        <v>59.5</v>
      </c>
      <c r="F251" s="10">
        <f t="shared" si="11"/>
        <v>0.78444465210000114</v>
      </c>
      <c r="G251" s="65">
        <f t="shared" si="12"/>
        <v>0.93915601801157433</v>
      </c>
    </row>
    <row r="252" spans="5:7">
      <c r="E252" s="3">
        <v>59.75</v>
      </c>
      <c r="F252" s="10">
        <f t="shared" si="11"/>
        <v>0.78097806464927644</v>
      </c>
      <c r="G252" s="65">
        <f t="shared" si="12"/>
        <v>0.94000475250132298</v>
      </c>
    </row>
    <row r="253" spans="5:7">
      <c r="E253" s="3">
        <v>60</v>
      </c>
      <c r="F253" s="10">
        <f t="shared" si="11"/>
        <v>0.77746397147335944</v>
      </c>
      <c r="G253" s="65">
        <f t="shared" si="12"/>
        <v>0.9408411523268424</v>
      </c>
    </row>
    <row r="254" spans="5:7">
      <c r="E254" s="3">
        <v>60.25</v>
      </c>
      <c r="F254" s="10">
        <f t="shared" si="11"/>
        <v>0.77390201201501629</v>
      </c>
      <c r="G254" s="65">
        <f t="shared" si="12"/>
        <v>0.94166534913660183</v>
      </c>
    </row>
    <row r="255" spans="5:7">
      <c r="E255" s="3">
        <v>60.5</v>
      </c>
      <c r="F255" s="10">
        <f t="shared" si="11"/>
        <v>0.77029183403540369</v>
      </c>
      <c r="G255" s="65">
        <f t="shared" si="12"/>
        <v>0.94247747428398321</v>
      </c>
    </row>
    <row r="256" spans="5:7">
      <c r="E256" s="3">
        <v>60.75</v>
      </c>
      <c r="F256" s="10">
        <f t="shared" si="11"/>
        <v>0.76663309413049174</v>
      </c>
      <c r="G256" s="65">
        <f t="shared" si="12"/>
        <v>0.94327765879063075</v>
      </c>
    </row>
    <row r="257" spans="5:7">
      <c r="E257" s="3">
        <v>61</v>
      </c>
      <c r="F257" s="10">
        <f t="shared" si="11"/>
        <v>0.76292545826177827</v>
      </c>
      <c r="G257" s="65">
        <f t="shared" si="12"/>
        <v>0.94406603331078798</v>
      </c>
    </row>
    <row r="258" spans="5:7">
      <c r="E258" s="3">
        <v>61.25</v>
      </c>
      <c r="F258" s="10">
        <f t="shared" si="11"/>
        <v>0.7591686023013805</v>
      </c>
      <c r="G258" s="65">
        <f t="shared" si="12"/>
        <v>0.9448427280966234</v>
      </c>
    </row>
    <row r="259" spans="5:7">
      <c r="E259" s="3">
        <v>61.5</v>
      </c>
      <c r="F259" s="10">
        <f t="shared" si="11"/>
        <v>0.7553622125915499</v>
      </c>
      <c r="G259" s="65">
        <f t="shared" si="12"/>
        <v>0.94560787296453863</v>
      </c>
    </row>
    <row r="260" spans="5:7">
      <c r="E260" s="3">
        <v>61.75</v>
      </c>
      <c r="F260" s="10">
        <f t="shared" si="11"/>
        <v>0.75150598651866662</v>
      </c>
      <c r="G260" s="65">
        <f t="shared" si="12"/>
        <v>0.94636159726245772</v>
      </c>
    </row>
    <row r="261" spans="5:7">
      <c r="E261" s="3">
        <v>62</v>
      </c>
      <c r="F261" s="10">
        <f t="shared" si="11"/>
        <v>0.74759963310171562</v>
      </c>
      <c r="G261" s="65">
        <f t="shared" si="12"/>
        <v>0.94710402983809239</v>
      </c>
    </row>
    <row r="262" spans="5:7">
      <c r="E262" s="3">
        <v>62.25</v>
      </c>
      <c r="F262" s="10">
        <f t="shared" si="11"/>
        <v>0.74364287359525183</v>
      </c>
      <c r="G262" s="65">
        <f t="shared" si="12"/>
        <v>0.94783529900817898</v>
      </c>
    </row>
    <row r="263" spans="5:7">
      <c r="E263" s="3">
        <v>62.5</v>
      </c>
      <c r="F263" s="10">
        <f t="shared" si="11"/>
        <v>0.73963544210681265</v>
      </c>
      <c r="G263" s="65">
        <f t="shared" si="12"/>
        <v>0.94855553252868008</v>
      </c>
    </row>
    <row r="264" spans="5:7">
      <c r="E264" s="3">
        <v>62.75</v>
      </c>
      <c r="F264" s="10">
        <f t="shared" si="11"/>
        <v>0.73557708622874041</v>
      </c>
      <c r="G264" s="65">
        <f t="shared" si="12"/>
        <v>0.94926485756594636</v>
      </c>
    </row>
    <row r="265" spans="5:7">
      <c r="E265" s="3">
        <v>63</v>
      </c>
      <c r="F265" s="10">
        <f t="shared" si="11"/>
        <v>0.73146756768431864</v>
      </c>
      <c r="G265" s="65">
        <f t="shared" si="12"/>
        <v>0.94996340066883034</v>
      </c>
    </row>
    <row r="266" spans="5:7">
      <c r="E266" s="3">
        <v>63.25</v>
      </c>
      <c r="F266" s="10">
        <f t="shared" si="11"/>
        <v>0.72730666298812396</v>
      </c>
      <c r="G266" s="65">
        <f t="shared" si="12"/>
        <v>0.95065128774174534</v>
      </c>
    </row>
    <row r="267" spans="5:7">
      <c r="E267" s="3">
        <v>63.5</v>
      </c>
      <c r="F267" s="10">
        <f t="shared" si="11"/>
        <v>0.72309416412043981</v>
      </c>
      <c r="G267" s="65">
        <f t="shared" si="12"/>
        <v>0.95132864401866135</v>
      </c>
    </row>
    <row r="268" spans="5:7">
      <c r="E268" s="3">
        <v>63.75</v>
      </c>
      <c r="F268" s="10">
        <f t="shared" si="11"/>
        <v>0.71882987921557717</v>
      </c>
      <c r="G268" s="65">
        <f t="shared" si="12"/>
        <v>0.95199559403802925</v>
      </c>
    </row>
    <row r="269" spans="5:7">
      <c r="E269" s="3">
        <v>64</v>
      </c>
      <c r="F269" s="10">
        <f t="shared" ref="F269:F332" si="13">(B$8^0.25)*(B$7^((B$5^(50+E269))*((B$5^0.25)-1)))</f>
        <v>0.71451363326387962</v>
      </c>
      <c r="G269" s="65">
        <f t="shared" si="12"/>
        <v>0.95265226161862404</v>
      </c>
    </row>
    <row r="270" spans="5:7">
      <c r="E270" s="3">
        <v>64.25</v>
      </c>
      <c r="F270" s="10">
        <f t="shared" si="13"/>
        <v>0.71014526882718199</v>
      </c>
      <c r="G270" s="65">
        <f t="shared" ref="G270:G333" si="14">(1-F270+F270*G271)/((1+$B$6)^0.25)</f>
        <v>0.95329876983629869</v>
      </c>
    </row>
    <row r="271" spans="5:7">
      <c r="E271" s="3">
        <v>64.5</v>
      </c>
      <c r="F271" s="10">
        <f t="shared" si="13"/>
        <v>0.70572464676743185</v>
      </c>
      <c r="G271" s="65">
        <f t="shared" si="14"/>
        <v>0.95393524100163773</v>
      </c>
    </row>
    <row r="272" spans="5:7">
      <c r="E272" s="3">
        <v>64.75</v>
      </c>
      <c r="F272" s="10">
        <f t="shared" si="13"/>
        <v>0.70125164698816722</v>
      </c>
      <c r="G272" s="65">
        <f t="shared" si="14"/>
        <v>0.95456179663850005</v>
      </c>
    </row>
    <row r="273" spans="5:7">
      <c r="E273" s="3">
        <v>65</v>
      </c>
      <c r="F273" s="10">
        <f t="shared" si="13"/>
        <v>0.69672616918847752</v>
      </c>
      <c r="G273" s="65">
        <f t="shared" si="14"/>
        <v>0.95517855746344094</v>
      </c>
    </row>
    <row r="274" spans="5:7">
      <c r="E274" s="3">
        <v>65.25</v>
      </c>
      <c r="F274" s="10">
        <f t="shared" si="13"/>
        <v>0.6921481336290537</v>
      </c>
      <c r="G274" s="65">
        <f t="shared" si="14"/>
        <v>0.95578564336600191</v>
      </c>
    </row>
    <row r="275" spans="5:7">
      <c r="E275" s="3">
        <v>65.5</v>
      </c>
      <c r="F275" s="10">
        <f t="shared" si="13"/>
        <v>0.68751748190986217</v>
      </c>
      <c r="G275" s="65">
        <f t="shared" si="14"/>
        <v>0.95638317338985723</v>
      </c>
    </row>
    <row r="276" spans="5:7">
      <c r="E276" s="3">
        <v>65.75</v>
      </c>
      <c r="F276" s="10">
        <f t="shared" si="13"/>
        <v>0.68283417775896482</v>
      </c>
      <c r="G276" s="65">
        <f t="shared" si="14"/>
        <v>0.95697126571480506</v>
      </c>
    </row>
    <row r="277" spans="5:7">
      <c r="E277" s="3">
        <v>66</v>
      </c>
      <c r="F277" s="10">
        <f t="shared" si="13"/>
        <v>0.67809820783191976</v>
      </c>
      <c r="G277" s="65">
        <f t="shared" si="14"/>
        <v>0.95755003763959123</v>
      </c>
    </row>
    <row r="278" spans="5:7">
      <c r="E278" s="3">
        <v>66.25</v>
      </c>
      <c r="F278" s="10">
        <f t="shared" si="13"/>
        <v>0.67330958252117401</v>
      </c>
      <c r="G278" s="65">
        <f t="shared" si="14"/>
        <v>0.95811960556555442</v>
      </c>
    </row>
    <row r="279" spans="5:7">
      <c r="E279" s="3">
        <v>66.5</v>
      </c>
      <c r="F279" s="10">
        <f t="shared" si="13"/>
        <v>0.66846833677478534</v>
      </c>
      <c r="G279" s="65">
        <f t="shared" si="14"/>
        <v>0.95868008498107904</v>
      </c>
    </row>
    <row r="280" spans="5:7">
      <c r="E280" s="3">
        <v>66.75</v>
      </c>
      <c r="F280" s="10">
        <f t="shared" si="13"/>
        <v>0.66357453092377483</v>
      </c>
      <c r="G280" s="65">
        <f t="shared" si="14"/>
        <v>0.95923159044684403</v>
      </c>
    </row>
    <row r="281" spans="5:7">
      <c r="E281" s="3">
        <v>67</v>
      </c>
      <c r="F281" s="10">
        <f t="shared" si="13"/>
        <v>0.65862825151733151</v>
      </c>
      <c r="G281" s="65">
        <f t="shared" si="14"/>
        <v>0.95977423558185526</v>
      </c>
    </row>
    <row r="282" spans="5:7">
      <c r="E282" s="3">
        <v>67.25</v>
      </c>
      <c r="F282" s="10">
        <f t="shared" si="13"/>
        <v>0.65362961216505</v>
      </c>
      <c r="G282" s="65">
        <f t="shared" si="14"/>
        <v>0.96030813305024754</v>
      </c>
    </row>
    <row r="283" spans="5:7">
      <c r="E283" s="3">
        <v>67.5</v>
      </c>
      <c r="F283" s="10">
        <f t="shared" si="13"/>
        <v>0.64857875438529755</v>
      </c>
      <c r="G283" s="65">
        <f t="shared" si="14"/>
        <v>0.96083339454884387</v>
      </c>
    </row>
    <row r="284" spans="5:7">
      <c r="E284" s="3">
        <v>67.75</v>
      </c>
      <c r="F284" s="10">
        <f t="shared" si="13"/>
        <v>0.64347584845877071</v>
      </c>
      <c r="G284" s="65">
        <f t="shared" si="14"/>
        <v>0.96135013079545928</v>
      </c>
    </row>
    <row r="285" spans="5:7">
      <c r="E285" s="3">
        <v>68</v>
      </c>
      <c r="F285" s="10">
        <f t="shared" si="13"/>
        <v>0.63832109428620654</v>
      </c>
      <c r="G285" s="65">
        <f t="shared" si="14"/>
        <v>0.9618584515179357</v>
      </c>
    </row>
    <row r="286" spans="5:7">
      <c r="E286" s="3">
        <v>68.25</v>
      </c>
      <c r="F286" s="10">
        <f t="shared" si="13"/>
        <v>0.63311472224916676</v>
      </c>
      <c r="G286" s="65">
        <f t="shared" si="14"/>
        <v>0.96235846544389458</v>
      </c>
    </row>
    <row r="287" spans="5:7">
      <c r="E287" s="3">
        <v>68.5</v>
      </c>
      <c r="F287" s="10">
        <f t="shared" si="13"/>
        <v>0.62785699407271889</v>
      </c>
      <c r="G287" s="65">
        <f t="shared" si="14"/>
        <v>0.96285028029119468</v>
      </c>
    </row>
    <row r="288" spans="5:7">
      <c r="E288" s="3">
        <v>68.75</v>
      </c>
      <c r="F288" s="10">
        <f t="shared" si="13"/>
        <v>0.62254820368880059</v>
      </c>
      <c r="G288" s="65">
        <f t="shared" si="14"/>
        <v>0.96333400275908132</v>
      </c>
    </row>
    <row r="289" spans="5:7">
      <c r="E289" s="3">
        <v>69</v>
      </c>
      <c r="F289" s="10">
        <f t="shared" si="13"/>
        <v>0.61718867809893874</v>
      </c>
      <c r="G289" s="65">
        <f t="shared" si="14"/>
        <v>0.96380973852001439</v>
      </c>
    </row>
    <row r="290" spans="5:7">
      <c r="E290" s="3">
        <v>69.25</v>
      </c>
      <c r="F290" s="10">
        <f t="shared" si="13"/>
        <v>0.61177877823495219</v>
      </c>
      <c r="G290" s="65">
        <f t="shared" si="14"/>
        <v>0.96427759221216158</v>
      </c>
    </row>
    <row r="291" spans="5:7">
      <c r="E291" s="3">
        <v>69.5</v>
      </c>
      <c r="F291" s="10">
        <f t="shared" si="13"/>
        <v>0.60631889981615994</v>
      </c>
      <c r="G291" s="65">
        <f t="shared" si="14"/>
        <v>0.9647376674325453</v>
      </c>
    </row>
    <row r="292" spans="5:7">
      <c r="E292" s="3">
        <v>69.75</v>
      </c>
      <c r="F292" s="10">
        <f t="shared" si="13"/>
        <v>0.60080947420156927</v>
      </c>
      <c r="G292" s="65">
        <f t="shared" si="14"/>
        <v>0.96519006673082808</v>
      </c>
    </row>
    <row r="293" spans="5:7">
      <c r="E293" s="3">
        <v>70</v>
      </c>
      <c r="F293" s="10">
        <f t="shared" si="13"/>
        <v>0.59525096923540544</v>
      </c>
      <c r="G293" s="65">
        <f t="shared" si="14"/>
        <v>0.96563489160372518</v>
      </c>
    </row>
    <row r="294" spans="5:7">
      <c r="E294" s="3">
        <v>70.25</v>
      </c>
      <c r="F294" s="10">
        <f t="shared" si="13"/>
        <v>0.58964389008428708</v>
      </c>
      <c r="G294" s="65">
        <f t="shared" si="14"/>
        <v>0.96607224249003276</v>
      </c>
    </row>
    <row r="295" spans="5:7">
      <c r="E295" s="3">
        <v>70.5</v>
      </c>
      <c r="F295" s="10">
        <f t="shared" si="13"/>
        <v>0.5839887800642406</v>
      </c>
      <c r="G295" s="65">
        <f t="shared" si="14"/>
        <v>0.96650221876625664</v>
      </c>
    </row>
    <row r="296" spans="5:7">
      <c r="E296" s="3">
        <v>70.75</v>
      </c>
      <c r="F296" s="10">
        <f t="shared" si="13"/>
        <v>0.57828622145570951</v>
      </c>
      <c r="G296" s="65">
        <f t="shared" si="14"/>
        <v>0.9669249187428316</v>
      </c>
    </row>
    <row r="297" spans="5:7">
      <c r="E297" s="3">
        <v>71</v>
      </c>
      <c r="F297" s="10">
        <f t="shared" si="13"/>
        <v>0.57253683630456165</v>
      </c>
      <c r="G297" s="65">
        <f t="shared" si="14"/>
        <v>0.96734043966091765</v>
      </c>
    </row>
    <row r="298" spans="5:7">
      <c r="E298" s="3">
        <v>71.25</v>
      </c>
      <c r="F298" s="10">
        <f t="shared" si="13"/>
        <v>0.56674128720708405</v>
      </c>
      <c r="G298" s="65">
        <f t="shared" si="14"/>
        <v>0.9677488776897627</v>
      </c>
    </row>
    <row r="299" spans="5:7">
      <c r="E299" s="3">
        <v>71.5</v>
      </c>
      <c r="F299" s="10">
        <f t="shared" si="13"/>
        <v>0.56090027807680021</v>
      </c>
      <c r="G299" s="65">
        <f t="shared" si="14"/>
        <v>0.96815032792461897</v>
      </c>
    </row>
    <row r="300" spans="5:7">
      <c r="E300" s="3">
        <v>71.75</v>
      </c>
      <c r="F300" s="10">
        <f t="shared" si="13"/>
        <v>0.55501455489093021</v>
      </c>
      <c r="G300" s="65">
        <f t="shared" si="14"/>
        <v>0.96854488438520203</v>
      </c>
    </row>
    <row r="301" spans="5:7">
      <c r="E301" s="3">
        <v>72</v>
      </c>
      <c r="F301" s="10">
        <f t="shared" si="13"/>
        <v>0.54908490641414986</v>
      </c>
      <c r="G301" s="65">
        <f t="shared" si="14"/>
        <v>0.96893264001468193</v>
      </c>
    </row>
    <row r="302" spans="5:7">
      <c r="E302" s="3">
        <v>72.25</v>
      </c>
      <c r="F302" s="10">
        <f t="shared" si="13"/>
        <v>0.54311216489729364</v>
      </c>
      <c r="G302" s="65">
        <f t="shared" si="14"/>
        <v>0.9693136866791946</v>
      </c>
    </row>
    <row r="303" spans="5:7">
      <c r="E303" s="3">
        <v>72.5</v>
      </c>
      <c r="F303" s="10">
        <f t="shared" si="13"/>
        <v>0.53709720674849881</v>
      </c>
      <c r="G303" s="65">
        <f t="shared" si="14"/>
        <v>0.96968811516786402</v>
      </c>
    </row>
    <row r="304" spans="5:7">
      <c r="E304" s="3">
        <v>72.75</v>
      </c>
      <c r="F304" s="10">
        <f t="shared" si="13"/>
        <v>0.53104095317426314</v>
      </c>
      <c r="G304" s="65">
        <f t="shared" si="14"/>
        <v>0.97005601519332307</v>
      </c>
    </row>
    <row r="305" spans="5:7">
      <c r="E305" s="3">
        <v>73</v>
      </c>
      <c r="F305" s="10">
        <f t="shared" si="13"/>
        <v>0.52494437078774503</v>
      </c>
      <c r="G305" s="65">
        <f t="shared" si="14"/>
        <v>0.97041747539272682</v>
      </c>
    </row>
    <row r="306" spans="5:7">
      <c r="E306" s="3">
        <v>73.25</v>
      </c>
      <c r="F306" s="10">
        <f t="shared" si="13"/>
        <v>0.51880847218161652</v>
      </c>
      <c r="G306" s="65">
        <f t="shared" si="14"/>
        <v>0.97077258332924343</v>
      </c>
    </row>
    <row r="307" spans="5:7">
      <c r="E307" s="3">
        <v>73.5</v>
      </c>
      <c r="F307" s="10">
        <f t="shared" si="13"/>
        <v>0.51263431646264035</v>
      </c>
      <c r="G307" s="65">
        <f t="shared" si="14"/>
        <v>0.97112142549401848</v>
      </c>
    </row>
    <row r="308" spans="5:7">
      <c r="E308" s="3">
        <v>73.75</v>
      </c>
      <c r="F308" s="10">
        <f t="shared" si="13"/>
        <v>0.50642300974513688</v>
      </c>
      <c r="G308" s="65">
        <f t="shared" si="14"/>
        <v>0.97146408730860057</v>
      </c>
    </row>
    <row r="309" spans="5:7">
      <c r="E309" s="3">
        <v>74</v>
      </c>
      <c r="F309" s="10">
        <f t="shared" si="13"/>
        <v>0.50017570560035784</v>
      </c>
      <c r="G309" s="65">
        <f t="shared" si="14"/>
        <v>0.97180065312782093</v>
      </c>
    </row>
    <row r="310" spans="5:7">
      <c r="E310" s="3">
        <v>74.25</v>
      </c>
      <c r="F310" s="10">
        <f t="shared" si="13"/>
        <v>0.49389360545878774</v>
      </c>
      <c r="G310" s="65">
        <f t="shared" si="14"/>
        <v>0.97213120624311922</v>
      </c>
    </row>
    <row r="311" spans="5:7">
      <c r="E311" s="3">
        <v>74.5</v>
      </c>
      <c r="F311" s="10">
        <f t="shared" si="13"/>
        <v>0.48757795896226996</v>
      </c>
      <c r="G311" s="65">
        <f t="shared" si="14"/>
        <v>0.97245582888630588</v>
      </c>
    </row>
    <row r="312" spans="5:7">
      <c r="E312" s="3">
        <v>74.75</v>
      </c>
      <c r="F312" s="10">
        <f t="shared" si="13"/>
        <v>0.48123006426285531</v>
      </c>
      <c r="G312" s="65">
        <f t="shared" si="14"/>
        <v>0.97277460223375756</v>
      </c>
    </row>
    <row r="313" spans="5:7">
      <c r="E313" s="3">
        <v>75</v>
      </c>
      <c r="F313" s="10">
        <f t="shared" si="13"/>
        <v>0.47485126826515123</v>
      </c>
      <c r="G313" s="65">
        <f t="shared" si="14"/>
        <v>0.97308760641103353</v>
      </c>
    </row>
    <row r="314" spans="5:7">
      <c r="E314" s="3">
        <v>75.25</v>
      </c>
      <c r="F314" s="10">
        <f t="shared" si="13"/>
        <v>0.4684429668089698</v>
      </c>
      <c r="G314" s="65">
        <f t="shared" si="14"/>
        <v>0.97339492049791099</v>
      </c>
    </row>
    <row r="315" spans="5:7">
      <c r="E315" s="3">
        <v>75.5</v>
      </c>
      <c r="F315" s="10">
        <f t="shared" si="13"/>
        <v>0.4620066047889681</v>
      </c>
      <c r="G315" s="65">
        <f t="shared" si="14"/>
        <v>0.97369662253383138</v>
      </c>
    </row>
    <row r="316" spans="5:7">
      <c r="E316" s="3">
        <v>75.75</v>
      </c>
      <c r="F316" s="10">
        <f t="shared" si="13"/>
        <v>0.4555436762080104</v>
      </c>
      <c r="G316" s="65">
        <f t="shared" si="14"/>
        <v>0.97399278952375068</v>
      </c>
    </row>
    <row r="317" spans="5:7">
      <c r="E317" s="3">
        <v>76</v>
      </c>
      <c r="F317" s="10">
        <f t="shared" si="13"/>
        <v>0.44905572416087852</v>
      </c>
      <c r="G317" s="65">
        <f t="shared" si="14"/>
        <v>0.97428349744439169</v>
      </c>
    </row>
    <row r="318" spans="5:7">
      <c r="E318" s="3">
        <v>76.25</v>
      </c>
      <c r="F318" s="10">
        <f t="shared" si="13"/>
        <v>0.44254434074501764</v>
      </c>
      <c r="G318" s="65">
        <f t="shared" si="14"/>
        <v>0.97456882125089106</v>
      </c>
    </row>
    <row r="319" spans="5:7">
      <c r="E319" s="3">
        <v>76.5</v>
      </c>
      <c r="F319" s="10">
        <f t="shared" si="13"/>
        <v>0.43601116689492647</v>
      </c>
      <c r="G319" s="65">
        <f t="shared" si="14"/>
        <v>0.97484883488383611</v>
      </c>
    </row>
    <row r="320" spans="5:7">
      <c r="E320" s="3">
        <v>76.75</v>
      </c>
      <c r="F320" s="10">
        <f t="shared" si="13"/>
        <v>0.42945789213687646</v>
      </c>
      <c r="G320" s="65">
        <f t="shared" si="14"/>
        <v>0.97512361127669112</v>
      </c>
    </row>
    <row r="321" spans="5:7">
      <c r="E321" s="3">
        <v>77</v>
      </c>
      <c r="F321" s="10">
        <f t="shared" si="13"/>
        <v>0.42288625426057896</v>
      </c>
      <c r="G321" s="65">
        <f t="shared" si="14"/>
        <v>0.97539322236360471</v>
      </c>
    </row>
    <row r="322" spans="5:7">
      <c r="E322" s="3">
        <v>77.25</v>
      </c>
      <c r="F322" s="10">
        <f t="shared" si="13"/>
        <v>0.41629803890452521</v>
      </c>
      <c r="G322" s="65">
        <f t="shared" si="14"/>
        <v>0.97565773908759912</v>
      </c>
    </row>
    <row r="323" spans="5:7">
      <c r="E323" s="3">
        <v>77.5</v>
      </c>
      <c r="F323" s="10">
        <f t="shared" si="13"/>
        <v>0.40969507905168562</v>
      </c>
      <c r="G323" s="65">
        <f t="shared" si="14"/>
        <v>0.97591723140913744</v>
      </c>
    </row>
    <row r="324" spans="5:7">
      <c r="E324" s="3">
        <v>77.75</v>
      </c>
      <c r="F324" s="10">
        <f t="shared" si="13"/>
        <v>0.40307925443238452</v>
      </c>
      <c r="G324" s="65">
        <f t="shared" si="14"/>
        <v>0.97617176831506536</v>
      </c>
    </row>
    <row r="325" spans="5:7">
      <c r="E325" s="3">
        <v>78</v>
      </c>
      <c r="F325" s="10">
        <f t="shared" si="13"/>
        <v>0.39645249083114831</v>
      </c>
      <c r="G325" s="65">
        <f t="shared" si="14"/>
        <v>0.97642141782792835</v>
      </c>
    </row>
    <row r="326" spans="5:7">
      <c r="E326" s="3">
        <v>78.25</v>
      </c>
      <c r="F326" s="10">
        <f t="shared" si="13"/>
        <v>0.38981675929448534</v>
      </c>
      <c r="G326" s="65">
        <f t="shared" si="14"/>
        <v>0.97666624701565963</v>
      </c>
    </row>
    <row r="327" spans="5:7">
      <c r="E327" s="3">
        <v>78.5</v>
      </c>
      <c r="F327" s="10">
        <f t="shared" si="13"/>
        <v>0.38317407523657876</v>
      </c>
      <c r="G327" s="65">
        <f t="shared" si="14"/>
        <v>0.97690632200164074</v>
      </c>
    </row>
    <row r="328" spans="5:7">
      <c r="E328" s="3">
        <v>78.75</v>
      </c>
      <c r="F328" s="10">
        <f t="shared" si="13"/>
        <v>0.37652649744005462</v>
      </c>
      <c r="G328" s="65">
        <f t="shared" si="14"/>
        <v>0.977141707975132</v>
      </c>
    </row>
    <row r="329" spans="5:7">
      <c r="E329" s="3">
        <v>79</v>
      </c>
      <c r="F329" s="10">
        <f t="shared" si="13"/>
        <v>0.36987612694905425</v>
      </c>
      <c r="G329" s="65">
        <f t="shared" si="14"/>
        <v>0.97737246920207443</v>
      </c>
    </row>
    <row r="330" spans="5:7">
      <c r="E330" s="3">
        <v>79.25</v>
      </c>
      <c r="F330" s="10">
        <f t="shared" si="13"/>
        <v>0.36322510585202844</v>
      </c>
      <c r="G330" s="65">
        <f t="shared" si="14"/>
        <v>0.97759866903626125</v>
      </c>
    </row>
    <row r="331" spans="5:7">
      <c r="E331" s="3">
        <v>79.5</v>
      </c>
      <c r="F331" s="10">
        <f t="shared" si="13"/>
        <v>0.35657561595181153</v>
      </c>
      <c r="G331" s="65">
        <f t="shared" si="14"/>
        <v>0.97782036993088095</v>
      </c>
    </row>
    <row r="332" spans="5:7">
      <c r="E332" s="3">
        <v>79.75</v>
      </c>
      <c r="F332" s="10">
        <f t="shared" si="13"/>
        <v>0.34992987732074737</v>
      </c>
      <c r="G332" s="65">
        <f t="shared" si="14"/>
        <v>0.97803763345043182</v>
      </c>
    </row>
    <row r="333" spans="5:7">
      <c r="E333" s="3">
        <v>80</v>
      </c>
      <c r="F333" s="10">
        <f t="shared" ref="F333:F372" si="15">(B$8^0.25)*(B$7^((B$5^(50+E333))*((B$5^0.25)-1)))</f>
        <v>0.34329014673880281</v>
      </c>
      <c r="G333" s="65">
        <f t="shared" si="14"/>
        <v>0.97825052028300818</v>
      </c>
    </row>
    <row r="334" spans="5:7">
      <c r="E334" s="3">
        <v>80.25</v>
      </c>
      <c r="F334" s="10">
        <f t="shared" si="15"/>
        <v>0.33665871601286218</v>
      </c>
      <c r="G334" s="65">
        <f t="shared" ref="G334:G372" si="16">(1-F334+F334*G335)/((1+$B$6)^0.25)</f>
        <v>0.97845909025296163</v>
      </c>
    </row>
    <row r="335" spans="5:7">
      <c r="E335" s="3">
        <v>80.5</v>
      </c>
      <c r="F335" s="10">
        <f t="shared" si="15"/>
        <v>0.33003791017562051</v>
      </c>
      <c r="G335" s="65">
        <f t="shared" si="16"/>
        <v>0.97866340233393623</v>
      </c>
    </row>
    <row r="336" spans="5:7">
      <c r="E336" s="3">
        <v>80.75</v>
      </c>
      <c r="F336" s="10">
        <f t="shared" si="15"/>
        <v>0.32343008556278791</v>
      </c>
      <c r="G336" s="65">
        <f t="shared" si="16"/>
        <v>0.97886351466227983</v>
      </c>
    </row>
    <row r="337" spans="5:7">
      <c r="E337" s="3">
        <v>81</v>
      </c>
      <c r="F337" s="10">
        <f t="shared" si="15"/>
        <v>0.31683762776756502</v>
      </c>
      <c r="G337" s="65">
        <f t="shared" si="16"/>
        <v>0.97905948455083369</v>
      </c>
    </row>
    <row r="338" spans="5:7">
      <c r="E338" s="3">
        <v>81.25</v>
      </c>
      <c r="F338" s="10">
        <f t="shared" si="15"/>
        <v>0.31026294947169536</v>
      </c>
      <c r="G338" s="65">
        <f t="shared" si="16"/>
        <v>0.97925136850310246</v>
      </c>
    </row>
    <row r="339" spans="5:7">
      <c r="E339" s="3">
        <v>81.5</v>
      </c>
      <c r="F339" s="10">
        <f t="shared" si="15"/>
        <v>0.30370848815271123</v>
      </c>
      <c r="G339" s="65">
        <f t="shared" si="16"/>
        <v>0.97943922222780289</v>
      </c>
    </row>
    <row r="340" spans="5:7">
      <c r="E340" s="3">
        <v>81.75</v>
      </c>
      <c r="F340" s="10">
        <f t="shared" si="15"/>
        <v>0.29717670366736948</v>
      </c>
      <c r="G340" s="65">
        <f t="shared" si="16"/>
        <v>0.97962310065379765</v>
      </c>
    </row>
    <row r="341" spans="5:7">
      <c r="E341" s="3">
        <v>82</v>
      </c>
      <c r="F341" s="10">
        <f t="shared" si="15"/>
        <v>0.29067007571161813</v>
      </c>
      <c r="G341" s="65">
        <f t="shared" si="16"/>
        <v>0.97980305794541167</v>
      </c>
    </row>
    <row r="342" spans="5:7">
      <c r="E342" s="3">
        <v>82.25</v>
      </c>
      <c r="F342" s="10">
        <f t="shared" si="15"/>
        <v>0.28419110115786</v>
      </c>
      <c r="G342" s="65">
        <f t="shared" si="16"/>
        <v>0.97997914751813275</v>
      </c>
    </row>
    <row r="343" spans="5:7">
      <c r="E343" s="3">
        <v>82.5</v>
      </c>
      <c r="F343" s="10">
        <f t="shared" si="15"/>
        <v>0.27774229127068772</v>
      </c>
      <c r="G343" s="65">
        <f t="shared" si="16"/>
        <v>0.98015142205470018</v>
      </c>
    </row>
    <row r="344" spans="5:7">
      <c r="E344" s="3">
        <v>82.75</v>
      </c>
      <c r="F344" s="10">
        <f t="shared" si="15"/>
        <v>0.27132616880272742</v>
      </c>
      <c r="G344" s="65">
        <f t="shared" si="16"/>
        <v>0.98031993352157765</v>
      </c>
    </row>
    <row r="345" spans="5:7">
      <c r="E345" s="3">
        <v>83</v>
      </c>
      <c r="F345" s="10">
        <f t="shared" si="15"/>
        <v>0.26494526497266208</v>
      </c>
      <c r="G345" s="65">
        <f t="shared" si="16"/>
        <v>0.98048473318581253</v>
      </c>
    </row>
    <row r="346" spans="5:7">
      <c r="E346" s="3">
        <v>83.25</v>
      </c>
      <c r="F346" s="10">
        <f t="shared" si="15"/>
        <v>0.25860211632801511</v>
      </c>
      <c r="G346" s="65">
        <f t="shared" si="16"/>
        <v>0.98064587163228223</v>
      </c>
    </row>
    <row r="347" spans="5:7">
      <c r="E347" s="3">
        <v>83.5</v>
      </c>
      <c r="F347" s="10">
        <f t="shared" si="15"/>
        <v>0.25229926149576692</v>
      </c>
      <c r="G347" s="65">
        <f t="shared" si="16"/>
        <v>0.98080339878132305</v>
      </c>
    </row>
    <row r="348" spans="5:7">
      <c r="E348" s="3">
        <v>83.75</v>
      </c>
      <c r="F348" s="10">
        <f t="shared" si="15"/>
        <v>0.24603923782441631</v>
      </c>
      <c r="G348" s="65">
        <f t="shared" si="16"/>
        <v>0.9809573639067416</v>
      </c>
    </row>
    <row r="349" spans="5:7">
      <c r="E349" s="3">
        <v>84</v>
      </c>
      <c r="F349" s="10">
        <f t="shared" si="15"/>
        <v>0.23982457792161177</v>
      </c>
      <c r="G349" s="65">
        <f t="shared" si="16"/>
        <v>0.98110781565420657</v>
      </c>
    </row>
    <row r="350" spans="5:7">
      <c r="E350" s="3">
        <v>84.25</v>
      </c>
      <c r="F350" s="10">
        <f t="shared" si="15"/>
        <v>0.23365780609205661</v>
      </c>
      <c r="G350" s="65">
        <f t="shared" si="16"/>
        <v>0.9812548020600137</v>
      </c>
    </row>
    <row r="351" spans="5:7">
      <c r="E351" s="3">
        <v>84.5</v>
      </c>
      <c r="F351" s="10">
        <f t="shared" si="15"/>
        <v>0.22754143468094731</v>
      </c>
      <c r="G351" s="65">
        <f t="shared" si="16"/>
        <v>0.98139837057022183</v>
      </c>
    </row>
    <row r="352" spans="5:7">
      <c r="E352" s="3">
        <v>84.75</v>
      </c>
      <c r="F352" s="10">
        <f t="shared" si="15"/>
        <v>0.22147796032880876</v>
      </c>
      <c r="G352" s="65">
        <f t="shared" si="16"/>
        <v>0.98153856806015127</v>
      </c>
    </row>
    <row r="353" spans="5:7">
      <c r="E353" s="3">
        <v>85</v>
      </c>
      <c r="F353" s="10">
        <f t="shared" si="15"/>
        <v>0.21546986014414801</v>
      </c>
      <c r="G353" s="65">
        <f t="shared" si="16"/>
        <v>0.98167544085423764</v>
      </c>
    </row>
    <row r="354" spans="5:7">
      <c r="E354" s="3">
        <v>85.25</v>
      </c>
      <c r="F354" s="10">
        <f t="shared" si="15"/>
        <v>0.20951958780097926</v>
      </c>
      <c r="G354" s="65">
        <f t="shared" si="16"/>
        <v>0.98180903474623227</v>
      </c>
    </row>
    <row r="355" spans="5:7">
      <c r="E355" s="3">
        <v>85.5</v>
      </c>
      <c r="F355" s="10">
        <f t="shared" si="15"/>
        <v>0.20362956956885894</v>
      </c>
      <c r="G355" s="65">
        <f t="shared" si="16"/>
        <v>0.98193939501973337</v>
      </c>
    </row>
    <row r="356" spans="5:7">
      <c r="E356" s="3">
        <v>85.75</v>
      </c>
      <c r="F356" s="10">
        <f t="shared" si="15"/>
        <v>0.19780220028369966</v>
      </c>
      <c r="G356" s="65">
        <f t="shared" si="16"/>
        <v>0.98206656646904211</v>
      </c>
    </row>
    <row r="357" spans="5:7">
      <c r="E357" s="3">
        <v>86</v>
      </c>
      <c r="F357" s="10">
        <f t="shared" si="15"/>
        <v>0.19203983926821186</v>
      </c>
      <c r="G357" s="65">
        <f t="shared" si="16"/>
        <v>0.98219059342032</v>
      </c>
    </row>
    <row r="358" spans="5:7">
      <c r="E358" s="3">
        <v>86.25</v>
      </c>
      <c r="F358" s="10">
        <f t="shared" si="15"/>
        <v>0.18634480621144756</v>
      </c>
      <c r="G358" s="65">
        <f t="shared" si="16"/>
        <v>0.9823115197530351</v>
      </c>
    </row>
    <row r="359" spans="5:7">
      <c r="E359" s="3">
        <v>86.5</v>
      </c>
      <c r="F359" s="10">
        <f t="shared" si="15"/>
        <v>0.18071937701750657</v>
      </c>
      <c r="G359" s="65">
        <f t="shared" si="16"/>
        <v>0.98242938892167653</v>
      </c>
    </row>
    <row r="360" spans="5:7">
      <c r="E360" s="3">
        <v>86.75</v>
      </c>
      <c r="F360" s="10">
        <f t="shared" si="15"/>
        <v>0.17516577963407046</v>
      </c>
      <c r="G360" s="65">
        <f t="shared" si="16"/>
        <v>0.98254424397771611</v>
      </c>
    </row>
    <row r="361" spans="5:7">
      <c r="E361" s="3">
        <v>87</v>
      </c>
      <c r="F361" s="10">
        <f t="shared" si="15"/>
        <v>0.16968618987196837</v>
      </c>
      <c r="G361" s="65">
        <f t="shared" si="16"/>
        <v>0.98265612759181664</v>
      </c>
    </row>
    <row r="362" spans="5:7">
      <c r="E362" s="3">
        <v>87.25</v>
      </c>
      <c r="F362" s="10">
        <f t="shared" si="15"/>
        <v>0.16428272722757367</v>
      </c>
      <c r="G362" s="65">
        <f t="shared" si="16"/>
        <v>0.98276508207640689</v>
      </c>
    </row>
    <row r="363" spans="5:7">
      <c r="E363" s="3">
        <v>87.5</v>
      </c>
      <c r="F363" s="10">
        <f t="shared" si="15"/>
        <v>0.1589574507203127</v>
      </c>
      <c r="G363" s="65">
        <f t="shared" si="16"/>
        <v>0.98287114940954201</v>
      </c>
    </row>
    <row r="364" spans="5:7">
      <c r="E364" s="3">
        <v>87.75</v>
      </c>
      <c r="F364" s="10">
        <f t="shared" si="15"/>
        <v>0.15371235475813247</v>
      </c>
      <c r="G364" s="65">
        <f t="shared" si="16"/>
        <v>0.98297437126636522</v>
      </c>
    </row>
    <row r="365" spans="5:7">
      <c r="E365" s="3">
        <v>88</v>
      </c>
      <c r="F365" s="10">
        <f t="shared" si="15"/>
        <v>0.14854936504417834</v>
      </c>
      <c r="G365" s="65">
        <f t="shared" si="16"/>
        <v>0.98307478910181822</v>
      </c>
    </row>
    <row r="366" spans="5:7">
      <c r="E366" s="3">
        <v>88.25</v>
      </c>
      <c r="F366" s="10">
        <f t="shared" si="15"/>
        <v>0.14347033453842353</v>
      </c>
      <c r="G366" s="65">
        <f t="shared" si="16"/>
        <v>0.98317244459529651</v>
      </c>
    </row>
    <row r="367" spans="5:7">
      <c r="E367" s="3">
        <v>88.5</v>
      </c>
      <c r="F367" s="10">
        <f t="shared" si="15"/>
        <v>0.13847703948834</v>
      </c>
      <c r="G367" s="65">
        <f t="shared" si="16"/>
        <v>0.98326738274382086</v>
      </c>
    </row>
    <row r="368" spans="5:7">
      <c r="E368" s="3">
        <v>88.75</v>
      </c>
      <c r="F368" s="10">
        <f t="shared" si="15"/>
        <v>0.13357117554309739</v>
      </c>
      <c r="G368" s="65">
        <f t="shared" si="16"/>
        <v>0.98335967502157529</v>
      </c>
    </row>
    <row r="369" spans="5:7">
      <c r="E369" s="3">
        <v>89</v>
      </c>
      <c r="F369" s="10">
        <f t="shared" si="15"/>
        <v>0.12875435396601978</v>
      </c>
      <c r="G369" s="65">
        <f t="shared" si="16"/>
        <v>0.98344960003753168</v>
      </c>
    </row>
    <row r="370" spans="5:7">
      <c r="E370" s="3">
        <v>89.25</v>
      </c>
      <c r="F370" s="10">
        <f t="shared" si="15"/>
        <v>0.1240280979603167</v>
      </c>
      <c r="G370" s="65">
        <f t="shared" si="16"/>
        <v>0.98353910565659475</v>
      </c>
    </row>
    <row r="371" spans="5:7">
      <c r="E371" s="3">
        <v>89.5</v>
      </c>
      <c r="F371" s="10">
        <f t="shared" si="15"/>
        <v>0.1193938391232395</v>
      </c>
      <c r="G371" s="65">
        <f t="shared" si="16"/>
        <v>0.98364408678758619</v>
      </c>
    </row>
    <row r="372" spans="5:7">
      <c r="E372" s="3">
        <v>89.75</v>
      </c>
      <c r="F372" s="10">
        <f t="shared" si="15"/>
        <v>0.11485291404398011</v>
      </c>
      <c r="G372" s="65">
        <f t="shared" si="16"/>
        <v>0.98390142060682506</v>
      </c>
    </row>
    <row r="373" spans="5:7">
      <c r="E373" s="3">
        <v>90</v>
      </c>
      <c r="F373" s="10"/>
      <c r="G373" s="10">
        <f>1/((1+$B$6)^0.25)</f>
        <v>0.98553836168728826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3"/>
  <sheetViews>
    <sheetView zoomScale="125" zoomScaleNormal="125" zoomScalePageLayoutView="125" workbookViewId="0"/>
  </sheetViews>
  <sheetFormatPr baseColWidth="10" defaultRowHeight="12" x14ac:dyDescent="0"/>
  <sheetData>
    <row r="1" spans="1:9" ht="15">
      <c r="A1" s="70" t="s">
        <v>754</v>
      </c>
      <c r="C1" s="10"/>
      <c r="D1" s="10"/>
      <c r="E1" s="3"/>
    </row>
    <row r="2" spans="1:9">
      <c r="C2" s="10"/>
      <c r="D2" s="10"/>
      <c r="E2" s="3"/>
    </row>
    <row r="3" spans="1:9">
      <c r="A3" s="52" t="s">
        <v>9</v>
      </c>
      <c r="B3" s="51">
        <v>2.2000000000000001E-4</v>
      </c>
      <c r="C3" s="10"/>
      <c r="D3" s="10"/>
      <c r="E3" s="3"/>
    </row>
    <row r="4" spans="1:9">
      <c r="A4" s="52" t="s">
        <v>10</v>
      </c>
      <c r="B4" s="51">
        <f>2.7/1000000</f>
        <v>2.7E-6</v>
      </c>
      <c r="C4" s="10"/>
      <c r="D4" s="10"/>
      <c r="E4" s="3"/>
    </row>
    <row r="5" spans="1:9">
      <c r="A5" s="52" t="s">
        <v>24</v>
      </c>
      <c r="B5" s="51">
        <v>1.1240000000000001</v>
      </c>
      <c r="C5" s="10"/>
      <c r="D5" s="10"/>
      <c r="E5" s="3"/>
    </row>
    <row r="6" spans="1:9">
      <c r="A6" s="52" t="s">
        <v>74</v>
      </c>
      <c r="B6" s="61">
        <v>0.05</v>
      </c>
      <c r="C6" s="10"/>
      <c r="D6" s="10"/>
      <c r="E6" s="42"/>
    </row>
    <row r="7" spans="1:9">
      <c r="A7" s="9" t="s">
        <v>25</v>
      </c>
      <c r="B7" s="18">
        <f>EXP(-B4/LN(B5))</f>
        <v>0.99997690236831238</v>
      </c>
      <c r="C7" s="10"/>
      <c r="D7" s="10"/>
      <c r="E7" s="3"/>
    </row>
    <row r="8" spans="1:9">
      <c r="A8" s="9" t="s">
        <v>27</v>
      </c>
      <c r="B8" s="18">
        <f>EXP(-B3)</f>
        <v>0.99978002419822543</v>
      </c>
      <c r="C8" s="10"/>
      <c r="D8" s="10"/>
      <c r="E8" s="3"/>
    </row>
    <row r="9" spans="1:9">
      <c r="B9" s="14"/>
      <c r="C9" s="10"/>
      <c r="D9" s="10"/>
      <c r="E9" s="3"/>
    </row>
    <row r="10" spans="1:9">
      <c r="A10" s="3" t="s">
        <v>0</v>
      </c>
      <c r="B10" s="7" t="s">
        <v>32</v>
      </c>
      <c r="C10" s="10" t="s">
        <v>54</v>
      </c>
      <c r="D10" s="10" t="s">
        <v>40</v>
      </c>
      <c r="E10" s="3" t="s">
        <v>41</v>
      </c>
    </row>
    <row r="11" spans="1:9">
      <c r="A11" s="3">
        <v>0</v>
      </c>
      <c r="B11" s="10">
        <f t="shared" ref="B11:B74" si="0">(B$8^A11)*(B$7^((B$5^50)*(B$5^A11-1)))</f>
        <v>1</v>
      </c>
      <c r="C11" s="10">
        <f>(1+$B$6)^-(A11+0.25)</f>
        <v>0.98787654742307407</v>
      </c>
      <c r="D11" s="10">
        <f>(B11-B12)*C11*2000</f>
        <v>0.57600885071878949</v>
      </c>
      <c r="E11" s="12">
        <f>D11*C11*2000</f>
        <v>1138.0512694664212</v>
      </c>
      <c r="G11" s="60" t="s">
        <v>55</v>
      </c>
      <c r="H11" s="60"/>
      <c r="I11" s="55">
        <f>1-B71</f>
        <v>4.0543540639512377E-2</v>
      </c>
    </row>
    <row r="12" spans="1:9">
      <c r="A12" s="3">
        <v>0.25</v>
      </c>
      <c r="B12" s="10">
        <f t="shared" si="0"/>
        <v>0.99970846111681599</v>
      </c>
      <c r="C12" s="10">
        <f t="shared" ref="C12:C75" si="1">(1+$B$6)^-(A12+0.25)</f>
        <v>0.97590007294853309</v>
      </c>
      <c r="D12" s="10">
        <f t="shared" ref="D12:D70" si="2">(B12-B13)*C12*2000</f>
        <v>0.58254502150480048</v>
      </c>
      <c r="E12" s="12">
        <f t="shared" ref="E12:E70" si="3">D12*C12*2000</f>
        <v>1137.011457964679</v>
      </c>
    </row>
    <row r="13" spans="1:9">
      <c r="A13" s="3">
        <v>0.5</v>
      </c>
      <c r="B13" s="10">
        <f t="shared" si="0"/>
        <v>0.99940999560910027</v>
      </c>
      <c r="C13" s="10">
        <f t="shared" si="1"/>
        <v>0.96406879469432316</v>
      </c>
      <c r="D13" s="10">
        <f t="shared" si="2"/>
        <v>0.58922677665449974</v>
      </c>
      <c r="E13" s="12">
        <f t="shared" si="3"/>
        <v>1136.1102967418494</v>
      </c>
    </row>
    <row r="14" spans="1:9">
      <c r="A14" s="3">
        <v>0.75</v>
      </c>
      <c r="B14" s="10">
        <f t="shared" si="0"/>
        <v>0.99910440186937066</v>
      </c>
      <c r="C14" s="10">
        <f t="shared" si="1"/>
        <v>0.95238095238095233</v>
      </c>
      <c r="D14" s="10">
        <f t="shared" si="2"/>
        <v>0.59605588093216588</v>
      </c>
      <c r="E14" s="12">
        <f t="shared" si="3"/>
        <v>1135.3445351088874</v>
      </c>
    </row>
    <row r="15" spans="1:9">
      <c r="A15" s="3">
        <v>1</v>
      </c>
      <c r="B15" s="10">
        <f t="shared" si="0"/>
        <v>0.99879147253188127</v>
      </c>
      <c r="C15" s="10">
        <f t="shared" si="1"/>
        <v>0.94083480706959433</v>
      </c>
      <c r="D15" s="10">
        <f t="shared" si="2"/>
        <v>0.60303412340704454</v>
      </c>
      <c r="E15" s="12">
        <f t="shared" si="3"/>
        <v>1134.7109863040973</v>
      </c>
    </row>
    <row r="16" spans="1:9">
      <c r="A16" s="3">
        <v>1.25</v>
      </c>
      <c r="B16" s="10">
        <f t="shared" si="0"/>
        <v>0.99847099431462372</v>
      </c>
      <c r="C16" s="10">
        <f t="shared" si="1"/>
        <v>0.92942864090336497</v>
      </c>
      <c r="D16" s="10">
        <f t="shared" si="2"/>
        <v>0.61016331725369899</v>
      </c>
      <c r="E16" s="12">
        <f t="shared" si="3"/>
        <v>1134.2065253683884</v>
      </c>
    </row>
    <row r="17" spans="1:5">
      <c r="A17" s="3">
        <v>1.5</v>
      </c>
      <c r="B17" s="10">
        <f t="shared" si="0"/>
        <v>0.99814274785739132</v>
      </c>
      <c r="C17" s="10">
        <f t="shared" si="1"/>
        <v>0.91816075685173626</v>
      </c>
      <c r="D17" s="10">
        <f t="shared" si="2"/>
        <v>0.61744529953506722</v>
      </c>
      <c r="E17" s="12">
        <f t="shared" si="3"/>
        <v>1133.8280870713286</v>
      </c>
    </row>
    <row r="18" spans="1:5">
      <c r="A18" s="3">
        <v>1.75</v>
      </c>
      <c r="B18" s="10">
        <f t="shared" si="0"/>
        <v>0.99780650755582789</v>
      </c>
      <c r="C18" s="10">
        <f t="shared" si="1"/>
        <v>0.90702947845804982</v>
      </c>
      <c r="D18" s="10">
        <f t="shared" si="2"/>
        <v>0.62488193095037936</v>
      </c>
      <c r="E18" s="12">
        <f t="shared" si="3"/>
        <v>1133.5726638555634</v>
      </c>
    </row>
    <row r="19" spans="1:5">
      <c r="A19" s="3">
        <v>2</v>
      </c>
      <c r="B19" s="10">
        <f t="shared" si="0"/>
        <v>0.9974620413913915</v>
      </c>
      <c r="C19" s="10">
        <f t="shared" si="1"/>
        <v>0.89603314959008973</v>
      </c>
      <c r="D19" s="10">
        <f t="shared" si="2"/>
        <v>0.63247509555908765</v>
      </c>
      <c r="E19" s="12">
        <f t="shared" si="3"/>
        <v>1133.4373038222045</v>
      </c>
    </row>
    <row r="20" spans="1:5">
      <c r="A20" s="3">
        <v>2.25</v>
      </c>
      <c r="B20" s="10">
        <f t="shared" si="0"/>
        <v>0.99710911075715747</v>
      </c>
      <c r="C20" s="10">
        <f t="shared" si="1"/>
        <v>0.88517013419368074</v>
      </c>
      <c r="D20" s="10">
        <f t="shared" si="2"/>
        <v>0.64022670046660024</v>
      </c>
      <c r="E20" s="12">
        <f t="shared" si="3"/>
        <v>1133.4191087327961</v>
      </c>
    </row>
    <row r="21" spans="1:5">
      <c r="A21" s="3">
        <v>2.5</v>
      </c>
      <c r="B21" s="10">
        <f t="shared" si="0"/>
        <v>0.99674747027939226</v>
      </c>
      <c r="C21" s="10">
        <f t="shared" si="1"/>
        <v>0.87443881604927254</v>
      </c>
      <c r="D21" s="10">
        <f t="shared" si="2"/>
        <v>0.64813867548175019</v>
      </c>
      <c r="E21" s="12">
        <f t="shared" si="3"/>
        <v>1133.5152320480106</v>
      </c>
    </row>
    <row r="22" spans="1:5">
      <c r="A22" s="3">
        <v>2.75</v>
      </c>
      <c r="B22" s="10">
        <f t="shared" si="0"/>
        <v>0.99637686763482414</v>
      </c>
      <c r="C22" s="10">
        <f t="shared" si="1"/>
        <v>0.86383759853147601</v>
      </c>
      <c r="D22" s="10">
        <f t="shared" si="2"/>
        <v>0.65621297273665724</v>
      </c>
      <c r="E22" s="12">
        <f t="shared" si="3"/>
        <v>1133.7228769880699</v>
      </c>
    </row>
    <row r="23" spans="1:5">
      <c r="A23" s="3">
        <v>3</v>
      </c>
      <c r="B23" s="10">
        <f t="shared" si="0"/>
        <v>0.995997043363542</v>
      </c>
      <c r="C23" s="10">
        <f t="shared" si="1"/>
        <v>0.85336490437151402</v>
      </c>
      <c r="D23" s="10">
        <f t="shared" si="2"/>
        <v>0.6644515662699032</v>
      </c>
      <c r="E23" s="12">
        <f t="shared" si="3"/>
        <v>1134.0392946188374</v>
      </c>
    </row>
    <row r="24" spans="1:5">
      <c r="A24" s="3">
        <v>3.25</v>
      </c>
      <c r="B24" s="10">
        <f t="shared" si="0"/>
        <v>0.99560773067745301</v>
      </c>
      <c r="C24" s="10">
        <f t="shared" si="1"/>
        <v>0.843019175422553</v>
      </c>
      <c r="D24" s="10">
        <f t="shared" si="2"/>
        <v>0.6728564515677844</v>
      </c>
      <c r="E24" s="12">
        <f t="shared" si="3"/>
        <v>1134.4617819568373</v>
      </c>
    </row>
    <row r="25" spans="1:5">
      <c r="A25" s="3">
        <v>3.5</v>
      </c>
      <c r="B25" s="10">
        <f t="shared" si="0"/>
        <v>0.9952086552642333</v>
      </c>
      <c r="C25" s="10">
        <f t="shared" si="1"/>
        <v>0.83279887242787853</v>
      </c>
      <c r="D25" s="10">
        <f t="shared" si="2"/>
        <v>0.6814296450710412</v>
      </c>
      <c r="E25" s="12">
        <f t="shared" si="3"/>
        <v>1134.987680108185</v>
      </c>
    </row>
    <row r="26" spans="1:5">
      <c r="A26" s="3">
        <v>3.75</v>
      </c>
      <c r="B26" s="10">
        <f t="shared" si="0"/>
        <v>0.99479953508670205</v>
      </c>
      <c r="C26" s="10">
        <f t="shared" si="1"/>
        <v>0.82270247479188197</v>
      </c>
      <c r="D26" s="10">
        <f t="shared" si="2"/>
        <v>0.69017318362958768</v>
      </c>
      <c r="E26" s="12">
        <f t="shared" si="3"/>
        <v>1135.6143724141077</v>
      </c>
    </row>
    <row r="27" spans="1:5">
      <c r="A27" s="3">
        <v>4</v>
      </c>
      <c r="B27" s="10">
        <f t="shared" si="0"/>
        <v>0.99438008017755997</v>
      </c>
      <c r="C27" s="10">
        <f t="shared" si="1"/>
        <v>0.81272848035382284</v>
      </c>
      <c r="D27" s="10">
        <f t="shared" si="2"/>
        <v>0.69908912391663647</v>
      </c>
      <c r="E27" s="12">
        <f t="shared" si="3"/>
        <v>1136.3392826253066</v>
      </c>
    </row>
    <row r="28" spans="1:5">
      <c r="A28" s="3">
        <v>4.25</v>
      </c>
      <c r="B28" s="10">
        <f t="shared" si="0"/>
        <v>0.99394999242942772</v>
      </c>
      <c r="C28" s="10">
        <f t="shared" si="1"/>
        <v>0.80287540516433631</v>
      </c>
      <c r="D28" s="10">
        <f t="shared" si="2"/>
        <v>0.70817954179397902</v>
      </c>
      <c r="E28" s="12">
        <f t="shared" si="3"/>
        <v>1137.1598730938699</v>
      </c>
    </row>
    <row r="29" spans="1:5">
      <c r="A29" s="3">
        <v>4.5</v>
      </c>
      <c r="B29" s="10">
        <f t="shared" si="0"/>
        <v>0.99350896538012545</v>
      </c>
      <c r="C29" s="10">
        <f t="shared" si="1"/>
        <v>0.79314178326464624</v>
      </c>
      <c r="D29" s="10">
        <f t="shared" si="2"/>
        <v>0.71744653162516481</v>
      </c>
      <c r="E29" s="12">
        <f t="shared" si="3"/>
        <v>1138.0736429804372</v>
      </c>
    </row>
    <row r="30" spans="1:5">
      <c r="A30" s="3">
        <v>4.75</v>
      </c>
      <c r="B30" s="10">
        <f t="shared" si="0"/>
        <v>0.99305668399313807</v>
      </c>
      <c r="C30" s="10">
        <f t="shared" si="1"/>
        <v>0.78352616646845896</v>
      </c>
      <c r="D30" s="10">
        <f t="shared" si="2"/>
        <v>0.72689220553626888</v>
      </c>
      <c r="E30" s="12">
        <f t="shared" si="3"/>
        <v>1139.0781264792718</v>
      </c>
    </row>
    <row r="31" spans="1:5">
      <c r="A31" s="3">
        <v>5</v>
      </c>
      <c r="B31" s="10">
        <f t="shared" si="0"/>
        <v>0.99259282443321262</v>
      </c>
      <c r="C31" s="10">
        <f t="shared" si="1"/>
        <v>0.77402712414649788</v>
      </c>
      <c r="D31" s="10">
        <f t="shared" si="2"/>
        <v>0.73651869262037339</v>
      </c>
      <c r="E31" s="12">
        <f t="shared" si="3"/>
        <v>1140.1708910581719</v>
      </c>
    </row>
    <row r="32" spans="1:5">
      <c r="A32" s="3">
        <v>5.25</v>
      </c>
      <c r="B32" s="10">
        <f t="shared" si="0"/>
        <v>0.99211705383703841</v>
      </c>
      <c r="C32" s="10">
        <f t="shared" si="1"/>
        <v>0.7646432430136535</v>
      </c>
      <c r="D32" s="10">
        <f t="shared" si="2"/>
        <v>0.74632813808282283</v>
      </c>
      <c r="E32" s="12">
        <f t="shared" si="3"/>
        <v>1141.349535711983</v>
      </c>
    </row>
    <row r="33" spans="1:5">
      <c r="A33" s="3">
        <v>5.5</v>
      </c>
      <c r="B33" s="10">
        <f t="shared" si="0"/>
        <v>0.99162903007896441</v>
      </c>
      <c r="C33" s="10">
        <f t="shared" si="1"/>
        <v>0.75537312691871061</v>
      </c>
      <c r="D33" s="10">
        <f t="shared" si="2"/>
        <v>0.75632270232615662</v>
      </c>
      <c r="E33" s="12">
        <f t="shared" si="3"/>
        <v>1142.6116892314362</v>
      </c>
    </row>
    <row r="34" spans="1:5">
      <c r="A34" s="3">
        <v>5.75</v>
      </c>
      <c r="B34" s="10">
        <f t="shared" si="0"/>
        <v>0.99112840153171167</v>
      </c>
      <c r="C34" s="10">
        <f t="shared" si="1"/>
        <v>0.74621539663662761</v>
      </c>
      <c r="D34" s="10">
        <f t="shared" si="2"/>
        <v>0.7665045599678566</v>
      </c>
      <c r="E34" s="12">
        <f t="shared" si="3"/>
        <v>1143.9550084803955</v>
      </c>
    </row>
    <row r="35" spans="1:5">
      <c r="A35" s="3">
        <v>6</v>
      </c>
      <c r="B35" s="10">
        <f t="shared" si="0"/>
        <v>0.99061480682204561</v>
      </c>
      <c r="C35" s="10">
        <f t="shared" si="1"/>
        <v>0.73716868966333127</v>
      </c>
      <c r="D35" s="10">
        <f t="shared" si="2"/>
        <v>0.77687589879298113</v>
      </c>
      <c r="E35" s="12">
        <f t="shared" si="3"/>
        <v>1145.3771766884893</v>
      </c>
    </row>
    <row r="36" spans="1:5">
      <c r="A36" s="3">
        <v>6.25</v>
      </c>
      <c r="B36" s="10">
        <f t="shared" si="0"/>
        <v>0.99008787458137504</v>
      </c>
      <c r="C36" s="10">
        <f t="shared" si="1"/>
        <v>0.72823166001300332</v>
      </c>
      <c r="D36" s="10">
        <f t="shared" si="2"/>
        <v>0.78743891863076276</v>
      </c>
      <c r="E36" s="12">
        <f t="shared" si="3"/>
        <v>1146.8759017466491</v>
      </c>
    </row>
    <row r="37" spans="1:5">
      <c r="A37" s="3">
        <v>6.5</v>
      </c>
      <c r="B37" s="10">
        <f t="shared" si="0"/>
        <v>0.9895472231912551</v>
      </c>
      <c r="C37" s="10">
        <f t="shared" si="1"/>
        <v>0.71940297801781972</v>
      </c>
      <c r="D37" s="10">
        <f t="shared" si="2"/>
        <v>0.79819583016395379</v>
      </c>
      <c r="E37" s="12">
        <f t="shared" si="3"/>
        <v>1148.4489145227083</v>
      </c>
    </row>
    <row r="38" spans="1:5">
      <c r="A38" s="3">
        <v>6.75</v>
      </c>
      <c r="B38" s="10">
        <f t="shared" si="0"/>
        <v>0.98899246052376988</v>
      </c>
      <c r="C38" s="10">
        <f t="shared" si="1"/>
        <v>0.71068133013012147</v>
      </c>
      <c r="D38" s="10">
        <f t="shared" si="2"/>
        <v>0.80914885365017719</v>
      </c>
      <c r="E38" s="12">
        <f t="shared" si="3"/>
        <v>1150.0939671707417</v>
      </c>
    </row>
    <row r="39" spans="1:5">
      <c r="A39" s="3">
        <v>7</v>
      </c>
      <c r="B39" s="10">
        <f t="shared" si="0"/>
        <v>0.98842318367678839</v>
      </c>
      <c r="C39" s="10">
        <f t="shared" si="1"/>
        <v>0.70206541872698214</v>
      </c>
      <c r="D39" s="10">
        <f t="shared" si="2"/>
        <v>0.82030021757177674</v>
      </c>
      <c r="E39" s="12">
        <f t="shared" si="3"/>
        <v>1151.808831462728</v>
      </c>
    </row>
    <row r="40" spans="1:5">
      <c r="A40" s="3">
        <v>7.25</v>
      </c>
      <c r="B40" s="10">
        <f t="shared" si="0"/>
        <v>0.98783897870408144</v>
      </c>
      <c r="C40" s="10">
        <f t="shared" si="1"/>
        <v>0.69355396191714602</v>
      </c>
      <c r="D40" s="10">
        <f t="shared" si="2"/>
        <v>0.83165215718743357</v>
      </c>
      <c r="E40" s="12">
        <f t="shared" si="3"/>
        <v>1153.5912971085713</v>
      </c>
    </row>
    <row r="41" spans="1:5">
      <c r="A41" s="3">
        <v>7.5</v>
      </c>
      <c r="B41" s="10">
        <f t="shared" si="0"/>
        <v>0.98723942034031076</v>
      </c>
      <c r="C41" s="10">
        <f t="shared" si="1"/>
        <v>0.6851456933503044</v>
      </c>
      <c r="D41" s="10">
        <f t="shared" si="2"/>
        <v>0.84320691300679296</v>
      </c>
      <c r="E41" s="12">
        <f t="shared" si="3"/>
        <v>1155.4391700996177</v>
      </c>
    </row>
    <row r="42" spans="1:5">
      <c r="A42" s="3">
        <v>7.75</v>
      </c>
      <c r="B42" s="10">
        <f t="shared" si="0"/>
        <v>0.98662407172089261</v>
      </c>
      <c r="C42" s="10">
        <f t="shared" si="1"/>
        <v>0.67683936202868722</v>
      </c>
      <c r="D42" s="10">
        <f t="shared" si="2"/>
        <v>0.85496672916026673</v>
      </c>
      <c r="E42" s="12">
        <f t="shared" si="3"/>
        <v>1157.3502710411767</v>
      </c>
    </row>
    <row r="43" spans="1:5">
      <c r="A43" s="3">
        <v>8</v>
      </c>
      <c r="B43" s="10">
        <f t="shared" si="0"/>
        <v>0.98599248409676443</v>
      </c>
      <c r="C43" s="10">
        <f t="shared" si="1"/>
        <v>0.66863373212093535</v>
      </c>
      <c r="D43" s="10">
        <f t="shared" si="2"/>
        <v>0.86693385167712478</v>
      </c>
      <c r="E43" s="12">
        <f t="shared" si="3"/>
        <v>1159.3224334977067</v>
      </c>
    </row>
    <row r="44" spans="1:5">
      <c r="A44" s="3">
        <v>8.25</v>
      </c>
      <c r="B44" s="10">
        <f t="shared" si="0"/>
        <v>0.98534419654408056</v>
      </c>
      <c r="C44" s="10">
        <f t="shared" si="1"/>
        <v>0.66052758277823431</v>
      </c>
      <c r="D44" s="10">
        <f t="shared" si="2"/>
        <v>0.87911052665403511</v>
      </c>
      <c r="E44" s="12">
        <f t="shared" si="3"/>
        <v>1161.3535023313805</v>
      </c>
    </row>
    <row r="45" spans="1:5">
      <c r="A45" s="3">
        <v>8.5</v>
      </c>
      <c r="B45" s="10">
        <f t="shared" si="0"/>
        <v>0.98467873566888409</v>
      </c>
      <c r="C45" s="10">
        <f t="shared" si="1"/>
        <v>0.65251970795267089</v>
      </c>
      <c r="D45" s="10">
        <f t="shared" si="2"/>
        <v>0.89149899832448276</v>
      </c>
      <c r="E45" s="12">
        <f t="shared" si="3"/>
        <v>1163.4413320535803</v>
      </c>
    </row>
    <row r="46" spans="1:5">
      <c r="A46" s="3">
        <v>8.75</v>
      </c>
      <c r="B46" s="10">
        <f t="shared" si="0"/>
        <v>0.98399561530680213</v>
      </c>
      <c r="C46" s="10">
        <f t="shared" si="1"/>
        <v>0.64460891621779726</v>
      </c>
      <c r="D46" s="10">
        <f t="shared" si="2"/>
        <v>0.90410150700700842</v>
      </c>
      <c r="E46" s="12">
        <f t="shared" si="3"/>
        <v>1165.5837851653298</v>
      </c>
    </row>
    <row r="47" spans="1:5">
      <c r="A47" s="3">
        <v>9</v>
      </c>
      <c r="B47" s="10">
        <f t="shared" si="0"/>
        <v>0.98329433621783779</v>
      </c>
      <c r="C47" s="10">
        <f t="shared" si="1"/>
        <v>0.63679403059136708</v>
      </c>
      <c r="D47" s="10">
        <f t="shared" si="2"/>
        <v>0.91692028694071415</v>
      </c>
      <c r="E47" s="12">
        <f t="shared" si="3"/>
        <v>1167.7787305039403</v>
      </c>
    </row>
    <row r="48" spans="1:5">
      <c r="A48" s="3">
        <v>9.25</v>
      </c>
      <c r="B48" s="10">
        <f t="shared" si="0"/>
        <v>0.98257438577633538</v>
      </c>
      <c r="C48" s="10">
        <f t="shared" si="1"/>
        <v>0.62907388836022304</v>
      </c>
      <c r="D48" s="10">
        <f t="shared" si="2"/>
        <v>0.92995756399564655</v>
      </c>
      <c r="E48" s="12">
        <f t="shared" si="3"/>
        <v>1170.0240415854846</v>
      </c>
    </row>
    <row r="49" spans="1:5">
      <c r="A49" s="3">
        <v>9.5</v>
      </c>
      <c r="B49" s="10">
        <f t="shared" si="0"/>
        <v>0.98183523765621572</v>
      </c>
      <c r="C49" s="10">
        <f t="shared" si="1"/>
        <v>0.62144734090730558</v>
      </c>
      <c r="D49" s="10">
        <f t="shared" si="2"/>
        <v>0.94321555325768036</v>
      </c>
      <c r="E49" s="12">
        <f t="shared" si="3"/>
        <v>1172.317594948797</v>
      </c>
    </row>
    <row r="50" spans="1:5">
      <c r="A50" s="3">
        <v>9.75</v>
      </c>
      <c r="B50" s="10">
        <f t="shared" si="0"/>
        <v>0.98107635151159034</v>
      </c>
      <c r="C50" s="10">
        <f t="shared" si="1"/>
        <v>0.61391325354075932</v>
      </c>
      <c r="D50" s="10">
        <f t="shared" si="2"/>
        <v>0.95669645647612234</v>
      </c>
      <c r="E50" s="12">
        <f t="shared" si="3"/>
        <v>1174.6572684923433</v>
      </c>
    </row>
    <row r="51" spans="1:5">
      <c r="A51" s="3">
        <v>10</v>
      </c>
      <c r="B51" s="10">
        <f t="shared" si="0"/>
        <v>0.98029717265288485</v>
      </c>
      <c r="C51" s="10">
        <f t="shared" si="1"/>
        <v>0.60647050532511138</v>
      </c>
      <c r="D51" s="10">
        <f t="shared" si="2"/>
        <v>0.97040245937392067</v>
      </c>
      <c r="E51" s="12">
        <f t="shared" si="3"/>
        <v>1177.040939810465</v>
      </c>
    </row>
    <row r="52" spans="1:5">
      <c r="A52" s="3">
        <v>10.25</v>
      </c>
      <c r="B52" s="10">
        <f t="shared" si="0"/>
        <v>0.97949713171861574</v>
      </c>
      <c r="C52" s="10">
        <f t="shared" si="1"/>
        <v>0.59911798891449808</v>
      </c>
      <c r="D52" s="10">
        <f t="shared" si="2"/>
        <v>0.98433572881037035</v>
      </c>
      <c r="E52" s="12">
        <f t="shared" si="3"/>
        <v>1179.4664845231118</v>
      </c>
    </row>
    <row r="53" spans="1:5">
      <c r="A53" s="3">
        <v>10.5</v>
      </c>
      <c r="B53" s="10">
        <f t="shared" si="0"/>
        <v>0.97867564434298726</v>
      </c>
      <c r="C53" s="10">
        <f t="shared" si="1"/>
        <v>0.59185461038790999</v>
      </c>
      <c r="D53" s="10">
        <f t="shared" si="2"/>
        <v>0.99849840979491522</v>
      </c>
      <c r="E53" s="12">
        <f t="shared" si="3"/>
        <v>1181.9317746042343</v>
      </c>
    </row>
    <row r="54" spans="1:5">
      <c r="A54" s="3">
        <v>10.75</v>
      </c>
      <c r="B54" s="10">
        <f t="shared" si="0"/>
        <v>0.97783211081949195</v>
      </c>
      <c r="C54" s="10">
        <f t="shared" si="1"/>
        <v>0.5846792890864374</v>
      </c>
      <c r="D54" s="10">
        <f t="shared" si="2"/>
        <v>1.0128926223408692</v>
      </c>
      <c r="E54" s="12">
        <f t="shared" si="3"/>
        <v>1184.4346767023135</v>
      </c>
    </row>
    <row r="55" spans="1:5">
      <c r="A55" s="3">
        <v>11</v>
      </c>
      <c r="B55" s="10">
        <f t="shared" si="0"/>
        <v>0.97696591576072433</v>
      </c>
      <c r="C55" s="10">
        <f t="shared" si="1"/>
        <v>0.57759095745248701</v>
      </c>
      <c r="D55" s="10">
        <f t="shared" si="2"/>
        <v>1.0275204581537822</v>
      </c>
      <c r="E55" s="12">
        <f t="shared" si="3"/>
        <v>1186.9730504541226</v>
      </c>
    </row>
    <row r="56" spans="1:5">
      <c r="A56" s="3">
        <v>11.25</v>
      </c>
      <c r="B56" s="10">
        <f t="shared" si="0"/>
        <v>0.97607642775463976</v>
      </c>
      <c r="C56" s="10">
        <f t="shared" si="1"/>
        <v>0.57058856087095067</v>
      </c>
      <c r="D56" s="10">
        <f t="shared" si="2"/>
        <v>1.0423839771482284</v>
      </c>
      <c r="E56" s="12">
        <f t="shared" si="3"/>
        <v>1189.5447467918912</v>
      </c>
    </row>
    <row r="57" spans="1:5">
      <c r="A57" s="3">
        <v>11.5</v>
      </c>
      <c r="B57" s="10">
        <f t="shared" si="0"/>
        <v>0.97516299901751513</v>
      </c>
      <c r="C57" s="10">
        <f t="shared" si="1"/>
        <v>0.56367105751229518</v>
      </c>
      <c r="D57" s="10">
        <f t="shared" si="2"/>
        <v>1.0574852037905984</v>
      </c>
      <c r="E57" s="12">
        <f t="shared" si="3"/>
        <v>1192.1476062485033</v>
      </c>
    </row>
    <row r="58" spans="1:5">
      <c r="A58" s="3">
        <v>11.75</v>
      </c>
      <c r="B58" s="10">
        <f t="shared" si="0"/>
        <v>0.97422496504389078</v>
      </c>
      <c r="C58" s="10">
        <f t="shared" si="1"/>
        <v>0.5568374181775595</v>
      </c>
      <c r="D58" s="10">
        <f t="shared" si="2"/>
        <v>1.0728261232489524</v>
      </c>
      <c r="E58" s="12">
        <f t="shared" si="3"/>
        <v>1194.7794572467737</v>
      </c>
    </row>
    <row r="59" spans="1:5">
      <c r="A59" s="3">
        <v>12</v>
      </c>
      <c r="B59" s="10">
        <f t="shared" si="0"/>
        <v>0.97326164425381156</v>
      </c>
      <c r="C59" s="10">
        <f t="shared" si="1"/>
        <v>0.55008662614522574</v>
      </c>
      <c r="D59" s="10">
        <f t="shared" si="2"/>
        <v>1.0884086773560837</v>
      </c>
      <c r="E59" s="12">
        <f t="shared" si="3"/>
        <v>1197.4381143879914</v>
      </c>
    </row>
    <row r="60" spans="1:5">
      <c r="A60" s="3">
        <v>12.25</v>
      </c>
      <c r="B60" s="10">
        <f t="shared" si="0"/>
        <v>0.97227233763770349</v>
      </c>
      <c r="C60" s="10">
        <f t="shared" si="1"/>
        <v>0.54341767701995292</v>
      </c>
      <c r="D60" s="10">
        <f t="shared" si="2"/>
        <v>1.1042347603664577</v>
      </c>
      <c r="E60" s="12">
        <f t="shared" si="3"/>
        <v>1200.1213767260497</v>
      </c>
    </row>
    <row r="61" spans="1:5">
      <c r="A61" s="3">
        <v>12.5</v>
      </c>
      <c r="B61" s="10">
        <f t="shared" si="0"/>
        <v>0.97125632839926468</v>
      </c>
      <c r="C61" s="10">
        <f t="shared" si="1"/>
        <v>0.53682957858313829</v>
      </c>
      <c r="D61" s="10">
        <f t="shared" si="2"/>
        <v>1.1203062145117868</v>
      </c>
      <c r="E61" s="12">
        <f t="shared" si="3"/>
        <v>1202.8270260408669</v>
      </c>
    </row>
    <row r="62" spans="1:5">
      <c r="A62" s="3">
        <v>12.75</v>
      </c>
      <c r="B62" s="10">
        <f t="shared" si="0"/>
        <v>0.97021288159677233</v>
      </c>
      <c r="C62" s="10">
        <f t="shared" si="1"/>
        <v>0.53032135064529462</v>
      </c>
      <c r="D62" s="10">
        <f t="shared" si="2"/>
        <v>1.1366248253311517</v>
      </c>
      <c r="E62" s="12">
        <f t="shared" si="3"/>
        <v>1205.5528250931768</v>
      </c>
    </row>
    <row r="63" spans="1:5">
      <c r="A63" s="3">
        <v>13</v>
      </c>
      <c r="B63" s="10">
        <f t="shared" si="0"/>
        <v>0.96914124378325783</v>
      </c>
      <c r="C63" s="10">
        <f t="shared" si="1"/>
        <v>0.52389202490021491</v>
      </c>
      <c r="D63" s="10">
        <f t="shared" si="2"/>
        <v>1.153192316785979</v>
      </c>
      <c r="E63" s="12">
        <f t="shared" si="3"/>
        <v>1208.2965158807533</v>
      </c>
    </row>
    <row r="64" spans="1:5">
      <c r="A64" s="3">
        <v>13.25</v>
      </c>
      <c r="B64" s="10">
        <f t="shared" si="0"/>
        <v>0.96804064264602385</v>
      </c>
      <c r="C64" s="10">
        <f t="shared" si="1"/>
        <v>0.51754064478090755</v>
      </c>
      <c r="D64" s="10">
        <f t="shared" si="2"/>
        <v>1.1700103461312932</v>
      </c>
      <c r="E64" s="12">
        <f t="shared" si="3"/>
        <v>1211.0558178742444</v>
      </c>
    </row>
    <row r="65" spans="1:5">
      <c r="A65" s="3">
        <v>13.5</v>
      </c>
      <c r="B65" s="10">
        <f t="shared" si="0"/>
        <v>0.96691028664603607</v>
      </c>
      <c r="C65" s="10">
        <f t="shared" si="1"/>
        <v>0.51126626531727459</v>
      </c>
      <c r="D65" s="10">
        <f t="shared" si="2"/>
        <v>1.1870804985571555</v>
      </c>
      <c r="E65" s="12">
        <f t="shared" si="3"/>
        <v>1213.8284262565703</v>
      </c>
    </row>
    <row r="66" spans="1:5">
      <c r="A66" s="3">
        <v>13.75</v>
      </c>
      <c r="B66" s="10">
        <f t="shared" si="0"/>
        <v>0.96574936465774441</v>
      </c>
      <c r="C66" s="10">
        <f t="shared" si="1"/>
        <v>0.50506795299551888</v>
      </c>
      <c r="D66" s="10">
        <f t="shared" si="2"/>
        <v>1.2044042815686491</v>
      </c>
      <c r="E66" s="12">
        <f t="shared" si="3"/>
        <v>1216.6120101418323</v>
      </c>
    </row>
    <row r="67" spans="1:5">
      <c r="A67" s="3">
        <v>14</v>
      </c>
      <c r="B67" s="10">
        <f t="shared" si="0"/>
        <v>0.96455704560995548</v>
      </c>
      <c r="C67" s="10">
        <f t="shared" si="1"/>
        <v>0.49894478561925226</v>
      </c>
      <c r="D67" s="10">
        <f t="shared" si="2"/>
        <v>1.2219831191151918</v>
      </c>
      <c r="E67" s="12">
        <f t="shared" si="3"/>
        <v>1219.404210794549</v>
      </c>
    </row>
    <row r="68" spans="1:5">
      <c r="A68" s="3">
        <v>14.25</v>
      </c>
      <c r="B68" s="10">
        <f t="shared" si="0"/>
        <v>0.96333247812840683</v>
      </c>
      <c r="C68" s="10">
        <f t="shared" si="1"/>
        <v>0.49289585217229281</v>
      </c>
      <c r="D68" s="10">
        <f t="shared" si="2"/>
        <v>1.2398183454420864</v>
      </c>
      <c r="E68" s="12">
        <f t="shared" si="3"/>
        <v>1222.2026398310386</v>
      </c>
    </row>
    <row r="69" spans="1:5">
      <c r="A69" s="3">
        <v>14.5</v>
      </c>
      <c r="B69" s="10">
        <f t="shared" si="0"/>
        <v>0.96207479018076236</v>
      </c>
      <c r="C69" s="10">
        <f t="shared" si="1"/>
        <v>0.4869202526831185</v>
      </c>
      <c r="D69" s="10">
        <f t="shared" si="2"/>
        <v>1.2579111986754987</v>
      </c>
      <c r="E69" s="12">
        <f t="shared" si="3"/>
        <v>1225.0048774239965</v>
      </c>
    </row>
    <row r="70" spans="1:5">
      <c r="A70" s="3">
        <v>14.75</v>
      </c>
      <c r="B70" s="10">
        <f t="shared" si="0"/>
        <v>0.96078308872478069</v>
      </c>
      <c r="C70" s="10">
        <f t="shared" si="1"/>
        <v>0.48101709809097021</v>
      </c>
      <c r="D70" s="10">
        <f t="shared" si="2"/>
        <v>1.2762628141090362</v>
      </c>
      <c r="E70" s="12">
        <f t="shared" si="3"/>
        <v>1227.8084704882879</v>
      </c>
    </row>
    <row r="71" spans="1:5">
      <c r="A71" s="3">
        <v>15</v>
      </c>
      <c r="B71" s="10">
        <f t="shared" si="0"/>
        <v>0.95945645936048762</v>
      </c>
      <c r="C71" s="10">
        <f t="shared" si="1"/>
        <v>0.47518551011357363</v>
      </c>
      <c r="D71" s="10">
        <f>(B71-B72)*C71*1000</f>
        <v>0.64743710860092085</v>
      </c>
      <c r="E71" s="12">
        <f>D71*C71*1000</f>
        <v>307.65273271698572</v>
      </c>
    </row>
    <row r="72" spans="1:5">
      <c r="A72" s="3">
        <v>15.25</v>
      </c>
      <c r="B72" s="10">
        <f t="shared" si="0"/>
        <v>0.95809396598722341</v>
      </c>
      <c r="C72" s="10">
        <f t="shared" si="1"/>
        <v>0.46942462111646938</v>
      </c>
      <c r="D72" s="10">
        <f>(B72-B73)*C72*1000</f>
        <v>0.65687315813134206</v>
      </c>
      <c r="E72" s="12">
        <f t="shared" ref="E72:E135" si="4">D72*C72*1000</f>
        <v>308.35243337738393</v>
      </c>
    </row>
    <row r="73" spans="1:5">
      <c r="A73" s="3">
        <v>15.5</v>
      </c>
      <c r="B73" s="10">
        <f t="shared" si="0"/>
        <v>0.95669465046651414</v>
      </c>
      <c r="C73" s="10">
        <f t="shared" si="1"/>
        <v>0.4637335739839224</v>
      </c>
      <c r="D73" s="10">
        <f t="shared" ref="D73:D136" si="5">(B73-B74)*C73*1000</f>
        <v>0.66643994741288781</v>
      </c>
      <c r="E73" s="12">
        <f t="shared" si="4"/>
        <v>309.05057865943576</v>
      </c>
    </row>
    <row r="74" spans="1:5">
      <c r="A74" s="3">
        <v>15.75</v>
      </c>
      <c r="B74" s="10">
        <f t="shared" si="0"/>
        <v>0.95525753229176669</v>
      </c>
      <c r="C74" s="10">
        <f t="shared" si="1"/>
        <v>0.45811152199140021</v>
      </c>
      <c r="D74" s="10">
        <f t="shared" si="5"/>
        <v>0.67613780184680106</v>
      </c>
      <c r="E74" s="12">
        <f t="shared" si="4"/>
        <v>309.74651747995779</v>
      </c>
    </row>
    <row r="75" spans="1:5">
      <c r="A75" s="3">
        <v>16</v>
      </c>
      <c r="B75" s="10">
        <f t="shared" ref="B75:B138" si="6">(B$8^A75)*(B$7^((B$5^50)*(B$5^A75-1)))</f>
        <v>0.95378160826587088</v>
      </c>
      <c r="C75" s="10">
        <f t="shared" si="1"/>
        <v>0.45255762867959387</v>
      </c>
      <c r="D75" s="10">
        <f t="shared" si="5"/>
        <v>0.68596697632361026</v>
      </c>
      <c r="E75" s="12">
        <f t="shared" si="4"/>
        <v>310.43958815752416</v>
      </c>
    </row>
    <row r="76" spans="1:5">
      <c r="A76" s="3">
        <v>16.25</v>
      </c>
      <c r="B76" s="10">
        <f t="shared" si="6"/>
        <v>0.95226585218785487</v>
      </c>
      <c r="C76" s="10">
        <f t="shared" ref="C76:C139" si="7">(1+$B$6)^-(A76+0.25)</f>
        <v>0.44707106772997074</v>
      </c>
      <c r="D76" s="10">
        <f t="shared" si="5"/>
        <v>0.69592765090324837</v>
      </c>
      <c r="E76" s="12">
        <f t="shared" si="4"/>
        <v>311.12911795212563</v>
      </c>
    </row>
    <row r="77" spans="1:5">
      <c r="A77" s="3">
        <v>16.5</v>
      </c>
      <c r="B77" s="10">
        <f t="shared" si="6"/>
        <v>0.95070921454982371</v>
      </c>
      <c r="C77" s="10">
        <f t="shared" si="7"/>
        <v>0.44165102284183089</v>
      </c>
      <c r="D77" s="10">
        <f t="shared" si="5"/>
        <v>0.70601992632090316</v>
      </c>
      <c r="E77" s="12">
        <f t="shared" si="4"/>
        <v>311.81442260634094</v>
      </c>
    </row>
    <row r="78" spans="1:5">
      <c r="A78" s="3">
        <v>16.75</v>
      </c>
      <c r="B78" s="10">
        <f t="shared" si="6"/>
        <v>0.94911062224547904</v>
      </c>
      <c r="C78" s="10">
        <f t="shared" si="7"/>
        <v>0.43629668761085727</v>
      </c>
      <c r="D78" s="10">
        <f t="shared" si="5"/>
        <v>0.71624381930541947</v>
      </c>
      <c r="E78" s="12">
        <f t="shared" si="4"/>
        <v>312.49480588470391</v>
      </c>
    </row>
    <row r="79" spans="1:5">
      <c r="A79" s="3">
        <v>17</v>
      </c>
      <c r="B79" s="10">
        <f t="shared" si="6"/>
        <v>0.94746897829161925</v>
      </c>
      <c r="C79" s="10">
        <f t="shared" si="7"/>
        <v>0.43100726540913703</v>
      </c>
      <c r="D79" s="10">
        <f t="shared" si="5"/>
        <v>0.72659925771301015</v>
      </c>
      <c r="E79" s="12">
        <f t="shared" si="4"/>
        <v>313.16955911519335</v>
      </c>
    </row>
    <row r="80" spans="1:5">
      <c r="A80" s="3">
        <v>17.25</v>
      </c>
      <c r="B80" s="10">
        <f t="shared" si="6"/>
        <v>0.94578316156409081</v>
      </c>
      <c r="C80" s="10">
        <f t="shared" si="7"/>
        <v>0.42578196926663886</v>
      </c>
      <c r="D80" s="10">
        <f t="shared" si="5"/>
        <v>0.73708607546520122</v>
      </c>
      <c r="E80" s="12">
        <f t="shared" si="4"/>
        <v>313.83796073059176</v>
      </c>
    </row>
    <row r="81" spans="1:5">
      <c r="A81" s="3">
        <v>17.5</v>
      </c>
      <c r="B81" s="10">
        <f t="shared" si="6"/>
        <v>0.94405202654976705</v>
      </c>
      <c r="C81" s="10">
        <f t="shared" si="7"/>
        <v>0.42062002175412466</v>
      </c>
      <c r="D81" s="10">
        <f t="shared" si="5"/>
        <v>0.74770400729372644</v>
      </c>
      <c r="E81" s="12">
        <f t="shared" si="4"/>
        <v>314.49927581353336</v>
      </c>
    </row>
    <row r="82" spans="1:5">
      <c r="A82" s="3">
        <v>17.75</v>
      </c>
      <c r="B82" s="10">
        <f t="shared" si="6"/>
        <v>0.94227440311620925</v>
      </c>
      <c r="C82" s="10">
        <f t="shared" si="7"/>
        <v>0.41552065486748313</v>
      </c>
      <c r="D82" s="10">
        <f t="shared" si="5"/>
        <v>0.75845268327699822</v>
      </c>
      <c r="E82" s="12">
        <f t="shared" si="4"/>
        <v>315.15275564125807</v>
      </c>
    </row>
    <row r="83" spans="1:5">
      <c r="A83" s="3">
        <v>18</v>
      </c>
      <c r="B83" s="10">
        <f t="shared" si="6"/>
        <v>0.94044909630079021</v>
      </c>
      <c r="C83" s="10">
        <f t="shared" si="7"/>
        <v>0.41048310991346382</v>
      </c>
      <c r="D83" s="10">
        <f t="shared" si="5"/>
        <v>0.76933162317609682</v>
      </c>
      <c r="E83" s="12">
        <f t="shared" si="4"/>
        <v>315.79763723609727</v>
      </c>
    </row>
    <row r="84" spans="1:5">
      <c r="A84" s="3">
        <v>18.25</v>
      </c>
      <c r="B84" s="10">
        <f t="shared" si="6"/>
        <v>0.9385748861211356</v>
      </c>
      <c r="C84" s="10">
        <f t="shared" si="7"/>
        <v>0.40550663739679882</v>
      </c>
      <c r="D84" s="10">
        <f t="shared" si="5"/>
        <v>0.78034023055263368</v>
      </c>
      <c r="E84" s="12">
        <f t="shared" si="4"/>
        <v>316.43314291684123</v>
      </c>
    </row>
    <row r="85" spans="1:5">
      <c r="A85" s="3">
        <v>18.5</v>
      </c>
      <c r="B85" s="10">
        <f t="shared" si="6"/>
        <v>0.93665052740887844</v>
      </c>
      <c r="C85" s="10">
        <f t="shared" si="7"/>
        <v>0.40059049690869014</v>
      </c>
      <c r="D85" s="10">
        <f t="shared" si="5"/>
        <v>0.79147778667788959</v>
      </c>
      <c r="E85" s="12">
        <f t="shared" si="4"/>
        <v>317.05847985748602</v>
      </c>
    </row>
    <row r="86" spans="1:5">
      <c r="A86" s="3">
        <v>18.75</v>
      </c>
      <c r="B86" s="10">
        <f t="shared" si="6"/>
        <v>0.93467474966880315</v>
      </c>
      <c r="C86" s="10">
        <f t="shared" si="7"/>
        <v>0.39573395701665059</v>
      </c>
      <c r="D86" s="10">
        <f t="shared" si="5"/>
        <v>0.80274344421680055</v>
      </c>
      <c r="E86" s="12">
        <f t="shared" si="4"/>
        <v>317.67283964908938</v>
      </c>
    </row>
    <row r="87" spans="1:5">
      <c r="A87" s="3">
        <v>19</v>
      </c>
      <c r="B87" s="10">
        <f t="shared" si="6"/>
        <v>0.93264625696560299</v>
      </c>
      <c r="C87" s="10">
        <f t="shared" si="7"/>
        <v>0.39093629515567979</v>
      </c>
      <c r="D87" s="10">
        <f t="shared" si="5"/>
        <v>0.8141362206920022</v>
      </c>
      <c r="E87" s="12">
        <f t="shared" si="4"/>
        <v>318.27539786937825</v>
      </c>
    </row>
    <row r="88" spans="1:5">
      <c r="A88" s="3">
        <v>19.25</v>
      </c>
      <c r="B88" s="10">
        <f t="shared" si="6"/>
        <v>0.93056372784057562</v>
      </c>
      <c r="C88" s="10">
        <f t="shared" si="7"/>
        <v>0.3861967975207608</v>
      </c>
      <c r="D88" s="10">
        <f t="shared" si="5"/>
        <v>0.82565499171826195</v>
      </c>
      <c r="E88" s="12">
        <f t="shared" si="4"/>
        <v>318.86531365862305</v>
      </c>
    </row>
    <row r="89" spans="1:5">
      <c r="A89" s="3">
        <v>19.5</v>
      </c>
      <c r="B89" s="10">
        <f t="shared" si="6"/>
        <v>0.92842581526072343</v>
      </c>
      <c r="C89" s="10">
        <f t="shared" si="7"/>
        <v>0.38151475896065723</v>
      </c>
      <c r="D89" s="10">
        <f t="shared" si="5"/>
        <v>0.83729848400976048</v>
      </c>
      <c r="E89" s="12">
        <f t="shared" si="4"/>
        <v>319.44172930510751</v>
      </c>
    </row>
    <row r="90" spans="1:5">
      <c r="A90" s="3">
        <v>19.75</v>
      </c>
      <c r="B90" s="10">
        <f t="shared" si="6"/>
        <v>0.926231146602843</v>
      </c>
      <c r="C90" s="10">
        <f t="shared" si="7"/>
        <v>0.37688948287300061</v>
      </c>
      <c r="D90" s="10">
        <f t="shared" si="5"/>
        <v>0.84906526815194716</v>
      </c>
      <c r="E90" s="12">
        <f t="shared" si="4"/>
        <v>320.00376983921296</v>
      </c>
    </row>
    <row r="91" spans="1:5">
      <c r="A91" s="3">
        <v>20</v>
      </c>
      <c r="B91" s="10">
        <f t="shared" si="6"/>
        <v>0.92397832367533761</v>
      </c>
      <c r="C91" s="10">
        <f t="shared" si="7"/>
        <v>0.37232028110064735</v>
      </c>
      <c r="D91" s="10">
        <f t="shared" si="5"/>
        <v>0.86095375114006023</v>
      </c>
      <c r="E91" s="12">
        <f t="shared" si="4"/>
        <v>320.55054263912405</v>
      </c>
    </row>
    <row r="92" spans="1:5">
      <c r="A92" s="3">
        <v>20.25</v>
      </c>
      <c r="B92" s="10">
        <f t="shared" si="6"/>
        <v>0.92166592278061621</v>
      </c>
      <c r="C92" s="10">
        <f t="shared" si="7"/>
        <v>0.36780647382929599</v>
      </c>
      <c r="D92" s="10">
        <f t="shared" si="5"/>
        <v>0.87296216867817811</v>
      </c>
      <c r="E92" s="12">
        <f t="shared" si="4"/>
        <v>321.08113704789577</v>
      </c>
    </row>
    <row r="93" spans="1:5">
      <c r="A93" s="3">
        <v>20.5</v>
      </c>
      <c r="B93" s="10">
        <f t="shared" si="6"/>
        <v>0.91929249482109821</v>
      </c>
      <c r="C93" s="10">
        <f t="shared" si="7"/>
        <v>0.36334738948634016</v>
      </c>
      <c r="D93" s="10">
        <f t="shared" si="5"/>
        <v>0.88508857724361145</v>
      </c>
      <c r="E93" s="12">
        <f t="shared" si="4"/>
        <v>321.59462400564513</v>
      </c>
    </row>
    <row r="94" spans="1:5">
      <c r="A94" s="3">
        <v>20.75</v>
      </c>
      <c r="B94" s="10">
        <f t="shared" si="6"/>
        <v>0.91685656545197614</v>
      </c>
      <c r="C94" s="10">
        <f t="shared" si="7"/>
        <v>0.35894236464095297</v>
      </c>
      <c r="D94" s="10">
        <f t="shared" si="5"/>
        <v>0.89733084590868428</v>
      </c>
      <c r="E94" s="12">
        <f t="shared" si="4"/>
        <v>322.09005569572975</v>
      </c>
    </row>
    <row r="95" spans="1:5">
      <c r="A95" s="3">
        <v>21</v>
      </c>
      <c r="B95" s="10">
        <f t="shared" si="6"/>
        <v>0.91435663528406108</v>
      </c>
      <c r="C95" s="10">
        <f t="shared" si="7"/>
        <v>0.35459074390537848</v>
      </c>
      <c r="D95" s="10">
        <f t="shared" si="5"/>
        <v>0.90968664792557319</v>
      </c>
      <c r="E95" s="12">
        <f t="shared" si="4"/>
        <v>322.56646520871914</v>
      </c>
    </row>
    <row r="96" spans="1:5">
      <c r="A96" s="3">
        <v>21.25</v>
      </c>
      <c r="B96" s="10">
        <f t="shared" si="6"/>
        <v>0.91179118014017746</v>
      </c>
      <c r="C96" s="10">
        <f t="shared" si="7"/>
        <v>0.35029187983742477</v>
      </c>
      <c r="D96" s="10">
        <f t="shared" si="5"/>
        <v>0.92215345207053434</v>
      </c>
      <c r="E96" s="12">
        <f t="shared" si="4"/>
        <v>323.02286622435804</v>
      </c>
    </row>
    <row r="97" spans="1:5">
      <c r="A97" s="3">
        <v>21.5</v>
      </c>
      <c r="B97" s="10">
        <f t="shared" si="6"/>
        <v>0.90915865136874685</v>
      </c>
      <c r="C97" s="10">
        <f t="shared" si="7"/>
        <v>0.34604513284413352</v>
      </c>
      <c r="D97" s="10">
        <f t="shared" si="5"/>
        <v>0.93472851375468091</v>
      </c>
      <c r="E97" s="12">
        <f t="shared" si="4"/>
        <v>323.45825271543805</v>
      </c>
    </row>
    <row r="98" spans="1:5">
      <c r="A98" s="3">
        <v>21.75</v>
      </c>
      <c r="B98" s="10">
        <f t="shared" si="6"/>
        <v>0.90645747621834905</v>
      </c>
      <c r="C98" s="10">
        <f t="shared" si="7"/>
        <v>0.3418498710866219</v>
      </c>
      <c r="D98" s="10">
        <f t="shared" si="5"/>
        <v>0.94740886589659878</v>
      </c>
      <c r="E98" s="12">
        <f t="shared" si="4"/>
        <v>323.87159867307497</v>
      </c>
    </row>
    <row r="99" spans="1:5">
      <c r="A99" s="3">
        <v>22</v>
      </c>
      <c r="B99" s="10">
        <f t="shared" si="6"/>
        <v>0.90368605827723614</v>
      </c>
      <c r="C99" s="10">
        <f t="shared" si="7"/>
        <v>0.33770547038607468</v>
      </c>
      <c r="D99" s="10">
        <f t="shared" si="5"/>
        <v>0.96019130956655918</v>
      </c>
      <c r="E99" s="12">
        <f t="shared" si="4"/>
        <v>324.26185785779592</v>
      </c>
    </row>
    <row r="100" spans="1:5">
      <c r="A100" s="3">
        <v>22.25</v>
      </c>
      <c r="B100" s="10">
        <f t="shared" si="6"/>
        <v>0.9008427779819278</v>
      </c>
      <c r="C100" s="10">
        <f t="shared" si="7"/>
        <v>0.33361131413088069</v>
      </c>
      <c r="D100" s="10">
        <f t="shared" si="5"/>
        <v>0.97307240440167642</v>
      </c>
      <c r="E100" s="12">
        <f t="shared" si="4"/>
        <v>324.62796357693901</v>
      </c>
    </row>
    <row r="101" spans="1:5">
      <c r="A101" s="3">
        <v>22.5</v>
      </c>
      <c r="B101" s="10">
        <f t="shared" si="6"/>
        <v>0.8979259931992033</v>
      </c>
      <c r="C101" s="10">
        <f t="shared" si="7"/>
        <v>0.32956679318488902</v>
      </c>
      <c r="D101" s="10">
        <f t="shared" si="5"/>
        <v>0.98604845880325798</v>
      </c>
      <c r="E101" s="12">
        <f t="shared" si="4"/>
        <v>324.9688284926919</v>
      </c>
    </row>
    <row r="102" spans="1:5">
      <c r="A102" s="3">
        <v>22.75</v>
      </c>
      <c r="B102" s="10">
        <f t="shared" si="6"/>
        <v>0.89493403988596376</v>
      </c>
      <c r="C102" s="10">
        <f t="shared" si="7"/>
        <v>0.32557130579678267</v>
      </c>
      <c r="D102" s="10">
        <f t="shared" si="5"/>
        <v>0.99911551991720815</v>
      </c>
      <c r="E102" s="12">
        <f t="shared" si="4"/>
        <v>325.2833444612769</v>
      </c>
    </row>
    <row r="103" spans="1:5">
      <c r="A103" s="3">
        <v>23</v>
      </c>
      <c r="B103" s="10">
        <f t="shared" si="6"/>
        <v>0.89186523283163188</v>
      </c>
      <c r="C103" s="10">
        <f t="shared" si="7"/>
        <v>0.32162425751054735</v>
      </c>
      <c r="D103" s="10">
        <f t="shared" si="5"/>
        <v>1.0122693634109647</v>
      </c>
      <c r="E103" s="12">
        <f t="shared" si="4"/>
        <v>325.57038240772596</v>
      </c>
    </row>
    <row r="104" spans="1:5">
      <c r="A104" s="3">
        <v>23.25</v>
      </c>
      <c r="B104" s="10">
        <f t="shared" si="6"/>
        <v>0.88871786648791706</v>
      </c>
      <c r="C104" s="10">
        <f t="shared" si="7"/>
        <v>0.31772506107702925</v>
      </c>
      <c r="D104" s="10">
        <f t="shared" si="5"/>
        <v>1.0255054830520474</v>
      </c>
      <c r="E104" s="12">
        <f t="shared" si="4"/>
        <v>325.82879223754014</v>
      </c>
    </row>
    <row r="105" spans="1:5">
      <c r="A105" s="3">
        <v>23.5</v>
      </c>
      <c r="B105" s="10">
        <f t="shared" si="6"/>
        <v>0.88549021589096455</v>
      </c>
      <c r="C105" s="10">
        <f t="shared" si="7"/>
        <v>0.31387313636656095</v>
      </c>
      <c r="D105" s="10">
        <f t="shared" si="5"/>
        <v>1.038819080106222</v>
      </c>
      <c r="E105" s="12">
        <f t="shared" si="4"/>
        <v>326.05740279036559</v>
      </c>
    </row>
    <row r="106" spans="1:5">
      <c r="A106" s="3">
        <v>23.75</v>
      </c>
      <c r="B106" s="10">
        <f t="shared" si="6"/>
        <v>0.88218053768106186</v>
      </c>
      <c r="C106" s="10">
        <f t="shared" si="7"/>
        <v>0.31006791028265024</v>
      </c>
      <c r="D106" s="10">
        <f t="shared" si="5"/>
        <v>1.0522050525602078</v>
      </c>
      <c r="E106" s="12">
        <f t="shared" si="4"/>
        <v>326.25502183618983</v>
      </c>
    </row>
    <row r="107" spans="1:5">
      <c r="A107" s="3">
        <v>24</v>
      </c>
      <c r="B107" s="10">
        <f t="shared" si="6"/>
        <v>0.87878707122527466</v>
      </c>
      <c r="C107" s="10">
        <f t="shared" si="7"/>
        <v>0.30630881667671173</v>
      </c>
      <c r="D107" s="10">
        <f t="shared" si="5"/>
        <v>1.0656579841919092</v>
      </c>
      <c r="E107" s="12">
        <f t="shared" si="4"/>
        <v>326.42043611991369</v>
      </c>
    </row>
    <row r="108" spans="1:5">
      <c r="A108" s="3">
        <v>24.25</v>
      </c>
      <c r="B108" s="10">
        <f t="shared" si="6"/>
        <v>0.87530803984852967</v>
      </c>
      <c r="C108" s="10">
        <f t="shared" si="7"/>
        <v>0.3025952962638373</v>
      </c>
      <c r="D108" s="10">
        <f t="shared" si="5"/>
        <v>1.0791721334987794</v>
      </c>
      <c r="E108" s="12">
        <f t="shared" si="4"/>
        <v>326.55241145574053</v>
      </c>
    </row>
    <row r="109" spans="1:5">
      <c r="A109" s="3">
        <v>24.5</v>
      </c>
      <c r="B109" s="10">
        <f t="shared" si="6"/>
        <v>0.8717416521788488</v>
      </c>
      <c r="C109" s="10">
        <f t="shared" si="7"/>
        <v>0.29892679653958182</v>
      </c>
      <c r="D109" s="10">
        <f t="shared" si="5"/>
        <v>1.0927414225098644</v>
      </c>
      <c r="E109" s="12">
        <f t="shared" si="4"/>
        <v>326.64969287697943</v>
      </c>
    </row>
    <row r="110" spans="1:5">
      <c r="A110" s="3">
        <v>24.75</v>
      </c>
      <c r="B110" s="10">
        <f t="shared" si="6"/>
        <v>0.8680861036125791</v>
      </c>
      <c r="C110" s="10">
        <f t="shared" si="7"/>
        <v>0.29530277169776209</v>
      </c>
      <c r="D110" s="10">
        <f t="shared" si="5"/>
        <v>1.1063594254973508</v>
      </c>
      <c r="E110" s="12">
        <f t="shared" si="4"/>
        <v>326.7110048433114</v>
      </c>
    </row>
    <row r="111" spans="1:5">
      <c r="A111" s="3">
        <v>25</v>
      </c>
      <c r="B111" s="10">
        <f t="shared" si="6"/>
        <v>0.86433957790563554</v>
      </c>
      <c r="C111" s="10">
        <f t="shared" si="7"/>
        <v>0.29172268254924927</v>
      </c>
      <c r="D111" s="10">
        <f t="shared" si="5"/>
        <v>1.1200193576159521</v>
      </c>
      <c r="E111" s="12">
        <f t="shared" si="4"/>
        <v>326.73505151081247</v>
      </c>
    </row>
    <row r="112" spans="1:5">
      <c r="A112" s="3">
        <v>25.25</v>
      </c>
      <c r="B112" s="10">
        <f t="shared" si="6"/>
        <v>0.86050024889690524</v>
      </c>
      <c r="C112" s="10">
        <f t="shared" si="7"/>
        <v>0.28818599644174986</v>
      </c>
      <c r="D112" s="10">
        <f t="shared" si="5"/>
        <v>1.133714063494093</v>
      </c>
      <c r="E112" s="12">
        <f t="shared" si="4"/>
        <v>326.72051706807042</v>
      </c>
    </row>
    <row r="113" spans="1:5">
      <c r="A113" s="3">
        <v>25.5</v>
      </c>
      <c r="B113" s="10">
        <f t="shared" si="6"/>
        <v>0.85656628237010612</v>
      </c>
      <c r="C113" s="10">
        <f t="shared" si="7"/>
        <v>0.28469218718055417</v>
      </c>
      <c r="D113" s="10">
        <f t="shared" si="5"/>
        <v>1.147436005810037</v>
      </c>
      <c r="E113" s="12">
        <f t="shared" si="4"/>
        <v>326.66606614377849</v>
      </c>
    </row>
    <row r="114" spans="1:5">
      <c r="A114" s="3">
        <v>25.75</v>
      </c>
      <c r="B114" s="10">
        <f t="shared" si="6"/>
        <v>0.85253583806050404</v>
      </c>
      <c r="C114" s="10">
        <f t="shared" si="7"/>
        <v>0.28124073495024959</v>
      </c>
      <c r="D114" s="10">
        <f t="shared" si="5"/>
        <v>1.1611772538813505</v>
      </c>
      <c r="E114" s="12">
        <f t="shared" si="4"/>
        <v>326.57034428910356</v>
      </c>
    </row>
    <row r="115" spans="1:5">
      <c r="A115" s="3">
        <v>26</v>
      </c>
      <c r="B115" s="10">
        <f t="shared" si="6"/>
        <v>0.84840707181301589</v>
      </c>
      <c r="C115" s="10">
        <f t="shared" si="7"/>
        <v>0.27783112623738021</v>
      </c>
      <c r="D115" s="10">
        <f t="shared" si="5"/>
        <v>1.1749294723071528</v>
      </c>
      <c r="E115" s="12">
        <f t="shared" si="4"/>
        <v>326.43197854058707</v>
      </c>
    </row>
    <row r="116" spans="1:5">
      <c r="A116" s="3">
        <v>26.25</v>
      </c>
      <c r="B116" s="10">
        <f t="shared" si="6"/>
        <v>0.84417813789830654</v>
      </c>
      <c r="C116" s="10">
        <f t="shared" si="7"/>
        <v>0.27446285375404744</v>
      </c>
      <c r="D116" s="10">
        <f t="shared" si="5"/>
        <v>1.188683909699026</v>
      </c>
      <c r="E116" s="12">
        <f t="shared" si="4"/>
        <v>326.24957806751314</v>
      </c>
    </row>
    <row r="117" spans="1:5">
      <c r="A117" s="3">
        <v>26.5</v>
      </c>
      <c r="B117" s="10">
        <f t="shared" si="6"/>
        <v>0.8398471914935729</v>
      </c>
      <c r="C117" s="10">
        <f t="shared" si="7"/>
        <v>0.27113541636243244</v>
      </c>
      <c r="D117" s="10">
        <f t="shared" si="5"/>
        <v>1.2024313875486194</v>
      </c>
      <c r="E117" s="12">
        <f t="shared" si="4"/>
        <v>326.02173491025229</v>
      </c>
    </row>
    <row r="118" spans="1:5">
      <c r="A118" s="3">
        <v>26.75</v>
      </c>
      <c r="B118" s="10">
        <f t="shared" si="6"/>
        <v>0.83541239133474265</v>
      </c>
      <c r="C118" s="10">
        <f t="shared" si="7"/>
        <v>0.2678483190002377</v>
      </c>
      <c r="D118" s="10">
        <f t="shared" si="5"/>
        <v>1.216162289271046</v>
      </c>
      <c r="E118" s="12">
        <f t="shared" si="4"/>
        <v>325.7470248127305</v>
      </c>
    </row>
    <row r="119" spans="1:5">
      <c r="A119" s="3">
        <v>27</v>
      </c>
      <c r="B119" s="10">
        <f t="shared" si="6"/>
        <v>0.83087190254687027</v>
      </c>
      <c r="C119" s="10">
        <f t="shared" si="7"/>
        <v>0.26460107260702881</v>
      </c>
      <c r="D119" s="10">
        <f t="shared" si="5"/>
        <v>1.2298665494829566</v>
      </c>
      <c r="E119" s="12">
        <f t="shared" si="4"/>
        <v>325.42400815669583</v>
      </c>
    </row>
    <row r="120" spans="1:5">
      <c r="A120" s="3">
        <v>27.25</v>
      </c>
      <c r="B120" s="10">
        <f t="shared" si="6"/>
        <v>0.82622389965948406</v>
      </c>
      <c r="C120" s="10">
        <f t="shared" si="7"/>
        <v>0.26139319405147377</v>
      </c>
      <c r="D120" s="10">
        <f t="shared" si="5"/>
        <v>1.2435336435605773</v>
      </c>
      <c r="E120" s="12">
        <f t="shared" si="4"/>
        <v>325.05123100076617</v>
      </c>
    </row>
    <row r="121" spans="1:5">
      <c r="A121" s="3">
        <v>27.5</v>
      </c>
      <c r="B121" s="10">
        <f t="shared" si="6"/>
        <v>0.82146656981364385</v>
      </c>
      <c r="C121" s="10">
        <f t="shared" si="7"/>
        <v>0.2582242060594595</v>
      </c>
      <c r="D121" s="10">
        <f t="shared" si="5"/>
        <v>1.2571525775479255</v>
      </c>
      <c r="E121" s="12">
        <f t="shared" si="4"/>
        <v>324.6272262329162</v>
      </c>
    </row>
    <row r="122" spans="1:5">
      <c r="A122" s="3">
        <v>27.75</v>
      </c>
      <c r="B122" s="10">
        <f t="shared" si="6"/>
        <v>0.81659811616736389</v>
      </c>
      <c r="C122" s="10">
        <f t="shared" si="7"/>
        <v>0.25509363714308358</v>
      </c>
      <c r="D122" s="10">
        <f t="shared" si="5"/>
        <v>1.2707118784667586</v>
      </c>
      <c r="E122" s="12">
        <f t="shared" si="4"/>
        <v>324.15051483900544</v>
      </c>
    </row>
    <row r="123" spans="1:5">
      <c r="A123" s="3">
        <v>28</v>
      </c>
      <c r="B123" s="10">
        <f t="shared" si="6"/>
        <v>0.81161676150600082</v>
      </c>
      <c r="C123" s="10">
        <f t="shared" si="7"/>
        <v>0.25200102153050358</v>
      </c>
      <c r="D123" s="10">
        <f t="shared" si="5"/>
        <v>1.2841995851068957</v>
      </c>
      <c r="E123" s="12">
        <f t="shared" si="4"/>
        <v>323.61960729598661</v>
      </c>
    </row>
    <row r="124" spans="1:5">
      <c r="A124" s="3">
        <v>28.25</v>
      </c>
      <c r="B124" s="10">
        <f t="shared" si="6"/>
        <v>0.8065207520640254</v>
      </c>
      <c r="C124" s="10">
        <f t="shared" si="7"/>
        <v>0.24894589909664167</v>
      </c>
      <c r="D124" s="10">
        <f t="shared" si="5"/>
        <v>1.2976032393613444</v>
      </c>
      <c r="E124" s="12">
        <f t="shared" si="4"/>
        <v>323.03300509352459</v>
      </c>
    </row>
    <row r="125" spans="1:5">
      <c r="A125" s="3">
        <v>28.5</v>
      </c>
      <c r="B125" s="10">
        <f t="shared" si="6"/>
        <v>0.80130836156444296</v>
      </c>
      <c r="C125" s="10">
        <f t="shared" si="7"/>
        <v>0.2459278152947233</v>
      </c>
      <c r="D125" s="10">
        <f t="shared" si="5"/>
        <v>1.3109098781927579</v>
      </c>
      <c r="E125" s="12">
        <f t="shared" si="4"/>
        <v>322.38920239221682</v>
      </c>
    </row>
    <row r="126" spans="1:5">
      <c r="A126" s="3">
        <v>28.75</v>
      </c>
      <c r="B126" s="10">
        <f t="shared" si="6"/>
        <v>0.79597789548185793</v>
      </c>
      <c r="C126" s="10">
        <f t="shared" si="7"/>
        <v>0.24294632108865097</v>
      </c>
      <c r="D126" s="10">
        <f t="shared" si="5"/>
        <v>1.3241060263070015</v>
      </c>
      <c r="E126" s="12">
        <f t="shared" si="4"/>
        <v>321.68668782259851</v>
      </c>
    </row>
    <row r="127" spans="1:5">
      <c r="A127" s="3">
        <v>29</v>
      </c>
      <c r="B127" s="10">
        <f t="shared" si="6"/>
        <v>0.79052769553491642</v>
      </c>
      <c r="C127" s="10">
        <f t="shared" si="7"/>
        <v>0.2400009728861939</v>
      </c>
      <c r="D127" s="10">
        <f t="shared" si="5"/>
        <v>1.3371776896281611</v>
      </c>
      <c r="E127" s="12">
        <f t="shared" si="4"/>
        <v>320.92394643247167</v>
      </c>
    </row>
    <row r="128" spans="1:5">
      <c r="A128" s="3">
        <v>29.25</v>
      </c>
      <c r="B128" s="10">
        <f t="shared" si="6"/>
        <v>0.78495614441348727</v>
      </c>
      <c r="C128" s="10">
        <f t="shared" si="7"/>
        <v>0.23709133247299205</v>
      </c>
      <c r="D128" s="10">
        <f t="shared" si="5"/>
        <v>1.3501103496651989</v>
      </c>
      <c r="E128" s="12">
        <f t="shared" si="4"/>
        <v>320.09946178769923</v>
      </c>
    </row>
    <row r="129" spans="1:5">
      <c r="A129" s="3">
        <v>29.5</v>
      </c>
      <c r="B129" s="10">
        <f t="shared" si="6"/>
        <v>0.77926167074554331</v>
      </c>
      <c r="C129" s="10">
        <f t="shared" si="7"/>
        <v>0.23421696694735553</v>
      </c>
      <c r="D129" s="10">
        <f t="shared" si="5"/>
        <v>1.3628889588751358</v>
      </c>
      <c r="E129" s="12">
        <f t="shared" si="4"/>
        <v>319.21171823377347</v>
      </c>
    </row>
    <row r="130" spans="1:5">
      <c r="A130" s="3">
        <v>29.75</v>
      </c>
      <c r="B130" s="10">
        <f t="shared" si="6"/>
        <v>0.77344275430819798</v>
      </c>
      <c r="C130" s="10">
        <f t="shared" si="7"/>
        <v>0.23137744865585813</v>
      </c>
      <c r="D130" s="10">
        <f t="shared" si="5"/>
        <v>1.3754979371223026</v>
      </c>
      <c r="E130" s="12">
        <f t="shared" si="4"/>
        <v>318.25920332275439</v>
      </c>
    </row>
    <row r="131" spans="1:5">
      <c r="A131" s="3">
        <v>30</v>
      </c>
      <c r="B131" s="10">
        <f t="shared" si="6"/>
        <v>0.76749793148681678</v>
      </c>
      <c r="C131" s="10">
        <f t="shared" si="7"/>
        <v>0.22857235512970844</v>
      </c>
      <c r="D131" s="10">
        <f t="shared" si="5"/>
        <v>1.3879211693507967</v>
      </c>
      <c r="E131" s="12">
        <f t="shared" si="4"/>
        <v>317.24041041289053</v>
      </c>
    </row>
    <row r="132" spans="1:5">
      <c r="A132" s="3">
        <v>30.25</v>
      </c>
      <c r="B132" s="10">
        <f t="shared" si="6"/>
        <v>0.76142580098545676</v>
      </c>
      <c r="C132" s="10">
        <f t="shared" si="7"/>
        <v>0.22580126902189715</v>
      </c>
      <c r="D132" s="10">
        <f t="shared" si="5"/>
        <v>1.4001420045822666</v>
      </c>
      <c r="E132" s="12">
        <f t="shared" si="4"/>
        <v>316.15384144553872</v>
      </c>
    </row>
    <row r="133" spans="1:5">
      <c r="A133" s="3">
        <v>30.5</v>
      </c>
      <c r="B133" s="10">
        <f t="shared" si="6"/>
        <v>0.75522502979117934</v>
      </c>
      <c r="C133" s="10">
        <f t="shared" si="7"/>
        <v>0.22306377804510047</v>
      </c>
      <c r="D133" s="10">
        <f t="shared" si="5"/>
        <v>1.4121432563681175</v>
      </c>
      <c r="E133" s="12">
        <f t="shared" si="4"/>
        <v>314.99800990638317</v>
      </c>
    </row>
    <row r="134" spans="1:5">
      <c r="A134" s="3">
        <v>30.75</v>
      </c>
      <c r="B134" s="10">
        <f t="shared" si="6"/>
        <v>0.74889435939393267</v>
      </c>
      <c r="C134" s="10">
        <f t="shared" si="7"/>
        <v>0.220359474910341</v>
      </c>
      <c r="D134" s="10">
        <f t="shared" si="5"/>
        <v>1.4239072048175974</v>
      </c>
      <c r="E134" s="12">
        <f t="shared" si="4"/>
        <v>313.77144397465713</v>
      </c>
    </row>
    <row r="135" spans="1:5">
      <c r="A135" s="3">
        <v>31</v>
      </c>
      <c r="B135" s="10">
        <f t="shared" si="6"/>
        <v>0.74243261226280999</v>
      </c>
      <c r="C135" s="10">
        <f t="shared" si="7"/>
        <v>0.21768795726638904</v>
      </c>
      <c r="D135" s="10">
        <f t="shared" si="5"/>
        <v>1.4354156003430163</v>
      </c>
      <c r="E135" s="12">
        <f t="shared" si="4"/>
        <v>312.47268986697867</v>
      </c>
    </row>
    <row r="136" spans="1:5">
      <c r="A136" s="3">
        <v>31.25</v>
      </c>
      <c r="B136" s="10">
        <f t="shared" si="6"/>
        <v>0.73583869857843254</v>
      </c>
      <c r="C136" s="10">
        <f t="shared" si="7"/>
        <v>0.21504882763990207</v>
      </c>
      <c r="D136" s="10">
        <f t="shared" si="5"/>
        <v>1.446649669256493</v>
      </c>
      <c r="E136" s="12">
        <f t="shared" ref="E136:E199" si="8">D136*C136*1000</f>
        <v>311.10031537926091</v>
      </c>
    </row>
    <row r="137" spans="1:5">
      <c r="A137" s="3">
        <v>31.5</v>
      </c>
      <c r="B137" s="10">
        <f t="shared" si="6"/>
        <v>0.7291116232200916</v>
      </c>
      <c r="C137" s="10">
        <f t="shared" si="7"/>
        <v>0.21244169337628621</v>
      </c>
      <c r="D137" s="10">
        <f t="shared" ref="D137:D200" si="9">(B137-B138)*C137*1000</f>
        <v>1.4575901213689566</v>
      </c>
      <c r="E137" s="12">
        <f t="shared" si="8"/>
        <v>309.65291363216767</v>
      </c>
    </row>
    <row r="138" spans="1:5">
      <c r="A138" s="3">
        <v>31.75</v>
      </c>
      <c r="B138" s="10">
        <f t="shared" si="6"/>
        <v>0.72225049300500144</v>
      </c>
      <c r="C138" s="10">
        <f t="shared" si="7"/>
        <v>0.20986616658127716</v>
      </c>
      <c r="D138" s="10">
        <f t="shared" si="9"/>
        <v>1.4682171597357037</v>
      </c>
      <c r="E138" s="12">
        <f t="shared" si="8"/>
        <v>308.12910702258279</v>
      </c>
    </row>
    <row r="139" spans="1:5">
      <c r="A139" s="3">
        <v>32</v>
      </c>
      <c r="B139" s="10">
        <f t="shared" ref="B139:B202" si="10">(B$8^A139)*(B$7^((B$5^50)*(B$5^A139-1)))</f>
        <v>0.71525452417566138</v>
      </c>
      <c r="C139" s="10">
        <f t="shared" si="7"/>
        <v>0.20732186406322758</v>
      </c>
      <c r="D139" s="10">
        <f t="shared" si="9"/>
        <v>1.4785104927083881</v>
      </c>
      <c r="E139" s="12">
        <f t="shared" si="8"/>
        <v>306.52755138534411</v>
      </c>
    </row>
    <row r="140" spans="1:5">
      <c r="A140" s="3">
        <v>32.25</v>
      </c>
      <c r="B140" s="10">
        <f t="shared" si="10"/>
        <v>0.70812305012979093</v>
      </c>
      <c r="C140" s="10">
        <f t="shared" ref="C140:C203" si="11">(1+$B$6)^-(A140+0.25)</f>
        <v>0.20480840727609717</v>
      </c>
      <c r="D140" s="10">
        <f t="shared" si="9"/>
        <v>1.488449348449433</v>
      </c>
      <c r="E140" s="12">
        <f t="shared" si="8"/>
        <v>304.84694036707293</v>
      </c>
    </row>
    <row r="141" spans="1:5">
      <c r="A141" s="3">
        <v>32.5</v>
      </c>
      <c r="B141" s="10">
        <f t="shared" si="10"/>
        <v>0.70085552938566986</v>
      </c>
      <c r="C141" s="10">
        <f t="shared" si="11"/>
        <v>0.20232542226312966</v>
      </c>
      <c r="D141" s="10">
        <f t="shared" si="9"/>
        <v>1.4980124920743538</v>
      </c>
      <c r="E141" s="12">
        <f t="shared" si="8"/>
        <v>303.08601001438683</v>
      </c>
    </row>
    <row r="142" spans="1:5">
      <c r="A142" s="3">
        <v>32.75</v>
      </c>
      <c r="B142" s="10">
        <f t="shared" si="10"/>
        <v>0.69345155377391432</v>
      </c>
      <c r="C142" s="10">
        <f t="shared" si="11"/>
        <v>0.19987253960121634</v>
      </c>
      <c r="D142" s="10">
        <f t="shared" si="9"/>
        <v>1.5071782455850129</v>
      </c>
      <c r="E142" s="12">
        <f t="shared" si="8"/>
        <v>301.24354357678226</v>
      </c>
    </row>
    <row r="143" spans="1:5">
      <c r="A143" s="3">
        <v>33</v>
      </c>
      <c r="B143" s="10">
        <f t="shared" si="10"/>
        <v>0.6859108568448008</v>
      </c>
      <c r="C143" s="10">
        <f t="shared" si="11"/>
        <v>0.19744939434593106</v>
      </c>
      <c r="D143" s="10">
        <f t="shared" si="9"/>
        <v>1.5159245107651089</v>
      </c>
      <c r="E143" s="12">
        <f t="shared" si="8"/>
        <v>299.31837652472262</v>
      </c>
    </row>
    <row r="144" spans="1:5">
      <c r="A144" s="3">
        <v>33.25</v>
      </c>
      <c r="B144" s="10">
        <f t="shared" si="10"/>
        <v>0.67823332247815082</v>
      </c>
      <c r="C144" s="10">
        <f t="shared" si="11"/>
        <v>0.19505562597723539</v>
      </c>
      <c r="D144" s="10">
        <f t="shared" si="9"/>
        <v>1.5242287952055575</v>
      </c>
      <c r="E144" s="12">
        <f t="shared" si="8"/>
        <v>297.30940178134733</v>
      </c>
    </row>
    <row r="145" spans="1:5">
      <c r="A145" s="3">
        <v>33.5</v>
      </c>
      <c r="B145" s="10">
        <f t="shared" si="10"/>
        <v>0.67041899368056235</v>
      </c>
      <c r="C145" s="10">
        <f t="shared" si="11"/>
        <v>0.19269087834583778</v>
      </c>
      <c r="D145" s="10">
        <f t="shared" si="9"/>
        <v>1.532068241632552</v>
      </c>
      <c r="E145" s="12">
        <f t="shared" si="8"/>
        <v>295.21557516593964</v>
      </c>
    </row>
    <row r="146" spans="1:5">
      <c r="A146" s="3">
        <v>33.75</v>
      </c>
      <c r="B146" s="10">
        <f t="shared" si="10"/>
        <v>0.66246808155236692</v>
      </c>
      <c r="C146" s="10">
        <f t="shared" si="11"/>
        <v>0.19035479962020604</v>
      </c>
      <c r="D146" s="10">
        <f t="shared" si="9"/>
        <v>1.5394196607057777</v>
      </c>
      <c r="E146" s="12">
        <f t="shared" si="8"/>
        <v>293.0359210450539</v>
      </c>
    </row>
    <row r="147" spans="1:5">
      <c r="A147" s="3">
        <v>34</v>
      </c>
      <c r="B147" s="10">
        <f t="shared" si="10"/>
        <v>0.65438097440415099</v>
      </c>
      <c r="C147" s="10">
        <f t="shared" si="11"/>
        <v>0.18804704223422003</v>
      </c>
      <c r="D147" s="10">
        <f t="shared" si="9"/>
        <v>1.5462595674582518</v>
      </c>
      <c r="E147" s="12">
        <f t="shared" si="8"/>
        <v>290.76953818688867</v>
      </c>
    </row>
    <row r="148" spans="1:5">
      <c r="A148" s="3">
        <v>34.25</v>
      </c>
      <c r="B148" s="10">
        <f t="shared" si="10"/>
        <v>0.64615824699995006</v>
      </c>
      <c r="C148" s="10">
        <f t="shared" si="11"/>
        <v>0.18576726283546227</v>
      </c>
      <c r="D148" s="10">
        <f t="shared" si="9"/>
        <v>1.5525642215394033</v>
      </c>
      <c r="E148" s="12">
        <f t="shared" si="8"/>
        <v>288.41560581164521</v>
      </c>
    </row>
    <row r="149" spans="1:5">
      <c r="A149" s="3">
        <v>34.5</v>
      </c>
      <c r="B149" s="10">
        <f t="shared" si="10"/>
        <v>0.63780066990137085</v>
      </c>
      <c r="C149" s="10">
        <f t="shared" si="11"/>
        <v>0.18351512223413119</v>
      </c>
      <c r="D149" s="10">
        <f t="shared" si="9"/>
        <v>1.5583096714267308</v>
      </c>
      <c r="E149" s="12">
        <f t="shared" si="8"/>
        <v>285.97338983050531</v>
      </c>
    </row>
    <row r="150" spans="1:5">
      <c r="A150" s="3">
        <v>34.75</v>
      </c>
      <c r="B150" s="10">
        <f t="shared" si="10"/>
        <v>0.62930921888384317</v>
      </c>
      <c r="C150" s="10">
        <f t="shared" si="11"/>
        <v>0.18129028535257716</v>
      </c>
      <c r="D150" s="10">
        <f t="shared" si="9"/>
        <v>1.5634718027555743</v>
      </c>
      <c r="E150" s="12">
        <f t="shared" si="8"/>
        <v>283.44224926226627</v>
      </c>
    </row>
    <row r="151" spans="1:5">
      <c r="A151" s="3">
        <v>35</v>
      </c>
      <c r="B151" s="10">
        <f t="shared" si="10"/>
        <v>0.62068508439304626</v>
      </c>
      <c r="C151" s="10">
        <f t="shared" si="11"/>
        <v>0.17909242117544763</v>
      </c>
      <c r="D151" s="10">
        <f t="shared" si="9"/>
        <v>1.5680263909175063</v>
      </c>
      <c r="E151" s="12">
        <f t="shared" si="8"/>
        <v>280.82164281641514</v>
      </c>
    </row>
    <row r="152" spans="1:5">
      <c r="A152" s="3">
        <v>35.25</v>
      </c>
      <c r="B152" s="10">
        <f t="shared" si="10"/>
        <v>0.61192968100620282</v>
      </c>
      <c r="C152" s="10">
        <f t="shared" si="11"/>
        <v>0.17692120270044026</v>
      </c>
      <c r="D152" s="10">
        <f t="shared" si="9"/>
        <v>1.5719491580598981</v>
      </c>
      <c r="E152" s="12">
        <f t="shared" si="8"/>
        <v>278.1111356279016</v>
      </c>
    </row>
    <row r="153" spans="1:5">
      <c r="A153" s="3">
        <v>35.5</v>
      </c>
      <c r="B153" s="10">
        <f t="shared" si="10"/>
        <v>0.60304465685948427</v>
      </c>
      <c r="C153" s="10">
        <f t="shared" si="11"/>
        <v>0.17477630688964879</v>
      </c>
      <c r="D153" s="10">
        <f t="shared" si="9"/>
        <v>1.5752158346138181</v>
      </c>
      <c r="E153" s="12">
        <f t="shared" si="8"/>
        <v>275.31040612789894</v>
      </c>
    </row>
    <row r="154" spans="1:5">
      <c r="A154" s="3">
        <v>35.75</v>
      </c>
      <c r="B154" s="10">
        <f t="shared" si="10"/>
        <v>0.59403190299915476</v>
      </c>
      <c r="C154" s="10">
        <f t="shared" si="11"/>
        <v>0.17265741462150208</v>
      </c>
      <c r="D154" s="10">
        <f t="shared" si="9"/>
        <v>1.5778022254560571</v>
      </c>
      <c r="E154" s="12">
        <f t="shared" si="8"/>
        <v>272.41925303129517</v>
      </c>
    </row>
    <row r="155" spans="1:5">
      <c r="A155" s="3">
        <v>36</v>
      </c>
      <c r="B155" s="10">
        <f t="shared" si="10"/>
        <v>0.58489356261038605</v>
      </c>
      <c r="C155" s="10">
        <f t="shared" si="11"/>
        <v>0.17056421064328345</v>
      </c>
      <c r="D155" s="10">
        <f t="shared" si="9"/>
        <v>1.5796842807989409</v>
      </c>
      <c r="E155" s="12">
        <f t="shared" si="8"/>
        <v>269.43760242007426</v>
      </c>
    </row>
    <row r="156" spans="1:5">
      <c r="A156" s="3">
        <v>36.25</v>
      </c>
      <c r="B156" s="10">
        <f t="shared" si="10"/>
        <v>0.57563204007385183</v>
      </c>
      <c r="C156" s="10">
        <f t="shared" si="11"/>
        <v>0.1684963835242288</v>
      </c>
      <c r="D156" s="10">
        <f t="shared" si="9"/>
        <v>1.5808381718775621</v>
      </c>
      <c r="E156" s="12">
        <f t="shared" si="8"/>
        <v>266.36551489842242</v>
      </c>
    </row>
    <row r="157" spans="1:5">
      <c r="A157" s="3">
        <v>36.5</v>
      </c>
      <c r="B157" s="10">
        <f t="shared" si="10"/>
        <v>0.56625000979632811</v>
      </c>
      <c r="C157" s="10">
        <f t="shared" si="11"/>
        <v>0.1664536256091893</v>
      </c>
      <c r="D157" s="10">
        <f t="shared" si="9"/>
        <v>1.5812403714851939</v>
      </c>
      <c r="E157" s="12">
        <f t="shared" si="8"/>
        <v>263.20319279333188</v>
      </c>
    </row>
    <row r="158" spans="1:5">
      <c r="A158" s="3">
        <v>36.75</v>
      </c>
      <c r="B158" s="10">
        <f t="shared" si="10"/>
        <v>0.55675042475756342</v>
      </c>
      <c r="C158" s="10">
        <f t="shared" si="11"/>
        <v>0.1644356329728591</v>
      </c>
      <c r="D158" s="10">
        <f t="shared" si="9"/>
        <v>1.5808677393757471</v>
      </c>
      <c r="E158" s="12">
        <f t="shared" si="8"/>
        <v>259.95098737062381</v>
      </c>
    </row>
    <row r="159" spans="1:5">
      <c r="A159" s="3">
        <v>37</v>
      </c>
      <c r="B159" s="10">
        <f t="shared" si="10"/>
        <v>0.54713652471172192</v>
      </c>
      <c r="C159" s="10">
        <f t="shared" si="11"/>
        <v>0.16244210537455567</v>
      </c>
      <c r="D159" s="10">
        <f t="shared" si="9"/>
        <v>1.5796976125284334</v>
      </c>
      <c r="E159" s="12">
        <f t="shared" si="8"/>
        <v>256.60940603427781</v>
      </c>
    </row>
    <row r="160" spans="1:5">
      <c r="A160" s="3">
        <v>37.25</v>
      </c>
      <c r="B160" s="10">
        <f t="shared" si="10"/>
        <v>0.53741184397770903</v>
      </c>
      <c r="C160" s="10">
        <f t="shared" si="11"/>
        <v>0.16047274621355123</v>
      </c>
      <c r="D160" s="10">
        <f t="shared" si="9"/>
        <v>1.5777079002328038</v>
      </c>
      <c r="E160" s="12">
        <f t="shared" si="8"/>
        <v>253.1791194731735</v>
      </c>
    </row>
    <row r="161" spans="1:5">
      <c r="A161" s="3">
        <v>37.5</v>
      </c>
      <c r="B161" s="10">
        <f t="shared" si="10"/>
        <v>0.52758021874875427</v>
      </c>
      <c r="C161" s="10">
        <f t="shared" si="11"/>
        <v>0.1585272624849422</v>
      </c>
      <c r="D161" s="10">
        <f t="shared" si="9"/>
        <v>1.5748771839177984</v>
      </c>
      <c r="E161" s="12">
        <f t="shared" si="8"/>
        <v>249.66096871648341</v>
      </c>
    </row>
    <row r="162" spans="1:5">
      <c r="A162" s="3">
        <v>37.75</v>
      </c>
      <c r="B162" s="10">
        <f t="shared" si="10"/>
        <v>0.51764579384775411</v>
      </c>
      <c r="C162" s="10">
        <f t="shared" si="11"/>
        <v>0.15660536473605632</v>
      </c>
      <c r="D162" s="10">
        <f t="shared" si="9"/>
        <v>1.5711848216077673</v>
      </c>
      <c r="E162" s="12">
        <f t="shared" si="8"/>
        <v>246.05597205563998</v>
      </c>
    </row>
    <row r="163" spans="1:5">
      <c r="A163" s="3">
        <v>38</v>
      </c>
      <c r="B163" s="10">
        <f t="shared" si="10"/>
        <v>0.50761302885112802</v>
      </c>
      <c r="C163" s="10">
        <f t="shared" si="11"/>
        <v>0.15470676702338632</v>
      </c>
      <c r="D163" s="10">
        <f t="shared" si="9"/>
        <v>1.5666110568431877</v>
      </c>
      <c r="E163" s="12">
        <f t="shared" si="8"/>
        <v>242.36533178730005</v>
      </c>
    </row>
    <row r="164" spans="1:5">
      <c r="A164" s="3">
        <v>38.25</v>
      </c>
      <c r="B164" s="10">
        <f t="shared" si="10"/>
        <v>0.49748670350036706</v>
      </c>
      <c r="C164" s="10">
        <f t="shared" si="11"/>
        <v>0.15283118687004879</v>
      </c>
      <c r="D164" s="10">
        <f t="shared" si="9"/>
        <v>1.5611371318588474</v>
      </c>
      <c r="E164" s="12">
        <f t="shared" si="8"/>
        <v>238.59044072889151</v>
      </c>
    </row>
    <row r="165" spans="1:5">
      <c r="A165" s="3">
        <v>38.5</v>
      </c>
      <c r="B165" s="10">
        <f t="shared" si="10"/>
        <v>0.48727192231708494</v>
      </c>
      <c r="C165" s="10">
        <f t="shared" si="11"/>
        <v>0.15097834522375445</v>
      </c>
      <c r="D165" s="10">
        <f t="shared" si="9"/>
        <v>1.5547454047573406</v>
      </c>
      <c r="E165" s="12">
        <f t="shared" si="8"/>
        <v>234.7328884544996</v>
      </c>
    </row>
    <row r="166" spans="1:5">
      <c r="A166" s="3">
        <v>38.75</v>
      </c>
      <c r="B166" s="10">
        <f t="shared" si="10"/>
        <v>0.47697411833431402</v>
      </c>
      <c r="C166" s="10">
        <f t="shared" si="11"/>
        <v>0.14914796641529171</v>
      </c>
      <c r="D166" s="10">
        <f t="shared" si="9"/>
        <v>1.5474194703626183</v>
      </c>
      <c r="E166" s="12">
        <f t="shared" si="8"/>
        <v>230.79446719601228</v>
      </c>
    </row>
    <row r="167" spans="1:5">
      <c r="A167" s="3">
        <v>39</v>
      </c>
      <c r="B167" s="10">
        <f t="shared" si="10"/>
        <v>0.46659905585405237</v>
      </c>
      <c r="C167" s="10">
        <f t="shared" si="11"/>
        <v>0.14733977811751081</v>
      </c>
      <c r="D167" s="10">
        <f t="shared" si="9"/>
        <v>1.5391442843773253</v>
      </c>
      <c r="E167" s="12">
        <f t="shared" si="8"/>
        <v>226.77717735099006</v>
      </c>
    </row>
    <row r="168" spans="1:5">
      <c r="A168" s="3">
        <v>39.25</v>
      </c>
      <c r="B168" s="10">
        <f t="shared" si="10"/>
        <v>0.45615283213875818</v>
      </c>
      <c r="C168" s="10">
        <f t="shared" si="11"/>
        <v>0.14555351130480837</v>
      </c>
      <c r="D168" s="10">
        <f t="shared" si="9"/>
        <v>1.5299062904061926</v>
      </c>
      <c r="E168" s="12">
        <f t="shared" si="8"/>
        <v>222.68323253593519</v>
      </c>
    </row>
    <row r="169" spans="1:5">
      <c r="A169" s="3">
        <v>39.5</v>
      </c>
      <c r="B169" s="10">
        <f t="shared" si="10"/>
        <v>0.44564187794265936</v>
      </c>
      <c r="C169" s="10">
        <f t="shared" si="11"/>
        <v>0.14378890021309948</v>
      </c>
      <c r="D169" s="10">
        <f t="shared" si="9"/>
        <v>1.5196935493410144</v>
      </c>
      <c r="E169" s="12">
        <f t="shared" si="8"/>
        <v>218.51506412068608</v>
      </c>
    </row>
    <row r="170" spans="1:5">
      <c r="A170" s="3">
        <v>39.75</v>
      </c>
      <c r="B170" s="10">
        <f t="shared" si="10"/>
        <v>0.43507295678748825</v>
      </c>
      <c r="C170" s="10">
        <f t="shared" si="11"/>
        <v>0.14204568230027784</v>
      </c>
      <c r="D170" s="10">
        <f t="shared" si="9"/>
        <v>1.5084958705325717</v>
      </c>
      <c r="E170" s="12">
        <f t="shared" si="8"/>
        <v>214.27532517695073</v>
      </c>
    </row>
    <row r="171" spans="1:5">
      <c r="A171" s="3">
        <v>40</v>
      </c>
      <c r="B171" s="10">
        <f t="shared" si="10"/>
        <v>0.4244531628866523</v>
      </c>
      <c r="C171" s="10">
        <f t="shared" si="11"/>
        <v>0.14032359820715312</v>
      </c>
      <c r="D171" s="10">
        <f t="shared" si="9"/>
        <v>1.4963049441033121</v>
      </c>
      <c r="E171" s="12">
        <f t="shared" si="8"/>
        <v>209.96689377172987</v>
      </c>
    </row>
    <row r="172" spans="1:5">
      <c r="A172" s="3">
        <v>40.25</v>
      </c>
      <c r="B172" s="10">
        <f t="shared" si="10"/>
        <v>0.41378991762198636</v>
      </c>
      <c r="C172" s="10">
        <f t="shared" si="11"/>
        <v>0.13862239171886509</v>
      </c>
      <c r="D172" s="10">
        <f t="shared" si="9"/>
        <v>1.4831144736809163</v>
      </c>
      <c r="E172" s="12">
        <f t="shared" si="8"/>
        <v>205.59287553451441</v>
      </c>
    </row>
    <row r="173" spans="1:5">
      <c r="A173" s="3">
        <v>40.5</v>
      </c>
      <c r="B173" s="10">
        <f t="shared" si="10"/>
        <v>0.40309096447819148</v>
      </c>
      <c r="C173" s="10">
        <f t="shared" si="11"/>
        <v>0.13694180972676137</v>
      </c>
      <c r="D173" s="10">
        <f t="shared" si="9"/>
        <v>1.4689203087542808</v>
      </c>
      <c r="E173" s="12">
        <f t="shared" si="8"/>
        <v>201.15660542520428</v>
      </c>
    </row>
    <row r="174" spans="1:5">
      <c r="A174" s="3">
        <v>40.75</v>
      </c>
      <c r="B174" s="10">
        <f t="shared" si="10"/>
        <v>0.39236436234196148</v>
      </c>
      <c r="C174" s="10">
        <f t="shared" si="11"/>
        <v>0.13528160219074079</v>
      </c>
      <c r="D174" s="10">
        <f t="shared" si="9"/>
        <v>1.4537205757790781</v>
      </c>
      <c r="E174" s="12">
        <f t="shared" si="8"/>
        <v>196.66164862903989</v>
      </c>
    </row>
    <row r="175" spans="1:5">
      <c r="A175" s="3">
        <v>41</v>
      </c>
      <c r="B175" s="10">
        <f t="shared" si="10"/>
        <v>0.38161847707569002</v>
      </c>
      <c r="C175" s="10">
        <f t="shared" si="11"/>
        <v>0.13364152210205058</v>
      </c>
      <c r="D175" s="10">
        <f t="shared" si="9"/>
        <v>1.4375158070780765</v>
      </c>
      <c r="E175" s="12">
        <f t="shared" si="8"/>
        <v>192.11180050367182</v>
      </c>
    </row>
    <row r="176" spans="1:5">
      <c r="A176" s="3">
        <v>41.25</v>
      </c>
      <c r="B176" s="10">
        <f t="shared" si="10"/>
        <v>0.37086197127968173</v>
      </c>
      <c r="C176" s="10">
        <f t="shared" si="11"/>
        <v>0.13202132544653816</v>
      </c>
      <c r="D176" s="10">
        <f t="shared" si="9"/>
        <v>1.4203090665095455</v>
      </c>
      <c r="E176" s="12">
        <f t="shared" si="8"/>
        <v>187.51108550432551</v>
      </c>
    </row>
    <row r="177" spans="1:5">
      <c r="A177" s="3">
        <v>41.5</v>
      </c>
      <c r="B177" s="10">
        <f t="shared" si="10"/>
        <v>0.36010379216198535</v>
      </c>
      <c r="C177" s="10">
        <f t="shared" si="11"/>
        <v>0.13042077116834416</v>
      </c>
      <c r="D177" s="10">
        <f t="shared" si="9"/>
        <v>1.4021060707949149</v>
      </c>
      <c r="E177" s="12">
        <f t="shared" si="8"/>
        <v>182.86375501288975</v>
      </c>
    </row>
    <row r="178" spans="1:5">
      <c r="A178" s="3">
        <v>41.75</v>
      </c>
      <c r="B178" s="10">
        <f t="shared" si="10"/>
        <v>0.3493531574414997</v>
      </c>
      <c r="C178" s="10">
        <f t="shared" si="11"/>
        <v>0.12883962113403885</v>
      </c>
      <c r="D178" s="10">
        <f t="shared" si="9"/>
        <v>1.3829153053296401</v>
      </c>
      <c r="E178" s="12">
        <f t="shared" si="8"/>
        <v>178.17428399913447</v>
      </c>
    </row>
    <row r="179" spans="1:5">
      <c r="A179" s="3">
        <v>42</v>
      </c>
      <c r="B179" s="10">
        <f t="shared" si="10"/>
        <v>0.33861953921787175</v>
      </c>
      <c r="C179" s="10">
        <f t="shared" si="11"/>
        <v>0.12727764009719106</v>
      </c>
      <c r="D179" s="10">
        <f t="shared" si="9"/>
        <v>1.3627481332261508</v>
      </c>
      <c r="E179" s="12">
        <f t="shared" si="8"/>
        <v>173.447366443877</v>
      </c>
    </row>
    <row r="180" spans="1:5">
      <c r="A180" s="3">
        <v>42.25</v>
      </c>
      <c r="B180" s="10">
        <f t="shared" si="10"/>
        <v>0.32791264575107321</v>
      </c>
      <c r="C180" s="10">
        <f t="shared" si="11"/>
        <v>0.12573459566336972</v>
      </c>
      <c r="D180" s="10">
        <f t="shared" si="9"/>
        <v>1.3416188962788729</v>
      </c>
      <c r="E180" s="12">
        <f t="shared" si="8"/>
        <v>168.68790945796044</v>
      </c>
    </row>
    <row r="181" spans="1:5">
      <c r="A181" s="3">
        <v>42.5</v>
      </c>
      <c r="B181" s="10">
        <f t="shared" si="10"/>
        <v>0.31724240110439855</v>
      </c>
      <c r="C181" s="10">
        <f t="shared" si="11"/>
        <v>0.12421025825556591</v>
      </c>
      <c r="D181" s="10">
        <f t="shared" si="9"/>
        <v>1.3195450064786851</v>
      </c>
      <c r="E181" s="12">
        <f t="shared" si="8"/>
        <v>163.90102603455986</v>
      </c>
    </row>
    <row r="182" spans="1:5">
      <c r="A182" s="3">
        <v>42.75</v>
      </c>
      <c r="B182" s="10">
        <f t="shared" si="10"/>
        <v>0.30661892261710899</v>
      </c>
      <c r="C182" s="10">
        <f t="shared" si="11"/>
        <v>0.12270440108003698</v>
      </c>
      <c r="D182" s="10">
        <f t="shared" si="9"/>
        <v>1.2965470266594903</v>
      </c>
      <c r="E182" s="12">
        <f t="shared" si="8"/>
        <v>159.09202637835551</v>
      </c>
    </row>
    <row r="183" spans="1:5">
      <c r="A183" s="3">
        <v>43</v>
      </c>
      <c r="B183" s="10">
        <f t="shared" si="10"/>
        <v>0.29605249618702695</v>
      </c>
      <c r="C183" s="10">
        <f t="shared" si="11"/>
        <v>0.12121680009256292</v>
      </c>
      <c r="D183" s="10">
        <f t="shared" si="9"/>
        <v>1.2726487388165744</v>
      </c>
      <c r="E183" s="12">
        <f t="shared" si="8"/>
        <v>154.266407761181</v>
      </c>
    </row>
    <row r="184" spans="1:5">
      <c r="A184" s="3">
        <v>43.25</v>
      </c>
      <c r="B184" s="10">
        <f t="shared" si="10"/>
        <v>0.28555354935915522</v>
      </c>
      <c r="C184" s="10">
        <f t="shared" si="11"/>
        <v>0.119747233965114</v>
      </c>
      <c r="D184" s="10">
        <f t="shared" si="9"/>
        <v>1.2478771986108916</v>
      </c>
      <c r="E184" s="12">
        <f t="shared" si="8"/>
        <v>149.42984286178947</v>
      </c>
    </row>
    <row r="185" spans="1:5">
      <c r="A185" s="3">
        <v>43.5</v>
      </c>
      <c r="B185" s="10">
        <f t="shared" si="10"/>
        <v>0.27513262223382023</v>
      </c>
      <c r="C185" s="10">
        <f t="shared" si="11"/>
        <v>0.11829548405291988</v>
      </c>
      <c r="D185" s="10">
        <f t="shared" si="9"/>
        <v>1.2222627745604777</v>
      </c>
      <c r="E185" s="12">
        <f t="shared" si="8"/>
        <v>144.58816655649659</v>
      </c>
    </row>
    <row r="186" spans="1:5">
      <c r="A186" s="3">
        <v>43.75</v>
      </c>
      <c r="B186" s="10">
        <f t="shared" si="10"/>
        <v>0.26480033622691151</v>
      </c>
      <c r="C186" s="10">
        <f t="shared" si="11"/>
        <v>0.11686133436193999</v>
      </c>
      <c r="D186" s="10">
        <f t="shared" si="9"/>
        <v>1.1958391704183062</v>
      </c>
      <c r="E186" s="12">
        <f t="shared" si="8"/>
        <v>139.74736113735861</v>
      </c>
    </row>
    <row r="187" spans="1:5">
      <c r="A187" s="3">
        <v>44</v>
      </c>
      <c r="B187" s="10">
        <f t="shared" si="10"/>
        <v>0.25456736073550917</v>
      </c>
      <c r="C187" s="10">
        <f t="shared" si="11"/>
        <v>0.11544457151672656</v>
      </c>
      <c r="D187" s="10">
        <f t="shared" si="9"/>
        <v>1.1686434292602339</v>
      </c>
      <c r="E187" s="12">
        <f t="shared" si="8"/>
        <v>134.91353994678565</v>
      </c>
    </row>
    <row r="188" spans="1:5">
      <c r="A188" s="3">
        <v>44.25</v>
      </c>
      <c r="B188" s="10">
        <f t="shared" si="10"/>
        <v>0.24444437778441466</v>
      </c>
      <c r="C188" s="10">
        <f t="shared" si="11"/>
        <v>0.11404498472867998</v>
      </c>
      <c r="D188" s="10">
        <f t="shared" si="9"/>
        <v>1.1407159178401456</v>
      </c>
      <c r="E188" s="12">
        <f t="shared" si="8"/>
        <v>130.09292942984158</v>
      </c>
    </row>
    <row r="189" spans="1:5">
      <c r="A189" s="3">
        <v>44.5</v>
      </c>
      <c r="B189" s="10">
        <f t="shared" si="10"/>
        <v>0.23444204475281333</v>
      </c>
      <c r="C189" s="10">
        <f t="shared" si="11"/>
        <v>0.11266236576468559</v>
      </c>
      <c r="D189" s="10">
        <f t="shared" si="9"/>
        <v>1.1121002898345957</v>
      </c>
      <c r="E189" s="12">
        <f t="shared" si="8"/>
        <v>125.29184962035808</v>
      </c>
    </row>
    <row r="190" spans="1:5">
      <c r="A190" s="3">
        <v>44.75</v>
      </c>
      <c r="B190" s="10">
        <f t="shared" si="10"/>
        <v>0.22457095530527407</v>
      </c>
      <c r="C190" s="10">
        <f t="shared" si="11"/>
        <v>0.1112965089161333</v>
      </c>
      <c r="D190" s="10">
        <f t="shared" si="9"/>
        <v>1.0828434266771736</v>
      </c>
      <c r="E190" s="12">
        <f t="shared" si="8"/>
        <v>120.51669309195239</v>
      </c>
    </row>
    <row r="191" spans="1:5">
      <c r="A191" s="3">
        <v>45</v>
      </c>
      <c r="B191" s="10">
        <f t="shared" si="10"/>
        <v>0.2148415986774472</v>
      </c>
      <c r="C191" s="10">
        <f t="shared" si="11"/>
        <v>0.10994721096831099</v>
      </c>
      <c r="D191" s="10">
        <f t="shared" si="9"/>
        <v>1.0529953547959263</v>
      </c>
      <c r="E191" s="12">
        <f t="shared" si="8"/>
        <v>115.7739024223992</v>
      </c>
    </row>
    <row r="192" spans="1:5">
      <c r="A192" s="3">
        <v>45.25</v>
      </c>
      <c r="B192" s="10">
        <f t="shared" si="10"/>
        <v>0.20526431749384882</v>
      </c>
      <c r="C192" s="10">
        <f t="shared" si="11"/>
        <v>0.1086142711701714</v>
      </c>
      <c r="D192" s="10">
        <f t="shared" si="9"/>
        <v>1.0226091381964615</v>
      </c>
      <c r="E192" s="12">
        <f t="shared" si="8"/>
        <v>111.06994623716575</v>
      </c>
    </row>
    <row r="193" spans="1:5">
      <c r="A193" s="3">
        <v>45.5</v>
      </c>
      <c r="B193" s="10">
        <f t="shared" si="10"/>
        <v>0.19584926432284988</v>
      </c>
      <c r="C193" s="10">
        <f t="shared" si="11"/>
        <v>0.10729749120446244</v>
      </c>
      <c r="D193" s="10">
        <f t="shared" si="9"/>
        <v>0.99174074549914903</v>
      </c>
      <c r="E193" s="12">
        <f t="shared" si="8"/>
        <v>106.41129391730198</v>
      </c>
    </row>
    <row r="194" spans="1:5">
      <c r="A194" s="3">
        <v>45.75</v>
      </c>
      <c r="B194" s="10">
        <f t="shared" si="10"/>
        <v>0.18660635720203639</v>
      </c>
      <c r="C194" s="10">
        <f t="shared" si="11"/>
        <v>0.10599667515822221</v>
      </c>
      <c r="D194" s="10">
        <f t="shared" si="9"/>
        <v>0.96044889072481798</v>
      </c>
      <c r="E194" s="12">
        <f t="shared" si="8"/>
        <v>101.80438907623339</v>
      </c>
    </row>
    <row r="195" spans="1:5">
      <c r="A195" s="3">
        <v>46</v>
      </c>
      <c r="B195" s="10">
        <f t="shared" si="10"/>
        <v>0.17754523439520167</v>
      </c>
      <c r="C195" s="10">
        <f t="shared" si="11"/>
        <v>0.10471162949362953</v>
      </c>
      <c r="D195" s="10">
        <f t="shared" si="9"/>
        <v>0.92879484734535733</v>
      </c>
      <c r="E195" s="12">
        <f t="shared" si="8"/>
        <v>97.25562193081926</v>
      </c>
    </row>
    <row r="196" spans="1:5">
      <c r="A196" s="3">
        <v>46.25</v>
      </c>
      <c r="B196" s="10">
        <f t="shared" si="10"/>
        <v>0.16867520866991331</v>
      </c>
      <c r="C196" s="10">
        <f t="shared" si="11"/>
        <v>0.10344216301921087</v>
      </c>
      <c r="D196" s="10">
        <f t="shared" si="9"/>
        <v>0.89684223535985352</v>
      </c>
      <c r="E196" s="12">
        <f t="shared" si="8"/>
        <v>92.771300712607456</v>
      </c>
    </row>
    <row r="197" spans="1:5">
      <c r="A197" s="3">
        <v>46.5</v>
      </c>
      <c r="B197" s="10">
        <f t="shared" si="10"/>
        <v>0.16000522141149437</v>
      </c>
      <c r="C197" s="10">
        <f t="shared" si="11"/>
        <v>0.10218808686139283</v>
      </c>
      <c r="D197" s="10">
        <f t="shared" si="9"/>
        <v>0.864656781435439</v>
      </c>
      <c r="E197" s="12">
        <f t="shared" si="8"/>
        <v>88.357622286616987</v>
      </c>
    </row>
    <row r="198" spans="1:5">
      <c r="A198" s="3">
        <v>46.75</v>
      </c>
      <c r="B198" s="10">
        <f t="shared" si="10"/>
        <v>0.15154379691483799</v>
      </c>
      <c r="C198" s="10">
        <f t="shared" si="11"/>
        <v>0.10094921443640208</v>
      </c>
      <c r="D198" s="10">
        <f t="shared" si="9"/>
        <v>0.83230605245176981</v>
      </c>
      <c r="E198" s="12">
        <f t="shared" si="8"/>
        <v>84.020642165669031</v>
      </c>
    </row>
    <row r="199" spans="1:5">
      <c r="A199" s="3">
        <v>47</v>
      </c>
      <c r="B199" s="10">
        <f t="shared" si="10"/>
        <v>0.14329899721928294</v>
      </c>
      <c r="C199" s="10">
        <f t="shared" si="11"/>
        <v>9.9725361422504308E-2</v>
      </c>
      <c r="D199" s="10">
        <f t="shared" si="9"/>
        <v>0.79985916311998417</v>
      </c>
      <c r="E199" s="12">
        <f t="shared" si="8"/>
        <v>79.766244129242253</v>
      </c>
    </row>
    <row r="200" spans="1:5">
      <c r="A200" s="3">
        <v>47.25</v>
      </c>
      <c r="B200" s="10">
        <f t="shared" si="10"/>
        <v>0.13527837787320468</v>
      </c>
      <c r="C200" s="10">
        <f t="shared" si="11"/>
        <v>9.8516345732581778E-2</v>
      </c>
      <c r="D200" s="10">
        <f t="shared" si="9"/>
        <v>0.76738645869428068</v>
      </c>
      <c r="E200" s="12">
        <f t="shared" ref="E200:E263" si="12">D200*C200*1000</f>
        <v>75.600109675227344</v>
      </c>
    </row>
    <row r="201" spans="1:5">
      <c r="A201" s="3">
        <v>47.5</v>
      </c>
      <c r="B201" s="10">
        <f t="shared" si="10"/>
        <v>0.12748894503352834</v>
      </c>
      <c r="C201" s="10">
        <f t="shared" si="11"/>
        <v>9.7321987487040781E-2</v>
      </c>
      <c r="D201" s="10">
        <f t="shared" ref="D201:D264" si="13">(B201-B202)*C201*1000</f>
        <v>0.73495917416917866</v>
      </c>
      <c r="E201" s="12">
        <f t="shared" si="12"/>
        <v>71.52768755197863</v>
      </c>
    </row>
    <row r="202" spans="1:5">
      <c r="A202" s="3">
        <v>47.75</v>
      </c>
      <c r="B202" s="10">
        <f t="shared" si="10"/>
        <v>0.11993711432038097</v>
      </c>
      <c r="C202" s="10">
        <f t="shared" si="11"/>
        <v>9.6142108987049613E-2</v>
      </c>
      <c r="D202" s="10">
        <f t="shared" si="13"/>
        <v>0.70264907173893265</v>
      </c>
      <c r="E202" s="12">
        <f t="shared" si="12"/>
        <v>67.554163634773701</v>
      </c>
    </row>
    <row r="203" spans="1:5">
      <c r="A203" s="3">
        <v>48</v>
      </c>
      <c r="B203" s="10">
        <f t="shared" ref="B203:B266" si="14">(B$8^A203)*(B$7^((B$5^50)*(B$5^A203-1)))</f>
        <v>0.11262867185805076</v>
      </c>
      <c r="C203" s="10">
        <f t="shared" si="11"/>
        <v>9.4976534688099315E-2</v>
      </c>
      <c r="D203" s="10">
        <f t="shared" si="13"/>
        <v>0.6705280586959883</v>
      </c>
      <c r="E203" s="12">
        <f t="shared" si="12"/>
        <v>63.684431426083435</v>
      </c>
    </row>
    <row r="204" spans="1:5">
      <c r="A204" s="3">
        <v>48.25</v>
      </c>
      <c r="B204" s="10">
        <f t="shared" si="14"/>
        <v>0.10556873793965726</v>
      </c>
      <c r="C204" s="10">
        <f t="shared" ref="C204:C267" si="15">(1+$B$6)^-(A204+0.25)</f>
        <v>9.382509117388739E-2</v>
      </c>
      <c r="D204" s="10">
        <f t="shared" si="13"/>
        <v>0.63866778834571081</v>
      </c>
      <c r="E204" s="12">
        <f t="shared" si="12"/>
        <v>59.923063471361331</v>
      </c>
    </row>
    <row r="205" spans="1:5">
      <c r="A205" s="3">
        <v>48.5</v>
      </c>
      <c r="B205" s="10">
        <f t="shared" si="14"/>
        <v>9.8761733753942607E-2</v>
      </c>
      <c r="C205" s="10">
        <f t="shared" si="15"/>
        <v>9.2687607130515021E-2</v>
      </c>
      <c r="D205" s="10">
        <f t="shared" si="13"/>
        <v>0.60713924691785015</v>
      </c>
      <c r="E205" s="12">
        <f t="shared" si="12"/>
        <v>56.274283991838445</v>
      </c>
    </row>
    <row r="206" spans="1:5">
      <c r="A206" s="3">
        <v>48.75</v>
      </c>
      <c r="B206" s="10">
        <f t="shared" si="14"/>
        <v>9.2211351607784417E-2</v>
      </c>
      <c r="C206" s="10">
        <f t="shared" si="15"/>
        <v>9.1563913320999626E-2</v>
      </c>
      <c r="D206" s="10">
        <f t="shared" si="13"/>
        <v>0.57601232984617656</v>
      </c>
      <c r="E206" s="12">
        <f t="shared" si="12"/>
        <v>52.741943041862363</v>
      </c>
    </row>
    <row r="207" spans="1:5">
      <c r="A207" s="3">
        <v>49</v>
      </c>
      <c r="B207" s="10">
        <f t="shared" si="14"/>
        <v>8.5920529066956297E-2</v>
      </c>
      <c r="C207" s="10">
        <f t="shared" si="15"/>
        <v>9.0453842560094574E-2</v>
      </c>
      <c r="D207" s="10">
        <f t="shared" si="13"/>
        <v>0.54535541116485164</v>
      </c>
      <c r="E207" s="12">
        <f t="shared" si="12"/>
        <v>49.32949250080113</v>
      </c>
    </row>
    <row r="208" spans="1:5">
      <c r="A208" s="3">
        <v>49.25</v>
      </c>
      <c r="B208" s="10">
        <f t="shared" si="14"/>
        <v>7.9891427419864464E-2</v>
      </c>
      <c r="C208" s="10">
        <f t="shared" si="15"/>
        <v>8.9357229689416548E-2</v>
      </c>
      <c r="D208" s="10">
        <f t="shared" si="13"/>
        <v>0.51523491011898237</v>
      </c>
      <c r="E208" s="12">
        <f t="shared" si="12"/>
        <v>46.039964207507801</v>
      </c>
    </row>
    <row r="209" spans="1:5">
      <c r="A209" s="3">
        <v>49.5</v>
      </c>
      <c r="B209" s="10">
        <f t="shared" si="14"/>
        <v>7.412541484416342E-2</v>
      </c>
      <c r="C209" s="10">
        <f t="shared" si="15"/>
        <v>8.8273911552871426E-2</v>
      </c>
      <c r="D209" s="10">
        <f t="shared" si="13"/>
        <v>0.48571485940360964</v>
      </c>
      <c r="E209" s="12">
        <f t="shared" si="12"/>
        <v>42.875950538909613</v>
      </c>
    </row>
    <row r="210" spans="1:5">
      <c r="A210" s="3">
        <v>49.75</v>
      </c>
      <c r="B210" s="10">
        <f t="shared" si="14"/>
        <v>6.8623054624035507E-2</v>
      </c>
      <c r="C210" s="10">
        <f t="shared" si="15"/>
        <v>8.7203726972380588E-2</v>
      </c>
      <c r="D210" s="10">
        <f t="shared" si="13"/>
        <v>0.45685647971606924</v>
      </c>
      <c r="E210" s="12">
        <f t="shared" si="12"/>
        <v>39.839587722723032</v>
      </c>
    </row>
    <row r="211" spans="1:5">
      <c r="A211" s="3">
        <v>50</v>
      </c>
      <c r="B211" s="10">
        <f t="shared" si="14"/>
        <v>6.3384098726419272E-2</v>
      </c>
      <c r="C211" s="10">
        <f t="shared" si="15"/>
        <v>8.6146516723899627E-2</v>
      </c>
      <c r="D211" s="10">
        <f t="shared" si="13"/>
        <v>0.42871776552512297</v>
      </c>
      <c r="E211" s="12">
        <f t="shared" si="12"/>
        <v>36.932542157642885</v>
      </c>
    </row>
    <row r="212" spans="1:5">
      <c r="A212" s="3">
        <v>50.25</v>
      </c>
      <c r="B212" s="10">
        <f t="shared" si="14"/>
        <v>5.8407486997599553E-2</v>
      </c>
      <c r="C212" s="10">
        <f t="shared" si="15"/>
        <v>8.5102123513730074E-2</v>
      </c>
      <c r="D212" s="10">
        <f t="shared" si="13"/>
        <v>0.4013530871141604</v>
      </c>
      <c r="E212" s="12">
        <f t="shared" si="12"/>
        <v>34.155999992206141</v>
      </c>
    </row>
    <row r="213" spans="1:5">
      <c r="A213" s="3">
        <v>50.5</v>
      </c>
      <c r="B213" s="10">
        <f t="shared" si="14"/>
        <v>5.3691352187527422E-2</v>
      </c>
      <c r="C213" s="10">
        <f t="shared" si="15"/>
        <v>8.4070391955115661E-2</v>
      </c>
      <c r="D213" s="10">
        <f t="shared" si="13"/>
        <v>0.37481281403861527</v>
      </c>
      <c r="E213" s="12">
        <f t="shared" si="12"/>
        <v>31.510660186026268</v>
      </c>
    </row>
    <row r="214" spans="1:5">
      <c r="A214" s="3">
        <v>50.75</v>
      </c>
      <c r="B214" s="10">
        <f t="shared" si="14"/>
        <v>4.9233030948360082E-2</v>
      </c>
      <c r="C214" s="10">
        <f t="shared" si="15"/>
        <v>8.3051168545124371E-2</v>
      </c>
      <c r="D214" s="10">
        <f t="shared" si="13"/>
        <v>0.34914296513888265</v>
      </c>
      <c r="E214" s="12">
        <f t="shared" si="12"/>
        <v>28.996731244093827</v>
      </c>
    </row>
    <row r="215" spans="1:5">
      <c r="A215" s="3">
        <v>51</v>
      </c>
      <c r="B215" s="10">
        <f t="shared" si="14"/>
        <v>4.5029080886547501E-2</v>
      </c>
      <c r="C215" s="10">
        <f t="shared" si="15"/>
        <v>8.2044301641809161E-2</v>
      </c>
      <c r="D215" s="10">
        <f t="shared" si="13"/>
        <v>0.3243848901634101</v>
      </c>
      <c r="E215" s="12">
        <f t="shared" si="12"/>
        <v>26.613931776611953</v>
      </c>
    </row>
    <row r="216" spans="1:5">
      <c r="A216" s="3">
        <v>51.25</v>
      </c>
      <c r="B216" s="10">
        <f t="shared" si="14"/>
        <v>4.1075303675064651E-2</v>
      </c>
      <c r="C216" s="10">
        <f t="shared" si="15"/>
        <v>8.1049641441647682E-2</v>
      </c>
      <c r="D216" s="10">
        <f t="shared" si="13"/>
        <v>0.30057498787519554</v>
      </c>
      <c r="E216" s="12">
        <f t="shared" si="12"/>
        <v>24.361494993612197</v>
      </c>
    </row>
    <row r="217" spans="1:5">
      <c r="A217" s="3">
        <v>51.5</v>
      </c>
      <c r="B217" s="10">
        <f t="shared" si="14"/>
        <v>3.7366774155022334E-2</v>
      </c>
      <c r="C217" s="10">
        <f t="shared" si="15"/>
        <v>8.0067039957253006E-2</v>
      </c>
      <c r="D217" s="10">
        <f t="shared" si="13"/>
        <v>0.27774446523485596</v>
      </c>
      <c r="E217" s="12">
        <f t="shared" si="12"/>
        <v>22.238177195865081</v>
      </c>
    </row>
    <row r="218" spans="1:5">
      <c r="A218" s="3">
        <v>51.75</v>
      </c>
      <c r="B218" s="10">
        <f t="shared" si="14"/>
        <v>3.3897875274994535E-2</v>
      </c>
      <c r="C218" s="10">
        <f t="shared" si="15"/>
        <v>7.9096350995356543E-2</v>
      </c>
      <c r="D218" s="10">
        <f t="shared" si="13"/>
        <v>0.25591914187187587</v>
      </c>
      <c r="E218" s="12">
        <f t="shared" si="12"/>
        <v>20.242270271928341</v>
      </c>
    </row>
    <row r="219" spans="1:5">
      <c r="A219" s="3">
        <v>52</v>
      </c>
      <c r="B219" s="10">
        <f t="shared" si="14"/>
        <v>3.0662338633273858E-2</v>
      </c>
      <c r="C219" s="10">
        <f t="shared" si="15"/>
        <v>7.8137430135056335E-2</v>
      </c>
      <c r="D219" s="10">
        <f t="shared" si="13"/>
        <v>0.2351193035720027</v>
      </c>
      <c r="E219" s="12">
        <f t="shared" si="12"/>
        <v>18.371618156260464</v>
      </c>
    </row>
    <row r="220" spans="1:5">
      <c r="A220" s="3">
        <v>52.25</v>
      </c>
      <c r="B220" s="10">
        <f t="shared" si="14"/>
        <v>2.7653290304379349E-2</v>
      </c>
      <c r="C220" s="10">
        <f t="shared" si="15"/>
        <v>7.7190134706331112E-2</v>
      </c>
      <c r="D220" s="10">
        <f t="shared" si="13"/>
        <v>0.21535960792586228</v>
      </c>
      <c r="E220" s="12">
        <f t="shared" si="12"/>
        <v>16.623637146099963</v>
      </c>
    </row>
    <row r="221" spans="1:5">
      <c r="A221" s="3">
        <v>52.5</v>
      </c>
      <c r="B221" s="10">
        <f t="shared" si="14"/>
        <v>2.4863301548106346E-2</v>
      </c>
      <c r="C221" s="10">
        <f t="shared" si="15"/>
        <v>7.6254323768812374E-2</v>
      </c>
      <c r="D221" s="10">
        <f t="shared" si="13"/>
        <v>0.19664904460656404</v>
      </c>
      <c r="E221" s="12">
        <f t="shared" si="12"/>
        <v>14.995339916256562</v>
      </c>
    </row>
    <row r="222" spans="1:5">
      <c r="A222" s="3">
        <v>52.75</v>
      </c>
      <c r="B222" s="10">
        <f t="shared" si="14"/>
        <v>2.2284443918960437E-2</v>
      </c>
      <c r="C222" s="10">
        <f t="shared" si="15"/>
        <v>7.5329858090815757E-2</v>
      </c>
      <c r="D222" s="10">
        <f t="shared" si="13"/>
        <v>0.17899095198033929</v>
      </c>
      <c r="E222" s="12">
        <f t="shared" si="12"/>
        <v>13.483363012218975</v>
      </c>
    </row>
    <row r="223" spans="1:5">
      <c r="A223" s="3">
        <v>53</v>
      </c>
      <c r="B223" s="10">
        <f t="shared" si="14"/>
        <v>1.9908348217777084E-2</v>
      </c>
      <c r="C223" s="10">
        <f t="shared" si="15"/>
        <v>7.4416600128625054E-2</v>
      </c>
      <c r="D223" s="10">
        <f t="shared" si="13"/>
        <v>0.16238309091509509</v>
      </c>
      <c r="E223" s="12">
        <f t="shared" si="12"/>
        <v>12.0839975442788</v>
      </c>
    </row>
    <row r="224" spans="1:5">
      <c r="A224" s="3">
        <v>53.25</v>
      </c>
      <c r="B224" s="10">
        <f t="shared" si="14"/>
        <v>1.7726266657554973E-2</v>
      </c>
      <c r="C224" s="10">
        <f t="shared" si="15"/>
        <v>7.3514414006029608E-2</v>
      </c>
      <c r="D224" s="10">
        <f t="shared" si="13"/>
        <v>0.14681777575133706</v>
      </c>
      <c r="E224" s="12">
        <f t="shared" si="12"/>
        <v>10.793222750028209</v>
      </c>
    </row>
    <row r="225" spans="1:5">
      <c r="A225" s="3">
        <v>53.5</v>
      </c>
      <c r="B225" s="10">
        <f t="shared" si="14"/>
        <v>1.5729137553876133E-2</v>
      </c>
      <c r="C225" s="10">
        <f t="shared" si="15"/>
        <v>7.2623165494107009E-2</v>
      </c>
      <c r="D225" s="10">
        <f t="shared" si="13"/>
        <v>0.13228206145499774</v>
      </c>
      <c r="E225" s="12">
        <f t="shared" si="12"/>
        <v>9.6067420409479336</v>
      </c>
    </row>
    <row r="226" spans="1:5">
      <c r="A226" s="3">
        <v>53.75</v>
      </c>
      <c r="B226" s="10">
        <f t="shared" si="14"/>
        <v>1.3907651798539129E-2</v>
      </c>
      <c r="C226" s="10">
        <f t="shared" si="15"/>
        <v>7.1742721991253117E-2</v>
      </c>
      <c r="D226" s="10">
        <f t="shared" si="13"/>
        <v>0.1187579850024984</v>
      </c>
      <c r="E226" s="12">
        <f t="shared" si="12"/>
        <v>8.5200211022756509</v>
      </c>
    </row>
    <row r="227" spans="1:5">
      <c r="A227" s="3">
        <v>54</v>
      </c>
      <c r="B227" s="10">
        <f t="shared" si="14"/>
        <v>1.2252320334854528E-2</v>
      </c>
      <c r="C227" s="10">
        <f t="shared" si="15"/>
        <v>7.0872952503452463E-2</v>
      </c>
      <c r="D227" s="10">
        <f t="shared" si="13"/>
        <v>0.10622285807516749</v>
      </c>
      <c r="E227" s="12">
        <f t="shared" si="12"/>
        <v>7.5283275751423169</v>
      </c>
    </row>
    <row r="228" spans="1:5">
      <c r="A228" s="3">
        <v>54.25</v>
      </c>
      <c r="B228" s="10">
        <f t="shared" si="14"/>
        <v>1.0753541825944617E-2</v>
      </c>
      <c r="C228" s="10">
        <f t="shared" si="15"/>
        <v>7.001372762479012E-2</v>
      </c>
      <c r="D228" s="10">
        <f t="shared" si="13"/>
        <v>9.4649607189021115E-2</v>
      </c>
      <c r="E228" s="12">
        <f t="shared" si="12"/>
        <v>6.6267718175255013</v>
      </c>
    </row>
    <row r="229" spans="1:5">
      <c r="A229" s="3">
        <v>54.5</v>
      </c>
      <c r="B229" s="10">
        <f t="shared" si="14"/>
        <v>9.4016696945783667E-3</v>
      </c>
      <c r="C229" s="10">
        <f t="shared" si="15"/>
        <v>6.9164919518197171E-2</v>
      </c>
      <c r="D229" s="10">
        <f t="shared" si="13"/>
        <v>8.4007156479046621E-2</v>
      </c>
      <c r="E229" s="12">
        <f t="shared" si="12"/>
        <v>5.8103482168258562</v>
      </c>
    </row>
    <row r="230" spans="1:5">
      <c r="A230" s="3">
        <v>54.75</v>
      </c>
      <c r="B230" s="10">
        <f t="shared" si="14"/>
        <v>8.1870777155196115E-3</v>
      </c>
      <c r="C230" s="10">
        <f t="shared" si="15"/>
        <v>6.8326401896431521E-2</v>
      </c>
      <c r="D230" s="10">
        <f t="shared" si="13"/>
        <v>7.4260847522132245E-2</v>
      </c>
      <c r="E230" s="12">
        <f t="shared" si="12"/>
        <v>5.0739765129668291</v>
      </c>
    </row>
    <row r="231" spans="1:5">
      <c r="A231" s="3">
        <v>55</v>
      </c>
      <c r="B231" s="10">
        <f t="shared" si="14"/>
        <v>7.1002233596485663E-3</v>
      </c>
      <c r="C231" s="10">
        <f t="shared" si="15"/>
        <v>6.749805000328804E-2</v>
      </c>
      <c r="D231" s="10">
        <f t="shared" si="13"/>
        <v>6.5372889842685494E-2</v>
      </c>
      <c r="E231" s="12">
        <f t="shared" si="12"/>
        <v>4.4125425874610258</v>
      </c>
    </row>
    <row r="232" spans="1:5">
      <c r="A232" s="3">
        <v>55.25</v>
      </c>
      <c r="B232" s="10">
        <f t="shared" si="14"/>
        <v>6.1317081234380242E-3</v>
      </c>
      <c r="C232" s="10">
        <f t="shared" si="15"/>
        <v>6.6679740595038201E-2</v>
      </c>
      <c r="D232" s="10">
        <f t="shared" si="13"/>
        <v>5.7302835125009756E-2</v>
      </c>
      <c r="E232" s="12">
        <f t="shared" si="12"/>
        <v>3.8209381814958943</v>
      </c>
    </row>
    <row r="233" spans="1:5">
      <c r="A233" s="3">
        <v>55.5</v>
      </c>
      <c r="B233" s="10">
        <f t="shared" si="14"/>
        <v>5.2723341274738917E-3</v>
      </c>
      <c r="C233" s="10">
        <f t="shared" si="15"/>
        <v>6.5871351922092536E-2</v>
      </c>
      <c r="D233" s="10">
        <f t="shared" si="13"/>
        <v>5.0008067676680264E-2</v>
      </c>
      <c r="E233" s="12">
        <f t="shared" si="12"/>
        <v>3.2940990248744262</v>
      </c>
    </row>
    <row r="234" spans="1:5">
      <c r="A234" s="3">
        <v>55.75</v>
      </c>
      <c r="B234" s="10">
        <f t="shared" si="14"/>
        <v>4.513156332917225E-3</v>
      </c>
      <c r="C234" s="10">
        <f t="shared" si="15"/>
        <v>6.5072763710887174E-2</v>
      </c>
      <c r="D234" s="10">
        <f t="shared" si="13"/>
        <v>4.344430336714758E-2</v>
      </c>
      <c r="E234" s="12">
        <f t="shared" si="12"/>
        <v>2.8270408875944946</v>
      </c>
    </row>
    <row r="235" spans="1:5">
      <c r="A235" s="3">
        <v>56</v>
      </c>
      <c r="B235" s="10">
        <f t="shared" si="14"/>
        <v>3.8455298039416466E-3</v>
      </c>
      <c r="C235" s="10">
        <f t="shared" si="15"/>
        <v>6.4283857145988596E-2</v>
      </c>
      <c r="D235" s="10">
        <f t="shared" si="13"/>
        <v>3.7566089118790509E-2</v>
      </c>
      <c r="E235" s="12">
        <f t="shared" si="12"/>
        <v>2.4148931064458057</v>
      </c>
    </row>
    <row r="236" spans="1:5">
      <c r="A236" s="3">
        <v>56.25</v>
      </c>
      <c r="B236" s="10">
        <f t="shared" si="14"/>
        <v>3.2611515356389537E-3</v>
      </c>
      <c r="C236" s="10">
        <f t="shared" si="15"/>
        <v>6.3504514852417329E-2</v>
      </c>
      <c r="D236" s="10">
        <f t="shared" si="13"/>
        <v>3.2327295064138117E-2</v>
      </c>
      <c r="E236" s="12">
        <f t="shared" si="12"/>
        <v>2.0529291895390367</v>
      </c>
    </row>
    <row r="237" spans="1:5">
      <c r="A237" s="3">
        <v>56.5</v>
      </c>
      <c r="B237" s="10">
        <f t="shared" si="14"/>
        <v>2.7520964686210286E-3</v>
      </c>
      <c r="C237" s="10">
        <f t="shared" si="15"/>
        <v>6.2734620878183364E-2</v>
      </c>
      <c r="D237" s="10">
        <f t="shared" si="13"/>
        <v>2.7681591706209152E-2</v>
      </c>
      <c r="E237" s="12">
        <f t="shared" si="12"/>
        <v>1.7365941609936961</v>
      </c>
    </row>
    <row r="238" spans="1:5">
      <c r="A238" s="3">
        <v>56.75</v>
      </c>
      <c r="B238" s="10">
        <f t="shared" si="14"/>
        <v>2.310847421145941E-3</v>
      </c>
      <c r="C238" s="10">
        <f t="shared" si="15"/>
        <v>6.1974060677035397E-2</v>
      </c>
      <c r="D238" s="10">
        <f t="shared" si="13"/>
        <v>2.358290482778649E-2</v>
      </c>
      <c r="E238" s="12">
        <f t="shared" si="12"/>
        <v>1.461528374737991</v>
      </c>
    </row>
    <row r="239" spans="1:5">
      <c r="A239" s="3">
        <v>57</v>
      </c>
      <c r="B239" s="10">
        <f t="shared" si="14"/>
        <v>1.9303187843234522E-3</v>
      </c>
      <c r="C239" s="10">
        <f t="shared" si="15"/>
        <v>6.1222721091417708E-2</v>
      </c>
      <c r="D239" s="10">
        <f t="shared" si="13"/>
        <v>1.998584148101714E-2</v>
      </c>
      <c r="E239" s="12">
        <f t="shared" si="12"/>
        <v>1.223587598769599</v>
      </c>
    </row>
    <row r="240" spans="1:5">
      <c r="A240" s="3">
        <v>57.25</v>
      </c>
      <c r="B240" s="10">
        <f t="shared" si="14"/>
        <v>1.603873942853987E-3</v>
      </c>
      <c r="C240" s="10">
        <f t="shared" si="15"/>
        <v>6.0480490335635545E-2</v>
      </c>
      <c r="D240" s="10">
        <f t="shared" si="13"/>
        <v>1.6846081137382479E-2</v>
      </c>
      <c r="E240" s="12">
        <f t="shared" si="12"/>
        <v>1.0188592474227931</v>
      </c>
    </row>
    <row r="241" spans="1:5">
      <c r="A241" s="3">
        <v>57.5</v>
      </c>
      <c r="B241" s="10">
        <f t="shared" si="14"/>
        <v>1.3253364997232284E-3</v>
      </c>
      <c r="C241" s="10">
        <f t="shared" si="15"/>
        <v>5.9747257979222236E-2</v>
      </c>
      <c r="D241" s="10">
        <f t="shared" si="13"/>
        <v>1.4120726968790976E-2</v>
      </c>
      <c r="E241" s="12">
        <f t="shared" si="12"/>
        <v>0.84367471705851527</v>
      </c>
    </row>
    <row r="242" spans="1:5">
      <c r="A242" s="3">
        <v>57.75</v>
      </c>
      <c r="B242" s="10">
        <f t="shared" si="14"/>
        <v>1.0889954951920813E-3</v>
      </c>
      <c r="C242" s="10">
        <f t="shared" si="15"/>
        <v>5.9022914930509894E-2</v>
      </c>
      <c r="D242" s="10">
        <f t="shared" si="13"/>
        <v>1.176861323802908E-2</v>
      </c>
      <c r="E242" s="12">
        <f t="shared" si="12"/>
        <v>0.69461785799826292</v>
      </c>
    </row>
    <row r="243" spans="1:5">
      <c r="A243" s="3">
        <v>58</v>
      </c>
      <c r="B243" s="10">
        <f t="shared" si="14"/>
        <v>8.896049152472454E-4</v>
      </c>
      <c r="C243" s="10">
        <f t="shared" si="15"/>
        <v>5.8307353420397834E-2</v>
      </c>
      <c r="D243" s="10">
        <f t="shared" si="13"/>
        <v>9.7505658701222322E-3</v>
      </c>
      <c r="E243" s="12">
        <f t="shared" si="12"/>
        <v>0.56852969023808586</v>
      </c>
    </row>
    <row r="244" spans="1:5">
      <c r="A244" s="3">
        <v>58.25</v>
      </c>
      <c r="B244" s="10">
        <f t="shared" si="14"/>
        <v>7.2237787957954241E-4</v>
      </c>
      <c r="C244" s="10">
        <f t="shared" si="15"/>
        <v>5.7600466986319585E-2</v>
      </c>
      <c r="D244" s="10">
        <f t="shared" si="13"/>
        <v>8.0296144217469369E-3</v>
      </c>
      <c r="E244" s="12">
        <f t="shared" si="12"/>
        <v>0.46250954041271009</v>
      </c>
    </row>
    <row r="245" spans="1:5">
      <c r="A245" s="3">
        <v>58.5</v>
      </c>
      <c r="B245" s="10">
        <f t="shared" si="14"/>
        <v>5.8297598161135384E-4</v>
      </c>
      <c r="C245" s="10">
        <f t="shared" si="15"/>
        <v>5.6902150456402144E-2</v>
      </c>
      <c r="D245" s="10">
        <f t="shared" si="13"/>
        <v>6.571154827030465E-3</v>
      </c>
      <c r="E245" s="12">
        <f t="shared" si="12"/>
        <v>0.37391284064000069</v>
      </c>
    </row>
    <row r="246" spans="1:5">
      <c r="A246" s="3">
        <v>58.75</v>
      </c>
      <c r="B246" s="10">
        <f t="shared" si="14"/>
        <v>4.6749432100056168E-4</v>
      </c>
      <c r="C246" s="10">
        <f t="shared" si="15"/>
        <v>5.6212299933818946E-2</v>
      </c>
      <c r="D246" s="10">
        <f t="shared" si="13"/>
        <v>5.3430634381905406E-3</v>
      </c>
      <c r="E246" s="12">
        <f t="shared" si="12"/>
        <v>0.30034588455298855</v>
      </c>
    </row>
    <row r="247" spans="1:5">
      <c r="A247" s="3">
        <v>59</v>
      </c>
      <c r="B247" s="10">
        <f t="shared" si="14"/>
        <v>3.7244282080432084E-4</v>
      </c>
      <c r="C247" s="10">
        <f t="shared" si="15"/>
        <v>5.5530812781331262E-2</v>
      </c>
      <c r="D247" s="10">
        <f t="shared" si="13"/>
        <v>4.315763961918787E-3</v>
      </c>
      <c r="E247" s="12">
        <f t="shared" si="12"/>
        <v>0.23965788057772863</v>
      </c>
    </row>
    <row r="248" spans="1:5">
      <c r="A248" s="3">
        <v>59.25</v>
      </c>
      <c r="B248" s="10">
        <f t="shared" si="14"/>
        <v>2.9472445606665054E-4</v>
      </c>
      <c r="C248" s="10">
        <f t="shared" si="15"/>
        <v>5.4857587606018644E-2</v>
      </c>
      <c r="D248" s="10">
        <f t="shared" si="13"/>
        <v>3.4622498835228301E-3</v>
      </c>
      <c r="E248" s="12">
        <f t="shared" si="12"/>
        <v>0.18993067629928148</v>
      </c>
    </row>
    <row r="249" spans="1:5">
      <c r="A249" s="3">
        <v>59.5</v>
      </c>
      <c r="B249" s="10">
        <f t="shared" si="14"/>
        <v>2.3161103758408182E-4</v>
      </c>
      <c r="C249" s="10">
        <f t="shared" si="15"/>
        <v>5.4192524244192505E-2</v>
      </c>
      <c r="D249" s="10">
        <f t="shared" si="13"/>
        <v>2.7580658403331976E-3</v>
      </c>
      <c r="E249" s="12">
        <f t="shared" si="12"/>
        <v>0.149466549919336</v>
      </c>
    </row>
    <row r="250" spans="1:5">
      <c r="A250" s="3">
        <v>59.75</v>
      </c>
      <c r="B250" s="10">
        <f t="shared" si="14"/>
        <v>1.8071719422101384E-4</v>
      </c>
      <c r="C250" s="10">
        <f t="shared" si="15"/>
        <v>5.3535523746494243E-2</v>
      </c>
      <c r="D250" s="10">
        <f t="shared" si="13"/>
        <v>2.18125212902884E-3</v>
      </c>
      <c r="E250" s="12">
        <f t="shared" si="12"/>
        <v>0.11677447515071458</v>
      </c>
    </row>
    <row r="251" spans="1:5">
      <c r="A251" s="3">
        <v>60</v>
      </c>
      <c r="B251" s="10">
        <f t="shared" si="14"/>
        <v>1.3997318022093266E-4</v>
      </c>
      <c r="C251" s="10">
        <f t="shared" si="15"/>
        <v>5.2886488363172626E-2</v>
      </c>
      <c r="D251" s="10">
        <f t="shared" si="13"/>
        <v>1.7122570896249507E-3</v>
      </c>
      <c r="E251" s="12">
        <f t="shared" si="12"/>
        <v>9.0555264645209785E-2</v>
      </c>
    </row>
    <row r="252" spans="1:5">
      <c r="A252" s="3">
        <v>60.25</v>
      </c>
      <c r="B252" s="10">
        <f t="shared" si="14"/>
        <v>1.0759710189508797E-4</v>
      </c>
      <c r="C252" s="10">
        <f t="shared" si="15"/>
        <v>5.2245321529541554E-2</v>
      </c>
      <c r="D252" s="10">
        <f t="shared" si="13"/>
        <v>1.3338224905192122E-3</v>
      </c>
      <c r="E252" s="12">
        <f t="shared" si="12"/>
        <v>6.968598488051013E-2</v>
      </c>
    </row>
    <row r="253" spans="1:5">
      <c r="A253" s="3">
        <v>60.5</v>
      </c>
      <c r="B253" s="10">
        <f t="shared" si="14"/>
        <v>8.2067112769362776E-5</v>
      </c>
      <c r="C253" s="10">
        <f t="shared" si="15"/>
        <v>5.1611927851611908E-2</v>
      </c>
      <c r="D253" s="10">
        <f t="shared" si="13"/>
        <v>1.0308472401668557E-3</v>
      </c>
      <c r="E253" s="12">
        <f t="shared" si="12"/>
        <v>5.3204013385525009E-2</v>
      </c>
    </row>
    <row r="254" spans="1:5">
      <c r="A254" s="3">
        <v>60.75</v>
      </c>
      <c r="B254" s="10">
        <f t="shared" si="14"/>
        <v>6.2094070043064751E-5</v>
      </c>
      <c r="C254" s="10">
        <f t="shared" si="15"/>
        <v>5.0986213091899268E-2</v>
      </c>
      <c r="D254" s="10">
        <f t="shared" si="13"/>
        <v>7.9023477530759298E-4</v>
      </c>
      <c r="E254" s="12">
        <f t="shared" si="12"/>
        <v>4.0291078646462072E-2</v>
      </c>
    </row>
    <row r="255" spans="1:5">
      <c r="A255" s="3">
        <v>61</v>
      </c>
      <c r="B255" s="10">
        <f t="shared" si="14"/>
        <v>4.6595080661695182E-5</v>
      </c>
      <c r="C255" s="10">
        <f t="shared" si="15"/>
        <v>5.0368084155402483E-2</v>
      </c>
      <c r="D255" s="10">
        <f t="shared" si="13"/>
        <v>6.0072933393008957E-4</v>
      </c>
      <c r="E255" s="12">
        <f t="shared" si="12"/>
        <v>3.0257585646009631E-2</v>
      </c>
    </row>
    <row r="256" spans="1:5">
      <c r="A256" s="3">
        <v>61.25</v>
      </c>
      <c r="B256" s="10">
        <f t="shared" si="14"/>
        <v>3.466829519817353E-5</v>
      </c>
      <c r="C256" s="10">
        <f t="shared" si="15"/>
        <v>4.9757449075753857E-2</v>
      </c>
      <c r="D256" s="10">
        <f t="shared" si="13"/>
        <v>4.5274603057684121E-4</v>
      </c>
      <c r="E256" s="12">
        <f t="shared" si="12"/>
        <v>2.2527487560676875E-2</v>
      </c>
    </row>
    <row r="257" spans="1:5">
      <c r="A257" s="3">
        <v>61.5</v>
      </c>
      <c r="B257" s="10">
        <f t="shared" si="14"/>
        <v>2.5569234876822404E-5</v>
      </c>
      <c r="C257" s="10">
        <f t="shared" si="15"/>
        <v>4.915421700153514E-2</v>
      </c>
      <c r="D257" s="10">
        <f t="shared" si="13"/>
        <v>3.3819923467001716E-4</v>
      </c>
      <c r="E257" s="12">
        <f t="shared" si="12"/>
        <v>1.662391857072313E-2</v>
      </c>
    </row>
    <row r="258" spans="1:5">
      <c r="A258" s="3">
        <v>61.75</v>
      </c>
      <c r="B258" s="10">
        <f t="shared" si="14"/>
        <v>1.8688864172118577E-5</v>
      </c>
      <c r="C258" s="10">
        <f t="shared" si="15"/>
        <v>4.855829818276123E-2</v>
      </c>
      <c r="D258" s="10">
        <f t="shared" si="13"/>
        <v>2.5033323580385527E-4</v>
      </c>
      <c r="E258" s="12">
        <f t="shared" si="12"/>
        <v>1.2155755909219084E-2</v>
      </c>
    </row>
    <row r="259" spans="1:5">
      <c r="A259" s="3">
        <v>62</v>
      </c>
      <c r="B259" s="10">
        <f t="shared" si="14"/>
        <v>1.3533550967737651E-5</v>
      </c>
      <c r="C259" s="10">
        <f t="shared" si="15"/>
        <v>4.7969603957526197E-2</v>
      </c>
      <c r="D259" s="10">
        <f t="shared" si="13"/>
        <v>1.8355859231480442E-4</v>
      </c>
      <c r="E259" s="12">
        <f t="shared" si="12"/>
        <v>8.8052329763421804E-3</v>
      </c>
    </row>
    <row r="260" spans="1:5">
      <c r="A260" s="3">
        <v>62.25</v>
      </c>
      <c r="B260" s="10">
        <f t="shared" si="14"/>
        <v>9.7069904550151994E-6</v>
      </c>
      <c r="C260" s="10">
        <f t="shared" si="15"/>
        <v>4.7388046738813201E-2</v>
      </c>
      <c r="D260" s="10">
        <f t="shared" si="13"/>
        <v>1.33296930667754E-4</v>
      </c>
      <c r="E260" s="12">
        <f t="shared" si="12"/>
        <v>6.3166811806238694E-3</v>
      </c>
    </row>
    <row r="261" spans="1:5">
      <c r="A261" s="3">
        <v>62.5</v>
      </c>
      <c r="B261" s="10">
        <f t="shared" si="14"/>
        <v>6.8941095738419081E-6</v>
      </c>
      <c r="C261" s="10">
        <f t="shared" si="15"/>
        <v>4.6813540001462053E-2</v>
      </c>
      <c r="D261" s="10">
        <f t="shared" si="13"/>
        <v>9.5836322248236798E-5</v>
      </c>
      <c r="E261" s="12">
        <f t="shared" si="12"/>
        <v>4.4864375051608413E-3</v>
      </c>
    </row>
    <row r="262" spans="1:5">
      <c r="A262" s="3">
        <v>62.75</v>
      </c>
      <c r="B262" s="10">
        <f t="shared" si="14"/>
        <v>4.8469171964817748E-6</v>
      </c>
      <c r="C262" s="10">
        <f t="shared" si="15"/>
        <v>4.6245998269296387E-2</v>
      </c>
      <c r="D262" s="10">
        <f t="shared" si="13"/>
        <v>6.8198737792648617E-5</v>
      </c>
      <c r="E262" s="12">
        <f t="shared" si="12"/>
        <v>3.1539187099270259E-3</v>
      </c>
    </row>
    <row r="263" spans="1:5">
      <c r="A263" s="3">
        <v>63</v>
      </c>
      <c r="B263" s="10">
        <f t="shared" si="14"/>
        <v>3.3722222964924049E-6</v>
      </c>
      <c r="C263" s="10">
        <f t="shared" si="15"/>
        <v>4.5685337102405896E-2</v>
      </c>
      <c r="D263" s="10">
        <f t="shared" si="13"/>
        <v>4.802049122733905E-5</v>
      </c>
      <c r="E263" s="12">
        <f t="shared" si="12"/>
        <v>2.1938323295441092E-3</v>
      </c>
    </row>
    <row r="264" spans="1:5">
      <c r="A264" s="3">
        <v>63.25</v>
      </c>
      <c r="B264" s="10">
        <f t="shared" si="14"/>
        <v>2.3211084321096427E-6</v>
      </c>
      <c r="C264" s="10">
        <f t="shared" si="15"/>
        <v>4.5131473084583998E-2</v>
      </c>
      <c r="D264" s="10">
        <f t="shared" si="13"/>
        <v>3.3446053070155717E-5</v>
      </c>
      <c r="E264" s="12">
        <f t="shared" ref="E264:E327" si="16">D264*C264*1000</f>
        <v>1.5094696439213009E-3</v>
      </c>
    </row>
    <row r="265" spans="1:5">
      <c r="A265" s="3">
        <v>63.5</v>
      </c>
      <c r="B265" s="10">
        <f t="shared" si="14"/>
        <v>1.5800279668770507E-6</v>
      </c>
      <c r="C265" s="10">
        <f t="shared" si="15"/>
        <v>4.4584323810916239E-2</v>
      </c>
      <c r="D265" s="10">
        <f t="shared" ref="D265:D328" si="17">(B265-B266)*C265*1000</f>
        <v>2.3035152751694664E-5</v>
      </c>
      <c r="E265" s="12">
        <f t="shared" si="16"/>
        <v>1.0270067093154731E-3</v>
      </c>
    </row>
    <row r="266" spans="1:5">
      <c r="A266" s="3">
        <v>63.75</v>
      </c>
      <c r="B266" s="10">
        <f t="shared" si="14"/>
        <v>1.0633631218658849E-6</v>
      </c>
      <c r="C266" s="10">
        <f t="shared" si="15"/>
        <v>4.4043807875520369E-2</v>
      </c>
      <c r="D266" s="10">
        <f t="shared" si="17"/>
        <v>1.5682708031736549E-5</v>
      </c>
      <c r="E266" s="12">
        <f t="shared" si="16"/>
        <v>6.9072617951768469E-4</v>
      </c>
    </row>
    <row r="267" spans="1:5">
      <c r="A267" s="3">
        <v>64</v>
      </c>
      <c r="B267" s="10">
        <f t="shared" ref="B267" si="18">(B$8^A267)*(B$7^((B$5^50)*(B$5^A267-1)))</f>
        <v>7.0729245522279872E-7</v>
      </c>
      <c r="C267" s="10">
        <f t="shared" si="15"/>
        <v>4.3509844859434176E-2</v>
      </c>
      <c r="D267" s="10">
        <f t="shared" si="17"/>
        <v>1.0550821834226248E-5</v>
      </c>
      <c r="E267" s="12">
        <f t="shared" si="16"/>
        <v>4.5906462114671476E-4</v>
      </c>
    </row>
    <row r="268" spans="1:5">
      <c r="A268" s="3">
        <v>64.25</v>
      </c>
      <c r="B268" s="10">
        <f t="shared" ref="B268:B331" si="19">(B$8^A268)*(B$7^((B$5^50)*(B$5^A268-1)))</f>
        <v>4.6479970747082578E-7</v>
      </c>
      <c r="C268" s="10">
        <f t="shared" ref="C268:C330" si="20">(1+$B$6)^-(A268+0.25)</f>
        <v>4.2982355318651418E-2</v>
      </c>
      <c r="D268" s="10">
        <f t="shared" si="17"/>
        <v>7.0118713717985176E-6</v>
      </c>
      <c r="E268" s="12">
        <f t="shared" si="16"/>
        <v>3.013867467513236E-4</v>
      </c>
    </row>
    <row r="269" spans="1:5">
      <c r="A269" s="3">
        <v>64.5</v>
      </c>
      <c r="B269" s="10">
        <f t="shared" si="19"/>
        <v>3.0166599086046958E-7</v>
      </c>
      <c r="C269" s="10">
        <f t="shared" si="20"/>
        <v>4.2461260772301175E-2</v>
      </c>
      <c r="D269" s="10">
        <f t="shared" si="17"/>
        <v>4.6015764724132355E-6</v>
      </c>
      <c r="E269" s="12">
        <f t="shared" si="16"/>
        <v>1.9538873855882413E-4</v>
      </c>
    </row>
    <row r="270" spans="1:5">
      <c r="A270" s="3">
        <v>64.75</v>
      </c>
      <c r="B270" s="10">
        <f t="shared" si="19"/>
        <v>1.9329482173552947E-7</v>
      </c>
      <c r="C270" s="10">
        <f t="shared" si="20"/>
        <v>4.1946483690971779E-2</v>
      </c>
      <c r="D270" s="10">
        <f t="shared" si="17"/>
        <v>2.9808655280275531E-6</v>
      </c>
      <c r="E270" s="12">
        <f t="shared" si="16"/>
        <v>1.2503682725638774E-4</v>
      </c>
    </row>
    <row r="271" spans="1:5">
      <c r="A271" s="3">
        <v>65</v>
      </c>
      <c r="B271" s="10">
        <f t="shared" si="19"/>
        <v>1.2223128396706736E-7</v>
      </c>
      <c r="C271" s="10">
        <f t="shared" si="20"/>
        <v>4.1437947485175396E-2</v>
      </c>
      <c r="D271" s="10">
        <f t="shared" si="17"/>
        <v>1.9053482476017405E-6</v>
      </c>
      <c r="E271" s="12">
        <f t="shared" si="16"/>
        <v>7.8953720625091894E-5</v>
      </c>
    </row>
    <row r="272" spans="1:5">
      <c r="A272" s="3">
        <v>65.25</v>
      </c>
      <c r="B272" s="10">
        <f t="shared" si="19"/>
        <v>7.6250525670981698E-8</v>
      </c>
      <c r="C272" s="10">
        <f t="shared" si="20"/>
        <v>4.0935576493953726E-2</v>
      </c>
      <c r="D272" s="10">
        <f t="shared" si="17"/>
        <v>1.2012429764350858E-6</v>
      </c>
      <c r="E272" s="12">
        <f t="shared" si="16"/>
        <v>4.9173573749683104E-5</v>
      </c>
    </row>
    <row r="273" spans="1:5">
      <c r="A273" s="3">
        <v>65.5</v>
      </c>
      <c r="B273" s="10">
        <f t="shared" si="19"/>
        <v>4.6905806985695517E-8</v>
      </c>
      <c r="C273" s="10">
        <f t="shared" si="20"/>
        <v>4.0439295973620157E-2</v>
      </c>
      <c r="D273" s="10">
        <f t="shared" si="17"/>
        <v>7.4668096787328141E-7</v>
      </c>
      <c r="E273" s="12">
        <f t="shared" si="16"/>
        <v>3.0195252657696791E-5</v>
      </c>
    </row>
    <row r="274" spans="1:5">
      <c r="A274" s="3">
        <v>65.75</v>
      </c>
      <c r="B274" s="10">
        <f t="shared" si="19"/>
        <v>2.8441564473650667E-8</v>
      </c>
      <c r="C274" s="10">
        <f t="shared" si="20"/>
        <v>3.9949032086639788E-2</v>
      </c>
      <c r="D274" s="10">
        <f t="shared" si="17"/>
        <v>4.5740932584400439E-7</v>
      </c>
      <c r="E274" s="12">
        <f t="shared" si="16"/>
        <v>1.8273059834870405E-5</v>
      </c>
    </row>
    <row r="275" spans="1:5">
      <c r="A275" s="3">
        <v>66</v>
      </c>
      <c r="B275" s="10">
        <f t="shared" si="19"/>
        <v>1.6991741988540284E-8</v>
      </c>
      <c r="C275" s="10">
        <f t="shared" si="20"/>
        <v>3.9464711890643246E-2</v>
      </c>
      <c r="D275" s="10">
        <f t="shared" si="17"/>
        <v>2.7602808856546301E-7</v>
      </c>
      <c r="E275" s="12">
        <f t="shared" si="16"/>
        <v>1.0893368988960957E-5</v>
      </c>
    </row>
    <row r="276" spans="1:5">
      <c r="A276" s="3">
        <v>66.25</v>
      </c>
      <c r="B276" s="10">
        <f t="shared" si="19"/>
        <v>9.9974406154468452E-9</v>
      </c>
      <c r="C276" s="10">
        <f t="shared" si="20"/>
        <v>3.8986263327574988E-2</v>
      </c>
      <c r="D276" s="10">
        <f t="shared" si="17"/>
        <v>1.6401628032084228E-7</v>
      </c>
      <c r="E276" s="12">
        <f t="shared" si="16"/>
        <v>6.3943818945977129E-6</v>
      </c>
    </row>
    <row r="277" spans="1:5">
      <c r="A277" s="3">
        <v>66.5</v>
      </c>
      <c r="B277" s="10">
        <f t="shared" si="19"/>
        <v>5.7904131570129525E-9</v>
      </c>
      <c r="C277" s="10">
        <f t="shared" si="20"/>
        <v>3.8513615212971593E-2</v>
      </c>
      <c r="D277" s="10">
        <f t="shared" si="17"/>
        <v>9.5919620374518012E-8</v>
      </c>
      <c r="E277" s="12">
        <f t="shared" si="16"/>
        <v>3.694211350478497E-6</v>
      </c>
    </row>
    <row r="278" spans="1:5">
      <c r="A278" s="3">
        <v>66.75</v>
      </c>
      <c r="B278" s="10">
        <f t="shared" si="19"/>
        <v>3.2998752045485013E-9</v>
      </c>
      <c r="C278" s="10">
        <f t="shared" si="20"/>
        <v>3.8046697225371226E-2</v>
      </c>
      <c r="D278" s="10">
        <f t="shared" si="17"/>
        <v>5.5183633454515178E-8</v>
      </c>
      <c r="E278" s="12">
        <f t="shared" si="16"/>
        <v>2.0995549938398055E-6</v>
      </c>
    </row>
    <row r="279" spans="1:5">
      <c r="A279" s="3">
        <v>67</v>
      </c>
      <c r="B279" s="10">
        <f t="shared" si="19"/>
        <v>1.8494567062585556E-9</v>
      </c>
      <c r="C279" s="10">
        <f t="shared" si="20"/>
        <v>3.7585439895850711E-2</v>
      </c>
      <c r="D279" s="10">
        <f t="shared" si="17"/>
        <v>3.1216555896642676E-8</v>
      </c>
      <c r="E279" s="12">
        <f t="shared" si="16"/>
        <v>1.1732879854087273E-6</v>
      </c>
    </row>
    <row r="280" spans="1:5">
      <c r="A280" s="3">
        <v>67.25</v>
      </c>
      <c r="B280" s="10">
        <f t="shared" si="19"/>
        <v>1.0189075366028649E-9</v>
      </c>
      <c r="C280" s="10">
        <f t="shared" si="20"/>
        <v>3.7129774597690457E-2</v>
      </c>
      <c r="D280" s="10">
        <f t="shared" si="17"/>
        <v>1.7354608777249066E-8</v>
      </c>
      <c r="E280" s="12">
        <f t="shared" si="16"/>
        <v>6.443727121303582E-7</v>
      </c>
    </row>
    <row r="281" spans="1:5">
      <c r="A281" s="3">
        <v>67.5</v>
      </c>
      <c r="B281" s="10">
        <f t="shared" si="19"/>
        <v>5.5150343934425798E-10</v>
      </c>
      <c r="C281" s="10">
        <f t="shared" si="20"/>
        <v>3.6679633536163408E-2</v>
      </c>
      <c r="D281" s="10">
        <f t="shared" si="17"/>
        <v>9.4771274950566598E-9</v>
      </c>
      <c r="E281" s="12">
        <f t="shared" si="16"/>
        <v>3.4761756349417658E-7</v>
      </c>
    </row>
    <row r="282" spans="1:5">
      <c r="A282" s="3">
        <v>67.75</v>
      </c>
      <c r="B282" s="10">
        <f t="shared" si="19"/>
        <v>2.9312769832948165E-10</v>
      </c>
      <c r="C282" s="10">
        <f t="shared" si="20"/>
        <v>3.6234949738448791E-2</v>
      </c>
      <c r="D282" s="10">
        <f t="shared" si="17"/>
        <v>5.0809041089093376E-9</v>
      </c>
      <c r="E282" s="12">
        <f t="shared" si="16"/>
        <v>1.841063050122078E-7</v>
      </c>
    </row>
    <row r="283" spans="1:5">
      <c r="A283" s="3">
        <v>68</v>
      </c>
      <c r="B283" s="10">
        <f t="shared" si="19"/>
        <v>1.529066094198976E-10</v>
      </c>
      <c r="C283" s="10">
        <f t="shared" si="20"/>
        <v>3.5795657043667335E-2</v>
      </c>
      <c r="D283" s="10">
        <f t="shared" si="17"/>
        <v>2.6728292143722846E-9</v>
      </c>
      <c r="E283" s="12">
        <f t="shared" si="16"/>
        <v>9.5675677893965093E-8</v>
      </c>
    </row>
    <row r="284" spans="1:5">
      <c r="A284" s="3">
        <v>68.25</v>
      </c>
      <c r="B284" s="10">
        <f t="shared" si="19"/>
        <v>7.8237517269649196E-11</v>
      </c>
      <c r="C284" s="10">
        <f t="shared" si="20"/>
        <v>3.5361690093038529E-2</v>
      </c>
      <c r="D284" s="10">
        <f t="shared" si="17"/>
        <v>1.378871964294412E-9</v>
      </c>
      <c r="E284" s="12">
        <f t="shared" si="16"/>
        <v>4.8759243079358287E-8</v>
      </c>
    </row>
    <row r="285" spans="1:5">
      <c r="A285" s="3">
        <v>68.5</v>
      </c>
      <c r="B285" s="10">
        <f t="shared" si="19"/>
        <v>3.9244133167630173E-11</v>
      </c>
      <c r="C285" s="10">
        <f t="shared" si="20"/>
        <v>3.4932984320155624E-2</v>
      </c>
      <c r="D285" s="10">
        <f t="shared" si="17"/>
        <v>6.9718591632578353E-10</v>
      </c>
      <c r="E285" s="12">
        <f t="shared" si="16"/>
        <v>2.4354784683241928E-8</v>
      </c>
    </row>
    <row r="286" spans="1:5">
      <c r="A286" s="3">
        <v>68.75</v>
      </c>
      <c r="B286" s="10">
        <f t="shared" si="19"/>
        <v>1.9286321663861188E-11</v>
      </c>
      <c r="C286" s="10">
        <f t="shared" si="20"/>
        <v>3.4509475941379798E-2</v>
      </c>
      <c r="D286" s="10">
        <f t="shared" si="17"/>
        <v>3.4529256571962398E-10</v>
      </c>
      <c r="E286" s="12">
        <f t="shared" si="16"/>
        <v>1.1915865489438666E-8</v>
      </c>
    </row>
    <row r="287" spans="1:5">
      <c r="A287" s="3">
        <v>69</v>
      </c>
      <c r="B287" s="10">
        <f t="shared" si="19"/>
        <v>9.280589722113884E-12</v>
      </c>
      <c r="C287" s="10">
        <f t="shared" si="20"/>
        <v>3.4091101946349837E-2</v>
      </c>
      <c r="D287" s="10">
        <f t="shared" si="17"/>
        <v>1.6740723911266291E-10</v>
      </c>
      <c r="E287" s="12">
        <f t="shared" si="16"/>
        <v>5.7070972551467548E-9</v>
      </c>
    </row>
    <row r="288" spans="1:5">
      <c r="A288" s="3">
        <v>69.25</v>
      </c>
      <c r="B288" s="10">
        <f t="shared" si="19"/>
        <v>4.3700051544423386E-12</v>
      </c>
      <c r="C288" s="10">
        <f t="shared" si="20"/>
        <v>3.3677800088608122E-2</v>
      </c>
      <c r="D288" s="10">
        <f t="shared" si="17"/>
        <v>7.9402874542644463E-11</v>
      </c>
      <c r="E288" s="12">
        <f t="shared" si="16"/>
        <v>2.6741141353080109E-9</v>
      </c>
    </row>
    <row r="289" spans="1:5">
      <c r="A289" s="3">
        <v>69.5</v>
      </c>
      <c r="B289" s="10">
        <f t="shared" si="19"/>
        <v>2.0122836187799383E-12</v>
      </c>
      <c r="C289" s="10">
        <f t="shared" si="20"/>
        <v>3.3269508876338685E-2</v>
      </c>
      <c r="D289" s="10">
        <f t="shared" si="17"/>
        <v>3.6820675256734312E-11</v>
      </c>
      <c r="E289" s="12">
        <f t="shared" si="16"/>
        <v>1.2250057822867064E-9</v>
      </c>
    </row>
    <row r="290" spans="1:5">
      <c r="A290" s="3">
        <v>69.75</v>
      </c>
      <c r="B290" s="10">
        <f t="shared" si="19"/>
        <v>9.0554424990030861E-13</v>
      </c>
      <c r="C290" s="10">
        <f t="shared" si="20"/>
        <v>3.2866167563218862E-2</v>
      </c>
      <c r="D290" s="10">
        <f t="shared" si="17"/>
        <v>1.6682113206005631E-11</v>
      </c>
      <c r="E290" s="12">
        <f t="shared" si="16"/>
        <v>5.482771279371673E-10</v>
      </c>
    </row>
    <row r="291" spans="1:5">
      <c r="A291" s="3">
        <v>70</v>
      </c>
      <c r="B291" s="10">
        <f t="shared" si="19"/>
        <v>3.9796717466276568E-13</v>
      </c>
      <c r="C291" s="10">
        <f t="shared" si="20"/>
        <v>3.2467716139380806E-2</v>
      </c>
      <c r="D291" s="10">
        <f t="shared" si="17"/>
        <v>7.3793124164662549E-12</v>
      </c>
      <c r="E291" s="12">
        <f t="shared" si="16"/>
        <v>2.3958942084163461E-10</v>
      </c>
    </row>
    <row r="292" spans="1:5">
      <c r="A292" s="3">
        <v>70.25</v>
      </c>
      <c r="B292" s="10">
        <f t="shared" si="19"/>
        <v>1.70685637988379E-13</v>
      </c>
      <c r="C292" s="10">
        <f t="shared" si="20"/>
        <v>3.2074095322483932E-2</v>
      </c>
      <c r="D292" s="10">
        <f t="shared" si="17"/>
        <v>3.1847782128001388E-12</v>
      </c>
      <c r="E292" s="12">
        <f t="shared" si="16"/>
        <v>1.0214887997832167E-10</v>
      </c>
    </row>
    <row r="293" spans="1:5">
      <c r="A293" s="3">
        <v>70.5</v>
      </c>
      <c r="B293" s="10">
        <f t="shared" si="19"/>
        <v>7.139123293098647E-14</v>
      </c>
      <c r="C293" s="10">
        <f t="shared" si="20"/>
        <v>3.1685246548893993E-2</v>
      </c>
      <c r="D293" s="10">
        <f t="shared" si="17"/>
        <v>1.3400618952761871E-12</v>
      </c>
      <c r="E293" s="12">
        <f t="shared" si="16"/>
        <v>4.2460191542604156E-11</v>
      </c>
    </row>
    <row r="294" spans="1:5">
      <c r="A294" s="3">
        <v>70.75</v>
      </c>
      <c r="B294" s="10">
        <f t="shared" si="19"/>
        <v>2.9098303532178832E-14</v>
      </c>
      <c r="C294" s="10">
        <f t="shared" si="20"/>
        <v>3.1301111964970339E-2</v>
      </c>
      <c r="D294" s="10">
        <f t="shared" si="17"/>
        <v>5.4932263302076815E-13</v>
      </c>
      <c r="E294" s="12">
        <f t="shared" si="16"/>
        <v>1.7194409241075376E-11</v>
      </c>
    </row>
    <row r="295" spans="1:5">
      <c r="A295" s="3">
        <v>71</v>
      </c>
      <c r="B295" s="10">
        <f t="shared" si="19"/>
        <v>1.1548683134171076E-14</v>
      </c>
      <c r="C295" s="10">
        <f t="shared" si="20"/>
        <v>3.0921634418457904E-2</v>
      </c>
      <c r="D295" s="10">
        <f t="shared" si="17"/>
        <v>2.1920584179092693E-13</v>
      </c>
      <c r="E295" s="12">
        <f t="shared" si="16"/>
        <v>6.7782029022493638E-12</v>
      </c>
    </row>
    <row r="296" spans="1:5">
      <c r="A296" s="3">
        <v>71.25</v>
      </c>
      <c r="B296" s="10">
        <f t="shared" si="19"/>
        <v>4.4596063142188476E-15</v>
      </c>
      <c r="C296" s="10">
        <f t="shared" si="20"/>
        <v>3.0546757449984689E-2</v>
      </c>
      <c r="D296" s="10">
        <f t="shared" si="17"/>
        <v>8.5085179545338392E-14</v>
      </c>
      <c r="E296" s="12">
        <f t="shared" si="16"/>
        <v>2.5990763421598507E-12</v>
      </c>
    </row>
    <row r="297" spans="1:5">
      <c r="A297" s="3">
        <v>71.5</v>
      </c>
      <c r="B297" s="10">
        <f t="shared" si="19"/>
        <v>1.674198413408052E-15</v>
      </c>
      <c r="C297" s="10">
        <f t="shared" si="20"/>
        <v>3.0176425284660944E-2</v>
      </c>
      <c r="D297" s="10">
        <f t="shared" si="17"/>
        <v>3.2097994967132733E-14</v>
      </c>
      <c r="E297" s="12">
        <f t="shared" si="16"/>
        <v>9.6860274691310403E-13</v>
      </c>
    </row>
    <row r="298" spans="1:5">
      <c r="A298" s="3">
        <v>71.75</v>
      </c>
      <c r="B298" s="10">
        <f t="shared" si="19"/>
        <v>6.1052057004704422E-16</v>
      </c>
      <c r="C298" s="10">
        <f t="shared" si="20"/>
        <v>2.9810582823781274E-2</v>
      </c>
      <c r="D298" s="10">
        <f t="shared" si="17"/>
        <v>1.1758682417834672E-14</v>
      </c>
      <c r="E298" s="12">
        <f t="shared" si="16"/>
        <v>3.5053317611540119E-13</v>
      </c>
    </row>
    <row r="299" spans="1:5">
      <c r="A299" s="3">
        <v>72</v>
      </c>
      <c r="B299" s="10">
        <f t="shared" si="19"/>
        <v>2.16073990879386E-16</v>
      </c>
      <c r="C299" s="10">
        <f t="shared" si="20"/>
        <v>2.9449175636626568E-2</v>
      </c>
      <c r="D299" s="10">
        <f t="shared" si="17"/>
        <v>4.1794585581410853E-15</v>
      </c>
      <c r="E299" s="12">
        <f t="shared" si="16"/>
        <v>1.2308160914469887E-13</v>
      </c>
    </row>
    <row r="300" spans="1:5">
      <c r="A300" s="3">
        <v>72.25</v>
      </c>
      <c r="B300" s="10">
        <f t="shared" si="19"/>
        <v>7.4152919481278569E-17</v>
      </c>
      <c r="C300" s="10">
        <f t="shared" si="20"/>
        <v>2.9092149952366367E-2</v>
      </c>
      <c r="D300" s="10">
        <f t="shared" si="17"/>
        <v>1.4400406912299374E-15</v>
      </c>
      <c r="E300" s="12">
        <f t="shared" si="16"/>
        <v>4.1893879726770655E-14</v>
      </c>
    </row>
    <row r="301" spans="1:5">
      <c r="A301" s="3">
        <v>72.5</v>
      </c>
      <c r="B301" s="10">
        <f t="shared" si="19"/>
        <v>2.4653632093176684E-17</v>
      </c>
      <c r="C301" s="10">
        <f t="shared" si="20"/>
        <v>2.8739452652058038E-2</v>
      </c>
      <c r="D301" s="10">
        <f t="shared" si="17"/>
        <v>4.8053416449715203E-16</v>
      </c>
      <c r="E301" s="12">
        <f t="shared" si="16"/>
        <v>1.3810288868262169E-14</v>
      </c>
    </row>
    <row r="302" spans="1:5">
      <c r="A302" s="3">
        <v>72.75</v>
      </c>
      <c r="B302" s="10">
        <f t="shared" si="19"/>
        <v>7.93326617964072E-18</v>
      </c>
      <c r="C302" s="10">
        <f t="shared" si="20"/>
        <v>2.8391031260744073E-2</v>
      </c>
      <c r="D302" s="10">
        <f t="shared" si="17"/>
        <v>1.5515229668554746E-16</v>
      </c>
      <c r="E302" s="12">
        <f t="shared" si="16"/>
        <v>4.4049337053756166E-15</v>
      </c>
    </row>
    <row r="303" spans="1:5">
      <c r="A303" s="3">
        <v>73</v>
      </c>
      <c r="B303" s="10">
        <f t="shared" si="19"/>
        <v>2.4684313428704678E-18</v>
      </c>
      <c r="C303" s="10">
        <f t="shared" si="20"/>
        <v>2.8046833939644349E-2</v>
      </c>
      <c r="D303" s="10">
        <f t="shared" si="17"/>
        <v>4.8423277984361534E-17</v>
      </c>
      <c r="E303" s="12">
        <f t="shared" si="16"/>
        <v>1.358119636440624E-15</v>
      </c>
    </row>
    <row r="304" spans="1:5">
      <c r="A304" s="3">
        <v>73.25</v>
      </c>
      <c r="B304" s="10">
        <f t="shared" si="19"/>
        <v>7.4191639688524664E-19</v>
      </c>
      <c r="C304" s="10">
        <f t="shared" si="20"/>
        <v>2.7706809478444155E-2</v>
      </c>
      <c r="D304" s="10">
        <f t="shared" si="17"/>
        <v>1.4594102435580002E-17</v>
      </c>
      <c r="E304" s="12">
        <f t="shared" si="16"/>
        <v>4.0435601569151291E-16</v>
      </c>
    </row>
    <row r="305" spans="1:5">
      <c r="A305" s="3">
        <v>73.5</v>
      </c>
      <c r="B305" s="10">
        <f t="shared" si="19"/>
        <v>2.1518297971088069E-19</v>
      </c>
      <c r="C305" s="10">
        <f t="shared" si="20"/>
        <v>2.7370907287674315E-2</v>
      </c>
      <c r="D305" s="10">
        <f t="shared" si="17"/>
        <v>4.2430703712753907E-18</v>
      </c>
      <c r="E305" s="12">
        <f t="shared" si="16"/>
        <v>1.1613668574725656E-16</v>
      </c>
    </row>
    <row r="306" spans="1:5">
      <c r="A306" s="3">
        <v>73.75</v>
      </c>
      <c r="B306" s="10">
        <f t="shared" si="19"/>
        <v>6.0161798765734146E-20</v>
      </c>
      <c r="C306" s="10">
        <f t="shared" si="20"/>
        <v>2.7039077391184833E-2</v>
      </c>
      <c r="D306" s="10">
        <f t="shared" si="17"/>
        <v>1.18878133312588E-18</v>
      </c>
      <c r="E306" s="12">
        <f t="shared" si="16"/>
        <v>3.2143550467586546E-17</v>
      </c>
    </row>
    <row r="307" spans="1:5">
      <c r="A307" s="3">
        <v>74</v>
      </c>
      <c r="B307" s="10">
        <f t="shared" si="19"/>
        <v>1.6196491964495379E-20</v>
      </c>
      <c r="C307" s="10">
        <f t="shared" si="20"/>
        <v>2.6711270418708914E-2</v>
      </c>
      <c r="D307" s="10">
        <f t="shared" si="17"/>
        <v>3.2060355783411645E-19</v>
      </c>
      <c r="E307" s="12">
        <f t="shared" si="16"/>
        <v>8.5637283305072665E-18</v>
      </c>
    </row>
    <row r="308" spans="1:5">
      <c r="A308" s="3">
        <v>74.25</v>
      </c>
      <c r="B308" s="10">
        <f t="shared" si="19"/>
        <v>4.1939345118344376E-21</v>
      </c>
      <c r="C308" s="10">
        <f t="shared" si="20"/>
        <v>2.6387437598518249E-2</v>
      </c>
      <c r="D308" s="10">
        <f t="shared" si="17"/>
        <v>8.3136378406038053E-20</v>
      </c>
      <c r="E308" s="12">
        <f t="shared" si="16"/>
        <v>2.193755997356129E-18</v>
      </c>
    </row>
    <row r="309" spans="1:5">
      <c r="A309" s="3">
        <v>74.5</v>
      </c>
      <c r="B309" s="10">
        <f t="shared" si="19"/>
        <v>1.0433300586492424E-21</v>
      </c>
      <c r="C309" s="10">
        <f t="shared" si="20"/>
        <v>2.6067530750166025E-2</v>
      </c>
      <c r="D309" s="10">
        <f t="shared" si="17"/>
        <v>2.0704641350458204E-20</v>
      </c>
      <c r="E309" s="12">
        <f t="shared" si="16"/>
        <v>5.3971887507422817E-19</v>
      </c>
    </row>
    <row r="310" spans="1:5">
      <c r="A310" s="3">
        <v>74.75</v>
      </c>
      <c r="B310" s="10">
        <f t="shared" si="19"/>
        <v>2.4906068388975023E-22</v>
      </c>
      <c r="C310" s="10">
        <f t="shared" si="20"/>
        <v>2.5751502277318886E-2</v>
      </c>
      <c r="D310" s="10">
        <f t="shared" si="17"/>
        <v>4.946304477761179E-21</v>
      </c>
      <c r="E310" s="12">
        <f t="shared" si="16"/>
        <v>1.273747710233796E-19</v>
      </c>
    </row>
    <row r="311" spans="1:5">
      <c r="A311" s="3">
        <v>75</v>
      </c>
      <c r="B311" s="10">
        <f t="shared" si="19"/>
        <v>5.6982395621584658E-23</v>
      </c>
      <c r="C311" s="10">
        <f t="shared" si="20"/>
        <v>2.5439305160675153E-2</v>
      </c>
      <c r="D311" s="10">
        <f t="shared" si="17"/>
        <v>1.1321344015983498E-21</v>
      </c>
      <c r="E311" s="12">
        <f t="shared" si="16"/>
        <v>2.8800712525158774E-20</v>
      </c>
    </row>
    <row r="312" spans="1:5">
      <c r="A312" s="3">
        <v>75.25</v>
      </c>
      <c r="B312" s="10">
        <f t="shared" si="19"/>
        <v>1.2479041679809648E-23</v>
      </c>
      <c r="C312" s="10">
        <f t="shared" si="20"/>
        <v>2.5130892950969756E-2</v>
      </c>
      <c r="D312" s="10">
        <f t="shared" si="17"/>
        <v>2.4795391695010388E-22</v>
      </c>
      <c r="E312" s="12">
        <f t="shared" si="16"/>
        <v>6.2313033436467053E-21</v>
      </c>
    </row>
    <row r="313" spans="1:5">
      <c r="A313" s="3">
        <v>75.5</v>
      </c>
      <c r="B313" s="10">
        <f t="shared" si="19"/>
        <v>2.6125432058453246E-24</v>
      </c>
      <c r="C313" s="10">
        <f t="shared" si="20"/>
        <v>2.4826219762062875E-2</v>
      </c>
      <c r="D313" s="10">
        <f t="shared" si="17"/>
        <v>5.1896197970174332E-23</v>
      </c>
      <c r="E313" s="12">
        <f t="shared" si="16"/>
        <v>1.2883864156230693E-21</v>
      </c>
    </row>
    <row r="314" spans="1:5">
      <c r="A314" s="3">
        <v>75.75</v>
      </c>
      <c r="B314" s="10">
        <f t="shared" si="19"/>
        <v>5.2216462756989637E-25</v>
      </c>
      <c r="C314" s="10">
        <f t="shared" si="20"/>
        <v>2.4525240264113228E-2</v>
      </c>
      <c r="D314" s="10">
        <f t="shared" si="17"/>
        <v>1.0365991647221662E-23</v>
      </c>
      <c r="E314" s="12">
        <f t="shared" si="16"/>
        <v>2.5422843572390209E-22</v>
      </c>
    </row>
    <row r="315" spans="1:5">
      <c r="A315" s="3">
        <v>76</v>
      </c>
      <c r="B315" s="10">
        <f t="shared" si="19"/>
        <v>9.9498364748822581E-26</v>
      </c>
      <c r="C315" s="10">
        <f t="shared" si="20"/>
        <v>2.4227909676833474E-2</v>
      </c>
      <c r="D315" s="10">
        <f t="shared" si="17"/>
        <v>1.9733267899398322E-24</v>
      </c>
      <c r="E315" s="12">
        <f t="shared" si="16"/>
        <v>4.7809583229537995E-23</v>
      </c>
    </row>
    <row r="316" spans="1:5">
      <c r="A316" s="3">
        <v>76.25</v>
      </c>
      <c r="B316" s="10">
        <f t="shared" si="19"/>
        <v>1.8049869345741609E-26</v>
      </c>
      <c r="C316" s="10">
        <f t="shared" si="20"/>
        <v>2.393418376282834E-2</v>
      </c>
      <c r="D316" s="10">
        <f t="shared" si="17"/>
        <v>3.5750699979620654E-25</v>
      </c>
      <c r="E316" s="12">
        <f t="shared" si="16"/>
        <v>8.5566382296198409E-24</v>
      </c>
    </row>
    <row r="317" spans="1:5">
      <c r="A317" s="3">
        <v>76.5</v>
      </c>
      <c r="B317" s="10">
        <f t="shared" si="19"/>
        <v>3.1127817333600716E-27</v>
      </c>
      <c r="C317" s="10">
        <f t="shared" si="20"/>
        <v>2.3644018821012257E-2</v>
      </c>
      <c r="D317" s="10">
        <f t="shared" si="17"/>
        <v>6.1550831131847355E-26</v>
      </c>
      <c r="E317" s="12">
        <f t="shared" si="16"/>
        <v>1.4553090097303461E-24</v>
      </c>
    </row>
    <row r="318" spans="1:5">
      <c r="A318" s="3">
        <v>76.75</v>
      </c>
      <c r="B318" s="10">
        <f t="shared" si="19"/>
        <v>5.095512251375184E-28</v>
      </c>
      <c r="C318" s="10">
        <f t="shared" si="20"/>
        <v>2.3357371680107829E-2</v>
      </c>
      <c r="D318" s="10">
        <f t="shared" si="17"/>
        <v>1.0055298530655565E-26</v>
      </c>
      <c r="E318" s="12">
        <f t="shared" si="16"/>
        <v>2.3486534513496419E-25</v>
      </c>
    </row>
    <row r="319" spans="1:5">
      <c r="A319" s="3">
        <v>77</v>
      </c>
      <c r="B319" s="10">
        <f t="shared" si="19"/>
        <v>7.9053364831638998E-29</v>
      </c>
      <c r="C319" s="10">
        <f t="shared" si="20"/>
        <v>2.3074199692222352E-2</v>
      </c>
      <c r="D319" s="10">
        <f t="shared" si="17"/>
        <v>1.556310932813825E-27</v>
      </c>
      <c r="E319" s="12">
        <f t="shared" si="16"/>
        <v>3.5910629246935042E-26</v>
      </c>
    </row>
    <row r="320" spans="1:5">
      <c r="A320" s="3">
        <v>77.25</v>
      </c>
      <c r="B320" s="10">
        <f t="shared" si="19"/>
        <v>1.1605264634325859E-29</v>
      </c>
      <c r="C320" s="10">
        <f t="shared" si="20"/>
        <v>2.2794460726503176E-2</v>
      </c>
      <c r="D320" s="10">
        <f t="shared" si="17"/>
        <v>2.2784896938835129E-28</v>
      </c>
      <c r="E320" s="12">
        <f t="shared" si="16"/>
        <v>5.1936943842969979E-27</v>
      </c>
    </row>
    <row r="321" spans="1:5">
      <c r="A321" s="3">
        <v>77.5</v>
      </c>
      <c r="B321" s="10">
        <f t="shared" si="19"/>
        <v>1.6094602973787384E-30</v>
      </c>
      <c r="C321" s="10">
        <f t="shared" si="20"/>
        <v>2.2518113162868812E-2</v>
      </c>
      <c r="D321" s="10">
        <f t="shared" si="17"/>
        <v>3.1501824383623105E-29</v>
      </c>
      <c r="E321" s="12">
        <f t="shared" si="16"/>
        <v>7.0936164630724509E-28</v>
      </c>
    </row>
    <row r="322" spans="1:5">
      <c r="A322" s="3">
        <v>77.75</v>
      </c>
      <c r="B322" s="10">
        <f t="shared" si="19"/>
        <v>2.1050541355801221E-31</v>
      </c>
      <c r="C322" s="10">
        <f t="shared" si="20"/>
        <v>2.2245115885816989E-2</v>
      </c>
      <c r="D322" s="10">
        <f t="shared" si="17"/>
        <v>4.1061045647472667E-30</v>
      </c>
      <c r="E322" s="12">
        <f t="shared" si="16"/>
        <v>9.1340771882085078E-29</v>
      </c>
    </row>
    <row r="323" spans="1:5">
      <c r="A323" s="3">
        <v>78</v>
      </c>
      <c r="B323" s="10">
        <f t="shared" si="19"/>
        <v>2.5920869884529617E-32</v>
      </c>
      <c r="C323" s="10">
        <f t="shared" si="20"/>
        <v>2.1975428278307008E-2</v>
      </c>
      <c r="D323" s="10">
        <f t="shared" si="17"/>
        <v>5.037048774501804E-31</v>
      </c>
      <c r="E323" s="12">
        <f t="shared" si="16"/>
        <v>1.1069130407839859E-29</v>
      </c>
    </row>
    <row r="324" spans="1:5">
      <c r="A324" s="3">
        <v>78.25</v>
      </c>
      <c r="B324" s="10">
        <f t="shared" si="19"/>
        <v>2.9995929441656615E-33</v>
      </c>
      <c r="C324" s="10">
        <f t="shared" si="20"/>
        <v>2.1709010215717316E-2</v>
      </c>
      <c r="D324" s="10">
        <f t="shared" si="17"/>
        <v>5.8049459607398754E-32</v>
      </c>
      <c r="E324" s="12">
        <f t="shared" si="16"/>
        <v>1.2601963116338893E-30</v>
      </c>
    </row>
    <row r="325" spans="1:5">
      <c r="A325" s="3">
        <v>78.5</v>
      </c>
      <c r="B325" s="10">
        <f t="shared" si="19"/>
        <v>3.2561292247996682E-34</v>
      </c>
      <c r="C325" s="10">
        <f t="shared" si="20"/>
        <v>2.1445822059875067E-2</v>
      </c>
      <c r="D325" s="10">
        <f t="shared" si="17"/>
        <v>6.2733175446230848E-33</v>
      </c>
      <c r="E325" s="12">
        <f t="shared" si="16"/>
        <v>1.3453645178707903E-31</v>
      </c>
    </row>
    <row r="326" spans="1:5">
      <c r="A326" s="3">
        <v>78.75</v>
      </c>
      <c r="B326" s="10">
        <f t="shared" si="19"/>
        <v>3.3093590411069175E-35</v>
      </c>
      <c r="C326" s="10">
        <f t="shared" si="20"/>
        <v>2.1185824653159029E-2</v>
      </c>
      <c r="D326" s="10">
        <f t="shared" si="17"/>
        <v>6.3452846682435305E-34</v>
      </c>
      <c r="E326" s="12">
        <f t="shared" si="16"/>
        <v>1.3443008835578582E-32</v>
      </c>
    </row>
    <row r="327" spans="1:5">
      <c r="A327" s="3">
        <v>79</v>
      </c>
      <c r="B327" s="10">
        <f t="shared" si="19"/>
        <v>3.1429759217843234E-36</v>
      </c>
      <c r="C327" s="10">
        <f t="shared" si="20"/>
        <v>2.0928979312673339E-2</v>
      </c>
      <c r="D327" s="10">
        <f t="shared" si="17"/>
        <v>5.9953311360202285E-35</v>
      </c>
      <c r="E327" s="12">
        <f t="shared" si="16"/>
        <v>1.254761613183937E-33</v>
      </c>
    </row>
    <row r="328" spans="1:5">
      <c r="A328" s="3">
        <v>79.25</v>
      </c>
      <c r="B328" s="10">
        <f t="shared" si="19"/>
        <v>2.7836840965886826E-37</v>
      </c>
      <c r="C328" s="10">
        <f t="shared" si="20"/>
        <v>2.067524782449268E-2</v>
      </c>
      <c r="D328" s="10">
        <f t="shared" si="17"/>
        <v>5.2809494699737365E-36</v>
      </c>
      <c r="E328" s="12">
        <f>D328*C328*1000</f>
        <v>1.0918493904033026E-34</v>
      </c>
    </row>
    <row r="329" spans="1:5">
      <c r="A329" s="3">
        <v>79.5</v>
      </c>
      <c r="B329" s="10">
        <f t="shared" si="19"/>
        <v>2.2944652961851865E-38</v>
      </c>
      <c r="C329" s="10">
        <f t="shared" si="20"/>
        <v>2.0424592437976251E-2</v>
      </c>
      <c r="D329" s="10">
        <f>(B329-B330)*C329*1000</f>
        <v>4.3276337052914076E-37</v>
      </c>
      <c r="E329" s="12">
        <f>D329*C329*1000</f>
        <v>8.8390154651426038E-36</v>
      </c>
    </row>
    <row r="330" spans="1:5">
      <c r="A330" s="3">
        <v>79.75</v>
      </c>
      <c r="B330" s="10">
        <f t="shared" si="19"/>
        <v>1.7563050502192803E-39</v>
      </c>
      <c r="C330" s="10">
        <f t="shared" si="20"/>
        <v>2.0176975860151457E-2</v>
      </c>
      <c r="D330" s="10">
        <f>(B330-B331)*C330*1000</f>
        <v>3.2923428583459077E-38</v>
      </c>
      <c r="E330" s="12">
        <f>D330*C330*1000</f>
        <v>6.6429522376187426E-37</v>
      </c>
    </row>
    <row r="331" spans="1:5">
      <c r="A331" s="3">
        <v>80</v>
      </c>
      <c r="B331" s="10">
        <f t="shared" si="19"/>
        <v>1.2457248476177568E-40</v>
      </c>
      <c r="C331" s="10"/>
      <c r="D331" s="10"/>
      <c r="E331" s="3"/>
    </row>
    <row r="332" spans="1:5">
      <c r="B332" s="1" t="s">
        <v>1</v>
      </c>
      <c r="C332" s="67" t="s">
        <v>56</v>
      </c>
      <c r="D332" s="57">
        <f>SUM(D11:D330)</f>
        <v>218.8295198867778</v>
      </c>
      <c r="E332" s="17">
        <f>SUM(E11:E330)</f>
        <v>105358.96968017933</v>
      </c>
    </row>
    <row r="333" spans="1:5">
      <c r="B333" s="1" t="s">
        <v>2</v>
      </c>
      <c r="C333" s="10"/>
      <c r="D333" s="57" t="s">
        <v>57</v>
      </c>
      <c r="E333" s="57">
        <f>SQRT(E332-D332^2)</f>
        <v>239.73445915491925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Notes</vt:lpstr>
      <vt:lpstr>SSSM calculator</vt:lpstr>
      <vt:lpstr>Exercise 2.4</vt:lpstr>
      <vt:lpstr>Exercise 2.12</vt:lpstr>
      <vt:lpstr>Exercise 2.13</vt:lpstr>
      <vt:lpstr>Exercise 4.4</vt:lpstr>
      <vt:lpstr>Exercise 4.16</vt:lpstr>
      <vt:lpstr>Exercise 4.20</vt:lpstr>
      <vt:lpstr>Exercise 4.21</vt:lpstr>
      <vt:lpstr>Exercise 4.22</vt:lpstr>
      <vt:lpstr>Exercise 5.14</vt:lpstr>
      <vt:lpstr>Exercise 5.16</vt:lpstr>
      <vt:lpstr>Exercise 5.17</vt:lpstr>
      <vt:lpstr>Exercise 6.5</vt:lpstr>
      <vt:lpstr>Exercise 6.8</vt:lpstr>
      <vt:lpstr>Exercise 6.9</vt:lpstr>
      <vt:lpstr>Exercise 6.13</vt:lpstr>
      <vt:lpstr>Exercise 6.19</vt:lpstr>
      <vt:lpstr>Exercise 7.6</vt:lpstr>
      <vt:lpstr>Exercise 7.8</vt:lpstr>
      <vt:lpstr>Exercise 7.11</vt:lpstr>
      <vt:lpstr>Exercise 7.14</vt:lpstr>
      <vt:lpstr>Exercise 7.17</vt:lpstr>
      <vt:lpstr>Exercise 8.6</vt:lpstr>
      <vt:lpstr>Exercise 8.7</vt:lpstr>
      <vt:lpstr>Exercise 8.11</vt:lpstr>
      <vt:lpstr>Exercise 8.12</vt:lpstr>
      <vt:lpstr>Exercise 8.13</vt:lpstr>
      <vt:lpstr>Exercise 8.14</vt:lpstr>
      <vt:lpstr>Exercise 8.19</vt:lpstr>
      <vt:lpstr>Exercise 9.2</vt:lpstr>
      <vt:lpstr>Exercise 9.3</vt:lpstr>
      <vt:lpstr>Exercise 9.4</vt:lpstr>
      <vt:lpstr>Exercise 9.10</vt:lpstr>
      <vt:lpstr>Exercise 9.11</vt:lpstr>
      <vt:lpstr>Exercise 9.15</vt:lpstr>
      <vt:lpstr>Exercise 10.4</vt:lpstr>
      <vt:lpstr>Exercise 10.9</vt:lpstr>
      <vt:lpstr>Exercise 10.10</vt:lpstr>
      <vt:lpstr>Exercise 11.2</vt:lpstr>
      <vt:lpstr>Exercise 11.5</vt:lpstr>
      <vt:lpstr>Exercise 11.6</vt:lpstr>
      <vt:lpstr>Exercise 12.5</vt:lpstr>
      <vt:lpstr>Exercise 12.6</vt:lpstr>
      <vt:lpstr>Exercise 12.7</vt:lpstr>
      <vt:lpstr>Exercise 12.8</vt:lpstr>
      <vt:lpstr>Exercise 12.9</vt:lpstr>
      <vt:lpstr>Exercise 12.11</vt:lpstr>
      <vt:lpstr>Exercise 12.12</vt:lpstr>
      <vt:lpstr>Exercise 12.13</vt:lpstr>
      <vt:lpstr>Exercise 13.7</vt:lpstr>
      <vt:lpstr>Exercise 13.10</vt:lpstr>
      <vt:lpstr>Exercise 13.11</vt:lpstr>
      <vt:lpstr>Exercise 14.1</vt:lpstr>
      <vt:lpstr>Exercise 14.2</vt:lpstr>
      <vt:lpstr>Exercise 14.3</vt:lpstr>
      <vt:lpstr>Exercise 14.5</vt:lpstr>
      <vt:lpstr>Exercise 15.5</vt:lpstr>
      <vt:lpstr>Exercise 16.2</vt:lpstr>
      <vt:lpstr>Exercise 16.3</vt:lpstr>
      <vt:lpstr>Exercise 16.4</vt:lpstr>
      <vt:lpstr>Exercise 16.5</vt:lpstr>
    </vt:vector>
  </TitlesOfParts>
  <Company>The University of Melbourne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dcmd</dc:creator>
  <cp:lastModifiedBy>David Dickson</cp:lastModifiedBy>
  <dcterms:created xsi:type="dcterms:W3CDTF">2009-03-04T22:28:23Z</dcterms:created>
  <dcterms:modified xsi:type="dcterms:W3CDTF">2013-08-14T04:42:13Z</dcterms:modified>
</cp:coreProperties>
</file>